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mc:AlternateContent xmlns:mc="http://schemas.openxmlformats.org/markup-compatibility/2006">
    <mc:Choice Requires="x15">
      <x15ac:absPath xmlns:x15ac="http://schemas.microsoft.com/office/spreadsheetml/2010/11/ac" url="C:\Users\U4EPRAJK\Downloads\"/>
    </mc:Choice>
  </mc:AlternateContent>
  <xr:revisionPtr revIDLastSave="0" documentId="8_{83903F8D-6D99-4095-AA88-194D408F6D9A}" xr6:coauthVersionLast="47" xr6:coauthVersionMax="47" xr10:uidLastSave="{00000000-0000-0000-0000-000000000000}"/>
  <bookViews>
    <workbookView xWindow="-108" yWindow="-84" windowWidth="23256" windowHeight="12432" tabRatio="796" firstSheet="2" activeTab="2" xr2:uid="{00000000-000D-0000-FFFF-FFFF00000000}"/>
  </bookViews>
  <sheets>
    <sheet name="Start" sheetId="1" r:id="rId1"/>
    <sheet name="Data" sheetId="2" r:id="rId2"/>
    <sheet name="ChemData" sheetId="3" r:id="rId3"/>
    <sheet name="H-Summary" sheetId="4" r:id="rId4"/>
    <sheet name="H-Effluent" sheetId="5" r:id="rId5"/>
    <sheet name="H-Runoff" sheetId="6" r:id="rId6"/>
    <sheet name="H-Leachate" sheetId="7" r:id="rId7"/>
    <sheet name="H-Volatilization" sheetId="8" r:id="rId8"/>
    <sheet name="H-Plant &amp; Animal" sheetId="9" r:id="rId9"/>
    <sheet name="Illustrations" sheetId="11" r:id="rId10"/>
    <sheet name="Sheet1" sheetId="12" r:id="rId11"/>
  </sheets>
  <definedNames>
    <definedName name="_xlnm.Print_Area" localSheetId="2">ChemData!$A$1:$AU$310</definedName>
    <definedName name="_xlnm.Print_Area" localSheetId="4">'H-Effluent'!$A$1:$Y$389</definedName>
    <definedName name="_xlnm.Print_Area" localSheetId="8">'H-Plant &amp; Animal'!$A$1:$N$353</definedName>
    <definedName name="_xlnm.Print_Area" localSheetId="5">'H-Runoff'!$A$1:$U$320</definedName>
    <definedName name="_xlnm.Print_Area" localSheetId="3">'H-Summary'!$A$1:$AC$310</definedName>
    <definedName name="_xlnm.Print_Area" localSheetId="7">'H-Volatilization'!$A$1:$AZ$320</definedName>
    <definedName name="_xlnm.Print_Area" localSheetId="9">Illustrations!$A$113:$M$150</definedName>
    <definedName name="_xlnm.Print_Area" localSheetId="0">Start!$A$1:$E$21</definedName>
    <definedName name="_xlnm.Print_Titles" localSheetId="1">Data!$64:$70</definedName>
    <definedName name="_xlnm.Print_Titles" localSheetId="4">'H-Effluent'!$3:$9</definedName>
    <definedName name="_xlnm.Print_Titles" localSheetId="6">'H-Leachate'!$3:$9</definedName>
    <definedName name="_xlnm.Print_Titles" localSheetId="5">'H-Runoff'!$3:$9</definedName>
    <definedName name="_xlnm.Print_Titles" localSheetId="7">'H-Volatilization'!$A:$A,'H-Volatilization'!$3:$9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10" i="3" l="1"/>
  <c r="T14" i="3"/>
  <c r="P43" i="3"/>
  <c r="Q43" i="3" s="1"/>
  <c r="R43" i="3" s="1"/>
  <c r="N43" i="8" s="1"/>
  <c r="T43" i="3"/>
  <c r="S43" i="6"/>
  <c r="X43" i="4" s="1"/>
  <c r="Q43" i="6"/>
  <c r="W43" i="4" s="1"/>
  <c r="O43" i="5"/>
  <c r="V43" i="4" s="1"/>
  <c r="M43" i="9"/>
  <c r="U43" i="4" s="1"/>
  <c r="L43" i="9"/>
  <c r="T43" i="4" s="1"/>
  <c r="U43" i="6"/>
  <c r="M43" i="4" s="1"/>
  <c r="T43" i="6"/>
  <c r="L43" i="4" s="1"/>
  <c r="Q43" i="5"/>
  <c r="K43" i="4" s="1"/>
  <c r="J43" i="4"/>
  <c r="D43" i="4"/>
  <c r="C43" i="4"/>
  <c r="B43" i="4"/>
  <c r="J43" i="9"/>
  <c r="I43" i="9"/>
  <c r="L43" i="3"/>
  <c r="G43" i="9" s="1"/>
  <c r="F43" i="9"/>
  <c r="C43" i="9"/>
  <c r="B43" i="9"/>
  <c r="P43" i="8"/>
  <c r="O43" i="8"/>
  <c r="L43" i="8"/>
  <c r="K43" i="8"/>
  <c r="Q43" i="8" s="1"/>
  <c r="J43" i="8"/>
  <c r="K43" i="3"/>
  <c r="I43" i="8" s="1"/>
  <c r="H43" i="8"/>
  <c r="G43" i="8"/>
  <c r="F43" i="8"/>
  <c r="AY43" i="8" s="1"/>
  <c r="R43" i="4" s="1"/>
  <c r="F43" i="7"/>
  <c r="J43" i="3"/>
  <c r="D43" i="7" s="1"/>
  <c r="C43" i="7"/>
  <c r="L43" i="6"/>
  <c r="N43" i="6" s="1"/>
  <c r="M43" i="6"/>
  <c r="O43" i="6" s="1"/>
  <c r="R43" i="6"/>
  <c r="P43" i="6"/>
  <c r="K43" i="6"/>
  <c r="J43" i="6"/>
  <c r="I43" i="3"/>
  <c r="G43" i="6" s="1"/>
  <c r="F43" i="6"/>
  <c r="E43" i="6"/>
  <c r="D43" i="6"/>
  <c r="C43" i="6"/>
  <c r="B43" i="6"/>
  <c r="I43" i="5"/>
  <c r="E43" i="5"/>
  <c r="H43" i="3"/>
  <c r="F43" i="5" s="1"/>
  <c r="N43" i="5"/>
  <c r="M43" i="5"/>
  <c r="L43" i="5"/>
  <c r="K43" i="5"/>
  <c r="J43" i="5"/>
  <c r="H43" i="5"/>
  <c r="D43" i="5"/>
  <c r="C43" i="5"/>
  <c r="B43" i="5"/>
  <c r="M310" i="6"/>
  <c r="L310" i="6"/>
  <c r="M309" i="6"/>
  <c r="L309" i="6"/>
  <c r="M308" i="6"/>
  <c r="L308" i="6"/>
  <c r="M307" i="6"/>
  <c r="L307" i="6"/>
  <c r="M306" i="6"/>
  <c r="L306" i="6"/>
  <c r="M305" i="6"/>
  <c r="L305" i="6"/>
  <c r="M304" i="6"/>
  <c r="L304" i="6"/>
  <c r="M303" i="6"/>
  <c r="L303" i="6"/>
  <c r="M302" i="6"/>
  <c r="L302" i="6"/>
  <c r="M301" i="6"/>
  <c r="L301" i="6"/>
  <c r="M300" i="6"/>
  <c r="L300" i="6"/>
  <c r="M299" i="6"/>
  <c r="L299" i="6"/>
  <c r="M298" i="6"/>
  <c r="L298" i="6"/>
  <c r="M297" i="6"/>
  <c r="L297" i="6"/>
  <c r="M296" i="6"/>
  <c r="L296" i="6"/>
  <c r="M295" i="6"/>
  <c r="L295" i="6"/>
  <c r="M294" i="6"/>
  <c r="L294" i="6"/>
  <c r="M293" i="6"/>
  <c r="L293" i="6"/>
  <c r="M292" i="6"/>
  <c r="L292" i="6"/>
  <c r="M291" i="6"/>
  <c r="L291" i="6"/>
  <c r="M290" i="6"/>
  <c r="L290" i="6"/>
  <c r="M289" i="6"/>
  <c r="L289" i="6"/>
  <c r="M288" i="6"/>
  <c r="L288" i="6"/>
  <c r="M287" i="6"/>
  <c r="L287" i="6"/>
  <c r="M286" i="6"/>
  <c r="L286" i="6"/>
  <c r="M285" i="6"/>
  <c r="L285" i="6"/>
  <c r="M284" i="6"/>
  <c r="L284" i="6"/>
  <c r="M283" i="6"/>
  <c r="L283" i="6"/>
  <c r="M282" i="6"/>
  <c r="L282" i="6"/>
  <c r="M281" i="6"/>
  <c r="L281" i="6"/>
  <c r="M280" i="6"/>
  <c r="L280" i="6"/>
  <c r="M279" i="6"/>
  <c r="L279" i="6"/>
  <c r="M278" i="6"/>
  <c r="L278" i="6"/>
  <c r="M277" i="6"/>
  <c r="L277" i="6"/>
  <c r="M275" i="6"/>
  <c r="L275" i="6"/>
  <c r="M274" i="6"/>
  <c r="L274" i="6"/>
  <c r="M273" i="6"/>
  <c r="L273" i="6"/>
  <c r="M272" i="6"/>
  <c r="L272" i="6"/>
  <c r="M271" i="6"/>
  <c r="L271" i="6"/>
  <c r="M270" i="6"/>
  <c r="L270" i="6"/>
  <c r="M269" i="6"/>
  <c r="L269" i="6"/>
  <c r="M268" i="6"/>
  <c r="L268" i="6"/>
  <c r="M267" i="6"/>
  <c r="L267" i="6"/>
  <c r="M266" i="6"/>
  <c r="L266" i="6"/>
  <c r="M265" i="6"/>
  <c r="L265" i="6"/>
  <c r="M264" i="6"/>
  <c r="L264" i="6"/>
  <c r="M263" i="6"/>
  <c r="L263" i="6"/>
  <c r="M262" i="6"/>
  <c r="L262" i="6"/>
  <c r="M261" i="6"/>
  <c r="L261" i="6"/>
  <c r="M260" i="6"/>
  <c r="L260" i="6"/>
  <c r="M259" i="6"/>
  <c r="L259" i="6"/>
  <c r="M258" i="6"/>
  <c r="L258" i="6"/>
  <c r="M257" i="6"/>
  <c r="L257" i="6"/>
  <c r="M256" i="6"/>
  <c r="L256" i="6"/>
  <c r="M255" i="6"/>
  <c r="L255" i="6"/>
  <c r="M254" i="6"/>
  <c r="L254" i="6"/>
  <c r="M253" i="6"/>
  <c r="L253" i="6"/>
  <c r="M252" i="6"/>
  <c r="L252" i="6"/>
  <c r="M251" i="6"/>
  <c r="L251" i="6"/>
  <c r="M250" i="6"/>
  <c r="L250" i="6"/>
  <c r="M249" i="6"/>
  <c r="L249" i="6"/>
  <c r="M248" i="6"/>
  <c r="L248" i="6"/>
  <c r="M247" i="6"/>
  <c r="L247" i="6"/>
  <c r="M246" i="6"/>
  <c r="L246" i="6"/>
  <c r="M244" i="6"/>
  <c r="L244" i="6"/>
  <c r="M243" i="6"/>
  <c r="L243" i="6"/>
  <c r="M242" i="6"/>
  <c r="L242" i="6"/>
  <c r="M241" i="6"/>
  <c r="L241" i="6"/>
  <c r="M240" i="6"/>
  <c r="L240" i="6"/>
  <c r="M239" i="6"/>
  <c r="L239" i="6"/>
  <c r="M238" i="6"/>
  <c r="L238" i="6"/>
  <c r="M237" i="6"/>
  <c r="L237" i="6"/>
  <c r="M236" i="6"/>
  <c r="L236" i="6"/>
  <c r="M235" i="6"/>
  <c r="L235" i="6"/>
  <c r="M234" i="6"/>
  <c r="L234" i="6"/>
  <c r="M233" i="6"/>
  <c r="L233" i="6"/>
  <c r="M232" i="6"/>
  <c r="L232" i="6"/>
  <c r="M231" i="6"/>
  <c r="L231" i="6"/>
  <c r="M230" i="6"/>
  <c r="L230" i="6"/>
  <c r="M229" i="6"/>
  <c r="L229" i="6"/>
  <c r="M228" i="6"/>
  <c r="L228" i="6"/>
  <c r="M227" i="6"/>
  <c r="L227" i="6"/>
  <c r="M226" i="6"/>
  <c r="L226" i="6"/>
  <c r="M225" i="6"/>
  <c r="L225" i="6"/>
  <c r="M224" i="6"/>
  <c r="L224" i="6"/>
  <c r="M223" i="6"/>
  <c r="L223" i="6"/>
  <c r="M222" i="6"/>
  <c r="L222" i="6"/>
  <c r="M221" i="6"/>
  <c r="L221" i="6"/>
  <c r="M220" i="6"/>
  <c r="L220" i="6"/>
  <c r="M219" i="6"/>
  <c r="L219" i="6"/>
  <c r="M218" i="6"/>
  <c r="L218" i="6"/>
  <c r="M217" i="6"/>
  <c r="L217" i="6"/>
  <c r="M216" i="6"/>
  <c r="L216" i="6"/>
  <c r="M215" i="6"/>
  <c r="L215" i="6"/>
  <c r="M214" i="6"/>
  <c r="L214" i="6"/>
  <c r="M213" i="6"/>
  <c r="L213" i="6"/>
  <c r="M212" i="6"/>
  <c r="L212" i="6"/>
  <c r="M211" i="6"/>
  <c r="L211" i="6"/>
  <c r="M210" i="6"/>
  <c r="L210" i="6"/>
  <c r="M209" i="6"/>
  <c r="L209" i="6"/>
  <c r="M208" i="6"/>
  <c r="L208" i="6"/>
  <c r="M207" i="6"/>
  <c r="L207" i="6"/>
  <c r="M206" i="6"/>
  <c r="L206" i="6"/>
  <c r="M205" i="6"/>
  <c r="L205" i="6"/>
  <c r="M203" i="6"/>
  <c r="L203" i="6"/>
  <c r="M202" i="6"/>
  <c r="L202" i="6"/>
  <c r="M201" i="6"/>
  <c r="L201" i="6"/>
  <c r="M200" i="6"/>
  <c r="L200" i="6"/>
  <c r="M199" i="6"/>
  <c r="L199" i="6"/>
  <c r="M198" i="6"/>
  <c r="L198" i="6"/>
  <c r="M197" i="6"/>
  <c r="L197" i="6"/>
  <c r="M196" i="6"/>
  <c r="L196" i="6"/>
  <c r="M195" i="6"/>
  <c r="L195" i="6"/>
  <c r="M193" i="6"/>
  <c r="L193" i="6"/>
  <c r="M192" i="6"/>
  <c r="L192" i="6"/>
  <c r="M191" i="6"/>
  <c r="L191" i="6"/>
  <c r="M190" i="6"/>
  <c r="L190" i="6"/>
  <c r="M189" i="6"/>
  <c r="L189" i="6"/>
  <c r="M188" i="6"/>
  <c r="L188" i="6"/>
  <c r="M187" i="6"/>
  <c r="L187" i="6"/>
  <c r="M186" i="6"/>
  <c r="L186" i="6"/>
  <c r="M185" i="6"/>
  <c r="L185" i="6"/>
  <c r="M184" i="6"/>
  <c r="L184" i="6"/>
  <c r="M183" i="6"/>
  <c r="L183" i="6"/>
  <c r="M182" i="6"/>
  <c r="L182" i="6"/>
  <c r="M181" i="6"/>
  <c r="L181" i="6"/>
  <c r="M180" i="6"/>
  <c r="L180" i="6"/>
  <c r="M179" i="6"/>
  <c r="L179" i="6"/>
  <c r="M178" i="6"/>
  <c r="L178" i="6"/>
  <c r="M177" i="6"/>
  <c r="L177" i="6"/>
  <c r="M176" i="6"/>
  <c r="L176" i="6"/>
  <c r="M175" i="6"/>
  <c r="L175" i="6"/>
  <c r="M174" i="6"/>
  <c r="L174" i="6"/>
  <c r="M173" i="6"/>
  <c r="L173" i="6"/>
  <c r="M172" i="6"/>
  <c r="L172" i="6"/>
  <c r="M171" i="6"/>
  <c r="L171" i="6"/>
  <c r="M170" i="6"/>
  <c r="L170" i="6"/>
  <c r="M169" i="6"/>
  <c r="L169" i="6"/>
  <c r="M168" i="6"/>
  <c r="L168" i="6"/>
  <c r="M167" i="6"/>
  <c r="L167" i="6"/>
  <c r="M166" i="6"/>
  <c r="L166" i="6"/>
  <c r="M165" i="6"/>
  <c r="L165" i="6"/>
  <c r="M164" i="6"/>
  <c r="L164" i="6"/>
  <c r="M163" i="6"/>
  <c r="L163" i="6"/>
  <c r="M162" i="6"/>
  <c r="L162" i="6"/>
  <c r="M161" i="6"/>
  <c r="L161" i="6"/>
  <c r="M160" i="6"/>
  <c r="L160" i="6"/>
  <c r="M159" i="6"/>
  <c r="L159" i="6"/>
  <c r="M158" i="6"/>
  <c r="L158" i="6"/>
  <c r="M157" i="6"/>
  <c r="L157" i="6"/>
  <c r="M156" i="6"/>
  <c r="L156" i="6"/>
  <c r="M155" i="6"/>
  <c r="L155" i="6"/>
  <c r="M154" i="6"/>
  <c r="L154" i="6"/>
  <c r="M153" i="6"/>
  <c r="L153" i="6"/>
  <c r="M152" i="6"/>
  <c r="L152" i="6"/>
  <c r="M151" i="6"/>
  <c r="L151" i="6"/>
  <c r="M150" i="6"/>
  <c r="L150" i="6"/>
  <c r="M149" i="6"/>
  <c r="L149" i="6"/>
  <c r="M148" i="6"/>
  <c r="L148" i="6"/>
  <c r="M147" i="6"/>
  <c r="L147" i="6"/>
  <c r="M146" i="6"/>
  <c r="L146" i="6"/>
  <c r="M145" i="6"/>
  <c r="L145" i="6"/>
  <c r="M144" i="6"/>
  <c r="L144" i="6"/>
  <c r="M143" i="6"/>
  <c r="L143" i="6"/>
  <c r="M142" i="6"/>
  <c r="L142" i="6"/>
  <c r="M140" i="6"/>
  <c r="L140" i="6"/>
  <c r="M139" i="6"/>
  <c r="L139" i="6"/>
  <c r="M138" i="6"/>
  <c r="L138" i="6"/>
  <c r="M137" i="6"/>
  <c r="L137" i="6"/>
  <c r="M136" i="6"/>
  <c r="L136" i="6"/>
  <c r="M135" i="6"/>
  <c r="L135" i="6"/>
  <c r="M134" i="6"/>
  <c r="L134" i="6"/>
  <c r="M133" i="6"/>
  <c r="L133" i="6"/>
  <c r="M132" i="6"/>
  <c r="L132" i="6"/>
  <c r="M131" i="6"/>
  <c r="L131" i="6"/>
  <c r="M130" i="6"/>
  <c r="L130" i="6"/>
  <c r="M129" i="6"/>
  <c r="L129" i="6"/>
  <c r="M128" i="6"/>
  <c r="L128" i="6"/>
  <c r="M127" i="6"/>
  <c r="L127" i="6"/>
  <c r="M126" i="6"/>
  <c r="L126" i="6"/>
  <c r="M125" i="6"/>
  <c r="L125" i="6"/>
  <c r="M124" i="6"/>
  <c r="L124" i="6"/>
  <c r="M123" i="6"/>
  <c r="L123" i="6"/>
  <c r="M122" i="6"/>
  <c r="L122" i="6"/>
  <c r="M121" i="6"/>
  <c r="L121" i="6"/>
  <c r="M120" i="6"/>
  <c r="L120" i="6"/>
  <c r="M119" i="6"/>
  <c r="L119" i="6"/>
  <c r="M118" i="6"/>
  <c r="L118" i="6"/>
  <c r="M117" i="6"/>
  <c r="L117" i="6"/>
  <c r="M116" i="6"/>
  <c r="L116" i="6"/>
  <c r="M115" i="6"/>
  <c r="L115" i="6"/>
  <c r="M114" i="6"/>
  <c r="L114" i="6"/>
  <c r="M113" i="6"/>
  <c r="L113" i="6"/>
  <c r="M112" i="6"/>
  <c r="L112" i="6"/>
  <c r="M111" i="6"/>
  <c r="L111" i="6"/>
  <c r="M110" i="6"/>
  <c r="L110" i="6"/>
  <c r="M109" i="6"/>
  <c r="L109" i="6"/>
  <c r="M108" i="6"/>
  <c r="L108" i="6"/>
  <c r="M107" i="6"/>
  <c r="L107" i="6"/>
  <c r="M106" i="6"/>
  <c r="L106" i="6"/>
  <c r="M105" i="6"/>
  <c r="L105" i="6"/>
  <c r="M104" i="6"/>
  <c r="L104" i="6"/>
  <c r="M103" i="6"/>
  <c r="L103" i="6"/>
  <c r="M102" i="6"/>
  <c r="L102" i="6"/>
  <c r="M101" i="6"/>
  <c r="L101" i="6"/>
  <c r="M100" i="6"/>
  <c r="L100" i="6"/>
  <c r="M99" i="6"/>
  <c r="L99" i="6"/>
  <c r="M98" i="6"/>
  <c r="L98" i="6"/>
  <c r="M97" i="6"/>
  <c r="L97" i="6"/>
  <c r="M96" i="6"/>
  <c r="L96" i="6"/>
  <c r="M95" i="6"/>
  <c r="L95" i="6"/>
  <c r="M94" i="6"/>
  <c r="L94" i="6"/>
  <c r="M93" i="6"/>
  <c r="L93" i="6"/>
  <c r="M92" i="6"/>
  <c r="L92" i="6"/>
  <c r="M91" i="6"/>
  <c r="L91" i="6"/>
  <c r="M90" i="6"/>
  <c r="L90" i="6"/>
  <c r="M89" i="6"/>
  <c r="L89" i="6"/>
  <c r="M88" i="6"/>
  <c r="L88" i="6"/>
  <c r="M87" i="6"/>
  <c r="L87" i="6"/>
  <c r="M86" i="6"/>
  <c r="L86" i="6"/>
  <c r="M85" i="6"/>
  <c r="L85" i="6"/>
  <c r="M84" i="6"/>
  <c r="L84" i="6"/>
  <c r="M82" i="6"/>
  <c r="L82" i="6"/>
  <c r="M81" i="6"/>
  <c r="L81" i="6"/>
  <c r="M80" i="6"/>
  <c r="L80" i="6"/>
  <c r="M79" i="6"/>
  <c r="L79" i="6"/>
  <c r="M78" i="6"/>
  <c r="L78" i="6"/>
  <c r="M77" i="6"/>
  <c r="L77" i="6"/>
  <c r="M76" i="6"/>
  <c r="L76" i="6"/>
  <c r="M75" i="6"/>
  <c r="L75" i="6"/>
  <c r="M74" i="6"/>
  <c r="L74" i="6"/>
  <c r="M73" i="6"/>
  <c r="L73" i="6"/>
  <c r="M72" i="6"/>
  <c r="L72" i="6"/>
  <c r="M71" i="6"/>
  <c r="L71" i="6"/>
  <c r="M70" i="6"/>
  <c r="L70" i="6"/>
  <c r="M69" i="6"/>
  <c r="L69" i="6"/>
  <c r="M68" i="6"/>
  <c r="L68" i="6"/>
  <c r="M67" i="6"/>
  <c r="L67" i="6"/>
  <c r="M66" i="6"/>
  <c r="L66" i="6"/>
  <c r="M65" i="6"/>
  <c r="L65" i="6"/>
  <c r="M64" i="6"/>
  <c r="L64" i="6"/>
  <c r="M63" i="6"/>
  <c r="L63" i="6"/>
  <c r="M62" i="6"/>
  <c r="L62" i="6"/>
  <c r="M61" i="6"/>
  <c r="L61" i="6"/>
  <c r="M60" i="6"/>
  <c r="L60" i="6"/>
  <c r="M59" i="6"/>
  <c r="L59" i="6"/>
  <c r="M58" i="6"/>
  <c r="L58" i="6"/>
  <c r="M57" i="6"/>
  <c r="L57" i="6"/>
  <c r="M56" i="6"/>
  <c r="L56" i="6"/>
  <c r="M55" i="6"/>
  <c r="L55" i="6"/>
  <c r="M54" i="6"/>
  <c r="L54" i="6"/>
  <c r="M53" i="6"/>
  <c r="L53" i="6"/>
  <c r="M52" i="6"/>
  <c r="L52" i="6"/>
  <c r="M51" i="6"/>
  <c r="L51" i="6"/>
  <c r="M50" i="6"/>
  <c r="L50" i="6"/>
  <c r="M48" i="6"/>
  <c r="L48" i="6"/>
  <c r="M47" i="6"/>
  <c r="L47" i="6"/>
  <c r="M46" i="6"/>
  <c r="O46" i="6" s="1"/>
  <c r="L46" i="6"/>
  <c r="M45" i="6"/>
  <c r="L45" i="6"/>
  <c r="M42" i="6"/>
  <c r="L42" i="6"/>
  <c r="M41" i="6"/>
  <c r="L41" i="6"/>
  <c r="M40" i="6"/>
  <c r="L40" i="6"/>
  <c r="M39" i="6"/>
  <c r="L39" i="6"/>
  <c r="P290" i="3"/>
  <c r="V290" i="3" s="1"/>
  <c r="P287" i="3"/>
  <c r="P302" i="3"/>
  <c r="P301" i="3"/>
  <c r="Q301" i="3" s="1"/>
  <c r="P300" i="3"/>
  <c r="P299" i="3"/>
  <c r="Q299" i="3" s="1"/>
  <c r="G299" i="5" s="1"/>
  <c r="P298" i="3"/>
  <c r="P297" i="3"/>
  <c r="Q297" i="3" s="1"/>
  <c r="R297" i="3" s="1"/>
  <c r="N297" i="8" s="1"/>
  <c r="P296" i="3"/>
  <c r="P295" i="3"/>
  <c r="Q295" i="3" s="1"/>
  <c r="M295" i="8" s="1"/>
  <c r="P294" i="3"/>
  <c r="P293" i="3"/>
  <c r="Q293" i="3" s="1"/>
  <c r="R293" i="3" s="1"/>
  <c r="N293" i="8" s="1"/>
  <c r="P292" i="3"/>
  <c r="P291" i="3"/>
  <c r="Q291" i="3" s="1"/>
  <c r="M291" i="8" s="1"/>
  <c r="P289" i="3"/>
  <c r="Q289" i="3" s="1"/>
  <c r="G289" i="5" s="1"/>
  <c r="P288" i="3"/>
  <c r="Q288" i="3" s="1"/>
  <c r="H288" i="6" s="1"/>
  <c r="Q287" i="3"/>
  <c r="H287" i="6" s="1"/>
  <c r="P286" i="3"/>
  <c r="P285" i="3"/>
  <c r="Q285" i="3" s="1"/>
  <c r="R285" i="3" s="1"/>
  <c r="N285" i="8" s="1"/>
  <c r="P284" i="3"/>
  <c r="P283" i="3"/>
  <c r="Q283" i="3" s="1"/>
  <c r="M283" i="8" s="1"/>
  <c r="P282" i="3"/>
  <c r="P281" i="3"/>
  <c r="Q281" i="3" s="1"/>
  <c r="R281" i="3" s="1"/>
  <c r="N281" i="8" s="1"/>
  <c r="P280" i="3"/>
  <c r="P279" i="3"/>
  <c r="Q279" i="3" s="1"/>
  <c r="M279" i="8" s="1"/>
  <c r="P278" i="3"/>
  <c r="P277" i="3"/>
  <c r="Q277" i="3" s="1"/>
  <c r="R277" i="3" s="1"/>
  <c r="N277" i="8" s="1"/>
  <c r="O278" i="3"/>
  <c r="L278" i="8" s="1"/>
  <c r="O279" i="3"/>
  <c r="L279" i="8" s="1"/>
  <c r="O280" i="3"/>
  <c r="O281" i="3"/>
  <c r="O282" i="3"/>
  <c r="L282" i="8" s="1"/>
  <c r="O283" i="3"/>
  <c r="L283" i="8" s="1"/>
  <c r="O284" i="3"/>
  <c r="O285" i="3"/>
  <c r="O286" i="3"/>
  <c r="L286" i="8" s="1"/>
  <c r="O287" i="3"/>
  <c r="L287" i="8" s="1"/>
  <c r="O288" i="3"/>
  <c r="L288" i="8" s="1"/>
  <c r="O289" i="3"/>
  <c r="O290" i="3"/>
  <c r="L290" i="8" s="1"/>
  <c r="O291" i="3"/>
  <c r="O292" i="3"/>
  <c r="O293" i="3"/>
  <c r="O294" i="3"/>
  <c r="O295" i="3"/>
  <c r="O296" i="3"/>
  <c r="O297" i="3"/>
  <c r="O298" i="3"/>
  <c r="O299" i="3"/>
  <c r="O300" i="3"/>
  <c r="O301" i="3"/>
  <c r="O302" i="3"/>
  <c r="O277" i="3"/>
  <c r="T302" i="3"/>
  <c r="T301" i="3"/>
  <c r="T300" i="3"/>
  <c r="T299" i="3"/>
  <c r="T298" i="3"/>
  <c r="T297" i="3"/>
  <c r="T296" i="3"/>
  <c r="T295" i="3"/>
  <c r="T294" i="3"/>
  <c r="T293" i="3"/>
  <c r="T292" i="3"/>
  <c r="T291" i="3"/>
  <c r="T290" i="3"/>
  <c r="T289" i="3"/>
  <c r="T288" i="3"/>
  <c r="T287" i="3"/>
  <c r="T286" i="3"/>
  <c r="T285" i="3"/>
  <c r="T284" i="3"/>
  <c r="T283" i="3"/>
  <c r="T282" i="3"/>
  <c r="T281" i="3"/>
  <c r="T280" i="3"/>
  <c r="T279" i="3"/>
  <c r="T278" i="3"/>
  <c r="T277" i="3"/>
  <c r="P87" i="3"/>
  <c r="Q87" i="3" s="1"/>
  <c r="E87" i="7" s="1"/>
  <c r="P86" i="3"/>
  <c r="Q86" i="3" s="1"/>
  <c r="G86" i="5" s="1"/>
  <c r="P85" i="3"/>
  <c r="Q85" i="3" s="1"/>
  <c r="P84" i="3"/>
  <c r="Q84" i="3" s="1"/>
  <c r="R84" i="3" s="1"/>
  <c r="P193" i="3"/>
  <c r="Q193" i="3" s="1"/>
  <c r="H193" i="6" s="1"/>
  <c r="P192" i="3"/>
  <c r="Q192" i="3" s="1"/>
  <c r="M192" i="8" s="1"/>
  <c r="P191" i="3"/>
  <c r="Q191" i="3" s="1"/>
  <c r="R191" i="3" s="1"/>
  <c r="N191" i="8" s="1"/>
  <c r="P190" i="3"/>
  <c r="Q190" i="3" s="1"/>
  <c r="E190" i="7" s="1"/>
  <c r="P189" i="3"/>
  <c r="Q189" i="3" s="1"/>
  <c r="M189" i="8" s="1"/>
  <c r="P188" i="3"/>
  <c r="Q188" i="3" s="1"/>
  <c r="P187" i="3"/>
  <c r="Q187" i="3" s="1"/>
  <c r="M187" i="8" s="1"/>
  <c r="P186" i="3"/>
  <c r="Q186" i="3" s="1"/>
  <c r="E186" i="7" s="1"/>
  <c r="P185" i="3"/>
  <c r="Q185" i="3" s="1"/>
  <c r="H185" i="6" s="1"/>
  <c r="P184" i="3"/>
  <c r="Q184" i="3" s="1"/>
  <c r="P183" i="3"/>
  <c r="Q183" i="3" s="1"/>
  <c r="R183" i="3" s="1"/>
  <c r="N183" i="8" s="1"/>
  <c r="P182" i="3"/>
  <c r="Q182" i="3" s="1"/>
  <c r="E182" i="7" s="1"/>
  <c r="P181" i="3"/>
  <c r="Q181" i="3" s="1"/>
  <c r="P180" i="3"/>
  <c r="Q180" i="3" s="1"/>
  <c r="R180" i="3" s="1"/>
  <c r="N180" i="8" s="1"/>
  <c r="P179" i="3"/>
  <c r="Q179" i="3" s="1"/>
  <c r="H179" i="6" s="1"/>
  <c r="P178" i="3"/>
  <c r="Q178" i="3" s="1"/>
  <c r="P177" i="3"/>
  <c r="Q177" i="3" s="1"/>
  <c r="M177" i="8" s="1"/>
  <c r="P176" i="3"/>
  <c r="Q176" i="3" s="1"/>
  <c r="R176" i="3" s="1"/>
  <c r="N176" i="8" s="1"/>
  <c r="P175" i="3"/>
  <c r="Q175" i="3" s="1"/>
  <c r="P174" i="3"/>
  <c r="Q174" i="3" s="1"/>
  <c r="E174" i="7" s="1"/>
  <c r="P173" i="3"/>
  <c r="Q173" i="3" s="1"/>
  <c r="R173" i="3" s="1"/>
  <c r="N173" i="8" s="1"/>
  <c r="P172" i="3"/>
  <c r="Q172" i="3" s="1"/>
  <c r="M172" i="8" s="1"/>
  <c r="P171" i="3"/>
  <c r="Q171" i="3" s="1"/>
  <c r="H171" i="6" s="1"/>
  <c r="P170" i="3"/>
  <c r="Q170" i="3" s="1"/>
  <c r="E170" i="7" s="1"/>
  <c r="P169" i="3"/>
  <c r="Q169" i="3" s="1"/>
  <c r="M169" i="8" s="1"/>
  <c r="P168" i="3"/>
  <c r="Q168" i="3" s="1"/>
  <c r="P167" i="3"/>
  <c r="Q167" i="3" s="1"/>
  <c r="P166" i="3"/>
  <c r="Q166" i="3" s="1"/>
  <c r="M166" i="8" s="1"/>
  <c r="P165" i="3"/>
  <c r="Q165" i="3" s="1"/>
  <c r="H165" i="6" s="1"/>
  <c r="P164" i="3"/>
  <c r="Q164" i="3" s="1"/>
  <c r="R164" i="3" s="1"/>
  <c r="N164" i="8" s="1"/>
  <c r="P163" i="3"/>
  <c r="Q163" i="3" s="1"/>
  <c r="P162" i="3"/>
  <c r="Q162" i="3" s="1"/>
  <c r="E162" i="7" s="1"/>
  <c r="P161" i="3"/>
  <c r="Q161" i="3" s="1"/>
  <c r="M161" i="8" s="1"/>
  <c r="P160" i="3"/>
  <c r="Q160" i="3" s="1"/>
  <c r="M160" i="8" s="1"/>
  <c r="P159" i="3"/>
  <c r="Q159" i="3" s="1"/>
  <c r="P158" i="3"/>
  <c r="Q158" i="3" s="1"/>
  <c r="E158" i="7" s="1"/>
  <c r="P157" i="3"/>
  <c r="Q157" i="3" s="1"/>
  <c r="H157" i="6" s="1"/>
  <c r="P156" i="3"/>
  <c r="Q156" i="3" s="1"/>
  <c r="P155" i="3"/>
  <c r="Q155" i="3" s="1"/>
  <c r="R155" i="3" s="1"/>
  <c r="N155" i="8" s="1"/>
  <c r="P154" i="3"/>
  <c r="Q154" i="3" s="1"/>
  <c r="H154" i="6" s="1"/>
  <c r="P153" i="3"/>
  <c r="Q153" i="3" s="1"/>
  <c r="M153" i="8" s="1"/>
  <c r="P152" i="3"/>
  <c r="Q152" i="3" s="1"/>
  <c r="P151" i="3"/>
  <c r="Q151" i="3" s="1"/>
  <c r="R151" i="3" s="1"/>
  <c r="N151" i="8" s="1"/>
  <c r="P150" i="3"/>
  <c r="Q150" i="3" s="1"/>
  <c r="E150" i="7" s="1"/>
  <c r="P149" i="3"/>
  <c r="Q149" i="3" s="1"/>
  <c r="H149" i="6" s="1"/>
  <c r="P148" i="3"/>
  <c r="Q148" i="3" s="1"/>
  <c r="R148" i="3" s="1"/>
  <c r="N148" i="8" s="1"/>
  <c r="P147" i="3"/>
  <c r="Q147" i="3" s="1"/>
  <c r="H147" i="6" s="1"/>
  <c r="P146" i="3"/>
  <c r="Q146" i="3" s="1"/>
  <c r="E146" i="7" s="1"/>
  <c r="P145" i="3"/>
  <c r="Q145" i="3" s="1"/>
  <c r="H145" i="6" s="1"/>
  <c r="Q144" i="3"/>
  <c r="R144" i="3" s="1"/>
  <c r="I144" i="6" s="1"/>
  <c r="Q143" i="3"/>
  <c r="H143" i="6" s="1"/>
  <c r="P142" i="3"/>
  <c r="Q142" i="3" s="1"/>
  <c r="H142" i="6" s="1"/>
  <c r="Q244" i="3"/>
  <c r="Q243" i="3"/>
  <c r="E243" i="7" s="1"/>
  <c r="P242" i="3"/>
  <c r="Q242" i="3" s="1"/>
  <c r="H242" i="6" s="1"/>
  <c r="P241" i="3"/>
  <c r="Q241" i="3" s="1"/>
  <c r="E241" i="7" s="1"/>
  <c r="P240" i="3"/>
  <c r="Q240" i="3" s="1"/>
  <c r="R240" i="3" s="1"/>
  <c r="N240" i="8" s="1"/>
  <c r="P239" i="3"/>
  <c r="Q239" i="3" s="1"/>
  <c r="G239" i="5" s="1"/>
  <c r="P238" i="3"/>
  <c r="Q238" i="3" s="1"/>
  <c r="P237" i="3"/>
  <c r="Q237" i="3" s="1"/>
  <c r="E237" i="7" s="1"/>
  <c r="P236" i="3"/>
  <c r="Q236" i="3" s="1"/>
  <c r="R236" i="3" s="1"/>
  <c r="Q235" i="3"/>
  <c r="G235" i="5" s="1"/>
  <c r="P234" i="3"/>
  <c r="Q234" i="3" s="1"/>
  <c r="M234" i="8" s="1"/>
  <c r="P233" i="3"/>
  <c r="Q233" i="3" s="1"/>
  <c r="P232" i="3"/>
  <c r="Q232" i="3" s="1"/>
  <c r="G232" i="5" s="1"/>
  <c r="P231" i="3"/>
  <c r="Q231" i="3" s="1"/>
  <c r="G231" i="5" s="1"/>
  <c r="P230" i="3"/>
  <c r="Q230" i="3" s="1"/>
  <c r="H230" i="6" s="1"/>
  <c r="P229" i="3"/>
  <c r="Q229" i="3" s="1"/>
  <c r="G229" i="5" s="1"/>
  <c r="P228" i="3"/>
  <c r="Q228" i="3" s="1"/>
  <c r="R228" i="3" s="1"/>
  <c r="N228" i="8" s="1"/>
  <c r="P227" i="3"/>
  <c r="Q227" i="3" s="1"/>
  <c r="H227" i="6" s="1"/>
  <c r="P226" i="3"/>
  <c r="Q226" i="3" s="1"/>
  <c r="H226" i="6" s="1"/>
  <c r="P225" i="3"/>
  <c r="Q225" i="3" s="1"/>
  <c r="G225" i="5" s="1"/>
  <c r="P224" i="3"/>
  <c r="Q224" i="3" s="1"/>
  <c r="R224" i="3" s="1"/>
  <c r="N224" i="8" s="1"/>
  <c r="Q223" i="3"/>
  <c r="E223" i="7" s="1"/>
  <c r="P222" i="3"/>
  <c r="Q222" i="3" s="1"/>
  <c r="Q221" i="3"/>
  <c r="E221" i="7" s="1"/>
  <c r="P220" i="3"/>
  <c r="Q220" i="3" s="1"/>
  <c r="P219" i="3"/>
  <c r="Q219" i="3" s="1"/>
  <c r="M219" i="8" s="1"/>
  <c r="Q218" i="3"/>
  <c r="H218" i="6" s="1"/>
  <c r="P217" i="3"/>
  <c r="Q217" i="3" s="1"/>
  <c r="E217" i="7" s="1"/>
  <c r="P216" i="3"/>
  <c r="Q216" i="3" s="1"/>
  <c r="P215" i="3"/>
  <c r="Q215" i="3" s="1"/>
  <c r="P214" i="3"/>
  <c r="Q214" i="3" s="1"/>
  <c r="Q213" i="3"/>
  <c r="R213" i="3" s="1"/>
  <c r="N213" i="8" s="1"/>
  <c r="P212" i="3"/>
  <c r="Q212" i="3" s="1"/>
  <c r="H212" i="6" s="1"/>
  <c r="P211" i="3"/>
  <c r="Q211" i="3" s="1"/>
  <c r="M211" i="8" s="1"/>
  <c r="P210" i="3"/>
  <c r="Q210" i="3" s="1"/>
  <c r="P209" i="3"/>
  <c r="Q209" i="3" s="1"/>
  <c r="E209" i="7" s="1"/>
  <c r="P208" i="3"/>
  <c r="Q208" i="3" s="1"/>
  <c r="H208" i="6" s="1"/>
  <c r="P207" i="3"/>
  <c r="Q207" i="3" s="1"/>
  <c r="P206" i="3"/>
  <c r="Q206" i="3" s="1"/>
  <c r="R206" i="3" s="1"/>
  <c r="N206" i="8" s="1"/>
  <c r="P205" i="3"/>
  <c r="Q205" i="3" s="1"/>
  <c r="R205" i="3" s="1"/>
  <c r="I205" i="6" s="1"/>
  <c r="Q42" i="3"/>
  <c r="H42" i="6" s="1"/>
  <c r="Q59" i="3"/>
  <c r="P82" i="6"/>
  <c r="P81" i="6"/>
  <c r="P80" i="6"/>
  <c r="P79" i="6"/>
  <c r="P78" i="6"/>
  <c r="P77" i="6"/>
  <c r="P76" i="6"/>
  <c r="P75" i="6"/>
  <c r="P74" i="6"/>
  <c r="P73" i="6"/>
  <c r="P72" i="6"/>
  <c r="P71" i="6"/>
  <c r="P70" i="6"/>
  <c r="P69" i="6"/>
  <c r="P68" i="6"/>
  <c r="P67" i="6"/>
  <c r="P66" i="6"/>
  <c r="P65" i="6"/>
  <c r="P64" i="6"/>
  <c r="P63" i="6"/>
  <c r="P62" i="6"/>
  <c r="P61" i="6"/>
  <c r="P60" i="6"/>
  <c r="P59" i="6"/>
  <c r="P58" i="6"/>
  <c r="P57" i="6"/>
  <c r="P56" i="6"/>
  <c r="P55" i="6"/>
  <c r="P54" i="6"/>
  <c r="P53" i="6"/>
  <c r="P52" i="6"/>
  <c r="P51" i="6"/>
  <c r="P50" i="6"/>
  <c r="Q11" i="3"/>
  <c r="Q16" i="3"/>
  <c r="Q22" i="3"/>
  <c r="Q37" i="3"/>
  <c r="Q34" i="3"/>
  <c r="Q33" i="3"/>
  <c r="Q31" i="3"/>
  <c r="Q27" i="3"/>
  <c r="Q25" i="3"/>
  <c r="Q24" i="3"/>
  <c r="O48" i="3"/>
  <c r="L48" i="8" s="1"/>
  <c r="P40" i="3"/>
  <c r="P39" i="3"/>
  <c r="Q39" i="3" s="1"/>
  <c r="H39" i="6" s="1"/>
  <c r="P199" i="3"/>
  <c r="M37" i="6"/>
  <c r="L37" i="6"/>
  <c r="N37" i="6" s="1"/>
  <c r="M36" i="6"/>
  <c r="O36" i="6" s="1"/>
  <c r="L36" i="6"/>
  <c r="M35" i="6"/>
  <c r="L35" i="6"/>
  <c r="N35" i="6" s="1"/>
  <c r="M34" i="6"/>
  <c r="O34" i="6" s="1"/>
  <c r="L34" i="6"/>
  <c r="M33" i="6"/>
  <c r="L33" i="6"/>
  <c r="N33" i="6" s="1"/>
  <c r="M32" i="6"/>
  <c r="O32" i="6" s="1"/>
  <c r="L32" i="6"/>
  <c r="M31" i="6"/>
  <c r="L31" i="6"/>
  <c r="N31" i="6" s="1"/>
  <c r="M30" i="6"/>
  <c r="O30" i="6" s="1"/>
  <c r="L30" i="6"/>
  <c r="M29" i="6"/>
  <c r="L29" i="6"/>
  <c r="N29" i="6" s="1"/>
  <c r="M28" i="6"/>
  <c r="O28" i="6" s="1"/>
  <c r="L28" i="6"/>
  <c r="M27" i="6"/>
  <c r="L27" i="6"/>
  <c r="N27" i="6" s="1"/>
  <c r="M26" i="6"/>
  <c r="L26" i="6"/>
  <c r="M25" i="6"/>
  <c r="L25" i="6"/>
  <c r="N25" i="6" s="1"/>
  <c r="M24" i="6"/>
  <c r="O24" i="6" s="1"/>
  <c r="L24" i="6"/>
  <c r="M23" i="6"/>
  <c r="L23" i="6"/>
  <c r="N23" i="6" s="1"/>
  <c r="M22" i="6"/>
  <c r="O22" i="6" s="1"/>
  <c r="L22" i="6"/>
  <c r="M21" i="6"/>
  <c r="L21" i="6"/>
  <c r="N21" i="6" s="1"/>
  <c r="M20" i="6"/>
  <c r="O20" i="6" s="1"/>
  <c r="L20" i="6"/>
  <c r="M19" i="6"/>
  <c r="L19" i="6"/>
  <c r="N19" i="6" s="1"/>
  <c r="M18" i="6"/>
  <c r="L18" i="6"/>
  <c r="M17" i="6"/>
  <c r="L17" i="6"/>
  <c r="N17" i="6" s="1"/>
  <c r="M16" i="6"/>
  <c r="O16" i="6" s="1"/>
  <c r="L16" i="6"/>
  <c r="M15" i="6"/>
  <c r="L15" i="6"/>
  <c r="N15" i="6" s="1"/>
  <c r="M14" i="6"/>
  <c r="O14" i="6" s="1"/>
  <c r="L14" i="6"/>
  <c r="M13" i="6"/>
  <c r="L13" i="6"/>
  <c r="M12" i="6"/>
  <c r="L12" i="6"/>
  <c r="M11" i="6"/>
  <c r="L11" i="6"/>
  <c r="N11" i="6" s="1"/>
  <c r="O47" i="3"/>
  <c r="L47" i="8" s="1"/>
  <c r="O307" i="3"/>
  <c r="O305" i="3"/>
  <c r="L305" i="8" s="1"/>
  <c r="O304" i="3"/>
  <c r="N268" i="3"/>
  <c r="O268" i="3" s="1"/>
  <c r="L268" i="8" s="1"/>
  <c r="AG268" i="8" s="1"/>
  <c r="O269" i="3"/>
  <c r="L269" i="8" s="1"/>
  <c r="N270" i="3"/>
  <c r="O270" i="3" s="1"/>
  <c r="L270" i="8" s="1"/>
  <c r="O271" i="3"/>
  <c r="N272" i="3"/>
  <c r="O272" i="3" s="1"/>
  <c r="O273" i="3"/>
  <c r="L273" i="8" s="1"/>
  <c r="N274" i="3"/>
  <c r="O274" i="3" s="1"/>
  <c r="L274" i="8" s="1"/>
  <c r="O275" i="3"/>
  <c r="O263" i="3"/>
  <c r="L263" i="8" s="1"/>
  <c r="O264" i="3"/>
  <c r="L264" i="8" s="1"/>
  <c r="O265" i="3"/>
  <c r="O266" i="3"/>
  <c r="O267" i="3"/>
  <c r="L267" i="8" s="1"/>
  <c r="O259" i="3"/>
  <c r="L259" i="8" s="1"/>
  <c r="N260" i="3"/>
  <c r="O260" i="3"/>
  <c r="N261" i="3"/>
  <c r="O261" i="3" s="1"/>
  <c r="L261" i="8" s="1"/>
  <c r="O262" i="3"/>
  <c r="L262" i="8" s="1"/>
  <c r="O248" i="3"/>
  <c r="N249" i="3"/>
  <c r="O249" i="3"/>
  <c r="N250" i="3"/>
  <c r="O250" i="3" s="1"/>
  <c r="N251" i="3"/>
  <c r="O251" i="3"/>
  <c r="L251" i="8" s="1"/>
  <c r="N252" i="3"/>
  <c r="O252" i="3" s="1"/>
  <c r="O253" i="3"/>
  <c r="L253" i="8" s="1"/>
  <c r="O254" i="3"/>
  <c r="O255" i="3"/>
  <c r="O256" i="3"/>
  <c r="O257" i="3"/>
  <c r="L257" i="8" s="1"/>
  <c r="O258" i="3"/>
  <c r="N247" i="3"/>
  <c r="O247" i="3" s="1"/>
  <c r="N246" i="3"/>
  <c r="O246" i="3"/>
  <c r="O238" i="3"/>
  <c r="L238" i="8" s="1"/>
  <c r="O239" i="3"/>
  <c r="N240" i="3"/>
  <c r="O240" i="3" s="1"/>
  <c r="L240" i="8" s="1"/>
  <c r="AG240" i="8" s="1"/>
  <c r="O241" i="3"/>
  <c r="O242" i="3"/>
  <c r="N237" i="3"/>
  <c r="O237" i="3"/>
  <c r="L237" i="8" s="1"/>
  <c r="O234" i="3"/>
  <c r="L234" i="8" s="1"/>
  <c r="N230" i="3"/>
  <c r="O230" i="3" s="1"/>
  <c r="L230" i="8" s="1"/>
  <c r="N224" i="3"/>
  <c r="O224" i="3" s="1"/>
  <c r="L224" i="8" s="1"/>
  <c r="N222" i="3"/>
  <c r="O222" i="3" s="1"/>
  <c r="L222" i="8" s="1"/>
  <c r="O220" i="3"/>
  <c r="O218" i="3"/>
  <c r="L218" i="8" s="1"/>
  <c r="O216" i="3"/>
  <c r="L216" i="8" s="1"/>
  <c r="N215" i="3"/>
  <c r="O215" i="3" s="1"/>
  <c r="L215" i="8" s="1"/>
  <c r="AG215" i="8" s="1"/>
  <c r="O214" i="3"/>
  <c r="L214" i="8" s="1"/>
  <c r="O212" i="3"/>
  <c r="O211" i="3"/>
  <c r="L211" i="8" s="1"/>
  <c r="O209" i="3"/>
  <c r="N201" i="3"/>
  <c r="O201" i="3" s="1"/>
  <c r="L201" i="8" s="1"/>
  <c r="AG201" i="8" s="1"/>
  <c r="N178" i="3"/>
  <c r="O178" i="3" s="1"/>
  <c r="O177" i="3"/>
  <c r="N171" i="3"/>
  <c r="O171" i="3" s="1"/>
  <c r="L171" i="8" s="1"/>
  <c r="N127" i="3"/>
  <c r="O127" i="3" s="1"/>
  <c r="L127" i="8" s="1"/>
  <c r="O100" i="3"/>
  <c r="O96" i="3"/>
  <c r="L96" i="8" s="1"/>
  <c r="N91" i="3"/>
  <c r="O91" i="3" s="1"/>
  <c r="L91" i="8" s="1"/>
  <c r="O90" i="3"/>
  <c r="L90" i="8" s="1"/>
  <c r="O80" i="3"/>
  <c r="O69" i="3"/>
  <c r="O70" i="3"/>
  <c r="L70" i="8" s="1"/>
  <c r="O71" i="3"/>
  <c r="L71" i="8" s="1"/>
  <c r="O72" i="3"/>
  <c r="O68" i="3"/>
  <c r="N66" i="3"/>
  <c r="O66" i="3" s="1"/>
  <c r="L66" i="8" s="1"/>
  <c r="AG66" i="8" s="1"/>
  <c r="O65" i="3"/>
  <c r="L65" i="8" s="1"/>
  <c r="O63" i="3"/>
  <c r="O33" i="3"/>
  <c r="L33" i="8" s="1"/>
  <c r="O34" i="3"/>
  <c r="L34" i="8" s="1"/>
  <c r="O35" i="3"/>
  <c r="L35" i="8" s="1"/>
  <c r="O32" i="3"/>
  <c r="N58" i="3"/>
  <c r="O58" i="3" s="1"/>
  <c r="L58" i="8" s="1"/>
  <c r="AG58" i="8" s="1"/>
  <c r="O29" i="3"/>
  <c r="L29" i="8" s="1"/>
  <c r="O28" i="3"/>
  <c r="O12" i="3"/>
  <c r="L12" i="8" s="1"/>
  <c r="O13" i="3"/>
  <c r="O14" i="3"/>
  <c r="L14" i="8" s="1"/>
  <c r="O15" i="3"/>
  <c r="O16" i="3"/>
  <c r="L16" i="8" s="1"/>
  <c r="O17" i="3"/>
  <c r="L17" i="8" s="1"/>
  <c r="O18" i="3"/>
  <c r="L18" i="8" s="1"/>
  <c r="O19" i="3"/>
  <c r="O20" i="3"/>
  <c r="L20" i="8" s="1"/>
  <c r="O21" i="3"/>
  <c r="O22" i="3"/>
  <c r="L22" i="8" s="1"/>
  <c r="O23" i="3"/>
  <c r="O24" i="3"/>
  <c r="L24" i="8" s="1"/>
  <c r="O25" i="3"/>
  <c r="O11" i="3"/>
  <c r="L11" i="8" s="1"/>
  <c r="L310" i="3"/>
  <c r="K310" i="3"/>
  <c r="J310" i="3"/>
  <c r="I310" i="3"/>
  <c r="G310" i="6" s="1"/>
  <c r="H310" i="3"/>
  <c r="L309" i="3"/>
  <c r="K309" i="3"/>
  <c r="I309" i="8" s="1"/>
  <c r="J309" i="3"/>
  <c r="D309" i="7" s="1"/>
  <c r="I309" i="3"/>
  <c r="H309" i="3"/>
  <c r="L308" i="3"/>
  <c r="K308" i="3"/>
  <c r="J308" i="3"/>
  <c r="I308" i="3"/>
  <c r="H308" i="3"/>
  <c r="F308" i="5" s="1"/>
  <c r="L307" i="3"/>
  <c r="K307" i="3"/>
  <c r="I307" i="8" s="1"/>
  <c r="J307" i="3"/>
  <c r="I307" i="3"/>
  <c r="H307" i="3"/>
  <c r="L306" i="3"/>
  <c r="K306" i="3"/>
  <c r="J306" i="3"/>
  <c r="I306" i="3"/>
  <c r="G306" i="6" s="1"/>
  <c r="H306" i="3"/>
  <c r="L305" i="3"/>
  <c r="K305" i="3"/>
  <c r="J305" i="3"/>
  <c r="D305" i="7" s="1"/>
  <c r="I305" i="3"/>
  <c r="H305" i="3"/>
  <c r="L304" i="3"/>
  <c r="K304" i="3"/>
  <c r="J304" i="3"/>
  <c r="I304" i="3"/>
  <c r="H304" i="3"/>
  <c r="L303" i="3"/>
  <c r="K303" i="3"/>
  <c r="I303" i="8" s="1"/>
  <c r="J303" i="3"/>
  <c r="I303" i="3"/>
  <c r="H303" i="3"/>
  <c r="F303" i="5" s="1"/>
  <c r="L302" i="3"/>
  <c r="K302" i="3"/>
  <c r="J302" i="3"/>
  <c r="I302" i="3"/>
  <c r="G302" i="6" s="1"/>
  <c r="H302" i="3"/>
  <c r="L301" i="3"/>
  <c r="K301" i="3"/>
  <c r="J301" i="3"/>
  <c r="D301" i="7" s="1"/>
  <c r="I301" i="3"/>
  <c r="H301" i="3"/>
  <c r="L300" i="3"/>
  <c r="K300" i="3"/>
  <c r="I300" i="8" s="1"/>
  <c r="J300" i="3"/>
  <c r="I300" i="3"/>
  <c r="H300" i="3"/>
  <c r="F300" i="5" s="1"/>
  <c r="L299" i="3"/>
  <c r="K299" i="3"/>
  <c r="J299" i="3"/>
  <c r="I299" i="3"/>
  <c r="H299" i="3"/>
  <c r="F299" i="5" s="1"/>
  <c r="L298" i="3"/>
  <c r="K298" i="3"/>
  <c r="J298" i="3"/>
  <c r="I298" i="3"/>
  <c r="G298" i="6" s="1"/>
  <c r="H298" i="3"/>
  <c r="L297" i="3"/>
  <c r="K297" i="3"/>
  <c r="J297" i="3"/>
  <c r="D297" i="7" s="1"/>
  <c r="I297" i="3"/>
  <c r="H297" i="3"/>
  <c r="L296" i="3"/>
  <c r="G296" i="9" s="1"/>
  <c r="K296" i="3"/>
  <c r="I296" i="8" s="1"/>
  <c r="J296" i="3"/>
  <c r="I296" i="3"/>
  <c r="H296" i="3"/>
  <c r="F296" i="5" s="1"/>
  <c r="L295" i="3"/>
  <c r="K295" i="3"/>
  <c r="J295" i="3"/>
  <c r="I295" i="3"/>
  <c r="H295" i="3"/>
  <c r="L294" i="3"/>
  <c r="K294" i="3"/>
  <c r="J294" i="3"/>
  <c r="I294" i="3"/>
  <c r="G294" i="6" s="1"/>
  <c r="H294" i="3"/>
  <c r="L293" i="3"/>
  <c r="K293" i="3"/>
  <c r="J293" i="3"/>
  <c r="D293" i="7" s="1"/>
  <c r="I293" i="3"/>
  <c r="H293" i="3"/>
  <c r="L292" i="3"/>
  <c r="K292" i="3"/>
  <c r="I292" i="8" s="1"/>
  <c r="J292" i="3"/>
  <c r="I292" i="3"/>
  <c r="H292" i="3"/>
  <c r="F292" i="5" s="1"/>
  <c r="L291" i="3"/>
  <c r="K291" i="3"/>
  <c r="J291" i="3"/>
  <c r="I291" i="3"/>
  <c r="H291" i="3"/>
  <c r="L290" i="3"/>
  <c r="K290" i="3"/>
  <c r="J290" i="3"/>
  <c r="I290" i="3"/>
  <c r="G290" i="6" s="1"/>
  <c r="H290" i="3"/>
  <c r="L289" i="3"/>
  <c r="K289" i="3"/>
  <c r="J289" i="3"/>
  <c r="D289" i="7" s="1"/>
  <c r="I289" i="3"/>
  <c r="H289" i="3"/>
  <c r="L288" i="3"/>
  <c r="K288" i="3"/>
  <c r="I288" i="8" s="1"/>
  <c r="J288" i="3"/>
  <c r="I288" i="3"/>
  <c r="H288" i="3"/>
  <c r="F288" i="5" s="1"/>
  <c r="L287" i="3"/>
  <c r="K287" i="3"/>
  <c r="J287" i="3"/>
  <c r="I287" i="3"/>
  <c r="H287" i="3"/>
  <c r="L286" i="3"/>
  <c r="K286" i="3"/>
  <c r="J286" i="3"/>
  <c r="I286" i="3"/>
  <c r="G286" i="6" s="1"/>
  <c r="H286" i="3"/>
  <c r="L285" i="3"/>
  <c r="K285" i="3"/>
  <c r="J285" i="3"/>
  <c r="D285" i="7" s="1"/>
  <c r="I285" i="3"/>
  <c r="H285" i="3"/>
  <c r="L284" i="3"/>
  <c r="K284" i="3"/>
  <c r="I284" i="8" s="1"/>
  <c r="J284" i="3"/>
  <c r="I284" i="3"/>
  <c r="H284" i="3"/>
  <c r="F284" i="5" s="1"/>
  <c r="L283" i="3"/>
  <c r="K283" i="3"/>
  <c r="J283" i="3"/>
  <c r="I283" i="3"/>
  <c r="H283" i="3"/>
  <c r="F283" i="5" s="1"/>
  <c r="L282" i="3"/>
  <c r="K282" i="3"/>
  <c r="J282" i="3"/>
  <c r="I282" i="3"/>
  <c r="G282" i="6" s="1"/>
  <c r="H282" i="3"/>
  <c r="L281" i="3"/>
  <c r="K281" i="3"/>
  <c r="J281" i="3"/>
  <c r="D281" i="7" s="1"/>
  <c r="I281" i="3"/>
  <c r="H281" i="3"/>
  <c r="L280" i="3"/>
  <c r="G280" i="9" s="1"/>
  <c r="K280" i="3"/>
  <c r="I280" i="8" s="1"/>
  <c r="J280" i="3"/>
  <c r="I280" i="3"/>
  <c r="H280" i="3"/>
  <c r="F280" i="5" s="1"/>
  <c r="L279" i="3"/>
  <c r="K279" i="3"/>
  <c r="J279" i="3"/>
  <c r="I279" i="3"/>
  <c r="H279" i="3"/>
  <c r="F279" i="5" s="1"/>
  <c r="L278" i="3"/>
  <c r="K278" i="3"/>
  <c r="J278" i="3"/>
  <c r="I278" i="3"/>
  <c r="G278" i="6" s="1"/>
  <c r="H278" i="3"/>
  <c r="L277" i="3"/>
  <c r="K277" i="3"/>
  <c r="J277" i="3"/>
  <c r="D277" i="7" s="1"/>
  <c r="I277" i="3"/>
  <c r="H277" i="3"/>
  <c r="L275" i="3"/>
  <c r="K275" i="3"/>
  <c r="I275" i="8" s="1"/>
  <c r="J275" i="3"/>
  <c r="I275" i="3"/>
  <c r="H275" i="3"/>
  <c r="F275" i="5" s="1"/>
  <c r="L274" i="3"/>
  <c r="K274" i="3"/>
  <c r="J274" i="3"/>
  <c r="I274" i="3"/>
  <c r="H274" i="3"/>
  <c r="L273" i="3"/>
  <c r="K273" i="3"/>
  <c r="J273" i="3"/>
  <c r="I273" i="3"/>
  <c r="G273" i="6" s="1"/>
  <c r="H273" i="3"/>
  <c r="L272" i="3"/>
  <c r="K272" i="3"/>
  <c r="J272" i="3"/>
  <c r="D272" i="7" s="1"/>
  <c r="I272" i="3"/>
  <c r="H272" i="3"/>
  <c r="L271" i="3"/>
  <c r="K271" i="3"/>
  <c r="I271" i="8" s="1"/>
  <c r="J271" i="3"/>
  <c r="I271" i="3"/>
  <c r="H271" i="3"/>
  <c r="F271" i="5" s="1"/>
  <c r="L270" i="3"/>
  <c r="K270" i="3"/>
  <c r="J270" i="3"/>
  <c r="I270" i="3"/>
  <c r="H270" i="3"/>
  <c r="L269" i="3"/>
  <c r="K269" i="3"/>
  <c r="J269" i="3"/>
  <c r="I269" i="3"/>
  <c r="G269" i="6" s="1"/>
  <c r="H269" i="3"/>
  <c r="L268" i="3"/>
  <c r="K268" i="3"/>
  <c r="J268" i="3"/>
  <c r="D268" i="7" s="1"/>
  <c r="I268" i="3"/>
  <c r="H268" i="3"/>
  <c r="L267" i="3"/>
  <c r="K267" i="3"/>
  <c r="I267" i="8" s="1"/>
  <c r="J267" i="3"/>
  <c r="I267" i="3"/>
  <c r="H267" i="3"/>
  <c r="F267" i="5" s="1"/>
  <c r="L266" i="3"/>
  <c r="K266" i="3"/>
  <c r="J266" i="3"/>
  <c r="I266" i="3"/>
  <c r="H266" i="3"/>
  <c r="L265" i="3"/>
  <c r="K265" i="3"/>
  <c r="J265" i="3"/>
  <c r="I265" i="3"/>
  <c r="G265" i="6" s="1"/>
  <c r="H265" i="3"/>
  <c r="L264" i="3"/>
  <c r="K264" i="3"/>
  <c r="J264" i="3"/>
  <c r="D264" i="7" s="1"/>
  <c r="I264" i="3"/>
  <c r="H264" i="3"/>
  <c r="L263" i="3"/>
  <c r="G263" i="9" s="1"/>
  <c r="K263" i="3"/>
  <c r="I263" i="8" s="1"/>
  <c r="J263" i="3"/>
  <c r="I263" i="3"/>
  <c r="H263" i="3"/>
  <c r="F263" i="5" s="1"/>
  <c r="L262" i="3"/>
  <c r="K262" i="3"/>
  <c r="J262" i="3"/>
  <c r="I262" i="3"/>
  <c r="H262" i="3"/>
  <c r="L261" i="3"/>
  <c r="K261" i="3"/>
  <c r="J261" i="3"/>
  <c r="I261" i="3"/>
  <c r="G261" i="6" s="1"/>
  <c r="H261" i="3"/>
  <c r="L260" i="3"/>
  <c r="K260" i="3"/>
  <c r="I260" i="8" s="1"/>
  <c r="J260" i="3"/>
  <c r="D260" i="7" s="1"/>
  <c r="I260" i="3"/>
  <c r="H260" i="3"/>
  <c r="L259" i="3"/>
  <c r="K259" i="3"/>
  <c r="I259" i="8" s="1"/>
  <c r="J259" i="3"/>
  <c r="I259" i="3"/>
  <c r="H259" i="3"/>
  <c r="F259" i="5" s="1"/>
  <c r="L258" i="3"/>
  <c r="K258" i="3"/>
  <c r="J258" i="3"/>
  <c r="I258" i="3"/>
  <c r="H258" i="3"/>
  <c r="L257" i="3"/>
  <c r="K257" i="3"/>
  <c r="J257" i="3"/>
  <c r="I257" i="3"/>
  <c r="G257" i="6" s="1"/>
  <c r="H257" i="3"/>
  <c r="L256" i="3"/>
  <c r="K256" i="3"/>
  <c r="J256" i="3"/>
  <c r="D256" i="7" s="1"/>
  <c r="I256" i="3"/>
  <c r="H256" i="3"/>
  <c r="L255" i="3"/>
  <c r="K255" i="3"/>
  <c r="I255" i="8" s="1"/>
  <c r="J255" i="3"/>
  <c r="I255" i="3"/>
  <c r="H255" i="3"/>
  <c r="F255" i="5" s="1"/>
  <c r="L254" i="3"/>
  <c r="K254" i="3"/>
  <c r="J254" i="3"/>
  <c r="I254" i="3"/>
  <c r="H254" i="3"/>
  <c r="L253" i="3"/>
  <c r="K253" i="3"/>
  <c r="J253" i="3"/>
  <c r="I253" i="3"/>
  <c r="G253" i="6" s="1"/>
  <c r="H253" i="3"/>
  <c r="L252" i="3"/>
  <c r="K252" i="3"/>
  <c r="J252" i="3"/>
  <c r="D252" i="7" s="1"/>
  <c r="I252" i="3"/>
  <c r="H252" i="3"/>
  <c r="L251" i="3"/>
  <c r="K251" i="3"/>
  <c r="I251" i="8" s="1"/>
  <c r="J251" i="3"/>
  <c r="I251" i="3"/>
  <c r="H251" i="3"/>
  <c r="F251" i="5" s="1"/>
  <c r="L250" i="3"/>
  <c r="K250" i="3"/>
  <c r="J250" i="3"/>
  <c r="I250" i="3"/>
  <c r="H250" i="3"/>
  <c r="L249" i="3"/>
  <c r="K249" i="3"/>
  <c r="J249" i="3"/>
  <c r="I249" i="3"/>
  <c r="G249" i="6" s="1"/>
  <c r="H249" i="3"/>
  <c r="L248" i="3"/>
  <c r="K248" i="3"/>
  <c r="J248" i="3"/>
  <c r="D248" i="7" s="1"/>
  <c r="I248" i="3"/>
  <c r="H248" i="3"/>
  <c r="L247" i="3"/>
  <c r="G247" i="9" s="1"/>
  <c r="K247" i="3"/>
  <c r="I247" i="8" s="1"/>
  <c r="J247" i="3"/>
  <c r="I247" i="3"/>
  <c r="H247" i="3"/>
  <c r="F247" i="5" s="1"/>
  <c r="L246" i="3"/>
  <c r="K246" i="3"/>
  <c r="J246" i="3"/>
  <c r="I246" i="3"/>
  <c r="H246" i="3"/>
  <c r="L244" i="3"/>
  <c r="K244" i="3"/>
  <c r="J244" i="3"/>
  <c r="I244" i="3"/>
  <c r="G244" i="6" s="1"/>
  <c r="H244" i="3"/>
  <c r="L243" i="3"/>
  <c r="K243" i="3"/>
  <c r="J243" i="3"/>
  <c r="D243" i="7" s="1"/>
  <c r="I243" i="3"/>
  <c r="H243" i="3"/>
  <c r="L242" i="3"/>
  <c r="K242" i="3"/>
  <c r="J242" i="3"/>
  <c r="I242" i="3"/>
  <c r="H242" i="3"/>
  <c r="L241" i="3"/>
  <c r="K241" i="3"/>
  <c r="I241" i="8" s="1"/>
  <c r="J241" i="3"/>
  <c r="I241" i="3"/>
  <c r="H241" i="3"/>
  <c r="F241" i="5" s="1"/>
  <c r="L240" i="3"/>
  <c r="K240" i="3"/>
  <c r="J240" i="3"/>
  <c r="I240" i="3"/>
  <c r="G240" i="6" s="1"/>
  <c r="H240" i="3"/>
  <c r="L239" i="3"/>
  <c r="K239" i="3"/>
  <c r="J239" i="3"/>
  <c r="D239" i="7" s="1"/>
  <c r="I239" i="3"/>
  <c r="H239" i="3"/>
  <c r="L238" i="3"/>
  <c r="K238" i="3"/>
  <c r="J238" i="3"/>
  <c r="I238" i="3"/>
  <c r="H238" i="3"/>
  <c r="F238" i="5" s="1"/>
  <c r="L237" i="3"/>
  <c r="K237" i="3"/>
  <c r="I237" i="8" s="1"/>
  <c r="J237" i="3"/>
  <c r="I237" i="3"/>
  <c r="H237" i="3"/>
  <c r="L236" i="3"/>
  <c r="K236" i="3"/>
  <c r="J236" i="3"/>
  <c r="I236" i="3"/>
  <c r="G236" i="6" s="1"/>
  <c r="H236" i="3"/>
  <c r="L235" i="3"/>
  <c r="K235" i="3"/>
  <c r="J235" i="3"/>
  <c r="D235" i="7" s="1"/>
  <c r="I235" i="3"/>
  <c r="H235" i="3"/>
  <c r="L234" i="3"/>
  <c r="K234" i="3"/>
  <c r="I234" i="8" s="1"/>
  <c r="J234" i="3"/>
  <c r="D234" i="7" s="1"/>
  <c r="I234" i="3"/>
  <c r="H234" i="3"/>
  <c r="F234" i="5" s="1"/>
  <c r="L233" i="3"/>
  <c r="K233" i="3"/>
  <c r="J233" i="3"/>
  <c r="I233" i="3"/>
  <c r="H233" i="3"/>
  <c r="F233" i="5" s="1"/>
  <c r="L232" i="3"/>
  <c r="K232" i="3"/>
  <c r="J232" i="3"/>
  <c r="I232" i="3"/>
  <c r="H232" i="3"/>
  <c r="L231" i="3"/>
  <c r="K231" i="3"/>
  <c r="J231" i="3"/>
  <c r="D231" i="7" s="1"/>
  <c r="I231" i="3"/>
  <c r="H231" i="3"/>
  <c r="L230" i="3"/>
  <c r="G230" i="9" s="1"/>
  <c r="K230" i="3"/>
  <c r="I230" i="8" s="1"/>
  <c r="J230" i="3"/>
  <c r="I230" i="3"/>
  <c r="H230" i="3"/>
  <c r="L229" i="3"/>
  <c r="K229" i="3"/>
  <c r="I229" i="8" s="1"/>
  <c r="J229" i="3"/>
  <c r="I229" i="3"/>
  <c r="H229" i="3"/>
  <c r="F229" i="5" s="1"/>
  <c r="L228" i="3"/>
  <c r="K228" i="3"/>
  <c r="J228" i="3"/>
  <c r="I228" i="3"/>
  <c r="G228" i="6" s="1"/>
  <c r="H228" i="3"/>
  <c r="L227" i="3"/>
  <c r="K227" i="3"/>
  <c r="J227" i="3"/>
  <c r="D227" i="7" s="1"/>
  <c r="I227" i="3"/>
  <c r="H227" i="3"/>
  <c r="L226" i="3"/>
  <c r="K226" i="3"/>
  <c r="J226" i="3"/>
  <c r="I226" i="3"/>
  <c r="H226" i="3"/>
  <c r="F226" i="5" s="1"/>
  <c r="L225" i="3"/>
  <c r="K225" i="3"/>
  <c r="J225" i="3"/>
  <c r="I225" i="3"/>
  <c r="H225" i="3"/>
  <c r="F225" i="5" s="1"/>
  <c r="L224" i="3"/>
  <c r="K224" i="3"/>
  <c r="J224" i="3"/>
  <c r="I224" i="3"/>
  <c r="G224" i="6" s="1"/>
  <c r="H224" i="3"/>
  <c r="L223" i="3"/>
  <c r="K223" i="3"/>
  <c r="J223" i="3"/>
  <c r="D223" i="7" s="1"/>
  <c r="I223" i="3"/>
  <c r="H223" i="3"/>
  <c r="L222" i="3"/>
  <c r="K222" i="3"/>
  <c r="I222" i="8" s="1"/>
  <c r="J222" i="3"/>
  <c r="D222" i="7" s="1"/>
  <c r="I222" i="3"/>
  <c r="H222" i="3"/>
  <c r="F222" i="5" s="1"/>
  <c r="L221" i="3"/>
  <c r="K221" i="3"/>
  <c r="J221" i="3"/>
  <c r="I221" i="3"/>
  <c r="H221" i="3"/>
  <c r="F221" i="5" s="1"/>
  <c r="L220" i="3"/>
  <c r="K220" i="3"/>
  <c r="J220" i="3"/>
  <c r="I220" i="3"/>
  <c r="G220" i="6" s="1"/>
  <c r="H220" i="3"/>
  <c r="L219" i="3"/>
  <c r="K219" i="3"/>
  <c r="J219" i="3"/>
  <c r="D219" i="7" s="1"/>
  <c r="I219" i="3"/>
  <c r="H219" i="3"/>
  <c r="L218" i="3"/>
  <c r="K218" i="3"/>
  <c r="I218" i="8" s="1"/>
  <c r="J218" i="3"/>
  <c r="I218" i="3"/>
  <c r="H218" i="3"/>
  <c r="F218" i="5" s="1"/>
  <c r="L217" i="3"/>
  <c r="K217" i="3"/>
  <c r="I217" i="8" s="1"/>
  <c r="J217" i="3"/>
  <c r="I217" i="3"/>
  <c r="H217" i="3"/>
  <c r="L216" i="3"/>
  <c r="K216" i="3"/>
  <c r="J216" i="3"/>
  <c r="I216" i="3"/>
  <c r="G216" i="6" s="1"/>
  <c r="H216" i="3"/>
  <c r="L215" i="3"/>
  <c r="K215" i="3"/>
  <c r="J215" i="3"/>
  <c r="D215" i="7" s="1"/>
  <c r="I215" i="3"/>
  <c r="H215" i="3"/>
  <c r="L214" i="3"/>
  <c r="G214" i="9" s="1"/>
  <c r="K214" i="3"/>
  <c r="I214" i="8" s="1"/>
  <c r="J214" i="3"/>
  <c r="D214" i="7" s="1"/>
  <c r="I214" i="3"/>
  <c r="H214" i="3"/>
  <c r="F214" i="5" s="1"/>
  <c r="L213" i="3"/>
  <c r="K213" i="3"/>
  <c r="I213" i="8" s="1"/>
  <c r="J213" i="3"/>
  <c r="I213" i="3"/>
  <c r="H213" i="3"/>
  <c r="F213" i="5" s="1"/>
  <c r="L212" i="3"/>
  <c r="K212" i="3"/>
  <c r="J212" i="3"/>
  <c r="I212" i="3"/>
  <c r="G212" i="6" s="1"/>
  <c r="H212" i="3"/>
  <c r="L211" i="3"/>
  <c r="K211" i="3"/>
  <c r="J211" i="3"/>
  <c r="D211" i="7" s="1"/>
  <c r="I211" i="3"/>
  <c r="H211" i="3"/>
  <c r="L210" i="3"/>
  <c r="K210" i="3"/>
  <c r="I210" i="8" s="1"/>
  <c r="J210" i="3"/>
  <c r="D210" i="7" s="1"/>
  <c r="I210" i="3"/>
  <c r="H210" i="3"/>
  <c r="L209" i="3"/>
  <c r="K209" i="3"/>
  <c r="I209" i="8" s="1"/>
  <c r="J209" i="3"/>
  <c r="I209" i="3"/>
  <c r="H209" i="3"/>
  <c r="F209" i="5" s="1"/>
  <c r="L208" i="3"/>
  <c r="K208" i="3"/>
  <c r="J208" i="3"/>
  <c r="I208" i="3"/>
  <c r="G208" i="6" s="1"/>
  <c r="H208" i="3"/>
  <c r="L207" i="3"/>
  <c r="K207" i="3"/>
  <c r="J207" i="3"/>
  <c r="D207" i="7" s="1"/>
  <c r="I207" i="3"/>
  <c r="H207" i="3"/>
  <c r="L206" i="3"/>
  <c r="K206" i="3"/>
  <c r="I206" i="8" s="1"/>
  <c r="J206" i="3"/>
  <c r="I206" i="3"/>
  <c r="H206" i="3"/>
  <c r="L205" i="3"/>
  <c r="K205" i="3"/>
  <c r="I205" i="8" s="1"/>
  <c r="J205" i="3"/>
  <c r="I205" i="3"/>
  <c r="H205" i="3"/>
  <c r="L203" i="3"/>
  <c r="K203" i="3"/>
  <c r="J203" i="3"/>
  <c r="I203" i="3"/>
  <c r="H203" i="3"/>
  <c r="L202" i="3"/>
  <c r="K202" i="3"/>
  <c r="J202" i="3"/>
  <c r="D202" i="7" s="1"/>
  <c r="I202" i="3"/>
  <c r="H202" i="3"/>
  <c r="L201" i="3"/>
  <c r="K201" i="3"/>
  <c r="J201" i="3"/>
  <c r="D201" i="7" s="1"/>
  <c r="I201" i="3"/>
  <c r="H201" i="3"/>
  <c r="F201" i="5" s="1"/>
  <c r="L200" i="3"/>
  <c r="K200" i="3"/>
  <c r="I200" i="8" s="1"/>
  <c r="J200" i="3"/>
  <c r="I200" i="3"/>
  <c r="H200" i="3"/>
  <c r="L199" i="3"/>
  <c r="K199" i="3"/>
  <c r="J199" i="3"/>
  <c r="I199" i="3"/>
  <c r="G199" i="6" s="1"/>
  <c r="H199" i="3"/>
  <c r="L198" i="3"/>
  <c r="K198" i="3"/>
  <c r="J198" i="3"/>
  <c r="D198" i="7" s="1"/>
  <c r="I198" i="3"/>
  <c r="H198" i="3"/>
  <c r="L197" i="3"/>
  <c r="G197" i="9" s="1"/>
  <c r="K197" i="3"/>
  <c r="I197" i="8" s="1"/>
  <c r="J197" i="3"/>
  <c r="D197" i="7" s="1"/>
  <c r="I197" i="3"/>
  <c r="H197" i="3"/>
  <c r="F197" i="5" s="1"/>
  <c r="L196" i="3"/>
  <c r="K196" i="3"/>
  <c r="I196" i="8" s="1"/>
  <c r="J196" i="3"/>
  <c r="I196" i="3"/>
  <c r="H196" i="3"/>
  <c r="L195" i="3"/>
  <c r="K195" i="3"/>
  <c r="J195" i="3"/>
  <c r="I195" i="3"/>
  <c r="G195" i="6" s="1"/>
  <c r="H195" i="3"/>
  <c r="L193" i="3"/>
  <c r="K193" i="3"/>
  <c r="J193" i="3"/>
  <c r="D193" i="7" s="1"/>
  <c r="I193" i="3"/>
  <c r="H193" i="3"/>
  <c r="L192" i="3"/>
  <c r="K192" i="3"/>
  <c r="I192" i="8" s="1"/>
  <c r="J192" i="3"/>
  <c r="I192" i="3"/>
  <c r="H192" i="3"/>
  <c r="F192" i="5" s="1"/>
  <c r="L191" i="3"/>
  <c r="K191" i="3"/>
  <c r="J191" i="3"/>
  <c r="I191" i="3"/>
  <c r="H191" i="3"/>
  <c r="F191" i="5" s="1"/>
  <c r="L190" i="3"/>
  <c r="K190" i="3"/>
  <c r="J190" i="3"/>
  <c r="I190" i="3"/>
  <c r="H190" i="3"/>
  <c r="L189" i="3"/>
  <c r="K189" i="3"/>
  <c r="J189" i="3"/>
  <c r="D189" i="7" s="1"/>
  <c r="I189" i="3"/>
  <c r="H189" i="3"/>
  <c r="L188" i="3"/>
  <c r="K188" i="3"/>
  <c r="J188" i="3"/>
  <c r="D188" i="7" s="1"/>
  <c r="I188" i="3"/>
  <c r="H188" i="3"/>
  <c r="L187" i="3"/>
  <c r="K187" i="3"/>
  <c r="I187" i="8" s="1"/>
  <c r="J187" i="3"/>
  <c r="I187" i="3"/>
  <c r="H187" i="3"/>
  <c r="F187" i="5" s="1"/>
  <c r="L186" i="3"/>
  <c r="K186" i="3"/>
  <c r="J186" i="3"/>
  <c r="I186" i="3"/>
  <c r="G186" i="6" s="1"/>
  <c r="H186" i="3"/>
  <c r="L185" i="3"/>
  <c r="K185" i="3"/>
  <c r="J185" i="3"/>
  <c r="D185" i="7" s="1"/>
  <c r="I185" i="3"/>
  <c r="H185" i="3"/>
  <c r="L184" i="3"/>
  <c r="K184" i="3"/>
  <c r="J184" i="3"/>
  <c r="D184" i="7" s="1"/>
  <c r="I184" i="3"/>
  <c r="H184" i="3"/>
  <c r="F184" i="5" s="1"/>
  <c r="L183" i="3"/>
  <c r="K183" i="3"/>
  <c r="I183" i="8" s="1"/>
  <c r="J183" i="3"/>
  <c r="I183" i="3"/>
  <c r="H183" i="3"/>
  <c r="L182" i="3"/>
  <c r="K182" i="3"/>
  <c r="J182" i="3"/>
  <c r="I182" i="3"/>
  <c r="G182" i="6" s="1"/>
  <c r="H182" i="3"/>
  <c r="L181" i="3"/>
  <c r="K181" i="3"/>
  <c r="J181" i="3"/>
  <c r="D181" i="7" s="1"/>
  <c r="I181" i="3"/>
  <c r="H181" i="3"/>
  <c r="L180" i="3"/>
  <c r="G180" i="9" s="1"/>
  <c r="K180" i="3"/>
  <c r="J180" i="3"/>
  <c r="D180" i="7" s="1"/>
  <c r="I180" i="3"/>
  <c r="H180" i="3"/>
  <c r="F180" i="5" s="1"/>
  <c r="L179" i="3"/>
  <c r="K179" i="3"/>
  <c r="J179" i="3"/>
  <c r="I179" i="3"/>
  <c r="H179" i="3"/>
  <c r="L178" i="3"/>
  <c r="K178" i="3"/>
  <c r="J178" i="3"/>
  <c r="I178" i="3"/>
  <c r="H178" i="3"/>
  <c r="L177" i="3"/>
  <c r="K177" i="3"/>
  <c r="J177" i="3"/>
  <c r="I177" i="3"/>
  <c r="H177" i="3"/>
  <c r="L176" i="3"/>
  <c r="K176" i="3"/>
  <c r="I176" i="8" s="1"/>
  <c r="J176" i="3"/>
  <c r="I176" i="3"/>
  <c r="H176" i="3"/>
  <c r="L175" i="3"/>
  <c r="K175" i="3"/>
  <c r="J175" i="3"/>
  <c r="I175" i="3"/>
  <c r="H175" i="3"/>
  <c r="F175" i="5" s="1"/>
  <c r="L174" i="3"/>
  <c r="K174" i="3"/>
  <c r="J174" i="3"/>
  <c r="I174" i="3"/>
  <c r="G174" i="6" s="1"/>
  <c r="H174" i="3"/>
  <c r="L173" i="3"/>
  <c r="K173" i="3"/>
  <c r="J173" i="3"/>
  <c r="D173" i="7" s="1"/>
  <c r="I173" i="3"/>
  <c r="H173" i="3"/>
  <c r="L172" i="3"/>
  <c r="K172" i="3"/>
  <c r="I172" i="8" s="1"/>
  <c r="J172" i="3"/>
  <c r="I172" i="3"/>
  <c r="H172" i="3"/>
  <c r="F172" i="5" s="1"/>
  <c r="L171" i="3"/>
  <c r="K171" i="3"/>
  <c r="J171" i="3"/>
  <c r="I171" i="3"/>
  <c r="H171" i="3"/>
  <c r="F171" i="5" s="1"/>
  <c r="L170" i="3"/>
  <c r="K170" i="3"/>
  <c r="J170" i="3"/>
  <c r="I170" i="3"/>
  <c r="H170" i="3"/>
  <c r="L169" i="3"/>
  <c r="K169" i="3"/>
  <c r="J169" i="3"/>
  <c r="D169" i="7" s="1"/>
  <c r="I169" i="3"/>
  <c r="H169" i="3"/>
  <c r="L168" i="3"/>
  <c r="K168" i="3"/>
  <c r="J168" i="3"/>
  <c r="D168" i="7" s="1"/>
  <c r="I168" i="3"/>
  <c r="H168" i="3"/>
  <c r="F168" i="5" s="1"/>
  <c r="L167" i="3"/>
  <c r="K167" i="3"/>
  <c r="I167" i="8" s="1"/>
  <c r="J167" i="3"/>
  <c r="I167" i="3"/>
  <c r="H167" i="3"/>
  <c r="F167" i="5" s="1"/>
  <c r="L166" i="3"/>
  <c r="K166" i="3"/>
  <c r="J166" i="3"/>
  <c r="I166" i="3"/>
  <c r="G166" i="6" s="1"/>
  <c r="H166" i="3"/>
  <c r="L165" i="3"/>
  <c r="K165" i="3"/>
  <c r="J165" i="3"/>
  <c r="D165" i="7" s="1"/>
  <c r="I165" i="3"/>
  <c r="H165" i="3"/>
  <c r="L164" i="3"/>
  <c r="G164" i="9" s="1"/>
  <c r="K164" i="3"/>
  <c r="J164" i="3"/>
  <c r="D164" i="7" s="1"/>
  <c r="I164" i="3"/>
  <c r="H164" i="3"/>
  <c r="F164" i="5" s="1"/>
  <c r="L163" i="3"/>
  <c r="K163" i="3"/>
  <c r="J163" i="3"/>
  <c r="I163" i="3"/>
  <c r="H163" i="3"/>
  <c r="F163" i="5" s="1"/>
  <c r="L162" i="3"/>
  <c r="K162" i="3"/>
  <c r="J162" i="3"/>
  <c r="I162" i="3"/>
  <c r="H162" i="3"/>
  <c r="L161" i="3"/>
  <c r="K161" i="3"/>
  <c r="J161" i="3"/>
  <c r="D161" i="7" s="1"/>
  <c r="I161" i="3"/>
  <c r="H161" i="3"/>
  <c r="L160" i="3"/>
  <c r="K160" i="3"/>
  <c r="I160" i="8" s="1"/>
  <c r="J160" i="3"/>
  <c r="I160" i="3"/>
  <c r="H160" i="3"/>
  <c r="F160" i="5" s="1"/>
  <c r="L159" i="3"/>
  <c r="K159" i="3"/>
  <c r="J159" i="3"/>
  <c r="I159" i="3"/>
  <c r="H159" i="3"/>
  <c r="F159" i="5" s="1"/>
  <c r="L158" i="3"/>
  <c r="K158" i="3"/>
  <c r="J158" i="3"/>
  <c r="I158" i="3"/>
  <c r="G158" i="6" s="1"/>
  <c r="H158" i="3"/>
  <c r="L157" i="3"/>
  <c r="K157" i="3"/>
  <c r="J157" i="3"/>
  <c r="D157" i="7" s="1"/>
  <c r="I157" i="3"/>
  <c r="H157" i="3"/>
  <c r="L156" i="3"/>
  <c r="K156" i="3"/>
  <c r="I156" i="8" s="1"/>
  <c r="J156" i="3"/>
  <c r="D156" i="7" s="1"/>
  <c r="I156" i="3"/>
  <c r="H156" i="3"/>
  <c r="F156" i="5" s="1"/>
  <c r="L155" i="3"/>
  <c r="K155" i="3"/>
  <c r="I155" i="8" s="1"/>
  <c r="J155" i="3"/>
  <c r="I155" i="3"/>
  <c r="H155" i="3"/>
  <c r="L154" i="3"/>
  <c r="K154" i="3"/>
  <c r="J154" i="3"/>
  <c r="I154" i="3"/>
  <c r="G154" i="6" s="1"/>
  <c r="H154" i="3"/>
  <c r="L153" i="3"/>
  <c r="K153" i="3"/>
  <c r="J153" i="3"/>
  <c r="D153" i="7" s="1"/>
  <c r="I153" i="3"/>
  <c r="H153" i="3"/>
  <c r="L152" i="3"/>
  <c r="K152" i="3"/>
  <c r="I152" i="8" s="1"/>
  <c r="J152" i="3"/>
  <c r="I152" i="3"/>
  <c r="H152" i="3"/>
  <c r="F152" i="5" s="1"/>
  <c r="L151" i="3"/>
  <c r="K151" i="3"/>
  <c r="I151" i="8" s="1"/>
  <c r="J151" i="3"/>
  <c r="I151" i="3"/>
  <c r="H151" i="3"/>
  <c r="L150" i="3"/>
  <c r="K150" i="3"/>
  <c r="J150" i="3"/>
  <c r="I150" i="3"/>
  <c r="G150" i="6" s="1"/>
  <c r="H150" i="3"/>
  <c r="L149" i="3"/>
  <c r="K149" i="3"/>
  <c r="J149" i="3"/>
  <c r="D149" i="7" s="1"/>
  <c r="I149" i="3"/>
  <c r="H149" i="3"/>
  <c r="L148" i="3"/>
  <c r="G148" i="9" s="1"/>
  <c r="K148" i="3"/>
  <c r="I148" i="8" s="1"/>
  <c r="J148" i="3"/>
  <c r="I148" i="3"/>
  <c r="H148" i="3"/>
  <c r="F148" i="5" s="1"/>
  <c r="L147" i="3"/>
  <c r="K147" i="3"/>
  <c r="I147" i="8" s="1"/>
  <c r="J147" i="3"/>
  <c r="I147" i="3"/>
  <c r="H147" i="3"/>
  <c r="F147" i="5" s="1"/>
  <c r="L146" i="3"/>
  <c r="K146" i="3"/>
  <c r="J146" i="3"/>
  <c r="I146" i="3"/>
  <c r="G146" i="6" s="1"/>
  <c r="H146" i="3"/>
  <c r="L145" i="3"/>
  <c r="K145" i="3"/>
  <c r="J145" i="3"/>
  <c r="D145" i="7" s="1"/>
  <c r="I145" i="3"/>
  <c r="H145" i="3"/>
  <c r="L144" i="3"/>
  <c r="K144" i="3"/>
  <c r="I144" i="8" s="1"/>
  <c r="J144" i="3"/>
  <c r="D144" i="7" s="1"/>
  <c r="I144" i="3"/>
  <c r="H144" i="3"/>
  <c r="F144" i="5" s="1"/>
  <c r="L143" i="3"/>
  <c r="K143" i="3"/>
  <c r="I143" i="8" s="1"/>
  <c r="J143" i="3"/>
  <c r="I143" i="3"/>
  <c r="H143" i="3"/>
  <c r="F143" i="5" s="1"/>
  <c r="L142" i="3"/>
  <c r="K142" i="3"/>
  <c r="J142" i="3"/>
  <c r="I142" i="3"/>
  <c r="H142" i="3"/>
  <c r="L140" i="3"/>
  <c r="K140" i="3"/>
  <c r="J140" i="3"/>
  <c r="D140" i="7" s="1"/>
  <c r="I140" i="3"/>
  <c r="H140" i="3"/>
  <c r="L139" i="3"/>
  <c r="K139" i="3"/>
  <c r="I139" i="8" s="1"/>
  <c r="J139" i="3"/>
  <c r="I139" i="3"/>
  <c r="H139" i="3"/>
  <c r="F139" i="5" s="1"/>
  <c r="L138" i="3"/>
  <c r="K138" i="3"/>
  <c r="J138" i="3"/>
  <c r="I138" i="3"/>
  <c r="H138" i="3"/>
  <c r="F138" i="5" s="1"/>
  <c r="L137" i="3"/>
  <c r="K137" i="3"/>
  <c r="J137" i="3"/>
  <c r="I137" i="3"/>
  <c r="G137" i="6" s="1"/>
  <c r="H137" i="3"/>
  <c r="L136" i="3"/>
  <c r="K136" i="3"/>
  <c r="J136" i="3"/>
  <c r="D136" i="7" s="1"/>
  <c r="I136" i="3"/>
  <c r="H136" i="3"/>
  <c r="L135" i="3"/>
  <c r="K135" i="3"/>
  <c r="I135" i="8" s="1"/>
  <c r="J135" i="3"/>
  <c r="I135" i="3"/>
  <c r="H135" i="3"/>
  <c r="F135" i="5" s="1"/>
  <c r="L134" i="3"/>
  <c r="K134" i="3"/>
  <c r="J134" i="3"/>
  <c r="I134" i="3"/>
  <c r="H134" i="3"/>
  <c r="F134" i="5" s="1"/>
  <c r="L133" i="3"/>
  <c r="K133" i="3"/>
  <c r="J133" i="3"/>
  <c r="I133" i="3"/>
  <c r="G133" i="6" s="1"/>
  <c r="H133" i="3"/>
  <c r="L132" i="3"/>
  <c r="K132" i="3"/>
  <c r="J132" i="3"/>
  <c r="D132" i="7" s="1"/>
  <c r="I132" i="3"/>
  <c r="H132" i="3"/>
  <c r="L131" i="3"/>
  <c r="G131" i="9" s="1"/>
  <c r="K131" i="3"/>
  <c r="I131" i="8" s="1"/>
  <c r="J131" i="3"/>
  <c r="I131" i="3"/>
  <c r="H131" i="3"/>
  <c r="F131" i="5" s="1"/>
  <c r="L130" i="3"/>
  <c r="K130" i="3"/>
  <c r="J130" i="3"/>
  <c r="I130" i="3"/>
  <c r="H130" i="3"/>
  <c r="F130" i="5" s="1"/>
  <c r="L129" i="3"/>
  <c r="K129" i="3"/>
  <c r="J129" i="3"/>
  <c r="I129" i="3"/>
  <c r="G129" i="6" s="1"/>
  <c r="H129" i="3"/>
  <c r="L128" i="3"/>
  <c r="K128" i="3"/>
  <c r="J128" i="3"/>
  <c r="D128" i="7" s="1"/>
  <c r="I128" i="3"/>
  <c r="H128" i="3"/>
  <c r="L127" i="3"/>
  <c r="K127" i="3"/>
  <c r="I127" i="8" s="1"/>
  <c r="J127" i="3"/>
  <c r="I127" i="3"/>
  <c r="H127" i="3"/>
  <c r="F127" i="5" s="1"/>
  <c r="L126" i="3"/>
  <c r="K126" i="3"/>
  <c r="J126" i="3"/>
  <c r="I126" i="3"/>
  <c r="H126" i="3"/>
  <c r="L125" i="3"/>
  <c r="K125" i="3"/>
  <c r="J125" i="3"/>
  <c r="I125" i="3"/>
  <c r="G125" i="6" s="1"/>
  <c r="H125" i="3"/>
  <c r="L124" i="3"/>
  <c r="K124" i="3"/>
  <c r="J124" i="3"/>
  <c r="D124" i="7" s="1"/>
  <c r="I124" i="3"/>
  <c r="H124" i="3"/>
  <c r="L123" i="3"/>
  <c r="K123" i="3"/>
  <c r="I123" i="8" s="1"/>
  <c r="J123" i="3"/>
  <c r="I123" i="3"/>
  <c r="H123" i="3"/>
  <c r="F123" i="5" s="1"/>
  <c r="L122" i="3"/>
  <c r="K122" i="3"/>
  <c r="J122" i="3"/>
  <c r="I122" i="3"/>
  <c r="H122" i="3"/>
  <c r="L121" i="3"/>
  <c r="K121" i="3"/>
  <c r="J121" i="3"/>
  <c r="I121" i="3"/>
  <c r="G121" i="6" s="1"/>
  <c r="H121" i="3"/>
  <c r="L120" i="3"/>
  <c r="K120" i="3"/>
  <c r="J120" i="3"/>
  <c r="D120" i="7" s="1"/>
  <c r="I120" i="3"/>
  <c r="H120" i="3"/>
  <c r="L119" i="3"/>
  <c r="K119" i="3"/>
  <c r="I119" i="8" s="1"/>
  <c r="J119" i="3"/>
  <c r="I119" i="3"/>
  <c r="H119" i="3"/>
  <c r="F119" i="5" s="1"/>
  <c r="L118" i="3"/>
  <c r="K118" i="3"/>
  <c r="J118" i="3"/>
  <c r="I118" i="3"/>
  <c r="H118" i="3"/>
  <c r="F118" i="5" s="1"/>
  <c r="L117" i="3"/>
  <c r="K117" i="3"/>
  <c r="J117" i="3"/>
  <c r="I117" i="3"/>
  <c r="H117" i="3"/>
  <c r="L116" i="3"/>
  <c r="K116" i="3"/>
  <c r="J116" i="3"/>
  <c r="D116" i="7" s="1"/>
  <c r="I116" i="3"/>
  <c r="H116" i="3"/>
  <c r="L115" i="3"/>
  <c r="G115" i="9" s="1"/>
  <c r="K115" i="3"/>
  <c r="I115" i="8" s="1"/>
  <c r="J115" i="3"/>
  <c r="I115" i="3"/>
  <c r="H115" i="3"/>
  <c r="F115" i="5" s="1"/>
  <c r="L114" i="3"/>
  <c r="K114" i="3"/>
  <c r="J114" i="3"/>
  <c r="I114" i="3"/>
  <c r="H114" i="3"/>
  <c r="F114" i="5" s="1"/>
  <c r="L113" i="3"/>
  <c r="K113" i="3"/>
  <c r="J113" i="3"/>
  <c r="I113" i="3"/>
  <c r="G113" i="6" s="1"/>
  <c r="H113" i="3"/>
  <c r="L112" i="3"/>
  <c r="K112" i="3"/>
  <c r="J112" i="3"/>
  <c r="D112" i="7" s="1"/>
  <c r="I112" i="3"/>
  <c r="H112" i="3"/>
  <c r="L111" i="3"/>
  <c r="K111" i="3"/>
  <c r="I111" i="8" s="1"/>
  <c r="J111" i="3"/>
  <c r="I111" i="3"/>
  <c r="H111" i="3"/>
  <c r="F111" i="5" s="1"/>
  <c r="L110" i="3"/>
  <c r="K110" i="3"/>
  <c r="J110" i="3"/>
  <c r="I110" i="3"/>
  <c r="H110" i="3"/>
  <c r="F110" i="5" s="1"/>
  <c r="L109" i="3"/>
  <c r="K109" i="3"/>
  <c r="J109" i="3"/>
  <c r="I109" i="3"/>
  <c r="G109" i="6" s="1"/>
  <c r="H109" i="3"/>
  <c r="L108" i="3"/>
  <c r="K108" i="3"/>
  <c r="J108" i="3"/>
  <c r="D108" i="7" s="1"/>
  <c r="I108" i="3"/>
  <c r="H108" i="3"/>
  <c r="L107" i="3"/>
  <c r="K107" i="3"/>
  <c r="I107" i="8" s="1"/>
  <c r="J107" i="3"/>
  <c r="I107" i="3"/>
  <c r="H107" i="3"/>
  <c r="F107" i="5" s="1"/>
  <c r="L106" i="3"/>
  <c r="K106" i="3"/>
  <c r="J106" i="3"/>
  <c r="I106" i="3"/>
  <c r="H106" i="3"/>
  <c r="F106" i="5" s="1"/>
  <c r="L105" i="3"/>
  <c r="K105" i="3"/>
  <c r="J105" i="3"/>
  <c r="I105" i="3"/>
  <c r="G105" i="6" s="1"/>
  <c r="H105" i="3"/>
  <c r="L104" i="3"/>
  <c r="K104" i="3"/>
  <c r="J104" i="3"/>
  <c r="D104" i="7" s="1"/>
  <c r="I104" i="3"/>
  <c r="H104" i="3"/>
  <c r="L103" i="3"/>
  <c r="K103" i="3"/>
  <c r="J103" i="3"/>
  <c r="I103" i="3"/>
  <c r="H103" i="3"/>
  <c r="L102" i="3"/>
  <c r="K102" i="3"/>
  <c r="I102" i="8" s="1"/>
  <c r="J102" i="3"/>
  <c r="I102" i="3"/>
  <c r="H102" i="3"/>
  <c r="L101" i="3"/>
  <c r="K101" i="3"/>
  <c r="J101" i="3"/>
  <c r="I101" i="3"/>
  <c r="G101" i="6" s="1"/>
  <c r="H101" i="3"/>
  <c r="L100" i="3"/>
  <c r="K100" i="3"/>
  <c r="J100" i="3"/>
  <c r="D100" i="7" s="1"/>
  <c r="I100" i="3"/>
  <c r="H100" i="3"/>
  <c r="L99" i="3"/>
  <c r="G99" i="9" s="1"/>
  <c r="K99" i="3"/>
  <c r="I99" i="8" s="1"/>
  <c r="J99" i="3"/>
  <c r="I99" i="3"/>
  <c r="H99" i="3"/>
  <c r="L98" i="3"/>
  <c r="K98" i="3"/>
  <c r="J98" i="3"/>
  <c r="I98" i="3"/>
  <c r="H98" i="3"/>
  <c r="L97" i="3"/>
  <c r="K97" i="3"/>
  <c r="J97" i="3"/>
  <c r="I97" i="3"/>
  <c r="G97" i="6" s="1"/>
  <c r="H97" i="3"/>
  <c r="L96" i="3"/>
  <c r="K96" i="3"/>
  <c r="J96" i="3"/>
  <c r="D96" i="7" s="1"/>
  <c r="I96" i="3"/>
  <c r="H96" i="3"/>
  <c r="L95" i="3"/>
  <c r="K95" i="3"/>
  <c r="I95" i="8" s="1"/>
  <c r="J95" i="3"/>
  <c r="I95" i="3"/>
  <c r="H95" i="3"/>
  <c r="L94" i="3"/>
  <c r="K94" i="3"/>
  <c r="J94" i="3"/>
  <c r="I94" i="3"/>
  <c r="H94" i="3"/>
  <c r="L93" i="3"/>
  <c r="K93" i="3"/>
  <c r="J93" i="3"/>
  <c r="I93" i="3"/>
  <c r="G93" i="6" s="1"/>
  <c r="H93" i="3"/>
  <c r="L92" i="3"/>
  <c r="K92" i="3"/>
  <c r="J92" i="3"/>
  <c r="D92" i="7" s="1"/>
  <c r="I92" i="3"/>
  <c r="H92" i="3"/>
  <c r="L91" i="3"/>
  <c r="K91" i="3"/>
  <c r="J91" i="3"/>
  <c r="I91" i="3"/>
  <c r="H91" i="3"/>
  <c r="L90" i="3"/>
  <c r="K90" i="3"/>
  <c r="I90" i="8" s="1"/>
  <c r="J90" i="3"/>
  <c r="I90" i="3"/>
  <c r="H90" i="3"/>
  <c r="L89" i="3"/>
  <c r="K89" i="3"/>
  <c r="J89" i="3"/>
  <c r="I89" i="3"/>
  <c r="G89" i="6" s="1"/>
  <c r="H89" i="3"/>
  <c r="L88" i="3"/>
  <c r="K88" i="3"/>
  <c r="J88" i="3"/>
  <c r="D88" i="7" s="1"/>
  <c r="I88" i="3"/>
  <c r="H88" i="3"/>
  <c r="L87" i="3"/>
  <c r="K87" i="3"/>
  <c r="I87" i="8" s="1"/>
  <c r="J87" i="3"/>
  <c r="I87" i="3"/>
  <c r="H87" i="3"/>
  <c r="L86" i="3"/>
  <c r="K86" i="3"/>
  <c r="J86" i="3"/>
  <c r="I86" i="3"/>
  <c r="H86" i="3"/>
  <c r="L85" i="3"/>
  <c r="K85" i="3"/>
  <c r="J85" i="3"/>
  <c r="I85" i="3"/>
  <c r="G85" i="6" s="1"/>
  <c r="H85" i="3"/>
  <c r="L84" i="3"/>
  <c r="K84" i="3"/>
  <c r="J84" i="3"/>
  <c r="D84" i="7" s="1"/>
  <c r="I84" i="3"/>
  <c r="H84" i="3"/>
  <c r="L82" i="3"/>
  <c r="G82" i="9" s="1"/>
  <c r="K82" i="3"/>
  <c r="I82" i="8" s="1"/>
  <c r="J82" i="3"/>
  <c r="I82" i="3"/>
  <c r="H82" i="3"/>
  <c r="L81" i="3"/>
  <c r="K81" i="3"/>
  <c r="I81" i="8" s="1"/>
  <c r="J81" i="3"/>
  <c r="I81" i="3"/>
  <c r="H81" i="3"/>
  <c r="L80" i="3"/>
  <c r="K80" i="3"/>
  <c r="J80" i="3"/>
  <c r="I80" i="3"/>
  <c r="G80" i="6" s="1"/>
  <c r="H80" i="3"/>
  <c r="L79" i="3"/>
  <c r="K79" i="3"/>
  <c r="J79" i="3"/>
  <c r="I79" i="3"/>
  <c r="H79" i="3"/>
  <c r="L78" i="3"/>
  <c r="K78" i="3"/>
  <c r="I78" i="8" s="1"/>
  <c r="J78" i="3"/>
  <c r="D78" i="7" s="1"/>
  <c r="I78" i="3"/>
  <c r="H78" i="3"/>
  <c r="L77" i="3"/>
  <c r="K77" i="3"/>
  <c r="J77" i="3"/>
  <c r="I77" i="3"/>
  <c r="H77" i="3"/>
  <c r="L76" i="3"/>
  <c r="K76" i="3"/>
  <c r="J76" i="3"/>
  <c r="I76" i="3"/>
  <c r="G76" i="6" s="1"/>
  <c r="H76" i="3"/>
  <c r="L75" i="3"/>
  <c r="K75" i="3"/>
  <c r="J75" i="3"/>
  <c r="I75" i="3"/>
  <c r="H75" i="3"/>
  <c r="L74" i="3"/>
  <c r="K74" i="3"/>
  <c r="I74" i="8" s="1"/>
  <c r="J74" i="3"/>
  <c r="D74" i="7" s="1"/>
  <c r="I74" i="3"/>
  <c r="H74" i="3"/>
  <c r="L73" i="3"/>
  <c r="K73" i="3"/>
  <c r="J73" i="3"/>
  <c r="I73" i="3"/>
  <c r="H73" i="3"/>
  <c r="L72" i="3"/>
  <c r="K72" i="3"/>
  <c r="J72" i="3"/>
  <c r="I72" i="3"/>
  <c r="G72" i="6" s="1"/>
  <c r="H72" i="3"/>
  <c r="L71" i="3"/>
  <c r="K71" i="3"/>
  <c r="J71" i="3"/>
  <c r="D71" i="7" s="1"/>
  <c r="I71" i="3"/>
  <c r="H71" i="3"/>
  <c r="L70" i="3"/>
  <c r="K70" i="3"/>
  <c r="I70" i="8" s="1"/>
  <c r="J70" i="3"/>
  <c r="I70" i="3"/>
  <c r="H70" i="3"/>
  <c r="F70" i="5" s="1"/>
  <c r="L69" i="3"/>
  <c r="K69" i="3"/>
  <c r="J69" i="3"/>
  <c r="I69" i="3"/>
  <c r="H69" i="3"/>
  <c r="F69" i="5" s="1"/>
  <c r="L68" i="3"/>
  <c r="K68" i="3"/>
  <c r="J68" i="3"/>
  <c r="I68" i="3"/>
  <c r="G68" i="6" s="1"/>
  <c r="H68" i="3"/>
  <c r="L67" i="3"/>
  <c r="K67" i="3"/>
  <c r="J67" i="3"/>
  <c r="D67" i="7" s="1"/>
  <c r="I67" i="3"/>
  <c r="H67" i="3"/>
  <c r="L66" i="3"/>
  <c r="G66" i="9" s="1"/>
  <c r="K66" i="3"/>
  <c r="I66" i="8" s="1"/>
  <c r="J66" i="3"/>
  <c r="D66" i="7" s="1"/>
  <c r="I66" i="3"/>
  <c r="H66" i="3"/>
  <c r="F66" i="5" s="1"/>
  <c r="L65" i="3"/>
  <c r="K65" i="3"/>
  <c r="J65" i="3"/>
  <c r="I65" i="3"/>
  <c r="H65" i="3"/>
  <c r="F65" i="5" s="1"/>
  <c r="L64" i="3"/>
  <c r="K64" i="3"/>
  <c r="J64" i="3"/>
  <c r="I64" i="3"/>
  <c r="G64" i="6" s="1"/>
  <c r="H64" i="3"/>
  <c r="L63" i="3"/>
  <c r="K63" i="3"/>
  <c r="J63" i="3"/>
  <c r="D63" i="7" s="1"/>
  <c r="I63" i="3"/>
  <c r="H63" i="3"/>
  <c r="L62" i="3"/>
  <c r="K62" i="3"/>
  <c r="I62" i="8" s="1"/>
  <c r="J62" i="3"/>
  <c r="I62" i="3"/>
  <c r="H62" i="3"/>
  <c r="F62" i="5" s="1"/>
  <c r="L61" i="3"/>
  <c r="K61" i="3"/>
  <c r="J61" i="3"/>
  <c r="I61" i="3"/>
  <c r="H61" i="3"/>
  <c r="L60" i="3"/>
  <c r="K60" i="3"/>
  <c r="J60" i="3"/>
  <c r="I60" i="3"/>
  <c r="G60" i="6" s="1"/>
  <c r="H60" i="3"/>
  <c r="L59" i="3"/>
  <c r="K59" i="3"/>
  <c r="J59" i="3"/>
  <c r="D59" i="7" s="1"/>
  <c r="I59" i="3"/>
  <c r="H59" i="3"/>
  <c r="L58" i="3"/>
  <c r="K58" i="3"/>
  <c r="I58" i="8" s="1"/>
  <c r="J58" i="3"/>
  <c r="I58" i="3"/>
  <c r="H58" i="3"/>
  <c r="F58" i="5" s="1"/>
  <c r="L57" i="3"/>
  <c r="K57" i="3"/>
  <c r="J57" i="3"/>
  <c r="I57" i="3"/>
  <c r="H57" i="3"/>
  <c r="L56" i="3"/>
  <c r="K56" i="3"/>
  <c r="J56" i="3"/>
  <c r="I56" i="3"/>
  <c r="G56" i="6" s="1"/>
  <c r="H56" i="3"/>
  <c r="L55" i="3"/>
  <c r="K55" i="3"/>
  <c r="J55" i="3"/>
  <c r="D55" i="7" s="1"/>
  <c r="I55" i="3"/>
  <c r="H55" i="3"/>
  <c r="L54" i="3"/>
  <c r="K54" i="3"/>
  <c r="I54" i="8" s="1"/>
  <c r="J54" i="3"/>
  <c r="I54" i="3"/>
  <c r="H54" i="3"/>
  <c r="F54" i="5" s="1"/>
  <c r="L53" i="3"/>
  <c r="K53" i="3"/>
  <c r="J53" i="3"/>
  <c r="I53" i="3"/>
  <c r="H53" i="3"/>
  <c r="L52" i="3"/>
  <c r="K52" i="3"/>
  <c r="J52" i="3"/>
  <c r="I52" i="3"/>
  <c r="G52" i="6" s="1"/>
  <c r="H52" i="3"/>
  <c r="L51" i="3"/>
  <c r="K51" i="3"/>
  <c r="J51" i="3"/>
  <c r="D51" i="7" s="1"/>
  <c r="I51" i="3"/>
  <c r="H51" i="3"/>
  <c r="L50" i="3"/>
  <c r="G50" i="9" s="1"/>
  <c r="K50" i="3"/>
  <c r="I50" i="8" s="1"/>
  <c r="J50" i="3"/>
  <c r="I50" i="3"/>
  <c r="H50" i="3"/>
  <c r="F50" i="5" s="1"/>
  <c r="L48" i="3"/>
  <c r="K48" i="3"/>
  <c r="J48" i="3"/>
  <c r="I48" i="3"/>
  <c r="H48" i="3"/>
  <c r="F48" i="5" s="1"/>
  <c r="L47" i="3"/>
  <c r="K47" i="3"/>
  <c r="J47" i="3"/>
  <c r="I47" i="3"/>
  <c r="G47" i="6" s="1"/>
  <c r="H47" i="3"/>
  <c r="L46" i="3"/>
  <c r="K46" i="3"/>
  <c r="J46" i="3"/>
  <c r="D46" i="7" s="1"/>
  <c r="I46" i="3"/>
  <c r="H46" i="3"/>
  <c r="L45" i="3"/>
  <c r="K45" i="3"/>
  <c r="I45" i="8" s="1"/>
  <c r="J45" i="3"/>
  <c r="I45" i="3"/>
  <c r="H45" i="3"/>
  <c r="F45" i="5" s="1"/>
  <c r="L42" i="3"/>
  <c r="K42" i="3"/>
  <c r="J42" i="3"/>
  <c r="I42" i="3"/>
  <c r="H42" i="3"/>
  <c r="L41" i="3"/>
  <c r="K41" i="3"/>
  <c r="J41" i="3"/>
  <c r="I41" i="3"/>
  <c r="G41" i="6" s="1"/>
  <c r="H41" i="3"/>
  <c r="L40" i="3"/>
  <c r="K40" i="3"/>
  <c r="J40" i="3"/>
  <c r="D40" i="7" s="1"/>
  <c r="I40" i="3"/>
  <c r="H40" i="3"/>
  <c r="L39" i="3"/>
  <c r="K39" i="3"/>
  <c r="I39" i="8" s="1"/>
  <c r="J39" i="3"/>
  <c r="I39" i="3"/>
  <c r="H39" i="3"/>
  <c r="F39" i="5" s="1"/>
  <c r="L37" i="3"/>
  <c r="K37" i="3"/>
  <c r="I37" i="8" s="1"/>
  <c r="J37" i="3"/>
  <c r="I37" i="3"/>
  <c r="H37" i="3"/>
  <c r="L36" i="3"/>
  <c r="K36" i="3"/>
  <c r="J36" i="3"/>
  <c r="I36" i="3"/>
  <c r="H36" i="3"/>
  <c r="L35" i="3"/>
  <c r="K35" i="3"/>
  <c r="J35" i="3"/>
  <c r="I35" i="3"/>
  <c r="H35" i="3"/>
  <c r="L34" i="3"/>
  <c r="K34" i="3"/>
  <c r="I34" i="8" s="1"/>
  <c r="J34" i="3"/>
  <c r="D34" i="7" s="1"/>
  <c r="I34" i="3"/>
  <c r="H34" i="3"/>
  <c r="F34" i="5" s="1"/>
  <c r="L33" i="3"/>
  <c r="K33" i="3"/>
  <c r="I33" i="8" s="1"/>
  <c r="J33" i="3"/>
  <c r="I33" i="3"/>
  <c r="H33" i="3"/>
  <c r="L32" i="3"/>
  <c r="K32" i="3"/>
  <c r="J32" i="3"/>
  <c r="I32" i="3"/>
  <c r="G32" i="6" s="1"/>
  <c r="H32" i="3"/>
  <c r="L31" i="3"/>
  <c r="K31" i="3"/>
  <c r="J31" i="3"/>
  <c r="D31" i="7" s="1"/>
  <c r="I31" i="3"/>
  <c r="H31" i="3"/>
  <c r="L30" i="3"/>
  <c r="G30" i="9" s="1"/>
  <c r="K30" i="3"/>
  <c r="I30" i="8" s="1"/>
  <c r="J30" i="3"/>
  <c r="I30" i="3"/>
  <c r="H30" i="3"/>
  <c r="F30" i="5" s="1"/>
  <c r="L29" i="3"/>
  <c r="K29" i="3"/>
  <c r="I29" i="8" s="1"/>
  <c r="J29" i="3"/>
  <c r="I29" i="3"/>
  <c r="H29" i="3"/>
  <c r="F29" i="5" s="1"/>
  <c r="L28" i="3"/>
  <c r="K28" i="3"/>
  <c r="J28" i="3"/>
  <c r="I28" i="3"/>
  <c r="G28" i="6" s="1"/>
  <c r="H28" i="3"/>
  <c r="L27" i="3"/>
  <c r="K27" i="3"/>
  <c r="J27" i="3"/>
  <c r="D27" i="7" s="1"/>
  <c r="I27" i="3"/>
  <c r="H27" i="3"/>
  <c r="L26" i="3"/>
  <c r="K26" i="3"/>
  <c r="I26" i="8" s="1"/>
  <c r="J26" i="3"/>
  <c r="D26" i="7" s="1"/>
  <c r="I26" i="3"/>
  <c r="H26" i="3"/>
  <c r="F26" i="5" s="1"/>
  <c r="L25" i="3"/>
  <c r="K25" i="3"/>
  <c r="I25" i="8" s="1"/>
  <c r="J25" i="3"/>
  <c r="I25" i="3"/>
  <c r="H25" i="3"/>
  <c r="F25" i="5" s="1"/>
  <c r="L24" i="3"/>
  <c r="K24" i="3"/>
  <c r="J24" i="3"/>
  <c r="I24" i="3"/>
  <c r="G24" i="6" s="1"/>
  <c r="H24" i="3"/>
  <c r="L23" i="3"/>
  <c r="K23" i="3"/>
  <c r="J23" i="3"/>
  <c r="D23" i="7" s="1"/>
  <c r="I23" i="3"/>
  <c r="H23" i="3"/>
  <c r="L22" i="3"/>
  <c r="K22" i="3"/>
  <c r="I22" i="8" s="1"/>
  <c r="J22" i="3"/>
  <c r="D22" i="7" s="1"/>
  <c r="I22" i="3"/>
  <c r="H22" i="3"/>
  <c r="F22" i="5" s="1"/>
  <c r="L21" i="3"/>
  <c r="K21" i="3"/>
  <c r="I21" i="8" s="1"/>
  <c r="J21" i="3"/>
  <c r="I21" i="3"/>
  <c r="H21" i="3"/>
  <c r="F21" i="5" s="1"/>
  <c r="L20" i="3"/>
  <c r="K20" i="3"/>
  <c r="J20" i="3"/>
  <c r="I20" i="3"/>
  <c r="H20" i="3"/>
  <c r="L19" i="3"/>
  <c r="K19" i="3"/>
  <c r="J19" i="3"/>
  <c r="D19" i="7" s="1"/>
  <c r="I19" i="3"/>
  <c r="H19" i="3"/>
  <c r="L18" i="3"/>
  <c r="K18" i="3"/>
  <c r="J18" i="3"/>
  <c r="I18" i="3"/>
  <c r="H18" i="3"/>
  <c r="F18" i="5" s="1"/>
  <c r="L17" i="3"/>
  <c r="K17" i="3"/>
  <c r="I17" i="8" s="1"/>
  <c r="J17" i="3"/>
  <c r="I17" i="3"/>
  <c r="H17" i="3"/>
  <c r="F17" i="5" s="1"/>
  <c r="L16" i="3"/>
  <c r="K16" i="3"/>
  <c r="J16" i="3"/>
  <c r="I16" i="3"/>
  <c r="G16" i="6" s="1"/>
  <c r="H16" i="3"/>
  <c r="L15" i="3"/>
  <c r="K15" i="3"/>
  <c r="J15" i="3"/>
  <c r="I15" i="3"/>
  <c r="H15" i="3"/>
  <c r="L14" i="3"/>
  <c r="G14" i="9" s="1"/>
  <c r="K14" i="3"/>
  <c r="I14" i="8" s="1"/>
  <c r="J14" i="3"/>
  <c r="D14" i="7" s="1"/>
  <c r="I14" i="3"/>
  <c r="H14" i="3"/>
  <c r="F14" i="5" s="1"/>
  <c r="L13" i="3"/>
  <c r="K13" i="3"/>
  <c r="I13" i="8" s="1"/>
  <c r="J13" i="3"/>
  <c r="I13" i="3"/>
  <c r="H13" i="3"/>
  <c r="L12" i="3"/>
  <c r="K12" i="3"/>
  <c r="J12" i="3"/>
  <c r="I12" i="3"/>
  <c r="G12" i="6" s="1"/>
  <c r="H12" i="3"/>
  <c r="L11" i="3"/>
  <c r="K11" i="3"/>
  <c r="H11" i="3"/>
  <c r="F11" i="5" s="1"/>
  <c r="I11" i="3"/>
  <c r="J11" i="3"/>
  <c r="P197" i="3"/>
  <c r="P200" i="3"/>
  <c r="N310" i="3"/>
  <c r="K310" i="8" s="1"/>
  <c r="Q310" i="8" s="1"/>
  <c r="K309" i="8"/>
  <c r="Q309" i="8"/>
  <c r="K308" i="8"/>
  <c r="Q308" i="8" s="1"/>
  <c r="K307" i="8"/>
  <c r="Q307" i="8"/>
  <c r="K306" i="8"/>
  <c r="Q306" i="8" s="1"/>
  <c r="K305" i="8"/>
  <c r="Q305" i="8" s="1"/>
  <c r="K304" i="8"/>
  <c r="Q304" i="8" s="1"/>
  <c r="K303" i="8"/>
  <c r="Q303" i="8" s="1"/>
  <c r="K302" i="8"/>
  <c r="Q302" i="8" s="1"/>
  <c r="K301" i="8"/>
  <c r="Q301" i="8"/>
  <c r="K300" i="8"/>
  <c r="Q300" i="8" s="1"/>
  <c r="K299" i="8"/>
  <c r="Q299" i="8"/>
  <c r="K298" i="8"/>
  <c r="Q298" i="8" s="1"/>
  <c r="K297" i="8"/>
  <c r="Q297" i="8" s="1"/>
  <c r="K296" i="8"/>
  <c r="Q296" i="8" s="1"/>
  <c r="K295" i="8"/>
  <c r="Q295" i="8"/>
  <c r="K294" i="8"/>
  <c r="Q294" i="8" s="1"/>
  <c r="K293" i="8"/>
  <c r="Q293" i="8" s="1"/>
  <c r="K292" i="8"/>
  <c r="Q292" i="8" s="1"/>
  <c r="K291" i="8"/>
  <c r="Q291" i="8"/>
  <c r="K290" i="8"/>
  <c r="Q290" i="8" s="1"/>
  <c r="K289" i="8"/>
  <c r="Q289" i="8" s="1"/>
  <c r="K288" i="8"/>
  <c r="Q288" i="8" s="1"/>
  <c r="K287" i="8"/>
  <c r="Q287" i="8"/>
  <c r="K286" i="8"/>
  <c r="Q286" i="8" s="1"/>
  <c r="K285" i="8"/>
  <c r="Q285" i="8" s="1"/>
  <c r="K284" i="8"/>
  <c r="Q284" i="8"/>
  <c r="K283" i="8"/>
  <c r="Q283" i="8" s="1"/>
  <c r="K282" i="8"/>
  <c r="Q282" i="8"/>
  <c r="K281" i="8"/>
  <c r="Q281" i="8" s="1"/>
  <c r="K280" i="8"/>
  <c r="Q280" i="8" s="1"/>
  <c r="K279" i="8"/>
  <c r="Q279" i="8"/>
  <c r="K278" i="8"/>
  <c r="Q278" i="8" s="1"/>
  <c r="K277" i="8"/>
  <c r="Q277" i="8" s="1"/>
  <c r="K275" i="8"/>
  <c r="Q275" i="8"/>
  <c r="K274" i="8"/>
  <c r="Q274" i="8" s="1"/>
  <c r="K273" i="8"/>
  <c r="Q273" i="8"/>
  <c r="K272" i="8"/>
  <c r="Q272" i="8" s="1"/>
  <c r="K271" i="8"/>
  <c r="Q271" i="8" s="1"/>
  <c r="K270" i="8"/>
  <c r="Q270" i="8"/>
  <c r="K269" i="8"/>
  <c r="Q269" i="8" s="1"/>
  <c r="K268" i="8"/>
  <c r="Q268" i="8"/>
  <c r="K267" i="8"/>
  <c r="Q267" i="8" s="1"/>
  <c r="K266" i="8"/>
  <c r="Q266" i="8"/>
  <c r="K265" i="8"/>
  <c r="Q265" i="8" s="1"/>
  <c r="K264" i="8"/>
  <c r="Q264" i="8" s="1"/>
  <c r="K263" i="8"/>
  <c r="Q263" i="8" s="1"/>
  <c r="K262" i="8"/>
  <c r="Q262" i="8" s="1"/>
  <c r="K261" i="8"/>
  <c r="Q261" i="8" s="1"/>
  <c r="K260" i="8"/>
  <c r="Q260" i="8"/>
  <c r="K259" i="8"/>
  <c r="Q259" i="8" s="1"/>
  <c r="K258" i="8"/>
  <c r="Q258" i="8" s="1"/>
  <c r="K257" i="8"/>
  <c r="Q257" i="8" s="1"/>
  <c r="K256" i="8"/>
  <c r="Q256" i="8" s="1"/>
  <c r="K255" i="8"/>
  <c r="Q255" i="8" s="1"/>
  <c r="K254" i="8"/>
  <c r="Q254" i="8" s="1"/>
  <c r="K253" i="8"/>
  <c r="Q253" i="8" s="1"/>
  <c r="K252" i="8"/>
  <c r="Q252" i="8"/>
  <c r="K251" i="8"/>
  <c r="Q251" i="8" s="1"/>
  <c r="K250" i="8"/>
  <c r="Q250" i="8"/>
  <c r="K249" i="8"/>
  <c r="Q249" i="8"/>
  <c r="K248" i="8"/>
  <c r="Q248" i="8" s="1"/>
  <c r="K247" i="8"/>
  <c r="Q247" i="8" s="1"/>
  <c r="K246" i="8"/>
  <c r="Q246" i="8" s="1"/>
  <c r="K244" i="8"/>
  <c r="Q244" i="8" s="1"/>
  <c r="K243" i="8"/>
  <c r="Q243" i="8" s="1"/>
  <c r="K242" i="8"/>
  <c r="Q242" i="8"/>
  <c r="K241" i="8"/>
  <c r="Q241" i="8" s="1"/>
  <c r="K240" i="8"/>
  <c r="Q240" i="8"/>
  <c r="K239" i="8"/>
  <c r="Q239" i="8" s="1"/>
  <c r="K238" i="8"/>
  <c r="Q238" i="8" s="1"/>
  <c r="K237" i="8"/>
  <c r="Q237" i="8" s="1"/>
  <c r="N236" i="3"/>
  <c r="K236" i="8" s="1"/>
  <c r="Q236" i="8"/>
  <c r="K235" i="8"/>
  <c r="Q235" i="8" s="1"/>
  <c r="K234" i="8"/>
  <c r="Q234" i="8"/>
  <c r="K233" i="8"/>
  <c r="Q233" i="8" s="1"/>
  <c r="K232" i="8"/>
  <c r="Q232" i="8"/>
  <c r="K231" i="8"/>
  <c r="Q231" i="8" s="1"/>
  <c r="K230" i="8"/>
  <c r="Q230" i="8" s="1"/>
  <c r="K229" i="8"/>
  <c r="Q229" i="8" s="1"/>
  <c r="N228" i="3"/>
  <c r="K228" i="8" s="1"/>
  <c r="Q228" i="8"/>
  <c r="K227" i="8"/>
  <c r="Q227" i="8" s="1"/>
  <c r="K226" i="8"/>
  <c r="Q226" i="8" s="1"/>
  <c r="K225" i="8"/>
  <c r="Q225" i="8" s="1"/>
  <c r="K224" i="8"/>
  <c r="Q224" i="8" s="1"/>
  <c r="K223" i="8"/>
  <c r="Q223" i="8" s="1"/>
  <c r="K222" i="8"/>
  <c r="Q222" i="8" s="1"/>
  <c r="K221" i="8"/>
  <c r="Q221" i="8" s="1"/>
  <c r="K220" i="8"/>
  <c r="Q220" i="8" s="1"/>
  <c r="K219" i="8"/>
  <c r="Q219" i="8" s="1"/>
  <c r="K218" i="8"/>
  <c r="Q218" i="8" s="1"/>
  <c r="N217" i="3"/>
  <c r="K217" i="8" s="1"/>
  <c r="Q217" i="8" s="1"/>
  <c r="K216" i="8"/>
  <c r="Q216" i="8" s="1"/>
  <c r="K215" i="8"/>
  <c r="Q215" i="8" s="1"/>
  <c r="K214" i="8"/>
  <c r="Q214" i="8"/>
  <c r="K213" i="8"/>
  <c r="Q213" i="8" s="1"/>
  <c r="K212" i="8"/>
  <c r="Q212" i="8" s="1"/>
  <c r="K211" i="8"/>
  <c r="Q211" i="8"/>
  <c r="K210" i="8"/>
  <c r="Q210" i="8" s="1"/>
  <c r="K209" i="8"/>
  <c r="Q209" i="8"/>
  <c r="N208" i="3"/>
  <c r="K208" i="8" s="1"/>
  <c r="Q208" i="8" s="1"/>
  <c r="N207" i="3"/>
  <c r="K207" i="8" s="1"/>
  <c r="Q207" i="8" s="1"/>
  <c r="N206" i="3"/>
  <c r="K206" i="8" s="1"/>
  <c r="Q206" i="8" s="1"/>
  <c r="K205" i="8"/>
  <c r="Q205" i="8"/>
  <c r="K203" i="8"/>
  <c r="Q203" i="8" s="1"/>
  <c r="N202" i="3"/>
  <c r="K202" i="8" s="1"/>
  <c r="Q202" i="8" s="1"/>
  <c r="K201" i="8"/>
  <c r="Q201" i="8" s="1"/>
  <c r="K200" i="8"/>
  <c r="Q200" i="8" s="1"/>
  <c r="K199" i="8"/>
  <c r="Q199" i="8" s="1"/>
  <c r="K198" i="8"/>
  <c r="Q198" i="8" s="1"/>
  <c r="K197" i="8"/>
  <c r="Q197" i="8" s="1"/>
  <c r="K196" i="8"/>
  <c r="Q196" i="8" s="1"/>
  <c r="K195" i="8"/>
  <c r="Q195" i="8" s="1"/>
  <c r="K193" i="8"/>
  <c r="Q193" i="8"/>
  <c r="K192" i="8"/>
  <c r="Q192" i="8" s="1"/>
  <c r="N191" i="3"/>
  <c r="K191" i="8" s="1"/>
  <c r="Q191" i="8" s="1"/>
  <c r="K190" i="8"/>
  <c r="Q190" i="8" s="1"/>
  <c r="K189" i="8"/>
  <c r="Q189" i="8" s="1"/>
  <c r="K188" i="8"/>
  <c r="Q188" i="8" s="1"/>
  <c r="K187" i="8"/>
  <c r="Q187" i="8" s="1"/>
  <c r="K186" i="8"/>
  <c r="Q186" i="8" s="1"/>
  <c r="N185" i="3"/>
  <c r="K185" i="8"/>
  <c r="Q185" i="8" s="1"/>
  <c r="N184" i="3"/>
  <c r="K184" i="8" s="1"/>
  <c r="Q184" i="8" s="1"/>
  <c r="K183" i="8"/>
  <c r="Q183" i="8" s="1"/>
  <c r="N182" i="3"/>
  <c r="K182" i="8" s="1"/>
  <c r="Q182" i="8" s="1"/>
  <c r="N181" i="3"/>
  <c r="K181" i="8" s="1"/>
  <c r="Q181" i="8" s="1"/>
  <c r="K180" i="8"/>
  <c r="Q180" i="8" s="1"/>
  <c r="K179" i="8"/>
  <c r="Q179" i="8"/>
  <c r="K178" i="8"/>
  <c r="Q178" i="8" s="1"/>
  <c r="K177" i="8"/>
  <c r="Q177" i="8" s="1"/>
  <c r="K176" i="8"/>
  <c r="Q176" i="8" s="1"/>
  <c r="N175" i="3"/>
  <c r="K175" i="8" s="1"/>
  <c r="Q175" i="8" s="1"/>
  <c r="N174" i="3"/>
  <c r="K174" i="8" s="1"/>
  <c r="Q174" i="8" s="1"/>
  <c r="N173" i="3"/>
  <c r="K173" i="8"/>
  <c r="Q173" i="8" s="1"/>
  <c r="K172" i="8"/>
  <c r="Q172" i="8" s="1"/>
  <c r="K171" i="8"/>
  <c r="Q171" i="8" s="1"/>
  <c r="K170" i="8"/>
  <c r="Q170" i="8"/>
  <c r="K169" i="8"/>
  <c r="Q169" i="8" s="1"/>
  <c r="K168" i="8"/>
  <c r="Q168" i="8" s="1"/>
  <c r="K167" i="8"/>
  <c r="Q167" i="8"/>
  <c r="K166" i="8"/>
  <c r="Q166" i="8" s="1"/>
  <c r="K165" i="8"/>
  <c r="Q165" i="8"/>
  <c r="K164" i="8"/>
  <c r="Q164" i="8" s="1"/>
  <c r="K163" i="8"/>
  <c r="Q163" i="8"/>
  <c r="N162" i="3"/>
  <c r="K162" i="8" s="1"/>
  <c r="Q162" i="8" s="1"/>
  <c r="K161" i="8"/>
  <c r="Q161" i="8"/>
  <c r="K160" i="8"/>
  <c r="Q160" i="8" s="1"/>
  <c r="N159" i="3"/>
  <c r="K159" i="8" s="1"/>
  <c r="Q159" i="8" s="1"/>
  <c r="K158" i="8"/>
  <c r="Q158" i="8"/>
  <c r="K157" i="8"/>
  <c r="Q157" i="8" s="1"/>
  <c r="K156" i="8"/>
  <c r="Q156" i="8"/>
  <c r="K155" i="8"/>
  <c r="Q155" i="8" s="1"/>
  <c r="K154" i="8"/>
  <c r="Q154" i="8" s="1"/>
  <c r="K153" i="8"/>
  <c r="Q153" i="8"/>
  <c r="K152" i="8"/>
  <c r="Q152" i="8" s="1"/>
  <c r="K151" i="8"/>
  <c r="Q151" i="8" s="1"/>
  <c r="K150" i="8"/>
  <c r="Q150" i="8"/>
  <c r="N149" i="3"/>
  <c r="K149" i="8" s="1"/>
  <c r="Q149" i="8" s="1"/>
  <c r="K148" i="8"/>
  <c r="Q148" i="8"/>
  <c r="K147" i="8"/>
  <c r="Q147" i="8" s="1"/>
  <c r="K146" i="8"/>
  <c r="Q146" i="8" s="1"/>
  <c r="K145" i="8"/>
  <c r="Q145" i="8"/>
  <c r="K144" i="8"/>
  <c r="Q144" i="8" s="1"/>
  <c r="K143" i="8"/>
  <c r="Q143" i="8" s="1"/>
  <c r="N142" i="3"/>
  <c r="K142" i="8"/>
  <c r="Q142" i="8" s="1"/>
  <c r="K140" i="8"/>
  <c r="Q140" i="8" s="1"/>
  <c r="N139" i="3"/>
  <c r="K139" i="8" s="1"/>
  <c r="Q139" i="8" s="1"/>
  <c r="K138" i="8"/>
  <c r="Q138" i="8"/>
  <c r="K137" i="8"/>
  <c r="Q137" i="8" s="1"/>
  <c r="K136" i="8"/>
  <c r="Q136" i="8" s="1"/>
  <c r="K135" i="8"/>
  <c r="Q135" i="8" s="1"/>
  <c r="K134" i="8"/>
  <c r="Q134" i="8" s="1"/>
  <c r="K133" i="8"/>
  <c r="Q133" i="8"/>
  <c r="K132" i="8"/>
  <c r="Q132" i="8"/>
  <c r="N131" i="3"/>
  <c r="K131" i="8"/>
  <c r="Q131" i="8" s="1"/>
  <c r="N130" i="3"/>
  <c r="K130" i="8" s="1"/>
  <c r="Q130" i="8" s="1"/>
  <c r="N129" i="3"/>
  <c r="K129" i="8" s="1"/>
  <c r="Q129" i="8" s="1"/>
  <c r="N128" i="3"/>
  <c r="K128" i="8" s="1"/>
  <c r="Q128" i="8"/>
  <c r="K127" i="8"/>
  <c r="Q127" i="8" s="1"/>
  <c r="N126" i="3"/>
  <c r="K126" i="8"/>
  <c r="Q126" i="8" s="1"/>
  <c r="K125" i="8"/>
  <c r="Q125" i="8" s="1"/>
  <c r="K124" i="8"/>
  <c r="Q124" i="8" s="1"/>
  <c r="K123" i="8"/>
  <c r="Q123" i="8" s="1"/>
  <c r="K122" i="8"/>
  <c r="Q122" i="8" s="1"/>
  <c r="K121" i="8"/>
  <c r="Q121" i="8" s="1"/>
  <c r="K120" i="8"/>
  <c r="Q120" i="8" s="1"/>
  <c r="K119" i="8"/>
  <c r="Q119" i="8" s="1"/>
  <c r="K118" i="8"/>
  <c r="Q118" i="8" s="1"/>
  <c r="K117" i="8"/>
  <c r="Q117" i="8"/>
  <c r="K116" i="8"/>
  <c r="Q116" i="8" s="1"/>
  <c r="N115" i="3"/>
  <c r="K115" i="8" s="1"/>
  <c r="Q115" i="8" s="1"/>
  <c r="K114" i="8"/>
  <c r="Q114" i="8"/>
  <c r="K113" i="8"/>
  <c r="Q113" i="8" s="1"/>
  <c r="N112" i="3"/>
  <c r="K112" i="8" s="1"/>
  <c r="Q112" i="8" s="1"/>
  <c r="K111" i="8"/>
  <c r="Q111" i="8"/>
  <c r="K110" i="8"/>
  <c r="Q110" i="8"/>
  <c r="K109" i="8"/>
  <c r="Q109" i="8" s="1"/>
  <c r="K108" i="8"/>
  <c r="Q108" i="8" s="1"/>
  <c r="K107" i="8"/>
  <c r="Q107" i="8"/>
  <c r="K106" i="8"/>
  <c r="Q106" i="8" s="1"/>
  <c r="K105" i="8"/>
  <c r="Q105" i="8" s="1"/>
  <c r="K104" i="8"/>
  <c r="Q104" i="8" s="1"/>
  <c r="K103" i="8"/>
  <c r="Q103" i="8" s="1"/>
  <c r="K102" i="8"/>
  <c r="Q102" i="8"/>
  <c r="K101" i="8"/>
  <c r="Q101" i="8" s="1"/>
  <c r="K100" i="8"/>
  <c r="Q100" i="8" s="1"/>
  <c r="K99" i="8"/>
  <c r="Q99" i="8"/>
  <c r="K98" i="8"/>
  <c r="Q98" i="8" s="1"/>
  <c r="N97" i="3"/>
  <c r="K97" i="8" s="1"/>
  <c r="Q97" i="8" s="1"/>
  <c r="K96" i="8"/>
  <c r="Q96" i="8" s="1"/>
  <c r="N95" i="3"/>
  <c r="K95" i="8" s="1"/>
  <c r="Q95" i="8" s="1"/>
  <c r="K94" i="8"/>
  <c r="Q94" i="8"/>
  <c r="N93" i="3"/>
  <c r="K93" i="8" s="1"/>
  <c r="Q93" i="8" s="1"/>
  <c r="K92" i="8"/>
  <c r="Q92" i="8" s="1"/>
  <c r="K91" i="8"/>
  <c r="Q91" i="8"/>
  <c r="K90" i="8"/>
  <c r="Q90" i="8" s="1"/>
  <c r="N89" i="3"/>
  <c r="K89" i="8" s="1"/>
  <c r="Q89" i="8" s="1"/>
  <c r="K88" i="8"/>
  <c r="Q88" i="8"/>
  <c r="K87" i="8"/>
  <c r="Q87" i="8" s="1"/>
  <c r="K86" i="8"/>
  <c r="Q86" i="8" s="1"/>
  <c r="N85" i="3"/>
  <c r="K85" i="8" s="1"/>
  <c r="Q85" i="8"/>
  <c r="N84" i="3"/>
  <c r="K84" i="8"/>
  <c r="Q84" i="8"/>
  <c r="K82" i="8"/>
  <c r="Q82" i="8" s="1"/>
  <c r="K81" i="8"/>
  <c r="Q81" i="8" s="1"/>
  <c r="K80" i="8"/>
  <c r="Q80" i="8"/>
  <c r="N79" i="3"/>
  <c r="K79" i="8" s="1"/>
  <c r="Q79" i="8" s="1"/>
  <c r="K78" i="8"/>
  <c r="Q78" i="8"/>
  <c r="K77" i="8"/>
  <c r="Q77" i="8" s="1"/>
  <c r="N76" i="3"/>
  <c r="K76" i="8" s="1"/>
  <c r="Q76" i="8" s="1"/>
  <c r="K75" i="8"/>
  <c r="Q75" i="8" s="1"/>
  <c r="N74" i="3"/>
  <c r="K74" i="8" s="1"/>
  <c r="Q74" i="8" s="1"/>
  <c r="K73" i="8"/>
  <c r="Q73" i="8" s="1"/>
  <c r="K72" i="8"/>
  <c r="Q72" i="8" s="1"/>
  <c r="K71" i="8"/>
  <c r="Q71" i="8"/>
  <c r="K70" i="8"/>
  <c r="Q70" i="8" s="1"/>
  <c r="K69" i="8"/>
  <c r="Q69" i="8"/>
  <c r="K68" i="8"/>
  <c r="Q68" i="8" s="1"/>
  <c r="K67" i="8"/>
  <c r="Q67" i="8" s="1"/>
  <c r="K66" i="8"/>
  <c r="Q66" i="8"/>
  <c r="K65" i="8"/>
  <c r="Q65" i="8" s="1"/>
  <c r="K64" i="8"/>
  <c r="Q64" i="8"/>
  <c r="K63" i="8"/>
  <c r="Q63" i="8" s="1"/>
  <c r="N62" i="3"/>
  <c r="K62" i="8"/>
  <c r="Q62" i="8" s="1"/>
  <c r="K61" i="8"/>
  <c r="Q61" i="8" s="1"/>
  <c r="N60" i="3"/>
  <c r="K60" i="8" s="1"/>
  <c r="Q60" i="8" s="1"/>
  <c r="K59" i="8"/>
  <c r="Q59" i="8" s="1"/>
  <c r="K58" i="8"/>
  <c r="Q58" i="8" s="1"/>
  <c r="N57" i="3"/>
  <c r="K57" i="8"/>
  <c r="Q57" i="8"/>
  <c r="N56" i="3"/>
  <c r="K56" i="8" s="1"/>
  <c r="Q56" i="8"/>
  <c r="K55" i="8"/>
  <c r="Q55" i="8"/>
  <c r="K54" i="8"/>
  <c r="Q54" i="8"/>
  <c r="N53" i="3"/>
  <c r="K53" i="8" s="1"/>
  <c r="Q53" i="8" s="1"/>
  <c r="K52" i="8"/>
  <c r="Q52" i="8" s="1"/>
  <c r="K51" i="8"/>
  <c r="Q51" i="8" s="1"/>
  <c r="K50" i="8"/>
  <c r="Q50" i="8"/>
  <c r="K48" i="8"/>
  <c r="Q48" i="8" s="1"/>
  <c r="K47" i="8"/>
  <c r="Q47" i="8"/>
  <c r="N46" i="3"/>
  <c r="K46" i="8" s="1"/>
  <c r="Q46" i="8" s="1"/>
  <c r="K45" i="8"/>
  <c r="Q45" i="8" s="1"/>
  <c r="K42" i="8"/>
  <c r="Q42" i="8" s="1"/>
  <c r="K41" i="8"/>
  <c r="Q41" i="8" s="1"/>
  <c r="K40" i="8"/>
  <c r="Q40" i="8" s="1"/>
  <c r="K39" i="8"/>
  <c r="Q39" i="8" s="1"/>
  <c r="K37" i="8"/>
  <c r="Q37" i="8" s="1"/>
  <c r="K36" i="8"/>
  <c r="Q36" i="8" s="1"/>
  <c r="K35" i="8"/>
  <c r="Q35" i="8" s="1"/>
  <c r="K34" i="8"/>
  <c r="Q34" i="8" s="1"/>
  <c r="K33" i="8"/>
  <c r="Q33" i="8" s="1"/>
  <c r="K32" i="8"/>
  <c r="Q32" i="8" s="1"/>
  <c r="K31" i="8"/>
  <c r="Q31" i="8" s="1"/>
  <c r="K30" i="8"/>
  <c r="Q30" i="8" s="1"/>
  <c r="K29" i="8"/>
  <c r="Q29" i="8" s="1"/>
  <c r="K28" i="8"/>
  <c r="Q28" i="8" s="1"/>
  <c r="K27" i="8"/>
  <c r="Q27" i="8" s="1"/>
  <c r="K26" i="8"/>
  <c r="Q26" i="8"/>
  <c r="K25" i="8"/>
  <c r="Q25" i="8"/>
  <c r="K24" i="8"/>
  <c r="Q24" i="8" s="1"/>
  <c r="K23" i="8"/>
  <c r="Q23" i="8" s="1"/>
  <c r="K22" i="8"/>
  <c r="Q22" i="8"/>
  <c r="K21" i="8"/>
  <c r="Q21" i="8" s="1"/>
  <c r="K20" i="8"/>
  <c r="Q20" i="8"/>
  <c r="K19" i="8"/>
  <c r="Q19" i="8" s="1"/>
  <c r="AJ19" i="8" s="1"/>
  <c r="K18" i="8"/>
  <c r="Q18" i="8"/>
  <c r="K17" i="8"/>
  <c r="Q17" i="8"/>
  <c r="K16" i="8"/>
  <c r="Q16" i="8" s="1"/>
  <c r="K15" i="8"/>
  <c r="Q15" i="8" s="1"/>
  <c r="K14" i="8"/>
  <c r="Q14" i="8"/>
  <c r="K13" i="8"/>
  <c r="Q13" i="8" s="1"/>
  <c r="K12" i="8"/>
  <c r="Q12" i="8"/>
  <c r="K11" i="8"/>
  <c r="Q11" i="8" s="1"/>
  <c r="I310" i="8"/>
  <c r="F310" i="8"/>
  <c r="G310" i="8"/>
  <c r="F309" i="8"/>
  <c r="E309" i="8" s="1"/>
  <c r="G309" i="8"/>
  <c r="B309" i="8"/>
  <c r="F309" i="4" s="1"/>
  <c r="I308" i="8"/>
  <c r="F308" i="8"/>
  <c r="C308" i="8" s="1"/>
  <c r="G308" i="4" s="1"/>
  <c r="G308" i="8"/>
  <c r="B308" i="8" s="1"/>
  <c r="F308" i="4" s="1"/>
  <c r="D308" i="8"/>
  <c r="F307" i="8"/>
  <c r="G307" i="8"/>
  <c r="B307" i="8" s="1"/>
  <c r="C307" i="8"/>
  <c r="G307" i="4" s="1"/>
  <c r="I306" i="8"/>
  <c r="F306" i="8"/>
  <c r="E306" i="8" s="1"/>
  <c r="G306" i="8"/>
  <c r="C306" i="8"/>
  <c r="G306" i="4" s="1"/>
  <c r="I305" i="8"/>
  <c r="F305" i="8"/>
  <c r="G305" i="8"/>
  <c r="I304" i="8"/>
  <c r="F304" i="8"/>
  <c r="G304" i="8"/>
  <c r="D304" i="8"/>
  <c r="H304" i="4" s="1"/>
  <c r="P303" i="3"/>
  <c r="F303" i="8"/>
  <c r="D303" i="8" s="1"/>
  <c r="H303" i="4" s="1"/>
  <c r="T303" i="3"/>
  <c r="P303" i="8" s="1"/>
  <c r="L303" i="8"/>
  <c r="AG303" i="8" s="1"/>
  <c r="D17" i="2"/>
  <c r="D18" i="2" s="1"/>
  <c r="AG232" i="8" s="1"/>
  <c r="J303" i="8"/>
  <c r="G303" i="8"/>
  <c r="E303" i="8"/>
  <c r="O303" i="8"/>
  <c r="F302" i="8"/>
  <c r="G302" i="8"/>
  <c r="F301" i="8"/>
  <c r="E301" i="8" s="1"/>
  <c r="I301" i="4" s="1"/>
  <c r="G301" i="8"/>
  <c r="B301" i="8" s="1"/>
  <c r="F301" i="4" s="1"/>
  <c r="F300" i="8"/>
  <c r="G300" i="8"/>
  <c r="B300" i="8"/>
  <c r="F299" i="8"/>
  <c r="D299" i="8" s="1"/>
  <c r="G299" i="8"/>
  <c r="F298" i="8"/>
  <c r="G298" i="8"/>
  <c r="F297" i="8"/>
  <c r="G297" i="8"/>
  <c r="B297" i="8" s="1"/>
  <c r="F297" i="4" s="1"/>
  <c r="E297" i="8"/>
  <c r="I297" i="4" s="1"/>
  <c r="F296" i="8"/>
  <c r="G296" i="8"/>
  <c r="F295" i="8"/>
  <c r="G295" i="8"/>
  <c r="F294" i="8"/>
  <c r="G294" i="8"/>
  <c r="E294" i="8" s="1"/>
  <c r="I294" i="4" s="1"/>
  <c r="B294" i="8"/>
  <c r="F293" i="8"/>
  <c r="E293" i="8" s="1"/>
  <c r="I293" i="4" s="1"/>
  <c r="G293" i="8"/>
  <c r="D293" i="8"/>
  <c r="F292" i="8"/>
  <c r="G292" i="8"/>
  <c r="F291" i="8"/>
  <c r="G291" i="8"/>
  <c r="D291" i="8" s="1"/>
  <c r="F290" i="8"/>
  <c r="D290" i="8" s="1"/>
  <c r="H290" i="4" s="1"/>
  <c r="G290" i="8"/>
  <c r="F289" i="8"/>
  <c r="E289" i="8" s="1"/>
  <c r="I289" i="4" s="1"/>
  <c r="G289" i="8"/>
  <c r="F288" i="8"/>
  <c r="G288" i="8"/>
  <c r="C288" i="8" s="1"/>
  <c r="G288" i="4" s="1"/>
  <c r="F287" i="8"/>
  <c r="E287" i="8" s="1"/>
  <c r="I287" i="4" s="1"/>
  <c r="G287" i="8"/>
  <c r="F286" i="8"/>
  <c r="E286" i="8" s="1"/>
  <c r="I286" i="4" s="1"/>
  <c r="G286" i="8"/>
  <c r="F285" i="8"/>
  <c r="E285" i="8" s="1"/>
  <c r="I285" i="4" s="1"/>
  <c r="G285" i="8"/>
  <c r="D285" i="8" s="1"/>
  <c r="B285" i="8"/>
  <c r="F285" i="4" s="1"/>
  <c r="F284" i="8"/>
  <c r="D284" i="8" s="1"/>
  <c r="H284" i="4" s="1"/>
  <c r="G284" i="8"/>
  <c r="C284" i="8"/>
  <c r="G284" i="4" s="1"/>
  <c r="F283" i="8"/>
  <c r="G283" i="8"/>
  <c r="D283" i="8"/>
  <c r="F282" i="8"/>
  <c r="G282" i="8"/>
  <c r="D282" i="8" s="1"/>
  <c r="H282" i="4" s="1"/>
  <c r="F281" i="8"/>
  <c r="E281" i="8" s="1"/>
  <c r="I281" i="4" s="1"/>
  <c r="G281" i="8"/>
  <c r="F280" i="8"/>
  <c r="G280" i="8"/>
  <c r="F279" i="8"/>
  <c r="B279" i="8" s="1"/>
  <c r="F279" i="4" s="1"/>
  <c r="G279" i="8"/>
  <c r="F278" i="8"/>
  <c r="E278" i="8" s="1"/>
  <c r="I278" i="4" s="1"/>
  <c r="G278" i="8"/>
  <c r="F277" i="8"/>
  <c r="E277" i="8" s="1"/>
  <c r="I277" i="4" s="1"/>
  <c r="G277" i="8"/>
  <c r="F275" i="8"/>
  <c r="G275" i="8"/>
  <c r="B275" i="8" s="1"/>
  <c r="D275" i="8"/>
  <c r="H275" i="4" s="1"/>
  <c r="I274" i="8"/>
  <c r="F274" i="8"/>
  <c r="B274" i="8" s="1"/>
  <c r="F274" i="4" s="1"/>
  <c r="G274" i="8"/>
  <c r="E274" i="8"/>
  <c r="I273" i="8"/>
  <c r="F273" i="8"/>
  <c r="E273" i="8" s="1"/>
  <c r="I273" i="4" s="1"/>
  <c r="G273" i="8"/>
  <c r="B273" i="8" s="1"/>
  <c r="F273" i="4" s="1"/>
  <c r="I272" i="8"/>
  <c r="F272" i="8"/>
  <c r="G272" i="8"/>
  <c r="F271" i="8"/>
  <c r="G271" i="8"/>
  <c r="I270" i="8"/>
  <c r="F270" i="8"/>
  <c r="E270" i="8" s="1"/>
  <c r="I270" i="4" s="1"/>
  <c r="G270" i="8"/>
  <c r="B270" i="8"/>
  <c r="F270" i="4" s="1"/>
  <c r="I269" i="8"/>
  <c r="F269" i="8"/>
  <c r="G269" i="8"/>
  <c r="C269" i="8" s="1"/>
  <c r="D269" i="8"/>
  <c r="H269" i="4" s="1"/>
  <c r="B269" i="8"/>
  <c r="F269" i="4" s="1"/>
  <c r="I268" i="8"/>
  <c r="F268" i="8"/>
  <c r="D268" i="8" s="1"/>
  <c r="H268" i="4" s="1"/>
  <c r="G268" i="8"/>
  <c r="F267" i="8"/>
  <c r="G267" i="8"/>
  <c r="F266" i="8"/>
  <c r="C266" i="8" s="1"/>
  <c r="G266" i="4" s="1"/>
  <c r="G266" i="8"/>
  <c r="F265" i="8"/>
  <c r="C265" i="8" s="1"/>
  <c r="G265" i="4" s="1"/>
  <c r="G265" i="8"/>
  <c r="D265" i="8"/>
  <c r="F264" i="8"/>
  <c r="G264" i="8"/>
  <c r="F263" i="8"/>
  <c r="G263" i="8"/>
  <c r="B263" i="8"/>
  <c r="F263" i="4" s="1"/>
  <c r="I262" i="8"/>
  <c r="F262" i="8"/>
  <c r="G262" i="8"/>
  <c r="C262" i="8" s="1"/>
  <c r="I261" i="8"/>
  <c r="F261" i="8"/>
  <c r="D261" i="8" s="1"/>
  <c r="H261" i="4" s="1"/>
  <c r="G261" i="8"/>
  <c r="B261" i="8"/>
  <c r="F260" i="8"/>
  <c r="G260" i="8"/>
  <c r="D260" i="8"/>
  <c r="H260" i="4" s="1"/>
  <c r="F259" i="8"/>
  <c r="E259" i="8" s="1"/>
  <c r="I259" i="4" s="1"/>
  <c r="G259" i="8"/>
  <c r="I258" i="8"/>
  <c r="F258" i="8"/>
  <c r="D258" i="8" s="1"/>
  <c r="H258" i="4" s="1"/>
  <c r="G258" i="8"/>
  <c r="I257" i="8"/>
  <c r="F257" i="8"/>
  <c r="E257" i="8" s="1"/>
  <c r="G257" i="8"/>
  <c r="I256" i="8"/>
  <c r="F256" i="8"/>
  <c r="G256" i="8"/>
  <c r="B256" i="8" s="1"/>
  <c r="F256" i="4" s="1"/>
  <c r="D256" i="8"/>
  <c r="F255" i="8"/>
  <c r="G255" i="8"/>
  <c r="B255" i="8" s="1"/>
  <c r="I254" i="8"/>
  <c r="F254" i="8"/>
  <c r="G254" i="8"/>
  <c r="C254" i="8" s="1"/>
  <c r="G254" i="4" s="1"/>
  <c r="E254" i="8"/>
  <c r="D254" i="8"/>
  <c r="H254" i="4" s="1"/>
  <c r="I253" i="8"/>
  <c r="F253" i="8"/>
  <c r="D253" i="8" s="1"/>
  <c r="G253" i="8"/>
  <c r="E253" i="8"/>
  <c r="I253" i="4" s="1"/>
  <c r="I252" i="8"/>
  <c r="F252" i="8"/>
  <c r="G252" i="8"/>
  <c r="B252" i="8"/>
  <c r="F252" i="4" s="1"/>
  <c r="F251" i="8"/>
  <c r="E251" i="8" s="1"/>
  <c r="G251" i="8"/>
  <c r="I250" i="8"/>
  <c r="F250" i="8"/>
  <c r="D250" i="8" s="1"/>
  <c r="G250" i="8"/>
  <c r="I249" i="8"/>
  <c r="F249" i="8"/>
  <c r="E249" i="8" s="1"/>
  <c r="I249" i="4" s="1"/>
  <c r="G249" i="8"/>
  <c r="C249" i="8" s="1"/>
  <c r="I248" i="8"/>
  <c r="F248" i="8"/>
  <c r="G248" i="8"/>
  <c r="F247" i="8"/>
  <c r="G247" i="8"/>
  <c r="C247" i="8" s="1"/>
  <c r="G247" i="4" s="1"/>
  <c r="D247" i="8"/>
  <c r="I246" i="8"/>
  <c r="F246" i="8"/>
  <c r="D246" i="8" s="1"/>
  <c r="H246" i="4" s="1"/>
  <c r="G246" i="8"/>
  <c r="I244" i="8"/>
  <c r="F244" i="8"/>
  <c r="C244" i="8" s="1"/>
  <c r="G244" i="4" s="1"/>
  <c r="G244" i="8"/>
  <c r="F243" i="8"/>
  <c r="E243" i="8" s="1"/>
  <c r="I243" i="4" s="1"/>
  <c r="G243" i="8"/>
  <c r="F242" i="8"/>
  <c r="G242" i="8"/>
  <c r="D242" i="8"/>
  <c r="H242" i="4" s="1"/>
  <c r="F241" i="8"/>
  <c r="G241" i="8"/>
  <c r="C241" i="8" s="1"/>
  <c r="G241" i="4" s="1"/>
  <c r="E241" i="8"/>
  <c r="I241" i="4" s="1"/>
  <c r="D241" i="8"/>
  <c r="B241" i="8"/>
  <c r="F241" i="4" s="1"/>
  <c r="F240" i="8"/>
  <c r="G240" i="8"/>
  <c r="B240" i="8" s="1"/>
  <c r="F239" i="8"/>
  <c r="G239" i="8"/>
  <c r="F238" i="8"/>
  <c r="G238" i="8"/>
  <c r="F237" i="8"/>
  <c r="G237" i="8"/>
  <c r="E237" i="8" s="1"/>
  <c r="I237" i="4" s="1"/>
  <c r="D237" i="8"/>
  <c r="I236" i="8"/>
  <c r="F236" i="8"/>
  <c r="T236" i="3"/>
  <c r="P236" i="8" s="1"/>
  <c r="D12" i="2"/>
  <c r="D13" i="2" s="1"/>
  <c r="L236" i="8"/>
  <c r="AG236" i="8" s="1"/>
  <c r="J236" i="8"/>
  <c r="G236" i="8"/>
  <c r="O236" i="8"/>
  <c r="F235" i="8"/>
  <c r="G235" i="8"/>
  <c r="C235" i="8" s="1"/>
  <c r="E235" i="8"/>
  <c r="I235" i="4" s="1"/>
  <c r="D235" i="8"/>
  <c r="H235" i="4" s="1"/>
  <c r="B235" i="8"/>
  <c r="F235" i="4" s="1"/>
  <c r="F234" i="8"/>
  <c r="E234" i="8" s="1"/>
  <c r="I234" i="4" s="1"/>
  <c r="G234" i="8"/>
  <c r="B234" i="8" s="1"/>
  <c r="F234" i="4" s="1"/>
  <c r="I233" i="8"/>
  <c r="F233" i="8"/>
  <c r="T233" i="3"/>
  <c r="P233" i="8" s="1"/>
  <c r="L233" i="8"/>
  <c r="AG233" i="8" s="1"/>
  <c r="J233" i="8"/>
  <c r="G233" i="8"/>
  <c r="O233" i="8"/>
  <c r="U233" i="8" s="1"/>
  <c r="I232" i="8"/>
  <c r="F232" i="8"/>
  <c r="T232" i="3"/>
  <c r="P232" i="8"/>
  <c r="L232" i="8"/>
  <c r="J232" i="8"/>
  <c r="G232" i="8"/>
  <c r="O232" i="8"/>
  <c r="I231" i="8"/>
  <c r="F231" i="8"/>
  <c r="E231" i="8" s="1"/>
  <c r="I231" i="4" s="1"/>
  <c r="G231" i="8"/>
  <c r="B231" i="8" s="1"/>
  <c r="F231" i="4" s="1"/>
  <c r="F230" i="8"/>
  <c r="G230" i="8"/>
  <c r="B230" i="8" s="1"/>
  <c r="F230" i="4" s="1"/>
  <c r="D230" i="8"/>
  <c r="H230" i="4" s="1"/>
  <c r="C230" i="8"/>
  <c r="G230" i="4" s="1"/>
  <c r="F229" i="8"/>
  <c r="E229" i="8" s="1"/>
  <c r="I229" i="4" s="1"/>
  <c r="T229" i="3"/>
  <c r="P229" i="8" s="1"/>
  <c r="L229" i="8"/>
  <c r="AG229" i="8" s="1"/>
  <c r="J229" i="8"/>
  <c r="G229" i="8"/>
  <c r="B229" i="8" s="1"/>
  <c r="F229" i="4" s="1"/>
  <c r="O229" i="8"/>
  <c r="I228" i="8"/>
  <c r="F228" i="8"/>
  <c r="G228" i="8"/>
  <c r="I227" i="8"/>
  <c r="F227" i="8"/>
  <c r="E227" i="8" s="1"/>
  <c r="I227" i="4" s="1"/>
  <c r="T227" i="3"/>
  <c r="P227" i="8" s="1"/>
  <c r="L227" i="8"/>
  <c r="AG227" i="8" s="1"/>
  <c r="J227" i="8"/>
  <c r="G227" i="8"/>
  <c r="O227" i="8"/>
  <c r="I226" i="8"/>
  <c r="F226" i="8"/>
  <c r="T226" i="3"/>
  <c r="P226" i="8" s="1"/>
  <c r="L226" i="8"/>
  <c r="AG226" i="8"/>
  <c r="J226" i="8"/>
  <c r="G226" i="8"/>
  <c r="D226" i="8" s="1"/>
  <c r="H226" i="4" s="1"/>
  <c r="O226" i="8"/>
  <c r="I225" i="8"/>
  <c r="F225" i="8"/>
  <c r="T225" i="3"/>
  <c r="P225" i="8" s="1"/>
  <c r="L225" i="8"/>
  <c r="J225" i="8"/>
  <c r="G225" i="8"/>
  <c r="E225" i="8" s="1"/>
  <c r="I225" i="4" s="1"/>
  <c r="D225" i="8"/>
  <c r="H225" i="4" s="1"/>
  <c r="O225" i="8"/>
  <c r="F224" i="8"/>
  <c r="G224" i="8"/>
  <c r="F223" i="8"/>
  <c r="E223" i="8" s="1"/>
  <c r="I223" i="4" s="1"/>
  <c r="G223" i="8"/>
  <c r="F222" i="8"/>
  <c r="G222" i="8"/>
  <c r="C222" i="8" s="1"/>
  <c r="G222" i="4" s="1"/>
  <c r="D222" i="8"/>
  <c r="H222" i="4" s="1"/>
  <c r="I221" i="8"/>
  <c r="F221" i="8"/>
  <c r="T221" i="3"/>
  <c r="P221" i="8" s="1"/>
  <c r="L221" i="8"/>
  <c r="AG221" i="8" s="1"/>
  <c r="J221" i="8"/>
  <c r="G221" i="8"/>
  <c r="O221" i="8"/>
  <c r="F220" i="8"/>
  <c r="D220" i="8" s="1"/>
  <c r="H220" i="4" s="1"/>
  <c r="G220" i="8"/>
  <c r="I219" i="8"/>
  <c r="F219" i="8"/>
  <c r="G219" i="8"/>
  <c r="F218" i="8"/>
  <c r="D218" i="8" s="1"/>
  <c r="H218" i="4" s="1"/>
  <c r="G218" i="8"/>
  <c r="E218" i="8"/>
  <c r="I218" i="4" s="1"/>
  <c r="F217" i="8"/>
  <c r="D217" i="8" s="1"/>
  <c r="H217" i="4" s="1"/>
  <c r="G217" i="8"/>
  <c r="I216" i="8"/>
  <c r="F216" i="8"/>
  <c r="E216" i="8" s="1"/>
  <c r="G216" i="8"/>
  <c r="D216" i="8" s="1"/>
  <c r="H216" i="4" s="1"/>
  <c r="B216" i="8"/>
  <c r="F216" i="4" s="1"/>
  <c r="F215" i="8"/>
  <c r="C215" i="8" s="1"/>
  <c r="G215" i="8"/>
  <c r="F214" i="8"/>
  <c r="G214" i="8"/>
  <c r="F213" i="8"/>
  <c r="G213" i="8"/>
  <c r="E213" i="8" s="1"/>
  <c r="I213" i="4" s="1"/>
  <c r="F212" i="8"/>
  <c r="B212" i="8" s="1"/>
  <c r="F212" i="4" s="1"/>
  <c r="G212" i="8"/>
  <c r="C212" i="8"/>
  <c r="G212" i="4" s="1"/>
  <c r="F211" i="8"/>
  <c r="G211" i="8"/>
  <c r="C211" i="8"/>
  <c r="F210" i="8"/>
  <c r="G210" i="8"/>
  <c r="E210" i="8" s="1"/>
  <c r="F209" i="8"/>
  <c r="E209" i="8" s="1"/>
  <c r="I209" i="4" s="1"/>
  <c r="G209" i="8"/>
  <c r="D209" i="8" s="1"/>
  <c r="H209" i="4" s="1"/>
  <c r="B209" i="8"/>
  <c r="F209" i="4" s="1"/>
  <c r="I208" i="8"/>
  <c r="F208" i="8"/>
  <c r="G208" i="8"/>
  <c r="E208" i="8" s="1"/>
  <c r="I208" i="4" s="1"/>
  <c r="I207" i="8"/>
  <c r="F207" i="8"/>
  <c r="G207" i="8"/>
  <c r="E207" i="8" s="1"/>
  <c r="D207" i="8"/>
  <c r="H207" i="4" s="1"/>
  <c r="C207" i="8"/>
  <c r="G207" i="4" s="1"/>
  <c r="F206" i="8"/>
  <c r="C206" i="8" s="1"/>
  <c r="G206" i="8"/>
  <c r="F205" i="8"/>
  <c r="T205" i="3"/>
  <c r="P205" i="8" s="1"/>
  <c r="L205" i="8"/>
  <c r="J205" i="8"/>
  <c r="G205" i="8"/>
  <c r="O205" i="8"/>
  <c r="F203" i="8"/>
  <c r="G203" i="8"/>
  <c r="B203" i="8"/>
  <c r="F203" i="4" s="1"/>
  <c r="F202" i="8"/>
  <c r="G202" i="8"/>
  <c r="C202" i="8" s="1"/>
  <c r="G202" i="4" s="1"/>
  <c r="D202" i="8"/>
  <c r="H202" i="4" s="1"/>
  <c r="I201" i="8"/>
  <c r="F201" i="8"/>
  <c r="G201" i="8"/>
  <c r="D201" i="8" s="1"/>
  <c r="H201" i="4" s="1"/>
  <c r="E201" i="8"/>
  <c r="I201" i="4" s="1"/>
  <c r="B201" i="8"/>
  <c r="F200" i="8"/>
  <c r="E200" i="8" s="1"/>
  <c r="I200" i="4" s="1"/>
  <c r="G200" i="8"/>
  <c r="B200" i="8"/>
  <c r="F200" i="4" s="1"/>
  <c r="F199" i="8"/>
  <c r="E199" i="8" s="1"/>
  <c r="I199" i="4" s="1"/>
  <c r="G199" i="8"/>
  <c r="F198" i="8"/>
  <c r="E198" i="8" s="1"/>
  <c r="I198" i="4" s="1"/>
  <c r="G198" i="8"/>
  <c r="C198" i="8" s="1"/>
  <c r="G198" i="4" s="1"/>
  <c r="F197" i="8"/>
  <c r="E197" i="8" s="1"/>
  <c r="I197" i="4" s="1"/>
  <c r="G197" i="8"/>
  <c r="F196" i="8"/>
  <c r="G196" i="8"/>
  <c r="F195" i="8"/>
  <c r="G195" i="8"/>
  <c r="B195" i="8" s="1"/>
  <c r="F195" i="4" s="1"/>
  <c r="E195" i="8"/>
  <c r="I195" i="4" s="1"/>
  <c r="F193" i="8"/>
  <c r="G193" i="8"/>
  <c r="C193" i="8" s="1"/>
  <c r="G193" i="4" s="1"/>
  <c r="E193" i="8"/>
  <c r="I193" i="4" s="1"/>
  <c r="F192" i="8"/>
  <c r="G192" i="8"/>
  <c r="F191" i="8"/>
  <c r="G191" i="8"/>
  <c r="E191" i="8" s="1"/>
  <c r="I191" i="4" s="1"/>
  <c r="F190" i="8"/>
  <c r="G190" i="8"/>
  <c r="F189" i="8"/>
  <c r="G189" i="8"/>
  <c r="F188" i="8"/>
  <c r="B188" i="8" s="1"/>
  <c r="F188" i="4" s="1"/>
  <c r="G188" i="8"/>
  <c r="F187" i="8"/>
  <c r="C187" i="8" s="1"/>
  <c r="G187" i="4" s="1"/>
  <c r="G187" i="8"/>
  <c r="F186" i="8"/>
  <c r="C186" i="8" s="1"/>
  <c r="G186" i="4" s="1"/>
  <c r="G186" i="8"/>
  <c r="F185" i="8"/>
  <c r="E185" i="8" s="1"/>
  <c r="I185" i="4" s="1"/>
  <c r="G185" i="8"/>
  <c r="F184" i="8"/>
  <c r="G184" i="8"/>
  <c r="C184" i="8"/>
  <c r="G184" i="4" s="1"/>
  <c r="F183" i="8"/>
  <c r="E183" i="8" s="1"/>
  <c r="I183" i="4" s="1"/>
  <c r="G183" i="8"/>
  <c r="C183" i="8"/>
  <c r="G183" i="4" s="1"/>
  <c r="F182" i="8"/>
  <c r="G182" i="8"/>
  <c r="F181" i="8"/>
  <c r="D181" i="8" s="1"/>
  <c r="H181" i="4" s="1"/>
  <c r="G181" i="8"/>
  <c r="F180" i="8"/>
  <c r="E180" i="8" s="1"/>
  <c r="I180" i="4" s="1"/>
  <c r="G180" i="8"/>
  <c r="D180" i="8"/>
  <c r="H180" i="4" s="1"/>
  <c r="F179" i="8"/>
  <c r="C179" i="8" s="1"/>
  <c r="G179" i="4" s="1"/>
  <c r="G179" i="8"/>
  <c r="F178" i="8"/>
  <c r="C178" i="8" s="1"/>
  <c r="G178" i="4" s="1"/>
  <c r="G178" i="8"/>
  <c r="B178" i="8" s="1"/>
  <c r="F178" i="4" s="1"/>
  <c r="E178" i="8"/>
  <c r="I178" i="4" s="1"/>
  <c r="F177" i="8"/>
  <c r="D177" i="8" s="1"/>
  <c r="H177" i="4" s="1"/>
  <c r="G177" i="8"/>
  <c r="E177" i="8"/>
  <c r="I177" i="4" s="1"/>
  <c r="F176" i="8"/>
  <c r="C176" i="8" s="1"/>
  <c r="G176" i="4" s="1"/>
  <c r="G176" i="8"/>
  <c r="F175" i="8"/>
  <c r="E175" i="8" s="1"/>
  <c r="I175" i="4" s="1"/>
  <c r="G175" i="8"/>
  <c r="B175" i="8"/>
  <c r="F175" i="4" s="1"/>
  <c r="F174" i="8"/>
  <c r="E174" i="8" s="1"/>
  <c r="I174" i="4" s="1"/>
  <c r="G174" i="8"/>
  <c r="C174" i="8"/>
  <c r="G174" i="4" s="1"/>
  <c r="F173" i="8"/>
  <c r="C173" i="8" s="1"/>
  <c r="G173" i="4" s="1"/>
  <c r="G173" i="8"/>
  <c r="D173" i="8"/>
  <c r="H173" i="4" s="1"/>
  <c r="F172" i="8"/>
  <c r="D172" i="8" s="1"/>
  <c r="H172" i="4" s="1"/>
  <c r="G172" i="8"/>
  <c r="E172" i="8"/>
  <c r="I172" i="4" s="1"/>
  <c r="F171" i="8"/>
  <c r="D171" i="8" s="1"/>
  <c r="H171" i="4" s="1"/>
  <c r="G171" i="8"/>
  <c r="C171" i="8" s="1"/>
  <c r="G171" i="4" s="1"/>
  <c r="E171" i="8"/>
  <c r="I171" i="4" s="1"/>
  <c r="B171" i="8"/>
  <c r="F171" i="4" s="1"/>
  <c r="F170" i="8"/>
  <c r="C170" i="8" s="1"/>
  <c r="G170" i="4" s="1"/>
  <c r="G170" i="8"/>
  <c r="F169" i="8"/>
  <c r="G169" i="8"/>
  <c r="E169" i="8" s="1"/>
  <c r="I169" i="4" s="1"/>
  <c r="F168" i="8"/>
  <c r="E168" i="8" s="1"/>
  <c r="G168" i="8"/>
  <c r="D168" i="8"/>
  <c r="H168" i="4" s="1"/>
  <c r="F167" i="8"/>
  <c r="E167" i="8" s="1"/>
  <c r="I167" i="4" s="1"/>
  <c r="G167" i="8"/>
  <c r="F166" i="8"/>
  <c r="G166" i="8"/>
  <c r="F165" i="8"/>
  <c r="E165" i="8" s="1"/>
  <c r="I165" i="4" s="1"/>
  <c r="G165" i="8"/>
  <c r="D165" i="8"/>
  <c r="H165" i="4" s="1"/>
  <c r="F164" i="8"/>
  <c r="G164" i="8"/>
  <c r="F163" i="8"/>
  <c r="G163" i="8"/>
  <c r="F162" i="8"/>
  <c r="G162" i="8"/>
  <c r="E162" i="8"/>
  <c r="I162" i="4" s="1"/>
  <c r="F161" i="8"/>
  <c r="E161" i="8" s="1"/>
  <c r="I161" i="4" s="1"/>
  <c r="G161" i="8"/>
  <c r="F160" i="8"/>
  <c r="G160" i="8"/>
  <c r="F159" i="8"/>
  <c r="D159" i="8" s="1"/>
  <c r="H159" i="4" s="1"/>
  <c r="G159" i="8"/>
  <c r="C159" i="8" s="1"/>
  <c r="G159" i="4" s="1"/>
  <c r="E159" i="8"/>
  <c r="I159" i="4" s="1"/>
  <c r="F158" i="8"/>
  <c r="G158" i="8"/>
  <c r="B158" i="8" s="1"/>
  <c r="F158" i="4" s="1"/>
  <c r="F157" i="8"/>
  <c r="G157" i="8"/>
  <c r="F156" i="8"/>
  <c r="E156" i="8" s="1"/>
  <c r="I156" i="4" s="1"/>
  <c r="G156" i="8"/>
  <c r="F155" i="8"/>
  <c r="C155" i="8" s="1"/>
  <c r="G155" i="4" s="1"/>
  <c r="G155" i="8"/>
  <c r="F154" i="8"/>
  <c r="G154" i="8"/>
  <c r="C154" i="8" s="1"/>
  <c r="G154" i="4" s="1"/>
  <c r="F153" i="8"/>
  <c r="E153" i="8" s="1"/>
  <c r="I153" i="4" s="1"/>
  <c r="G153" i="8"/>
  <c r="F152" i="8"/>
  <c r="G152" i="8"/>
  <c r="F151" i="8"/>
  <c r="E151" i="8" s="1"/>
  <c r="I151" i="4" s="1"/>
  <c r="G151" i="8"/>
  <c r="B151" i="8"/>
  <c r="F151" i="4" s="1"/>
  <c r="F150" i="8"/>
  <c r="E150" i="8" s="1"/>
  <c r="I150" i="4" s="1"/>
  <c r="G150" i="8"/>
  <c r="F149" i="8"/>
  <c r="D149" i="8" s="1"/>
  <c r="H149" i="4" s="1"/>
  <c r="G149" i="8"/>
  <c r="F148" i="8"/>
  <c r="D148" i="8" s="1"/>
  <c r="H148" i="4" s="1"/>
  <c r="G148" i="8"/>
  <c r="F147" i="8"/>
  <c r="E147" i="8" s="1"/>
  <c r="I147" i="4" s="1"/>
  <c r="G147" i="8"/>
  <c r="F146" i="8"/>
  <c r="E146" i="8" s="1"/>
  <c r="I146" i="4" s="1"/>
  <c r="G146" i="8"/>
  <c r="C146" i="8" s="1"/>
  <c r="G146" i="4" s="1"/>
  <c r="F145" i="8"/>
  <c r="E145" i="8" s="1"/>
  <c r="I145" i="4" s="1"/>
  <c r="G145" i="8"/>
  <c r="B145" i="8"/>
  <c r="F144" i="8"/>
  <c r="E144" i="8" s="1"/>
  <c r="I144" i="4" s="1"/>
  <c r="G144" i="8"/>
  <c r="F143" i="8"/>
  <c r="G143" i="8"/>
  <c r="I142" i="8"/>
  <c r="F142" i="8"/>
  <c r="G142" i="8"/>
  <c r="F140" i="8"/>
  <c r="G140" i="8"/>
  <c r="D140" i="8" s="1"/>
  <c r="H140" i="4" s="1"/>
  <c r="F139" i="8"/>
  <c r="E139" i="8" s="1"/>
  <c r="G139" i="8"/>
  <c r="F138" i="8"/>
  <c r="G138" i="8"/>
  <c r="D138" i="8"/>
  <c r="H138" i="4" s="1"/>
  <c r="F137" i="8"/>
  <c r="G137" i="8"/>
  <c r="E137" i="8" s="1"/>
  <c r="I137" i="4" s="1"/>
  <c r="I136" i="8"/>
  <c r="P136" i="3"/>
  <c r="Q136" i="3" s="1"/>
  <c r="H136" i="6" s="1"/>
  <c r="F136" i="8"/>
  <c r="D136" i="8" s="1"/>
  <c r="H136" i="4" s="1"/>
  <c r="T136" i="3"/>
  <c r="P136" i="8" s="1"/>
  <c r="L136" i="8"/>
  <c r="AG136" i="8" s="1"/>
  <c r="J136" i="8"/>
  <c r="G136" i="8"/>
  <c r="O136" i="8"/>
  <c r="F135" i="8"/>
  <c r="G135" i="8"/>
  <c r="F134" i="8"/>
  <c r="C134" i="8" s="1"/>
  <c r="G134" i="4" s="1"/>
  <c r="G134" i="8"/>
  <c r="F133" i="8"/>
  <c r="E133" i="8" s="1"/>
  <c r="I133" i="4" s="1"/>
  <c r="G133" i="8"/>
  <c r="F132" i="8"/>
  <c r="G132" i="8"/>
  <c r="B132" i="8"/>
  <c r="F132" i="4" s="1"/>
  <c r="F131" i="8"/>
  <c r="E131" i="8" s="1"/>
  <c r="I131" i="4" s="1"/>
  <c r="G131" i="8"/>
  <c r="F130" i="8"/>
  <c r="E130" i="8" s="1"/>
  <c r="I130" i="4" s="1"/>
  <c r="G130" i="8"/>
  <c r="F129" i="8"/>
  <c r="D129" i="8" s="1"/>
  <c r="H129" i="4" s="1"/>
  <c r="G129" i="8"/>
  <c r="E129" i="8"/>
  <c r="I129" i="4" s="1"/>
  <c r="F128" i="8"/>
  <c r="G128" i="8"/>
  <c r="F127" i="8"/>
  <c r="C127" i="8" s="1"/>
  <c r="G127" i="4" s="1"/>
  <c r="G127" i="8"/>
  <c r="F126" i="8"/>
  <c r="C126" i="8" s="1"/>
  <c r="G126" i="4" s="1"/>
  <c r="G126" i="8"/>
  <c r="F125" i="8"/>
  <c r="C125" i="8" s="1"/>
  <c r="G125" i="4" s="1"/>
  <c r="G125" i="8"/>
  <c r="B125" i="8" s="1"/>
  <c r="D125" i="8"/>
  <c r="H125" i="4" s="1"/>
  <c r="F124" i="8"/>
  <c r="G124" i="8"/>
  <c r="E124" i="8" s="1"/>
  <c r="I124" i="4" s="1"/>
  <c r="F123" i="8"/>
  <c r="D123" i="8" s="1"/>
  <c r="H123" i="4" s="1"/>
  <c r="G123" i="8"/>
  <c r="C123" i="8" s="1"/>
  <c r="G123" i="4" s="1"/>
  <c r="E123" i="8"/>
  <c r="I123" i="4" s="1"/>
  <c r="F122" i="8"/>
  <c r="D122" i="8" s="1"/>
  <c r="G122" i="8"/>
  <c r="C122" i="8" s="1"/>
  <c r="G122" i="4" s="1"/>
  <c r="E122" i="8"/>
  <c r="I122" i="4" s="1"/>
  <c r="F121" i="8"/>
  <c r="E121" i="8" s="1"/>
  <c r="I121" i="4" s="1"/>
  <c r="G121" i="8"/>
  <c r="F120" i="8"/>
  <c r="G120" i="8"/>
  <c r="F119" i="8"/>
  <c r="G119" i="8"/>
  <c r="F118" i="8"/>
  <c r="C118" i="8" s="1"/>
  <c r="G118" i="4" s="1"/>
  <c r="G118" i="8"/>
  <c r="F117" i="8"/>
  <c r="E117" i="8" s="1"/>
  <c r="I117" i="4" s="1"/>
  <c r="G117" i="8"/>
  <c r="D117" i="8"/>
  <c r="H117" i="4" s="1"/>
  <c r="F116" i="8"/>
  <c r="G116" i="8"/>
  <c r="F115" i="8"/>
  <c r="C115" i="8" s="1"/>
  <c r="G115" i="4" s="1"/>
  <c r="G115" i="8"/>
  <c r="B115" i="8" s="1"/>
  <c r="E115" i="8"/>
  <c r="I115" i="4" s="1"/>
  <c r="D115" i="8"/>
  <c r="H115" i="4" s="1"/>
  <c r="F114" i="8"/>
  <c r="D114" i="8" s="1"/>
  <c r="H114" i="4" s="1"/>
  <c r="G114" i="8"/>
  <c r="E114" i="8"/>
  <c r="I114" i="4" s="1"/>
  <c r="F113" i="8"/>
  <c r="G113" i="8"/>
  <c r="F112" i="8"/>
  <c r="B112" i="8" s="1"/>
  <c r="F112" i="4" s="1"/>
  <c r="G112" i="8"/>
  <c r="F111" i="8"/>
  <c r="D111" i="8" s="1"/>
  <c r="H111" i="4" s="1"/>
  <c r="G111" i="8"/>
  <c r="C111" i="8" s="1"/>
  <c r="G111" i="4" s="1"/>
  <c r="E111" i="8"/>
  <c r="I111" i="4" s="1"/>
  <c r="F110" i="8"/>
  <c r="G110" i="8"/>
  <c r="F109" i="8"/>
  <c r="E109" i="8" s="1"/>
  <c r="I109" i="4" s="1"/>
  <c r="G109" i="8"/>
  <c r="C109" i="8"/>
  <c r="G109" i="4" s="1"/>
  <c r="F108" i="8"/>
  <c r="B108" i="8" s="1"/>
  <c r="F108" i="4" s="1"/>
  <c r="G108" i="8"/>
  <c r="E108" i="8"/>
  <c r="I108" i="4" s="1"/>
  <c r="F107" i="8"/>
  <c r="D107" i="8" s="1"/>
  <c r="H107" i="4" s="1"/>
  <c r="G107" i="8"/>
  <c r="E107" i="8"/>
  <c r="I107" i="4" s="1"/>
  <c r="F106" i="8"/>
  <c r="G106" i="8"/>
  <c r="E106" i="8" s="1"/>
  <c r="I106" i="4" s="1"/>
  <c r="F105" i="8"/>
  <c r="G105" i="8"/>
  <c r="E105" i="8"/>
  <c r="F104" i="8"/>
  <c r="B104" i="8" s="1"/>
  <c r="F104" i="4" s="1"/>
  <c r="G104" i="8"/>
  <c r="I103" i="8"/>
  <c r="P103" i="3"/>
  <c r="Q103" i="3" s="1"/>
  <c r="M103" i="8" s="1"/>
  <c r="F103" i="8"/>
  <c r="T103" i="3"/>
  <c r="P103" i="8" s="1"/>
  <c r="L103" i="8"/>
  <c r="AG103" i="8" s="1"/>
  <c r="J103" i="8"/>
  <c r="G103" i="8"/>
  <c r="O103" i="8"/>
  <c r="P102" i="3"/>
  <c r="Q102" i="3" s="1"/>
  <c r="F102" i="8"/>
  <c r="T102" i="3"/>
  <c r="P102" i="8" s="1"/>
  <c r="L102" i="8"/>
  <c r="AG102" i="8" s="1"/>
  <c r="J102" i="8"/>
  <c r="G102" i="8"/>
  <c r="O102" i="8"/>
  <c r="I101" i="8"/>
  <c r="F101" i="8"/>
  <c r="E101" i="8" s="1"/>
  <c r="G101" i="8"/>
  <c r="B101" i="8"/>
  <c r="F101" i="4" s="1"/>
  <c r="I100" i="8"/>
  <c r="P100" i="3"/>
  <c r="Q100" i="3" s="1"/>
  <c r="E100" i="7" s="1"/>
  <c r="F100" i="8"/>
  <c r="B100" i="8" s="1"/>
  <c r="T100" i="3"/>
  <c r="P100" i="8" s="1"/>
  <c r="L100" i="8"/>
  <c r="AG100" i="8" s="1"/>
  <c r="J100" i="8"/>
  <c r="G100" i="8"/>
  <c r="O100" i="8"/>
  <c r="P99" i="3"/>
  <c r="Q99" i="3" s="1"/>
  <c r="R99" i="3" s="1"/>
  <c r="F99" i="8"/>
  <c r="T99" i="3"/>
  <c r="P99" i="8" s="1"/>
  <c r="L99" i="8"/>
  <c r="AG99" i="8"/>
  <c r="J99" i="8"/>
  <c r="G99" i="8"/>
  <c r="E99" i="8" s="1"/>
  <c r="I99" i="4" s="1"/>
  <c r="O99" i="8"/>
  <c r="I98" i="8"/>
  <c r="P98" i="3"/>
  <c r="Q98" i="3" s="1"/>
  <c r="E98" i="7" s="1"/>
  <c r="F98" i="8"/>
  <c r="T98" i="3"/>
  <c r="P98" i="8" s="1"/>
  <c r="L98" i="8"/>
  <c r="AG98" i="8" s="1"/>
  <c r="J98" i="8"/>
  <c r="G98" i="8"/>
  <c r="O98" i="8"/>
  <c r="I97" i="8"/>
  <c r="F97" i="8"/>
  <c r="E97" i="8" s="1"/>
  <c r="I97" i="4" s="1"/>
  <c r="G97" i="8"/>
  <c r="I96" i="8"/>
  <c r="P96" i="3"/>
  <c r="Q96" i="3" s="1"/>
  <c r="F96" i="8"/>
  <c r="B96" i="8" s="1"/>
  <c r="F96" i="4" s="1"/>
  <c r="T96" i="3"/>
  <c r="P96" i="8" s="1"/>
  <c r="AG96" i="8"/>
  <c r="J96" i="8"/>
  <c r="G96" i="8"/>
  <c r="O96" i="8"/>
  <c r="F95" i="8"/>
  <c r="D95" i="8" s="1"/>
  <c r="H95" i="4" s="1"/>
  <c r="G95" i="8"/>
  <c r="I94" i="8"/>
  <c r="P94" i="3"/>
  <c r="Q94" i="3" s="1"/>
  <c r="G94" i="5" s="1"/>
  <c r="F94" i="8"/>
  <c r="T94" i="3"/>
  <c r="P94" i="8" s="1"/>
  <c r="L94" i="8"/>
  <c r="AG94" i="8" s="1"/>
  <c r="J94" i="8"/>
  <c r="G94" i="8"/>
  <c r="O94" i="8"/>
  <c r="I93" i="8"/>
  <c r="F93" i="8"/>
  <c r="D93" i="8" s="1"/>
  <c r="H93" i="4" s="1"/>
  <c r="G93" i="8"/>
  <c r="I92" i="8"/>
  <c r="F92" i="8"/>
  <c r="D92" i="8" s="1"/>
  <c r="G92" i="8"/>
  <c r="I91" i="8"/>
  <c r="F91" i="8"/>
  <c r="G91" i="8"/>
  <c r="B91" i="8" s="1"/>
  <c r="F91" i="4" s="1"/>
  <c r="P90" i="3"/>
  <c r="Q90" i="3" s="1"/>
  <c r="F90" i="8"/>
  <c r="T90" i="3"/>
  <c r="P90" i="8" s="1"/>
  <c r="AG90" i="8"/>
  <c r="J90" i="8"/>
  <c r="G90" i="8"/>
  <c r="O90" i="8"/>
  <c r="I89" i="8"/>
  <c r="F89" i="8"/>
  <c r="D89" i="8" s="1"/>
  <c r="H89" i="4" s="1"/>
  <c r="G89" i="8"/>
  <c r="E89" i="8"/>
  <c r="I88" i="8"/>
  <c r="F88" i="8"/>
  <c r="G88" i="8"/>
  <c r="C88" i="8"/>
  <c r="G88" i="4" s="1"/>
  <c r="F87" i="8"/>
  <c r="E87" i="8" s="1"/>
  <c r="I87" i="4" s="1"/>
  <c r="T87" i="3"/>
  <c r="P87" i="8" s="1"/>
  <c r="L87" i="8"/>
  <c r="AG87" i="8" s="1"/>
  <c r="J87" i="8"/>
  <c r="G87" i="8"/>
  <c r="O87" i="8"/>
  <c r="I86" i="8"/>
  <c r="F86" i="8"/>
  <c r="B86" i="8" s="1"/>
  <c r="F86" i="4" s="1"/>
  <c r="G86" i="8"/>
  <c r="C86" i="8"/>
  <c r="I85" i="8"/>
  <c r="F85" i="8"/>
  <c r="E85" i="8" s="1"/>
  <c r="I85" i="4" s="1"/>
  <c r="G85" i="8"/>
  <c r="B85" i="8" s="1"/>
  <c r="I84" i="8"/>
  <c r="F84" i="8"/>
  <c r="G84" i="8"/>
  <c r="B84" i="8" s="1"/>
  <c r="F84" i="4" s="1"/>
  <c r="P82" i="3"/>
  <c r="Q82" i="3" s="1"/>
  <c r="F82" i="8"/>
  <c r="E82" i="8" s="1"/>
  <c r="I82" i="4" s="1"/>
  <c r="T82" i="3"/>
  <c r="P82" i="8" s="1"/>
  <c r="L82" i="8"/>
  <c r="AG82" i="8" s="1"/>
  <c r="J82" i="8"/>
  <c r="G82" i="8"/>
  <c r="O82" i="8"/>
  <c r="B82" i="8"/>
  <c r="F82" i="4" s="1"/>
  <c r="P81" i="3"/>
  <c r="Q81" i="3" s="1"/>
  <c r="H81" i="6" s="1"/>
  <c r="F81" i="8"/>
  <c r="T81" i="3"/>
  <c r="P81" i="8" s="1"/>
  <c r="L81" i="8"/>
  <c r="AG81" i="8" s="1"/>
  <c r="J81" i="8"/>
  <c r="G81" i="8"/>
  <c r="O81" i="8"/>
  <c r="B81" i="8"/>
  <c r="F81" i="4" s="1"/>
  <c r="I80" i="8"/>
  <c r="F80" i="8"/>
  <c r="G80" i="8"/>
  <c r="E80" i="8"/>
  <c r="I80" i="4" s="1"/>
  <c r="I79" i="8"/>
  <c r="P79" i="3"/>
  <c r="Q79" i="3" s="1"/>
  <c r="R79" i="3" s="1"/>
  <c r="I79" i="6" s="1"/>
  <c r="F79" i="8"/>
  <c r="E79" i="8" s="1"/>
  <c r="I79" i="4" s="1"/>
  <c r="T79" i="3"/>
  <c r="P79" i="8" s="1"/>
  <c r="L79" i="8"/>
  <c r="AG79" i="8" s="1"/>
  <c r="J79" i="8"/>
  <c r="G79" i="8"/>
  <c r="D79" i="8"/>
  <c r="H79" i="4" s="1"/>
  <c r="O79" i="8"/>
  <c r="C79" i="8"/>
  <c r="G79" i="4" s="1"/>
  <c r="B79" i="8"/>
  <c r="F79" i="4" s="1"/>
  <c r="P78" i="3"/>
  <c r="Q78" i="3" s="1"/>
  <c r="F78" i="8"/>
  <c r="T78" i="3"/>
  <c r="P78" i="8"/>
  <c r="L78" i="8"/>
  <c r="AG78" i="8" s="1"/>
  <c r="J78" i="8"/>
  <c r="G78" i="8"/>
  <c r="O78" i="8"/>
  <c r="I77" i="8"/>
  <c r="F77" i="8"/>
  <c r="G77" i="8"/>
  <c r="E77" i="8"/>
  <c r="I77" i="4" s="1"/>
  <c r="I76" i="8"/>
  <c r="F76" i="8"/>
  <c r="E76" i="8" s="1"/>
  <c r="G76" i="8"/>
  <c r="I75" i="8"/>
  <c r="F75" i="8"/>
  <c r="E75" i="8" s="1"/>
  <c r="I75" i="4" s="1"/>
  <c r="G75" i="8"/>
  <c r="P74" i="3"/>
  <c r="Q74" i="3" s="1"/>
  <c r="G74" i="5" s="1"/>
  <c r="F74" i="8"/>
  <c r="T74" i="3"/>
  <c r="P74" i="8"/>
  <c r="L74" i="8"/>
  <c r="AG74" i="8" s="1"/>
  <c r="J74" i="8"/>
  <c r="G74" i="8"/>
  <c r="C74" i="8" s="1"/>
  <c r="G74" i="4" s="1"/>
  <c r="D74" i="8"/>
  <c r="H74" i="4" s="1"/>
  <c r="O74" i="8"/>
  <c r="U74" i="8" s="1"/>
  <c r="I73" i="8"/>
  <c r="P73" i="3"/>
  <c r="Q73" i="3" s="1"/>
  <c r="M73" i="8" s="1"/>
  <c r="F73" i="8"/>
  <c r="T73" i="3"/>
  <c r="P73" i="8" s="1"/>
  <c r="L73" i="8"/>
  <c r="AG73" i="8" s="1"/>
  <c r="J73" i="8"/>
  <c r="G73" i="8"/>
  <c r="B73" i="8" s="1"/>
  <c r="F73" i="4" s="1"/>
  <c r="O73" i="8"/>
  <c r="U73" i="8" s="1"/>
  <c r="I72" i="8"/>
  <c r="F72" i="8"/>
  <c r="E72" i="8" s="1"/>
  <c r="I72" i="4" s="1"/>
  <c r="G72" i="8"/>
  <c r="I71" i="8"/>
  <c r="F71" i="8"/>
  <c r="E71" i="8" s="1"/>
  <c r="I71" i="4" s="1"/>
  <c r="G71" i="8"/>
  <c r="B71" i="8" s="1"/>
  <c r="F71" i="4" s="1"/>
  <c r="F70" i="8"/>
  <c r="G70" i="8"/>
  <c r="E70" i="8" s="1"/>
  <c r="I70" i="4" s="1"/>
  <c r="I69" i="8"/>
  <c r="F69" i="8"/>
  <c r="E69" i="8" s="1"/>
  <c r="I69" i="4" s="1"/>
  <c r="G69" i="8"/>
  <c r="B69" i="8" s="1"/>
  <c r="F69" i="4" s="1"/>
  <c r="I68" i="8"/>
  <c r="F68" i="8"/>
  <c r="G68" i="8"/>
  <c r="C68" i="8" s="1"/>
  <c r="G68" i="4" s="1"/>
  <c r="B68" i="8"/>
  <c r="F68" i="4" s="1"/>
  <c r="I67" i="8"/>
  <c r="F67" i="8"/>
  <c r="G67" i="8"/>
  <c r="F66" i="8"/>
  <c r="G66" i="8"/>
  <c r="I65" i="8"/>
  <c r="F65" i="8"/>
  <c r="E65" i="8" s="1"/>
  <c r="I65" i="4" s="1"/>
  <c r="G65" i="8"/>
  <c r="I64" i="8"/>
  <c r="F64" i="8"/>
  <c r="D64" i="8" s="1"/>
  <c r="G64" i="8"/>
  <c r="I63" i="8"/>
  <c r="F63" i="8"/>
  <c r="G63" i="8"/>
  <c r="D63" i="8" s="1"/>
  <c r="H63" i="4" s="1"/>
  <c r="E63" i="8"/>
  <c r="I63" i="4" s="1"/>
  <c r="F62" i="8"/>
  <c r="E62" i="8" s="1"/>
  <c r="I62" i="4" s="1"/>
  <c r="G62" i="8"/>
  <c r="B62" i="8"/>
  <c r="I61" i="8"/>
  <c r="F61" i="8"/>
  <c r="G61" i="8"/>
  <c r="E61" i="8"/>
  <c r="I60" i="8"/>
  <c r="F60" i="8"/>
  <c r="G60" i="8"/>
  <c r="I59" i="8"/>
  <c r="F59" i="8"/>
  <c r="G59" i="8"/>
  <c r="D59" i="8" s="1"/>
  <c r="H59" i="4" s="1"/>
  <c r="F58" i="8"/>
  <c r="G58" i="8"/>
  <c r="I57" i="8"/>
  <c r="F57" i="8"/>
  <c r="C57" i="8" s="1"/>
  <c r="G57" i="4" s="1"/>
  <c r="G57" i="8"/>
  <c r="I56" i="8"/>
  <c r="F56" i="8"/>
  <c r="E56" i="8" s="1"/>
  <c r="I56" i="4" s="1"/>
  <c r="G56" i="8"/>
  <c r="I55" i="8"/>
  <c r="F55" i="8"/>
  <c r="E55" i="8" s="1"/>
  <c r="G55" i="8"/>
  <c r="F54" i="8"/>
  <c r="G54" i="8"/>
  <c r="D54" i="8" s="1"/>
  <c r="H54" i="4" s="1"/>
  <c r="E54" i="8"/>
  <c r="I54" i="4" s="1"/>
  <c r="I53" i="8"/>
  <c r="F53" i="8"/>
  <c r="G53" i="8"/>
  <c r="E53" i="8"/>
  <c r="I53" i="4" s="1"/>
  <c r="I52" i="8"/>
  <c r="P52" i="3"/>
  <c r="Q52" i="3" s="1"/>
  <c r="F52" i="8"/>
  <c r="T52" i="3"/>
  <c r="P52" i="8" s="1"/>
  <c r="L52" i="8"/>
  <c r="AG52" i="8" s="1"/>
  <c r="J52" i="8"/>
  <c r="G52" i="8"/>
  <c r="C52" i="8" s="1"/>
  <c r="G52" i="4" s="1"/>
  <c r="O52" i="8"/>
  <c r="I51" i="8"/>
  <c r="F51" i="8"/>
  <c r="D51" i="8" s="1"/>
  <c r="H51" i="4" s="1"/>
  <c r="G51" i="8"/>
  <c r="P50" i="3"/>
  <c r="Q50" i="3" s="1"/>
  <c r="E50" i="7" s="1"/>
  <c r="F50" i="8"/>
  <c r="T50" i="3"/>
  <c r="P50" i="8" s="1"/>
  <c r="L50" i="8"/>
  <c r="AG50" i="8"/>
  <c r="J50" i="8"/>
  <c r="G50" i="8"/>
  <c r="O50" i="8"/>
  <c r="F48" i="8"/>
  <c r="C48" i="8" s="1"/>
  <c r="G48" i="4" s="1"/>
  <c r="G48" i="8"/>
  <c r="F47" i="8"/>
  <c r="G47" i="8"/>
  <c r="F46" i="8"/>
  <c r="G46" i="8"/>
  <c r="N45" i="8"/>
  <c r="F45" i="8"/>
  <c r="T45" i="3"/>
  <c r="P45" i="8" s="1"/>
  <c r="L45" i="8"/>
  <c r="AG45" i="8"/>
  <c r="J45" i="8"/>
  <c r="G45" i="8"/>
  <c r="W45" i="8" s="1"/>
  <c r="Y45" i="8" s="1"/>
  <c r="O45" i="8"/>
  <c r="U45" i="8"/>
  <c r="V45" i="8" s="1"/>
  <c r="M45" i="8"/>
  <c r="F42" i="8"/>
  <c r="E42" i="8" s="1"/>
  <c r="I42" i="4" s="1"/>
  <c r="G42" i="8"/>
  <c r="F41" i="8"/>
  <c r="E41" i="8" s="1"/>
  <c r="I41" i="4" s="1"/>
  <c r="G41" i="8"/>
  <c r="F40" i="8"/>
  <c r="B40" i="8" s="1"/>
  <c r="F40" i="4" s="1"/>
  <c r="G40" i="8"/>
  <c r="F39" i="8"/>
  <c r="E39" i="8" s="1"/>
  <c r="I39" i="4" s="1"/>
  <c r="G39" i="8"/>
  <c r="D39" i="8"/>
  <c r="H39" i="4" s="1"/>
  <c r="F37" i="8"/>
  <c r="G37" i="8"/>
  <c r="I36" i="8"/>
  <c r="F36" i="8"/>
  <c r="E36" i="8" s="1"/>
  <c r="I36" i="4" s="1"/>
  <c r="G36" i="8"/>
  <c r="C36" i="8"/>
  <c r="I35" i="8"/>
  <c r="F35" i="8"/>
  <c r="G35" i="8"/>
  <c r="E35" i="8" s="1"/>
  <c r="F34" i="8"/>
  <c r="G34" i="8"/>
  <c r="B34" i="8"/>
  <c r="F34" i="4" s="1"/>
  <c r="F33" i="8"/>
  <c r="G33" i="8"/>
  <c r="D33" i="8"/>
  <c r="H33" i="4" s="1"/>
  <c r="F32" i="8"/>
  <c r="G32" i="8"/>
  <c r="F31" i="8"/>
  <c r="E31" i="8" s="1"/>
  <c r="G31" i="8"/>
  <c r="D31" i="8"/>
  <c r="H31" i="4" s="1"/>
  <c r="F30" i="8"/>
  <c r="C30" i="8" s="1"/>
  <c r="G30" i="8"/>
  <c r="N29" i="8"/>
  <c r="AI29" i="8"/>
  <c r="F29" i="8"/>
  <c r="AH29" i="8" s="1"/>
  <c r="AK29" i="8" s="1"/>
  <c r="P29" i="8"/>
  <c r="AG29" i="8"/>
  <c r="AP29" i="8" s="1"/>
  <c r="J29" i="8"/>
  <c r="G29" i="8"/>
  <c r="AJ29" i="8"/>
  <c r="S29" i="3"/>
  <c r="O29" i="8" s="1"/>
  <c r="M29" i="8"/>
  <c r="I28" i="8"/>
  <c r="F28" i="8"/>
  <c r="C28" i="8" s="1"/>
  <c r="G28" i="4" s="1"/>
  <c r="G28" i="8"/>
  <c r="F27" i="8"/>
  <c r="G27" i="8"/>
  <c r="N26" i="8"/>
  <c r="F26" i="8"/>
  <c r="B26" i="8" s="1"/>
  <c r="P26" i="8"/>
  <c r="L26" i="8"/>
  <c r="AG26" i="8"/>
  <c r="J26" i="8"/>
  <c r="G26" i="8"/>
  <c r="E26" i="8"/>
  <c r="I26" i="4" s="1"/>
  <c r="S26" i="3"/>
  <c r="O26" i="8" s="1"/>
  <c r="M26" i="8"/>
  <c r="F25" i="8"/>
  <c r="E25" i="8" s="1"/>
  <c r="G25" i="8"/>
  <c r="C25" i="8"/>
  <c r="G25" i="4" s="1"/>
  <c r="F24" i="8"/>
  <c r="G24" i="8"/>
  <c r="I23" i="8"/>
  <c r="F23" i="8"/>
  <c r="E23" i="8" s="1"/>
  <c r="G23" i="8"/>
  <c r="B23" i="8"/>
  <c r="F23" i="4" s="1"/>
  <c r="F22" i="8"/>
  <c r="G22" i="8"/>
  <c r="C22" i="8" s="1"/>
  <c r="F21" i="8"/>
  <c r="D21" i="8" s="1"/>
  <c r="H21" i="4" s="1"/>
  <c r="G21" i="8"/>
  <c r="I20" i="8"/>
  <c r="F20" i="8"/>
  <c r="E20" i="8" s="1"/>
  <c r="I20" i="4" s="1"/>
  <c r="G20" i="8"/>
  <c r="N19" i="8"/>
  <c r="AI19" i="8"/>
  <c r="F19" i="8"/>
  <c r="P19" i="8"/>
  <c r="L19" i="8"/>
  <c r="AG19" i="8"/>
  <c r="J19" i="8"/>
  <c r="I19" i="8"/>
  <c r="G19" i="8"/>
  <c r="C19" i="8" s="1"/>
  <c r="G19" i="4" s="1"/>
  <c r="E19" i="8"/>
  <c r="I19" i="4" s="1"/>
  <c r="O19" i="8"/>
  <c r="U19" i="8" s="1"/>
  <c r="M19" i="8"/>
  <c r="N18" i="8"/>
  <c r="AJ18" i="8" s="1"/>
  <c r="F18" i="8"/>
  <c r="B18" i="8" s="1"/>
  <c r="P18" i="8"/>
  <c r="AG18" i="8"/>
  <c r="J18" i="8"/>
  <c r="I18" i="8"/>
  <c r="G18" i="8"/>
  <c r="E18" i="8"/>
  <c r="O18" i="8"/>
  <c r="M18" i="8"/>
  <c r="N17" i="8"/>
  <c r="AJ17" i="8" s="1"/>
  <c r="AI17" i="8"/>
  <c r="F17" i="8"/>
  <c r="P17" i="8"/>
  <c r="AG17" i="8"/>
  <c r="J17" i="8"/>
  <c r="G17" i="8"/>
  <c r="C17" i="8" s="1"/>
  <c r="S17" i="3"/>
  <c r="O17" i="8"/>
  <c r="M17" i="8"/>
  <c r="F16" i="8"/>
  <c r="G16" i="8"/>
  <c r="D16" i="8"/>
  <c r="H16" i="4" s="1"/>
  <c r="I15" i="8"/>
  <c r="F15" i="8"/>
  <c r="G15" i="8"/>
  <c r="B15" i="8" s="1"/>
  <c r="F15" i="4" s="1"/>
  <c r="F14" i="8"/>
  <c r="E14" i="8" s="1"/>
  <c r="I14" i="4" s="1"/>
  <c r="G14" i="8"/>
  <c r="F13" i="8"/>
  <c r="G13" i="8"/>
  <c r="F12" i="8"/>
  <c r="G12" i="8"/>
  <c r="B12" i="8" s="1"/>
  <c r="D12" i="8"/>
  <c r="H12" i="4" s="1"/>
  <c r="C12" i="8"/>
  <c r="F11" i="8"/>
  <c r="E11" i="8" s="1"/>
  <c r="I11" i="4" s="1"/>
  <c r="G11" i="8"/>
  <c r="C11" i="8"/>
  <c r="G11" i="4" s="1"/>
  <c r="I16" i="8"/>
  <c r="I11" i="8"/>
  <c r="Q310" i="3"/>
  <c r="E310" i="7" s="1"/>
  <c r="L310" i="8"/>
  <c r="AG310" i="8" s="1"/>
  <c r="P309" i="3"/>
  <c r="Q309" i="3" s="1"/>
  <c r="M309" i="8" s="1"/>
  <c r="L309" i="8"/>
  <c r="AG309" i="8"/>
  <c r="P308" i="3"/>
  <c r="Q308" i="3" s="1"/>
  <c r="M308" i="8" s="1"/>
  <c r="L308" i="8"/>
  <c r="AG308" i="8" s="1"/>
  <c r="P307" i="3"/>
  <c r="L307" i="8"/>
  <c r="AG307" i="8" s="1"/>
  <c r="P306" i="3"/>
  <c r="Q306" i="3" s="1"/>
  <c r="G306" i="5" s="1"/>
  <c r="L306" i="8"/>
  <c r="AG306" i="8" s="1"/>
  <c r="P305" i="3"/>
  <c r="Q305" i="3" s="1"/>
  <c r="H305" i="6" s="1"/>
  <c r="AG305" i="8"/>
  <c r="P304" i="3"/>
  <c r="Q304" i="3" s="1"/>
  <c r="E304" i="7" s="1"/>
  <c r="L304" i="8"/>
  <c r="AG304" i="8" s="1"/>
  <c r="L302" i="8"/>
  <c r="AG302" i="8" s="1"/>
  <c r="L301" i="8"/>
  <c r="AG301" i="8" s="1"/>
  <c r="L300" i="8"/>
  <c r="AG300" i="8" s="1"/>
  <c r="L299" i="8"/>
  <c r="AG299" i="8"/>
  <c r="L298" i="8"/>
  <c r="AG298" i="8" s="1"/>
  <c r="L297" i="8"/>
  <c r="AG297" i="8"/>
  <c r="L296" i="8"/>
  <c r="AG296" i="8" s="1"/>
  <c r="L295" i="8"/>
  <c r="AG295" i="8" s="1"/>
  <c r="L294" i="8"/>
  <c r="AG294" i="8"/>
  <c r="L293" i="8"/>
  <c r="AG293" i="8" s="1"/>
  <c r="L292" i="8"/>
  <c r="AG292" i="8" s="1"/>
  <c r="L291" i="8"/>
  <c r="AG291" i="8"/>
  <c r="AG290" i="8"/>
  <c r="L289" i="8"/>
  <c r="AG289" i="8"/>
  <c r="AG288" i="8"/>
  <c r="AG287" i="8"/>
  <c r="AG286" i="8"/>
  <c r="L285" i="8"/>
  <c r="AG285" i="8" s="1"/>
  <c r="L284" i="8"/>
  <c r="AG284" i="8" s="1"/>
  <c r="AG283" i="8"/>
  <c r="AG282" i="8"/>
  <c r="L281" i="8"/>
  <c r="AG281" i="8" s="1"/>
  <c r="L280" i="8"/>
  <c r="AG280" i="8"/>
  <c r="AG279" i="8"/>
  <c r="AG278" i="8"/>
  <c r="L277" i="8"/>
  <c r="AG277" i="8"/>
  <c r="P275" i="3"/>
  <c r="L275" i="8"/>
  <c r="AG275" i="8" s="1"/>
  <c r="P274" i="3"/>
  <c r="Q274" i="3" s="1"/>
  <c r="AG274" i="8"/>
  <c r="P273" i="3"/>
  <c r="Q273" i="3" s="1"/>
  <c r="E273" i="7" s="1"/>
  <c r="AG273" i="8"/>
  <c r="P272" i="3"/>
  <c r="L272" i="8"/>
  <c r="AG272" i="8" s="1"/>
  <c r="P271" i="3"/>
  <c r="L271" i="8"/>
  <c r="AG271" i="8"/>
  <c r="P270" i="3"/>
  <c r="Q270" i="3" s="1"/>
  <c r="E270" i="7" s="1"/>
  <c r="AG270" i="8"/>
  <c r="P269" i="3"/>
  <c r="Q269" i="3" s="1"/>
  <c r="M269" i="8" s="1"/>
  <c r="AG269" i="8"/>
  <c r="P268" i="3"/>
  <c r="Q268" i="3" s="1"/>
  <c r="E268" i="7" s="1"/>
  <c r="Q267" i="3"/>
  <c r="M267" i="8" s="1"/>
  <c r="AG267" i="8"/>
  <c r="Q266" i="3"/>
  <c r="L266" i="8"/>
  <c r="AG266" i="8" s="1"/>
  <c r="Q265" i="3"/>
  <c r="M265" i="8" s="1"/>
  <c r="L265" i="8"/>
  <c r="AG265" i="8" s="1"/>
  <c r="Q264" i="3"/>
  <c r="M264" i="8" s="1"/>
  <c r="AG264" i="8"/>
  <c r="Q263" i="3"/>
  <c r="H263" i="6" s="1"/>
  <c r="AG263" i="8"/>
  <c r="P262" i="3"/>
  <c r="Q262" i="3" s="1"/>
  <c r="M262" i="8" s="1"/>
  <c r="AG262" i="8"/>
  <c r="P261" i="3"/>
  <c r="Q261" i="3" s="1"/>
  <c r="H261" i="6" s="1"/>
  <c r="AG261" i="8"/>
  <c r="P260" i="3"/>
  <c r="Q260" i="3" s="1"/>
  <c r="M260" i="8" s="1"/>
  <c r="L260" i="8"/>
  <c r="AG260" i="8" s="1"/>
  <c r="P259" i="3"/>
  <c r="Q259" i="3" s="1"/>
  <c r="H259" i="6" s="1"/>
  <c r="AG259" i="8"/>
  <c r="P258" i="3"/>
  <c r="Q258" i="3"/>
  <c r="M258" i="8" s="1"/>
  <c r="L258" i="8"/>
  <c r="AG258" i="8" s="1"/>
  <c r="P257" i="3"/>
  <c r="Q257" i="3" s="1"/>
  <c r="E257" i="7" s="1"/>
  <c r="AG257" i="8"/>
  <c r="P256" i="3"/>
  <c r="Q256" i="3" s="1"/>
  <c r="M256" i="8" s="1"/>
  <c r="L256" i="8"/>
  <c r="AG256" i="8"/>
  <c r="P255" i="3"/>
  <c r="Q255" i="3" s="1"/>
  <c r="L255" i="8"/>
  <c r="AG255" i="8" s="1"/>
  <c r="P254" i="3"/>
  <c r="Q254" i="3" s="1"/>
  <c r="M254" i="8" s="1"/>
  <c r="L254" i="8"/>
  <c r="AG254" i="8"/>
  <c r="Q253" i="3"/>
  <c r="AG253" i="8"/>
  <c r="P252" i="3"/>
  <c r="Q252" i="3" s="1"/>
  <c r="L252" i="8"/>
  <c r="AG252" i="8" s="1"/>
  <c r="P251" i="3"/>
  <c r="Q251" i="3" s="1"/>
  <c r="M251" i="8" s="1"/>
  <c r="AG251" i="8"/>
  <c r="P250" i="3"/>
  <c r="Q250" i="3" s="1"/>
  <c r="E250" i="7" s="1"/>
  <c r="L250" i="8"/>
  <c r="AG250" i="8"/>
  <c r="P249" i="3"/>
  <c r="Q249" i="3" s="1"/>
  <c r="E249" i="7" s="1"/>
  <c r="L249" i="8"/>
  <c r="AG249" i="8" s="1"/>
  <c r="Q248" i="3"/>
  <c r="R248" i="3" s="1"/>
  <c r="N248" i="8" s="1"/>
  <c r="AJ248" i="8" s="1"/>
  <c r="L248" i="8"/>
  <c r="AG248" i="8" s="1"/>
  <c r="P247" i="3"/>
  <c r="Q247" i="3" s="1"/>
  <c r="E247" i="7" s="1"/>
  <c r="L247" i="8"/>
  <c r="AG247" i="8" s="1"/>
  <c r="P246" i="3"/>
  <c r="Q246" i="3" s="1"/>
  <c r="M246" i="8" s="1"/>
  <c r="L246" i="8"/>
  <c r="AG246" i="8"/>
  <c r="L244" i="8"/>
  <c r="AG244" i="8"/>
  <c r="L243" i="8"/>
  <c r="AG243" i="8" s="1"/>
  <c r="L242" i="8"/>
  <c r="AG242" i="8"/>
  <c r="L241" i="8"/>
  <c r="AG241" i="8" s="1"/>
  <c r="L239" i="8"/>
  <c r="AG239" i="8" s="1"/>
  <c r="AG238" i="8"/>
  <c r="AG237" i="8"/>
  <c r="L235" i="8"/>
  <c r="AG235" i="8" s="1"/>
  <c r="AG234" i="8"/>
  <c r="L231" i="8"/>
  <c r="AG231" i="8" s="1"/>
  <c r="AG230" i="8"/>
  <c r="L228" i="8"/>
  <c r="AG228" i="8" s="1"/>
  <c r="AG224" i="8"/>
  <c r="L223" i="8"/>
  <c r="AG223" i="8" s="1"/>
  <c r="AG222" i="8"/>
  <c r="L220" i="8"/>
  <c r="AG220" i="8" s="1"/>
  <c r="L219" i="8"/>
  <c r="AG219" i="8" s="1"/>
  <c r="AG218" i="8"/>
  <c r="L217" i="8"/>
  <c r="AG217" i="8" s="1"/>
  <c r="AG216" i="8"/>
  <c r="AG214" i="8"/>
  <c r="L213" i="8"/>
  <c r="AG213" i="8"/>
  <c r="L212" i="8"/>
  <c r="AG212" i="8" s="1"/>
  <c r="AG211" i="8"/>
  <c r="L210" i="8"/>
  <c r="AG210" i="8"/>
  <c r="L209" i="8"/>
  <c r="AG209" i="8" s="1"/>
  <c r="L208" i="8"/>
  <c r="AG208" i="8"/>
  <c r="L207" i="8"/>
  <c r="AG207" i="8" s="1"/>
  <c r="L206" i="8"/>
  <c r="AG206" i="8" s="1"/>
  <c r="Q203" i="3"/>
  <c r="M203" i="8" s="1"/>
  <c r="L203" i="8"/>
  <c r="AG203" i="8"/>
  <c r="P202" i="3"/>
  <c r="Q202" i="3" s="1"/>
  <c r="L202" i="8"/>
  <c r="AG202" i="8" s="1"/>
  <c r="P201" i="3"/>
  <c r="Q201" i="3"/>
  <c r="M201" i="8" s="1"/>
  <c r="Q200" i="3"/>
  <c r="H200" i="6" s="1"/>
  <c r="L200" i="8"/>
  <c r="AG200" i="8" s="1"/>
  <c r="Q199" i="3"/>
  <c r="E199" i="7" s="1"/>
  <c r="L199" i="8"/>
  <c r="AG199" i="8"/>
  <c r="Q198" i="3"/>
  <c r="M198" i="8" s="1"/>
  <c r="L198" i="8"/>
  <c r="AG198" i="8" s="1"/>
  <c r="Q197" i="3"/>
  <c r="H197" i="6" s="1"/>
  <c r="L197" i="8"/>
  <c r="AG197" i="8" s="1"/>
  <c r="Q196" i="3"/>
  <c r="L196" i="8"/>
  <c r="AG196" i="8" s="1"/>
  <c r="P195" i="3"/>
  <c r="Q195" i="3" s="1"/>
  <c r="L195" i="8"/>
  <c r="AG195" i="8" s="1"/>
  <c r="L193" i="8"/>
  <c r="AG193" i="8" s="1"/>
  <c r="L192" i="8"/>
  <c r="AG192" i="8" s="1"/>
  <c r="L191" i="8"/>
  <c r="AG191" i="8" s="1"/>
  <c r="L190" i="8"/>
  <c r="AG190" i="8" s="1"/>
  <c r="L189" i="8"/>
  <c r="AG189" i="8" s="1"/>
  <c r="L188" i="8"/>
  <c r="AG188" i="8" s="1"/>
  <c r="L187" i="8"/>
  <c r="AG187" i="8"/>
  <c r="L186" i="8"/>
  <c r="AG186" i="8" s="1"/>
  <c r="L185" i="8"/>
  <c r="AG185" i="8" s="1"/>
  <c r="L184" i="8"/>
  <c r="AG184" i="8" s="1"/>
  <c r="L183" i="8"/>
  <c r="AG183" i="8" s="1"/>
  <c r="L182" i="8"/>
  <c r="AG182" i="8" s="1"/>
  <c r="L181" i="8"/>
  <c r="AG181" i="8" s="1"/>
  <c r="L180" i="8"/>
  <c r="AG180" i="8" s="1"/>
  <c r="L179" i="8"/>
  <c r="AG179" i="8"/>
  <c r="L178" i="8"/>
  <c r="AG178" i="8" s="1"/>
  <c r="L177" i="8"/>
  <c r="AG177" i="8" s="1"/>
  <c r="L176" i="8"/>
  <c r="AG176" i="8" s="1"/>
  <c r="L175" i="8"/>
  <c r="AG175" i="8" s="1"/>
  <c r="L174" i="8"/>
  <c r="AG174" i="8" s="1"/>
  <c r="L173" i="8"/>
  <c r="AG173" i="8" s="1"/>
  <c r="L172" i="8"/>
  <c r="AG172" i="8" s="1"/>
  <c r="AG171" i="8"/>
  <c r="L170" i="8"/>
  <c r="AG170" i="8" s="1"/>
  <c r="L169" i="8"/>
  <c r="AG169" i="8" s="1"/>
  <c r="L168" i="8"/>
  <c r="AG168" i="8" s="1"/>
  <c r="L167" i="8"/>
  <c r="AG167" i="8"/>
  <c r="L166" i="8"/>
  <c r="AG166" i="8" s="1"/>
  <c r="L165" i="8"/>
  <c r="AG165" i="8" s="1"/>
  <c r="L164" i="8"/>
  <c r="AG164" i="8"/>
  <c r="L163" i="8"/>
  <c r="AG163" i="8"/>
  <c r="L162" i="8"/>
  <c r="AG162" i="8"/>
  <c r="L161" i="8"/>
  <c r="AG161" i="8"/>
  <c r="L160" i="8"/>
  <c r="AG160" i="8" s="1"/>
  <c r="L159" i="8"/>
  <c r="AG159" i="8" s="1"/>
  <c r="L158" i="8"/>
  <c r="AG158" i="8" s="1"/>
  <c r="L157" i="8"/>
  <c r="AG157" i="8" s="1"/>
  <c r="L156" i="8"/>
  <c r="AG156" i="8" s="1"/>
  <c r="L155" i="8"/>
  <c r="AG155" i="8" s="1"/>
  <c r="L154" i="8"/>
  <c r="AG154" i="8" s="1"/>
  <c r="L153" i="8"/>
  <c r="AG153" i="8" s="1"/>
  <c r="L152" i="8"/>
  <c r="AG152" i="8" s="1"/>
  <c r="L151" i="8"/>
  <c r="AG151" i="8" s="1"/>
  <c r="L150" i="8"/>
  <c r="AG150" i="8" s="1"/>
  <c r="L149" i="8"/>
  <c r="AG149" i="8" s="1"/>
  <c r="L148" i="8"/>
  <c r="AG148" i="8"/>
  <c r="L147" i="8"/>
  <c r="AG147" i="8"/>
  <c r="L146" i="8"/>
  <c r="AG146" i="8"/>
  <c r="L145" i="8"/>
  <c r="AG145" i="8"/>
  <c r="N144" i="8"/>
  <c r="L144" i="8"/>
  <c r="AG144" i="8"/>
  <c r="L143" i="8"/>
  <c r="AG143" i="8" s="1"/>
  <c r="L142" i="8"/>
  <c r="AG142" i="8"/>
  <c r="P140" i="3"/>
  <c r="Q140" i="3" s="1"/>
  <c r="E140" i="7" s="1"/>
  <c r="L140" i="8"/>
  <c r="AG140" i="8" s="1"/>
  <c r="P139" i="3"/>
  <c r="Q139" i="3" s="1"/>
  <c r="R139" i="3" s="1"/>
  <c r="N139" i="8" s="1"/>
  <c r="L139" i="8"/>
  <c r="AG139" i="8" s="1"/>
  <c r="P138" i="3"/>
  <c r="Q138" i="3" s="1"/>
  <c r="E138" i="7" s="1"/>
  <c r="L138" i="8"/>
  <c r="AG138" i="8"/>
  <c r="P137" i="3"/>
  <c r="Q137" i="3" s="1"/>
  <c r="E137" i="7" s="1"/>
  <c r="L137" i="8"/>
  <c r="AG137" i="8" s="1"/>
  <c r="P135" i="3"/>
  <c r="Q135" i="3" s="1"/>
  <c r="G135" i="5" s="1"/>
  <c r="L135" i="8"/>
  <c r="AG135" i="8"/>
  <c r="P134" i="3"/>
  <c r="Q134" i="3" s="1"/>
  <c r="M134" i="8" s="1"/>
  <c r="L134" i="8"/>
  <c r="AG134" i="8" s="1"/>
  <c r="P133" i="3"/>
  <c r="Q133" i="3" s="1"/>
  <c r="R133" i="3" s="1"/>
  <c r="I133" i="6" s="1"/>
  <c r="O133" i="3"/>
  <c r="L133" i="8" s="1"/>
  <c r="AG133" i="8"/>
  <c r="P132" i="3"/>
  <c r="Q132" i="3" s="1"/>
  <c r="M132" i="8" s="1"/>
  <c r="L132" i="8"/>
  <c r="AG132" i="8" s="1"/>
  <c r="P131" i="3"/>
  <c r="Q131" i="3" s="1"/>
  <c r="H131" i="6" s="1"/>
  <c r="L131" i="8"/>
  <c r="AG131" i="8"/>
  <c r="P130" i="3"/>
  <c r="Q130" i="3" s="1"/>
  <c r="M130" i="8" s="1"/>
  <c r="L130" i="8"/>
  <c r="AG130" i="8" s="1"/>
  <c r="P129" i="3"/>
  <c r="Q129" i="3" s="1"/>
  <c r="M129" i="8" s="1"/>
  <c r="L129" i="8"/>
  <c r="AG129" i="8"/>
  <c r="P128" i="3"/>
  <c r="Q128" i="3" s="1"/>
  <c r="M128" i="8" s="1"/>
  <c r="L128" i="8"/>
  <c r="AG128" i="8"/>
  <c r="P127" i="3"/>
  <c r="Q127" i="3" s="1"/>
  <c r="R127" i="3" s="1"/>
  <c r="N127" i="8" s="1"/>
  <c r="AI127" i="8" s="1"/>
  <c r="AG127" i="8"/>
  <c r="P126" i="3"/>
  <c r="Q126" i="3" s="1"/>
  <c r="R126" i="3" s="1"/>
  <c r="I126" i="6" s="1"/>
  <c r="L126" i="8"/>
  <c r="AG126" i="8" s="1"/>
  <c r="P125" i="3"/>
  <c r="Q125" i="3" s="1"/>
  <c r="M125" i="8" s="1"/>
  <c r="L125" i="8"/>
  <c r="AG125" i="8" s="1"/>
  <c r="P124" i="3"/>
  <c r="Q124" i="3" s="1"/>
  <c r="G124" i="5" s="1"/>
  <c r="L124" i="8"/>
  <c r="AG124" i="8" s="1"/>
  <c r="P123" i="3"/>
  <c r="Q123" i="3" s="1"/>
  <c r="R123" i="3" s="1"/>
  <c r="N123" i="8" s="1"/>
  <c r="AI123" i="8" s="1"/>
  <c r="L123" i="8"/>
  <c r="AG123" i="8" s="1"/>
  <c r="P122" i="3"/>
  <c r="Q122" i="3" s="1"/>
  <c r="E122" i="7" s="1"/>
  <c r="L122" i="8"/>
  <c r="AG122" i="8" s="1"/>
  <c r="P121" i="3"/>
  <c r="Q121" i="3" s="1"/>
  <c r="L121" i="8"/>
  <c r="AG121" i="8" s="1"/>
  <c r="P120" i="3"/>
  <c r="Q120" i="3" s="1"/>
  <c r="M120" i="8" s="1"/>
  <c r="L120" i="8"/>
  <c r="AG120" i="8" s="1"/>
  <c r="P119" i="3"/>
  <c r="Q119" i="3" s="1"/>
  <c r="R119" i="3" s="1"/>
  <c r="N119" i="8" s="1"/>
  <c r="L119" i="8"/>
  <c r="AG119" i="8" s="1"/>
  <c r="P118" i="3"/>
  <c r="Q118" i="3" s="1"/>
  <c r="R118" i="3" s="1"/>
  <c r="L118" i="8"/>
  <c r="AG118" i="8" s="1"/>
  <c r="P117" i="3"/>
  <c r="Q117" i="3" s="1"/>
  <c r="M117" i="8" s="1"/>
  <c r="L117" i="8"/>
  <c r="AG117" i="8" s="1"/>
  <c r="P116" i="3"/>
  <c r="Q116" i="3" s="1"/>
  <c r="E116" i="7" s="1"/>
  <c r="L116" i="8"/>
  <c r="AG116" i="8" s="1"/>
  <c r="P115" i="3"/>
  <c r="Q115" i="3" s="1"/>
  <c r="R115" i="3" s="1"/>
  <c r="N115" i="8" s="1"/>
  <c r="L115" i="8"/>
  <c r="AG115" i="8"/>
  <c r="P114" i="3"/>
  <c r="Q114" i="3" s="1"/>
  <c r="E114" i="7" s="1"/>
  <c r="L114" i="8"/>
  <c r="AG114" i="8"/>
  <c r="P113" i="3"/>
  <c r="Q113" i="3" s="1"/>
  <c r="M113" i="8" s="1"/>
  <c r="L113" i="8"/>
  <c r="AG113" i="8" s="1"/>
  <c r="P112" i="3"/>
  <c r="Q112" i="3" s="1"/>
  <c r="H112" i="6" s="1"/>
  <c r="L112" i="8"/>
  <c r="AG112" i="8"/>
  <c r="P111" i="3"/>
  <c r="Q111" i="3" s="1"/>
  <c r="H111" i="6" s="1"/>
  <c r="L111" i="8"/>
  <c r="AG111" i="8" s="1"/>
  <c r="P110" i="3"/>
  <c r="Q110" i="3" s="1"/>
  <c r="L110" i="8"/>
  <c r="AG110" i="8" s="1"/>
  <c r="P109" i="3"/>
  <c r="Q109" i="3" s="1"/>
  <c r="M109" i="8" s="1"/>
  <c r="L109" i="8"/>
  <c r="AG109" i="8"/>
  <c r="P108" i="3"/>
  <c r="Q108" i="3" s="1"/>
  <c r="L108" i="8"/>
  <c r="AG108" i="8" s="1"/>
  <c r="P107" i="3"/>
  <c r="Q107" i="3" s="1"/>
  <c r="L107" i="8"/>
  <c r="AG107" i="8"/>
  <c r="P106" i="3"/>
  <c r="Q106" i="3" s="1"/>
  <c r="R106" i="3" s="1"/>
  <c r="L106" i="8"/>
  <c r="AG106" i="8" s="1"/>
  <c r="P105" i="3"/>
  <c r="Q105" i="3" s="1"/>
  <c r="L105" i="8"/>
  <c r="AG105" i="8"/>
  <c r="P104" i="3"/>
  <c r="Q104" i="3" s="1"/>
  <c r="E104" i="7" s="1"/>
  <c r="L104" i="8"/>
  <c r="AG104" i="8" s="1"/>
  <c r="P101" i="3"/>
  <c r="Q101" i="3" s="1"/>
  <c r="L101" i="8"/>
  <c r="AG101" i="8"/>
  <c r="P97" i="3"/>
  <c r="Q97" i="3" s="1"/>
  <c r="H97" i="6" s="1"/>
  <c r="L97" i="8"/>
  <c r="AG97" i="8" s="1"/>
  <c r="P95" i="3"/>
  <c r="Q95" i="3" s="1"/>
  <c r="H95" i="6" s="1"/>
  <c r="L95" i="8"/>
  <c r="AG95" i="8"/>
  <c r="P93" i="3"/>
  <c r="Q93" i="3" s="1"/>
  <c r="G93" i="5" s="1"/>
  <c r="L93" i="8"/>
  <c r="AG93" i="8" s="1"/>
  <c r="P92" i="3"/>
  <c r="Q92" i="3" s="1"/>
  <c r="L92" i="8"/>
  <c r="AG92" i="8" s="1"/>
  <c r="P91" i="3"/>
  <c r="Q91" i="3" s="1"/>
  <c r="R91" i="3" s="1"/>
  <c r="I91" i="6" s="1"/>
  <c r="AG91" i="8"/>
  <c r="P89" i="3"/>
  <c r="Q89" i="3" s="1"/>
  <c r="L89" i="8"/>
  <c r="AG89" i="8"/>
  <c r="P88" i="3"/>
  <c r="Q88" i="3" s="1"/>
  <c r="G88" i="5" s="1"/>
  <c r="L88" i="8"/>
  <c r="AG88" i="8" s="1"/>
  <c r="L86" i="8"/>
  <c r="AG86" i="8" s="1"/>
  <c r="L85" i="8"/>
  <c r="AG85" i="8"/>
  <c r="L84" i="8"/>
  <c r="AG84" i="8" s="1"/>
  <c r="Q80" i="3"/>
  <c r="E80" i="7" s="1"/>
  <c r="I80" i="7" s="1"/>
  <c r="L80" i="8"/>
  <c r="AG80" i="8" s="1"/>
  <c r="P77" i="3"/>
  <c r="Q77" i="3" s="1"/>
  <c r="H77" i="6" s="1"/>
  <c r="L77" i="8"/>
  <c r="AG77" i="8" s="1"/>
  <c r="P76" i="3"/>
  <c r="Q76" i="3" s="1"/>
  <c r="L76" i="8"/>
  <c r="AG76" i="8"/>
  <c r="P75" i="3"/>
  <c r="Q75" i="3" s="1"/>
  <c r="R75" i="3" s="1"/>
  <c r="N75" i="8" s="1"/>
  <c r="L75" i="8"/>
  <c r="AG75" i="8" s="1"/>
  <c r="Q72" i="3"/>
  <c r="M72" i="8" s="1"/>
  <c r="L72" i="8"/>
  <c r="AG72" i="8" s="1"/>
  <c r="Q71" i="3"/>
  <c r="AG71" i="8"/>
  <c r="Q70" i="3"/>
  <c r="M70" i="8" s="1"/>
  <c r="AG70" i="8"/>
  <c r="Q69" i="3"/>
  <c r="E69" i="7" s="1"/>
  <c r="I69" i="7" s="1"/>
  <c r="L69" i="8"/>
  <c r="AG69" i="8" s="1"/>
  <c r="Q68" i="3"/>
  <c r="E68" i="7" s="1"/>
  <c r="I68" i="7" s="1"/>
  <c r="L68" i="8"/>
  <c r="AG68" i="8"/>
  <c r="P67" i="3"/>
  <c r="Q67" i="3" s="1"/>
  <c r="E67" i="7" s="1"/>
  <c r="L67" i="8"/>
  <c r="AG67" i="8" s="1"/>
  <c r="P66" i="3"/>
  <c r="Q66" i="3"/>
  <c r="P65" i="3"/>
  <c r="Q65" i="3" s="1"/>
  <c r="R65" i="3" s="1"/>
  <c r="I65" i="6" s="1"/>
  <c r="AG65" i="8"/>
  <c r="P64" i="3"/>
  <c r="Q64" i="3" s="1"/>
  <c r="L64" i="8"/>
  <c r="AG64" i="8" s="1"/>
  <c r="Q63" i="3"/>
  <c r="M63" i="8" s="1"/>
  <c r="L63" i="8"/>
  <c r="AG63" i="8"/>
  <c r="P62" i="3"/>
  <c r="Q62" i="3" s="1"/>
  <c r="L62" i="8"/>
  <c r="AG62" i="8" s="1"/>
  <c r="P61" i="3"/>
  <c r="Q61" i="3" s="1"/>
  <c r="G61" i="5" s="1"/>
  <c r="L61" i="8"/>
  <c r="AG61" i="8" s="1"/>
  <c r="P60" i="3"/>
  <c r="Q60" i="3" s="1"/>
  <c r="L60" i="8"/>
  <c r="AG60" i="8" s="1"/>
  <c r="L59" i="8"/>
  <c r="AG59" i="8" s="1"/>
  <c r="P58" i="3"/>
  <c r="Q58" i="3" s="1"/>
  <c r="E58" i="7" s="1"/>
  <c r="P57" i="3"/>
  <c r="Q57" i="3" s="1"/>
  <c r="H57" i="6" s="1"/>
  <c r="L57" i="8"/>
  <c r="AG57" i="8" s="1"/>
  <c r="P56" i="3"/>
  <c r="Q56" i="3" s="1"/>
  <c r="H56" i="6" s="1"/>
  <c r="L56" i="8"/>
  <c r="AG56" i="8" s="1"/>
  <c r="P55" i="3"/>
  <c r="Q55" i="3" s="1"/>
  <c r="G55" i="5" s="1"/>
  <c r="L55" i="8"/>
  <c r="AG55" i="8"/>
  <c r="P54" i="3"/>
  <c r="Q54" i="3" s="1"/>
  <c r="M54" i="8" s="1"/>
  <c r="L54" i="8"/>
  <c r="AG54" i="8"/>
  <c r="P53" i="3"/>
  <c r="Q53" i="3" s="1"/>
  <c r="H53" i="6" s="1"/>
  <c r="L53" i="8"/>
  <c r="AG53" i="8"/>
  <c r="P51" i="3"/>
  <c r="Q51" i="3" s="1"/>
  <c r="L51" i="8"/>
  <c r="AG51" i="8" s="1"/>
  <c r="N48" i="8"/>
  <c r="AG48" i="8"/>
  <c r="N47" i="8"/>
  <c r="AG47" i="8"/>
  <c r="N46" i="8"/>
  <c r="L46" i="8"/>
  <c r="AG46" i="8"/>
  <c r="O42" i="3"/>
  <c r="L42" i="8" s="1"/>
  <c r="AG42" i="8" s="1"/>
  <c r="Q41" i="3"/>
  <c r="M41" i="8" s="1"/>
  <c r="O41" i="3"/>
  <c r="L41" i="8" s="1"/>
  <c r="AG41" i="8" s="1"/>
  <c r="Q40" i="3"/>
  <c r="G40" i="5" s="1"/>
  <c r="O40" i="3"/>
  <c r="L40" i="8" s="1"/>
  <c r="AG40" i="8"/>
  <c r="O39" i="3"/>
  <c r="L39" i="8" s="1"/>
  <c r="AG39" i="8"/>
  <c r="N28" i="8"/>
  <c r="L28" i="8"/>
  <c r="AG28" i="8" s="1"/>
  <c r="N30" i="8"/>
  <c r="L30" i="8"/>
  <c r="AG30" i="8" s="1"/>
  <c r="N31" i="8"/>
  <c r="L31" i="8"/>
  <c r="AG31" i="8"/>
  <c r="N32" i="8"/>
  <c r="L32" i="8"/>
  <c r="AG32" i="8" s="1"/>
  <c r="N33" i="8"/>
  <c r="AG33" i="8"/>
  <c r="N34" i="8"/>
  <c r="AG34" i="8"/>
  <c r="N35" i="8"/>
  <c r="AG35" i="8"/>
  <c r="N36" i="8"/>
  <c r="L36" i="8"/>
  <c r="AG36" i="8" s="1"/>
  <c r="N37" i="8"/>
  <c r="L37" i="8"/>
  <c r="AG37" i="8"/>
  <c r="N23" i="8"/>
  <c r="L23" i="8"/>
  <c r="AG23" i="8" s="1"/>
  <c r="AP23" i="8" s="1"/>
  <c r="N24" i="8"/>
  <c r="AG24" i="8"/>
  <c r="AP24" i="8"/>
  <c r="N25" i="8"/>
  <c r="L25" i="8"/>
  <c r="AG25" i="8" s="1"/>
  <c r="N27" i="8"/>
  <c r="L27" i="8"/>
  <c r="AG27" i="8"/>
  <c r="AG12" i="8"/>
  <c r="N12" i="8"/>
  <c r="N13" i="8"/>
  <c r="L13" i="8"/>
  <c r="AG13" i="8"/>
  <c r="N14" i="8"/>
  <c r="AG14" i="8"/>
  <c r="N15" i="8"/>
  <c r="L15" i="8"/>
  <c r="AG15" i="8" s="1"/>
  <c r="N16" i="8"/>
  <c r="AG16" i="8"/>
  <c r="N20" i="8"/>
  <c r="AG20" i="8"/>
  <c r="N21" i="8"/>
  <c r="L21" i="8"/>
  <c r="AG21" i="8" s="1"/>
  <c r="N22" i="8"/>
  <c r="AG22" i="8"/>
  <c r="N11" i="8"/>
  <c r="AG11" i="8"/>
  <c r="AP11" i="8" s="1"/>
  <c r="F11" i="6"/>
  <c r="S11" i="6"/>
  <c r="X11" i="4" s="1"/>
  <c r="D11" i="6"/>
  <c r="P11" i="6"/>
  <c r="Q11" i="6"/>
  <c r="C310" i="5"/>
  <c r="I310" i="5"/>
  <c r="J310" i="5"/>
  <c r="K310" i="5"/>
  <c r="N310" i="5"/>
  <c r="O310" i="5"/>
  <c r="V310" i="4" s="1"/>
  <c r="L310" i="5"/>
  <c r="M310" i="5"/>
  <c r="C309" i="5"/>
  <c r="I309" i="5"/>
  <c r="J309" i="5"/>
  <c r="K309" i="5"/>
  <c r="N309" i="5"/>
  <c r="O309" i="5"/>
  <c r="V309" i="4" s="1"/>
  <c r="L309" i="5"/>
  <c r="M309" i="5"/>
  <c r="C308" i="5"/>
  <c r="I308" i="5"/>
  <c r="J308" i="5"/>
  <c r="K308" i="5"/>
  <c r="N308" i="5"/>
  <c r="O308" i="5"/>
  <c r="V308" i="4" s="1"/>
  <c r="L308" i="5"/>
  <c r="M308" i="5"/>
  <c r="C307" i="5"/>
  <c r="I307" i="5"/>
  <c r="J307" i="5"/>
  <c r="K307" i="5"/>
  <c r="N307" i="5"/>
  <c r="O307" i="5"/>
  <c r="L307" i="5"/>
  <c r="M307" i="5"/>
  <c r="C306" i="5"/>
  <c r="I306" i="5"/>
  <c r="J306" i="5"/>
  <c r="K306" i="5"/>
  <c r="N306" i="5"/>
  <c r="O306" i="5"/>
  <c r="V306" i="4" s="1"/>
  <c r="L306" i="5"/>
  <c r="M306" i="5"/>
  <c r="C305" i="5"/>
  <c r="I305" i="5"/>
  <c r="J305" i="5"/>
  <c r="K305" i="5"/>
  <c r="N305" i="5"/>
  <c r="O305" i="5"/>
  <c r="V305" i="4" s="1"/>
  <c r="L305" i="5"/>
  <c r="M305" i="5"/>
  <c r="C304" i="5"/>
  <c r="I304" i="5"/>
  <c r="J304" i="5"/>
  <c r="K304" i="5"/>
  <c r="N304" i="5"/>
  <c r="O304" i="5"/>
  <c r="V304" i="4" s="1"/>
  <c r="L304" i="5"/>
  <c r="M304" i="5"/>
  <c r="C303" i="5"/>
  <c r="I303" i="5"/>
  <c r="J303" i="5"/>
  <c r="K303" i="5"/>
  <c r="N303" i="5"/>
  <c r="O303" i="5"/>
  <c r="V303" i="4" s="1"/>
  <c r="L303" i="5"/>
  <c r="M303" i="5"/>
  <c r="C302" i="5"/>
  <c r="I302" i="5"/>
  <c r="J302" i="5"/>
  <c r="K302" i="5"/>
  <c r="N302" i="5"/>
  <c r="O302" i="5"/>
  <c r="V302" i="4" s="1"/>
  <c r="L302" i="5"/>
  <c r="M302" i="5"/>
  <c r="C301" i="5"/>
  <c r="I301" i="5"/>
  <c r="J301" i="5"/>
  <c r="K301" i="5"/>
  <c r="N301" i="5"/>
  <c r="O301" i="5"/>
  <c r="V301" i="4" s="1"/>
  <c r="L301" i="5"/>
  <c r="M301" i="5"/>
  <c r="C300" i="5"/>
  <c r="I300" i="5"/>
  <c r="J300" i="5"/>
  <c r="K300" i="5"/>
  <c r="N300" i="5"/>
  <c r="O300" i="5"/>
  <c r="V300" i="4" s="1"/>
  <c r="L300" i="5"/>
  <c r="M300" i="5"/>
  <c r="C299" i="5"/>
  <c r="I299" i="5"/>
  <c r="J299" i="5"/>
  <c r="K299" i="5"/>
  <c r="N299" i="5"/>
  <c r="O299" i="5"/>
  <c r="V299" i="4" s="1"/>
  <c r="L299" i="5"/>
  <c r="M299" i="5"/>
  <c r="C298" i="5"/>
  <c r="I298" i="5"/>
  <c r="J298" i="5"/>
  <c r="K298" i="5"/>
  <c r="N298" i="5"/>
  <c r="O298" i="5"/>
  <c r="V298" i="4" s="1"/>
  <c r="L298" i="5"/>
  <c r="M298" i="5"/>
  <c r="C297" i="5"/>
  <c r="I297" i="5"/>
  <c r="J297" i="5"/>
  <c r="K297" i="5"/>
  <c r="N297" i="5"/>
  <c r="O297" i="5"/>
  <c r="V297" i="4" s="1"/>
  <c r="L297" i="5"/>
  <c r="M297" i="5"/>
  <c r="C296" i="5"/>
  <c r="I296" i="5"/>
  <c r="J296" i="5"/>
  <c r="K296" i="5"/>
  <c r="N296" i="5"/>
  <c r="O296" i="5"/>
  <c r="V296" i="4" s="1"/>
  <c r="L296" i="5"/>
  <c r="M296" i="5"/>
  <c r="C295" i="5"/>
  <c r="I295" i="5"/>
  <c r="J295" i="5"/>
  <c r="K295" i="5"/>
  <c r="N295" i="5"/>
  <c r="O295" i="5"/>
  <c r="V295" i="4" s="1"/>
  <c r="L295" i="5"/>
  <c r="M295" i="5"/>
  <c r="C294" i="5"/>
  <c r="I294" i="5"/>
  <c r="J294" i="5"/>
  <c r="K294" i="5"/>
  <c r="N294" i="5"/>
  <c r="O294" i="5"/>
  <c r="V294" i="4" s="1"/>
  <c r="L294" i="5"/>
  <c r="M294" i="5"/>
  <c r="C293" i="5"/>
  <c r="I293" i="5"/>
  <c r="J293" i="5"/>
  <c r="K293" i="5"/>
  <c r="N293" i="5"/>
  <c r="O293" i="5"/>
  <c r="V293" i="4" s="1"/>
  <c r="L293" i="5"/>
  <c r="M293" i="5"/>
  <c r="C292" i="5"/>
  <c r="I292" i="5"/>
  <c r="J292" i="5"/>
  <c r="K292" i="5"/>
  <c r="N292" i="5"/>
  <c r="O292" i="5"/>
  <c r="V292" i="4" s="1"/>
  <c r="L292" i="5"/>
  <c r="M292" i="5"/>
  <c r="C291" i="5"/>
  <c r="I291" i="5"/>
  <c r="J291" i="5"/>
  <c r="K291" i="5"/>
  <c r="N291" i="5"/>
  <c r="O291" i="5"/>
  <c r="V291" i="4" s="1"/>
  <c r="L291" i="5"/>
  <c r="M291" i="5"/>
  <c r="C290" i="5"/>
  <c r="I290" i="5"/>
  <c r="J290" i="5"/>
  <c r="K290" i="5"/>
  <c r="N290" i="5"/>
  <c r="O290" i="5"/>
  <c r="V290" i="4" s="1"/>
  <c r="L290" i="5"/>
  <c r="M290" i="5"/>
  <c r="C289" i="5"/>
  <c r="I289" i="5"/>
  <c r="J289" i="5"/>
  <c r="K289" i="5"/>
  <c r="N289" i="5"/>
  <c r="O289" i="5"/>
  <c r="V289" i="4" s="1"/>
  <c r="L289" i="5"/>
  <c r="M289" i="5"/>
  <c r="C288" i="5"/>
  <c r="I288" i="5"/>
  <c r="J288" i="5"/>
  <c r="K288" i="5"/>
  <c r="N288" i="5"/>
  <c r="O288" i="5"/>
  <c r="V288" i="4" s="1"/>
  <c r="L288" i="5"/>
  <c r="M288" i="5"/>
  <c r="C287" i="5"/>
  <c r="I287" i="5"/>
  <c r="J287" i="5"/>
  <c r="K287" i="5"/>
  <c r="N287" i="5"/>
  <c r="O287" i="5"/>
  <c r="V287" i="4" s="1"/>
  <c r="L287" i="5"/>
  <c r="M287" i="5"/>
  <c r="C286" i="5"/>
  <c r="I286" i="5"/>
  <c r="J286" i="5"/>
  <c r="K286" i="5"/>
  <c r="N286" i="5"/>
  <c r="O286" i="5"/>
  <c r="V286" i="4" s="1"/>
  <c r="L286" i="5"/>
  <c r="M286" i="5"/>
  <c r="C285" i="5"/>
  <c r="I285" i="5"/>
  <c r="J285" i="5"/>
  <c r="K285" i="5"/>
  <c r="N285" i="5"/>
  <c r="O285" i="5"/>
  <c r="V285" i="4" s="1"/>
  <c r="L285" i="5"/>
  <c r="M285" i="5"/>
  <c r="C284" i="5"/>
  <c r="I284" i="5"/>
  <c r="J284" i="5"/>
  <c r="K284" i="5"/>
  <c r="N284" i="5"/>
  <c r="O284" i="5"/>
  <c r="V284" i="4" s="1"/>
  <c r="L284" i="5"/>
  <c r="M284" i="5"/>
  <c r="C283" i="5"/>
  <c r="I283" i="5"/>
  <c r="J283" i="5"/>
  <c r="K283" i="5"/>
  <c r="N283" i="5"/>
  <c r="O283" i="5"/>
  <c r="V283" i="4" s="1"/>
  <c r="L283" i="5"/>
  <c r="M283" i="5"/>
  <c r="C282" i="5"/>
  <c r="I282" i="5"/>
  <c r="J282" i="5"/>
  <c r="K282" i="5"/>
  <c r="N282" i="5"/>
  <c r="O282" i="5"/>
  <c r="V282" i="4" s="1"/>
  <c r="L282" i="5"/>
  <c r="M282" i="5"/>
  <c r="C281" i="5"/>
  <c r="I281" i="5"/>
  <c r="J281" i="5"/>
  <c r="K281" i="5"/>
  <c r="N281" i="5"/>
  <c r="O281" i="5"/>
  <c r="V281" i="4" s="1"/>
  <c r="L281" i="5"/>
  <c r="M281" i="5"/>
  <c r="C280" i="5"/>
  <c r="I280" i="5"/>
  <c r="J280" i="5"/>
  <c r="K280" i="5"/>
  <c r="N280" i="5"/>
  <c r="O280" i="5"/>
  <c r="V280" i="4" s="1"/>
  <c r="L280" i="5"/>
  <c r="M280" i="5"/>
  <c r="C279" i="5"/>
  <c r="I279" i="5"/>
  <c r="J279" i="5"/>
  <c r="K279" i="5"/>
  <c r="N279" i="5"/>
  <c r="O279" i="5"/>
  <c r="V279" i="4" s="1"/>
  <c r="L279" i="5"/>
  <c r="M279" i="5"/>
  <c r="C278" i="5"/>
  <c r="I278" i="5"/>
  <c r="J278" i="5"/>
  <c r="K278" i="5"/>
  <c r="N278" i="5"/>
  <c r="O278" i="5"/>
  <c r="V278" i="4" s="1"/>
  <c r="L278" i="5"/>
  <c r="M278" i="5"/>
  <c r="C277" i="5"/>
  <c r="I277" i="5"/>
  <c r="J277" i="5"/>
  <c r="K277" i="5"/>
  <c r="N277" i="5"/>
  <c r="O277" i="5"/>
  <c r="V277" i="4" s="1"/>
  <c r="L277" i="5"/>
  <c r="M277" i="5"/>
  <c r="C275" i="5"/>
  <c r="I275" i="5"/>
  <c r="J275" i="5"/>
  <c r="K275" i="5"/>
  <c r="N275" i="5"/>
  <c r="O275" i="5"/>
  <c r="V275" i="4" s="1"/>
  <c r="L275" i="5"/>
  <c r="M275" i="5"/>
  <c r="C274" i="5"/>
  <c r="I274" i="5"/>
  <c r="J274" i="5"/>
  <c r="K274" i="5"/>
  <c r="N274" i="5"/>
  <c r="O274" i="5"/>
  <c r="V274" i="4" s="1"/>
  <c r="L274" i="5"/>
  <c r="M274" i="5"/>
  <c r="C273" i="5"/>
  <c r="I273" i="5"/>
  <c r="J273" i="5"/>
  <c r="K273" i="5"/>
  <c r="N273" i="5"/>
  <c r="O273" i="5"/>
  <c r="V273" i="4" s="1"/>
  <c r="L273" i="5"/>
  <c r="M273" i="5"/>
  <c r="C272" i="5"/>
  <c r="I272" i="5"/>
  <c r="J272" i="5"/>
  <c r="K272" i="5"/>
  <c r="N272" i="5"/>
  <c r="O272" i="5"/>
  <c r="V272" i="4" s="1"/>
  <c r="L272" i="5"/>
  <c r="M272" i="5"/>
  <c r="C271" i="5"/>
  <c r="I271" i="5"/>
  <c r="J271" i="5"/>
  <c r="K271" i="5"/>
  <c r="N271" i="5"/>
  <c r="O271" i="5"/>
  <c r="V271" i="4" s="1"/>
  <c r="L271" i="5"/>
  <c r="M271" i="5"/>
  <c r="C270" i="5"/>
  <c r="I270" i="5"/>
  <c r="J270" i="5"/>
  <c r="K270" i="5"/>
  <c r="N270" i="5"/>
  <c r="O270" i="5"/>
  <c r="V270" i="4" s="1"/>
  <c r="L270" i="5"/>
  <c r="M270" i="5"/>
  <c r="C269" i="5"/>
  <c r="I269" i="5"/>
  <c r="J269" i="5"/>
  <c r="K269" i="5"/>
  <c r="N269" i="5"/>
  <c r="O269" i="5"/>
  <c r="V269" i="4" s="1"/>
  <c r="L269" i="5"/>
  <c r="M269" i="5"/>
  <c r="C268" i="5"/>
  <c r="I268" i="5"/>
  <c r="J268" i="5"/>
  <c r="K268" i="5"/>
  <c r="N268" i="5"/>
  <c r="O268" i="5"/>
  <c r="V268" i="4" s="1"/>
  <c r="L268" i="5"/>
  <c r="M268" i="5"/>
  <c r="C267" i="5"/>
  <c r="I267" i="5"/>
  <c r="J267" i="5"/>
  <c r="K267" i="5"/>
  <c r="N267" i="5"/>
  <c r="O267" i="5"/>
  <c r="V267" i="4" s="1"/>
  <c r="L267" i="5"/>
  <c r="M267" i="5"/>
  <c r="C266" i="5"/>
  <c r="I266" i="5"/>
  <c r="J266" i="5"/>
  <c r="K266" i="5"/>
  <c r="N266" i="5"/>
  <c r="O266" i="5"/>
  <c r="V266" i="4" s="1"/>
  <c r="L266" i="5"/>
  <c r="M266" i="5"/>
  <c r="C265" i="5"/>
  <c r="I265" i="5"/>
  <c r="J265" i="5"/>
  <c r="K265" i="5"/>
  <c r="N265" i="5"/>
  <c r="O265" i="5"/>
  <c r="V265" i="4" s="1"/>
  <c r="L265" i="5"/>
  <c r="M265" i="5"/>
  <c r="C264" i="5"/>
  <c r="I264" i="5"/>
  <c r="J264" i="5"/>
  <c r="K264" i="5"/>
  <c r="N264" i="5"/>
  <c r="O264" i="5"/>
  <c r="V264" i="4" s="1"/>
  <c r="L264" i="5"/>
  <c r="M264" i="5"/>
  <c r="C263" i="5"/>
  <c r="I263" i="5"/>
  <c r="J263" i="5"/>
  <c r="K263" i="5"/>
  <c r="N263" i="5"/>
  <c r="O263" i="5"/>
  <c r="V263" i="4" s="1"/>
  <c r="L263" i="5"/>
  <c r="M263" i="5"/>
  <c r="C262" i="5"/>
  <c r="I262" i="5"/>
  <c r="J262" i="5"/>
  <c r="K262" i="5"/>
  <c r="N262" i="5"/>
  <c r="O262" i="5"/>
  <c r="V262" i="4" s="1"/>
  <c r="L262" i="5"/>
  <c r="M262" i="5"/>
  <c r="C261" i="5"/>
  <c r="I261" i="5"/>
  <c r="J261" i="5"/>
  <c r="K261" i="5"/>
  <c r="N261" i="5"/>
  <c r="O261" i="5"/>
  <c r="V261" i="4" s="1"/>
  <c r="L261" i="5"/>
  <c r="M261" i="5"/>
  <c r="C260" i="5"/>
  <c r="I260" i="5"/>
  <c r="J260" i="5"/>
  <c r="K260" i="5"/>
  <c r="N260" i="5"/>
  <c r="O260" i="5"/>
  <c r="V260" i="4" s="1"/>
  <c r="L260" i="5"/>
  <c r="M260" i="5"/>
  <c r="C259" i="5"/>
  <c r="I259" i="5"/>
  <c r="J259" i="5"/>
  <c r="K259" i="5"/>
  <c r="N259" i="5"/>
  <c r="O259" i="5"/>
  <c r="V259" i="4" s="1"/>
  <c r="L259" i="5"/>
  <c r="M259" i="5"/>
  <c r="C258" i="5"/>
  <c r="I258" i="5"/>
  <c r="J258" i="5"/>
  <c r="K258" i="5"/>
  <c r="N258" i="5"/>
  <c r="O258" i="5"/>
  <c r="V258" i="4" s="1"/>
  <c r="L258" i="5"/>
  <c r="M258" i="5"/>
  <c r="C257" i="5"/>
  <c r="I257" i="5"/>
  <c r="J257" i="5"/>
  <c r="K257" i="5"/>
  <c r="N257" i="5"/>
  <c r="O257" i="5"/>
  <c r="V257" i="4" s="1"/>
  <c r="L257" i="5"/>
  <c r="M257" i="5"/>
  <c r="C256" i="5"/>
  <c r="I256" i="5"/>
  <c r="J256" i="5"/>
  <c r="K256" i="5"/>
  <c r="N256" i="5"/>
  <c r="O256" i="5"/>
  <c r="V256" i="4" s="1"/>
  <c r="L256" i="5"/>
  <c r="M256" i="5"/>
  <c r="C255" i="5"/>
  <c r="I255" i="5"/>
  <c r="J255" i="5"/>
  <c r="K255" i="5"/>
  <c r="N255" i="5"/>
  <c r="O255" i="5"/>
  <c r="V255" i="4" s="1"/>
  <c r="L255" i="5"/>
  <c r="M255" i="5"/>
  <c r="C254" i="5"/>
  <c r="I254" i="5"/>
  <c r="J254" i="5"/>
  <c r="K254" i="5"/>
  <c r="N254" i="5"/>
  <c r="O254" i="5"/>
  <c r="V254" i="4" s="1"/>
  <c r="L254" i="5"/>
  <c r="M254" i="5"/>
  <c r="C253" i="5"/>
  <c r="I253" i="5"/>
  <c r="J253" i="5"/>
  <c r="K253" i="5"/>
  <c r="N253" i="5"/>
  <c r="O253" i="5"/>
  <c r="V253" i="4" s="1"/>
  <c r="L253" i="5"/>
  <c r="M253" i="5"/>
  <c r="C252" i="5"/>
  <c r="I252" i="5"/>
  <c r="J252" i="5"/>
  <c r="K252" i="5"/>
  <c r="N252" i="5"/>
  <c r="O252" i="5"/>
  <c r="V252" i="4" s="1"/>
  <c r="L252" i="5"/>
  <c r="M252" i="5"/>
  <c r="C251" i="5"/>
  <c r="I251" i="5"/>
  <c r="J251" i="5"/>
  <c r="K251" i="5"/>
  <c r="N251" i="5"/>
  <c r="O251" i="5"/>
  <c r="V251" i="4" s="1"/>
  <c r="L251" i="5"/>
  <c r="M251" i="5"/>
  <c r="C250" i="5"/>
  <c r="I250" i="5"/>
  <c r="J250" i="5"/>
  <c r="K250" i="5"/>
  <c r="N250" i="5"/>
  <c r="O250" i="5"/>
  <c r="V250" i="4" s="1"/>
  <c r="L250" i="5"/>
  <c r="M250" i="5"/>
  <c r="C249" i="5"/>
  <c r="I249" i="5"/>
  <c r="J249" i="5"/>
  <c r="K249" i="5"/>
  <c r="N249" i="5"/>
  <c r="O249" i="5"/>
  <c r="V249" i="4" s="1"/>
  <c r="L249" i="5"/>
  <c r="M249" i="5"/>
  <c r="C248" i="5"/>
  <c r="I248" i="5"/>
  <c r="J248" i="5"/>
  <c r="K248" i="5"/>
  <c r="N248" i="5"/>
  <c r="O248" i="5"/>
  <c r="V248" i="4" s="1"/>
  <c r="L248" i="5"/>
  <c r="M248" i="5"/>
  <c r="C247" i="5"/>
  <c r="I247" i="5"/>
  <c r="J247" i="5"/>
  <c r="K247" i="5"/>
  <c r="N247" i="5"/>
  <c r="O247" i="5"/>
  <c r="V247" i="4" s="1"/>
  <c r="L247" i="5"/>
  <c r="M247" i="5"/>
  <c r="C246" i="5"/>
  <c r="I246" i="5"/>
  <c r="J246" i="5"/>
  <c r="K246" i="5"/>
  <c r="N246" i="5"/>
  <c r="O246" i="5"/>
  <c r="V246" i="4" s="1"/>
  <c r="L246" i="5"/>
  <c r="M246" i="5"/>
  <c r="C244" i="5"/>
  <c r="I244" i="5"/>
  <c r="J244" i="5"/>
  <c r="K244" i="5"/>
  <c r="N244" i="5"/>
  <c r="O244" i="5"/>
  <c r="V244" i="4" s="1"/>
  <c r="L244" i="5"/>
  <c r="M244" i="5"/>
  <c r="C243" i="5"/>
  <c r="I243" i="5"/>
  <c r="J243" i="5"/>
  <c r="K243" i="5"/>
  <c r="N243" i="5"/>
  <c r="O243" i="5"/>
  <c r="V243" i="4" s="1"/>
  <c r="L243" i="5"/>
  <c r="M243" i="5"/>
  <c r="C242" i="5"/>
  <c r="I242" i="5"/>
  <c r="J242" i="5"/>
  <c r="K242" i="5"/>
  <c r="N242" i="5"/>
  <c r="O242" i="5"/>
  <c r="V242" i="4" s="1"/>
  <c r="L242" i="5"/>
  <c r="M242" i="5"/>
  <c r="C241" i="5"/>
  <c r="I241" i="5"/>
  <c r="J241" i="5"/>
  <c r="K241" i="5"/>
  <c r="N241" i="5"/>
  <c r="O241" i="5"/>
  <c r="L241" i="5"/>
  <c r="M241" i="5"/>
  <c r="C240" i="5"/>
  <c r="I240" i="5"/>
  <c r="J240" i="5"/>
  <c r="K240" i="5"/>
  <c r="N240" i="5"/>
  <c r="O240" i="5"/>
  <c r="V240" i="4" s="1"/>
  <c r="L240" i="5"/>
  <c r="M240" i="5"/>
  <c r="C239" i="5"/>
  <c r="I239" i="5"/>
  <c r="J239" i="5"/>
  <c r="K239" i="5"/>
  <c r="N239" i="5"/>
  <c r="O239" i="5"/>
  <c r="V239" i="4" s="1"/>
  <c r="L239" i="5"/>
  <c r="M239" i="5"/>
  <c r="C238" i="5"/>
  <c r="I238" i="5"/>
  <c r="J238" i="5"/>
  <c r="K238" i="5"/>
  <c r="N238" i="5"/>
  <c r="O238" i="5"/>
  <c r="V238" i="4" s="1"/>
  <c r="L238" i="5"/>
  <c r="M238" i="5"/>
  <c r="C237" i="5"/>
  <c r="I237" i="5"/>
  <c r="J237" i="5"/>
  <c r="K237" i="5"/>
  <c r="N237" i="5"/>
  <c r="O237" i="5"/>
  <c r="V237" i="4" s="1"/>
  <c r="L237" i="5"/>
  <c r="M237" i="5"/>
  <c r="C236" i="5"/>
  <c r="H236" i="5"/>
  <c r="I236" i="5"/>
  <c r="D236" i="5"/>
  <c r="J236" i="5"/>
  <c r="D23" i="2"/>
  <c r="K236" i="5"/>
  <c r="L236" i="5"/>
  <c r="M236" i="5"/>
  <c r="N236" i="5"/>
  <c r="E236" i="5"/>
  <c r="O236" i="5"/>
  <c r="V236" i="4" s="1"/>
  <c r="C235" i="5"/>
  <c r="I235" i="5"/>
  <c r="J235" i="5"/>
  <c r="K235" i="5"/>
  <c r="N235" i="5"/>
  <c r="O235" i="5"/>
  <c r="V235" i="4" s="1"/>
  <c r="L235" i="5"/>
  <c r="M235" i="5"/>
  <c r="C234" i="5"/>
  <c r="I234" i="5"/>
  <c r="J234" i="5"/>
  <c r="K234" i="5"/>
  <c r="N234" i="5"/>
  <c r="O234" i="5"/>
  <c r="V234" i="4" s="1"/>
  <c r="L234" i="5"/>
  <c r="M234" i="5"/>
  <c r="C233" i="5"/>
  <c r="H233" i="5"/>
  <c r="I233" i="5"/>
  <c r="D233" i="5"/>
  <c r="J233" i="5"/>
  <c r="K233" i="5"/>
  <c r="N233" i="5"/>
  <c r="O233" i="5"/>
  <c r="V233" i="4" s="1"/>
  <c r="L233" i="5"/>
  <c r="M233" i="5"/>
  <c r="C232" i="5"/>
  <c r="I232" i="5"/>
  <c r="J232" i="5"/>
  <c r="K232" i="5"/>
  <c r="N232" i="5"/>
  <c r="O232" i="5"/>
  <c r="V232" i="4" s="1"/>
  <c r="L232" i="5"/>
  <c r="M232" i="5"/>
  <c r="C231" i="5"/>
  <c r="H231" i="5"/>
  <c r="I231" i="5"/>
  <c r="D231" i="5"/>
  <c r="J231" i="5"/>
  <c r="K231" i="5"/>
  <c r="N231" i="5"/>
  <c r="O231" i="5"/>
  <c r="V231" i="4" s="1"/>
  <c r="L231" i="5"/>
  <c r="M231" i="5"/>
  <c r="C230" i="5"/>
  <c r="H230" i="5"/>
  <c r="I230" i="5"/>
  <c r="D230" i="5"/>
  <c r="J230" i="5"/>
  <c r="K230" i="5"/>
  <c r="N230" i="5"/>
  <c r="O230" i="5"/>
  <c r="V230" i="4" s="1"/>
  <c r="L230" i="5"/>
  <c r="M230" i="5"/>
  <c r="C229" i="5"/>
  <c r="I229" i="5"/>
  <c r="J229" i="5"/>
  <c r="K229" i="5"/>
  <c r="N229" i="5"/>
  <c r="O229" i="5"/>
  <c r="V229" i="4" s="1"/>
  <c r="L229" i="5"/>
  <c r="M229" i="5"/>
  <c r="C228" i="5"/>
  <c r="I228" i="5"/>
  <c r="J228" i="5"/>
  <c r="K228" i="5"/>
  <c r="N228" i="5"/>
  <c r="O228" i="5"/>
  <c r="V228" i="4" s="1"/>
  <c r="L228" i="5"/>
  <c r="M228" i="5"/>
  <c r="C227" i="5"/>
  <c r="I227" i="5"/>
  <c r="J227" i="5"/>
  <c r="K227" i="5"/>
  <c r="N227" i="5"/>
  <c r="O227" i="5"/>
  <c r="V227" i="4" s="1"/>
  <c r="L227" i="5"/>
  <c r="M227" i="5"/>
  <c r="C226" i="5"/>
  <c r="I226" i="5"/>
  <c r="J226" i="5"/>
  <c r="K226" i="5"/>
  <c r="N226" i="5"/>
  <c r="O226" i="5"/>
  <c r="V226" i="4" s="1"/>
  <c r="L226" i="5"/>
  <c r="M226" i="5"/>
  <c r="C225" i="5"/>
  <c r="H225" i="5"/>
  <c r="I225" i="5"/>
  <c r="D225" i="5"/>
  <c r="J225" i="5"/>
  <c r="K225" i="5"/>
  <c r="L225" i="5"/>
  <c r="M225" i="5"/>
  <c r="N225" i="5"/>
  <c r="E225" i="5"/>
  <c r="O225" i="5"/>
  <c r="V225" i="4" s="1"/>
  <c r="C224" i="5"/>
  <c r="I224" i="5"/>
  <c r="J224" i="5"/>
  <c r="K224" i="5"/>
  <c r="N224" i="5"/>
  <c r="O224" i="5"/>
  <c r="V224" i="4" s="1"/>
  <c r="L224" i="5"/>
  <c r="M224" i="5"/>
  <c r="C223" i="5"/>
  <c r="I223" i="5"/>
  <c r="J223" i="5"/>
  <c r="K223" i="5"/>
  <c r="N223" i="5"/>
  <c r="O223" i="5"/>
  <c r="V223" i="4" s="1"/>
  <c r="L223" i="5"/>
  <c r="M223" i="5"/>
  <c r="C222" i="5"/>
  <c r="I222" i="5"/>
  <c r="J222" i="5"/>
  <c r="K222" i="5"/>
  <c r="N222" i="5"/>
  <c r="O222" i="5"/>
  <c r="V222" i="4" s="1"/>
  <c r="L222" i="5"/>
  <c r="M222" i="5"/>
  <c r="C221" i="5"/>
  <c r="H221" i="5"/>
  <c r="I221" i="5"/>
  <c r="D221" i="5"/>
  <c r="J221" i="5"/>
  <c r="K221" i="5"/>
  <c r="L221" i="5"/>
  <c r="M221" i="5"/>
  <c r="N221" i="5"/>
  <c r="E221" i="5"/>
  <c r="O221" i="5"/>
  <c r="V221" i="4" s="1"/>
  <c r="C220" i="5"/>
  <c r="I220" i="5"/>
  <c r="J220" i="5"/>
  <c r="K220" i="5"/>
  <c r="N220" i="5"/>
  <c r="O220" i="5"/>
  <c r="V220" i="4" s="1"/>
  <c r="L220" i="5"/>
  <c r="M220" i="5"/>
  <c r="C219" i="5"/>
  <c r="H219" i="5"/>
  <c r="I219" i="5"/>
  <c r="D219" i="5"/>
  <c r="J219" i="5"/>
  <c r="K219" i="5"/>
  <c r="L219" i="5"/>
  <c r="M219" i="5"/>
  <c r="N219" i="5"/>
  <c r="E219" i="5"/>
  <c r="O219" i="5"/>
  <c r="V219" i="4" s="1"/>
  <c r="C218" i="5"/>
  <c r="H218" i="5"/>
  <c r="I218" i="5"/>
  <c r="D218" i="5"/>
  <c r="J218" i="5"/>
  <c r="K218" i="5"/>
  <c r="N218" i="5"/>
  <c r="O218" i="5"/>
  <c r="L218" i="5"/>
  <c r="M218" i="5"/>
  <c r="C217" i="5"/>
  <c r="I217" i="5"/>
  <c r="J217" i="5"/>
  <c r="K217" i="5"/>
  <c r="N217" i="5"/>
  <c r="O217" i="5"/>
  <c r="L217" i="5"/>
  <c r="M217" i="5"/>
  <c r="C216" i="5"/>
  <c r="H216" i="5"/>
  <c r="I216" i="5"/>
  <c r="D216" i="5"/>
  <c r="J216" i="5"/>
  <c r="K216" i="5"/>
  <c r="L216" i="5"/>
  <c r="M216" i="5"/>
  <c r="N216" i="5"/>
  <c r="E216" i="5"/>
  <c r="O216" i="5"/>
  <c r="V216" i="4" s="1"/>
  <c r="C215" i="5"/>
  <c r="I215" i="5"/>
  <c r="J215" i="5"/>
  <c r="K215" i="5"/>
  <c r="N215" i="5"/>
  <c r="O215" i="5"/>
  <c r="L215" i="5"/>
  <c r="M215" i="5"/>
  <c r="C214" i="5"/>
  <c r="I214" i="5"/>
  <c r="J214" i="5"/>
  <c r="K214" i="5"/>
  <c r="N214" i="5"/>
  <c r="O214" i="5"/>
  <c r="V214" i="4" s="1"/>
  <c r="L214" i="5"/>
  <c r="M214" i="5"/>
  <c r="C213" i="5"/>
  <c r="I213" i="5"/>
  <c r="J213" i="5"/>
  <c r="K213" i="5"/>
  <c r="N213" i="5"/>
  <c r="O213" i="5"/>
  <c r="V213" i="4" s="1"/>
  <c r="L213" i="5"/>
  <c r="M213" i="5"/>
  <c r="C212" i="5"/>
  <c r="I212" i="5"/>
  <c r="J212" i="5"/>
  <c r="K212" i="5"/>
  <c r="N212" i="5"/>
  <c r="O212" i="5"/>
  <c r="V212" i="4" s="1"/>
  <c r="L212" i="5"/>
  <c r="M212" i="5"/>
  <c r="C211" i="5"/>
  <c r="I211" i="5"/>
  <c r="J211" i="5"/>
  <c r="K211" i="5"/>
  <c r="N211" i="5"/>
  <c r="O211" i="5"/>
  <c r="L211" i="5"/>
  <c r="M211" i="5"/>
  <c r="C210" i="5"/>
  <c r="I210" i="5"/>
  <c r="J210" i="5"/>
  <c r="K210" i="5"/>
  <c r="N210" i="5"/>
  <c r="O210" i="5"/>
  <c r="V210" i="4" s="1"/>
  <c r="L210" i="5"/>
  <c r="M210" i="5"/>
  <c r="C209" i="5"/>
  <c r="I209" i="5"/>
  <c r="J209" i="5"/>
  <c r="K209" i="5"/>
  <c r="N209" i="5"/>
  <c r="O209" i="5"/>
  <c r="L209" i="5"/>
  <c r="M209" i="5"/>
  <c r="C208" i="5"/>
  <c r="I208" i="5"/>
  <c r="J208" i="5"/>
  <c r="K208" i="5"/>
  <c r="N208" i="5"/>
  <c r="O208" i="5"/>
  <c r="L208" i="5"/>
  <c r="M208" i="5"/>
  <c r="C207" i="5"/>
  <c r="H207" i="5"/>
  <c r="I207" i="5"/>
  <c r="D207" i="5"/>
  <c r="J207" i="5"/>
  <c r="K207" i="5"/>
  <c r="L207" i="5"/>
  <c r="M207" i="5"/>
  <c r="N207" i="5"/>
  <c r="E207" i="5"/>
  <c r="O207" i="5"/>
  <c r="V207" i="4" s="1"/>
  <c r="C206" i="5"/>
  <c r="I206" i="5"/>
  <c r="J206" i="5"/>
  <c r="K206" i="5"/>
  <c r="N206" i="5"/>
  <c r="O206" i="5"/>
  <c r="V206" i="4" s="1"/>
  <c r="L206" i="5"/>
  <c r="M206" i="5"/>
  <c r="C205" i="5"/>
  <c r="H205" i="5"/>
  <c r="I205" i="5"/>
  <c r="D205" i="5"/>
  <c r="J205" i="5"/>
  <c r="K205" i="5"/>
  <c r="L205" i="5"/>
  <c r="M205" i="5"/>
  <c r="N205" i="5"/>
  <c r="E205" i="5"/>
  <c r="O205" i="5"/>
  <c r="V205" i="4" s="1"/>
  <c r="C203" i="5"/>
  <c r="I203" i="5"/>
  <c r="J203" i="5"/>
  <c r="K203" i="5"/>
  <c r="N203" i="5"/>
  <c r="O203" i="5"/>
  <c r="V203" i="4" s="1"/>
  <c r="L203" i="5"/>
  <c r="M203" i="5"/>
  <c r="C202" i="5"/>
  <c r="I202" i="5"/>
  <c r="J202" i="5"/>
  <c r="K202" i="5"/>
  <c r="N202" i="5"/>
  <c r="O202" i="5"/>
  <c r="V202" i="4" s="1"/>
  <c r="L202" i="5"/>
  <c r="M202" i="5"/>
  <c r="C201" i="5"/>
  <c r="I201" i="5"/>
  <c r="J201" i="5"/>
  <c r="K201" i="5"/>
  <c r="N201" i="5"/>
  <c r="O201" i="5"/>
  <c r="V201" i="4" s="1"/>
  <c r="L201" i="5"/>
  <c r="M201" i="5"/>
  <c r="C200" i="5"/>
  <c r="I200" i="5"/>
  <c r="J200" i="5"/>
  <c r="K200" i="5"/>
  <c r="N200" i="5"/>
  <c r="O200" i="5"/>
  <c r="V200" i="4" s="1"/>
  <c r="L200" i="5"/>
  <c r="M200" i="5"/>
  <c r="C199" i="5"/>
  <c r="I199" i="5"/>
  <c r="J199" i="5"/>
  <c r="K199" i="5"/>
  <c r="N199" i="5"/>
  <c r="O199" i="5"/>
  <c r="V199" i="4" s="1"/>
  <c r="L199" i="5"/>
  <c r="M199" i="5"/>
  <c r="C198" i="5"/>
  <c r="I198" i="5"/>
  <c r="J198" i="5"/>
  <c r="K198" i="5"/>
  <c r="N198" i="5"/>
  <c r="O198" i="5"/>
  <c r="V198" i="4" s="1"/>
  <c r="L198" i="5"/>
  <c r="M198" i="5"/>
  <c r="C197" i="5"/>
  <c r="I197" i="5"/>
  <c r="J197" i="5"/>
  <c r="K197" i="5"/>
  <c r="N197" i="5"/>
  <c r="O197" i="5"/>
  <c r="V197" i="4" s="1"/>
  <c r="L197" i="5"/>
  <c r="M197" i="5"/>
  <c r="C196" i="5"/>
  <c r="I196" i="5"/>
  <c r="J196" i="5"/>
  <c r="K196" i="5"/>
  <c r="N196" i="5"/>
  <c r="O196" i="5"/>
  <c r="V196" i="4" s="1"/>
  <c r="L196" i="5"/>
  <c r="M196" i="5"/>
  <c r="C195" i="5"/>
  <c r="I195" i="5"/>
  <c r="J195" i="5"/>
  <c r="K195" i="5"/>
  <c r="N195" i="5"/>
  <c r="O195" i="5"/>
  <c r="V195" i="4" s="1"/>
  <c r="L195" i="5"/>
  <c r="M195" i="5"/>
  <c r="C193" i="5"/>
  <c r="I193" i="5"/>
  <c r="J193" i="5"/>
  <c r="K193" i="5"/>
  <c r="N193" i="5"/>
  <c r="O193" i="5"/>
  <c r="V193" i="4" s="1"/>
  <c r="L193" i="5"/>
  <c r="M193" i="5"/>
  <c r="C192" i="5"/>
  <c r="I192" i="5"/>
  <c r="J192" i="5"/>
  <c r="K192" i="5"/>
  <c r="N192" i="5"/>
  <c r="O192" i="5"/>
  <c r="V192" i="4" s="1"/>
  <c r="L192" i="5"/>
  <c r="M192" i="5"/>
  <c r="C191" i="5"/>
  <c r="I191" i="5"/>
  <c r="J191" i="5"/>
  <c r="K191" i="5"/>
  <c r="N191" i="5"/>
  <c r="O191" i="5"/>
  <c r="V191" i="4" s="1"/>
  <c r="L191" i="5"/>
  <c r="M191" i="5"/>
  <c r="C190" i="5"/>
  <c r="I190" i="5"/>
  <c r="J190" i="5"/>
  <c r="K190" i="5"/>
  <c r="N190" i="5"/>
  <c r="O190" i="5"/>
  <c r="V190" i="4" s="1"/>
  <c r="L190" i="5"/>
  <c r="M190" i="5"/>
  <c r="C189" i="5"/>
  <c r="I189" i="5"/>
  <c r="J189" i="5"/>
  <c r="K189" i="5"/>
  <c r="N189" i="5"/>
  <c r="O189" i="5"/>
  <c r="V189" i="4" s="1"/>
  <c r="L189" i="5"/>
  <c r="M189" i="5"/>
  <c r="C188" i="5"/>
  <c r="I188" i="5"/>
  <c r="J188" i="5"/>
  <c r="K188" i="5"/>
  <c r="N188" i="5"/>
  <c r="O188" i="5"/>
  <c r="V188" i="4" s="1"/>
  <c r="L188" i="5"/>
  <c r="M188" i="5"/>
  <c r="C187" i="5"/>
  <c r="I187" i="5"/>
  <c r="J187" i="5"/>
  <c r="K187" i="5"/>
  <c r="N187" i="5"/>
  <c r="O187" i="5"/>
  <c r="V187" i="4" s="1"/>
  <c r="L187" i="5"/>
  <c r="M187" i="5"/>
  <c r="C186" i="5"/>
  <c r="I186" i="5"/>
  <c r="J186" i="5"/>
  <c r="K186" i="5"/>
  <c r="N186" i="5"/>
  <c r="O186" i="5"/>
  <c r="V186" i="4" s="1"/>
  <c r="L186" i="5"/>
  <c r="M186" i="5"/>
  <c r="C185" i="5"/>
  <c r="I185" i="5"/>
  <c r="J185" i="5"/>
  <c r="K185" i="5"/>
  <c r="N185" i="5"/>
  <c r="O185" i="5"/>
  <c r="V185" i="4" s="1"/>
  <c r="L185" i="5"/>
  <c r="M185" i="5"/>
  <c r="C184" i="5"/>
  <c r="I184" i="5"/>
  <c r="J184" i="5"/>
  <c r="K184" i="5"/>
  <c r="N184" i="5"/>
  <c r="O184" i="5"/>
  <c r="V184" i="4" s="1"/>
  <c r="L184" i="5"/>
  <c r="M184" i="5"/>
  <c r="C183" i="5"/>
  <c r="I183" i="5"/>
  <c r="J183" i="5"/>
  <c r="K183" i="5"/>
  <c r="N183" i="5"/>
  <c r="O183" i="5"/>
  <c r="V183" i="4" s="1"/>
  <c r="L183" i="5"/>
  <c r="M183" i="5"/>
  <c r="C182" i="5"/>
  <c r="I182" i="5"/>
  <c r="J182" i="5"/>
  <c r="K182" i="5"/>
  <c r="N182" i="5"/>
  <c r="O182" i="5"/>
  <c r="V182" i="4" s="1"/>
  <c r="L182" i="5"/>
  <c r="M182" i="5"/>
  <c r="C181" i="5"/>
  <c r="I181" i="5"/>
  <c r="J181" i="5"/>
  <c r="K181" i="5"/>
  <c r="N181" i="5"/>
  <c r="O181" i="5"/>
  <c r="V181" i="4" s="1"/>
  <c r="L181" i="5"/>
  <c r="M181" i="5"/>
  <c r="C180" i="5"/>
  <c r="I180" i="5"/>
  <c r="J180" i="5"/>
  <c r="K180" i="5"/>
  <c r="N180" i="5"/>
  <c r="O180" i="5"/>
  <c r="V180" i="4" s="1"/>
  <c r="L180" i="5"/>
  <c r="M180" i="5"/>
  <c r="C179" i="5"/>
  <c r="I179" i="5"/>
  <c r="J179" i="5"/>
  <c r="K179" i="5"/>
  <c r="N179" i="5"/>
  <c r="O179" i="5"/>
  <c r="V179" i="4" s="1"/>
  <c r="L179" i="5"/>
  <c r="M179" i="5"/>
  <c r="C178" i="5"/>
  <c r="I178" i="5"/>
  <c r="J178" i="5"/>
  <c r="K178" i="5"/>
  <c r="N178" i="5"/>
  <c r="O178" i="5"/>
  <c r="V178" i="4" s="1"/>
  <c r="L178" i="5"/>
  <c r="M178" i="5"/>
  <c r="C177" i="5"/>
  <c r="I177" i="5"/>
  <c r="J177" i="5"/>
  <c r="K177" i="5"/>
  <c r="N177" i="5"/>
  <c r="O177" i="5"/>
  <c r="V177" i="4" s="1"/>
  <c r="L177" i="5"/>
  <c r="M177" i="5"/>
  <c r="C176" i="5"/>
  <c r="I176" i="5"/>
  <c r="J176" i="5"/>
  <c r="K176" i="5"/>
  <c r="N176" i="5"/>
  <c r="O176" i="5"/>
  <c r="V176" i="4" s="1"/>
  <c r="L176" i="5"/>
  <c r="M176" i="5"/>
  <c r="C175" i="5"/>
  <c r="I175" i="5"/>
  <c r="J175" i="5"/>
  <c r="K175" i="5"/>
  <c r="N175" i="5"/>
  <c r="O175" i="5"/>
  <c r="V175" i="4" s="1"/>
  <c r="L175" i="5"/>
  <c r="M175" i="5"/>
  <c r="C174" i="5"/>
  <c r="I174" i="5"/>
  <c r="J174" i="5"/>
  <c r="K174" i="5"/>
  <c r="N174" i="5"/>
  <c r="O174" i="5"/>
  <c r="V174" i="4" s="1"/>
  <c r="L174" i="5"/>
  <c r="M174" i="5"/>
  <c r="C173" i="5"/>
  <c r="I173" i="5"/>
  <c r="J173" i="5"/>
  <c r="K173" i="5"/>
  <c r="N173" i="5"/>
  <c r="O173" i="5"/>
  <c r="V173" i="4" s="1"/>
  <c r="L173" i="5"/>
  <c r="M173" i="5"/>
  <c r="C172" i="5"/>
  <c r="I172" i="5"/>
  <c r="J172" i="5"/>
  <c r="K172" i="5"/>
  <c r="N172" i="5"/>
  <c r="O172" i="5"/>
  <c r="V172" i="4" s="1"/>
  <c r="L172" i="5"/>
  <c r="M172" i="5"/>
  <c r="C171" i="5"/>
  <c r="I171" i="5"/>
  <c r="J171" i="5"/>
  <c r="K171" i="5"/>
  <c r="N171" i="5"/>
  <c r="O171" i="5"/>
  <c r="V171" i="4" s="1"/>
  <c r="L171" i="5"/>
  <c r="M171" i="5"/>
  <c r="C170" i="5"/>
  <c r="I170" i="5"/>
  <c r="J170" i="5"/>
  <c r="K170" i="5"/>
  <c r="N170" i="5"/>
  <c r="O170" i="5"/>
  <c r="V170" i="4" s="1"/>
  <c r="L170" i="5"/>
  <c r="M170" i="5"/>
  <c r="C169" i="5"/>
  <c r="I169" i="5"/>
  <c r="J169" i="5"/>
  <c r="K169" i="5"/>
  <c r="N169" i="5"/>
  <c r="O169" i="5"/>
  <c r="V169" i="4" s="1"/>
  <c r="L169" i="5"/>
  <c r="M169" i="5"/>
  <c r="C168" i="5"/>
  <c r="I168" i="5"/>
  <c r="J168" i="5"/>
  <c r="K168" i="5"/>
  <c r="N168" i="5"/>
  <c r="O168" i="5"/>
  <c r="V168" i="4" s="1"/>
  <c r="L168" i="5"/>
  <c r="M168" i="5"/>
  <c r="C167" i="5"/>
  <c r="I167" i="5"/>
  <c r="J167" i="5"/>
  <c r="K167" i="5"/>
  <c r="N167" i="5"/>
  <c r="O167" i="5"/>
  <c r="V167" i="4" s="1"/>
  <c r="L167" i="5"/>
  <c r="M167" i="5"/>
  <c r="C166" i="5"/>
  <c r="I166" i="5"/>
  <c r="J166" i="5"/>
  <c r="K166" i="5"/>
  <c r="N166" i="5"/>
  <c r="O166" i="5"/>
  <c r="V166" i="4" s="1"/>
  <c r="L166" i="5"/>
  <c r="M166" i="5"/>
  <c r="C165" i="5"/>
  <c r="I165" i="5"/>
  <c r="J165" i="5"/>
  <c r="K165" i="5"/>
  <c r="N165" i="5"/>
  <c r="O165" i="5"/>
  <c r="V165" i="4" s="1"/>
  <c r="L165" i="5"/>
  <c r="M165" i="5"/>
  <c r="C164" i="5"/>
  <c r="I164" i="5"/>
  <c r="J164" i="5"/>
  <c r="K164" i="5"/>
  <c r="N164" i="5"/>
  <c r="O164" i="5"/>
  <c r="V164" i="4" s="1"/>
  <c r="L164" i="5"/>
  <c r="M164" i="5"/>
  <c r="C163" i="5"/>
  <c r="I163" i="5"/>
  <c r="J163" i="5"/>
  <c r="K163" i="5"/>
  <c r="N163" i="5"/>
  <c r="O163" i="5"/>
  <c r="V163" i="4" s="1"/>
  <c r="L163" i="5"/>
  <c r="M163" i="5"/>
  <c r="C162" i="5"/>
  <c r="I162" i="5"/>
  <c r="J162" i="5"/>
  <c r="K162" i="5"/>
  <c r="N162" i="5"/>
  <c r="O162" i="5"/>
  <c r="V162" i="4" s="1"/>
  <c r="L162" i="5"/>
  <c r="M162" i="5"/>
  <c r="C161" i="5"/>
  <c r="I161" i="5"/>
  <c r="J161" i="5"/>
  <c r="K161" i="5"/>
  <c r="N161" i="5"/>
  <c r="O161" i="5"/>
  <c r="V161" i="4" s="1"/>
  <c r="L161" i="5"/>
  <c r="M161" i="5"/>
  <c r="C160" i="5"/>
  <c r="I160" i="5"/>
  <c r="J160" i="5"/>
  <c r="K160" i="5"/>
  <c r="N160" i="5"/>
  <c r="O160" i="5"/>
  <c r="V160" i="4" s="1"/>
  <c r="L160" i="5"/>
  <c r="M160" i="5"/>
  <c r="C159" i="5"/>
  <c r="I159" i="5"/>
  <c r="J159" i="5"/>
  <c r="K159" i="5"/>
  <c r="N159" i="5"/>
  <c r="O159" i="5"/>
  <c r="V159" i="4" s="1"/>
  <c r="L159" i="5"/>
  <c r="M159" i="5"/>
  <c r="C158" i="5"/>
  <c r="I158" i="5"/>
  <c r="J158" i="5"/>
  <c r="K158" i="5"/>
  <c r="N158" i="5"/>
  <c r="O158" i="5"/>
  <c r="V158" i="4" s="1"/>
  <c r="L158" i="5"/>
  <c r="M158" i="5"/>
  <c r="C157" i="5"/>
  <c r="I157" i="5"/>
  <c r="J157" i="5"/>
  <c r="K157" i="5"/>
  <c r="N157" i="5"/>
  <c r="O157" i="5"/>
  <c r="V157" i="4" s="1"/>
  <c r="L157" i="5"/>
  <c r="M157" i="5"/>
  <c r="C156" i="5"/>
  <c r="I156" i="5"/>
  <c r="J156" i="5"/>
  <c r="K156" i="5"/>
  <c r="N156" i="5"/>
  <c r="O156" i="5"/>
  <c r="V156" i="4" s="1"/>
  <c r="L156" i="5"/>
  <c r="M156" i="5"/>
  <c r="C155" i="5"/>
  <c r="I155" i="5"/>
  <c r="J155" i="5"/>
  <c r="K155" i="5"/>
  <c r="N155" i="5"/>
  <c r="O155" i="5"/>
  <c r="V155" i="4" s="1"/>
  <c r="L155" i="5"/>
  <c r="M155" i="5"/>
  <c r="C154" i="5"/>
  <c r="I154" i="5"/>
  <c r="J154" i="5"/>
  <c r="K154" i="5"/>
  <c r="N154" i="5"/>
  <c r="O154" i="5"/>
  <c r="V154" i="4" s="1"/>
  <c r="L154" i="5"/>
  <c r="M154" i="5"/>
  <c r="C153" i="5"/>
  <c r="I153" i="5"/>
  <c r="J153" i="5"/>
  <c r="K153" i="5"/>
  <c r="N153" i="5"/>
  <c r="O153" i="5"/>
  <c r="V153" i="4" s="1"/>
  <c r="L153" i="5"/>
  <c r="M153" i="5"/>
  <c r="C152" i="5"/>
  <c r="H152" i="5"/>
  <c r="I152" i="5"/>
  <c r="D152" i="5"/>
  <c r="J152" i="5"/>
  <c r="K152" i="5"/>
  <c r="L152" i="5"/>
  <c r="M152" i="5"/>
  <c r="N152" i="5"/>
  <c r="E152" i="5"/>
  <c r="O152" i="5"/>
  <c r="V152" i="4" s="1"/>
  <c r="C151" i="5"/>
  <c r="I151" i="5"/>
  <c r="J151" i="5"/>
  <c r="K151" i="5"/>
  <c r="N151" i="5"/>
  <c r="O151" i="5"/>
  <c r="V151" i="4" s="1"/>
  <c r="L151" i="5"/>
  <c r="M151" i="5"/>
  <c r="C150" i="5"/>
  <c r="I150" i="5"/>
  <c r="J150" i="5"/>
  <c r="K150" i="5"/>
  <c r="N150" i="5"/>
  <c r="O150" i="5"/>
  <c r="V150" i="4" s="1"/>
  <c r="L150" i="5"/>
  <c r="M150" i="5"/>
  <c r="C149" i="5"/>
  <c r="I149" i="5"/>
  <c r="J149" i="5"/>
  <c r="K149" i="5"/>
  <c r="N149" i="5"/>
  <c r="O149" i="5"/>
  <c r="V149" i="4" s="1"/>
  <c r="L149" i="5"/>
  <c r="M149" i="5"/>
  <c r="C148" i="5"/>
  <c r="I148" i="5"/>
  <c r="J148" i="5"/>
  <c r="K148" i="5"/>
  <c r="N148" i="5"/>
  <c r="O148" i="5"/>
  <c r="V148" i="4" s="1"/>
  <c r="L148" i="5"/>
  <c r="M148" i="5"/>
  <c r="C147" i="5"/>
  <c r="I147" i="5"/>
  <c r="J147" i="5"/>
  <c r="K147" i="5"/>
  <c r="N147" i="5"/>
  <c r="O147" i="5"/>
  <c r="V147" i="4" s="1"/>
  <c r="L147" i="5"/>
  <c r="M147" i="5"/>
  <c r="C146" i="5"/>
  <c r="I146" i="5"/>
  <c r="J146" i="5"/>
  <c r="K146" i="5"/>
  <c r="N146" i="5"/>
  <c r="O146" i="5"/>
  <c r="V146" i="4" s="1"/>
  <c r="L146" i="5"/>
  <c r="M146" i="5"/>
  <c r="C145" i="5"/>
  <c r="I145" i="5"/>
  <c r="J145" i="5"/>
  <c r="K145" i="5"/>
  <c r="N145" i="5"/>
  <c r="O145" i="5"/>
  <c r="V145" i="4" s="1"/>
  <c r="L145" i="5"/>
  <c r="M145" i="5"/>
  <c r="C144" i="5"/>
  <c r="I144" i="5"/>
  <c r="J144" i="5"/>
  <c r="K144" i="5"/>
  <c r="N144" i="5"/>
  <c r="O144" i="5"/>
  <c r="V144" i="4" s="1"/>
  <c r="L144" i="5"/>
  <c r="M144" i="5"/>
  <c r="C143" i="5"/>
  <c r="I143" i="5"/>
  <c r="J143" i="5"/>
  <c r="K143" i="5"/>
  <c r="N143" i="5"/>
  <c r="O143" i="5"/>
  <c r="V143" i="4" s="1"/>
  <c r="L143" i="5"/>
  <c r="M143" i="5"/>
  <c r="C142" i="5"/>
  <c r="H142" i="5"/>
  <c r="I142" i="5"/>
  <c r="D142" i="5"/>
  <c r="J142" i="5"/>
  <c r="K142" i="5"/>
  <c r="L142" i="5"/>
  <c r="M142" i="5"/>
  <c r="N142" i="5"/>
  <c r="E142" i="5"/>
  <c r="O142" i="5"/>
  <c r="V142" i="4" s="1"/>
  <c r="C140" i="5"/>
  <c r="I140" i="5"/>
  <c r="J140" i="5"/>
  <c r="K140" i="5"/>
  <c r="N140" i="5"/>
  <c r="O140" i="5"/>
  <c r="V140" i="4" s="1"/>
  <c r="L140" i="5"/>
  <c r="M140" i="5"/>
  <c r="C139" i="5"/>
  <c r="I139" i="5"/>
  <c r="J139" i="5"/>
  <c r="K139" i="5"/>
  <c r="N139" i="5"/>
  <c r="O139" i="5"/>
  <c r="V139" i="4" s="1"/>
  <c r="L139" i="5"/>
  <c r="M139" i="5"/>
  <c r="C138" i="5"/>
  <c r="I138" i="5"/>
  <c r="J138" i="5"/>
  <c r="K138" i="5"/>
  <c r="N138" i="5"/>
  <c r="O138" i="5"/>
  <c r="V138" i="4" s="1"/>
  <c r="L138" i="5"/>
  <c r="M138" i="5"/>
  <c r="C137" i="5"/>
  <c r="I137" i="5"/>
  <c r="J137" i="5"/>
  <c r="K137" i="5"/>
  <c r="N137" i="5"/>
  <c r="O137" i="5"/>
  <c r="V137" i="4" s="1"/>
  <c r="L137" i="5"/>
  <c r="M137" i="5"/>
  <c r="C136" i="5"/>
  <c r="I136" i="5"/>
  <c r="J136" i="5"/>
  <c r="K136" i="5"/>
  <c r="N136" i="5"/>
  <c r="O136" i="5"/>
  <c r="L136" i="5"/>
  <c r="M136" i="5"/>
  <c r="C135" i="5"/>
  <c r="I135" i="5"/>
  <c r="J135" i="5"/>
  <c r="K135" i="5"/>
  <c r="N135" i="5"/>
  <c r="O135" i="5"/>
  <c r="V135" i="4" s="1"/>
  <c r="L135" i="5"/>
  <c r="M135" i="5"/>
  <c r="C134" i="5"/>
  <c r="I134" i="5"/>
  <c r="J134" i="5"/>
  <c r="K134" i="5"/>
  <c r="N134" i="5"/>
  <c r="O134" i="5"/>
  <c r="V134" i="4" s="1"/>
  <c r="L134" i="5"/>
  <c r="M134" i="5"/>
  <c r="C133" i="5"/>
  <c r="I133" i="5"/>
  <c r="J133" i="5"/>
  <c r="K133" i="5"/>
  <c r="N133" i="5"/>
  <c r="O133" i="5"/>
  <c r="V133" i="4" s="1"/>
  <c r="L133" i="5"/>
  <c r="M133" i="5"/>
  <c r="C132" i="5"/>
  <c r="I132" i="5"/>
  <c r="J132" i="5"/>
  <c r="K132" i="5"/>
  <c r="N132" i="5"/>
  <c r="O132" i="5"/>
  <c r="V132" i="4" s="1"/>
  <c r="L132" i="5"/>
  <c r="M132" i="5"/>
  <c r="C131" i="5"/>
  <c r="I131" i="5"/>
  <c r="J131" i="5"/>
  <c r="K131" i="5"/>
  <c r="N131" i="5"/>
  <c r="O131" i="5"/>
  <c r="L131" i="5"/>
  <c r="M131" i="5"/>
  <c r="C130" i="5"/>
  <c r="I130" i="5"/>
  <c r="J130" i="5"/>
  <c r="K130" i="5"/>
  <c r="N130" i="5"/>
  <c r="O130" i="5"/>
  <c r="V130" i="4" s="1"/>
  <c r="L130" i="5"/>
  <c r="M130" i="5"/>
  <c r="C129" i="5"/>
  <c r="I129" i="5"/>
  <c r="J129" i="5"/>
  <c r="K129" i="5"/>
  <c r="N129" i="5"/>
  <c r="O129" i="5"/>
  <c r="V129" i="4" s="1"/>
  <c r="L129" i="5"/>
  <c r="M129" i="5"/>
  <c r="C128" i="5"/>
  <c r="I128" i="5"/>
  <c r="J128" i="5"/>
  <c r="K128" i="5"/>
  <c r="N128" i="5"/>
  <c r="O128" i="5"/>
  <c r="V128" i="4" s="1"/>
  <c r="L128" i="5"/>
  <c r="M128" i="5"/>
  <c r="C127" i="5"/>
  <c r="I127" i="5"/>
  <c r="J127" i="5"/>
  <c r="K127" i="5"/>
  <c r="N127" i="5"/>
  <c r="O127" i="5"/>
  <c r="V127" i="4" s="1"/>
  <c r="L127" i="5"/>
  <c r="M127" i="5"/>
  <c r="C126" i="5"/>
  <c r="I126" i="5"/>
  <c r="J126" i="5"/>
  <c r="K126" i="5"/>
  <c r="N126" i="5"/>
  <c r="O126" i="5"/>
  <c r="V126" i="4" s="1"/>
  <c r="L126" i="5"/>
  <c r="M126" i="5"/>
  <c r="C125" i="5"/>
  <c r="I125" i="5"/>
  <c r="J125" i="5"/>
  <c r="K125" i="5"/>
  <c r="N125" i="5"/>
  <c r="O125" i="5"/>
  <c r="L125" i="5"/>
  <c r="M125" i="5"/>
  <c r="C124" i="5"/>
  <c r="I124" i="5"/>
  <c r="J124" i="5"/>
  <c r="K124" i="5"/>
  <c r="N124" i="5"/>
  <c r="O124" i="5"/>
  <c r="V124" i="4" s="1"/>
  <c r="L124" i="5"/>
  <c r="M124" i="5"/>
  <c r="C123" i="5"/>
  <c r="I123" i="5"/>
  <c r="J123" i="5"/>
  <c r="K123" i="5"/>
  <c r="N123" i="5"/>
  <c r="O123" i="5"/>
  <c r="V123" i="4" s="1"/>
  <c r="L123" i="5"/>
  <c r="M123" i="5"/>
  <c r="C122" i="5"/>
  <c r="I122" i="5"/>
  <c r="J122" i="5"/>
  <c r="K122" i="5"/>
  <c r="N122" i="5"/>
  <c r="O122" i="5"/>
  <c r="V122" i="4" s="1"/>
  <c r="L122" i="5"/>
  <c r="M122" i="5"/>
  <c r="C121" i="5"/>
  <c r="I121" i="5"/>
  <c r="J121" i="5"/>
  <c r="K121" i="5"/>
  <c r="N121" i="5"/>
  <c r="O121" i="5"/>
  <c r="V121" i="4" s="1"/>
  <c r="L121" i="5"/>
  <c r="M121" i="5"/>
  <c r="C120" i="5"/>
  <c r="I120" i="5"/>
  <c r="J120" i="5"/>
  <c r="K120" i="5"/>
  <c r="N120" i="5"/>
  <c r="O120" i="5"/>
  <c r="V120" i="4" s="1"/>
  <c r="L120" i="5"/>
  <c r="M120" i="5"/>
  <c r="C119" i="5"/>
  <c r="I119" i="5"/>
  <c r="J119" i="5"/>
  <c r="K119" i="5"/>
  <c r="N119" i="5"/>
  <c r="O119" i="5"/>
  <c r="V119" i="4" s="1"/>
  <c r="L119" i="5"/>
  <c r="M119" i="5"/>
  <c r="C118" i="5"/>
  <c r="I118" i="5"/>
  <c r="J118" i="5"/>
  <c r="K118" i="5"/>
  <c r="N118" i="5"/>
  <c r="O118" i="5"/>
  <c r="V118" i="4" s="1"/>
  <c r="L118" i="5"/>
  <c r="M118" i="5"/>
  <c r="C117" i="5"/>
  <c r="I117" i="5"/>
  <c r="J117" i="5"/>
  <c r="K117" i="5"/>
  <c r="N117" i="5"/>
  <c r="O117" i="5"/>
  <c r="V117" i="4" s="1"/>
  <c r="L117" i="5"/>
  <c r="M117" i="5"/>
  <c r="C116" i="5"/>
  <c r="I116" i="5"/>
  <c r="J116" i="5"/>
  <c r="K116" i="5"/>
  <c r="N116" i="5"/>
  <c r="O116" i="5"/>
  <c r="V116" i="4" s="1"/>
  <c r="L116" i="5"/>
  <c r="M116" i="5"/>
  <c r="C115" i="5"/>
  <c r="I115" i="5"/>
  <c r="J115" i="5"/>
  <c r="K115" i="5"/>
  <c r="N115" i="5"/>
  <c r="O115" i="5"/>
  <c r="V115" i="4" s="1"/>
  <c r="L115" i="5"/>
  <c r="M115" i="5"/>
  <c r="C114" i="5"/>
  <c r="I114" i="5"/>
  <c r="J114" i="5"/>
  <c r="K114" i="5"/>
  <c r="N114" i="5"/>
  <c r="O114" i="5"/>
  <c r="V114" i="4" s="1"/>
  <c r="L114" i="5"/>
  <c r="M114" i="5"/>
  <c r="C113" i="5"/>
  <c r="I113" i="5"/>
  <c r="J113" i="5"/>
  <c r="K113" i="5"/>
  <c r="N113" i="5"/>
  <c r="O113" i="5"/>
  <c r="V113" i="4" s="1"/>
  <c r="L113" i="5"/>
  <c r="M113" i="5"/>
  <c r="C112" i="5"/>
  <c r="I112" i="5"/>
  <c r="J112" i="5"/>
  <c r="K112" i="5"/>
  <c r="N112" i="5"/>
  <c r="O112" i="5"/>
  <c r="V112" i="4" s="1"/>
  <c r="L112" i="5"/>
  <c r="M112" i="5"/>
  <c r="C111" i="5"/>
  <c r="I111" i="5"/>
  <c r="J111" i="5"/>
  <c r="K111" i="5"/>
  <c r="N111" i="5"/>
  <c r="O111" i="5"/>
  <c r="V111" i="4" s="1"/>
  <c r="L111" i="5"/>
  <c r="M111" i="5"/>
  <c r="C110" i="5"/>
  <c r="I110" i="5"/>
  <c r="J110" i="5"/>
  <c r="K110" i="5"/>
  <c r="N110" i="5"/>
  <c r="O110" i="5"/>
  <c r="V110" i="4" s="1"/>
  <c r="L110" i="5"/>
  <c r="M110" i="5"/>
  <c r="C109" i="5"/>
  <c r="I109" i="5"/>
  <c r="J109" i="5"/>
  <c r="K109" i="5"/>
  <c r="N109" i="5"/>
  <c r="O109" i="5"/>
  <c r="V109" i="4" s="1"/>
  <c r="L109" i="5"/>
  <c r="M109" i="5"/>
  <c r="C108" i="5"/>
  <c r="I108" i="5"/>
  <c r="J108" i="5"/>
  <c r="K108" i="5"/>
  <c r="N108" i="5"/>
  <c r="O108" i="5"/>
  <c r="V108" i="4" s="1"/>
  <c r="L108" i="5"/>
  <c r="M108" i="5"/>
  <c r="C107" i="5"/>
  <c r="I107" i="5"/>
  <c r="J107" i="5"/>
  <c r="K107" i="5"/>
  <c r="N107" i="5"/>
  <c r="O107" i="5"/>
  <c r="L107" i="5"/>
  <c r="M107" i="5"/>
  <c r="C106" i="5"/>
  <c r="I106" i="5"/>
  <c r="J106" i="5"/>
  <c r="K106" i="5"/>
  <c r="N106" i="5"/>
  <c r="O106" i="5"/>
  <c r="V106" i="4" s="1"/>
  <c r="L106" i="5"/>
  <c r="M106" i="5"/>
  <c r="C105" i="5"/>
  <c r="I105" i="5"/>
  <c r="J105" i="5"/>
  <c r="K105" i="5"/>
  <c r="N105" i="5"/>
  <c r="O105" i="5"/>
  <c r="V105" i="4" s="1"/>
  <c r="L105" i="5"/>
  <c r="M105" i="5"/>
  <c r="C104" i="5"/>
  <c r="I104" i="5"/>
  <c r="J104" i="5"/>
  <c r="K104" i="5"/>
  <c r="N104" i="5"/>
  <c r="O104" i="5"/>
  <c r="V104" i="4" s="1"/>
  <c r="L104" i="5"/>
  <c r="M104" i="5"/>
  <c r="C103" i="5"/>
  <c r="H103" i="5"/>
  <c r="I103" i="5"/>
  <c r="D103" i="5"/>
  <c r="J103" i="5"/>
  <c r="K103" i="5"/>
  <c r="L103" i="5"/>
  <c r="M103" i="5"/>
  <c r="N103" i="5"/>
  <c r="E103" i="5"/>
  <c r="O103" i="5"/>
  <c r="V103" i="4" s="1"/>
  <c r="C102" i="5"/>
  <c r="H102" i="5"/>
  <c r="I102" i="5"/>
  <c r="D102" i="5"/>
  <c r="J102" i="5"/>
  <c r="K102" i="5"/>
  <c r="L102" i="5"/>
  <c r="M102" i="5"/>
  <c r="N102" i="5"/>
  <c r="E102" i="5"/>
  <c r="O102" i="5"/>
  <c r="C101" i="5"/>
  <c r="H101" i="5"/>
  <c r="I101" i="5"/>
  <c r="D101" i="5"/>
  <c r="J101" i="5"/>
  <c r="K101" i="5"/>
  <c r="L101" i="5"/>
  <c r="M101" i="5"/>
  <c r="N101" i="5"/>
  <c r="E101" i="5"/>
  <c r="O101" i="5"/>
  <c r="V101" i="4" s="1"/>
  <c r="C100" i="5"/>
  <c r="H100" i="5"/>
  <c r="I100" i="5"/>
  <c r="D100" i="5"/>
  <c r="J100" i="5"/>
  <c r="K100" i="5"/>
  <c r="L100" i="5"/>
  <c r="M100" i="5"/>
  <c r="N100" i="5"/>
  <c r="E100" i="5"/>
  <c r="O100" i="5"/>
  <c r="V100" i="4" s="1"/>
  <c r="C99" i="5"/>
  <c r="H99" i="5"/>
  <c r="I99" i="5"/>
  <c r="D99" i="5"/>
  <c r="J99" i="5"/>
  <c r="K99" i="5"/>
  <c r="L99" i="5"/>
  <c r="M99" i="5"/>
  <c r="N99" i="5"/>
  <c r="E99" i="5"/>
  <c r="O99" i="5"/>
  <c r="V99" i="4" s="1"/>
  <c r="C98" i="5"/>
  <c r="H98" i="5"/>
  <c r="I98" i="5"/>
  <c r="D98" i="5"/>
  <c r="J98" i="5"/>
  <c r="K98" i="5"/>
  <c r="L98" i="5"/>
  <c r="M98" i="5"/>
  <c r="N98" i="5"/>
  <c r="E98" i="5"/>
  <c r="O98" i="5"/>
  <c r="V98" i="4" s="1"/>
  <c r="C97" i="5"/>
  <c r="H97" i="5"/>
  <c r="I97" i="5"/>
  <c r="D97" i="5"/>
  <c r="J97" i="5"/>
  <c r="K97" i="5"/>
  <c r="L97" i="5"/>
  <c r="M97" i="5"/>
  <c r="N97" i="5"/>
  <c r="E97" i="5"/>
  <c r="O97" i="5"/>
  <c r="V97" i="4" s="1"/>
  <c r="C96" i="5"/>
  <c r="H96" i="5"/>
  <c r="I96" i="5"/>
  <c r="D96" i="5"/>
  <c r="J96" i="5"/>
  <c r="K96" i="5"/>
  <c r="L96" i="5"/>
  <c r="M96" i="5"/>
  <c r="N96" i="5"/>
  <c r="E96" i="5"/>
  <c r="O96" i="5"/>
  <c r="V96" i="4" s="1"/>
  <c r="C95" i="5"/>
  <c r="H95" i="5"/>
  <c r="I95" i="5"/>
  <c r="D95" i="5"/>
  <c r="J95" i="5"/>
  <c r="K95" i="5"/>
  <c r="L95" i="5"/>
  <c r="M95" i="5"/>
  <c r="N95" i="5"/>
  <c r="E95" i="5"/>
  <c r="O95" i="5"/>
  <c r="C94" i="5"/>
  <c r="H94" i="5"/>
  <c r="I94" i="5"/>
  <c r="D94" i="5"/>
  <c r="J94" i="5"/>
  <c r="K94" i="5"/>
  <c r="L94" i="5"/>
  <c r="M94" i="5"/>
  <c r="N94" i="5"/>
  <c r="E94" i="5"/>
  <c r="O94" i="5"/>
  <c r="V94" i="4" s="1"/>
  <c r="C93" i="5"/>
  <c r="H93" i="5"/>
  <c r="I93" i="5"/>
  <c r="D93" i="5"/>
  <c r="J93" i="5"/>
  <c r="K93" i="5"/>
  <c r="L93" i="5"/>
  <c r="M93" i="5"/>
  <c r="N93" i="5"/>
  <c r="E93" i="5"/>
  <c r="O93" i="5"/>
  <c r="V93" i="4" s="1"/>
  <c r="C92" i="5"/>
  <c r="H92" i="5"/>
  <c r="I92" i="5"/>
  <c r="D92" i="5"/>
  <c r="J92" i="5"/>
  <c r="K92" i="5"/>
  <c r="L92" i="5"/>
  <c r="M92" i="5"/>
  <c r="N92" i="5"/>
  <c r="E92" i="5"/>
  <c r="O92" i="5"/>
  <c r="V92" i="4" s="1"/>
  <c r="C91" i="5"/>
  <c r="H91" i="5"/>
  <c r="I91" i="5"/>
  <c r="D91" i="5"/>
  <c r="J91" i="5"/>
  <c r="K91" i="5"/>
  <c r="L91" i="5"/>
  <c r="M91" i="5"/>
  <c r="N91" i="5"/>
  <c r="E91" i="5"/>
  <c r="O91" i="5"/>
  <c r="V91" i="4" s="1"/>
  <c r="C90" i="5"/>
  <c r="H90" i="5"/>
  <c r="I90" i="5"/>
  <c r="D90" i="5"/>
  <c r="J90" i="5"/>
  <c r="K90" i="5"/>
  <c r="L90" i="5"/>
  <c r="M90" i="5"/>
  <c r="N90" i="5"/>
  <c r="E90" i="5"/>
  <c r="O90" i="5"/>
  <c r="V90" i="4" s="1"/>
  <c r="C89" i="5"/>
  <c r="H89" i="5"/>
  <c r="I89" i="5"/>
  <c r="D89" i="5"/>
  <c r="J89" i="5"/>
  <c r="K89" i="5"/>
  <c r="L89" i="5"/>
  <c r="M89" i="5"/>
  <c r="N89" i="5"/>
  <c r="E89" i="5"/>
  <c r="O89" i="5"/>
  <c r="V89" i="4" s="1"/>
  <c r="C88" i="5"/>
  <c r="H88" i="5"/>
  <c r="I88" i="5"/>
  <c r="D88" i="5"/>
  <c r="J88" i="5"/>
  <c r="K88" i="5"/>
  <c r="L88" i="5"/>
  <c r="M88" i="5"/>
  <c r="N88" i="5"/>
  <c r="E88" i="5"/>
  <c r="O88" i="5"/>
  <c r="V88" i="4" s="1"/>
  <c r="C87" i="5"/>
  <c r="H87" i="5"/>
  <c r="I87" i="5"/>
  <c r="D87" i="5"/>
  <c r="J87" i="5"/>
  <c r="K87" i="5"/>
  <c r="L87" i="5"/>
  <c r="M87" i="5"/>
  <c r="N87" i="5"/>
  <c r="E87" i="5"/>
  <c r="O87" i="5"/>
  <c r="V87" i="4" s="1"/>
  <c r="C86" i="5"/>
  <c r="H86" i="5"/>
  <c r="I86" i="5"/>
  <c r="D86" i="5"/>
  <c r="J86" i="5"/>
  <c r="K86" i="5"/>
  <c r="L86" i="5"/>
  <c r="M86" i="5"/>
  <c r="N86" i="5"/>
  <c r="E86" i="5"/>
  <c r="O86" i="5"/>
  <c r="V86" i="4" s="1"/>
  <c r="C85" i="5"/>
  <c r="H85" i="5"/>
  <c r="I85" i="5"/>
  <c r="D85" i="5"/>
  <c r="J85" i="5"/>
  <c r="K85" i="5"/>
  <c r="L85" i="5"/>
  <c r="M85" i="5"/>
  <c r="N85" i="5"/>
  <c r="E85" i="5"/>
  <c r="O85" i="5"/>
  <c r="V85" i="4" s="1"/>
  <c r="C84" i="5"/>
  <c r="H84" i="5"/>
  <c r="I84" i="5"/>
  <c r="D84" i="5"/>
  <c r="J84" i="5"/>
  <c r="K84" i="5"/>
  <c r="L84" i="5"/>
  <c r="M84" i="5"/>
  <c r="N84" i="5"/>
  <c r="E84" i="5"/>
  <c r="O84" i="5"/>
  <c r="V84" i="4" s="1"/>
  <c r="C73" i="5"/>
  <c r="H73" i="5"/>
  <c r="I73" i="5"/>
  <c r="D73" i="5"/>
  <c r="J73" i="5"/>
  <c r="K73" i="5"/>
  <c r="L73" i="5"/>
  <c r="M73" i="5"/>
  <c r="N73" i="5"/>
  <c r="E73" i="5"/>
  <c r="O73" i="5"/>
  <c r="V73" i="4" s="1"/>
  <c r="C74" i="5"/>
  <c r="H74" i="5"/>
  <c r="I74" i="5"/>
  <c r="D74" i="5"/>
  <c r="J74" i="5"/>
  <c r="K74" i="5"/>
  <c r="L74" i="5"/>
  <c r="M74" i="5"/>
  <c r="N74" i="5"/>
  <c r="E74" i="5"/>
  <c r="O74" i="5"/>
  <c r="V74" i="4" s="1"/>
  <c r="C75" i="5"/>
  <c r="H75" i="5"/>
  <c r="I75" i="5"/>
  <c r="D75" i="5"/>
  <c r="J75" i="5"/>
  <c r="K75" i="5"/>
  <c r="L75" i="5"/>
  <c r="M75" i="5"/>
  <c r="N75" i="5"/>
  <c r="E75" i="5"/>
  <c r="O75" i="5"/>
  <c r="V75" i="4" s="1"/>
  <c r="C76" i="5"/>
  <c r="H76" i="5"/>
  <c r="I76" i="5"/>
  <c r="D76" i="5"/>
  <c r="J76" i="5"/>
  <c r="K76" i="5"/>
  <c r="L76" i="5"/>
  <c r="M76" i="5"/>
  <c r="N76" i="5"/>
  <c r="E76" i="5"/>
  <c r="O76" i="5"/>
  <c r="V76" i="4" s="1"/>
  <c r="C77" i="5"/>
  <c r="H77" i="5"/>
  <c r="I77" i="5"/>
  <c r="D77" i="5"/>
  <c r="J77" i="5"/>
  <c r="K77" i="5"/>
  <c r="L77" i="5"/>
  <c r="M77" i="5"/>
  <c r="N77" i="5"/>
  <c r="E77" i="5"/>
  <c r="O77" i="5"/>
  <c r="V77" i="4" s="1"/>
  <c r="C78" i="5"/>
  <c r="H78" i="5"/>
  <c r="I78" i="5"/>
  <c r="D78" i="5"/>
  <c r="J78" i="5"/>
  <c r="K78" i="5"/>
  <c r="L78" i="5"/>
  <c r="M78" i="5"/>
  <c r="N78" i="5"/>
  <c r="E78" i="5"/>
  <c r="O78" i="5"/>
  <c r="V78" i="4" s="1"/>
  <c r="C79" i="5"/>
  <c r="H79" i="5"/>
  <c r="I79" i="5"/>
  <c r="D79" i="5"/>
  <c r="J79" i="5"/>
  <c r="K79" i="5"/>
  <c r="L79" i="5"/>
  <c r="M79" i="5"/>
  <c r="N79" i="5"/>
  <c r="E79" i="5"/>
  <c r="O79" i="5"/>
  <c r="V79" i="4" s="1"/>
  <c r="C80" i="5"/>
  <c r="H80" i="5"/>
  <c r="I80" i="5"/>
  <c r="D80" i="5"/>
  <c r="J80" i="5"/>
  <c r="K80" i="5"/>
  <c r="L80" i="5"/>
  <c r="M80" i="5"/>
  <c r="N80" i="5"/>
  <c r="O80" i="5"/>
  <c r="V80" i="4" s="1"/>
  <c r="C81" i="5"/>
  <c r="H81" i="5"/>
  <c r="I81" i="5"/>
  <c r="D81" i="5"/>
  <c r="J81" i="5"/>
  <c r="K81" i="5"/>
  <c r="L81" i="5"/>
  <c r="M81" i="5"/>
  <c r="N81" i="5"/>
  <c r="E81" i="5"/>
  <c r="O81" i="5"/>
  <c r="V81" i="4" s="1"/>
  <c r="C82" i="5"/>
  <c r="H82" i="5"/>
  <c r="I82" i="5"/>
  <c r="D82" i="5"/>
  <c r="J82" i="5"/>
  <c r="K82" i="5"/>
  <c r="L82" i="5"/>
  <c r="M82" i="5"/>
  <c r="N82" i="5"/>
  <c r="E82" i="5"/>
  <c r="O82" i="5"/>
  <c r="V82" i="4" s="1"/>
  <c r="C64" i="5"/>
  <c r="H64" i="5"/>
  <c r="I64" i="5"/>
  <c r="D64" i="5"/>
  <c r="J64" i="5"/>
  <c r="K64" i="5"/>
  <c r="L64" i="5"/>
  <c r="M64" i="5"/>
  <c r="N64" i="5"/>
  <c r="E64" i="5"/>
  <c r="O64" i="5"/>
  <c r="V64" i="4" s="1"/>
  <c r="C65" i="5"/>
  <c r="H65" i="5"/>
  <c r="I65" i="5"/>
  <c r="D65" i="5"/>
  <c r="J65" i="5"/>
  <c r="K65" i="5"/>
  <c r="L65" i="5"/>
  <c r="M65" i="5"/>
  <c r="N65" i="5"/>
  <c r="E65" i="5"/>
  <c r="O65" i="5"/>
  <c r="V65" i="4" s="1"/>
  <c r="C66" i="5"/>
  <c r="H66" i="5"/>
  <c r="I66" i="5"/>
  <c r="D66" i="5"/>
  <c r="J66" i="5"/>
  <c r="K66" i="5"/>
  <c r="L66" i="5"/>
  <c r="M66" i="5"/>
  <c r="N66" i="5"/>
  <c r="E66" i="5"/>
  <c r="O66" i="5"/>
  <c r="V66" i="4" s="1"/>
  <c r="C67" i="5"/>
  <c r="H67" i="5"/>
  <c r="I67" i="5"/>
  <c r="D67" i="5"/>
  <c r="J67" i="5"/>
  <c r="K67" i="5"/>
  <c r="L67" i="5"/>
  <c r="M67" i="5"/>
  <c r="N67" i="5"/>
  <c r="E67" i="5"/>
  <c r="O67" i="5"/>
  <c r="V67" i="4" s="1"/>
  <c r="C50" i="5"/>
  <c r="H50" i="5"/>
  <c r="I50" i="5"/>
  <c r="D50" i="5"/>
  <c r="J50" i="5"/>
  <c r="K50" i="5"/>
  <c r="L50" i="5"/>
  <c r="M50" i="5"/>
  <c r="N50" i="5"/>
  <c r="E50" i="5"/>
  <c r="O50" i="5"/>
  <c r="V50" i="4" s="1"/>
  <c r="C51" i="5"/>
  <c r="H51" i="5"/>
  <c r="I51" i="5"/>
  <c r="D51" i="5"/>
  <c r="J51" i="5"/>
  <c r="K51" i="5"/>
  <c r="L51" i="5"/>
  <c r="M51" i="5"/>
  <c r="N51" i="5"/>
  <c r="E51" i="5"/>
  <c r="O51" i="5"/>
  <c r="V51" i="4" s="1"/>
  <c r="C52" i="5"/>
  <c r="H52" i="5"/>
  <c r="I52" i="5"/>
  <c r="D52" i="5"/>
  <c r="J52" i="5"/>
  <c r="K52" i="5"/>
  <c r="L52" i="5"/>
  <c r="M52" i="5"/>
  <c r="N52" i="5"/>
  <c r="E52" i="5"/>
  <c r="O52" i="5"/>
  <c r="V52" i="4" s="1"/>
  <c r="C53" i="5"/>
  <c r="H53" i="5"/>
  <c r="I53" i="5"/>
  <c r="D53" i="5"/>
  <c r="J53" i="5"/>
  <c r="K53" i="5"/>
  <c r="L53" i="5"/>
  <c r="M53" i="5"/>
  <c r="N53" i="5"/>
  <c r="E53" i="5"/>
  <c r="O53" i="5"/>
  <c r="V53" i="4" s="1"/>
  <c r="C54" i="5"/>
  <c r="H54" i="5"/>
  <c r="I54" i="5"/>
  <c r="D54" i="5"/>
  <c r="J54" i="5"/>
  <c r="K54" i="5"/>
  <c r="L54" i="5"/>
  <c r="M54" i="5"/>
  <c r="N54" i="5"/>
  <c r="E54" i="5"/>
  <c r="O54" i="5"/>
  <c r="V54" i="4" s="1"/>
  <c r="C55" i="5"/>
  <c r="H55" i="5"/>
  <c r="I55" i="5"/>
  <c r="D55" i="5"/>
  <c r="J55" i="5"/>
  <c r="K55" i="5"/>
  <c r="L55" i="5"/>
  <c r="M55" i="5"/>
  <c r="N55" i="5"/>
  <c r="E55" i="5"/>
  <c r="O55" i="5"/>
  <c r="V55" i="4" s="1"/>
  <c r="C56" i="5"/>
  <c r="H56" i="5"/>
  <c r="I56" i="5"/>
  <c r="D56" i="5"/>
  <c r="J56" i="5"/>
  <c r="K56" i="5"/>
  <c r="L56" i="5"/>
  <c r="M56" i="5"/>
  <c r="N56" i="5"/>
  <c r="E56" i="5"/>
  <c r="O56" i="5"/>
  <c r="V56" i="4" s="1"/>
  <c r="C57" i="5"/>
  <c r="H57" i="5"/>
  <c r="I57" i="5"/>
  <c r="D57" i="5"/>
  <c r="J57" i="5"/>
  <c r="K57" i="5"/>
  <c r="L57" i="5"/>
  <c r="M57" i="5"/>
  <c r="N57" i="5"/>
  <c r="E57" i="5"/>
  <c r="O57" i="5"/>
  <c r="V57" i="4" s="1"/>
  <c r="C58" i="5"/>
  <c r="H58" i="5"/>
  <c r="I58" i="5"/>
  <c r="D58" i="5"/>
  <c r="J58" i="5"/>
  <c r="K58" i="5"/>
  <c r="L58" i="5"/>
  <c r="M58" i="5"/>
  <c r="N58" i="5"/>
  <c r="E58" i="5"/>
  <c r="O58" i="5"/>
  <c r="V58" i="4" s="1"/>
  <c r="C59" i="5"/>
  <c r="H59" i="5"/>
  <c r="I59" i="5"/>
  <c r="D59" i="5"/>
  <c r="J59" i="5"/>
  <c r="K59" i="5"/>
  <c r="L59" i="5"/>
  <c r="M59" i="5"/>
  <c r="N59" i="5"/>
  <c r="E59" i="5"/>
  <c r="O59" i="5"/>
  <c r="C60" i="5"/>
  <c r="H60" i="5"/>
  <c r="I60" i="5"/>
  <c r="D60" i="5"/>
  <c r="J60" i="5"/>
  <c r="K60" i="5"/>
  <c r="L60" i="5"/>
  <c r="M60" i="5"/>
  <c r="N60" i="5"/>
  <c r="E60" i="5"/>
  <c r="O60" i="5"/>
  <c r="V60" i="4" s="1"/>
  <c r="C61" i="5"/>
  <c r="H61" i="5"/>
  <c r="I61" i="5"/>
  <c r="D61" i="5"/>
  <c r="J61" i="5"/>
  <c r="K61" i="5"/>
  <c r="L61" i="5"/>
  <c r="M61" i="5"/>
  <c r="N61" i="5"/>
  <c r="E61" i="5"/>
  <c r="O61" i="5"/>
  <c r="V61" i="4" s="1"/>
  <c r="C62" i="5"/>
  <c r="H62" i="5"/>
  <c r="I62" i="5"/>
  <c r="D62" i="5"/>
  <c r="J62" i="5"/>
  <c r="K62" i="5"/>
  <c r="L62" i="5"/>
  <c r="M62" i="5"/>
  <c r="N62" i="5"/>
  <c r="E62" i="5"/>
  <c r="O62" i="5"/>
  <c r="V62" i="4" s="1"/>
  <c r="C45" i="5"/>
  <c r="I45" i="5"/>
  <c r="J45" i="5"/>
  <c r="K45" i="5"/>
  <c r="L45" i="5"/>
  <c r="M45" i="5"/>
  <c r="N45" i="5"/>
  <c r="O45" i="5"/>
  <c r="C46" i="5"/>
  <c r="I46" i="5"/>
  <c r="J46" i="5"/>
  <c r="K46" i="5"/>
  <c r="L46" i="5"/>
  <c r="M46" i="5"/>
  <c r="N46" i="5"/>
  <c r="O46" i="5"/>
  <c r="V46" i="4" s="1"/>
  <c r="C47" i="5"/>
  <c r="I47" i="5"/>
  <c r="J47" i="5"/>
  <c r="K47" i="5"/>
  <c r="L47" i="5"/>
  <c r="M47" i="5"/>
  <c r="N47" i="5"/>
  <c r="O47" i="5"/>
  <c r="C39" i="5"/>
  <c r="I39" i="5"/>
  <c r="J39" i="5"/>
  <c r="K39" i="5"/>
  <c r="L39" i="5"/>
  <c r="M39" i="5"/>
  <c r="N39" i="5"/>
  <c r="O39" i="5"/>
  <c r="V39" i="4" s="1"/>
  <c r="C40" i="5"/>
  <c r="I40" i="5"/>
  <c r="J40" i="5"/>
  <c r="K40" i="5"/>
  <c r="L40" i="5"/>
  <c r="M40" i="5"/>
  <c r="N40" i="5"/>
  <c r="O40" i="5"/>
  <c r="V40" i="4" s="1"/>
  <c r="C41" i="5"/>
  <c r="I41" i="5"/>
  <c r="J41" i="5"/>
  <c r="K41" i="5"/>
  <c r="L41" i="5"/>
  <c r="M41" i="5"/>
  <c r="N41" i="5"/>
  <c r="O41" i="5"/>
  <c r="V41" i="4" s="1"/>
  <c r="E39" i="5"/>
  <c r="F40" i="5"/>
  <c r="E40" i="5"/>
  <c r="F41" i="5"/>
  <c r="E41" i="5"/>
  <c r="H310" i="5"/>
  <c r="F310" i="5"/>
  <c r="H309" i="5"/>
  <c r="F309" i="5"/>
  <c r="H308" i="5"/>
  <c r="H307" i="5"/>
  <c r="F307" i="5"/>
  <c r="H306" i="5"/>
  <c r="F306" i="5"/>
  <c r="H305" i="5"/>
  <c r="F305" i="5"/>
  <c r="H304" i="5"/>
  <c r="F304" i="5"/>
  <c r="H303" i="5"/>
  <c r="H302" i="5"/>
  <c r="F302" i="5"/>
  <c r="H301" i="5"/>
  <c r="F301" i="5"/>
  <c r="H300" i="5"/>
  <c r="H299" i="5"/>
  <c r="H298" i="5"/>
  <c r="F298" i="5"/>
  <c r="H297" i="5"/>
  <c r="F297" i="5"/>
  <c r="H296" i="5"/>
  <c r="H295" i="5"/>
  <c r="F295" i="5"/>
  <c r="H294" i="5"/>
  <c r="F294" i="5"/>
  <c r="H293" i="5"/>
  <c r="F293" i="5"/>
  <c r="H292" i="5"/>
  <c r="H291" i="5"/>
  <c r="F291" i="5"/>
  <c r="H290" i="5"/>
  <c r="F290" i="5"/>
  <c r="H289" i="5"/>
  <c r="F289" i="5"/>
  <c r="H288" i="5"/>
  <c r="H287" i="5"/>
  <c r="F287" i="5"/>
  <c r="H286" i="5"/>
  <c r="F286" i="5"/>
  <c r="H285" i="5"/>
  <c r="F285" i="5"/>
  <c r="H284" i="5"/>
  <c r="H283" i="5"/>
  <c r="H282" i="5"/>
  <c r="F282" i="5"/>
  <c r="H281" i="5"/>
  <c r="F281" i="5"/>
  <c r="H280" i="5"/>
  <c r="H279" i="5"/>
  <c r="H278" i="5"/>
  <c r="F278" i="5"/>
  <c r="H277" i="5"/>
  <c r="F277" i="5"/>
  <c r="H275" i="5"/>
  <c r="H274" i="5"/>
  <c r="F274" i="5"/>
  <c r="H273" i="5"/>
  <c r="F273" i="5"/>
  <c r="H272" i="5"/>
  <c r="F272" i="5"/>
  <c r="H271" i="5"/>
  <c r="H270" i="5"/>
  <c r="F270" i="5"/>
  <c r="H269" i="5"/>
  <c r="F269" i="5"/>
  <c r="H268" i="5"/>
  <c r="F268" i="5"/>
  <c r="H267" i="5"/>
  <c r="H266" i="5"/>
  <c r="F266" i="5"/>
  <c r="H265" i="5"/>
  <c r="F265" i="5"/>
  <c r="H264" i="5"/>
  <c r="F264" i="5"/>
  <c r="H263" i="5"/>
  <c r="H262" i="5"/>
  <c r="F262" i="5"/>
  <c r="H261" i="5"/>
  <c r="F261" i="5"/>
  <c r="H260" i="5"/>
  <c r="F260" i="5"/>
  <c r="H259" i="5"/>
  <c r="H258" i="5"/>
  <c r="F258" i="5"/>
  <c r="H257" i="5"/>
  <c r="F257" i="5"/>
  <c r="H256" i="5"/>
  <c r="F256" i="5"/>
  <c r="H255" i="5"/>
  <c r="H254" i="5"/>
  <c r="F254" i="5"/>
  <c r="H253" i="5"/>
  <c r="F253" i="5"/>
  <c r="H252" i="5"/>
  <c r="F252" i="5"/>
  <c r="H251" i="5"/>
  <c r="H250" i="5"/>
  <c r="F250" i="5"/>
  <c r="H249" i="5"/>
  <c r="F249" i="5"/>
  <c r="H248" i="5"/>
  <c r="F248" i="5"/>
  <c r="H247" i="5"/>
  <c r="H246" i="5"/>
  <c r="F246" i="5"/>
  <c r="H244" i="5"/>
  <c r="G244" i="5"/>
  <c r="F244" i="5"/>
  <c r="H243" i="5"/>
  <c r="F243" i="5"/>
  <c r="H242" i="5"/>
  <c r="F242" i="5"/>
  <c r="H241" i="5"/>
  <c r="H240" i="5"/>
  <c r="F240" i="5"/>
  <c r="H239" i="5"/>
  <c r="F239" i="5"/>
  <c r="H238" i="5"/>
  <c r="H237" i="5"/>
  <c r="F237" i="5"/>
  <c r="F236" i="5"/>
  <c r="H235" i="5"/>
  <c r="F235" i="5"/>
  <c r="H234" i="5"/>
  <c r="H232" i="5"/>
  <c r="F232" i="5"/>
  <c r="F231" i="5"/>
  <c r="F230" i="5"/>
  <c r="H229" i="5"/>
  <c r="H228" i="5"/>
  <c r="F228" i="5"/>
  <c r="H227" i="5"/>
  <c r="F227" i="5"/>
  <c r="H226" i="5"/>
  <c r="H224" i="5"/>
  <c r="F224" i="5"/>
  <c r="H223" i="5"/>
  <c r="F223" i="5"/>
  <c r="H222" i="5"/>
  <c r="H220" i="5"/>
  <c r="F220" i="5"/>
  <c r="F219" i="5"/>
  <c r="H217" i="5"/>
  <c r="F217" i="5"/>
  <c r="F216" i="5"/>
  <c r="H215" i="5"/>
  <c r="F215" i="5"/>
  <c r="H214" i="5"/>
  <c r="G214" i="5"/>
  <c r="H213" i="5"/>
  <c r="H212" i="5"/>
  <c r="F212" i="5"/>
  <c r="H211" i="5"/>
  <c r="F211" i="5"/>
  <c r="H210" i="5"/>
  <c r="F210" i="5"/>
  <c r="H209" i="5"/>
  <c r="H208" i="5"/>
  <c r="F208" i="5"/>
  <c r="F207" i="5"/>
  <c r="H206" i="5"/>
  <c r="F206" i="5"/>
  <c r="F205" i="5"/>
  <c r="H203" i="5"/>
  <c r="F203" i="5"/>
  <c r="H202" i="5"/>
  <c r="F202" i="5"/>
  <c r="H201" i="5"/>
  <c r="H200" i="5"/>
  <c r="F200" i="5"/>
  <c r="H199" i="5"/>
  <c r="F199" i="5"/>
  <c r="H198" i="5"/>
  <c r="F198" i="5"/>
  <c r="H197" i="5"/>
  <c r="H196" i="5"/>
  <c r="F196" i="5"/>
  <c r="H195" i="5"/>
  <c r="F195" i="5"/>
  <c r="H193" i="5"/>
  <c r="F193" i="5"/>
  <c r="H192" i="5"/>
  <c r="H191" i="5"/>
  <c r="G191" i="5"/>
  <c r="H190" i="5"/>
  <c r="F190" i="5"/>
  <c r="H189" i="5"/>
  <c r="F189" i="5"/>
  <c r="H188" i="5"/>
  <c r="F188" i="5"/>
  <c r="H187" i="5"/>
  <c r="H186" i="5"/>
  <c r="F186" i="5"/>
  <c r="H185" i="5"/>
  <c r="F185" i="5"/>
  <c r="H184" i="5"/>
  <c r="H183" i="5"/>
  <c r="F183" i="5"/>
  <c r="H182" i="5"/>
  <c r="F182" i="5"/>
  <c r="H181" i="5"/>
  <c r="F181" i="5"/>
  <c r="H180" i="5"/>
  <c r="H179" i="5"/>
  <c r="F179" i="5"/>
  <c r="H178" i="5"/>
  <c r="F178" i="5"/>
  <c r="H177" i="5"/>
  <c r="F177" i="5"/>
  <c r="H176" i="5"/>
  <c r="F176" i="5"/>
  <c r="H175" i="5"/>
  <c r="H174" i="5"/>
  <c r="F174" i="5"/>
  <c r="H173" i="5"/>
  <c r="F173" i="5"/>
  <c r="H172" i="5"/>
  <c r="H171" i="5"/>
  <c r="H170" i="5"/>
  <c r="F170" i="5"/>
  <c r="H169" i="5"/>
  <c r="F169" i="5"/>
  <c r="H168" i="5"/>
  <c r="H167" i="5"/>
  <c r="H166" i="5"/>
  <c r="F166" i="5"/>
  <c r="H165" i="5"/>
  <c r="F165" i="5"/>
  <c r="H164" i="5"/>
  <c r="H163" i="5"/>
  <c r="H162" i="5"/>
  <c r="F162" i="5"/>
  <c r="H161" i="5"/>
  <c r="F161" i="5"/>
  <c r="H160" i="5"/>
  <c r="H159" i="5"/>
  <c r="H158" i="5"/>
  <c r="F158" i="5"/>
  <c r="H157" i="5"/>
  <c r="F157" i="5"/>
  <c r="H156" i="5"/>
  <c r="H155" i="5"/>
  <c r="F155" i="5"/>
  <c r="H154" i="5"/>
  <c r="F154" i="5"/>
  <c r="H153" i="5"/>
  <c r="F153" i="5"/>
  <c r="H151" i="5"/>
  <c r="F151" i="5"/>
  <c r="H150" i="5"/>
  <c r="F150" i="5"/>
  <c r="H149" i="5"/>
  <c r="F149" i="5"/>
  <c r="H148" i="5"/>
  <c r="H147" i="5"/>
  <c r="H146" i="5"/>
  <c r="F146" i="5"/>
  <c r="H145" i="5"/>
  <c r="F145" i="5"/>
  <c r="H144" i="5"/>
  <c r="H143" i="5"/>
  <c r="F142" i="5"/>
  <c r="H140" i="5"/>
  <c r="F140" i="5"/>
  <c r="H139" i="5"/>
  <c r="H138" i="5"/>
  <c r="H137" i="5"/>
  <c r="F137" i="5"/>
  <c r="H136" i="5"/>
  <c r="F136" i="5"/>
  <c r="H135" i="5"/>
  <c r="H134" i="5"/>
  <c r="H133" i="5"/>
  <c r="F133" i="5"/>
  <c r="H132" i="5"/>
  <c r="F132" i="5"/>
  <c r="H131" i="5"/>
  <c r="H130" i="5"/>
  <c r="H129" i="5"/>
  <c r="F129" i="5"/>
  <c r="H128" i="5"/>
  <c r="F128" i="5"/>
  <c r="H127" i="5"/>
  <c r="H126" i="5"/>
  <c r="F126" i="5"/>
  <c r="H125" i="5"/>
  <c r="F125" i="5"/>
  <c r="H124" i="5"/>
  <c r="F124" i="5"/>
  <c r="H123" i="5"/>
  <c r="H122" i="5"/>
  <c r="F122" i="5"/>
  <c r="H121" i="5"/>
  <c r="F121" i="5"/>
  <c r="H120" i="5"/>
  <c r="F120" i="5"/>
  <c r="H119" i="5"/>
  <c r="H118" i="5"/>
  <c r="H117" i="5"/>
  <c r="F117" i="5"/>
  <c r="H116" i="5"/>
  <c r="F116" i="5"/>
  <c r="H115" i="5"/>
  <c r="H114" i="5"/>
  <c r="H113" i="5"/>
  <c r="F113" i="5"/>
  <c r="H112" i="5"/>
  <c r="F112" i="5"/>
  <c r="H111" i="5"/>
  <c r="H110" i="5"/>
  <c r="H109" i="5"/>
  <c r="F109" i="5"/>
  <c r="H108" i="5"/>
  <c r="F108" i="5"/>
  <c r="H107" i="5"/>
  <c r="H106" i="5"/>
  <c r="H105" i="5"/>
  <c r="F105" i="5"/>
  <c r="H104" i="5"/>
  <c r="F104" i="5"/>
  <c r="F103" i="5"/>
  <c r="P103" i="5" s="1"/>
  <c r="F102" i="5"/>
  <c r="F101" i="5"/>
  <c r="F100" i="5"/>
  <c r="F99" i="5"/>
  <c r="P99" i="5" s="1"/>
  <c r="F98" i="5"/>
  <c r="F97" i="5"/>
  <c r="P97" i="5" s="1"/>
  <c r="F96" i="5"/>
  <c r="F95" i="5"/>
  <c r="F94" i="5"/>
  <c r="F93" i="5"/>
  <c r="F92" i="5"/>
  <c r="F91" i="5"/>
  <c r="P91" i="5" s="1"/>
  <c r="F90" i="5"/>
  <c r="F89" i="5"/>
  <c r="F88" i="5"/>
  <c r="F87" i="5"/>
  <c r="P87" i="5" s="1"/>
  <c r="F86" i="5"/>
  <c r="F85" i="5"/>
  <c r="F84" i="5"/>
  <c r="F82" i="5"/>
  <c r="P82" i="5" s="1"/>
  <c r="F81" i="5"/>
  <c r="F80" i="5"/>
  <c r="F79" i="5"/>
  <c r="F78" i="5"/>
  <c r="F77" i="5"/>
  <c r="F76" i="5"/>
  <c r="F75" i="5"/>
  <c r="F74" i="5"/>
  <c r="F73" i="5"/>
  <c r="H72" i="5"/>
  <c r="F72" i="5"/>
  <c r="H71" i="5"/>
  <c r="F71" i="5"/>
  <c r="H70" i="5"/>
  <c r="H69" i="5"/>
  <c r="G69" i="5"/>
  <c r="H68" i="5"/>
  <c r="F68" i="5"/>
  <c r="F67" i="5"/>
  <c r="F64" i="5"/>
  <c r="P64" i="5" s="1"/>
  <c r="H63" i="5"/>
  <c r="F63" i="5"/>
  <c r="F61" i="5"/>
  <c r="F60" i="5"/>
  <c r="F59" i="5"/>
  <c r="F57" i="5"/>
  <c r="F56" i="5"/>
  <c r="F55" i="5"/>
  <c r="P55" i="5" s="1"/>
  <c r="F53" i="5"/>
  <c r="P53" i="5" s="1"/>
  <c r="F52" i="5"/>
  <c r="F51" i="5"/>
  <c r="S48" i="3"/>
  <c r="H48" i="5" s="1"/>
  <c r="G48" i="5"/>
  <c r="S47" i="3"/>
  <c r="H47" i="5" s="1"/>
  <c r="G47" i="5"/>
  <c r="F47" i="5"/>
  <c r="H46" i="5"/>
  <c r="G46" i="5"/>
  <c r="F46" i="5"/>
  <c r="H45" i="5"/>
  <c r="G45" i="5"/>
  <c r="H42" i="5"/>
  <c r="F42" i="5"/>
  <c r="H41" i="5"/>
  <c r="H40" i="5"/>
  <c r="H39" i="5"/>
  <c r="F23" i="5"/>
  <c r="G23" i="5"/>
  <c r="S23" i="3"/>
  <c r="H23" i="5" s="1"/>
  <c r="F24" i="5"/>
  <c r="G24" i="5"/>
  <c r="H24" i="5"/>
  <c r="G25" i="5"/>
  <c r="H25" i="5"/>
  <c r="G26" i="5"/>
  <c r="F27" i="5"/>
  <c r="G27" i="5"/>
  <c r="H27" i="5"/>
  <c r="F28" i="5"/>
  <c r="G28" i="5"/>
  <c r="S28" i="3"/>
  <c r="H28" i="5"/>
  <c r="G29" i="5"/>
  <c r="G30" i="5"/>
  <c r="S30" i="3"/>
  <c r="H30" i="5" s="1"/>
  <c r="F31" i="5"/>
  <c r="G31" i="5"/>
  <c r="H31" i="5"/>
  <c r="F32" i="5"/>
  <c r="G32" i="5"/>
  <c r="S32" i="3"/>
  <c r="H32" i="5" s="1"/>
  <c r="F33" i="5"/>
  <c r="G33" i="5"/>
  <c r="H33" i="5"/>
  <c r="G34" i="5"/>
  <c r="H34" i="5"/>
  <c r="F35" i="5"/>
  <c r="G35" i="5"/>
  <c r="H35" i="5"/>
  <c r="F36" i="5"/>
  <c r="G36" i="5"/>
  <c r="H36" i="5"/>
  <c r="F37" i="5"/>
  <c r="G37" i="5"/>
  <c r="H37" i="5"/>
  <c r="G17" i="5"/>
  <c r="H17" i="5"/>
  <c r="G18" i="5"/>
  <c r="H18" i="5"/>
  <c r="F19" i="5"/>
  <c r="G19" i="5"/>
  <c r="H19" i="5"/>
  <c r="F20" i="5"/>
  <c r="G20" i="5"/>
  <c r="H20" i="5"/>
  <c r="G21" i="5"/>
  <c r="H21" i="5"/>
  <c r="G22" i="5"/>
  <c r="H22" i="5"/>
  <c r="F12" i="5"/>
  <c r="G12" i="5"/>
  <c r="S12" i="3"/>
  <c r="H12" i="5" s="1"/>
  <c r="F13" i="5"/>
  <c r="G13" i="5"/>
  <c r="S13" i="3"/>
  <c r="H13" i="5" s="1"/>
  <c r="G14" i="5"/>
  <c r="H14" i="5"/>
  <c r="F15" i="5"/>
  <c r="G15" i="5"/>
  <c r="S15" i="3"/>
  <c r="H15" i="5" s="1"/>
  <c r="F16" i="5"/>
  <c r="G16" i="5"/>
  <c r="H16" i="5"/>
  <c r="C310" i="7"/>
  <c r="V310" i="3"/>
  <c r="D88" i="2"/>
  <c r="D82" i="2"/>
  <c r="D79" i="2"/>
  <c r="D86" i="2"/>
  <c r="D87" i="2"/>
  <c r="D67" i="2"/>
  <c r="C309" i="7"/>
  <c r="H309" i="7"/>
  <c r="V309" i="3"/>
  <c r="C308" i="7"/>
  <c r="H308" i="7" s="1"/>
  <c r="V308" i="3"/>
  <c r="C307" i="7"/>
  <c r="H307" i="7" s="1"/>
  <c r="C306" i="7"/>
  <c r="H306" i="7"/>
  <c r="V306" i="3"/>
  <c r="C305" i="7"/>
  <c r="H305" i="7" s="1"/>
  <c r="V305" i="3"/>
  <c r="C304" i="7"/>
  <c r="H304" i="7"/>
  <c r="V304" i="3"/>
  <c r="C303" i="7"/>
  <c r="H303" i="7"/>
  <c r="V301" i="3"/>
  <c r="V299" i="3"/>
  <c r="V297" i="3"/>
  <c r="V295" i="3"/>
  <c r="V293" i="3"/>
  <c r="V291" i="3"/>
  <c r="V289" i="3"/>
  <c r="V288" i="3"/>
  <c r="V287" i="3"/>
  <c r="V285" i="3"/>
  <c r="V283" i="3"/>
  <c r="V281" i="3"/>
  <c r="V279" i="3"/>
  <c r="V277" i="3"/>
  <c r="C275" i="7"/>
  <c r="H275" i="7" s="1"/>
  <c r="C274" i="7"/>
  <c r="H274" i="7" s="1"/>
  <c r="V274" i="3"/>
  <c r="C273" i="7"/>
  <c r="H273" i="7"/>
  <c r="V273" i="3"/>
  <c r="C272" i="7"/>
  <c r="H272" i="7" s="1"/>
  <c r="C271" i="7"/>
  <c r="H271" i="7" s="1"/>
  <c r="C270" i="7"/>
  <c r="H270" i="7" s="1"/>
  <c r="V270" i="3"/>
  <c r="C269" i="7"/>
  <c r="H269" i="7" s="1"/>
  <c r="V269" i="3"/>
  <c r="C268" i="7"/>
  <c r="H268" i="7"/>
  <c r="I268" i="7" s="1"/>
  <c r="V268" i="3"/>
  <c r="V267" i="3"/>
  <c r="V266" i="3"/>
  <c r="W266" i="3" s="1"/>
  <c r="V265" i="3"/>
  <c r="V264" i="3"/>
  <c r="V263" i="3"/>
  <c r="C262" i="7"/>
  <c r="H262" i="7" s="1"/>
  <c r="V262" i="3"/>
  <c r="C261" i="7"/>
  <c r="H261" i="7" s="1"/>
  <c r="V261" i="3"/>
  <c r="C260" i="7"/>
  <c r="H260" i="7"/>
  <c r="V260" i="3"/>
  <c r="E259" i="7"/>
  <c r="C259" i="7"/>
  <c r="H259" i="7"/>
  <c r="C258" i="7"/>
  <c r="H258" i="7"/>
  <c r="V258" i="3"/>
  <c r="C257" i="7"/>
  <c r="H257" i="7"/>
  <c r="V257" i="3"/>
  <c r="C256" i="7"/>
  <c r="V256" i="3"/>
  <c r="C255" i="7"/>
  <c r="H255" i="7" s="1"/>
  <c r="V255" i="3"/>
  <c r="C254" i="7"/>
  <c r="H254" i="7"/>
  <c r="V254" i="3"/>
  <c r="V253" i="3"/>
  <c r="W253" i="3" s="1"/>
  <c r="C252" i="7"/>
  <c r="H252" i="7" s="1"/>
  <c r="V252" i="3"/>
  <c r="C251" i="7"/>
  <c r="H251" i="7"/>
  <c r="V251" i="3"/>
  <c r="C250" i="7"/>
  <c r="H250" i="7" s="1"/>
  <c r="V250" i="3"/>
  <c r="C249" i="7"/>
  <c r="H249" i="7"/>
  <c r="V249" i="3"/>
  <c r="V248" i="3"/>
  <c r="C247" i="7"/>
  <c r="H247" i="7"/>
  <c r="V247" i="3"/>
  <c r="C246" i="7"/>
  <c r="H246" i="7"/>
  <c r="V246" i="3"/>
  <c r="C244" i="7"/>
  <c r="H244" i="7"/>
  <c r="V244" i="3"/>
  <c r="C243" i="7"/>
  <c r="H243" i="7" s="1"/>
  <c r="V243" i="3"/>
  <c r="C242" i="7"/>
  <c r="H242" i="7"/>
  <c r="V242" i="3"/>
  <c r="C241" i="7"/>
  <c r="B241" i="7" s="1"/>
  <c r="E241" i="4" s="1"/>
  <c r="V241" i="3"/>
  <c r="C240" i="7"/>
  <c r="H240" i="7" s="1"/>
  <c r="V240" i="3"/>
  <c r="C239" i="7"/>
  <c r="H239" i="7"/>
  <c r="V239" i="3"/>
  <c r="C238" i="7"/>
  <c r="H238" i="7" s="1"/>
  <c r="V238" i="3"/>
  <c r="C237" i="7"/>
  <c r="H237" i="7" s="1"/>
  <c r="V237" i="3"/>
  <c r="C236" i="7"/>
  <c r="H236" i="7" s="1"/>
  <c r="F236" i="7"/>
  <c r="V236" i="3"/>
  <c r="C235" i="7"/>
  <c r="H235" i="7" s="1"/>
  <c r="V235" i="3"/>
  <c r="C234" i="7"/>
  <c r="H234" i="7"/>
  <c r="V234" i="3"/>
  <c r="C233" i="7"/>
  <c r="B233" i="7" s="1"/>
  <c r="E233" i="4" s="1"/>
  <c r="F233" i="7"/>
  <c r="V233" i="3"/>
  <c r="C232" i="7"/>
  <c r="H232" i="7" s="1"/>
  <c r="V232" i="3"/>
  <c r="C231" i="7"/>
  <c r="F231" i="7"/>
  <c r="H231" i="7"/>
  <c r="V231" i="3"/>
  <c r="C230" i="7"/>
  <c r="H230" i="7" s="1"/>
  <c r="F230" i="7"/>
  <c r="V230" i="3"/>
  <c r="E229" i="7"/>
  <c r="C229" i="7"/>
  <c r="H229" i="7" s="1"/>
  <c r="V229" i="3"/>
  <c r="C228" i="7"/>
  <c r="H228" i="7"/>
  <c r="V228" i="3"/>
  <c r="C227" i="7"/>
  <c r="H227" i="7" s="1"/>
  <c r="V227" i="3"/>
  <c r="C226" i="7"/>
  <c r="V226" i="3"/>
  <c r="E225" i="7"/>
  <c r="C225" i="7"/>
  <c r="B225" i="7" s="1"/>
  <c r="E225" i="4" s="1"/>
  <c r="F225" i="7"/>
  <c r="V225" i="3"/>
  <c r="C224" i="7"/>
  <c r="H224" i="7"/>
  <c r="V224" i="3"/>
  <c r="C223" i="7"/>
  <c r="H223" i="7"/>
  <c r="V223" i="3"/>
  <c r="C222" i="7"/>
  <c r="H222" i="7" s="1"/>
  <c r="V222" i="3"/>
  <c r="C221" i="7"/>
  <c r="H221" i="7" s="1"/>
  <c r="F221" i="7"/>
  <c r="V221" i="3"/>
  <c r="C220" i="7"/>
  <c r="B220" i="7" s="1"/>
  <c r="E220" i="4" s="1"/>
  <c r="V220" i="3"/>
  <c r="C219" i="7"/>
  <c r="H219" i="7" s="1"/>
  <c r="F219" i="7"/>
  <c r="V219" i="3"/>
  <c r="C218" i="7"/>
  <c r="H218" i="7" s="1"/>
  <c r="F218" i="7"/>
  <c r="V218" i="3"/>
  <c r="C217" i="7"/>
  <c r="H217" i="7" s="1"/>
  <c r="V217" i="3"/>
  <c r="C216" i="7"/>
  <c r="B216" i="7" s="1"/>
  <c r="E216" i="4" s="1"/>
  <c r="F216" i="7"/>
  <c r="V216" i="3"/>
  <c r="C215" i="7"/>
  <c r="H215" i="7" s="1"/>
  <c r="V215" i="3"/>
  <c r="C214" i="7"/>
  <c r="H214" i="7"/>
  <c r="V214" i="3"/>
  <c r="C213" i="7"/>
  <c r="H213" i="7" s="1"/>
  <c r="V213" i="3"/>
  <c r="C212" i="7"/>
  <c r="H212" i="7"/>
  <c r="V212" i="3"/>
  <c r="C211" i="7"/>
  <c r="H211" i="7" s="1"/>
  <c r="V211" i="3"/>
  <c r="E210" i="7"/>
  <c r="C210" i="7"/>
  <c r="H210" i="7" s="1"/>
  <c r="V210" i="3"/>
  <c r="C209" i="7"/>
  <c r="H209" i="7" s="1"/>
  <c r="V209" i="3"/>
  <c r="C208" i="7"/>
  <c r="H208" i="7"/>
  <c r="V208" i="3"/>
  <c r="C207" i="7"/>
  <c r="H207" i="7" s="1"/>
  <c r="F207" i="7"/>
  <c r="V207" i="3"/>
  <c r="C206" i="7"/>
  <c r="H206" i="7" s="1"/>
  <c r="V206" i="3"/>
  <c r="C205" i="7"/>
  <c r="H205" i="7" s="1"/>
  <c r="F205" i="7"/>
  <c r="V205" i="3"/>
  <c r="C203" i="7"/>
  <c r="H203" i="7"/>
  <c r="V203" i="3"/>
  <c r="C202" i="7"/>
  <c r="H202" i="7" s="1"/>
  <c r="V202" i="3"/>
  <c r="C201" i="7"/>
  <c r="H201" i="7" s="1"/>
  <c r="V201" i="3"/>
  <c r="C200" i="7"/>
  <c r="H200" i="7"/>
  <c r="V200" i="3"/>
  <c r="C199" i="7"/>
  <c r="H199" i="7"/>
  <c r="V199" i="3"/>
  <c r="C198" i="7"/>
  <c r="H198" i="7"/>
  <c r="V198" i="3"/>
  <c r="C197" i="7"/>
  <c r="H197" i="7" s="1"/>
  <c r="V197" i="3"/>
  <c r="C196" i="7"/>
  <c r="H196" i="7" s="1"/>
  <c r="V196" i="3"/>
  <c r="C195" i="7"/>
  <c r="H195" i="7" s="1"/>
  <c r="V195" i="3"/>
  <c r="C193" i="7"/>
  <c r="H193" i="7"/>
  <c r="V193" i="3"/>
  <c r="C192" i="7"/>
  <c r="H192" i="7" s="1"/>
  <c r="V192" i="3"/>
  <c r="C191" i="7"/>
  <c r="H191" i="7" s="1"/>
  <c r="V191" i="3"/>
  <c r="C190" i="7"/>
  <c r="H190" i="7"/>
  <c r="V190" i="3"/>
  <c r="C189" i="7"/>
  <c r="H189" i="7" s="1"/>
  <c r="V189" i="3"/>
  <c r="C188" i="7"/>
  <c r="H188" i="7" s="1"/>
  <c r="V188" i="3"/>
  <c r="C187" i="7"/>
  <c r="H187" i="7" s="1"/>
  <c r="V187" i="3"/>
  <c r="C186" i="7"/>
  <c r="H186" i="7"/>
  <c r="V186" i="3"/>
  <c r="C185" i="7"/>
  <c r="H185" i="7" s="1"/>
  <c r="V185" i="3"/>
  <c r="C184" i="7"/>
  <c r="H184" i="7" s="1"/>
  <c r="V184" i="3"/>
  <c r="C183" i="7"/>
  <c r="H183" i="7"/>
  <c r="V183" i="3"/>
  <c r="C182" i="7"/>
  <c r="H182" i="7"/>
  <c r="V182" i="3"/>
  <c r="E181" i="7"/>
  <c r="C181" i="7"/>
  <c r="H181" i="7"/>
  <c r="V181" i="3"/>
  <c r="E180" i="7"/>
  <c r="C180" i="7"/>
  <c r="H180" i="7" s="1"/>
  <c r="V180" i="3"/>
  <c r="C179" i="7"/>
  <c r="B179" i="7" s="1"/>
  <c r="E179" i="4" s="1"/>
  <c r="V179" i="3"/>
  <c r="C178" i="7"/>
  <c r="H178" i="7" s="1"/>
  <c r="V178" i="3"/>
  <c r="C177" i="7"/>
  <c r="V177" i="3"/>
  <c r="C176" i="7"/>
  <c r="H176" i="7" s="1"/>
  <c r="V176" i="3"/>
  <c r="C175" i="7"/>
  <c r="H175" i="7"/>
  <c r="V175" i="3"/>
  <c r="C174" i="7"/>
  <c r="H174" i="7" s="1"/>
  <c r="V174" i="3"/>
  <c r="C173" i="7"/>
  <c r="H173" i="7"/>
  <c r="V173" i="3"/>
  <c r="C172" i="7"/>
  <c r="H172" i="7" s="1"/>
  <c r="V172" i="3"/>
  <c r="C171" i="7"/>
  <c r="H171" i="7"/>
  <c r="V171" i="3"/>
  <c r="C170" i="7"/>
  <c r="H170" i="7" s="1"/>
  <c r="V170" i="3"/>
  <c r="C169" i="7"/>
  <c r="H169" i="7" s="1"/>
  <c r="V169" i="3"/>
  <c r="C168" i="7"/>
  <c r="H168" i="7" s="1"/>
  <c r="V168" i="3"/>
  <c r="C167" i="7"/>
  <c r="B167" i="7" s="1"/>
  <c r="E167" i="4" s="1"/>
  <c r="V167" i="3"/>
  <c r="C166" i="7"/>
  <c r="H166" i="7" s="1"/>
  <c r="V166" i="3"/>
  <c r="C165" i="7"/>
  <c r="H165" i="7" s="1"/>
  <c r="V165" i="3"/>
  <c r="C164" i="7"/>
  <c r="H164" i="7"/>
  <c r="V164" i="3"/>
  <c r="C163" i="7"/>
  <c r="H163" i="7"/>
  <c r="V163" i="3"/>
  <c r="C162" i="7"/>
  <c r="H162" i="7" s="1"/>
  <c r="V162" i="3"/>
  <c r="C161" i="7"/>
  <c r="H161" i="7" s="1"/>
  <c r="V161" i="3"/>
  <c r="C160" i="7"/>
  <c r="H160" i="7"/>
  <c r="V160" i="3"/>
  <c r="E159" i="7"/>
  <c r="I159" i="7" s="1"/>
  <c r="C159" i="7"/>
  <c r="H159" i="7"/>
  <c r="V159" i="3"/>
  <c r="C158" i="7"/>
  <c r="H158" i="7" s="1"/>
  <c r="V158" i="3"/>
  <c r="C157" i="7"/>
  <c r="H157" i="7"/>
  <c r="V157" i="3"/>
  <c r="E156" i="7"/>
  <c r="C156" i="7"/>
  <c r="H156" i="7" s="1"/>
  <c r="V156" i="3"/>
  <c r="C155" i="7"/>
  <c r="H155" i="7" s="1"/>
  <c r="V155" i="3"/>
  <c r="E154" i="7"/>
  <c r="C154" i="7"/>
  <c r="H154" i="7" s="1"/>
  <c r="V154" i="3"/>
  <c r="C153" i="7"/>
  <c r="H153" i="7" s="1"/>
  <c r="V153" i="3"/>
  <c r="C152" i="7"/>
  <c r="B152" i="7" s="1"/>
  <c r="E152" i="4" s="1"/>
  <c r="F152" i="7"/>
  <c r="V152" i="3"/>
  <c r="C151" i="7"/>
  <c r="O151" i="7" s="1"/>
  <c r="N151" i="4" s="1"/>
  <c r="V151" i="3"/>
  <c r="C150" i="7"/>
  <c r="H150" i="7" s="1"/>
  <c r="V150" i="3"/>
  <c r="E149" i="7"/>
  <c r="C149" i="7"/>
  <c r="H149" i="7" s="1"/>
  <c r="V149" i="3"/>
  <c r="C148" i="7"/>
  <c r="H148" i="7"/>
  <c r="V148" i="3"/>
  <c r="C147" i="7"/>
  <c r="H147" i="7" s="1"/>
  <c r="V147" i="3"/>
  <c r="C146" i="7"/>
  <c r="H146" i="7"/>
  <c r="V146" i="3"/>
  <c r="C145" i="7"/>
  <c r="H145" i="7" s="1"/>
  <c r="V145" i="3"/>
  <c r="C144" i="7"/>
  <c r="V144" i="3"/>
  <c r="C143" i="7"/>
  <c r="H143" i="7" s="1"/>
  <c r="V143" i="3"/>
  <c r="C142" i="7"/>
  <c r="B142" i="7" s="1"/>
  <c r="E142" i="4" s="1"/>
  <c r="F142" i="7"/>
  <c r="V142" i="3"/>
  <c r="C140" i="7"/>
  <c r="B140" i="7" s="1"/>
  <c r="E140" i="4" s="1"/>
  <c r="V140" i="3"/>
  <c r="C139" i="7"/>
  <c r="H139" i="7"/>
  <c r="V139" i="3"/>
  <c r="C138" i="7"/>
  <c r="H138" i="7"/>
  <c r="V138" i="3"/>
  <c r="C137" i="7"/>
  <c r="H137" i="7" s="1"/>
  <c r="V137" i="3"/>
  <c r="C136" i="7"/>
  <c r="B136" i="7" s="1"/>
  <c r="E136" i="4" s="1"/>
  <c r="H136" i="7"/>
  <c r="V136" i="3"/>
  <c r="C135" i="7"/>
  <c r="H135" i="7" s="1"/>
  <c r="V135" i="3"/>
  <c r="C134" i="7"/>
  <c r="H134" i="7" s="1"/>
  <c r="V134" i="3"/>
  <c r="C133" i="7"/>
  <c r="H133" i="7"/>
  <c r="V133" i="3"/>
  <c r="C132" i="7"/>
  <c r="H132" i="7"/>
  <c r="V132" i="3"/>
  <c r="C131" i="7"/>
  <c r="H131" i="7" s="1"/>
  <c r="V131" i="3"/>
  <c r="C130" i="7"/>
  <c r="H130" i="7"/>
  <c r="V130" i="3"/>
  <c r="C129" i="7"/>
  <c r="H129" i="7"/>
  <c r="V129" i="3"/>
  <c r="C128" i="7"/>
  <c r="H128" i="7" s="1"/>
  <c r="V128" i="3"/>
  <c r="C127" i="7"/>
  <c r="H127" i="7" s="1"/>
  <c r="V127" i="3"/>
  <c r="C126" i="7"/>
  <c r="H126" i="7" s="1"/>
  <c r="V126" i="3"/>
  <c r="C125" i="7"/>
  <c r="H125" i="7" s="1"/>
  <c r="V125" i="3"/>
  <c r="C124" i="7"/>
  <c r="H124" i="7"/>
  <c r="V124" i="3"/>
  <c r="C123" i="7"/>
  <c r="H123" i="7"/>
  <c r="V123" i="3"/>
  <c r="C122" i="7"/>
  <c r="H122" i="7" s="1"/>
  <c r="V122" i="3"/>
  <c r="C121" i="7"/>
  <c r="H121" i="7"/>
  <c r="V121" i="3"/>
  <c r="E120" i="7"/>
  <c r="C120" i="7"/>
  <c r="B120" i="7" s="1"/>
  <c r="E120" i="4" s="1"/>
  <c r="H120" i="7"/>
  <c r="V120" i="3"/>
  <c r="C119" i="7"/>
  <c r="H119" i="7" s="1"/>
  <c r="V119" i="3"/>
  <c r="C118" i="7"/>
  <c r="H118" i="7" s="1"/>
  <c r="V118" i="3"/>
  <c r="C117" i="7"/>
  <c r="H117" i="7" s="1"/>
  <c r="V117" i="3"/>
  <c r="C116" i="7"/>
  <c r="H116" i="7"/>
  <c r="V116" i="3"/>
  <c r="C115" i="7"/>
  <c r="H115" i="7" s="1"/>
  <c r="V115" i="3"/>
  <c r="C114" i="7"/>
  <c r="H114" i="7"/>
  <c r="V114" i="3"/>
  <c r="C113" i="7"/>
  <c r="H113" i="7" s="1"/>
  <c r="V113" i="3"/>
  <c r="C112" i="7"/>
  <c r="H112" i="7" s="1"/>
  <c r="V112" i="3"/>
  <c r="C111" i="7"/>
  <c r="H111" i="7" s="1"/>
  <c r="V111" i="3"/>
  <c r="C110" i="7"/>
  <c r="H110" i="7"/>
  <c r="V110" i="3"/>
  <c r="C109" i="7"/>
  <c r="H109" i="7" s="1"/>
  <c r="V109" i="3"/>
  <c r="C108" i="7"/>
  <c r="H108" i="7" s="1"/>
  <c r="V108" i="3"/>
  <c r="C107" i="7"/>
  <c r="H107" i="7" s="1"/>
  <c r="V107" i="3"/>
  <c r="C106" i="7"/>
  <c r="H106" i="7"/>
  <c r="V106" i="3"/>
  <c r="C105" i="7"/>
  <c r="B105" i="7" s="1"/>
  <c r="E105" i="4" s="1"/>
  <c r="V105" i="3"/>
  <c r="C104" i="7"/>
  <c r="B104" i="7" s="1"/>
  <c r="E104" i="4" s="1"/>
  <c r="V104" i="3"/>
  <c r="C103" i="7"/>
  <c r="H103" i="7" s="1"/>
  <c r="F103" i="7"/>
  <c r="V103" i="3"/>
  <c r="C102" i="7"/>
  <c r="H102" i="7" s="1"/>
  <c r="F102" i="7"/>
  <c r="V102" i="3"/>
  <c r="C101" i="7"/>
  <c r="H101" i="7" s="1"/>
  <c r="F101" i="7"/>
  <c r="V101" i="3"/>
  <c r="C100" i="7"/>
  <c r="H100" i="7" s="1"/>
  <c r="F100" i="7"/>
  <c r="V100" i="3"/>
  <c r="C99" i="7"/>
  <c r="H99" i="7" s="1"/>
  <c r="F99" i="7"/>
  <c r="V99" i="3"/>
  <c r="C98" i="7"/>
  <c r="F98" i="7"/>
  <c r="H98" i="7"/>
  <c r="V98" i="3"/>
  <c r="E97" i="7"/>
  <c r="I97" i="7" s="1"/>
  <c r="C97" i="7"/>
  <c r="F97" i="7"/>
  <c r="H97" i="7"/>
  <c r="V97" i="3"/>
  <c r="C96" i="7"/>
  <c r="H96" i="7" s="1"/>
  <c r="F96" i="7"/>
  <c r="V96" i="3"/>
  <c r="C95" i="7"/>
  <c r="F95" i="7"/>
  <c r="V95" i="3"/>
  <c r="C94" i="7"/>
  <c r="H94" i="7" s="1"/>
  <c r="F94" i="7"/>
  <c r="V94" i="3"/>
  <c r="C93" i="7"/>
  <c r="H93" i="7" s="1"/>
  <c r="F93" i="7"/>
  <c r="V93" i="3"/>
  <c r="E92" i="7"/>
  <c r="C92" i="7"/>
  <c r="O92" i="7" s="1"/>
  <c r="N92" i="4" s="1"/>
  <c r="F92" i="7"/>
  <c r="V92" i="3"/>
  <c r="C91" i="7"/>
  <c r="F91" i="7"/>
  <c r="H91" i="7"/>
  <c r="V91" i="3"/>
  <c r="C90" i="7"/>
  <c r="H90" i="7" s="1"/>
  <c r="F90" i="7"/>
  <c r="V90" i="3"/>
  <c r="C89" i="7"/>
  <c r="H89" i="7" s="1"/>
  <c r="F89" i="7"/>
  <c r="V89" i="3"/>
  <c r="C88" i="7"/>
  <c r="H88" i="7" s="1"/>
  <c r="F88" i="7"/>
  <c r="V88" i="3"/>
  <c r="C87" i="7"/>
  <c r="F87" i="7"/>
  <c r="V87" i="3"/>
  <c r="C86" i="7"/>
  <c r="H86" i="7" s="1"/>
  <c r="F86" i="7"/>
  <c r="V86" i="3"/>
  <c r="E85" i="7"/>
  <c r="C85" i="7"/>
  <c r="F85" i="7"/>
  <c r="H85" i="7"/>
  <c r="V85" i="3"/>
  <c r="C84" i="7"/>
  <c r="H84" i="7" s="1"/>
  <c r="F84" i="7"/>
  <c r="V84" i="3"/>
  <c r="C82" i="7"/>
  <c r="H82" i="7" s="1"/>
  <c r="F82" i="7"/>
  <c r="V82" i="3"/>
  <c r="C81" i="7"/>
  <c r="H81" i="7" s="1"/>
  <c r="F81" i="7"/>
  <c r="V81" i="3"/>
  <c r="V80" i="3"/>
  <c r="C79" i="7"/>
  <c r="H79" i="7" s="1"/>
  <c r="F79" i="7"/>
  <c r="V79" i="3"/>
  <c r="E78" i="7"/>
  <c r="C78" i="7"/>
  <c r="H78" i="7" s="1"/>
  <c r="F78" i="7"/>
  <c r="V78" i="3"/>
  <c r="C77" i="7"/>
  <c r="F77" i="7"/>
  <c r="V77" i="3"/>
  <c r="C76" i="7"/>
  <c r="F76" i="7"/>
  <c r="H76" i="7"/>
  <c r="V76" i="3"/>
  <c r="C75" i="7"/>
  <c r="H75" i="7" s="1"/>
  <c r="F75" i="7"/>
  <c r="V75" i="3"/>
  <c r="C74" i="7"/>
  <c r="H74" i="7" s="1"/>
  <c r="F74" i="7"/>
  <c r="V74" i="3"/>
  <c r="C73" i="7"/>
  <c r="F73" i="7"/>
  <c r="V73" i="3"/>
  <c r="V72" i="3"/>
  <c r="V71" i="3"/>
  <c r="V70" i="3"/>
  <c r="V69" i="3"/>
  <c r="V68" i="3"/>
  <c r="C67" i="7"/>
  <c r="H67" i="7" s="1"/>
  <c r="F67" i="7"/>
  <c r="V67" i="3"/>
  <c r="C66" i="7"/>
  <c r="H66" i="7" s="1"/>
  <c r="F66" i="7"/>
  <c r="V66" i="3"/>
  <c r="C65" i="7"/>
  <c r="H65" i="7" s="1"/>
  <c r="F65" i="7"/>
  <c r="V65" i="3"/>
  <c r="C64" i="7"/>
  <c r="F64" i="7"/>
  <c r="H64" i="7"/>
  <c r="V64" i="3"/>
  <c r="V63" i="3"/>
  <c r="C62" i="7"/>
  <c r="H62" i="7" s="1"/>
  <c r="F62" i="7"/>
  <c r="V62" i="3"/>
  <c r="C61" i="7"/>
  <c r="B61" i="7" s="1"/>
  <c r="E61" i="4" s="1"/>
  <c r="F61" i="7"/>
  <c r="V61" i="3"/>
  <c r="C60" i="7"/>
  <c r="F60" i="7"/>
  <c r="V60" i="3"/>
  <c r="C59" i="7"/>
  <c r="H59" i="7" s="1"/>
  <c r="F59" i="7"/>
  <c r="V59" i="3"/>
  <c r="C58" i="7"/>
  <c r="F58" i="7"/>
  <c r="V58" i="3"/>
  <c r="C57" i="7"/>
  <c r="F57" i="7"/>
  <c r="H57" i="7"/>
  <c r="V57" i="3"/>
  <c r="C56" i="7"/>
  <c r="H56" i="7" s="1"/>
  <c r="F56" i="7"/>
  <c r="V56" i="3"/>
  <c r="C55" i="7"/>
  <c r="F55" i="7"/>
  <c r="H55" i="7"/>
  <c r="V55" i="3"/>
  <c r="C54" i="7"/>
  <c r="H54" i="7" s="1"/>
  <c r="F54" i="7"/>
  <c r="V54" i="3"/>
  <c r="C53" i="7"/>
  <c r="H53" i="7" s="1"/>
  <c r="F53" i="7"/>
  <c r="V53" i="3"/>
  <c r="C52" i="7"/>
  <c r="B52" i="7" s="1"/>
  <c r="E52" i="4" s="1"/>
  <c r="F52" i="7"/>
  <c r="H52" i="7"/>
  <c r="V52" i="3"/>
  <c r="C51" i="7"/>
  <c r="H51" i="7" s="1"/>
  <c r="F51" i="7"/>
  <c r="V51" i="3"/>
  <c r="C50" i="7"/>
  <c r="H50" i="7" s="1"/>
  <c r="F50" i="7"/>
  <c r="V50" i="3"/>
  <c r="E48" i="7"/>
  <c r="I48" i="7"/>
  <c r="V48" i="3"/>
  <c r="W48" i="3" s="1"/>
  <c r="E47" i="7"/>
  <c r="I47" i="7" s="1"/>
  <c r="V47" i="3"/>
  <c r="W47" i="3" s="1"/>
  <c r="E46" i="7"/>
  <c r="C46" i="7"/>
  <c r="W46" i="3"/>
  <c r="E45" i="7"/>
  <c r="C45" i="7"/>
  <c r="B45" i="7" s="1"/>
  <c r="E45" i="4" s="1"/>
  <c r="V45" i="3"/>
  <c r="W45" i="3" s="1"/>
  <c r="X45" i="3" s="1"/>
  <c r="C42" i="7"/>
  <c r="H42" i="7"/>
  <c r="V42" i="3"/>
  <c r="V41" i="3"/>
  <c r="V40" i="3"/>
  <c r="V39" i="3"/>
  <c r="E29" i="7"/>
  <c r="C29" i="7"/>
  <c r="H29" i="7" s="1"/>
  <c r="V29" i="3"/>
  <c r="E30" i="7"/>
  <c r="C30" i="7"/>
  <c r="H30" i="7" s="1"/>
  <c r="V30" i="3"/>
  <c r="E31" i="7"/>
  <c r="C31" i="7"/>
  <c r="H31" i="7" s="1"/>
  <c r="V31" i="3"/>
  <c r="E32" i="7"/>
  <c r="C32" i="7"/>
  <c r="H32" i="7" s="1"/>
  <c r="I32" i="7" s="1"/>
  <c r="V32" i="3"/>
  <c r="W32" i="3" s="1"/>
  <c r="X32" i="3" s="1"/>
  <c r="E33" i="7"/>
  <c r="V33" i="3"/>
  <c r="E34" i="7"/>
  <c r="C34" i="7"/>
  <c r="V34" i="3"/>
  <c r="E35" i="7"/>
  <c r="V35" i="3"/>
  <c r="E36" i="7"/>
  <c r="C36" i="7"/>
  <c r="F36" i="7"/>
  <c r="H36" i="7"/>
  <c r="V36" i="3"/>
  <c r="E37" i="7"/>
  <c r="C37" i="7"/>
  <c r="H37" i="7" s="1"/>
  <c r="I37" i="7" s="1"/>
  <c r="V37" i="3"/>
  <c r="E12" i="7"/>
  <c r="C12" i="7"/>
  <c r="B12" i="7" s="1"/>
  <c r="E12" i="4" s="1"/>
  <c r="V12" i="3"/>
  <c r="E13" i="7"/>
  <c r="C13" i="7"/>
  <c r="H13" i="7"/>
  <c r="I13" i="7" s="1"/>
  <c r="V13" i="3"/>
  <c r="E14" i="7"/>
  <c r="V14" i="3"/>
  <c r="E15" i="7"/>
  <c r="C15" i="7"/>
  <c r="B15" i="7" s="1"/>
  <c r="E15" i="4" s="1"/>
  <c r="F15" i="7"/>
  <c r="V15" i="3"/>
  <c r="E16" i="7"/>
  <c r="C16" i="7"/>
  <c r="H16" i="7" s="1"/>
  <c r="I16" i="7" s="1"/>
  <c r="V16" i="3"/>
  <c r="E17" i="7"/>
  <c r="C17" i="7"/>
  <c r="H17" i="7" s="1"/>
  <c r="I17" i="7" s="1"/>
  <c r="F17" i="7"/>
  <c r="V17" i="3"/>
  <c r="E18" i="7"/>
  <c r="C18" i="7"/>
  <c r="H18" i="7" s="1"/>
  <c r="I18" i="7" s="1"/>
  <c r="F18" i="7"/>
  <c r="V18" i="3"/>
  <c r="E19" i="7"/>
  <c r="C19" i="7"/>
  <c r="H19" i="7" s="1"/>
  <c r="I19" i="7" s="1"/>
  <c r="F19" i="7"/>
  <c r="V19" i="3"/>
  <c r="E20" i="7"/>
  <c r="V20" i="3"/>
  <c r="E21" i="7"/>
  <c r="C21" i="7"/>
  <c r="B21" i="7" s="1"/>
  <c r="E21" i="4" s="1"/>
  <c r="F21" i="7"/>
  <c r="H21" i="7"/>
  <c r="I21" i="7" s="1"/>
  <c r="V21" i="3"/>
  <c r="E22" i="7"/>
  <c r="C22" i="7"/>
  <c r="H22" i="7"/>
  <c r="I22" i="7" s="1"/>
  <c r="V22" i="3"/>
  <c r="E23" i="7"/>
  <c r="C23" i="7"/>
  <c r="H23" i="7" s="1"/>
  <c r="V23" i="3"/>
  <c r="E24" i="7"/>
  <c r="C24" i="7"/>
  <c r="H24" i="7" s="1"/>
  <c r="V24" i="3"/>
  <c r="E25" i="7"/>
  <c r="C25" i="7"/>
  <c r="H25" i="7" s="1"/>
  <c r="V25" i="3"/>
  <c r="E26" i="7"/>
  <c r="C26" i="7"/>
  <c r="O26" i="7" s="1"/>
  <c r="N26" i="4" s="1"/>
  <c r="F26" i="7"/>
  <c r="H26" i="7"/>
  <c r="I26" i="7" s="1"/>
  <c r="V26" i="3"/>
  <c r="W26" i="3" s="1"/>
  <c r="X26" i="3" s="1"/>
  <c r="E27" i="7"/>
  <c r="C27" i="7"/>
  <c r="O27" i="7" s="1"/>
  <c r="N27" i="4" s="1"/>
  <c r="V27" i="3"/>
  <c r="E28" i="7"/>
  <c r="C28" i="7"/>
  <c r="F28" i="7"/>
  <c r="H28" i="7"/>
  <c r="V28" i="3"/>
  <c r="E11" i="7"/>
  <c r="C11" i="7"/>
  <c r="B11" i="7" s="1"/>
  <c r="E11" i="4" s="1"/>
  <c r="V11" i="3"/>
  <c r="C12" i="5"/>
  <c r="B12" i="5"/>
  <c r="C13" i="5"/>
  <c r="B13" i="5"/>
  <c r="C14" i="5"/>
  <c r="I14" i="5"/>
  <c r="D14" i="5"/>
  <c r="J14" i="5"/>
  <c r="K14" i="5"/>
  <c r="N14" i="5"/>
  <c r="O14" i="5"/>
  <c r="V14" i="4" s="1"/>
  <c r="B14" i="5"/>
  <c r="C15" i="5"/>
  <c r="I15" i="5"/>
  <c r="D15" i="5"/>
  <c r="J15" i="5"/>
  <c r="K15" i="5"/>
  <c r="N15" i="5"/>
  <c r="O15" i="5"/>
  <c r="V15" i="4" s="1"/>
  <c r="B15" i="5"/>
  <c r="C16" i="5"/>
  <c r="B16" i="5"/>
  <c r="C17" i="5"/>
  <c r="I17" i="5"/>
  <c r="D17" i="5"/>
  <c r="J17" i="5"/>
  <c r="K17" i="5"/>
  <c r="L17" i="5"/>
  <c r="M17" i="5"/>
  <c r="N17" i="5"/>
  <c r="E17" i="5"/>
  <c r="O17" i="5"/>
  <c r="V17" i="4" s="1"/>
  <c r="B17" i="5"/>
  <c r="C18" i="5"/>
  <c r="I18" i="5"/>
  <c r="D18" i="5"/>
  <c r="J18" i="5"/>
  <c r="K18" i="5"/>
  <c r="L18" i="5"/>
  <c r="M18" i="5"/>
  <c r="N18" i="5"/>
  <c r="E18" i="5"/>
  <c r="O18" i="5"/>
  <c r="V18" i="4" s="1"/>
  <c r="B18" i="5"/>
  <c r="C19" i="5"/>
  <c r="I19" i="5"/>
  <c r="D19" i="5"/>
  <c r="J19" i="5"/>
  <c r="K19" i="5"/>
  <c r="L19" i="5"/>
  <c r="M19" i="5"/>
  <c r="N19" i="5"/>
  <c r="E19" i="5"/>
  <c r="O19" i="5"/>
  <c r="B19" i="5"/>
  <c r="C20" i="5"/>
  <c r="B20" i="5"/>
  <c r="C21" i="5"/>
  <c r="I21" i="5"/>
  <c r="D21" i="5"/>
  <c r="J21" i="5"/>
  <c r="K21" i="5"/>
  <c r="L21" i="5"/>
  <c r="M21" i="5"/>
  <c r="N21" i="5"/>
  <c r="E21" i="5"/>
  <c r="O21" i="5"/>
  <c r="V21" i="4" s="1"/>
  <c r="B21" i="5"/>
  <c r="C22" i="5"/>
  <c r="B22" i="5"/>
  <c r="C23" i="5"/>
  <c r="I23" i="5"/>
  <c r="D23" i="5"/>
  <c r="J23" i="5"/>
  <c r="K23" i="5"/>
  <c r="L23" i="5"/>
  <c r="M23" i="5"/>
  <c r="N23" i="5"/>
  <c r="E23" i="5"/>
  <c r="O23" i="5"/>
  <c r="V23" i="4" s="1"/>
  <c r="B23" i="5"/>
  <c r="C24" i="5"/>
  <c r="B24" i="5"/>
  <c r="C25" i="5"/>
  <c r="B25" i="5"/>
  <c r="C26" i="5"/>
  <c r="I26" i="5"/>
  <c r="D26" i="5"/>
  <c r="J26" i="5"/>
  <c r="K26" i="5"/>
  <c r="L26" i="5"/>
  <c r="M26" i="5"/>
  <c r="N26" i="5"/>
  <c r="E26" i="5"/>
  <c r="O26" i="5"/>
  <c r="V26" i="4" s="1"/>
  <c r="B26" i="5"/>
  <c r="C27" i="5"/>
  <c r="B27" i="5"/>
  <c r="C28" i="5"/>
  <c r="I28" i="5"/>
  <c r="D28" i="5"/>
  <c r="J28" i="5"/>
  <c r="K28" i="5"/>
  <c r="L28" i="5"/>
  <c r="M28" i="5"/>
  <c r="N28" i="5"/>
  <c r="E28" i="5"/>
  <c r="O28" i="5"/>
  <c r="V28" i="4" s="1"/>
  <c r="B28" i="5"/>
  <c r="B309" i="7"/>
  <c r="E309" i="4" s="1"/>
  <c r="B308" i="7"/>
  <c r="E308" i="4" s="1"/>
  <c r="B307" i="7"/>
  <c r="E307" i="4" s="1"/>
  <c r="B306" i="7"/>
  <c r="E306" i="4" s="1"/>
  <c r="B305" i="7"/>
  <c r="E305" i="4" s="1"/>
  <c r="B304" i="7"/>
  <c r="E304" i="4" s="1"/>
  <c r="B303" i="7"/>
  <c r="E303" i="4" s="1"/>
  <c r="C302" i="7"/>
  <c r="B302" i="7"/>
  <c r="E302" i="4" s="1"/>
  <c r="C301" i="7"/>
  <c r="B301" i="7"/>
  <c r="E301" i="4" s="1"/>
  <c r="C300" i="7"/>
  <c r="B300" i="7" s="1"/>
  <c r="E300" i="4" s="1"/>
  <c r="C299" i="7"/>
  <c r="B299" i="7" s="1"/>
  <c r="E299" i="4" s="1"/>
  <c r="C298" i="7"/>
  <c r="B298" i="7" s="1"/>
  <c r="E298" i="4" s="1"/>
  <c r="C297" i="7"/>
  <c r="B297" i="7"/>
  <c r="E297" i="4" s="1"/>
  <c r="C296" i="7"/>
  <c r="B296" i="7"/>
  <c r="E296" i="4" s="1"/>
  <c r="C295" i="7"/>
  <c r="B295" i="7"/>
  <c r="E295" i="4" s="1"/>
  <c r="C294" i="7"/>
  <c r="B294" i="7"/>
  <c r="E294" i="4" s="1"/>
  <c r="C293" i="7"/>
  <c r="B293" i="7" s="1"/>
  <c r="E293" i="4" s="1"/>
  <c r="C292" i="7"/>
  <c r="B292" i="7"/>
  <c r="E292" i="4" s="1"/>
  <c r="C291" i="7"/>
  <c r="B291" i="7" s="1"/>
  <c r="E291" i="4" s="1"/>
  <c r="C290" i="7"/>
  <c r="B290" i="7" s="1"/>
  <c r="E290" i="4" s="1"/>
  <c r="C289" i="7"/>
  <c r="B289" i="7"/>
  <c r="E289" i="4" s="1"/>
  <c r="C288" i="7"/>
  <c r="B288" i="7"/>
  <c r="E288" i="4" s="1"/>
  <c r="C287" i="7"/>
  <c r="B287" i="7"/>
  <c r="E287" i="4" s="1"/>
  <c r="C286" i="7"/>
  <c r="B286" i="7" s="1"/>
  <c r="E286" i="4" s="1"/>
  <c r="C285" i="7"/>
  <c r="B285" i="7"/>
  <c r="E285" i="4" s="1"/>
  <c r="C284" i="7"/>
  <c r="B284" i="7"/>
  <c r="E284" i="4" s="1"/>
  <c r="C283" i="7"/>
  <c r="B283" i="7" s="1"/>
  <c r="E283" i="4" s="1"/>
  <c r="C282" i="7"/>
  <c r="B282" i="7" s="1"/>
  <c r="E282" i="4" s="1"/>
  <c r="C281" i="7"/>
  <c r="B281" i="7"/>
  <c r="E281" i="4" s="1"/>
  <c r="C280" i="7"/>
  <c r="B280" i="7"/>
  <c r="E280" i="4" s="1"/>
  <c r="C279" i="7"/>
  <c r="B279" i="7" s="1"/>
  <c r="E279" i="4" s="1"/>
  <c r="C278" i="7"/>
  <c r="B278" i="7"/>
  <c r="E278" i="4" s="1"/>
  <c r="C277" i="7"/>
  <c r="B277" i="7"/>
  <c r="E277" i="4" s="1"/>
  <c r="B275" i="7"/>
  <c r="E275" i="4" s="1"/>
  <c r="B274" i="7"/>
  <c r="E274" i="4" s="1"/>
  <c r="B273" i="7"/>
  <c r="E273" i="4" s="1"/>
  <c r="B272" i="7"/>
  <c r="E272" i="4" s="1"/>
  <c r="B271" i="7"/>
  <c r="E271" i="4" s="1"/>
  <c r="B269" i="7"/>
  <c r="E269" i="4" s="1"/>
  <c r="B268" i="7"/>
  <c r="E268" i="4" s="1"/>
  <c r="C267" i="7"/>
  <c r="B267" i="7"/>
  <c r="E267" i="4" s="1"/>
  <c r="C266" i="7"/>
  <c r="B266" i="7" s="1"/>
  <c r="E266" i="4" s="1"/>
  <c r="C265" i="7"/>
  <c r="B265" i="7"/>
  <c r="E265" i="4" s="1"/>
  <c r="C264" i="7"/>
  <c r="B264" i="7" s="1"/>
  <c r="E264" i="4" s="1"/>
  <c r="C263" i="7"/>
  <c r="B263" i="7" s="1"/>
  <c r="E263" i="4" s="1"/>
  <c r="B262" i="7"/>
  <c r="E262" i="4" s="1"/>
  <c r="B261" i="7"/>
  <c r="E261" i="4" s="1"/>
  <c r="B260" i="7"/>
  <c r="E260" i="4" s="1"/>
  <c r="B259" i="7"/>
  <c r="E259" i="4" s="1"/>
  <c r="B258" i="7"/>
  <c r="E258" i="4" s="1"/>
  <c r="B257" i="7"/>
  <c r="E257" i="4" s="1"/>
  <c r="B254" i="7"/>
  <c r="E254" i="4" s="1"/>
  <c r="C253" i="7"/>
  <c r="B253" i="7" s="1"/>
  <c r="E253" i="4" s="1"/>
  <c r="B252" i="7"/>
  <c r="E252" i="4" s="1"/>
  <c r="B251" i="7"/>
  <c r="E251" i="4" s="1"/>
  <c r="B250" i="7"/>
  <c r="E250" i="4" s="1"/>
  <c r="B249" i="7"/>
  <c r="E249" i="4" s="1"/>
  <c r="C248" i="7"/>
  <c r="B248" i="7"/>
  <c r="E248" i="4" s="1"/>
  <c r="B247" i="7"/>
  <c r="E247" i="4" s="1"/>
  <c r="B246" i="7"/>
  <c r="E246" i="4" s="1"/>
  <c r="B244" i="7"/>
  <c r="E244" i="4" s="1"/>
  <c r="B243" i="7"/>
  <c r="E243" i="4" s="1"/>
  <c r="B242" i="7"/>
  <c r="E242" i="4" s="1"/>
  <c r="B239" i="7"/>
  <c r="E239" i="4" s="1"/>
  <c r="B238" i="7"/>
  <c r="E238" i="4" s="1"/>
  <c r="B237" i="7"/>
  <c r="E237" i="4" s="1"/>
  <c r="D236" i="7"/>
  <c r="B236" i="7"/>
  <c r="E236" i="4" s="1"/>
  <c r="B235" i="7"/>
  <c r="E235" i="4" s="1"/>
  <c r="B234" i="7"/>
  <c r="E234" i="4" s="1"/>
  <c r="D233" i="7"/>
  <c r="B232" i="7"/>
  <c r="E232" i="4" s="1"/>
  <c r="B231" i="7"/>
  <c r="E231" i="4" s="1"/>
  <c r="D230" i="7"/>
  <c r="B230" i="7"/>
  <c r="E230" i="4" s="1"/>
  <c r="B229" i="7"/>
  <c r="E229" i="4" s="1"/>
  <c r="B228" i="7"/>
  <c r="E228" i="4" s="1"/>
  <c r="B227" i="7"/>
  <c r="E227" i="4" s="1"/>
  <c r="D225" i="7"/>
  <c r="B224" i="7"/>
  <c r="E224" i="4" s="1"/>
  <c r="B223" i="7"/>
  <c r="E223" i="4" s="1"/>
  <c r="B222" i="7"/>
  <c r="E222" i="4" s="1"/>
  <c r="D221" i="7"/>
  <c r="B219" i="7"/>
  <c r="E219" i="4" s="1"/>
  <c r="D218" i="7"/>
  <c r="B218" i="7"/>
  <c r="E218" i="4" s="1"/>
  <c r="D216" i="7"/>
  <c r="B215" i="7"/>
  <c r="E215" i="4" s="1"/>
  <c r="B214" i="7"/>
  <c r="E214" i="4" s="1"/>
  <c r="B213" i="7"/>
  <c r="E213" i="4" s="1"/>
  <c r="B212" i="7"/>
  <c r="E212" i="4" s="1"/>
  <c r="B211" i="7"/>
  <c r="E211" i="4" s="1"/>
  <c r="B209" i="7"/>
  <c r="E209" i="4" s="1"/>
  <c r="B208" i="7"/>
  <c r="E208" i="4" s="1"/>
  <c r="B207" i="7"/>
  <c r="E207" i="4" s="1"/>
  <c r="B206" i="7"/>
  <c r="E206" i="4" s="1"/>
  <c r="D205" i="7"/>
  <c r="B205" i="7"/>
  <c r="E205" i="4" s="1"/>
  <c r="B203" i="7"/>
  <c r="E203" i="4" s="1"/>
  <c r="B202" i="7"/>
  <c r="E202" i="4" s="1"/>
  <c r="B201" i="7"/>
  <c r="E201" i="4" s="1"/>
  <c r="B200" i="7"/>
  <c r="E200" i="4" s="1"/>
  <c r="B199" i="7"/>
  <c r="E199" i="4" s="1"/>
  <c r="B198" i="7"/>
  <c r="E198" i="4" s="1"/>
  <c r="B197" i="7"/>
  <c r="E197" i="4" s="1"/>
  <c r="B196" i="7"/>
  <c r="E196" i="4" s="1"/>
  <c r="B195" i="7"/>
  <c r="E195" i="4" s="1"/>
  <c r="B193" i="7"/>
  <c r="E193" i="4" s="1"/>
  <c r="B192" i="7"/>
  <c r="E192" i="4" s="1"/>
  <c r="B191" i="7"/>
  <c r="E191" i="4" s="1"/>
  <c r="B190" i="7"/>
  <c r="E190" i="4" s="1"/>
  <c r="B189" i="7"/>
  <c r="E189" i="4" s="1"/>
  <c r="B187" i="7"/>
  <c r="E187" i="4" s="1"/>
  <c r="B186" i="7"/>
  <c r="E186" i="4" s="1"/>
  <c r="B185" i="7"/>
  <c r="E185" i="4" s="1"/>
  <c r="B184" i="7"/>
  <c r="E184" i="4" s="1"/>
  <c r="B183" i="7"/>
  <c r="E183" i="4" s="1"/>
  <c r="B182" i="7"/>
  <c r="E182" i="4" s="1"/>
  <c r="B181" i="7"/>
  <c r="E181" i="4" s="1"/>
  <c r="B180" i="7"/>
  <c r="E180" i="4" s="1"/>
  <c r="B178" i="7"/>
  <c r="E178" i="4" s="1"/>
  <c r="B176" i="7"/>
  <c r="E176" i="4" s="1"/>
  <c r="B175" i="7"/>
  <c r="E175" i="4" s="1"/>
  <c r="B174" i="7"/>
  <c r="E174" i="4" s="1"/>
  <c r="B173" i="7"/>
  <c r="E173" i="4" s="1"/>
  <c r="B172" i="7"/>
  <c r="E172" i="4" s="1"/>
  <c r="B171" i="7"/>
  <c r="E171" i="4" s="1"/>
  <c r="B169" i="7"/>
  <c r="E169" i="4" s="1"/>
  <c r="B168" i="7"/>
  <c r="E168" i="4" s="1"/>
  <c r="B166" i="7"/>
  <c r="E166" i="4" s="1"/>
  <c r="B165" i="7"/>
  <c r="E165" i="4" s="1"/>
  <c r="B164" i="7"/>
  <c r="E164" i="4" s="1"/>
  <c r="B163" i="7"/>
  <c r="E163" i="4" s="1"/>
  <c r="B162" i="7"/>
  <c r="E162" i="4" s="1"/>
  <c r="B160" i="7"/>
  <c r="E160" i="4" s="1"/>
  <c r="B159" i="7"/>
  <c r="E159" i="4" s="1"/>
  <c r="B157" i="7"/>
  <c r="E157" i="4" s="1"/>
  <c r="B155" i="7"/>
  <c r="E155" i="4" s="1"/>
  <c r="B154" i="7"/>
  <c r="E154" i="4" s="1"/>
  <c r="B153" i="7"/>
  <c r="E153" i="4" s="1"/>
  <c r="D152" i="7"/>
  <c r="B150" i="7"/>
  <c r="E150" i="4" s="1"/>
  <c r="B149" i="7"/>
  <c r="E149" i="4" s="1"/>
  <c r="B148" i="7"/>
  <c r="E148" i="4" s="1"/>
  <c r="B146" i="7"/>
  <c r="E146" i="4" s="1"/>
  <c r="B145" i="7"/>
  <c r="E145" i="4" s="1"/>
  <c r="B143" i="7"/>
  <c r="E143" i="4" s="1"/>
  <c r="D142" i="7"/>
  <c r="B139" i="7"/>
  <c r="E139" i="4" s="1"/>
  <c r="B138" i="7"/>
  <c r="E138" i="4" s="1"/>
  <c r="B137" i="7"/>
  <c r="E137" i="4" s="1"/>
  <c r="B135" i="7"/>
  <c r="E135" i="4" s="1"/>
  <c r="B134" i="7"/>
  <c r="E134" i="4" s="1"/>
  <c r="B133" i="7"/>
  <c r="E133" i="4" s="1"/>
  <c r="B132" i="7"/>
  <c r="E132" i="4" s="1"/>
  <c r="B130" i="7"/>
  <c r="E130" i="4" s="1"/>
  <c r="B129" i="7"/>
  <c r="E129" i="4" s="1"/>
  <c r="B128" i="7"/>
  <c r="E128" i="4" s="1"/>
  <c r="B127" i="7"/>
  <c r="E127" i="4" s="1"/>
  <c r="B126" i="7"/>
  <c r="E126" i="4" s="1"/>
  <c r="B125" i="7"/>
  <c r="E125" i="4" s="1"/>
  <c r="B124" i="7"/>
  <c r="E124" i="4" s="1"/>
  <c r="B123" i="7"/>
  <c r="E123" i="4" s="1"/>
  <c r="B121" i="7"/>
  <c r="E121" i="4" s="1"/>
  <c r="B118" i="7"/>
  <c r="E118" i="4" s="1"/>
  <c r="B116" i="7"/>
  <c r="E116" i="4" s="1"/>
  <c r="B115" i="7"/>
  <c r="E115" i="4" s="1"/>
  <c r="B114" i="7"/>
  <c r="E114" i="4" s="1"/>
  <c r="B113" i="7"/>
  <c r="E113" i="4" s="1"/>
  <c r="B112" i="7"/>
  <c r="E112" i="4" s="1"/>
  <c r="B111" i="7"/>
  <c r="E111" i="4" s="1"/>
  <c r="B110" i="7"/>
  <c r="E110" i="4" s="1"/>
  <c r="B109" i="7"/>
  <c r="E109" i="4" s="1"/>
  <c r="B108" i="7"/>
  <c r="E108" i="4" s="1"/>
  <c r="B107" i="7"/>
  <c r="E107" i="4" s="1"/>
  <c r="B106" i="7"/>
  <c r="E106" i="4" s="1"/>
  <c r="D103" i="7"/>
  <c r="B103" i="7"/>
  <c r="E103" i="4" s="1"/>
  <c r="D102" i="7"/>
  <c r="D101" i="7"/>
  <c r="B101" i="7"/>
  <c r="E101" i="4" s="1"/>
  <c r="B100" i="7"/>
  <c r="E100" i="4" s="1"/>
  <c r="D99" i="7"/>
  <c r="B99" i="7"/>
  <c r="E99" i="4" s="1"/>
  <c r="D98" i="7"/>
  <c r="B98" i="7"/>
  <c r="E98" i="4" s="1"/>
  <c r="D97" i="7"/>
  <c r="B97" i="7"/>
  <c r="E97" i="4" s="1"/>
  <c r="B96" i="7"/>
  <c r="E96" i="4" s="1"/>
  <c r="D95" i="7"/>
  <c r="D94" i="7"/>
  <c r="B94" i="7"/>
  <c r="E94" i="4" s="1"/>
  <c r="D93" i="7"/>
  <c r="B93" i="7"/>
  <c r="E93" i="4" s="1"/>
  <c r="D91" i="7"/>
  <c r="B91" i="7"/>
  <c r="E91" i="4" s="1"/>
  <c r="D90" i="7"/>
  <c r="D89" i="7"/>
  <c r="B89" i="7"/>
  <c r="E89" i="4" s="1"/>
  <c r="B88" i="7"/>
  <c r="E88" i="4" s="1"/>
  <c r="D87" i="7"/>
  <c r="B87" i="7"/>
  <c r="E87" i="4" s="1"/>
  <c r="D86" i="7"/>
  <c r="D85" i="7"/>
  <c r="B85" i="7"/>
  <c r="E85" i="4" s="1"/>
  <c r="D82" i="7"/>
  <c r="B82" i="7"/>
  <c r="E82" i="4" s="1"/>
  <c r="D81" i="7"/>
  <c r="B81" i="7"/>
  <c r="E81" i="4" s="1"/>
  <c r="C80" i="7"/>
  <c r="B80" i="7" s="1"/>
  <c r="E80" i="4" s="1"/>
  <c r="D80" i="7"/>
  <c r="D79" i="7"/>
  <c r="B79" i="7"/>
  <c r="E79" i="4" s="1"/>
  <c r="B78" i="7"/>
  <c r="E78" i="4" s="1"/>
  <c r="D77" i="7"/>
  <c r="D76" i="7"/>
  <c r="B76" i="7"/>
  <c r="E76" i="4" s="1"/>
  <c r="D75" i="7"/>
  <c r="B75" i="7"/>
  <c r="E75" i="4" s="1"/>
  <c r="B74" i="7"/>
  <c r="E74" i="4" s="1"/>
  <c r="D73" i="7"/>
  <c r="C72" i="7"/>
  <c r="B72" i="7" s="1"/>
  <c r="E72" i="4" s="1"/>
  <c r="D72" i="7"/>
  <c r="C71" i="7"/>
  <c r="O71" i="7" s="1"/>
  <c r="N71" i="4" s="1"/>
  <c r="C70" i="7"/>
  <c r="B70" i="7" s="1"/>
  <c r="E70" i="4" s="1"/>
  <c r="D70" i="7"/>
  <c r="C69" i="7"/>
  <c r="B69" i="7" s="1"/>
  <c r="E69" i="4" s="1"/>
  <c r="D69" i="7"/>
  <c r="C68" i="7"/>
  <c r="B68" i="7" s="1"/>
  <c r="E68" i="4" s="1"/>
  <c r="D68" i="7"/>
  <c r="B67" i="7"/>
  <c r="E67" i="4" s="1"/>
  <c r="B66" i="7"/>
  <c r="E66" i="4" s="1"/>
  <c r="D65" i="7"/>
  <c r="B65" i="7"/>
  <c r="E65" i="4" s="1"/>
  <c r="D64" i="7"/>
  <c r="B64" i="7"/>
  <c r="E64" i="4" s="1"/>
  <c r="C63" i="7"/>
  <c r="O63" i="7" s="1"/>
  <c r="N63" i="4" s="1"/>
  <c r="D62" i="7"/>
  <c r="B62" i="7"/>
  <c r="E62" i="4" s="1"/>
  <c r="D61" i="7"/>
  <c r="D60" i="7"/>
  <c r="B59" i="7"/>
  <c r="E59" i="4" s="1"/>
  <c r="D58" i="7"/>
  <c r="B58" i="7"/>
  <c r="E58" i="4" s="1"/>
  <c r="D57" i="7"/>
  <c r="B57" i="7"/>
  <c r="E57" i="4" s="1"/>
  <c r="D56" i="7"/>
  <c r="B56" i="7"/>
  <c r="E56" i="4" s="1"/>
  <c r="B55" i="7"/>
  <c r="E55" i="4" s="1"/>
  <c r="D54" i="7"/>
  <c r="D53" i="7"/>
  <c r="B53" i="7"/>
  <c r="E53" i="4" s="1"/>
  <c r="D52" i="7"/>
  <c r="B51" i="7"/>
  <c r="E51" i="4" s="1"/>
  <c r="D50" i="7"/>
  <c r="C48" i="7"/>
  <c r="B48" i="7" s="1"/>
  <c r="E48" i="4" s="1"/>
  <c r="C47" i="7"/>
  <c r="O47" i="7" s="1"/>
  <c r="N47" i="4" s="1"/>
  <c r="B42" i="7"/>
  <c r="E42" i="4" s="1"/>
  <c r="C41" i="7"/>
  <c r="B41" i="7"/>
  <c r="E41" i="4" s="1"/>
  <c r="C40" i="7"/>
  <c r="O40" i="7" s="1"/>
  <c r="N40" i="4" s="1"/>
  <c r="C39" i="7"/>
  <c r="O39" i="7" s="1"/>
  <c r="N39" i="4" s="1"/>
  <c r="B39" i="7"/>
  <c r="E39" i="4" s="1"/>
  <c r="B13" i="7"/>
  <c r="E13" i="4" s="1"/>
  <c r="C14" i="7"/>
  <c r="D15" i="7"/>
  <c r="B16" i="7"/>
  <c r="E16" i="4" s="1"/>
  <c r="D17" i="7"/>
  <c r="B17" i="7"/>
  <c r="E17" i="4" s="1"/>
  <c r="D18" i="7"/>
  <c r="B18" i="7"/>
  <c r="E18" i="4" s="1"/>
  <c r="B19" i="7"/>
  <c r="E19" i="4" s="1"/>
  <c r="C20" i="7"/>
  <c r="O20" i="7" s="1"/>
  <c r="N20" i="4" s="1"/>
  <c r="D20" i="7"/>
  <c r="B20" i="7"/>
  <c r="E20" i="4" s="1"/>
  <c r="D21" i="7"/>
  <c r="B22" i="7"/>
  <c r="E22" i="4" s="1"/>
  <c r="B23" i="7"/>
  <c r="E23" i="4" s="1"/>
  <c r="B24" i="7"/>
  <c r="E24" i="4" s="1"/>
  <c r="B25" i="7"/>
  <c r="E25" i="4" s="1"/>
  <c r="B26" i="7"/>
  <c r="E26" i="4" s="1"/>
  <c r="B27" i="7"/>
  <c r="E27" i="4" s="1"/>
  <c r="D28" i="7"/>
  <c r="B28" i="7"/>
  <c r="E28" i="4" s="1"/>
  <c r="B30" i="7"/>
  <c r="E30" i="4" s="1"/>
  <c r="B31" i="7"/>
  <c r="E31" i="4" s="1"/>
  <c r="B32" i="7"/>
  <c r="E32" i="4" s="1"/>
  <c r="C33" i="7"/>
  <c r="O33" i="7" s="1"/>
  <c r="C35" i="7"/>
  <c r="B35" i="7" s="1"/>
  <c r="E35" i="4" s="1"/>
  <c r="D35" i="7"/>
  <c r="D36" i="7"/>
  <c r="B36" i="7"/>
  <c r="E36" i="4" s="1"/>
  <c r="B37" i="7"/>
  <c r="E37" i="4" s="1"/>
  <c r="O37" i="7"/>
  <c r="N37" i="4" s="1"/>
  <c r="O36" i="7"/>
  <c r="N36" i="4" s="1"/>
  <c r="O35" i="7"/>
  <c r="N35" i="4" s="1"/>
  <c r="O32" i="7"/>
  <c r="N32" i="4" s="1"/>
  <c r="O31" i="7"/>
  <c r="N31" i="4" s="1"/>
  <c r="O30" i="7"/>
  <c r="N30" i="4" s="1"/>
  <c r="O28" i="7"/>
  <c r="N28" i="4" s="1"/>
  <c r="O25" i="7"/>
  <c r="O24" i="7"/>
  <c r="N24" i="4" s="1"/>
  <c r="O23" i="7"/>
  <c r="N23" i="4" s="1"/>
  <c r="O22" i="7"/>
  <c r="N22" i="4" s="1"/>
  <c r="O21" i="7"/>
  <c r="N21" i="4" s="1"/>
  <c r="O19" i="7"/>
  <c r="N19" i="4" s="1"/>
  <c r="O18" i="7"/>
  <c r="N18" i="4" s="1"/>
  <c r="O16" i="7"/>
  <c r="N16" i="4" s="1"/>
  <c r="O13" i="7"/>
  <c r="O12" i="7"/>
  <c r="N12" i="4" s="1"/>
  <c r="O42" i="7"/>
  <c r="N42" i="4" s="1"/>
  <c r="O41" i="7"/>
  <c r="N41" i="4" s="1"/>
  <c r="O48" i="7"/>
  <c r="N48" i="4" s="1"/>
  <c r="O45" i="7"/>
  <c r="N45" i="4" s="1"/>
  <c r="O82" i="7"/>
  <c r="N82" i="4" s="1"/>
  <c r="O81" i="7"/>
  <c r="N81" i="4" s="1"/>
  <c r="O80" i="7"/>
  <c r="N80" i="4" s="1"/>
  <c r="O79" i="7"/>
  <c r="N79" i="4" s="1"/>
  <c r="O78" i="7"/>
  <c r="N78" i="4" s="1"/>
  <c r="O76" i="7"/>
  <c r="N76" i="4" s="1"/>
  <c r="O75" i="7"/>
  <c r="N75" i="4" s="1"/>
  <c r="O74" i="7"/>
  <c r="N74" i="4" s="1"/>
  <c r="O72" i="7"/>
  <c r="N72" i="4" s="1"/>
  <c r="O68" i="7"/>
  <c r="N68" i="4" s="1"/>
  <c r="O67" i="7"/>
  <c r="N67" i="4" s="1"/>
  <c r="O66" i="7"/>
  <c r="N66" i="4" s="1"/>
  <c r="O65" i="7"/>
  <c r="N65" i="4" s="1"/>
  <c r="O64" i="7"/>
  <c r="N64" i="4" s="1"/>
  <c r="O62" i="7"/>
  <c r="N62" i="4" s="1"/>
  <c r="O59" i="7"/>
  <c r="N59" i="4" s="1"/>
  <c r="O57" i="7"/>
  <c r="N57" i="4" s="1"/>
  <c r="O56" i="7"/>
  <c r="N56" i="4" s="1"/>
  <c r="O55" i="7"/>
  <c r="N55" i="4" s="1"/>
  <c r="O53" i="7"/>
  <c r="N53" i="4" s="1"/>
  <c r="O52" i="7"/>
  <c r="N52" i="4" s="1"/>
  <c r="O51" i="7"/>
  <c r="N51" i="4" s="1"/>
  <c r="O50" i="7"/>
  <c r="N50" i="4" s="1"/>
  <c r="O140" i="7"/>
  <c r="N140" i="4" s="1"/>
  <c r="O139" i="7"/>
  <c r="N139" i="4" s="1"/>
  <c r="O138" i="7"/>
  <c r="N138" i="4" s="1"/>
  <c r="O137" i="7"/>
  <c r="N137" i="4" s="1"/>
  <c r="O136" i="7"/>
  <c r="N136" i="4" s="1"/>
  <c r="O135" i="7"/>
  <c r="N135" i="4" s="1"/>
  <c r="O134" i="7"/>
  <c r="N134" i="4" s="1"/>
  <c r="O133" i="7"/>
  <c r="N133" i="4" s="1"/>
  <c r="O132" i="7"/>
  <c r="N132" i="4" s="1"/>
  <c r="O131" i="7"/>
  <c r="N131" i="4" s="1"/>
  <c r="O130" i="7"/>
  <c r="N130" i="4" s="1"/>
  <c r="O129" i="7"/>
  <c r="N129" i="4" s="1"/>
  <c r="O128" i="7"/>
  <c r="N128" i="4" s="1"/>
  <c r="O127" i="7"/>
  <c r="N127" i="4" s="1"/>
  <c r="O126" i="7"/>
  <c r="N126" i="4" s="1"/>
  <c r="O125" i="7"/>
  <c r="N125" i="4" s="1"/>
  <c r="O124" i="7"/>
  <c r="N124" i="4" s="1"/>
  <c r="O123" i="7"/>
  <c r="N123" i="4" s="1"/>
  <c r="O122" i="7"/>
  <c r="N122" i="4" s="1"/>
  <c r="O121" i="7"/>
  <c r="N121" i="4" s="1"/>
  <c r="O120" i="7"/>
  <c r="N120" i="4" s="1"/>
  <c r="O119" i="7"/>
  <c r="N119" i="4" s="1"/>
  <c r="O118" i="7"/>
  <c r="N118" i="4" s="1"/>
  <c r="O117" i="7"/>
  <c r="N117" i="4" s="1"/>
  <c r="O116" i="7"/>
  <c r="N116" i="4" s="1"/>
  <c r="O115" i="7"/>
  <c r="N115" i="4" s="1"/>
  <c r="O114" i="7"/>
  <c r="N114" i="4" s="1"/>
  <c r="O113" i="7"/>
  <c r="N113" i="4" s="1"/>
  <c r="O112" i="7"/>
  <c r="N112" i="4" s="1"/>
  <c r="O111" i="7"/>
  <c r="N111" i="4" s="1"/>
  <c r="O110" i="7"/>
  <c r="N110" i="4" s="1"/>
  <c r="O109" i="7"/>
  <c r="N109" i="4" s="1"/>
  <c r="O108" i="7"/>
  <c r="N108" i="4" s="1"/>
  <c r="O107" i="7"/>
  <c r="N107" i="4" s="1"/>
  <c r="O106" i="7"/>
  <c r="N106" i="4" s="1"/>
  <c r="O104" i="7"/>
  <c r="N104" i="4" s="1"/>
  <c r="O103" i="7"/>
  <c r="N103" i="4" s="1"/>
  <c r="O101" i="7"/>
  <c r="N101" i="4" s="1"/>
  <c r="O100" i="7"/>
  <c r="N100" i="4" s="1"/>
  <c r="O99" i="7"/>
  <c r="N99" i="4" s="1"/>
  <c r="O98" i="7"/>
  <c r="N98" i="4" s="1"/>
  <c r="O97" i="7"/>
  <c r="N97" i="4" s="1"/>
  <c r="O96" i="7"/>
  <c r="N96" i="4" s="1"/>
  <c r="O95" i="7"/>
  <c r="N95" i="4" s="1"/>
  <c r="O94" i="7"/>
  <c r="N94" i="4" s="1"/>
  <c r="O93" i="7"/>
  <c r="N93" i="4" s="1"/>
  <c r="O91" i="7"/>
  <c r="N91" i="4" s="1"/>
  <c r="O90" i="7"/>
  <c r="N90" i="4" s="1"/>
  <c r="O89" i="7"/>
  <c r="N89" i="4" s="1"/>
  <c r="O88" i="7"/>
  <c r="N88" i="4" s="1"/>
  <c r="O86" i="7"/>
  <c r="N86" i="4" s="1"/>
  <c r="O85" i="7"/>
  <c r="N85" i="4" s="1"/>
  <c r="O309" i="7"/>
  <c r="N309" i="4" s="1"/>
  <c r="O308" i="7"/>
  <c r="N308" i="4" s="1"/>
  <c r="O307" i="7"/>
  <c r="N307" i="4" s="1"/>
  <c r="O306" i="7"/>
  <c r="N306" i="4" s="1"/>
  <c r="O305" i="7"/>
  <c r="N305" i="4" s="1"/>
  <c r="O304" i="7"/>
  <c r="N304" i="4" s="1"/>
  <c r="O303" i="7"/>
  <c r="N303" i="4" s="1"/>
  <c r="O302" i="7"/>
  <c r="N302" i="4" s="1"/>
  <c r="O301" i="7"/>
  <c r="N301" i="4" s="1"/>
  <c r="O300" i="7"/>
  <c r="N300" i="4" s="1"/>
  <c r="O298" i="7"/>
  <c r="N298" i="4" s="1"/>
  <c r="O297" i="7"/>
  <c r="N297" i="4" s="1"/>
  <c r="O296" i="7"/>
  <c r="N296" i="4" s="1"/>
  <c r="O295" i="7"/>
  <c r="N295" i="4" s="1"/>
  <c r="O294" i="7"/>
  <c r="N294" i="4" s="1"/>
  <c r="O293" i="7"/>
  <c r="N293" i="4" s="1"/>
  <c r="O292" i="7"/>
  <c r="N292" i="4" s="1"/>
  <c r="O290" i="7"/>
  <c r="N290" i="4" s="1"/>
  <c r="O289" i="7"/>
  <c r="N289" i="4" s="1"/>
  <c r="O288" i="7"/>
  <c r="N288" i="4" s="1"/>
  <c r="O287" i="7"/>
  <c r="N287" i="4" s="1"/>
  <c r="O286" i="7"/>
  <c r="N286" i="4" s="1"/>
  <c r="O285" i="7"/>
  <c r="N285" i="4" s="1"/>
  <c r="O284" i="7"/>
  <c r="N284" i="4" s="1"/>
  <c r="O282" i="7"/>
  <c r="N282" i="4" s="1"/>
  <c r="O281" i="7"/>
  <c r="N281" i="4" s="1"/>
  <c r="O280" i="7"/>
  <c r="N280" i="4" s="1"/>
  <c r="O279" i="7"/>
  <c r="N279" i="4" s="1"/>
  <c r="O278" i="7"/>
  <c r="N278" i="4" s="1"/>
  <c r="O277" i="7"/>
  <c r="N277" i="4" s="1"/>
  <c r="O275" i="7"/>
  <c r="N275" i="4" s="1"/>
  <c r="O274" i="7"/>
  <c r="N274" i="4" s="1"/>
  <c r="O273" i="7"/>
  <c r="N273" i="4" s="1"/>
  <c r="O272" i="7"/>
  <c r="N272" i="4" s="1"/>
  <c r="O271" i="7"/>
  <c r="N271" i="4" s="1"/>
  <c r="O270" i="7"/>
  <c r="N270" i="4" s="1"/>
  <c r="O269" i="7"/>
  <c r="N269" i="4" s="1"/>
  <c r="O268" i="7"/>
  <c r="N268" i="4" s="1"/>
  <c r="O267" i="7"/>
  <c r="N267" i="4" s="1"/>
  <c r="O266" i="7"/>
  <c r="N266" i="4" s="1"/>
  <c r="O265" i="7"/>
  <c r="N265" i="4" s="1"/>
  <c r="O264" i="7"/>
  <c r="N264" i="4" s="1"/>
  <c r="O262" i="7"/>
  <c r="N262" i="4" s="1"/>
  <c r="O261" i="7"/>
  <c r="N261" i="4" s="1"/>
  <c r="O260" i="7"/>
  <c r="N260" i="4" s="1"/>
  <c r="O259" i="7"/>
  <c r="N259" i="4" s="1"/>
  <c r="O258" i="7"/>
  <c r="N258" i="4" s="1"/>
  <c r="O257" i="7"/>
  <c r="N257" i="4" s="1"/>
  <c r="O255" i="7"/>
  <c r="N255" i="4" s="1"/>
  <c r="O254" i="7"/>
  <c r="N254" i="4" s="1"/>
  <c r="O253" i="7"/>
  <c r="N253" i="4" s="1"/>
  <c r="O252" i="7"/>
  <c r="N252" i="4" s="1"/>
  <c r="O251" i="7"/>
  <c r="N251" i="4" s="1"/>
  <c r="O250" i="7"/>
  <c r="N250" i="4" s="1"/>
  <c r="O249" i="7"/>
  <c r="N249" i="4" s="1"/>
  <c r="O248" i="7"/>
  <c r="N248" i="4" s="1"/>
  <c r="O247" i="7"/>
  <c r="N247" i="4" s="1"/>
  <c r="O246" i="7"/>
  <c r="N246" i="4" s="1"/>
  <c r="O244" i="7"/>
  <c r="N244" i="4" s="1"/>
  <c r="O243" i="7"/>
  <c r="N243" i="4" s="1"/>
  <c r="O242" i="7"/>
  <c r="N242" i="4" s="1"/>
  <c r="O241" i="7"/>
  <c r="N241" i="4" s="1"/>
  <c r="O239" i="7"/>
  <c r="N239" i="4" s="1"/>
  <c r="O238" i="7"/>
  <c r="N238" i="4" s="1"/>
  <c r="O237" i="7"/>
  <c r="N237" i="4" s="1"/>
  <c r="O236" i="7"/>
  <c r="N236" i="4" s="1"/>
  <c r="O235" i="7"/>
  <c r="N235" i="4" s="1"/>
  <c r="O234" i="7"/>
  <c r="N234" i="4" s="1"/>
  <c r="O233" i="7"/>
  <c r="N233" i="4" s="1"/>
  <c r="O232" i="7"/>
  <c r="N232" i="4" s="1"/>
  <c r="O231" i="7"/>
  <c r="N231" i="4" s="1"/>
  <c r="O230" i="7"/>
  <c r="N230" i="4" s="1"/>
  <c r="O229" i="7"/>
  <c r="N229" i="4" s="1"/>
  <c r="O228" i="7"/>
  <c r="N228" i="4" s="1"/>
  <c r="O227" i="7"/>
  <c r="N227" i="4" s="1"/>
  <c r="O225" i="7"/>
  <c r="N225" i="4" s="1"/>
  <c r="O224" i="7"/>
  <c r="N224" i="4" s="1"/>
  <c r="O223" i="7"/>
  <c r="N223" i="4" s="1"/>
  <c r="O222" i="7"/>
  <c r="N222" i="4" s="1"/>
  <c r="O221" i="7"/>
  <c r="N221" i="4" s="1"/>
  <c r="O219" i="7"/>
  <c r="N219" i="4" s="1"/>
  <c r="O218" i="7"/>
  <c r="N218" i="4" s="1"/>
  <c r="O217" i="7"/>
  <c r="N217" i="4" s="1"/>
  <c r="O216" i="7"/>
  <c r="N216" i="4" s="1"/>
  <c r="O215" i="7"/>
  <c r="N215" i="4" s="1"/>
  <c r="O214" i="7"/>
  <c r="N214" i="4" s="1"/>
  <c r="O213" i="7"/>
  <c r="N213" i="4" s="1"/>
  <c r="O212" i="7"/>
  <c r="N212" i="4" s="1"/>
  <c r="O211" i="7"/>
  <c r="N211" i="4" s="1"/>
  <c r="O209" i="7"/>
  <c r="N209" i="4" s="1"/>
  <c r="O208" i="7"/>
  <c r="N208" i="4" s="1"/>
  <c r="O207" i="7"/>
  <c r="N207" i="4" s="1"/>
  <c r="O206" i="7"/>
  <c r="N206" i="4" s="1"/>
  <c r="O205" i="7"/>
  <c r="N205" i="4" s="1"/>
  <c r="O203" i="7"/>
  <c r="N203" i="4" s="1"/>
  <c r="O202" i="7"/>
  <c r="N202" i="4" s="1"/>
  <c r="O201" i="7"/>
  <c r="N201" i="4" s="1"/>
  <c r="O200" i="7"/>
  <c r="N200" i="4" s="1"/>
  <c r="O199" i="7"/>
  <c r="N199" i="4" s="1"/>
  <c r="O198" i="7"/>
  <c r="N198" i="4" s="1"/>
  <c r="O197" i="7"/>
  <c r="N197" i="4" s="1"/>
  <c r="O196" i="7"/>
  <c r="N196" i="4" s="1"/>
  <c r="O195" i="7"/>
  <c r="N195" i="4" s="1"/>
  <c r="O193" i="7"/>
  <c r="N193" i="4" s="1"/>
  <c r="O192" i="7"/>
  <c r="N192" i="4" s="1"/>
  <c r="O191" i="7"/>
  <c r="N191" i="4" s="1"/>
  <c r="O190" i="7"/>
  <c r="N190" i="4" s="1"/>
  <c r="O189" i="7"/>
  <c r="N189" i="4" s="1"/>
  <c r="O188" i="7"/>
  <c r="N188" i="4" s="1"/>
  <c r="O187" i="7"/>
  <c r="N187" i="4" s="1"/>
  <c r="O186" i="7"/>
  <c r="N186" i="4" s="1"/>
  <c r="O185" i="7"/>
  <c r="N185" i="4" s="1"/>
  <c r="O184" i="7"/>
  <c r="N184" i="4" s="1"/>
  <c r="O183" i="7"/>
  <c r="N183" i="4" s="1"/>
  <c r="O182" i="7"/>
  <c r="N182" i="4" s="1"/>
  <c r="O181" i="7"/>
  <c r="N181" i="4" s="1"/>
  <c r="O180" i="7"/>
  <c r="N180" i="4" s="1"/>
  <c r="O179" i="7"/>
  <c r="N179" i="4" s="1"/>
  <c r="O178" i="7"/>
  <c r="N178" i="4" s="1"/>
  <c r="O176" i="7"/>
  <c r="N176" i="4" s="1"/>
  <c r="O175" i="7"/>
  <c r="N175" i="4" s="1"/>
  <c r="O174" i="7"/>
  <c r="N174" i="4" s="1"/>
  <c r="O173" i="7"/>
  <c r="N173" i="4" s="1"/>
  <c r="O172" i="7"/>
  <c r="N172" i="4" s="1"/>
  <c r="O171" i="7"/>
  <c r="N171" i="4" s="1"/>
  <c r="O170" i="7"/>
  <c r="N170" i="4" s="1"/>
  <c r="O169" i="7"/>
  <c r="N169" i="4" s="1"/>
  <c r="O168" i="7"/>
  <c r="N168" i="4" s="1"/>
  <c r="O167" i="7"/>
  <c r="N167" i="4" s="1"/>
  <c r="O166" i="7"/>
  <c r="N166" i="4" s="1"/>
  <c r="O165" i="7"/>
  <c r="N165" i="4" s="1"/>
  <c r="O164" i="7"/>
  <c r="N164" i="4" s="1"/>
  <c r="O163" i="7"/>
  <c r="N163" i="4" s="1"/>
  <c r="O162" i="7"/>
  <c r="N162" i="4" s="1"/>
  <c r="O161" i="7"/>
  <c r="O160" i="7"/>
  <c r="N160" i="4" s="1"/>
  <c r="O159" i="7"/>
  <c r="N159" i="4" s="1"/>
  <c r="O158" i="7"/>
  <c r="N158" i="4" s="1"/>
  <c r="O157" i="7"/>
  <c r="N157" i="4" s="1"/>
  <c r="O156" i="7"/>
  <c r="N156" i="4" s="1"/>
  <c r="O155" i="7"/>
  <c r="N155" i="4" s="1"/>
  <c r="O154" i="7"/>
  <c r="N154" i="4" s="1"/>
  <c r="O152" i="7"/>
  <c r="N152" i="4" s="1"/>
  <c r="O150" i="7"/>
  <c r="N150" i="4" s="1"/>
  <c r="O149" i="7"/>
  <c r="N149" i="4" s="1"/>
  <c r="O148" i="7"/>
  <c r="N148" i="4" s="1"/>
  <c r="O147" i="7"/>
  <c r="N147" i="4" s="1"/>
  <c r="O146" i="7"/>
  <c r="N146" i="4" s="1"/>
  <c r="O145" i="7"/>
  <c r="N145" i="4" s="1"/>
  <c r="O143" i="7"/>
  <c r="N143" i="4" s="1"/>
  <c r="H48" i="7"/>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3" i="5"/>
  <c r="B202" i="5"/>
  <c r="B201" i="5"/>
  <c r="B200" i="5"/>
  <c r="B199" i="5"/>
  <c r="B198" i="5"/>
  <c r="B197" i="5"/>
  <c r="B196" i="5"/>
  <c r="B195"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2" i="5"/>
  <c r="B81" i="5"/>
  <c r="B80" i="5"/>
  <c r="B79" i="5"/>
  <c r="B78" i="5"/>
  <c r="B77" i="5"/>
  <c r="B76" i="5"/>
  <c r="B75" i="5"/>
  <c r="B74" i="5"/>
  <c r="B73" i="5"/>
  <c r="C72" i="5"/>
  <c r="B72" i="5"/>
  <c r="C71" i="5"/>
  <c r="B71" i="5"/>
  <c r="C70" i="5"/>
  <c r="B70" i="5"/>
  <c r="C69" i="5"/>
  <c r="B69" i="5"/>
  <c r="C68" i="5"/>
  <c r="B68" i="5"/>
  <c r="B67" i="5"/>
  <c r="B66" i="5"/>
  <c r="B65" i="5"/>
  <c r="B64" i="5"/>
  <c r="C63" i="5"/>
  <c r="B63" i="5"/>
  <c r="B62" i="5"/>
  <c r="B61" i="5"/>
  <c r="B60" i="5"/>
  <c r="B59" i="5"/>
  <c r="B58" i="5"/>
  <c r="B57" i="5"/>
  <c r="B56" i="5"/>
  <c r="B55" i="5"/>
  <c r="B54" i="5"/>
  <c r="B53" i="5"/>
  <c r="B52" i="5"/>
  <c r="B51" i="5"/>
  <c r="B50" i="5"/>
  <c r="C48" i="5"/>
  <c r="B48" i="5"/>
  <c r="B47" i="5"/>
  <c r="B46" i="5"/>
  <c r="B45" i="5"/>
  <c r="C42" i="5"/>
  <c r="B42" i="5"/>
  <c r="B41" i="5"/>
  <c r="B40" i="5"/>
  <c r="B39" i="5"/>
  <c r="C37" i="5"/>
  <c r="B37" i="5"/>
  <c r="C36" i="5"/>
  <c r="I36" i="5"/>
  <c r="D36" i="5"/>
  <c r="J36" i="5"/>
  <c r="K36" i="5"/>
  <c r="L36" i="5"/>
  <c r="M36" i="5"/>
  <c r="N36" i="5"/>
  <c r="E36" i="5"/>
  <c r="O36" i="5"/>
  <c r="B36" i="5"/>
  <c r="C35" i="5"/>
  <c r="B35" i="5"/>
  <c r="C34" i="5"/>
  <c r="B34" i="5"/>
  <c r="C33" i="5"/>
  <c r="B33" i="5"/>
  <c r="C32" i="5"/>
  <c r="B32" i="5"/>
  <c r="C31" i="5"/>
  <c r="B31" i="5"/>
  <c r="C30" i="5"/>
  <c r="B30" i="5"/>
  <c r="C29" i="5"/>
  <c r="B29" i="5"/>
  <c r="C11" i="5"/>
  <c r="B11" i="5"/>
  <c r="B310" i="4"/>
  <c r="B309" i="4"/>
  <c r="B308" i="4"/>
  <c r="B307" i="4"/>
  <c r="B306" i="4"/>
  <c r="B305" i="4"/>
  <c r="B304" i="4"/>
  <c r="B303" i="4"/>
  <c r="B302" i="4"/>
  <c r="B301" i="4"/>
  <c r="B300" i="4"/>
  <c r="B299" i="4"/>
  <c r="B298" i="4"/>
  <c r="B297" i="4"/>
  <c r="B296" i="4"/>
  <c r="B295" i="4"/>
  <c r="B294" i="4"/>
  <c r="B293" i="4"/>
  <c r="B292" i="4"/>
  <c r="B291" i="4"/>
  <c r="B290" i="4"/>
  <c r="B289" i="4"/>
  <c r="B288" i="4"/>
  <c r="B287" i="4"/>
  <c r="B286" i="4"/>
  <c r="B285" i="4"/>
  <c r="B284" i="4"/>
  <c r="B283" i="4"/>
  <c r="B282" i="4"/>
  <c r="B281" i="4"/>
  <c r="B280" i="4"/>
  <c r="B279" i="4"/>
  <c r="B278" i="4"/>
  <c r="B277" i="4"/>
  <c r="B275" i="4"/>
  <c r="B274" i="4"/>
  <c r="B273" i="4"/>
  <c r="B272" i="4"/>
  <c r="B271" i="4"/>
  <c r="B270" i="4"/>
  <c r="B269" i="4"/>
  <c r="B268" i="4"/>
  <c r="B267" i="4"/>
  <c r="B266" i="4"/>
  <c r="B265" i="4"/>
  <c r="B264" i="4"/>
  <c r="B263" i="4"/>
  <c r="B262" i="4"/>
  <c r="B261" i="4"/>
  <c r="B260" i="4"/>
  <c r="B259" i="4"/>
  <c r="B258" i="4"/>
  <c r="B257" i="4"/>
  <c r="B256" i="4"/>
  <c r="B255" i="4"/>
  <c r="B254" i="4"/>
  <c r="B253" i="4"/>
  <c r="B252" i="4"/>
  <c r="B251" i="4"/>
  <c r="B250" i="4"/>
  <c r="B249" i="4"/>
  <c r="B248" i="4"/>
  <c r="B247" i="4"/>
  <c r="B246" i="4"/>
  <c r="B244" i="4"/>
  <c r="B243" i="4"/>
  <c r="B242" i="4"/>
  <c r="B241" i="4"/>
  <c r="B240" i="4"/>
  <c r="B239" i="4"/>
  <c r="B238" i="4"/>
  <c r="B237" i="4"/>
  <c r="B236" i="4"/>
  <c r="B235" i="4"/>
  <c r="B234" i="4"/>
  <c r="B233" i="4"/>
  <c r="B232" i="4"/>
  <c r="B231" i="4"/>
  <c r="B230" i="4"/>
  <c r="B229" i="4"/>
  <c r="B228" i="4"/>
  <c r="B227" i="4"/>
  <c r="B226" i="4"/>
  <c r="B225" i="4"/>
  <c r="B224" i="4"/>
  <c r="B223" i="4"/>
  <c r="B222" i="4"/>
  <c r="B221" i="4"/>
  <c r="B220" i="4"/>
  <c r="B219" i="4"/>
  <c r="B218" i="4"/>
  <c r="B217" i="4"/>
  <c r="B216" i="4"/>
  <c r="B215" i="4"/>
  <c r="B214" i="4"/>
  <c r="B213" i="4"/>
  <c r="B212" i="4"/>
  <c r="B211" i="4"/>
  <c r="B210" i="4"/>
  <c r="B209" i="4"/>
  <c r="B208" i="4"/>
  <c r="B207" i="4"/>
  <c r="B206" i="4"/>
  <c r="B205" i="4"/>
  <c r="B203" i="4"/>
  <c r="B202" i="4"/>
  <c r="B201" i="4"/>
  <c r="B200" i="4"/>
  <c r="B199" i="4"/>
  <c r="B198" i="4"/>
  <c r="B197" i="4"/>
  <c r="B196" i="4"/>
  <c r="B195" i="4"/>
  <c r="B193" i="4"/>
  <c r="B192" i="4"/>
  <c r="B191" i="4"/>
  <c r="B190" i="4"/>
  <c r="B189" i="4"/>
  <c r="B188" i="4"/>
  <c r="B187" i="4"/>
  <c r="B186" i="4"/>
  <c r="B185" i="4"/>
  <c r="B184" i="4"/>
  <c r="B183" i="4"/>
  <c r="B182" i="4"/>
  <c r="B181" i="4"/>
  <c r="B180" i="4"/>
  <c r="B179" i="4"/>
  <c r="B178" i="4"/>
  <c r="B177" i="4"/>
  <c r="B176" i="4"/>
  <c r="B175" i="4"/>
  <c r="B174" i="4"/>
  <c r="B173" i="4"/>
  <c r="B172" i="4"/>
  <c r="B171" i="4"/>
  <c r="B170" i="4"/>
  <c r="B169" i="4"/>
  <c r="B168" i="4"/>
  <c r="B167" i="4"/>
  <c r="B166" i="4"/>
  <c r="B165" i="4"/>
  <c r="B164" i="4"/>
  <c r="B163" i="4"/>
  <c r="B162" i="4"/>
  <c r="B161" i="4"/>
  <c r="B160" i="4"/>
  <c r="B159" i="4"/>
  <c r="B158" i="4"/>
  <c r="B157" i="4"/>
  <c r="B156" i="4"/>
  <c r="B155" i="4"/>
  <c r="B154" i="4"/>
  <c r="B153" i="4"/>
  <c r="B152" i="4"/>
  <c r="B151" i="4"/>
  <c r="B150" i="4"/>
  <c r="B149" i="4"/>
  <c r="B148" i="4"/>
  <c r="B147" i="4"/>
  <c r="B146" i="4"/>
  <c r="B145" i="4"/>
  <c r="B144" i="4"/>
  <c r="B143" i="4"/>
  <c r="B142" i="4"/>
  <c r="B140" i="4"/>
  <c r="B139" i="4"/>
  <c r="B138" i="4"/>
  <c r="B137" i="4"/>
  <c r="B136" i="4"/>
  <c r="B135" i="4"/>
  <c r="B134" i="4"/>
  <c r="B133" i="4"/>
  <c r="B132" i="4"/>
  <c r="B131" i="4"/>
  <c r="B130" i="4"/>
  <c r="B129" i="4"/>
  <c r="B128" i="4"/>
  <c r="B127" i="4"/>
  <c r="B126" i="4"/>
  <c r="B125" i="4"/>
  <c r="B124" i="4"/>
  <c r="B123" i="4"/>
  <c r="B122" i="4"/>
  <c r="B121" i="4"/>
  <c r="B120" i="4"/>
  <c r="B119" i="4"/>
  <c r="B118" i="4"/>
  <c r="B117" i="4"/>
  <c r="B116" i="4"/>
  <c r="B115" i="4"/>
  <c r="B114" i="4"/>
  <c r="B113" i="4"/>
  <c r="B112" i="4"/>
  <c r="B111" i="4"/>
  <c r="B110" i="4"/>
  <c r="B109" i="4"/>
  <c r="B108" i="4"/>
  <c r="B107" i="4"/>
  <c r="B106" i="4"/>
  <c r="B105" i="4"/>
  <c r="B104" i="4"/>
  <c r="B103" i="4"/>
  <c r="B102" i="4"/>
  <c r="B101" i="4"/>
  <c r="B100" i="4"/>
  <c r="B99" i="4"/>
  <c r="B98" i="4"/>
  <c r="B97" i="4"/>
  <c r="B96" i="4"/>
  <c r="B95" i="4"/>
  <c r="B94" i="4"/>
  <c r="B93" i="4"/>
  <c r="B92" i="4"/>
  <c r="B91" i="4"/>
  <c r="B90" i="4"/>
  <c r="B89" i="4"/>
  <c r="B88" i="4"/>
  <c r="B87" i="4"/>
  <c r="B86" i="4"/>
  <c r="B85" i="4"/>
  <c r="B84" i="4"/>
  <c r="B82" i="4"/>
  <c r="B81" i="4"/>
  <c r="B80" i="4"/>
  <c r="B79" i="4"/>
  <c r="B78" i="4"/>
  <c r="B77" i="4"/>
  <c r="B76" i="4"/>
  <c r="B75" i="4"/>
  <c r="B74" i="4"/>
  <c r="B73" i="4"/>
  <c r="B72" i="4"/>
  <c r="B71" i="4"/>
  <c r="B70" i="4"/>
  <c r="B69" i="4"/>
  <c r="B68" i="4"/>
  <c r="B67" i="4"/>
  <c r="B66" i="4"/>
  <c r="B65" i="4"/>
  <c r="B64" i="4"/>
  <c r="B63" i="4"/>
  <c r="B62" i="4"/>
  <c r="B61" i="4"/>
  <c r="B60" i="4"/>
  <c r="B59" i="4"/>
  <c r="B58" i="4"/>
  <c r="B57" i="4"/>
  <c r="B56" i="4"/>
  <c r="B55" i="4"/>
  <c r="B54" i="4"/>
  <c r="B53" i="4"/>
  <c r="B52" i="4"/>
  <c r="B51" i="4"/>
  <c r="B50" i="4"/>
  <c r="B48" i="4"/>
  <c r="B47" i="4"/>
  <c r="B46" i="4"/>
  <c r="B45" i="4"/>
  <c r="B42" i="4"/>
  <c r="B41" i="4"/>
  <c r="B40" i="4"/>
  <c r="B39" i="4"/>
  <c r="T310" i="3"/>
  <c r="P310" i="8" s="1"/>
  <c r="J310" i="8"/>
  <c r="O310" i="8"/>
  <c r="U310" i="8" s="1"/>
  <c r="T309" i="3"/>
  <c r="P309" i="8" s="1"/>
  <c r="J309" i="8"/>
  <c r="O309" i="8"/>
  <c r="U309" i="8" s="1"/>
  <c r="V309" i="8" s="1"/>
  <c r="X309" i="8" s="1"/>
  <c r="T308" i="3"/>
  <c r="P308" i="8" s="1"/>
  <c r="AH308" i="8" s="1"/>
  <c r="J308" i="8"/>
  <c r="O308" i="8"/>
  <c r="U308" i="8"/>
  <c r="V308" i="8" s="1"/>
  <c r="X308" i="8" s="1"/>
  <c r="T307" i="3"/>
  <c r="P307" i="8" s="1"/>
  <c r="J307" i="8"/>
  <c r="O307" i="8"/>
  <c r="U307" i="8" s="1"/>
  <c r="W307" i="8" s="1"/>
  <c r="T306" i="3"/>
  <c r="P306" i="8" s="1"/>
  <c r="J306" i="8"/>
  <c r="O306" i="8"/>
  <c r="U306" i="8"/>
  <c r="W306" i="8" s="1"/>
  <c r="T305" i="3"/>
  <c r="P305" i="8" s="1"/>
  <c r="J305" i="8"/>
  <c r="O305" i="8"/>
  <c r="U305" i="8"/>
  <c r="W305" i="8" s="1"/>
  <c r="T304" i="3"/>
  <c r="P304" i="8" s="1"/>
  <c r="J304" i="8"/>
  <c r="O304" i="8"/>
  <c r="U304" i="8" s="1"/>
  <c r="T275" i="3"/>
  <c r="P275" i="8"/>
  <c r="J275" i="8"/>
  <c r="O275" i="8"/>
  <c r="U275" i="8" s="1"/>
  <c r="W275" i="8" s="1"/>
  <c r="T274" i="3"/>
  <c r="P274" i="8"/>
  <c r="J274" i="8"/>
  <c r="O274" i="8"/>
  <c r="U274" i="8" s="1"/>
  <c r="W274" i="8" s="1"/>
  <c r="T273" i="3"/>
  <c r="P273" i="8" s="1"/>
  <c r="J273" i="8"/>
  <c r="O273" i="8"/>
  <c r="U273" i="8" s="1"/>
  <c r="W273" i="8" s="1"/>
  <c r="T272" i="3"/>
  <c r="P272" i="8" s="1"/>
  <c r="J272" i="8"/>
  <c r="O272" i="8"/>
  <c r="U272" i="8" s="1"/>
  <c r="T271" i="3"/>
  <c r="P271" i="8" s="1"/>
  <c r="J271" i="8"/>
  <c r="O271" i="8"/>
  <c r="U271" i="8" s="1"/>
  <c r="W271" i="8" s="1"/>
  <c r="T270" i="3"/>
  <c r="P270" i="8" s="1"/>
  <c r="J270" i="8"/>
  <c r="O270" i="8"/>
  <c r="U270" i="8" s="1"/>
  <c r="T269" i="3"/>
  <c r="P269" i="8" s="1"/>
  <c r="J269" i="8"/>
  <c r="O269" i="8"/>
  <c r="U269" i="8" s="1"/>
  <c r="T268" i="3"/>
  <c r="P268" i="8" s="1"/>
  <c r="J268" i="8"/>
  <c r="O268" i="8"/>
  <c r="U268" i="8" s="1"/>
  <c r="W268" i="8" s="1"/>
  <c r="T262" i="3"/>
  <c r="P262" i="8" s="1"/>
  <c r="J262" i="8"/>
  <c r="O262" i="8"/>
  <c r="U262" i="8"/>
  <c r="W262" i="8" s="1"/>
  <c r="T261" i="3"/>
  <c r="P261" i="8" s="1"/>
  <c r="J261" i="8"/>
  <c r="O261" i="8"/>
  <c r="U261" i="8" s="1"/>
  <c r="W261" i="8" s="1"/>
  <c r="T260" i="3"/>
  <c r="P260" i="8" s="1"/>
  <c r="J260" i="8"/>
  <c r="O260" i="8"/>
  <c r="U260" i="8"/>
  <c r="T259" i="3"/>
  <c r="P259" i="8"/>
  <c r="J259" i="8"/>
  <c r="R259" i="8" s="1"/>
  <c r="O259" i="8"/>
  <c r="U259" i="8" s="1"/>
  <c r="W259" i="8" s="1"/>
  <c r="T258" i="3"/>
  <c r="P258" i="8" s="1"/>
  <c r="J258" i="8"/>
  <c r="O258" i="8"/>
  <c r="U258" i="8" s="1"/>
  <c r="T257" i="3"/>
  <c r="P257" i="8" s="1"/>
  <c r="J257" i="8"/>
  <c r="O257" i="8"/>
  <c r="U257" i="8" s="1"/>
  <c r="T256" i="3"/>
  <c r="P256" i="8" s="1"/>
  <c r="J256" i="8"/>
  <c r="O256" i="8"/>
  <c r="U256" i="8" s="1"/>
  <c r="W256" i="8" s="1"/>
  <c r="T255" i="3"/>
  <c r="P255" i="8" s="1"/>
  <c r="J255" i="8"/>
  <c r="O255" i="8"/>
  <c r="U255" i="8" s="1"/>
  <c r="W255" i="8" s="1"/>
  <c r="T254" i="3"/>
  <c r="P254" i="8" s="1"/>
  <c r="J254" i="8"/>
  <c r="O254" i="8"/>
  <c r="U254" i="8"/>
  <c r="V254" i="8" s="1"/>
  <c r="X254" i="8" s="1"/>
  <c r="T253" i="3"/>
  <c r="P253" i="8"/>
  <c r="J253" i="8"/>
  <c r="S253" i="8" s="1"/>
  <c r="O253" i="8"/>
  <c r="U253" i="8"/>
  <c r="W253" i="8" s="1"/>
  <c r="T252" i="3"/>
  <c r="P252" i="8" s="1"/>
  <c r="J252" i="8"/>
  <c r="O252" i="8"/>
  <c r="U252" i="8"/>
  <c r="W252" i="8" s="1"/>
  <c r="T251" i="3"/>
  <c r="P251" i="8"/>
  <c r="J251" i="8"/>
  <c r="O251" i="8"/>
  <c r="U251" i="8" s="1"/>
  <c r="T250" i="3"/>
  <c r="P250" i="8" s="1"/>
  <c r="J250" i="8"/>
  <c r="O250" i="8"/>
  <c r="U250" i="8" s="1"/>
  <c r="W250" i="8" s="1"/>
  <c r="T249" i="3"/>
  <c r="P249" i="8" s="1"/>
  <c r="J249" i="8"/>
  <c r="O249" i="8"/>
  <c r="U249" i="8" s="1"/>
  <c r="T248" i="3"/>
  <c r="P248" i="8" s="1"/>
  <c r="AI248" i="8"/>
  <c r="J248" i="8"/>
  <c r="S248" i="8" s="1"/>
  <c r="R248" i="8"/>
  <c r="O248" i="8"/>
  <c r="U248" i="8" s="1"/>
  <c r="W248" i="8" s="1"/>
  <c r="T247" i="3"/>
  <c r="P247" i="8" s="1"/>
  <c r="J247" i="8"/>
  <c r="O247" i="8"/>
  <c r="U247" i="8" s="1"/>
  <c r="W247" i="8" s="1"/>
  <c r="T246" i="3"/>
  <c r="P246" i="8" s="1"/>
  <c r="J246" i="8"/>
  <c r="O246" i="8"/>
  <c r="U246" i="8" s="1"/>
  <c r="P244" i="8"/>
  <c r="J244" i="8"/>
  <c r="O244" i="8"/>
  <c r="U244" i="8" s="1"/>
  <c r="W244" i="8" s="1"/>
  <c r="T231" i="3"/>
  <c r="P231" i="8" s="1"/>
  <c r="J231" i="8"/>
  <c r="O231" i="8"/>
  <c r="U231" i="8" s="1"/>
  <c r="W231" i="8" s="1"/>
  <c r="T230" i="3"/>
  <c r="P230" i="8" s="1"/>
  <c r="J230" i="8"/>
  <c r="O230" i="8"/>
  <c r="U230" i="8" s="1"/>
  <c r="T228" i="3"/>
  <c r="P228" i="8" s="1"/>
  <c r="J228" i="8"/>
  <c r="O228" i="8"/>
  <c r="U228" i="8" s="1"/>
  <c r="T219" i="3"/>
  <c r="P219" i="8" s="1"/>
  <c r="J219" i="8"/>
  <c r="O219" i="8"/>
  <c r="U219" i="8" s="1"/>
  <c r="W219" i="8" s="1"/>
  <c r="Y219" i="8" s="1"/>
  <c r="T218" i="3"/>
  <c r="P218" i="8"/>
  <c r="J218" i="8"/>
  <c r="O218" i="8"/>
  <c r="U218" i="8" s="1"/>
  <c r="W218" i="8" s="1"/>
  <c r="T216" i="3"/>
  <c r="P216" i="8" s="1"/>
  <c r="J216" i="8"/>
  <c r="O216" i="8"/>
  <c r="U216" i="8" s="1"/>
  <c r="W216" i="8" s="1"/>
  <c r="T213" i="3"/>
  <c r="P213" i="8"/>
  <c r="J213" i="8"/>
  <c r="O213" i="8"/>
  <c r="U213" i="8" s="1"/>
  <c r="W213" i="8" s="1"/>
  <c r="T209" i="3"/>
  <c r="P209" i="8" s="1"/>
  <c r="J209" i="8"/>
  <c r="O209" i="8"/>
  <c r="U209" i="8" s="1"/>
  <c r="W209" i="8" s="1"/>
  <c r="T208" i="3"/>
  <c r="P208" i="8" s="1"/>
  <c r="J208" i="8"/>
  <c r="O208" i="8"/>
  <c r="U208" i="8"/>
  <c r="W208" i="8" s="1"/>
  <c r="T207" i="3"/>
  <c r="P207" i="8" s="1"/>
  <c r="J207" i="8"/>
  <c r="O207" i="8"/>
  <c r="U207" i="8" s="1"/>
  <c r="T201" i="3"/>
  <c r="P201" i="8" s="1"/>
  <c r="J201" i="8"/>
  <c r="O201" i="8"/>
  <c r="U201" i="8" s="1"/>
  <c r="T152" i="3"/>
  <c r="P152" i="8" s="1"/>
  <c r="J152" i="8"/>
  <c r="O152" i="8"/>
  <c r="U152" i="8"/>
  <c r="W152" i="8" s="1"/>
  <c r="T142" i="3"/>
  <c r="P142" i="8" s="1"/>
  <c r="J142" i="8"/>
  <c r="O142" i="8"/>
  <c r="U142" i="8"/>
  <c r="W142" i="8" s="1"/>
  <c r="T101" i="3"/>
  <c r="P101" i="8" s="1"/>
  <c r="J101" i="8"/>
  <c r="O101" i="8"/>
  <c r="U101" i="8" s="1"/>
  <c r="W101" i="8" s="1"/>
  <c r="T97" i="3"/>
  <c r="P97" i="8"/>
  <c r="J97" i="8"/>
  <c r="O97" i="8"/>
  <c r="U97" i="8"/>
  <c r="W97" i="8" s="1"/>
  <c r="M97" i="8"/>
  <c r="T95" i="3"/>
  <c r="P95" i="8" s="1"/>
  <c r="J95" i="8"/>
  <c r="O95" i="8"/>
  <c r="U95" i="8" s="1"/>
  <c r="W95" i="8" s="1"/>
  <c r="M95" i="8"/>
  <c r="T93" i="3"/>
  <c r="P93" i="8" s="1"/>
  <c r="J93" i="8"/>
  <c r="O93" i="8"/>
  <c r="U93" i="8" s="1"/>
  <c r="W93" i="8" s="1"/>
  <c r="T92" i="3"/>
  <c r="P92" i="8" s="1"/>
  <c r="J92" i="8"/>
  <c r="O92" i="8"/>
  <c r="U92" i="8"/>
  <c r="W92" i="8" s="1"/>
  <c r="T91" i="3"/>
  <c r="P91" i="8" s="1"/>
  <c r="J91" i="8"/>
  <c r="O91" i="8"/>
  <c r="U91" i="8" s="1"/>
  <c r="W91" i="8" s="1"/>
  <c r="T89" i="3"/>
  <c r="P89" i="8" s="1"/>
  <c r="J89" i="8"/>
  <c r="O89" i="8"/>
  <c r="U89" i="8" s="1"/>
  <c r="W89" i="8" s="1"/>
  <c r="T88" i="3"/>
  <c r="P88" i="8" s="1"/>
  <c r="J88" i="8"/>
  <c r="O88" i="8"/>
  <c r="U88" i="8" s="1"/>
  <c r="W88" i="8" s="1"/>
  <c r="T86" i="3"/>
  <c r="P86" i="8" s="1"/>
  <c r="J86" i="8"/>
  <c r="O86" i="8"/>
  <c r="U86" i="8" s="1"/>
  <c r="T85" i="3"/>
  <c r="P85" i="8" s="1"/>
  <c r="J85" i="8"/>
  <c r="O85" i="8"/>
  <c r="U85" i="8" s="1"/>
  <c r="T84" i="3"/>
  <c r="P84" i="8" s="1"/>
  <c r="J84" i="8"/>
  <c r="O84" i="8"/>
  <c r="U84" i="8" s="1"/>
  <c r="W84" i="8" s="1"/>
  <c r="T80" i="3"/>
  <c r="P80" i="8" s="1"/>
  <c r="J80" i="8"/>
  <c r="O80" i="8"/>
  <c r="U80" i="8" s="1"/>
  <c r="W80" i="8" s="1"/>
  <c r="T77" i="3"/>
  <c r="P77" i="8" s="1"/>
  <c r="J77" i="8"/>
  <c r="O77" i="8"/>
  <c r="U77" i="8" s="1"/>
  <c r="W77" i="8" s="1"/>
  <c r="T76" i="3"/>
  <c r="P76" i="8"/>
  <c r="J76" i="8"/>
  <c r="O76" i="8"/>
  <c r="U76" i="8"/>
  <c r="W76" i="8" s="1"/>
  <c r="T75" i="3"/>
  <c r="P75" i="8" s="1"/>
  <c r="AI75" i="8"/>
  <c r="J75" i="8"/>
  <c r="O75" i="8"/>
  <c r="U75" i="8" s="1"/>
  <c r="T72" i="3"/>
  <c r="P72" i="8" s="1"/>
  <c r="J72" i="8"/>
  <c r="O72" i="8"/>
  <c r="U72" i="8" s="1"/>
  <c r="W72" i="8" s="1"/>
  <c r="T71" i="3"/>
  <c r="P71" i="8" s="1"/>
  <c r="J71" i="8"/>
  <c r="O71" i="8"/>
  <c r="U71" i="8" s="1"/>
  <c r="T70" i="3"/>
  <c r="P70" i="8" s="1"/>
  <c r="J70" i="8"/>
  <c r="O70" i="8"/>
  <c r="U70" i="8"/>
  <c r="V70" i="8" s="1"/>
  <c r="X70" i="8" s="1"/>
  <c r="T69" i="3"/>
  <c r="P69" i="8" s="1"/>
  <c r="J69" i="8"/>
  <c r="O69" i="8"/>
  <c r="U69" i="8" s="1"/>
  <c r="W69" i="8" s="1"/>
  <c r="T68" i="3"/>
  <c r="P68" i="8"/>
  <c r="J68" i="8"/>
  <c r="O68" i="8"/>
  <c r="U68" i="8" s="1"/>
  <c r="W68" i="8" s="1"/>
  <c r="T67" i="3"/>
  <c r="P67" i="8" s="1"/>
  <c r="J67" i="8"/>
  <c r="O67" i="8"/>
  <c r="U67" i="8" s="1"/>
  <c r="W67" i="8" s="1"/>
  <c r="T66" i="3"/>
  <c r="P66" i="8"/>
  <c r="J66" i="8"/>
  <c r="O66" i="8"/>
  <c r="U66" i="8" s="1"/>
  <c r="W66" i="8" s="1"/>
  <c r="T65" i="3"/>
  <c r="P65" i="8" s="1"/>
  <c r="J65" i="8"/>
  <c r="O65" i="8"/>
  <c r="U65" i="8" s="1"/>
  <c r="W65" i="8" s="1"/>
  <c r="T64" i="3"/>
  <c r="P64" i="8" s="1"/>
  <c r="J64" i="8"/>
  <c r="O64" i="8"/>
  <c r="U64" i="8"/>
  <c r="T63" i="3"/>
  <c r="P63" i="8" s="1"/>
  <c r="J63" i="8"/>
  <c r="O63" i="8"/>
  <c r="U63" i="8" s="1"/>
  <c r="W63" i="8" s="1"/>
  <c r="T62" i="3"/>
  <c r="P62" i="8" s="1"/>
  <c r="J62" i="8"/>
  <c r="O62" i="8"/>
  <c r="U62" i="8" s="1"/>
  <c r="T61" i="3"/>
  <c r="P61" i="8" s="1"/>
  <c r="J61" i="8"/>
  <c r="O61" i="8"/>
  <c r="U61" i="8"/>
  <c r="W61" i="8" s="1"/>
  <c r="T60" i="3"/>
  <c r="P60" i="8" s="1"/>
  <c r="J60" i="8"/>
  <c r="O60" i="8"/>
  <c r="U60" i="8"/>
  <c r="W60" i="8" s="1"/>
  <c r="P59" i="8"/>
  <c r="J59" i="8"/>
  <c r="O59" i="8"/>
  <c r="U59" i="8" s="1"/>
  <c r="W59" i="8" s="1"/>
  <c r="M59" i="8"/>
  <c r="T58" i="3"/>
  <c r="P58" i="8" s="1"/>
  <c r="J58" i="8"/>
  <c r="O58" i="8"/>
  <c r="U58" i="8" s="1"/>
  <c r="W58" i="8" s="1"/>
  <c r="T57" i="3"/>
  <c r="P57" i="8" s="1"/>
  <c r="J57" i="8"/>
  <c r="O57" i="8"/>
  <c r="U57" i="8" s="1"/>
  <c r="W57" i="8" s="1"/>
  <c r="T56" i="3"/>
  <c r="P56" i="8" s="1"/>
  <c r="J56" i="8"/>
  <c r="O56" i="8"/>
  <c r="U56" i="8" s="1"/>
  <c r="W56" i="8" s="1"/>
  <c r="T55" i="3"/>
  <c r="P55" i="8"/>
  <c r="J55" i="8"/>
  <c r="O55" i="8"/>
  <c r="U55" i="8" s="1"/>
  <c r="W55" i="8" s="1"/>
  <c r="T54" i="3"/>
  <c r="P54" i="8" s="1"/>
  <c r="J54" i="8"/>
  <c r="O54" i="8"/>
  <c r="U54" i="8" s="1"/>
  <c r="T53" i="3"/>
  <c r="P53" i="8" s="1"/>
  <c r="J53" i="8"/>
  <c r="O53" i="8"/>
  <c r="U53" i="8" s="1"/>
  <c r="W53" i="8" s="1"/>
  <c r="T51" i="3"/>
  <c r="P51" i="8" s="1"/>
  <c r="J51" i="8"/>
  <c r="O51" i="8"/>
  <c r="U51" i="8" s="1"/>
  <c r="P36" i="8"/>
  <c r="AI36" i="8"/>
  <c r="J36" i="8"/>
  <c r="AJ36" i="8"/>
  <c r="O36" i="8"/>
  <c r="U36" i="8" s="1"/>
  <c r="M36" i="8"/>
  <c r="T35" i="3"/>
  <c r="P35" i="8" s="1"/>
  <c r="AI35" i="8"/>
  <c r="J35" i="8"/>
  <c r="AJ35" i="8"/>
  <c r="O35" i="8"/>
  <c r="U35" i="8" s="1"/>
  <c r="M35" i="8"/>
  <c r="P28" i="8"/>
  <c r="J28" i="8"/>
  <c r="O28" i="8"/>
  <c r="U28" i="8" s="1"/>
  <c r="W28" i="8" s="1"/>
  <c r="Y28" i="8" s="1"/>
  <c r="M28" i="8"/>
  <c r="P23" i="8"/>
  <c r="AI23" i="8"/>
  <c r="J23" i="8"/>
  <c r="AJ23" i="8"/>
  <c r="O23" i="8"/>
  <c r="U23" i="8" s="1"/>
  <c r="W23" i="8" s="1"/>
  <c r="Y23" i="8" s="1"/>
  <c r="M23" i="8"/>
  <c r="P21" i="8"/>
  <c r="AI21" i="8"/>
  <c r="J21" i="8"/>
  <c r="AJ21" i="8"/>
  <c r="O21" i="8"/>
  <c r="U21" i="8"/>
  <c r="W21" i="8" s="1"/>
  <c r="M21" i="8"/>
  <c r="T20" i="3"/>
  <c r="P20" i="8" s="1"/>
  <c r="J20" i="8"/>
  <c r="O20" i="8"/>
  <c r="U20" i="8" s="1"/>
  <c r="M20" i="8"/>
  <c r="T15" i="3"/>
  <c r="P15" i="8" s="1"/>
  <c r="AI15" i="8"/>
  <c r="J15" i="8"/>
  <c r="AJ15" i="8"/>
  <c r="O15" i="8"/>
  <c r="U15" i="8" s="1"/>
  <c r="M15" i="8"/>
  <c r="P14" i="8"/>
  <c r="J14" i="8"/>
  <c r="O14" i="8"/>
  <c r="U14" i="8"/>
  <c r="M14" i="8"/>
  <c r="T13" i="3"/>
  <c r="P13" i="8" s="1"/>
  <c r="AI13" i="8"/>
  <c r="J13" i="8"/>
  <c r="AJ13" i="8"/>
  <c r="O13" i="8"/>
  <c r="U13" i="8" s="1"/>
  <c r="W13" i="8" s="1"/>
  <c r="Y13" i="8" s="1"/>
  <c r="M13" i="8"/>
  <c r="Q310" i="5"/>
  <c r="K310" i="4" s="1"/>
  <c r="Q309" i="5"/>
  <c r="K309" i="4" s="1"/>
  <c r="Q308" i="5"/>
  <c r="K308" i="4" s="1"/>
  <c r="Q307" i="5"/>
  <c r="K307" i="4" s="1"/>
  <c r="Q306" i="5"/>
  <c r="K306" i="4" s="1"/>
  <c r="Q305" i="5"/>
  <c r="K305" i="4" s="1"/>
  <c r="Q304" i="5"/>
  <c r="K304" i="4" s="1"/>
  <c r="Q303" i="5"/>
  <c r="K303" i="4" s="1"/>
  <c r="Q302" i="5"/>
  <c r="K302" i="4" s="1"/>
  <c r="Q301" i="5"/>
  <c r="K301" i="4" s="1"/>
  <c r="Q300" i="5"/>
  <c r="K300" i="4" s="1"/>
  <c r="Q299" i="5"/>
  <c r="K299" i="4" s="1"/>
  <c r="Q298" i="5"/>
  <c r="K298" i="4" s="1"/>
  <c r="Q297" i="5"/>
  <c r="K297" i="4" s="1"/>
  <c r="Q296" i="5"/>
  <c r="K296" i="4" s="1"/>
  <c r="Q295" i="5"/>
  <c r="K295" i="4" s="1"/>
  <c r="Q294" i="5"/>
  <c r="K294" i="4" s="1"/>
  <c r="Q293" i="5"/>
  <c r="K293" i="4" s="1"/>
  <c r="Q292" i="5"/>
  <c r="K292" i="4" s="1"/>
  <c r="Q291" i="5"/>
  <c r="K291" i="4" s="1"/>
  <c r="Q290" i="5"/>
  <c r="K290" i="4" s="1"/>
  <c r="Q289" i="5"/>
  <c r="K289" i="4" s="1"/>
  <c r="Q288" i="5"/>
  <c r="K288" i="4" s="1"/>
  <c r="Q287" i="5"/>
  <c r="K287" i="4" s="1"/>
  <c r="Q286" i="5"/>
  <c r="K286" i="4" s="1"/>
  <c r="Q285" i="5"/>
  <c r="K285" i="4" s="1"/>
  <c r="Q284" i="5"/>
  <c r="K284" i="4" s="1"/>
  <c r="Q283" i="5"/>
  <c r="K283" i="4" s="1"/>
  <c r="Q282" i="5"/>
  <c r="K282" i="4" s="1"/>
  <c r="Q281" i="5"/>
  <c r="K281" i="4" s="1"/>
  <c r="Q280" i="5"/>
  <c r="K280" i="4" s="1"/>
  <c r="Q279" i="5"/>
  <c r="K279" i="4" s="1"/>
  <c r="Q278" i="5"/>
  <c r="K278" i="4" s="1"/>
  <c r="Q277" i="5"/>
  <c r="K277" i="4" s="1"/>
  <c r="Q275" i="5"/>
  <c r="K275" i="4" s="1"/>
  <c r="Q274" i="5"/>
  <c r="K274" i="4" s="1"/>
  <c r="Q273" i="5"/>
  <c r="K273" i="4" s="1"/>
  <c r="Q272" i="5"/>
  <c r="K272" i="4" s="1"/>
  <c r="Q271" i="5"/>
  <c r="K271" i="4" s="1"/>
  <c r="Q270" i="5"/>
  <c r="K270" i="4" s="1"/>
  <c r="Q269" i="5"/>
  <c r="K269" i="4" s="1"/>
  <c r="Q268" i="5"/>
  <c r="K268" i="4" s="1"/>
  <c r="Q267" i="5"/>
  <c r="K267" i="4" s="1"/>
  <c r="Q266" i="5"/>
  <c r="K266" i="4" s="1"/>
  <c r="Q265" i="5"/>
  <c r="K265" i="4" s="1"/>
  <c r="Q264" i="5"/>
  <c r="K264" i="4" s="1"/>
  <c r="Q263" i="5"/>
  <c r="K263" i="4" s="1"/>
  <c r="Q262" i="5"/>
  <c r="K262" i="4" s="1"/>
  <c r="Q261" i="5"/>
  <c r="K261" i="4" s="1"/>
  <c r="Q260" i="5"/>
  <c r="K260" i="4" s="1"/>
  <c r="Q259" i="5"/>
  <c r="K259" i="4" s="1"/>
  <c r="Q258" i="5"/>
  <c r="K258" i="4" s="1"/>
  <c r="Q257" i="5"/>
  <c r="K257" i="4" s="1"/>
  <c r="Q256" i="5"/>
  <c r="K256" i="4" s="1"/>
  <c r="Q255" i="5"/>
  <c r="K255" i="4" s="1"/>
  <c r="Q254" i="5"/>
  <c r="K254" i="4" s="1"/>
  <c r="Q253" i="5"/>
  <c r="K253" i="4" s="1"/>
  <c r="Q252" i="5"/>
  <c r="K252" i="4" s="1"/>
  <c r="Q251" i="5"/>
  <c r="K251" i="4" s="1"/>
  <c r="Q250" i="5"/>
  <c r="K250" i="4" s="1"/>
  <c r="Q249" i="5"/>
  <c r="Q248" i="5"/>
  <c r="K248" i="4" s="1"/>
  <c r="Q247" i="5"/>
  <c r="K247" i="4" s="1"/>
  <c r="Q246" i="5"/>
  <c r="K246" i="4" s="1"/>
  <c r="Q244" i="5"/>
  <c r="K244" i="4" s="1"/>
  <c r="Q243" i="5"/>
  <c r="K243" i="4" s="1"/>
  <c r="Q242" i="5"/>
  <c r="K242" i="4" s="1"/>
  <c r="Q241" i="5"/>
  <c r="K241" i="4" s="1"/>
  <c r="Q240" i="5"/>
  <c r="K240" i="4" s="1"/>
  <c r="Q239" i="5"/>
  <c r="K239" i="4" s="1"/>
  <c r="Q238" i="5"/>
  <c r="K238" i="4" s="1"/>
  <c r="Q237" i="5"/>
  <c r="K237" i="4" s="1"/>
  <c r="Q236" i="5"/>
  <c r="K236" i="4" s="1"/>
  <c r="Q235" i="5"/>
  <c r="K235" i="4" s="1"/>
  <c r="Q234" i="5"/>
  <c r="K234" i="4" s="1"/>
  <c r="Q233" i="5"/>
  <c r="K233" i="4" s="1"/>
  <c r="Q232" i="5"/>
  <c r="K232" i="4" s="1"/>
  <c r="Q231" i="5"/>
  <c r="K231" i="4" s="1"/>
  <c r="Q230" i="5"/>
  <c r="K230" i="4" s="1"/>
  <c r="Q229" i="5"/>
  <c r="K229" i="4" s="1"/>
  <c r="Q228" i="5"/>
  <c r="K228" i="4" s="1"/>
  <c r="Q227" i="5"/>
  <c r="K227" i="4" s="1"/>
  <c r="Q226" i="5"/>
  <c r="K226" i="4" s="1"/>
  <c r="Q225" i="5"/>
  <c r="K225" i="4" s="1"/>
  <c r="Q224" i="5"/>
  <c r="Q223" i="5"/>
  <c r="K223" i="4" s="1"/>
  <c r="Q222" i="5"/>
  <c r="K222" i="4" s="1"/>
  <c r="Q221" i="5"/>
  <c r="K221" i="4" s="1"/>
  <c r="Q220" i="5"/>
  <c r="K220" i="4" s="1"/>
  <c r="Q219" i="5"/>
  <c r="K219" i="4" s="1"/>
  <c r="Q218" i="5"/>
  <c r="K218" i="4" s="1"/>
  <c r="Q217" i="5"/>
  <c r="K217" i="4" s="1"/>
  <c r="Q216" i="5"/>
  <c r="K216" i="4" s="1"/>
  <c r="Q215" i="5"/>
  <c r="K215" i="4" s="1"/>
  <c r="Q214" i="5"/>
  <c r="K214" i="4" s="1"/>
  <c r="Q213" i="5"/>
  <c r="K213" i="4" s="1"/>
  <c r="Q212" i="5"/>
  <c r="K212" i="4" s="1"/>
  <c r="Q211" i="5"/>
  <c r="K211" i="4" s="1"/>
  <c r="Q210" i="5"/>
  <c r="K210" i="4" s="1"/>
  <c r="Q209" i="5"/>
  <c r="K209" i="4" s="1"/>
  <c r="Q208" i="5"/>
  <c r="K208" i="4" s="1"/>
  <c r="Q207" i="5"/>
  <c r="K207" i="4" s="1"/>
  <c r="Q206" i="5"/>
  <c r="K206" i="4" s="1"/>
  <c r="Q205" i="5"/>
  <c r="K205" i="4" s="1"/>
  <c r="Q203" i="5"/>
  <c r="K203" i="4" s="1"/>
  <c r="Q202" i="5"/>
  <c r="K202" i="4" s="1"/>
  <c r="Q201" i="5"/>
  <c r="K201" i="4" s="1"/>
  <c r="Q200" i="5"/>
  <c r="K200" i="4" s="1"/>
  <c r="Q199" i="5"/>
  <c r="K199" i="4" s="1"/>
  <c r="Q198" i="5"/>
  <c r="K198" i="4" s="1"/>
  <c r="Q197" i="5"/>
  <c r="K197" i="4" s="1"/>
  <c r="Q196" i="5"/>
  <c r="K196" i="4" s="1"/>
  <c r="Q195" i="5"/>
  <c r="K195" i="4" s="1"/>
  <c r="Q193" i="5"/>
  <c r="K193" i="4" s="1"/>
  <c r="Q192" i="5"/>
  <c r="K192" i="4" s="1"/>
  <c r="Q191" i="5"/>
  <c r="K191" i="4" s="1"/>
  <c r="Q190" i="5"/>
  <c r="K190" i="4" s="1"/>
  <c r="Q189" i="5"/>
  <c r="K189" i="4" s="1"/>
  <c r="Q188" i="5"/>
  <c r="K188" i="4" s="1"/>
  <c r="Q187" i="5"/>
  <c r="K187" i="4" s="1"/>
  <c r="Q186" i="5"/>
  <c r="K186" i="4" s="1"/>
  <c r="Q185" i="5"/>
  <c r="K185" i="4" s="1"/>
  <c r="Q184" i="5"/>
  <c r="K184" i="4" s="1"/>
  <c r="Q183" i="5"/>
  <c r="K183" i="4" s="1"/>
  <c r="Q182" i="5"/>
  <c r="K182" i="4" s="1"/>
  <c r="Q181" i="5"/>
  <c r="K181" i="4" s="1"/>
  <c r="Q180" i="5"/>
  <c r="K180" i="4" s="1"/>
  <c r="Q179" i="5"/>
  <c r="K179" i="4" s="1"/>
  <c r="Q178" i="5"/>
  <c r="K178" i="4" s="1"/>
  <c r="Q177" i="5"/>
  <c r="K177" i="4" s="1"/>
  <c r="Q176" i="5"/>
  <c r="K176" i="4" s="1"/>
  <c r="Q175" i="5"/>
  <c r="K175" i="4" s="1"/>
  <c r="Q174" i="5"/>
  <c r="K174" i="4" s="1"/>
  <c r="Q173" i="5"/>
  <c r="K173" i="4" s="1"/>
  <c r="Q172" i="5"/>
  <c r="K172" i="4" s="1"/>
  <c r="Q171" i="5"/>
  <c r="K171" i="4" s="1"/>
  <c r="Q170" i="5"/>
  <c r="K170" i="4" s="1"/>
  <c r="Q169" i="5"/>
  <c r="K169" i="4" s="1"/>
  <c r="Q168" i="5"/>
  <c r="K168" i="4" s="1"/>
  <c r="Q167" i="5"/>
  <c r="K167" i="4" s="1"/>
  <c r="Q166" i="5"/>
  <c r="K166" i="4" s="1"/>
  <c r="Q165" i="5"/>
  <c r="K165" i="4" s="1"/>
  <c r="Q164" i="5"/>
  <c r="K164" i="4" s="1"/>
  <c r="Q163" i="5"/>
  <c r="K163" i="4" s="1"/>
  <c r="Q162" i="5"/>
  <c r="K162" i="4" s="1"/>
  <c r="Q161" i="5"/>
  <c r="K161" i="4" s="1"/>
  <c r="Q160" i="5"/>
  <c r="Q159" i="5"/>
  <c r="K159" i="4" s="1"/>
  <c r="Q158" i="5"/>
  <c r="K158" i="4" s="1"/>
  <c r="Q157" i="5"/>
  <c r="K157" i="4" s="1"/>
  <c r="Q156" i="5"/>
  <c r="K156" i="4" s="1"/>
  <c r="Q155" i="5"/>
  <c r="K155" i="4" s="1"/>
  <c r="Q154" i="5"/>
  <c r="K154" i="4" s="1"/>
  <c r="Q153" i="5"/>
  <c r="Q152" i="5"/>
  <c r="K152" i="4" s="1"/>
  <c r="Q151" i="5"/>
  <c r="K151" i="4" s="1"/>
  <c r="Q150" i="5"/>
  <c r="Q149" i="5"/>
  <c r="K149" i="4" s="1"/>
  <c r="Q148" i="5"/>
  <c r="K148" i="4" s="1"/>
  <c r="Q147" i="5"/>
  <c r="K147" i="4" s="1"/>
  <c r="Q146" i="5"/>
  <c r="K146" i="4" s="1"/>
  <c r="Q145" i="5"/>
  <c r="K145" i="4" s="1"/>
  <c r="Q144" i="5"/>
  <c r="K144" i="4" s="1"/>
  <c r="Q143" i="5"/>
  <c r="K143" i="4" s="1"/>
  <c r="Q142" i="5"/>
  <c r="K142" i="4" s="1"/>
  <c r="Q140" i="5"/>
  <c r="K140" i="4" s="1"/>
  <c r="Q139" i="5"/>
  <c r="K139" i="4" s="1"/>
  <c r="Q138" i="5"/>
  <c r="K138" i="4" s="1"/>
  <c r="Q137" i="5"/>
  <c r="K137" i="4" s="1"/>
  <c r="Q136" i="5"/>
  <c r="K136" i="4" s="1"/>
  <c r="Q135" i="5"/>
  <c r="K135" i="4" s="1"/>
  <c r="Q134" i="5"/>
  <c r="K134" i="4" s="1"/>
  <c r="Q133" i="5"/>
  <c r="K133" i="4" s="1"/>
  <c r="Q132" i="5"/>
  <c r="K132" i="4" s="1"/>
  <c r="Q131" i="5"/>
  <c r="K131" i="4" s="1"/>
  <c r="Q130" i="5"/>
  <c r="K130" i="4" s="1"/>
  <c r="Q129" i="5"/>
  <c r="K129" i="4" s="1"/>
  <c r="Q128" i="5"/>
  <c r="K128" i="4" s="1"/>
  <c r="Q127" i="5"/>
  <c r="K127" i="4" s="1"/>
  <c r="Q126" i="5"/>
  <c r="K126" i="4" s="1"/>
  <c r="Q125" i="5"/>
  <c r="Q124" i="5"/>
  <c r="K124" i="4" s="1"/>
  <c r="Q123" i="5"/>
  <c r="K123" i="4" s="1"/>
  <c r="Q122" i="5"/>
  <c r="K122" i="4" s="1"/>
  <c r="Q121" i="5"/>
  <c r="K121" i="4" s="1"/>
  <c r="Q120" i="5"/>
  <c r="K120" i="4" s="1"/>
  <c r="Q119" i="5"/>
  <c r="K119" i="4" s="1"/>
  <c r="Q118" i="5"/>
  <c r="K118" i="4" s="1"/>
  <c r="Q117" i="5"/>
  <c r="K117" i="4" s="1"/>
  <c r="Q116" i="5"/>
  <c r="K116" i="4" s="1"/>
  <c r="Q115" i="5"/>
  <c r="K115" i="4" s="1"/>
  <c r="Q114" i="5"/>
  <c r="K114" i="4" s="1"/>
  <c r="Q113" i="5"/>
  <c r="K113" i="4" s="1"/>
  <c r="Q112" i="5"/>
  <c r="K112" i="4" s="1"/>
  <c r="Q111" i="5"/>
  <c r="K111" i="4" s="1"/>
  <c r="Q110" i="5"/>
  <c r="K110" i="4" s="1"/>
  <c r="Q109" i="5"/>
  <c r="K109" i="4" s="1"/>
  <c r="Q108" i="5"/>
  <c r="K108" i="4" s="1"/>
  <c r="Q107" i="5"/>
  <c r="K107" i="4" s="1"/>
  <c r="Q106" i="5"/>
  <c r="K106" i="4" s="1"/>
  <c r="Q105" i="5"/>
  <c r="K105" i="4" s="1"/>
  <c r="Q104" i="5"/>
  <c r="K104" i="4" s="1"/>
  <c r="Q103" i="5"/>
  <c r="K103" i="4" s="1"/>
  <c r="P102" i="5"/>
  <c r="Q102" i="5"/>
  <c r="P101" i="5"/>
  <c r="Q101" i="5"/>
  <c r="K101" i="4" s="1"/>
  <c r="P100" i="5"/>
  <c r="Q100" i="5"/>
  <c r="Q99" i="5"/>
  <c r="K99" i="4" s="1"/>
  <c r="P98" i="5"/>
  <c r="Q98" i="5"/>
  <c r="K98" i="4" s="1"/>
  <c r="Q97" i="5"/>
  <c r="K97" i="4" s="1"/>
  <c r="P96" i="5"/>
  <c r="Q96" i="5"/>
  <c r="K96" i="4" s="1"/>
  <c r="Q95" i="5"/>
  <c r="K95" i="4" s="1"/>
  <c r="P94" i="5"/>
  <c r="Q94" i="5"/>
  <c r="K94" i="4" s="1"/>
  <c r="P93" i="5"/>
  <c r="Q93" i="5"/>
  <c r="K93" i="4" s="1"/>
  <c r="P92" i="5"/>
  <c r="Q92" i="5"/>
  <c r="K92" i="4" s="1"/>
  <c r="Q91" i="5"/>
  <c r="K91" i="4" s="1"/>
  <c r="P90" i="5"/>
  <c r="Q90" i="5"/>
  <c r="K90" i="4" s="1"/>
  <c r="P89" i="5"/>
  <c r="Q89" i="5"/>
  <c r="K89" i="4" s="1"/>
  <c r="P88" i="5"/>
  <c r="Q88" i="5"/>
  <c r="K88" i="4" s="1"/>
  <c r="Q87" i="5"/>
  <c r="K87" i="4" s="1"/>
  <c r="P86" i="5"/>
  <c r="Q86" i="5"/>
  <c r="K86" i="4" s="1"/>
  <c r="P85" i="5"/>
  <c r="Q85" i="5"/>
  <c r="K85" i="4" s="1"/>
  <c r="P84" i="5"/>
  <c r="Q84" i="5"/>
  <c r="Q82" i="5"/>
  <c r="K82" i="4" s="1"/>
  <c r="P81" i="5"/>
  <c r="Q81" i="5"/>
  <c r="K81" i="4" s="1"/>
  <c r="Q80" i="5"/>
  <c r="K80" i="4" s="1"/>
  <c r="P79" i="5"/>
  <c r="Q79" i="5"/>
  <c r="K79" i="4" s="1"/>
  <c r="Q78" i="5"/>
  <c r="K78" i="4" s="1"/>
  <c r="P77" i="5"/>
  <c r="Q77" i="5"/>
  <c r="K77" i="4" s="1"/>
  <c r="P76" i="5"/>
  <c r="Q76" i="5"/>
  <c r="K76" i="4" s="1"/>
  <c r="P75" i="5"/>
  <c r="Q75" i="5"/>
  <c r="K75" i="4" s="1"/>
  <c r="Q74" i="5"/>
  <c r="K74" i="4" s="1"/>
  <c r="P73" i="5"/>
  <c r="Q73" i="5"/>
  <c r="K73" i="4" s="1"/>
  <c r="I72" i="5"/>
  <c r="D72" i="5"/>
  <c r="J72" i="5"/>
  <c r="K72" i="5"/>
  <c r="N72" i="5"/>
  <c r="O72" i="5"/>
  <c r="V72" i="4" s="1"/>
  <c r="Q72" i="5"/>
  <c r="K72" i="4" s="1"/>
  <c r="I71" i="5"/>
  <c r="D71" i="5"/>
  <c r="J71" i="5"/>
  <c r="K71" i="5"/>
  <c r="N71" i="5"/>
  <c r="O71" i="5"/>
  <c r="V71" i="4" s="1"/>
  <c r="Q71" i="5"/>
  <c r="K71" i="4" s="1"/>
  <c r="I70" i="5"/>
  <c r="D70" i="5"/>
  <c r="J70" i="5"/>
  <c r="K70" i="5"/>
  <c r="N70" i="5"/>
  <c r="O70" i="5"/>
  <c r="V70" i="4" s="1"/>
  <c r="Q70" i="5"/>
  <c r="K70" i="4" s="1"/>
  <c r="I69" i="5"/>
  <c r="D69" i="5"/>
  <c r="J69" i="5"/>
  <c r="K69" i="5"/>
  <c r="N69" i="5"/>
  <c r="O69" i="5"/>
  <c r="V69" i="4" s="1"/>
  <c r="Q69" i="5"/>
  <c r="K69" i="4" s="1"/>
  <c r="I68" i="5"/>
  <c r="D68" i="5"/>
  <c r="J68" i="5"/>
  <c r="K68" i="5"/>
  <c r="N68" i="5"/>
  <c r="O68" i="5"/>
  <c r="V68" i="4" s="1"/>
  <c r="Q68" i="5"/>
  <c r="K68" i="4" s="1"/>
  <c r="P67" i="5"/>
  <c r="Q67" i="5"/>
  <c r="K67" i="4" s="1"/>
  <c r="Q66" i="5"/>
  <c r="K66" i="4" s="1"/>
  <c r="Q65" i="5"/>
  <c r="K65" i="4" s="1"/>
  <c r="Q64" i="5"/>
  <c r="K64" i="4" s="1"/>
  <c r="I63" i="5"/>
  <c r="D63" i="5"/>
  <c r="J63" i="5"/>
  <c r="K63" i="5"/>
  <c r="N63" i="5"/>
  <c r="O63" i="5"/>
  <c r="V63" i="4" s="1"/>
  <c r="Q63" i="5"/>
  <c r="K63" i="4" s="1"/>
  <c r="Q62" i="5"/>
  <c r="K62" i="4" s="1"/>
  <c r="Q61" i="5"/>
  <c r="K61" i="4" s="1"/>
  <c r="P60" i="5"/>
  <c r="Q60" i="5"/>
  <c r="K60" i="4" s="1"/>
  <c r="P59" i="5"/>
  <c r="Q59" i="5"/>
  <c r="K59" i="4" s="1"/>
  <c r="Q58" i="5"/>
  <c r="K58" i="4" s="1"/>
  <c r="Q57" i="5"/>
  <c r="P56" i="5"/>
  <c r="Q56" i="5"/>
  <c r="K56" i="4" s="1"/>
  <c r="Q55" i="5"/>
  <c r="K55" i="4" s="1"/>
  <c r="Q54" i="5"/>
  <c r="K54" i="4" s="1"/>
  <c r="Q53" i="5"/>
  <c r="K53" i="4" s="1"/>
  <c r="P52" i="5"/>
  <c r="Q52" i="5"/>
  <c r="P51" i="5"/>
  <c r="Q51" i="5"/>
  <c r="K51" i="4" s="1"/>
  <c r="Q50" i="5"/>
  <c r="K50" i="4" s="1"/>
  <c r="Q48" i="5"/>
  <c r="K48" i="4" s="1"/>
  <c r="Q47" i="5"/>
  <c r="K47" i="4" s="1"/>
  <c r="Q46" i="5"/>
  <c r="K46" i="4" s="1"/>
  <c r="Q45" i="5"/>
  <c r="K45" i="4" s="1"/>
  <c r="Q42" i="5"/>
  <c r="K42" i="4" s="1"/>
  <c r="Q41" i="5"/>
  <c r="K41" i="4" s="1"/>
  <c r="Q40" i="5"/>
  <c r="K40" i="4" s="1"/>
  <c r="Q39" i="5"/>
  <c r="K39" i="4" s="1"/>
  <c r="Q13" i="5"/>
  <c r="Q14" i="5"/>
  <c r="K14" i="4" s="1"/>
  <c r="Q15" i="5"/>
  <c r="K15" i="4" s="1"/>
  <c r="Q16" i="5"/>
  <c r="Q17" i="5"/>
  <c r="K17" i="4" s="1"/>
  <c r="Q18" i="5"/>
  <c r="K18" i="4" s="1"/>
  <c r="Q19" i="5"/>
  <c r="K19" i="4" s="1"/>
  <c r="I20" i="5"/>
  <c r="D20" i="5"/>
  <c r="J20" i="5"/>
  <c r="K20" i="5"/>
  <c r="N20" i="5"/>
  <c r="O20" i="5"/>
  <c r="Q20" i="5"/>
  <c r="Q21" i="5"/>
  <c r="K21" i="4" s="1"/>
  <c r="Q22" i="5"/>
  <c r="K22" i="4" s="1"/>
  <c r="P23" i="5"/>
  <c r="Q23" i="5"/>
  <c r="K23" i="4" s="1"/>
  <c r="Q24" i="5"/>
  <c r="K24" i="4" s="1"/>
  <c r="Q25" i="5"/>
  <c r="K25" i="4" s="1"/>
  <c r="Q26" i="5"/>
  <c r="Q27" i="5"/>
  <c r="K27" i="4" s="1"/>
  <c r="P28" i="5"/>
  <c r="Q28" i="5"/>
  <c r="K28" i="4" s="1"/>
  <c r="Q29" i="5"/>
  <c r="K29" i="4" s="1"/>
  <c r="Q30" i="5"/>
  <c r="K30" i="4" s="1"/>
  <c r="Q31" i="5"/>
  <c r="K31" i="4" s="1"/>
  <c r="Q32" i="5"/>
  <c r="K32" i="4" s="1"/>
  <c r="Q33" i="5"/>
  <c r="K33" i="4" s="1"/>
  <c r="Q34" i="5"/>
  <c r="I35" i="5"/>
  <c r="D35" i="5"/>
  <c r="J35" i="5"/>
  <c r="K35" i="5"/>
  <c r="N35" i="5"/>
  <c r="O35" i="5"/>
  <c r="Q35" i="5"/>
  <c r="K35" i="4" s="1"/>
  <c r="Q36" i="5"/>
  <c r="Q37" i="5"/>
  <c r="K37" i="4" s="1"/>
  <c r="Q12" i="5"/>
  <c r="K12" i="4" s="1"/>
  <c r="Q11" i="5"/>
  <c r="K11" i="4" s="1"/>
  <c r="C310" i="9"/>
  <c r="L310" i="9"/>
  <c r="T310" i="4" s="1"/>
  <c r="C309" i="9"/>
  <c r="L309" i="9"/>
  <c r="T309" i="4" s="1"/>
  <c r="C308" i="9"/>
  <c r="L308" i="9"/>
  <c r="T308" i="4" s="1"/>
  <c r="C307" i="9"/>
  <c r="L307" i="9"/>
  <c r="T307" i="4" s="1"/>
  <c r="C306" i="9"/>
  <c r="L306" i="9"/>
  <c r="T306" i="4" s="1"/>
  <c r="C305" i="9"/>
  <c r="L305" i="9"/>
  <c r="T305" i="4" s="1"/>
  <c r="C304" i="9"/>
  <c r="L304" i="9"/>
  <c r="T304" i="4" s="1"/>
  <c r="C303" i="9"/>
  <c r="L303" i="9"/>
  <c r="T303" i="4" s="1"/>
  <c r="C302" i="9"/>
  <c r="L302" i="9"/>
  <c r="T302" i="4" s="1"/>
  <c r="C301" i="9"/>
  <c r="L301" i="9"/>
  <c r="T301" i="4" s="1"/>
  <c r="C300" i="9"/>
  <c r="L300" i="9"/>
  <c r="T300" i="4" s="1"/>
  <c r="C299" i="9"/>
  <c r="L299" i="9"/>
  <c r="T299" i="4" s="1"/>
  <c r="C298" i="9"/>
  <c r="L298" i="9"/>
  <c r="T298" i="4" s="1"/>
  <c r="C297" i="9"/>
  <c r="L297" i="9"/>
  <c r="T297" i="4" s="1"/>
  <c r="C296" i="9"/>
  <c r="L296" i="9"/>
  <c r="T296" i="4" s="1"/>
  <c r="C295" i="9"/>
  <c r="L295" i="9"/>
  <c r="T295" i="4" s="1"/>
  <c r="C294" i="9"/>
  <c r="L294" i="9"/>
  <c r="T294" i="4" s="1"/>
  <c r="C293" i="9"/>
  <c r="L293" i="9"/>
  <c r="T293" i="4" s="1"/>
  <c r="C292" i="9"/>
  <c r="L292" i="9"/>
  <c r="T292" i="4" s="1"/>
  <c r="C291" i="9"/>
  <c r="L291" i="9"/>
  <c r="T291" i="4" s="1"/>
  <c r="C290" i="9"/>
  <c r="L290" i="9"/>
  <c r="T290" i="4" s="1"/>
  <c r="C289" i="9"/>
  <c r="L289" i="9"/>
  <c r="T289" i="4" s="1"/>
  <c r="C288" i="9"/>
  <c r="L288" i="9"/>
  <c r="T288" i="4" s="1"/>
  <c r="C287" i="9"/>
  <c r="L287" i="9"/>
  <c r="T287" i="4" s="1"/>
  <c r="C286" i="9"/>
  <c r="L286" i="9"/>
  <c r="T286" i="4" s="1"/>
  <c r="C285" i="9"/>
  <c r="L285" i="9"/>
  <c r="T285" i="4" s="1"/>
  <c r="C284" i="9"/>
  <c r="L284" i="9"/>
  <c r="T284" i="4" s="1"/>
  <c r="C283" i="9"/>
  <c r="L283" i="9"/>
  <c r="T283" i="4" s="1"/>
  <c r="C282" i="9"/>
  <c r="L282" i="9"/>
  <c r="T282" i="4" s="1"/>
  <c r="C281" i="9"/>
  <c r="L281" i="9"/>
  <c r="T281" i="4" s="1"/>
  <c r="C280" i="9"/>
  <c r="L280" i="9"/>
  <c r="T280" i="4" s="1"/>
  <c r="C279" i="9"/>
  <c r="L279" i="9"/>
  <c r="T279" i="4" s="1"/>
  <c r="C278" i="9"/>
  <c r="L278" i="9"/>
  <c r="T278" i="4" s="1"/>
  <c r="C277" i="9"/>
  <c r="L277" i="9"/>
  <c r="T277" i="4" s="1"/>
  <c r="C275" i="9"/>
  <c r="L275" i="9"/>
  <c r="T275" i="4" s="1"/>
  <c r="C274" i="9"/>
  <c r="L274" i="9"/>
  <c r="T274" i="4" s="1"/>
  <c r="C273" i="9"/>
  <c r="L273" i="9"/>
  <c r="T273" i="4" s="1"/>
  <c r="C272" i="9"/>
  <c r="L272" i="9"/>
  <c r="T272" i="4" s="1"/>
  <c r="C271" i="9"/>
  <c r="L271" i="9"/>
  <c r="T271" i="4" s="1"/>
  <c r="C270" i="9"/>
  <c r="L270" i="9"/>
  <c r="T270" i="4" s="1"/>
  <c r="C269" i="9"/>
  <c r="L269" i="9"/>
  <c r="T269" i="4" s="1"/>
  <c r="C268" i="9"/>
  <c r="L268" i="9"/>
  <c r="T268" i="4" s="1"/>
  <c r="C267" i="9"/>
  <c r="L267" i="9"/>
  <c r="T267" i="4" s="1"/>
  <c r="C266" i="9"/>
  <c r="L266" i="9"/>
  <c r="T266" i="4" s="1"/>
  <c r="C265" i="9"/>
  <c r="L265" i="9"/>
  <c r="T265" i="4" s="1"/>
  <c r="C264" i="9"/>
  <c r="L264" i="9"/>
  <c r="T264" i="4" s="1"/>
  <c r="C263" i="9"/>
  <c r="L263" i="9"/>
  <c r="T263" i="4" s="1"/>
  <c r="C262" i="9"/>
  <c r="L262" i="9"/>
  <c r="T262" i="4" s="1"/>
  <c r="C261" i="9"/>
  <c r="L261" i="9"/>
  <c r="T261" i="4" s="1"/>
  <c r="C260" i="9"/>
  <c r="L260" i="9"/>
  <c r="T260" i="4" s="1"/>
  <c r="C259" i="9"/>
  <c r="L259" i="9"/>
  <c r="T259" i="4" s="1"/>
  <c r="C258" i="9"/>
  <c r="L258" i="9"/>
  <c r="T258" i="4" s="1"/>
  <c r="C257" i="9"/>
  <c r="L257" i="9"/>
  <c r="T257" i="4" s="1"/>
  <c r="C256" i="9"/>
  <c r="L256" i="9"/>
  <c r="T256" i="4" s="1"/>
  <c r="C255" i="9"/>
  <c r="L255" i="9"/>
  <c r="T255" i="4" s="1"/>
  <c r="C254" i="9"/>
  <c r="L254" i="9"/>
  <c r="T254" i="4" s="1"/>
  <c r="C253" i="9"/>
  <c r="L253" i="9"/>
  <c r="T253" i="4" s="1"/>
  <c r="C252" i="9"/>
  <c r="L252" i="9"/>
  <c r="T252" i="4" s="1"/>
  <c r="C251" i="9"/>
  <c r="L251" i="9"/>
  <c r="T251" i="4" s="1"/>
  <c r="C250" i="9"/>
  <c r="L250" i="9"/>
  <c r="T250" i="4"/>
  <c r="C249" i="9"/>
  <c r="L249" i="9"/>
  <c r="T249" i="4" s="1"/>
  <c r="C248" i="9"/>
  <c r="L248" i="9"/>
  <c r="T248" i="4" s="1"/>
  <c r="C247" i="9"/>
  <c r="L247" i="9"/>
  <c r="T247" i="4" s="1"/>
  <c r="C246" i="9"/>
  <c r="L246" i="9"/>
  <c r="T246" i="4" s="1"/>
  <c r="C244" i="9"/>
  <c r="L244" i="9"/>
  <c r="T244" i="4" s="1"/>
  <c r="C243" i="9"/>
  <c r="L243" i="9"/>
  <c r="T243" i="4" s="1"/>
  <c r="C242" i="9"/>
  <c r="L242" i="9"/>
  <c r="T242" i="4" s="1"/>
  <c r="C241" i="9"/>
  <c r="L241" i="9"/>
  <c r="T241" i="4" s="1"/>
  <c r="C240" i="9"/>
  <c r="L240" i="9"/>
  <c r="T240" i="4" s="1"/>
  <c r="C239" i="9"/>
  <c r="L239" i="9"/>
  <c r="T239" i="4" s="1"/>
  <c r="C238" i="9"/>
  <c r="L238" i="9"/>
  <c r="T238" i="4" s="1"/>
  <c r="C237" i="9"/>
  <c r="L237" i="9"/>
  <c r="T237" i="4" s="1"/>
  <c r="C236" i="9"/>
  <c r="F236" i="9"/>
  <c r="L236" i="9"/>
  <c r="T236" i="4" s="1"/>
  <c r="C235" i="9"/>
  <c r="L235" i="9"/>
  <c r="T235" i="4" s="1"/>
  <c r="C234" i="9"/>
  <c r="L234" i="9"/>
  <c r="T234" i="4" s="1"/>
  <c r="C233" i="9"/>
  <c r="F233" i="9"/>
  <c r="L233" i="9"/>
  <c r="T233" i="4" s="1"/>
  <c r="C232" i="9"/>
  <c r="L232" i="9"/>
  <c r="T232" i="4" s="1"/>
  <c r="C231" i="9"/>
  <c r="F231" i="9"/>
  <c r="L231" i="9"/>
  <c r="T231" i="4" s="1"/>
  <c r="C230" i="9"/>
  <c r="F230" i="9"/>
  <c r="L230" i="9"/>
  <c r="T230" i="4" s="1"/>
  <c r="C229" i="9"/>
  <c r="L229" i="9"/>
  <c r="T229" i="4" s="1"/>
  <c r="C228" i="9"/>
  <c r="L228" i="9"/>
  <c r="T228" i="4" s="1"/>
  <c r="C227" i="9"/>
  <c r="L227" i="9"/>
  <c r="T227" i="4" s="1"/>
  <c r="C226" i="9"/>
  <c r="L226" i="9"/>
  <c r="T226" i="4" s="1"/>
  <c r="C225" i="9"/>
  <c r="F225" i="9"/>
  <c r="L225" i="9"/>
  <c r="T225" i="4" s="1"/>
  <c r="C224" i="9"/>
  <c r="L224" i="9"/>
  <c r="T224" i="4" s="1"/>
  <c r="C223" i="9"/>
  <c r="L223" i="9"/>
  <c r="T223" i="4" s="1"/>
  <c r="C222" i="9"/>
  <c r="L222" i="9"/>
  <c r="T222" i="4" s="1"/>
  <c r="C221" i="9"/>
  <c r="F221" i="9"/>
  <c r="L221" i="9"/>
  <c r="T221" i="4" s="1"/>
  <c r="C220" i="9"/>
  <c r="L220" i="9"/>
  <c r="T220" i="4" s="1"/>
  <c r="C219" i="9"/>
  <c r="F219" i="9"/>
  <c r="L219" i="9"/>
  <c r="T219" i="4" s="1"/>
  <c r="C218" i="9"/>
  <c r="F218" i="9"/>
  <c r="L218" i="9"/>
  <c r="T218" i="4" s="1"/>
  <c r="C217" i="9"/>
  <c r="L217" i="9"/>
  <c r="T217" i="4" s="1"/>
  <c r="C216" i="9"/>
  <c r="F216" i="9"/>
  <c r="L216" i="9"/>
  <c r="T216" i="4" s="1"/>
  <c r="C215" i="9"/>
  <c r="L215" i="9"/>
  <c r="T215" i="4" s="1"/>
  <c r="C214" i="9"/>
  <c r="L214" i="9"/>
  <c r="T214" i="4" s="1"/>
  <c r="C213" i="9"/>
  <c r="L213" i="9"/>
  <c r="T213" i="4" s="1"/>
  <c r="C212" i="9"/>
  <c r="L212" i="9"/>
  <c r="T212" i="4" s="1"/>
  <c r="C211" i="9"/>
  <c r="L211" i="9"/>
  <c r="T211" i="4" s="1"/>
  <c r="C210" i="9"/>
  <c r="L210" i="9"/>
  <c r="T210" i="4" s="1"/>
  <c r="C209" i="9"/>
  <c r="L209" i="9"/>
  <c r="T209" i="4" s="1"/>
  <c r="C208" i="9"/>
  <c r="L208" i="9"/>
  <c r="T208" i="4" s="1"/>
  <c r="C207" i="9"/>
  <c r="F207" i="9"/>
  <c r="L207" i="9"/>
  <c r="T207" i="4" s="1"/>
  <c r="C206" i="9"/>
  <c r="L206" i="9"/>
  <c r="T206" i="4" s="1"/>
  <c r="C205" i="9"/>
  <c r="F205" i="9"/>
  <c r="L205" i="9"/>
  <c r="T205" i="4" s="1"/>
  <c r="C203" i="9"/>
  <c r="L203" i="9"/>
  <c r="T203" i="4" s="1"/>
  <c r="C202" i="9"/>
  <c r="L202" i="9"/>
  <c r="T202" i="4" s="1"/>
  <c r="C201" i="9"/>
  <c r="L201" i="9"/>
  <c r="T201" i="4" s="1"/>
  <c r="C200" i="9"/>
  <c r="L200" i="9"/>
  <c r="T200" i="4" s="1"/>
  <c r="C199" i="9"/>
  <c r="L199" i="9"/>
  <c r="T199" i="4" s="1"/>
  <c r="C198" i="9"/>
  <c r="L198" i="9"/>
  <c r="T198" i="4" s="1"/>
  <c r="C197" i="9"/>
  <c r="L197" i="9"/>
  <c r="T197" i="4" s="1"/>
  <c r="C196" i="9"/>
  <c r="L196" i="9"/>
  <c r="T196" i="4" s="1"/>
  <c r="C195" i="9"/>
  <c r="L195" i="9"/>
  <c r="T195" i="4" s="1"/>
  <c r="C193" i="9"/>
  <c r="L193" i="9"/>
  <c r="T193" i="4" s="1"/>
  <c r="C192" i="9"/>
  <c r="L192" i="9"/>
  <c r="T192" i="4" s="1"/>
  <c r="C191" i="9"/>
  <c r="L191" i="9"/>
  <c r="T191" i="4" s="1"/>
  <c r="C190" i="9"/>
  <c r="L190" i="9"/>
  <c r="T190" i="4" s="1"/>
  <c r="C189" i="9"/>
  <c r="L189" i="9"/>
  <c r="T189" i="4" s="1"/>
  <c r="C188" i="9"/>
  <c r="L188" i="9"/>
  <c r="T188" i="4" s="1"/>
  <c r="C187" i="9"/>
  <c r="L187" i="9"/>
  <c r="T187" i="4" s="1"/>
  <c r="C186" i="9"/>
  <c r="L186" i="9"/>
  <c r="T186" i="4" s="1"/>
  <c r="C185" i="9"/>
  <c r="L185" i="9"/>
  <c r="T185" i="4" s="1"/>
  <c r="C184" i="9"/>
  <c r="L184" i="9"/>
  <c r="T184" i="4" s="1"/>
  <c r="C183" i="9"/>
  <c r="L183" i="9"/>
  <c r="T183" i="4" s="1"/>
  <c r="C182" i="9"/>
  <c r="L182" i="9"/>
  <c r="T182" i="4" s="1"/>
  <c r="C181" i="9"/>
  <c r="L181" i="9"/>
  <c r="T181" i="4" s="1"/>
  <c r="C180" i="9"/>
  <c r="L180" i="9"/>
  <c r="T180" i="4" s="1"/>
  <c r="C179" i="9"/>
  <c r="L179" i="9"/>
  <c r="T179" i="4" s="1"/>
  <c r="C178" i="9"/>
  <c r="L178" i="9"/>
  <c r="T178" i="4" s="1"/>
  <c r="C177" i="9"/>
  <c r="L177" i="9"/>
  <c r="T177" i="4" s="1"/>
  <c r="C176" i="9"/>
  <c r="L176" i="9"/>
  <c r="T176" i="4" s="1"/>
  <c r="C175" i="9"/>
  <c r="L175" i="9"/>
  <c r="T175" i="4" s="1"/>
  <c r="C174" i="9"/>
  <c r="L174" i="9"/>
  <c r="T174" i="4" s="1"/>
  <c r="C173" i="9"/>
  <c r="L173" i="9"/>
  <c r="T173" i="4" s="1"/>
  <c r="C172" i="9"/>
  <c r="L172" i="9"/>
  <c r="T172" i="4" s="1"/>
  <c r="C171" i="9"/>
  <c r="L171" i="9"/>
  <c r="T171" i="4" s="1"/>
  <c r="C170" i="9"/>
  <c r="L170" i="9"/>
  <c r="T170" i="4" s="1"/>
  <c r="C169" i="9"/>
  <c r="L169" i="9"/>
  <c r="T169" i="4" s="1"/>
  <c r="C168" i="9"/>
  <c r="L168" i="9"/>
  <c r="T168" i="4" s="1"/>
  <c r="C167" i="9"/>
  <c r="L167" i="9"/>
  <c r="T167" i="4" s="1"/>
  <c r="C166" i="9"/>
  <c r="L166" i="9"/>
  <c r="T166" i="4" s="1"/>
  <c r="C165" i="9"/>
  <c r="L165" i="9"/>
  <c r="T165" i="4" s="1"/>
  <c r="C164" i="9"/>
  <c r="L164" i="9"/>
  <c r="T164" i="4" s="1"/>
  <c r="C163" i="9"/>
  <c r="L163" i="9"/>
  <c r="T163" i="4" s="1"/>
  <c r="C162" i="9"/>
  <c r="L162" i="9"/>
  <c r="T162" i="4" s="1"/>
  <c r="C161" i="9"/>
  <c r="L161" i="9"/>
  <c r="T161" i="4" s="1"/>
  <c r="C160" i="9"/>
  <c r="L160" i="9"/>
  <c r="T160" i="4" s="1"/>
  <c r="C159" i="9"/>
  <c r="L159" i="9"/>
  <c r="T159" i="4" s="1"/>
  <c r="C158" i="9"/>
  <c r="L158" i="9"/>
  <c r="T158" i="4" s="1"/>
  <c r="C157" i="9"/>
  <c r="L157" i="9"/>
  <c r="T157" i="4" s="1"/>
  <c r="C156" i="9"/>
  <c r="L156" i="9"/>
  <c r="T156" i="4" s="1"/>
  <c r="C155" i="9"/>
  <c r="L155" i="9"/>
  <c r="T155" i="4" s="1"/>
  <c r="C154" i="9"/>
  <c r="L154" i="9"/>
  <c r="T154" i="4" s="1"/>
  <c r="C153" i="9"/>
  <c r="L153" i="9"/>
  <c r="T153" i="4" s="1"/>
  <c r="C152" i="9"/>
  <c r="F152" i="9"/>
  <c r="L152" i="9"/>
  <c r="T152" i="4" s="1"/>
  <c r="C151" i="9"/>
  <c r="L151" i="9"/>
  <c r="T151" i="4" s="1"/>
  <c r="C150" i="9"/>
  <c r="L150" i="9"/>
  <c r="T150" i="4" s="1"/>
  <c r="C149" i="9"/>
  <c r="L149" i="9"/>
  <c r="T149" i="4" s="1"/>
  <c r="C148" i="9"/>
  <c r="L148" i="9"/>
  <c r="T148" i="4" s="1"/>
  <c r="C147" i="9"/>
  <c r="L147" i="9"/>
  <c r="T147" i="4" s="1"/>
  <c r="C146" i="9"/>
  <c r="L146" i="9"/>
  <c r="T146" i="4" s="1"/>
  <c r="C145" i="9"/>
  <c r="L145" i="9"/>
  <c r="T145" i="4" s="1"/>
  <c r="C144" i="9"/>
  <c r="L144" i="9"/>
  <c r="T144" i="4" s="1"/>
  <c r="C143" i="9"/>
  <c r="L143" i="9"/>
  <c r="T143" i="4" s="1"/>
  <c r="C142" i="9"/>
  <c r="F142" i="9"/>
  <c r="L142" i="9"/>
  <c r="T142" i="4" s="1"/>
  <c r="C140" i="9"/>
  <c r="L140" i="9"/>
  <c r="T140" i="4" s="1"/>
  <c r="C139" i="9"/>
  <c r="L139" i="9"/>
  <c r="T139" i="4" s="1"/>
  <c r="C138" i="9"/>
  <c r="L138" i="9"/>
  <c r="T138" i="4" s="1"/>
  <c r="C137" i="9"/>
  <c r="L137" i="9"/>
  <c r="T137" i="4" s="1"/>
  <c r="C136" i="9"/>
  <c r="L136" i="9"/>
  <c r="T136" i="4" s="1"/>
  <c r="C135" i="9"/>
  <c r="L135" i="9"/>
  <c r="T135" i="4" s="1"/>
  <c r="C134" i="9"/>
  <c r="L134" i="9"/>
  <c r="T134" i="4" s="1"/>
  <c r="C133" i="9"/>
  <c r="L133" i="9"/>
  <c r="T133" i="4" s="1"/>
  <c r="C132" i="9"/>
  <c r="L132" i="9"/>
  <c r="T132" i="4" s="1"/>
  <c r="C131" i="9"/>
  <c r="L131" i="9"/>
  <c r="T131" i="4" s="1"/>
  <c r="C130" i="9"/>
  <c r="L130" i="9"/>
  <c r="T130" i="4" s="1"/>
  <c r="C129" i="9"/>
  <c r="L129" i="9"/>
  <c r="T129" i="4" s="1"/>
  <c r="C128" i="9"/>
  <c r="L128" i="9"/>
  <c r="T128" i="4" s="1"/>
  <c r="C127" i="9"/>
  <c r="L127" i="9"/>
  <c r="T127" i="4" s="1"/>
  <c r="C126" i="9"/>
  <c r="L126" i="9"/>
  <c r="T126" i="4" s="1"/>
  <c r="C125" i="9"/>
  <c r="L125" i="9"/>
  <c r="T125" i="4" s="1"/>
  <c r="C124" i="9"/>
  <c r="L124" i="9"/>
  <c r="T124" i="4" s="1"/>
  <c r="C123" i="9"/>
  <c r="L123" i="9"/>
  <c r="T123" i="4" s="1"/>
  <c r="C122" i="9"/>
  <c r="L122" i="9"/>
  <c r="T122" i="4" s="1"/>
  <c r="C121" i="9"/>
  <c r="L121" i="9"/>
  <c r="T121" i="4" s="1"/>
  <c r="C120" i="9"/>
  <c r="L120" i="9"/>
  <c r="T120" i="4" s="1"/>
  <c r="C119" i="9"/>
  <c r="L119" i="9"/>
  <c r="T119" i="4" s="1"/>
  <c r="C118" i="9"/>
  <c r="L118" i="9"/>
  <c r="T118" i="4" s="1"/>
  <c r="C117" i="9"/>
  <c r="L117" i="9"/>
  <c r="T117" i="4" s="1"/>
  <c r="C116" i="9"/>
  <c r="L116" i="9"/>
  <c r="T116" i="4" s="1"/>
  <c r="C115" i="9"/>
  <c r="L115" i="9"/>
  <c r="T115" i="4"/>
  <c r="C114" i="9"/>
  <c r="L114" i="9"/>
  <c r="T114" i="4" s="1"/>
  <c r="C113" i="9"/>
  <c r="L113" i="9"/>
  <c r="T113" i="4" s="1"/>
  <c r="C112" i="9"/>
  <c r="L112" i="9"/>
  <c r="T112" i="4" s="1"/>
  <c r="C111" i="9"/>
  <c r="L111" i="9"/>
  <c r="T111" i="4" s="1"/>
  <c r="C110" i="9"/>
  <c r="L110" i="9"/>
  <c r="T110" i="4" s="1"/>
  <c r="C109" i="9"/>
  <c r="L109" i="9"/>
  <c r="T109" i="4" s="1"/>
  <c r="C108" i="9"/>
  <c r="L108" i="9"/>
  <c r="T108" i="4" s="1"/>
  <c r="C107" i="9"/>
  <c r="L107" i="9"/>
  <c r="T107" i="4" s="1"/>
  <c r="C106" i="9"/>
  <c r="L106" i="9"/>
  <c r="T106" i="4" s="1"/>
  <c r="C105" i="9"/>
  <c r="L105" i="9"/>
  <c r="T105" i="4" s="1"/>
  <c r="C104" i="9"/>
  <c r="L104" i="9"/>
  <c r="T104" i="4" s="1"/>
  <c r="C103" i="9"/>
  <c r="F103" i="9"/>
  <c r="L103" i="9"/>
  <c r="T103" i="4" s="1"/>
  <c r="C102" i="9"/>
  <c r="F102" i="9"/>
  <c r="L102" i="9"/>
  <c r="T102" i="4" s="1"/>
  <c r="C101" i="9"/>
  <c r="F101" i="9"/>
  <c r="L101" i="9"/>
  <c r="T101" i="4" s="1"/>
  <c r="C100" i="9"/>
  <c r="F100" i="9"/>
  <c r="L100" i="9"/>
  <c r="T100" i="4" s="1"/>
  <c r="C99" i="9"/>
  <c r="F99" i="9"/>
  <c r="L99" i="9"/>
  <c r="T99" i="4" s="1"/>
  <c r="C98" i="9"/>
  <c r="F98" i="9"/>
  <c r="L98" i="9"/>
  <c r="T98" i="4" s="1"/>
  <c r="C97" i="9"/>
  <c r="F97" i="9"/>
  <c r="L97" i="9"/>
  <c r="T97" i="4" s="1"/>
  <c r="C96" i="9"/>
  <c r="F96" i="9"/>
  <c r="L96" i="9"/>
  <c r="T96" i="4" s="1"/>
  <c r="C95" i="9"/>
  <c r="F95" i="9"/>
  <c r="L95" i="9"/>
  <c r="T95" i="4" s="1"/>
  <c r="C94" i="9"/>
  <c r="F94" i="9"/>
  <c r="L94" i="9"/>
  <c r="T94" i="4" s="1"/>
  <c r="C93" i="9"/>
  <c r="F93" i="9"/>
  <c r="L93" i="9"/>
  <c r="T93" i="4" s="1"/>
  <c r="C92" i="9"/>
  <c r="F92" i="9"/>
  <c r="L92" i="9"/>
  <c r="T92" i="4" s="1"/>
  <c r="C91" i="9"/>
  <c r="F91" i="9"/>
  <c r="L91" i="9"/>
  <c r="T91" i="4" s="1"/>
  <c r="C90" i="9"/>
  <c r="F90" i="9"/>
  <c r="L90" i="9"/>
  <c r="T90" i="4" s="1"/>
  <c r="C89" i="9"/>
  <c r="F89" i="9"/>
  <c r="L89" i="9"/>
  <c r="T89" i="4" s="1"/>
  <c r="C88" i="9"/>
  <c r="F88" i="9"/>
  <c r="L88" i="9"/>
  <c r="T88" i="4" s="1"/>
  <c r="C87" i="9"/>
  <c r="F87" i="9"/>
  <c r="L87" i="9"/>
  <c r="T87" i="4" s="1"/>
  <c r="C86" i="9"/>
  <c r="F86" i="9"/>
  <c r="L86" i="9"/>
  <c r="T86" i="4" s="1"/>
  <c r="C85" i="9"/>
  <c r="F85" i="9"/>
  <c r="L85" i="9"/>
  <c r="T85" i="4" s="1"/>
  <c r="C84" i="9"/>
  <c r="F84" i="9"/>
  <c r="L84" i="9"/>
  <c r="T84" i="4" s="1"/>
  <c r="C82" i="9"/>
  <c r="F82" i="9"/>
  <c r="L82" i="9"/>
  <c r="T82" i="4" s="1"/>
  <c r="C81" i="9"/>
  <c r="F81" i="9"/>
  <c r="L81" i="9"/>
  <c r="T81" i="4" s="1"/>
  <c r="C80" i="9"/>
  <c r="F80" i="9"/>
  <c r="L80" i="9"/>
  <c r="T80" i="4" s="1"/>
  <c r="C79" i="9"/>
  <c r="F79" i="9"/>
  <c r="L79" i="9"/>
  <c r="T79" i="4" s="1"/>
  <c r="C78" i="9"/>
  <c r="F78" i="9"/>
  <c r="L78" i="9"/>
  <c r="T78" i="4" s="1"/>
  <c r="C77" i="9"/>
  <c r="F77" i="9"/>
  <c r="L77" i="9"/>
  <c r="T77" i="4" s="1"/>
  <c r="C76" i="9"/>
  <c r="F76" i="9"/>
  <c r="L76" i="9"/>
  <c r="T76" i="4" s="1"/>
  <c r="C75" i="9"/>
  <c r="F75" i="9"/>
  <c r="L75" i="9"/>
  <c r="T75" i="4" s="1"/>
  <c r="C74" i="9"/>
  <c r="F74" i="9"/>
  <c r="L74" i="9"/>
  <c r="T74" i="4" s="1"/>
  <c r="C73" i="9"/>
  <c r="F73" i="9"/>
  <c r="L73" i="9"/>
  <c r="T73" i="4" s="1"/>
  <c r="C72" i="9"/>
  <c r="F72" i="9"/>
  <c r="L72" i="9"/>
  <c r="T72" i="4" s="1"/>
  <c r="C71" i="9"/>
  <c r="F71" i="9"/>
  <c r="L71" i="9"/>
  <c r="T71" i="4" s="1"/>
  <c r="C70" i="9"/>
  <c r="F70" i="9"/>
  <c r="L70" i="9"/>
  <c r="T70" i="4" s="1"/>
  <c r="C69" i="9"/>
  <c r="F69" i="9"/>
  <c r="L69" i="9"/>
  <c r="T69" i="4" s="1"/>
  <c r="C68" i="9"/>
  <c r="L68" i="9"/>
  <c r="T68" i="4" s="1"/>
  <c r="C67" i="9"/>
  <c r="F67" i="9"/>
  <c r="L67" i="9"/>
  <c r="T67" i="4" s="1"/>
  <c r="C66" i="9"/>
  <c r="F66" i="9"/>
  <c r="L66" i="9"/>
  <c r="T66" i="4" s="1"/>
  <c r="C65" i="9"/>
  <c r="F65" i="9"/>
  <c r="L65" i="9"/>
  <c r="T65" i="4" s="1"/>
  <c r="C64" i="9"/>
  <c r="F64" i="9"/>
  <c r="L64" i="9"/>
  <c r="T64" i="4" s="1"/>
  <c r="C63" i="9"/>
  <c r="F63" i="9"/>
  <c r="L63" i="9"/>
  <c r="T63" i="4" s="1"/>
  <c r="C62" i="9"/>
  <c r="F62" i="9"/>
  <c r="L62" i="9"/>
  <c r="T62" i="4" s="1"/>
  <c r="C61" i="9"/>
  <c r="F61" i="9"/>
  <c r="L61" i="9"/>
  <c r="T61" i="4" s="1"/>
  <c r="C60" i="9"/>
  <c r="F60" i="9"/>
  <c r="L60" i="9"/>
  <c r="T60" i="4" s="1"/>
  <c r="C59" i="9"/>
  <c r="F59" i="9"/>
  <c r="L59" i="9"/>
  <c r="T59" i="4" s="1"/>
  <c r="C58" i="9"/>
  <c r="F58" i="9"/>
  <c r="L58" i="9"/>
  <c r="T58" i="4" s="1"/>
  <c r="C57" i="9"/>
  <c r="F57" i="9"/>
  <c r="L57" i="9"/>
  <c r="T57" i="4" s="1"/>
  <c r="C56" i="9"/>
  <c r="F56" i="9"/>
  <c r="L56" i="9"/>
  <c r="T56" i="4" s="1"/>
  <c r="C55" i="9"/>
  <c r="F55" i="9"/>
  <c r="L55" i="9"/>
  <c r="T55" i="4" s="1"/>
  <c r="C54" i="9"/>
  <c r="F54" i="9"/>
  <c r="L54" i="9"/>
  <c r="T54" i="4" s="1"/>
  <c r="C53" i="9"/>
  <c r="F53" i="9"/>
  <c r="L53" i="9"/>
  <c r="T53" i="4" s="1"/>
  <c r="C52" i="9"/>
  <c r="F52" i="9"/>
  <c r="L52" i="9"/>
  <c r="T52" i="4" s="1"/>
  <c r="C51" i="9"/>
  <c r="F51" i="9"/>
  <c r="L51" i="9"/>
  <c r="T51" i="4" s="1"/>
  <c r="C50" i="9"/>
  <c r="F50" i="9"/>
  <c r="L50" i="9"/>
  <c r="T50" i="4" s="1"/>
  <c r="C48" i="9"/>
  <c r="L48" i="9"/>
  <c r="T48" i="4" s="1"/>
  <c r="C47" i="9"/>
  <c r="L47" i="9"/>
  <c r="T47" i="4" s="1"/>
  <c r="C46" i="9"/>
  <c r="L46" i="9"/>
  <c r="T46" i="4" s="1"/>
  <c r="C45" i="9"/>
  <c r="L45" i="9"/>
  <c r="T45" i="4" s="1"/>
  <c r="C42" i="9"/>
  <c r="L42" i="9"/>
  <c r="T42" i="4" s="1"/>
  <c r="C41" i="9"/>
  <c r="L41" i="9"/>
  <c r="T41" i="4" s="1"/>
  <c r="C40" i="9"/>
  <c r="L40" i="9"/>
  <c r="T40" i="4" s="1"/>
  <c r="C39" i="9"/>
  <c r="L39" i="9"/>
  <c r="T39" i="4" s="1"/>
  <c r="C37" i="9"/>
  <c r="L37" i="9"/>
  <c r="T37" i="4" s="1"/>
  <c r="D37" i="9"/>
  <c r="K37" i="9"/>
  <c r="S37" i="4" s="1"/>
  <c r="C36" i="9"/>
  <c r="F36" i="9"/>
  <c r="L36" i="9"/>
  <c r="T36" i="4" s="1"/>
  <c r="D36" i="9"/>
  <c r="E36" i="9"/>
  <c r="K36" i="9"/>
  <c r="S36" i="4" s="1"/>
  <c r="C35" i="9"/>
  <c r="F35" i="9"/>
  <c r="L35" i="9"/>
  <c r="T35" i="4" s="1"/>
  <c r="D35" i="9"/>
  <c r="E35" i="9"/>
  <c r="K35" i="9"/>
  <c r="S35" i="4" s="1"/>
  <c r="C34" i="9"/>
  <c r="L34" i="9"/>
  <c r="T34" i="4" s="1"/>
  <c r="D34" i="9"/>
  <c r="K34" i="9"/>
  <c r="S34" i="4" s="1"/>
  <c r="C33" i="9"/>
  <c r="L33" i="9"/>
  <c r="T33" i="4" s="1"/>
  <c r="D33" i="9"/>
  <c r="E33" i="9"/>
  <c r="K33" i="9"/>
  <c r="S33" i="4" s="1"/>
  <c r="C32" i="9"/>
  <c r="L32" i="9"/>
  <c r="T32" i="4" s="1"/>
  <c r="D32" i="9"/>
  <c r="E32" i="9"/>
  <c r="K32" i="9"/>
  <c r="S32" i="4" s="1"/>
  <c r="C31" i="9"/>
  <c r="L31" i="9"/>
  <c r="T31" i="4" s="1"/>
  <c r="D31" i="9"/>
  <c r="K31" i="9"/>
  <c r="S31" i="4" s="1"/>
  <c r="C30" i="9"/>
  <c r="L30" i="9"/>
  <c r="T30" i="4" s="1"/>
  <c r="D30" i="9"/>
  <c r="E30" i="9"/>
  <c r="K30" i="9"/>
  <c r="S30" i="4" s="1"/>
  <c r="C29" i="9"/>
  <c r="L29" i="9"/>
  <c r="T29" i="4" s="1"/>
  <c r="D29" i="9"/>
  <c r="E29" i="9"/>
  <c r="K29" i="9"/>
  <c r="S29" i="4" s="1"/>
  <c r="C28" i="9"/>
  <c r="F28" i="9"/>
  <c r="L28" i="9"/>
  <c r="T28" i="4" s="1"/>
  <c r="D28" i="9"/>
  <c r="E28" i="9"/>
  <c r="K28" i="9"/>
  <c r="S28" i="4" s="1"/>
  <c r="C27" i="9"/>
  <c r="L27" i="9"/>
  <c r="T27" i="4" s="1"/>
  <c r="D27" i="9"/>
  <c r="K27" i="9"/>
  <c r="S27" i="4" s="1"/>
  <c r="C26" i="9"/>
  <c r="F26" i="9"/>
  <c r="L26" i="9"/>
  <c r="T26" i="4" s="1"/>
  <c r="D26" i="9"/>
  <c r="E26" i="9"/>
  <c r="K26" i="9"/>
  <c r="S26" i="4" s="1"/>
  <c r="C25" i="9"/>
  <c r="L25" i="9"/>
  <c r="T25" i="4" s="1"/>
  <c r="D25" i="9"/>
  <c r="K25" i="9"/>
  <c r="S25" i="4" s="1"/>
  <c r="C24" i="9"/>
  <c r="L24" i="9"/>
  <c r="T24" i="4" s="1"/>
  <c r="D24" i="9"/>
  <c r="K24" i="9"/>
  <c r="S24" i="4" s="1"/>
  <c r="C23" i="9"/>
  <c r="F23" i="9"/>
  <c r="L23" i="9"/>
  <c r="T23" i="4" s="1"/>
  <c r="D23" i="9"/>
  <c r="E23" i="9"/>
  <c r="K23" i="9"/>
  <c r="S23" i="4" s="1"/>
  <c r="C22" i="9"/>
  <c r="L22" i="9"/>
  <c r="T22" i="4" s="1"/>
  <c r="D22" i="9"/>
  <c r="K22" i="9"/>
  <c r="S22" i="4" s="1"/>
  <c r="C21" i="9"/>
  <c r="F21" i="9"/>
  <c r="L21" i="9"/>
  <c r="T21" i="4" s="1"/>
  <c r="D21" i="9"/>
  <c r="E21" i="9"/>
  <c r="K21" i="9"/>
  <c r="S21" i="4" s="1"/>
  <c r="C20" i="9"/>
  <c r="F20" i="9"/>
  <c r="L20" i="9"/>
  <c r="T20" i="4" s="1"/>
  <c r="D20" i="9"/>
  <c r="E20" i="9"/>
  <c r="K20" i="9"/>
  <c r="S20" i="4" s="1"/>
  <c r="C19" i="9"/>
  <c r="F19" i="9"/>
  <c r="L19" i="9"/>
  <c r="T19" i="4" s="1"/>
  <c r="D19" i="9"/>
  <c r="E19" i="9"/>
  <c r="K19" i="9"/>
  <c r="S19" i="4" s="1"/>
  <c r="C18" i="9"/>
  <c r="F18" i="9"/>
  <c r="L18" i="9"/>
  <c r="T18" i="4" s="1"/>
  <c r="D18" i="9"/>
  <c r="E18" i="9"/>
  <c r="K18" i="9"/>
  <c r="S18" i="4" s="1"/>
  <c r="C17" i="9"/>
  <c r="F17" i="9"/>
  <c r="L17" i="9"/>
  <c r="T17" i="4" s="1"/>
  <c r="D17" i="9"/>
  <c r="E17" i="9"/>
  <c r="K17" i="9"/>
  <c r="S17" i="4" s="1"/>
  <c r="C16" i="9"/>
  <c r="L16" i="9"/>
  <c r="T16" i="4" s="1"/>
  <c r="D16" i="9"/>
  <c r="K16" i="9"/>
  <c r="S16" i="4" s="1"/>
  <c r="C15" i="9"/>
  <c r="F15" i="9"/>
  <c r="L15" i="9"/>
  <c r="T15" i="4" s="1"/>
  <c r="D15" i="9"/>
  <c r="E15" i="9"/>
  <c r="K15" i="9"/>
  <c r="S15" i="4" s="1"/>
  <c r="C14" i="9"/>
  <c r="F14" i="9"/>
  <c r="L14" i="9"/>
  <c r="T14" i="4" s="1"/>
  <c r="D14" i="9"/>
  <c r="E14" i="9"/>
  <c r="K14" i="9"/>
  <c r="S14" i="4" s="1"/>
  <c r="C13" i="9"/>
  <c r="L13" i="9"/>
  <c r="T13" i="4" s="1"/>
  <c r="D13" i="9"/>
  <c r="E13" i="9"/>
  <c r="K13" i="9"/>
  <c r="S13" i="4" s="1"/>
  <c r="C12" i="9"/>
  <c r="L12" i="9"/>
  <c r="T12" i="4" s="1"/>
  <c r="D12" i="9"/>
  <c r="E12" i="9"/>
  <c r="K12" i="9"/>
  <c r="S12" i="4" s="1"/>
  <c r="D310" i="6"/>
  <c r="E310" i="6"/>
  <c r="C310" i="6"/>
  <c r="D310" i="4"/>
  <c r="B310" i="6"/>
  <c r="C310" i="4"/>
  <c r="D309" i="6"/>
  <c r="E309" i="6"/>
  <c r="C309" i="6"/>
  <c r="D309" i="4"/>
  <c r="B309" i="6"/>
  <c r="C309" i="4"/>
  <c r="D308" i="6"/>
  <c r="E308" i="6"/>
  <c r="C308" i="6"/>
  <c r="D308" i="4"/>
  <c r="B308" i="6"/>
  <c r="C308" i="4"/>
  <c r="D307" i="6"/>
  <c r="E307" i="6"/>
  <c r="C307" i="6"/>
  <c r="D307" i="4"/>
  <c r="B307" i="6"/>
  <c r="C307" i="4"/>
  <c r="D306" i="6"/>
  <c r="E306" i="6"/>
  <c r="C306" i="6"/>
  <c r="D306" i="4"/>
  <c r="B306" i="6"/>
  <c r="C306" i="4"/>
  <c r="D305" i="6"/>
  <c r="E305" i="6"/>
  <c r="C305" i="6"/>
  <c r="D305" i="4"/>
  <c r="B305" i="6"/>
  <c r="C305" i="4"/>
  <c r="D304" i="6"/>
  <c r="E304" i="6"/>
  <c r="C304" i="6"/>
  <c r="D304" i="4"/>
  <c r="B304" i="6"/>
  <c r="C304" i="4"/>
  <c r="D303" i="6"/>
  <c r="E303" i="6"/>
  <c r="C303" i="6"/>
  <c r="D303" i="4"/>
  <c r="B303" i="6"/>
  <c r="C303" i="4"/>
  <c r="D302" i="6"/>
  <c r="E302" i="6"/>
  <c r="C302" i="6"/>
  <c r="D302" i="4"/>
  <c r="B302" i="6"/>
  <c r="C302" i="4"/>
  <c r="D301" i="6"/>
  <c r="E301" i="6"/>
  <c r="C301" i="6"/>
  <c r="D301" i="4"/>
  <c r="B301" i="6"/>
  <c r="C301" i="4"/>
  <c r="D300" i="6"/>
  <c r="E300" i="6"/>
  <c r="C300" i="6"/>
  <c r="D300" i="4"/>
  <c r="B300" i="6"/>
  <c r="C300" i="4"/>
  <c r="D299" i="6"/>
  <c r="E299" i="6"/>
  <c r="C299" i="6"/>
  <c r="D299" i="4"/>
  <c r="B299" i="6"/>
  <c r="C299" i="4"/>
  <c r="D298" i="6"/>
  <c r="E298" i="6"/>
  <c r="C298" i="6"/>
  <c r="D298" i="4"/>
  <c r="B298" i="6"/>
  <c r="C298" i="4"/>
  <c r="D297" i="6"/>
  <c r="E297" i="6"/>
  <c r="C297" i="6"/>
  <c r="D297" i="4"/>
  <c r="B297" i="6"/>
  <c r="C297" i="4"/>
  <c r="D296" i="6"/>
  <c r="E296" i="6"/>
  <c r="C296" i="6"/>
  <c r="D296" i="4"/>
  <c r="B296" i="6"/>
  <c r="C296" i="4"/>
  <c r="D295" i="6"/>
  <c r="E295" i="6"/>
  <c r="C295" i="6"/>
  <c r="D295" i="4"/>
  <c r="B295" i="6"/>
  <c r="C295" i="4"/>
  <c r="D294" i="6"/>
  <c r="E294" i="6"/>
  <c r="C294" i="6"/>
  <c r="D294" i="4"/>
  <c r="B294" i="6"/>
  <c r="C294" i="4"/>
  <c r="D293" i="6"/>
  <c r="E293" i="6"/>
  <c r="C293" i="6"/>
  <c r="D293" i="4"/>
  <c r="B293" i="6"/>
  <c r="C293" i="4"/>
  <c r="D292" i="6"/>
  <c r="E292" i="6"/>
  <c r="C292" i="6"/>
  <c r="D292" i="4"/>
  <c r="B292" i="6"/>
  <c r="C292" i="4"/>
  <c r="D291" i="6"/>
  <c r="E291" i="6"/>
  <c r="C291" i="6"/>
  <c r="D291" i="4"/>
  <c r="B291" i="6"/>
  <c r="C291" i="4"/>
  <c r="D290" i="6"/>
  <c r="E290" i="6"/>
  <c r="C290" i="6"/>
  <c r="D290" i="4"/>
  <c r="B290" i="6"/>
  <c r="C290" i="4"/>
  <c r="D289" i="6"/>
  <c r="E289" i="6"/>
  <c r="C289" i="6"/>
  <c r="D289" i="4"/>
  <c r="B289" i="6"/>
  <c r="C289" i="4"/>
  <c r="D288" i="6"/>
  <c r="E288" i="6"/>
  <c r="C288" i="6"/>
  <c r="D288" i="4"/>
  <c r="B288" i="6"/>
  <c r="C288" i="4"/>
  <c r="D287" i="6"/>
  <c r="E287" i="6"/>
  <c r="C287" i="6"/>
  <c r="D287" i="4"/>
  <c r="B287" i="6"/>
  <c r="C287" i="4"/>
  <c r="D286" i="6"/>
  <c r="E286" i="6"/>
  <c r="C286" i="6"/>
  <c r="D286" i="4"/>
  <c r="B286" i="6"/>
  <c r="C286" i="4"/>
  <c r="D285" i="6"/>
  <c r="E285" i="6"/>
  <c r="C285" i="6"/>
  <c r="D285" i="4"/>
  <c r="B285" i="6"/>
  <c r="C285" i="4"/>
  <c r="D284" i="6"/>
  <c r="E284" i="6"/>
  <c r="C284" i="6"/>
  <c r="D284" i="4"/>
  <c r="B284" i="6"/>
  <c r="C284" i="4"/>
  <c r="D283" i="6"/>
  <c r="E283" i="6"/>
  <c r="C283" i="6"/>
  <c r="D283" i="4"/>
  <c r="B283" i="6"/>
  <c r="C283" i="4"/>
  <c r="D282" i="6"/>
  <c r="E282" i="6"/>
  <c r="C282" i="6"/>
  <c r="D282" i="4"/>
  <c r="B282" i="6"/>
  <c r="C282" i="4"/>
  <c r="D281" i="6"/>
  <c r="E281" i="6"/>
  <c r="C281" i="6"/>
  <c r="D281" i="4"/>
  <c r="B281" i="6"/>
  <c r="C281" i="4"/>
  <c r="D280" i="6"/>
  <c r="E280" i="6"/>
  <c r="C280" i="6"/>
  <c r="D280" i="4"/>
  <c r="B280" i="6"/>
  <c r="C280" i="4"/>
  <c r="D279" i="6"/>
  <c r="E279" i="6"/>
  <c r="C279" i="6"/>
  <c r="D279" i="4"/>
  <c r="B279" i="6"/>
  <c r="C279" i="4"/>
  <c r="D278" i="6"/>
  <c r="E278" i="6"/>
  <c r="C278" i="6"/>
  <c r="D278" i="4"/>
  <c r="B278" i="6"/>
  <c r="C278" i="4"/>
  <c r="D277" i="6"/>
  <c r="E277" i="6"/>
  <c r="C277" i="6"/>
  <c r="D277" i="4"/>
  <c r="B277" i="6"/>
  <c r="C277" i="4"/>
  <c r="D275" i="6"/>
  <c r="E275" i="6"/>
  <c r="C275" i="6"/>
  <c r="D275" i="4"/>
  <c r="B275" i="6"/>
  <c r="C275" i="4"/>
  <c r="D274" i="6"/>
  <c r="E274" i="6"/>
  <c r="C274" i="6"/>
  <c r="D274" i="4"/>
  <c r="B274" i="6"/>
  <c r="C274" i="4"/>
  <c r="D273" i="6"/>
  <c r="E273" i="6"/>
  <c r="C273" i="6"/>
  <c r="D273" i="4"/>
  <c r="B273" i="6"/>
  <c r="C273" i="4"/>
  <c r="D272" i="6"/>
  <c r="E272" i="6"/>
  <c r="C272" i="6"/>
  <c r="D272" i="4"/>
  <c r="B272" i="6"/>
  <c r="C272" i="4"/>
  <c r="D271" i="6"/>
  <c r="E271" i="6"/>
  <c r="C271" i="6"/>
  <c r="D271" i="4"/>
  <c r="B271" i="6"/>
  <c r="C271" i="4"/>
  <c r="D270" i="6"/>
  <c r="E270" i="6"/>
  <c r="C270" i="6"/>
  <c r="D270" i="4"/>
  <c r="B270" i="6"/>
  <c r="C270" i="4"/>
  <c r="D269" i="6"/>
  <c r="E269" i="6"/>
  <c r="C269" i="6"/>
  <c r="D269" i="4"/>
  <c r="B269" i="6"/>
  <c r="C269" i="4"/>
  <c r="D268" i="6"/>
  <c r="E268" i="6"/>
  <c r="C268" i="6"/>
  <c r="D268" i="4"/>
  <c r="B268" i="6"/>
  <c r="C268" i="4"/>
  <c r="D267" i="6"/>
  <c r="E267" i="6"/>
  <c r="C267" i="6"/>
  <c r="D267" i="4"/>
  <c r="B267" i="6"/>
  <c r="C267" i="4"/>
  <c r="D266" i="6"/>
  <c r="E266" i="6"/>
  <c r="C266" i="6"/>
  <c r="D266" i="4"/>
  <c r="B266" i="6"/>
  <c r="C266" i="4"/>
  <c r="D265" i="6"/>
  <c r="E265" i="6"/>
  <c r="C265" i="6"/>
  <c r="D265" i="4"/>
  <c r="B265" i="6"/>
  <c r="C265" i="4"/>
  <c r="D264" i="6"/>
  <c r="E264" i="6"/>
  <c r="C264" i="6"/>
  <c r="D264" i="4"/>
  <c r="B264" i="6"/>
  <c r="C264" i="4"/>
  <c r="D263" i="6"/>
  <c r="E263" i="6"/>
  <c r="C263" i="6"/>
  <c r="D263" i="4"/>
  <c r="B263" i="6"/>
  <c r="C263" i="4"/>
  <c r="D262" i="6"/>
  <c r="E262" i="6"/>
  <c r="C262" i="6"/>
  <c r="D262" i="4"/>
  <c r="B262" i="6"/>
  <c r="C262" i="4"/>
  <c r="D261" i="6"/>
  <c r="E261" i="6"/>
  <c r="C261" i="6"/>
  <c r="D261" i="4"/>
  <c r="B261" i="6"/>
  <c r="C261" i="4"/>
  <c r="D260" i="6"/>
  <c r="E260" i="6"/>
  <c r="C260" i="6"/>
  <c r="D260" i="4"/>
  <c r="B260" i="6"/>
  <c r="C260" i="4"/>
  <c r="D259" i="6"/>
  <c r="E259" i="6"/>
  <c r="C259" i="6"/>
  <c r="D259" i="4"/>
  <c r="B259" i="6"/>
  <c r="C259" i="4"/>
  <c r="D258" i="6"/>
  <c r="E258" i="6"/>
  <c r="C258" i="6"/>
  <c r="D258" i="4"/>
  <c r="B258" i="6"/>
  <c r="C258" i="4"/>
  <c r="D257" i="6"/>
  <c r="E257" i="6"/>
  <c r="C257" i="6"/>
  <c r="D257" i="4"/>
  <c r="B257" i="6"/>
  <c r="C257" i="4"/>
  <c r="D256" i="6"/>
  <c r="E256" i="6"/>
  <c r="C256" i="6"/>
  <c r="D256" i="4"/>
  <c r="B256" i="6"/>
  <c r="C256" i="4"/>
  <c r="D255" i="6"/>
  <c r="E255" i="6"/>
  <c r="C255" i="6"/>
  <c r="D255" i="4"/>
  <c r="B255" i="6"/>
  <c r="C255" i="4"/>
  <c r="D254" i="6"/>
  <c r="E254" i="6"/>
  <c r="C254" i="6"/>
  <c r="D254" i="4"/>
  <c r="B254" i="6"/>
  <c r="C254" i="4"/>
  <c r="D253" i="6"/>
  <c r="E253" i="6"/>
  <c r="C253" i="6"/>
  <c r="D253" i="4"/>
  <c r="B253" i="6"/>
  <c r="C253" i="4"/>
  <c r="D252" i="6"/>
  <c r="E252" i="6"/>
  <c r="C252" i="6"/>
  <c r="D252" i="4"/>
  <c r="B252" i="6"/>
  <c r="C252" i="4"/>
  <c r="D251" i="6"/>
  <c r="E251" i="6"/>
  <c r="C251" i="6"/>
  <c r="D251" i="4"/>
  <c r="B251" i="6"/>
  <c r="C251" i="4"/>
  <c r="D250" i="6"/>
  <c r="E250" i="6"/>
  <c r="C250" i="6"/>
  <c r="D250" i="4"/>
  <c r="B250" i="6"/>
  <c r="C250" i="4"/>
  <c r="D249" i="6"/>
  <c r="E249" i="6"/>
  <c r="C249" i="6"/>
  <c r="D249" i="4"/>
  <c r="B249" i="6"/>
  <c r="C249" i="4"/>
  <c r="D248" i="6"/>
  <c r="E248" i="6"/>
  <c r="C248" i="6"/>
  <c r="D248" i="4"/>
  <c r="B248" i="6"/>
  <c r="C248" i="4"/>
  <c r="D247" i="6"/>
  <c r="E247" i="6"/>
  <c r="C247" i="6"/>
  <c r="D247" i="4"/>
  <c r="B247" i="6"/>
  <c r="C247" i="4"/>
  <c r="D246" i="6"/>
  <c r="E246" i="6"/>
  <c r="C246" i="6"/>
  <c r="D246" i="4"/>
  <c r="B246" i="6"/>
  <c r="C246" i="4"/>
  <c r="D244" i="6"/>
  <c r="E244" i="6"/>
  <c r="C244" i="6"/>
  <c r="D244" i="4"/>
  <c r="B244" i="6"/>
  <c r="C244" i="4"/>
  <c r="D243" i="6"/>
  <c r="E243" i="6"/>
  <c r="C243" i="6"/>
  <c r="D243" i="4"/>
  <c r="B243" i="6"/>
  <c r="C243" i="4"/>
  <c r="D242" i="6"/>
  <c r="E242" i="6"/>
  <c r="C242" i="6"/>
  <c r="D242" i="4"/>
  <c r="B242" i="6"/>
  <c r="C242" i="4"/>
  <c r="D241" i="6"/>
  <c r="E241" i="6"/>
  <c r="C241" i="6"/>
  <c r="D241" i="4"/>
  <c r="B241" i="6"/>
  <c r="C241" i="4"/>
  <c r="D240" i="6"/>
  <c r="E240" i="6"/>
  <c r="C240" i="6"/>
  <c r="D240" i="4"/>
  <c r="B240" i="6"/>
  <c r="C240" i="4"/>
  <c r="D239" i="6"/>
  <c r="E239" i="6"/>
  <c r="C239" i="6"/>
  <c r="D239" i="4"/>
  <c r="B239" i="6"/>
  <c r="C239" i="4"/>
  <c r="D238" i="6"/>
  <c r="E238" i="6"/>
  <c r="C238" i="6"/>
  <c r="D238" i="4"/>
  <c r="B238" i="6"/>
  <c r="C238" i="4"/>
  <c r="D237" i="6"/>
  <c r="E237" i="6"/>
  <c r="C237" i="6"/>
  <c r="D237" i="4"/>
  <c r="B237" i="6"/>
  <c r="C237" i="4"/>
  <c r="D236" i="6"/>
  <c r="E236" i="6"/>
  <c r="C236" i="6"/>
  <c r="D236" i="4"/>
  <c r="B236" i="6"/>
  <c r="C236" i="4"/>
  <c r="D235" i="6"/>
  <c r="E235" i="6"/>
  <c r="C235" i="6"/>
  <c r="D235" i="4"/>
  <c r="B235" i="6"/>
  <c r="C235" i="4"/>
  <c r="D234" i="6"/>
  <c r="E234" i="6"/>
  <c r="C234" i="6"/>
  <c r="D234" i="4"/>
  <c r="B234" i="6"/>
  <c r="C234" i="4"/>
  <c r="D233" i="6"/>
  <c r="E233" i="6"/>
  <c r="C233" i="6"/>
  <c r="D233" i="4"/>
  <c r="B233" i="6"/>
  <c r="C233" i="4"/>
  <c r="D232" i="6"/>
  <c r="E232" i="6"/>
  <c r="C232" i="6"/>
  <c r="D232" i="4"/>
  <c r="B232" i="6"/>
  <c r="C232" i="4"/>
  <c r="D231" i="6"/>
  <c r="E231" i="6"/>
  <c r="C231" i="6"/>
  <c r="D231" i="4"/>
  <c r="B231" i="6"/>
  <c r="C231" i="4"/>
  <c r="D230" i="6"/>
  <c r="E230" i="6"/>
  <c r="C230" i="6"/>
  <c r="D230" i="4"/>
  <c r="B230" i="6"/>
  <c r="C230" i="4"/>
  <c r="D229" i="6"/>
  <c r="E229" i="6"/>
  <c r="C229" i="6"/>
  <c r="D229" i="4"/>
  <c r="B229" i="6"/>
  <c r="C229" i="4"/>
  <c r="D228" i="6"/>
  <c r="E228" i="6"/>
  <c r="C228" i="6"/>
  <c r="D228" i="4"/>
  <c r="B228" i="6"/>
  <c r="C228" i="4"/>
  <c r="D227" i="6"/>
  <c r="E227" i="6"/>
  <c r="C227" i="6"/>
  <c r="D227" i="4"/>
  <c r="B227" i="6"/>
  <c r="C227" i="4"/>
  <c r="D226" i="6"/>
  <c r="E226" i="6"/>
  <c r="C226" i="6"/>
  <c r="D226" i="4"/>
  <c r="B226" i="6"/>
  <c r="C226" i="4"/>
  <c r="G225" i="6"/>
  <c r="D225" i="6"/>
  <c r="E225" i="6"/>
  <c r="F225" i="6"/>
  <c r="S225" i="6"/>
  <c r="X225" i="4" s="1"/>
  <c r="C225" i="6"/>
  <c r="D225" i="4"/>
  <c r="Q225" i="6"/>
  <c r="W225" i="4" s="1"/>
  <c r="B225" i="6"/>
  <c r="C225" i="4"/>
  <c r="D224" i="6"/>
  <c r="E224" i="6"/>
  <c r="C224" i="6"/>
  <c r="D224" i="4"/>
  <c r="B224" i="6"/>
  <c r="C224" i="4"/>
  <c r="D223" i="6"/>
  <c r="E223" i="6"/>
  <c r="C223" i="6"/>
  <c r="D223" i="4"/>
  <c r="B223" i="6"/>
  <c r="C223" i="4"/>
  <c r="D222" i="6"/>
  <c r="E222" i="6"/>
  <c r="C222" i="6"/>
  <c r="D222" i="4"/>
  <c r="B222" i="6"/>
  <c r="C222" i="4"/>
  <c r="G221" i="6"/>
  <c r="D221" i="6"/>
  <c r="E221" i="6"/>
  <c r="F221" i="6"/>
  <c r="S221" i="6"/>
  <c r="X221" i="4" s="1"/>
  <c r="C221" i="6"/>
  <c r="D221" i="4"/>
  <c r="Q221" i="6"/>
  <c r="B221" i="6"/>
  <c r="C221" i="4"/>
  <c r="D220" i="6"/>
  <c r="E220" i="6"/>
  <c r="C220" i="6"/>
  <c r="D220" i="4"/>
  <c r="B220" i="6"/>
  <c r="C220" i="4"/>
  <c r="G219" i="6"/>
  <c r="D219" i="6"/>
  <c r="E219" i="6"/>
  <c r="C219" i="6"/>
  <c r="D219" i="4"/>
  <c r="B219" i="6"/>
  <c r="C219" i="4"/>
  <c r="D218" i="6"/>
  <c r="E218" i="6"/>
  <c r="C218" i="6"/>
  <c r="D218" i="4"/>
  <c r="B218" i="6"/>
  <c r="C218" i="4"/>
  <c r="D217" i="6"/>
  <c r="E217" i="6"/>
  <c r="C217" i="6"/>
  <c r="D217" i="4"/>
  <c r="B217" i="6"/>
  <c r="C217" i="4"/>
  <c r="D216" i="6"/>
  <c r="E216" i="6"/>
  <c r="C216" i="6"/>
  <c r="D216" i="4"/>
  <c r="B216" i="6"/>
  <c r="C216" i="4"/>
  <c r="D215" i="6"/>
  <c r="E215" i="6"/>
  <c r="C215" i="6"/>
  <c r="D215" i="4"/>
  <c r="B215" i="6"/>
  <c r="C215" i="4"/>
  <c r="D214" i="6"/>
  <c r="E214" i="6"/>
  <c r="C214" i="6"/>
  <c r="D214" i="4"/>
  <c r="B214" i="6"/>
  <c r="C214" i="4"/>
  <c r="D213" i="6"/>
  <c r="E213" i="6"/>
  <c r="C213" i="6"/>
  <c r="D213" i="4"/>
  <c r="B213" i="6"/>
  <c r="C213" i="4"/>
  <c r="D212" i="6"/>
  <c r="E212" i="6"/>
  <c r="C212" i="6"/>
  <c r="D212" i="4"/>
  <c r="B212" i="6"/>
  <c r="C212" i="4"/>
  <c r="D211" i="6"/>
  <c r="E211" i="6"/>
  <c r="C211" i="6"/>
  <c r="D211" i="4"/>
  <c r="B211" i="6"/>
  <c r="C211" i="4"/>
  <c r="D210" i="6"/>
  <c r="E210" i="6"/>
  <c r="C210" i="6"/>
  <c r="D210" i="4"/>
  <c r="B210" i="6"/>
  <c r="C210" i="4"/>
  <c r="D209" i="6"/>
  <c r="E209" i="6"/>
  <c r="C209" i="6"/>
  <c r="D209" i="4"/>
  <c r="B209" i="6"/>
  <c r="C209" i="4"/>
  <c r="D208" i="6"/>
  <c r="E208" i="6"/>
  <c r="C208" i="6"/>
  <c r="D208" i="4"/>
  <c r="B208" i="6"/>
  <c r="C208" i="4"/>
  <c r="G207" i="6"/>
  <c r="D207" i="6"/>
  <c r="E207" i="6"/>
  <c r="C207" i="6"/>
  <c r="D207" i="4"/>
  <c r="B207" i="6"/>
  <c r="C207" i="4"/>
  <c r="D206" i="6"/>
  <c r="E206" i="6"/>
  <c r="C206" i="6"/>
  <c r="D206" i="4"/>
  <c r="B206" i="6"/>
  <c r="C206" i="4"/>
  <c r="G205" i="6"/>
  <c r="D205" i="6"/>
  <c r="E205" i="6"/>
  <c r="F205" i="6"/>
  <c r="S205" i="6"/>
  <c r="X205" i="4" s="1"/>
  <c r="C205" i="6"/>
  <c r="D205" i="4"/>
  <c r="Q205" i="6"/>
  <c r="W205" i="4" s="1"/>
  <c r="B205" i="6"/>
  <c r="C205" i="4"/>
  <c r="D203" i="6"/>
  <c r="E203" i="6"/>
  <c r="C203" i="6"/>
  <c r="D203" i="4"/>
  <c r="B203" i="6"/>
  <c r="C203" i="4"/>
  <c r="D202" i="6"/>
  <c r="E202" i="6"/>
  <c r="C202" i="6"/>
  <c r="D202" i="4"/>
  <c r="B202" i="6"/>
  <c r="C202" i="4"/>
  <c r="D201" i="6"/>
  <c r="E201" i="6"/>
  <c r="C201" i="6"/>
  <c r="D201" i="4"/>
  <c r="B201" i="6"/>
  <c r="C201" i="4"/>
  <c r="D200" i="6"/>
  <c r="E200" i="6"/>
  <c r="C200" i="6"/>
  <c r="D200" i="4"/>
  <c r="B200" i="6"/>
  <c r="C200" i="4"/>
  <c r="D199" i="6"/>
  <c r="E199" i="6"/>
  <c r="C199" i="6"/>
  <c r="D199" i="4"/>
  <c r="B199" i="6"/>
  <c r="C199" i="4"/>
  <c r="D198" i="6"/>
  <c r="E198" i="6"/>
  <c r="C198" i="6"/>
  <c r="D198" i="4"/>
  <c r="B198" i="6"/>
  <c r="C198" i="4"/>
  <c r="D197" i="6"/>
  <c r="E197" i="6"/>
  <c r="C197" i="6"/>
  <c r="D197" i="4"/>
  <c r="B197" i="6"/>
  <c r="C197" i="4"/>
  <c r="D196" i="6"/>
  <c r="E196" i="6"/>
  <c r="C196" i="6"/>
  <c r="D196" i="4"/>
  <c r="B196" i="6"/>
  <c r="C196" i="4"/>
  <c r="D195" i="6"/>
  <c r="E195" i="6"/>
  <c r="C195" i="6"/>
  <c r="D195" i="4"/>
  <c r="B195" i="6"/>
  <c r="C195" i="4"/>
  <c r="D193" i="6"/>
  <c r="E193" i="6"/>
  <c r="C193" i="6"/>
  <c r="D193" i="4"/>
  <c r="B193" i="6"/>
  <c r="C193" i="4"/>
  <c r="D192" i="6"/>
  <c r="E192" i="6"/>
  <c r="C192" i="6"/>
  <c r="D192" i="4"/>
  <c r="B192" i="6"/>
  <c r="C192" i="4"/>
  <c r="D191" i="6"/>
  <c r="E191" i="6"/>
  <c r="C191" i="6"/>
  <c r="D191" i="4"/>
  <c r="B191" i="6"/>
  <c r="C191" i="4"/>
  <c r="D190" i="6"/>
  <c r="E190" i="6"/>
  <c r="C190" i="6"/>
  <c r="D190" i="4"/>
  <c r="B190" i="6"/>
  <c r="C190" i="4"/>
  <c r="D189" i="6"/>
  <c r="E189" i="6"/>
  <c r="C189" i="6"/>
  <c r="D189" i="4"/>
  <c r="B189" i="6"/>
  <c r="C189" i="4"/>
  <c r="D188" i="6"/>
  <c r="E188" i="6"/>
  <c r="C188" i="6"/>
  <c r="D188" i="4"/>
  <c r="B188" i="6"/>
  <c r="C188" i="4"/>
  <c r="D187" i="6"/>
  <c r="E187" i="6"/>
  <c r="C187" i="6"/>
  <c r="D187" i="4"/>
  <c r="B187" i="6"/>
  <c r="C187" i="4"/>
  <c r="D186" i="6"/>
  <c r="E186" i="6"/>
  <c r="C186" i="6"/>
  <c r="D186" i="4"/>
  <c r="B186" i="6"/>
  <c r="C186" i="4"/>
  <c r="D185" i="6"/>
  <c r="E185" i="6"/>
  <c r="C185" i="6"/>
  <c r="D185" i="4"/>
  <c r="B185" i="6"/>
  <c r="C185" i="4"/>
  <c r="D184" i="6"/>
  <c r="E184" i="6"/>
  <c r="C184" i="6"/>
  <c r="D184" i="4"/>
  <c r="B184" i="6"/>
  <c r="C184" i="4"/>
  <c r="D183" i="6"/>
  <c r="E183" i="6"/>
  <c r="C183" i="6"/>
  <c r="D183" i="4"/>
  <c r="B183" i="6"/>
  <c r="C183" i="4"/>
  <c r="D182" i="6"/>
  <c r="E182" i="6"/>
  <c r="C182" i="6"/>
  <c r="D182" i="4"/>
  <c r="B182" i="6"/>
  <c r="C182" i="4"/>
  <c r="D181" i="6"/>
  <c r="E181" i="6"/>
  <c r="C181" i="6"/>
  <c r="D181" i="4"/>
  <c r="B181" i="6"/>
  <c r="C181" i="4"/>
  <c r="D180" i="6"/>
  <c r="E180" i="6"/>
  <c r="C180" i="6"/>
  <c r="D180" i="4"/>
  <c r="B180" i="6"/>
  <c r="C180" i="4"/>
  <c r="D179" i="6"/>
  <c r="E179" i="6"/>
  <c r="C179" i="6"/>
  <c r="D179" i="4"/>
  <c r="B179" i="6"/>
  <c r="C179" i="4"/>
  <c r="D178" i="6"/>
  <c r="E178" i="6"/>
  <c r="C178" i="6"/>
  <c r="D178" i="4"/>
  <c r="B178" i="6"/>
  <c r="C178" i="4"/>
  <c r="D177" i="6"/>
  <c r="E177" i="6"/>
  <c r="C177" i="6"/>
  <c r="D177" i="4"/>
  <c r="B177" i="6"/>
  <c r="C177" i="4"/>
  <c r="D176" i="6"/>
  <c r="E176" i="6"/>
  <c r="C176" i="6"/>
  <c r="D176" i="4"/>
  <c r="B176" i="6"/>
  <c r="C176" i="4"/>
  <c r="D175" i="6"/>
  <c r="E175" i="6"/>
  <c r="C175" i="6"/>
  <c r="D175" i="4"/>
  <c r="B175" i="6"/>
  <c r="C175" i="4"/>
  <c r="D174" i="6"/>
  <c r="E174" i="6"/>
  <c r="C174" i="6"/>
  <c r="D174" i="4"/>
  <c r="B174" i="6"/>
  <c r="C174" i="4"/>
  <c r="D173" i="6"/>
  <c r="E173" i="6"/>
  <c r="C173" i="6"/>
  <c r="D173" i="4"/>
  <c r="B173" i="6"/>
  <c r="C173" i="4"/>
  <c r="D172" i="6"/>
  <c r="E172" i="6"/>
  <c r="C172" i="6"/>
  <c r="D172" i="4"/>
  <c r="B172" i="6"/>
  <c r="C172" i="4"/>
  <c r="D171" i="6"/>
  <c r="E171" i="6"/>
  <c r="C171" i="6"/>
  <c r="D171" i="4"/>
  <c r="B171" i="6"/>
  <c r="C171" i="4"/>
  <c r="D170" i="6"/>
  <c r="E170" i="6"/>
  <c r="C170" i="6"/>
  <c r="D170" i="4"/>
  <c r="B170" i="6"/>
  <c r="C170" i="4"/>
  <c r="D169" i="6"/>
  <c r="E169" i="6"/>
  <c r="C169" i="6"/>
  <c r="D169" i="4"/>
  <c r="B169" i="6"/>
  <c r="C169" i="4"/>
  <c r="D168" i="6"/>
  <c r="E168" i="6"/>
  <c r="C168" i="6"/>
  <c r="D168" i="4"/>
  <c r="B168" i="6"/>
  <c r="C168" i="4"/>
  <c r="D167" i="6"/>
  <c r="E167" i="6"/>
  <c r="C167" i="6"/>
  <c r="D167" i="4"/>
  <c r="B167" i="6"/>
  <c r="C167" i="4"/>
  <c r="D166" i="6"/>
  <c r="E166" i="6"/>
  <c r="C166" i="6"/>
  <c r="D166" i="4"/>
  <c r="B166" i="6"/>
  <c r="C166" i="4"/>
  <c r="D165" i="6"/>
  <c r="E165" i="6"/>
  <c r="C165" i="6"/>
  <c r="D165" i="4"/>
  <c r="B165" i="6"/>
  <c r="C165" i="4"/>
  <c r="D164" i="6"/>
  <c r="E164" i="6"/>
  <c r="C164" i="6"/>
  <c r="D164" i="4"/>
  <c r="B164" i="6"/>
  <c r="C164" i="4"/>
  <c r="D163" i="6"/>
  <c r="E163" i="6"/>
  <c r="C163" i="6"/>
  <c r="D163" i="4"/>
  <c r="B163" i="6"/>
  <c r="C163" i="4"/>
  <c r="D162" i="6"/>
  <c r="E162" i="6"/>
  <c r="C162" i="6"/>
  <c r="D162" i="4"/>
  <c r="B162" i="6"/>
  <c r="C162" i="4"/>
  <c r="D161" i="6"/>
  <c r="E161" i="6"/>
  <c r="C161" i="6"/>
  <c r="D161" i="4"/>
  <c r="B161" i="6"/>
  <c r="C161" i="4"/>
  <c r="D160" i="6"/>
  <c r="E160" i="6"/>
  <c r="C160" i="6"/>
  <c r="D160" i="4"/>
  <c r="B160" i="6"/>
  <c r="C160" i="4"/>
  <c r="D159" i="6"/>
  <c r="E159" i="6"/>
  <c r="C159" i="6"/>
  <c r="D159" i="4"/>
  <c r="B159" i="6"/>
  <c r="C159" i="4"/>
  <c r="D158" i="6"/>
  <c r="E158" i="6"/>
  <c r="C158" i="6"/>
  <c r="D158" i="4"/>
  <c r="B158" i="6"/>
  <c r="C158" i="4"/>
  <c r="D157" i="6"/>
  <c r="E157" i="6"/>
  <c r="C157" i="6"/>
  <c r="D157" i="4"/>
  <c r="B157" i="6"/>
  <c r="C157" i="4"/>
  <c r="D156" i="6"/>
  <c r="E156" i="6"/>
  <c r="C156" i="6"/>
  <c r="D156" i="4"/>
  <c r="B156" i="6"/>
  <c r="C156" i="4"/>
  <c r="D155" i="6"/>
  <c r="E155" i="6"/>
  <c r="C155" i="6"/>
  <c r="D155" i="4"/>
  <c r="B155" i="6"/>
  <c r="C155" i="4"/>
  <c r="D154" i="6"/>
  <c r="E154" i="6"/>
  <c r="C154" i="6"/>
  <c r="D154" i="4"/>
  <c r="B154" i="6"/>
  <c r="C154" i="4"/>
  <c r="D153" i="6"/>
  <c r="E153" i="6"/>
  <c r="C153" i="6"/>
  <c r="D153" i="4"/>
  <c r="B153" i="6"/>
  <c r="C153" i="4"/>
  <c r="D152" i="6"/>
  <c r="E152" i="6"/>
  <c r="G152" i="6"/>
  <c r="C152" i="6"/>
  <c r="D152" i="4"/>
  <c r="B152" i="6"/>
  <c r="C152" i="4"/>
  <c r="D151" i="6"/>
  <c r="E151" i="6"/>
  <c r="C151" i="6"/>
  <c r="D151" i="4"/>
  <c r="B151" i="6"/>
  <c r="C151" i="4"/>
  <c r="D150" i="6"/>
  <c r="E150" i="6"/>
  <c r="C150" i="6"/>
  <c r="D150" i="4"/>
  <c r="B150" i="6"/>
  <c r="C150" i="4"/>
  <c r="D149" i="6"/>
  <c r="E149" i="6"/>
  <c r="C149" i="6"/>
  <c r="D149" i="4"/>
  <c r="B149" i="6"/>
  <c r="C149" i="4"/>
  <c r="D148" i="6"/>
  <c r="E148" i="6"/>
  <c r="C148" i="6"/>
  <c r="D148" i="4"/>
  <c r="B148" i="6"/>
  <c r="C148" i="4"/>
  <c r="D147" i="6"/>
  <c r="E147" i="6"/>
  <c r="C147" i="6"/>
  <c r="D147" i="4"/>
  <c r="B147" i="6"/>
  <c r="C147" i="4"/>
  <c r="D146" i="6"/>
  <c r="E146" i="6"/>
  <c r="C146" i="6"/>
  <c r="D146" i="4"/>
  <c r="B146" i="6"/>
  <c r="C146" i="4"/>
  <c r="D145" i="6"/>
  <c r="E145" i="6"/>
  <c r="C145" i="6"/>
  <c r="D145" i="4"/>
  <c r="B145" i="6"/>
  <c r="C145" i="4"/>
  <c r="D144" i="6"/>
  <c r="E144" i="6"/>
  <c r="C144" i="6"/>
  <c r="D144" i="4"/>
  <c r="B144" i="6"/>
  <c r="C144" i="4"/>
  <c r="D143" i="6"/>
  <c r="E143" i="6"/>
  <c r="C143" i="6"/>
  <c r="D143" i="4"/>
  <c r="B143" i="6"/>
  <c r="C143" i="4"/>
  <c r="D142" i="6"/>
  <c r="E142" i="6"/>
  <c r="G142" i="6"/>
  <c r="C142" i="6"/>
  <c r="D142" i="4"/>
  <c r="B142" i="6"/>
  <c r="C142" i="4"/>
  <c r="D140" i="6"/>
  <c r="E140" i="6"/>
  <c r="C140" i="6"/>
  <c r="D140" i="4"/>
  <c r="B140" i="6"/>
  <c r="C140" i="4"/>
  <c r="D139" i="6"/>
  <c r="E139" i="6"/>
  <c r="C139" i="6"/>
  <c r="D139" i="4"/>
  <c r="B139" i="6"/>
  <c r="C139" i="4"/>
  <c r="D138" i="6"/>
  <c r="E138" i="6"/>
  <c r="C138" i="6"/>
  <c r="D138" i="4"/>
  <c r="B138" i="6"/>
  <c r="C138" i="4"/>
  <c r="D137" i="6"/>
  <c r="E137" i="6"/>
  <c r="C137" i="6"/>
  <c r="D137" i="4"/>
  <c r="B137" i="6"/>
  <c r="C137" i="4"/>
  <c r="D136" i="6"/>
  <c r="E136" i="6"/>
  <c r="C136" i="6"/>
  <c r="D136" i="4"/>
  <c r="B136" i="6"/>
  <c r="C136" i="4"/>
  <c r="D135" i="6"/>
  <c r="E135" i="6"/>
  <c r="C135" i="6"/>
  <c r="D135" i="4"/>
  <c r="B135" i="6"/>
  <c r="C135" i="4"/>
  <c r="D134" i="6"/>
  <c r="E134" i="6"/>
  <c r="C134" i="6"/>
  <c r="D134" i="4"/>
  <c r="B134" i="6"/>
  <c r="C134" i="4"/>
  <c r="D133" i="6"/>
  <c r="E133" i="6"/>
  <c r="C133" i="6"/>
  <c r="D133" i="4"/>
  <c r="B133" i="6"/>
  <c r="C133" i="4"/>
  <c r="D132" i="6"/>
  <c r="E132" i="6"/>
  <c r="C132" i="6"/>
  <c r="D132" i="4"/>
  <c r="B132" i="6"/>
  <c r="C132" i="4"/>
  <c r="D131" i="6"/>
  <c r="E131" i="6"/>
  <c r="C131" i="6"/>
  <c r="D131" i="4"/>
  <c r="B131" i="6"/>
  <c r="C131" i="4"/>
  <c r="D130" i="6"/>
  <c r="E130" i="6"/>
  <c r="C130" i="6"/>
  <c r="D130" i="4"/>
  <c r="B130" i="6"/>
  <c r="C130" i="4"/>
  <c r="D129" i="6"/>
  <c r="E129" i="6"/>
  <c r="C129" i="6"/>
  <c r="D129" i="4"/>
  <c r="B129" i="6"/>
  <c r="C129" i="4"/>
  <c r="D128" i="6"/>
  <c r="E128" i="6"/>
  <c r="C128" i="6"/>
  <c r="D128" i="4"/>
  <c r="B128" i="6"/>
  <c r="C128" i="4"/>
  <c r="D127" i="6"/>
  <c r="E127" i="6"/>
  <c r="C127" i="6"/>
  <c r="D127" i="4"/>
  <c r="B127" i="6"/>
  <c r="C127" i="4"/>
  <c r="D126" i="6"/>
  <c r="E126" i="6"/>
  <c r="C126" i="6"/>
  <c r="D126" i="4"/>
  <c r="B126" i="6"/>
  <c r="C126" i="4"/>
  <c r="D125" i="6"/>
  <c r="E125" i="6"/>
  <c r="C125" i="6"/>
  <c r="D125" i="4"/>
  <c r="B125" i="6"/>
  <c r="C125" i="4"/>
  <c r="D124" i="6"/>
  <c r="E124" i="6"/>
  <c r="C124" i="6"/>
  <c r="D124" i="4"/>
  <c r="B124" i="6"/>
  <c r="C124" i="4"/>
  <c r="D123" i="6"/>
  <c r="E123" i="6"/>
  <c r="C123" i="6"/>
  <c r="D123" i="4"/>
  <c r="B123" i="6"/>
  <c r="C123" i="4"/>
  <c r="D122" i="6"/>
  <c r="E122" i="6"/>
  <c r="C122" i="6"/>
  <c r="D122" i="4"/>
  <c r="B122" i="6"/>
  <c r="C122" i="4"/>
  <c r="D121" i="6"/>
  <c r="E121" i="6"/>
  <c r="C121" i="6"/>
  <c r="D121" i="4"/>
  <c r="B121" i="6"/>
  <c r="C121" i="4"/>
  <c r="D120" i="6"/>
  <c r="E120" i="6"/>
  <c r="C120" i="6"/>
  <c r="D120" i="4"/>
  <c r="B120" i="6"/>
  <c r="C120" i="4"/>
  <c r="D119" i="6"/>
  <c r="E119" i="6"/>
  <c r="C119" i="6"/>
  <c r="D119" i="4"/>
  <c r="B119" i="6"/>
  <c r="C119" i="4"/>
  <c r="D118" i="6"/>
  <c r="E118" i="6"/>
  <c r="C118" i="6"/>
  <c r="D118" i="4"/>
  <c r="B118" i="6"/>
  <c r="C118" i="4"/>
  <c r="D117" i="6"/>
  <c r="E117" i="6"/>
  <c r="C117" i="6"/>
  <c r="D117" i="4"/>
  <c r="B117" i="6"/>
  <c r="C117" i="4"/>
  <c r="D116" i="6"/>
  <c r="E116" i="6"/>
  <c r="C116" i="6"/>
  <c r="D116" i="4"/>
  <c r="B116" i="6"/>
  <c r="C116" i="4"/>
  <c r="D115" i="6"/>
  <c r="E115" i="6"/>
  <c r="C115" i="6"/>
  <c r="D115" i="4"/>
  <c r="B115" i="6"/>
  <c r="C115" i="4"/>
  <c r="D114" i="6"/>
  <c r="E114" i="6"/>
  <c r="C114" i="6"/>
  <c r="D114" i="4"/>
  <c r="B114" i="6"/>
  <c r="C114" i="4"/>
  <c r="D113" i="6"/>
  <c r="E113" i="6"/>
  <c r="C113" i="6"/>
  <c r="D113" i="4"/>
  <c r="B113" i="6"/>
  <c r="C113" i="4"/>
  <c r="D112" i="6"/>
  <c r="E112" i="6"/>
  <c r="C112" i="6"/>
  <c r="D112" i="4"/>
  <c r="B112" i="6"/>
  <c r="C112" i="4"/>
  <c r="D111" i="6"/>
  <c r="E111" i="6"/>
  <c r="C111" i="6"/>
  <c r="D111" i="4"/>
  <c r="B111" i="6"/>
  <c r="C111" i="4"/>
  <c r="D110" i="6"/>
  <c r="E110" i="6"/>
  <c r="C110" i="6"/>
  <c r="D110" i="4"/>
  <c r="B110" i="6"/>
  <c r="C110" i="4"/>
  <c r="D109" i="6"/>
  <c r="E109" i="6"/>
  <c r="C109" i="6"/>
  <c r="D109" i="4"/>
  <c r="B109" i="6"/>
  <c r="C109" i="4"/>
  <c r="D108" i="6"/>
  <c r="E108" i="6"/>
  <c r="C108" i="6"/>
  <c r="D108" i="4"/>
  <c r="B108" i="6"/>
  <c r="C108" i="4"/>
  <c r="D107" i="6"/>
  <c r="E107" i="6"/>
  <c r="C107" i="6"/>
  <c r="D107" i="4"/>
  <c r="B107" i="6"/>
  <c r="C107" i="4"/>
  <c r="D106" i="6"/>
  <c r="E106" i="6"/>
  <c r="C106" i="6"/>
  <c r="D106" i="4"/>
  <c r="B106" i="6"/>
  <c r="C106" i="4"/>
  <c r="D105" i="6"/>
  <c r="E105" i="6"/>
  <c r="C105" i="6"/>
  <c r="D105" i="4"/>
  <c r="B105" i="6"/>
  <c r="C105" i="4"/>
  <c r="D104" i="6"/>
  <c r="E104" i="6"/>
  <c r="C104" i="6"/>
  <c r="D104" i="4"/>
  <c r="B104" i="6"/>
  <c r="C104" i="4"/>
  <c r="D103" i="6"/>
  <c r="E103" i="6"/>
  <c r="G103" i="6"/>
  <c r="C103" i="6"/>
  <c r="D103" i="4"/>
  <c r="B103" i="6"/>
  <c r="C103" i="4"/>
  <c r="D102" i="6"/>
  <c r="E102" i="6"/>
  <c r="G102" i="6"/>
  <c r="C102" i="6"/>
  <c r="D102" i="4"/>
  <c r="B102" i="6"/>
  <c r="C102" i="4"/>
  <c r="D101" i="6"/>
  <c r="E101" i="6"/>
  <c r="C101" i="6"/>
  <c r="D101" i="4"/>
  <c r="B101" i="6"/>
  <c r="C101" i="4"/>
  <c r="D100" i="6"/>
  <c r="E100" i="6"/>
  <c r="G100" i="6"/>
  <c r="C100" i="6"/>
  <c r="D100" i="4"/>
  <c r="B100" i="6"/>
  <c r="C100" i="4"/>
  <c r="D99" i="6"/>
  <c r="E99" i="6"/>
  <c r="G99" i="6"/>
  <c r="C99" i="6"/>
  <c r="D99" i="4"/>
  <c r="B99" i="6"/>
  <c r="C99" i="4"/>
  <c r="D98" i="6"/>
  <c r="E98" i="6"/>
  <c r="G98" i="6"/>
  <c r="C98" i="6"/>
  <c r="D98" i="4"/>
  <c r="B98" i="6"/>
  <c r="C98" i="4"/>
  <c r="D97" i="6"/>
  <c r="E97" i="6"/>
  <c r="C97" i="6"/>
  <c r="D97" i="4"/>
  <c r="B97" i="6"/>
  <c r="C97" i="4"/>
  <c r="D96" i="6"/>
  <c r="E96" i="6"/>
  <c r="G96" i="6"/>
  <c r="C96" i="6"/>
  <c r="D96" i="4"/>
  <c r="B96" i="6"/>
  <c r="C96" i="4"/>
  <c r="D95" i="6"/>
  <c r="E95" i="6"/>
  <c r="G95" i="6"/>
  <c r="C95" i="6"/>
  <c r="D95" i="4"/>
  <c r="B95" i="6"/>
  <c r="C95" i="4"/>
  <c r="D94" i="6"/>
  <c r="E94" i="6"/>
  <c r="G94" i="6"/>
  <c r="C94" i="6"/>
  <c r="D94" i="4"/>
  <c r="B94" i="6"/>
  <c r="C94" i="4"/>
  <c r="D93" i="6"/>
  <c r="E93" i="6"/>
  <c r="C93" i="6"/>
  <c r="D93" i="4"/>
  <c r="B93" i="6"/>
  <c r="C93" i="4"/>
  <c r="D92" i="6"/>
  <c r="E92" i="6"/>
  <c r="G92" i="6"/>
  <c r="C92" i="6"/>
  <c r="D92" i="4"/>
  <c r="B92" i="6"/>
  <c r="C92" i="4"/>
  <c r="D91" i="6"/>
  <c r="E91" i="6"/>
  <c r="G91" i="6"/>
  <c r="C91" i="6"/>
  <c r="D91" i="4"/>
  <c r="B91" i="6"/>
  <c r="C91" i="4"/>
  <c r="D90" i="6"/>
  <c r="E90" i="6"/>
  <c r="G90" i="6"/>
  <c r="C90" i="6"/>
  <c r="D90" i="4"/>
  <c r="B90" i="6"/>
  <c r="C90" i="4"/>
  <c r="D89" i="6"/>
  <c r="E89" i="6"/>
  <c r="C89" i="6"/>
  <c r="D89" i="4"/>
  <c r="B89" i="6"/>
  <c r="C89" i="4"/>
  <c r="D88" i="6"/>
  <c r="E88" i="6"/>
  <c r="G88" i="6"/>
  <c r="C88" i="6"/>
  <c r="D88" i="4"/>
  <c r="B88" i="6"/>
  <c r="C88" i="4"/>
  <c r="D87" i="6"/>
  <c r="E87" i="6"/>
  <c r="G87" i="6"/>
  <c r="C87" i="6"/>
  <c r="D87" i="4"/>
  <c r="B87" i="6"/>
  <c r="C87" i="4"/>
  <c r="D86" i="6"/>
  <c r="E86" i="6"/>
  <c r="G86" i="6"/>
  <c r="C86" i="6"/>
  <c r="D86" i="4"/>
  <c r="B86" i="6"/>
  <c r="C86" i="4"/>
  <c r="D85" i="6"/>
  <c r="E85" i="6"/>
  <c r="C85" i="6"/>
  <c r="D85" i="4"/>
  <c r="B85" i="6"/>
  <c r="C85" i="4"/>
  <c r="D84" i="6"/>
  <c r="E84" i="6"/>
  <c r="G84" i="6"/>
  <c r="C84" i="6"/>
  <c r="D84" i="4"/>
  <c r="B84" i="6"/>
  <c r="C84" i="4"/>
  <c r="D82" i="6"/>
  <c r="E82" i="6"/>
  <c r="G82" i="6"/>
  <c r="C82" i="6"/>
  <c r="D82" i="4"/>
  <c r="B82" i="6"/>
  <c r="C82" i="4"/>
  <c r="D81" i="6"/>
  <c r="E81" i="6"/>
  <c r="G81" i="6"/>
  <c r="C81" i="6"/>
  <c r="D81" i="4"/>
  <c r="B81" i="6"/>
  <c r="C81" i="4"/>
  <c r="D80" i="6"/>
  <c r="E80" i="6"/>
  <c r="C80" i="6"/>
  <c r="D80" i="4"/>
  <c r="B80" i="6"/>
  <c r="C80" i="4"/>
  <c r="D79" i="6"/>
  <c r="E79" i="6"/>
  <c r="G79" i="6"/>
  <c r="C79" i="6"/>
  <c r="D79" i="4"/>
  <c r="B79" i="6"/>
  <c r="C79" i="4"/>
  <c r="D78" i="6"/>
  <c r="E78" i="6"/>
  <c r="G78" i="6"/>
  <c r="C78" i="6"/>
  <c r="D78" i="4"/>
  <c r="B78" i="6"/>
  <c r="C78" i="4"/>
  <c r="D77" i="6"/>
  <c r="E77" i="6"/>
  <c r="G77" i="6"/>
  <c r="C77" i="6"/>
  <c r="D77" i="4"/>
  <c r="B77" i="6"/>
  <c r="C77" i="4"/>
  <c r="D76" i="6"/>
  <c r="E76" i="6"/>
  <c r="C76" i="6"/>
  <c r="D76" i="4"/>
  <c r="B76" i="6"/>
  <c r="C76" i="4"/>
  <c r="D75" i="6"/>
  <c r="E75" i="6"/>
  <c r="G75" i="6"/>
  <c r="C75" i="6"/>
  <c r="D75" i="4"/>
  <c r="B75" i="6"/>
  <c r="C75" i="4"/>
  <c r="D74" i="6"/>
  <c r="E74" i="6"/>
  <c r="G74" i="6"/>
  <c r="C74" i="6"/>
  <c r="D74" i="4"/>
  <c r="B74" i="6"/>
  <c r="C74" i="4"/>
  <c r="D73" i="6"/>
  <c r="E73" i="6"/>
  <c r="G73" i="6"/>
  <c r="C73" i="6"/>
  <c r="D73" i="4"/>
  <c r="B73" i="6"/>
  <c r="C73" i="4"/>
  <c r="D72" i="6"/>
  <c r="E72" i="6"/>
  <c r="C72" i="6"/>
  <c r="D72" i="4"/>
  <c r="B72" i="6"/>
  <c r="C72" i="4"/>
  <c r="D71" i="6"/>
  <c r="E71" i="6"/>
  <c r="G71" i="6"/>
  <c r="C71" i="6"/>
  <c r="D71" i="4"/>
  <c r="B71" i="6"/>
  <c r="C71" i="4"/>
  <c r="D70" i="6"/>
  <c r="E70" i="6"/>
  <c r="G70" i="6"/>
  <c r="C70" i="6"/>
  <c r="D70" i="4"/>
  <c r="B70" i="6"/>
  <c r="C70" i="4"/>
  <c r="D69" i="6"/>
  <c r="E69" i="6"/>
  <c r="G69" i="6"/>
  <c r="C69" i="6"/>
  <c r="D69" i="4"/>
  <c r="B69" i="6"/>
  <c r="C69" i="4"/>
  <c r="D68" i="6"/>
  <c r="E68" i="6"/>
  <c r="C68" i="6"/>
  <c r="D68" i="4"/>
  <c r="B68" i="6"/>
  <c r="C68" i="4"/>
  <c r="D67" i="6"/>
  <c r="E67" i="6"/>
  <c r="G67" i="6"/>
  <c r="C67" i="6"/>
  <c r="D67" i="4"/>
  <c r="B67" i="6"/>
  <c r="C67" i="4"/>
  <c r="G66" i="6"/>
  <c r="D66" i="6"/>
  <c r="E66" i="6"/>
  <c r="C66" i="6"/>
  <c r="D66" i="4"/>
  <c r="B66" i="6"/>
  <c r="C66" i="4"/>
  <c r="G65" i="6"/>
  <c r="D65" i="6"/>
  <c r="E65" i="6"/>
  <c r="C65" i="6"/>
  <c r="D65" i="4"/>
  <c r="B65" i="6"/>
  <c r="C65" i="4"/>
  <c r="D64" i="6"/>
  <c r="E64" i="6"/>
  <c r="C64" i="6"/>
  <c r="D64" i="4"/>
  <c r="B64" i="6"/>
  <c r="C64" i="4"/>
  <c r="G63" i="6"/>
  <c r="D63" i="6"/>
  <c r="E63" i="6"/>
  <c r="C63" i="6"/>
  <c r="D63" i="4"/>
  <c r="B63" i="6"/>
  <c r="C63" i="4"/>
  <c r="G62" i="6"/>
  <c r="D62" i="6"/>
  <c r="E62" i="6"/>
  <c r="C62" i="6"/>
  <c r="D62" i="4"/>
  <c r="B62" i="6"/>
  <c r="C62" i="4"/>
  <c r="G61" i="6"/>
  <c r="D61" i="6"/>
  <c r="E61" i="6"/>
  <c r="C61" i="6"/>
  <c r="D61" i="4"/>
  <c r="B61" i="6"/>
  <c r="C61" i="4"/>
  <c r="D60" i="6"/>
  <c r="E60" i="6"/>
  <c r="C60" i="6"/>
  <c r="D60" i="4"/>
  <c r="B60" i="6"/>
  <c r="C60" i="4"/>
  <c r="G59" i="6"/>
  <c r="D59" i="6"/>
  <c r="E59" i="6"/>
  <c r="C59" i="6"/>
  <c r="D59" i="4"/>
  <c r="B59" i="6"/>
  <c r="C59" i="4"/>
  <c r="G58" i="6"/>
  <c r="D58" i="6"/>
  <c r="E58" i="6"/>
  <c r="C58" i="6"/>
  <c r="D58" i="4"/>
  <c r="B58" i="6"/>
  <c r="C58" i="4"/>
  <c r="G57" i="6"/>
  <c r="D57" i="6"/>
  <c r="E57" i="6"/>
  <c r="C57" i="6"/>
  <c r="D57" i="4"/>
  <c r="B57" i="6"/>
  <c r="C57" i="4"/>
  <c r="D56" i="6"/>
  <c r="E56" i="6"/>
  <c r="C56" i="6"/>
  <c r="D56" i="4"/>
  <c r="B56" i="6"/>
  <c r="C56" i="4"/>
  <c r="G55" i="6"/>
  <c r="D55" i="6"/>
  <c r="E55" i="6"/>
  <c r="C55" i="6"/>
  <c r="D55" i="4"/>
  <c r="B55" i="6"/>
  <c r="C55" i="4"/>
  <c r="G54" i="6"/>
  <c r="D54" i="6"/>
  <c r="E54" i="6"/>
  <c r="C54" i="6"/>
  <c r="D54" i="4"/>
  <c r="B54" i="6"/>
  <c r="C54" i="4"/>
  <c r="G53" i="6"/>
  <c r="D53" i="6"/>
  <c r="E53" i="6"/>
  <c r="C53" i="6"/>
  <c r="D53" i="4"/>
  <c r="B53" i="6"/>
  <c r="C53" i="4"/>
  <c r="D52" i="6"/>
  <c r="E52" i="6"/>
  <c r="C52" i="6"/>
  <c r="D52" i="4"/>
  <c r="B52" i="6"/>
  <c r="C52" i="4"/>
  <c r="G51" i="6"/>
  <c r="D51" i="6"/>
  <c r="E51" i="6"/>
  <c r="C51" i="6"/>
  <c r="D51" i="4"/>
  <c r="B51" i="6"/>
  <c r="C51" i="4"/>
  <c r="G50" i="6"/>
  <c r="D50" i="6"/>
  <c r="E50" i="6"/>
  <c r="C50" i="6"/>
  <c r="D50" i="4"/>
  <c r="B50" i="6"/>
  <c r="C50" i="4"/>
  <c r="D48" i="6"/>
  <c r="E48" i="6"/>
  <c r="C48" i="6"/>
  <c r="D48" i="4"/>
  <c r="B48" i="6"/>
  <c r="C48" i="4"/>
  <c r="D47" i="6"/>
  <c r="E47" i="6"/>
  <c r="C47" i="6"/>
  <c r="D47" i="4"/>
  <c r="B47" i="6"/>
  <c r="C47" i="4"/>
  <c r="D46" i="6"/>
  <c r="E46" i="6"/>
  <c r="C46" i="6"/>
  <c r="D46" i="4"/>
  <c r="B46" i="6"/>
  <c r="C46" i="4"/>
  <c r="D45" i="6"/>
  <c r="E45" i="6"/>
  <c r="C45" i="6"/>
  <c r="D45" i="4"/>
  <c r="B45" i="6"/>
  <c r="C45" i="4"/>
  <c r="D42" i="6"/>
  <c r="E42" i="6"/>
  <c r="C42" i="6"/>
  <c r="D42" i="4"/>
  <c r="B42" i="6"/>
  <c r="C42" i="4"/>
  <c r="D41" i="6"/>
  <c r="E41" i="6"/>
  <c r="C41" i="6"/>
  <c r="D41" i="4"/>
  <c r="B41" i="6"/>
  <c r="C41" i="4"/>
  <c r="D40" i="6"/>
  <c r="E40" i="6"/>
  <c r="C40" i="6"/>
  <c r="D40" i="4"/>
  <c r="B40" i="6"/>
  <c r="C40" i="4"/>
  <c r="D39" i="6"/>
  <c r="E39" i="6"/>
  <c r="C39" i="6"/>
  <c r="D39" i="4"/>
  <c r="B39" i="6"/>
  <c r="C39" i="4"/>
  <c r="D12" i="6"/>
  <c r="E12" i="6"/>
  <c r="B12" i="6"/>
  <c r="C12" i="4"/>
  <c r="C12" i="6"/>
  <c r="D12" i="4"/>
  <c r="D13" i="6"/>
  <c r="E13" i="6"/>
  <c r="B13" i="6"/>
  <c r="C13" i="4"/>
  <c r="C13" i="6"/>
  <c r="D13" i="4"/>
  <c r="D14" i="6"/>
  <c r="E14" i="6"/>
  <c r="B14" i="6"/>
  <c r="C14" i="4"/>
  <c r="C14" i="6"/>
  <c r="D14" i="4"/>
  <c r="D15" i="6"/>
  <c r="E15" i="6"/>
  <c r="B15" i="6"/>
  <c r="C15" i="4"/>
  <c r="C15" i="6"/>
  <c r="D15" i="4"/>
  <c r="D16" i="6"/>
  <c r="E16" i="6"/>
  <c r="B16" i="6"/>
  <c r="C16" i="4"/>
  <c r="C16" i="6"/>
  <c r="D16" i="4"/>
  <c r="G17" i="6"/>
  <c r="D17" i="6"/>
  <c r="E17" i="6"/>
  <c r="F17" i="6"/>
  <c r="J17" i="6"/>
  <c r="H17" i="6"/>
  <c r="D33" i="2"/>
  <c r="P17" i="6"/>
  <c r="Q17" i="6"/>
  <c r="B17" i="6"/>
  <c r="C17" i="4"/>
  <c r="K17" i="6"/>
  <c r="O17" i="6"/>
  <c r="I17" i="6"/>
  <c r="D35" i="2"/>
  <c r="R17" i="6"/>
  <c r="S17" i="6"/>
  <c r="C17" i="6"/>
  <c r="D17" i="4"/>
  <c r="G18" i="6"/>
  <c r="D18" i="6"/>
  <c r="E18" i="6"/>
  <c r="F18" i="6"/>
  <c r="J18" i="6"/>
  <c r="H18" i="6"/>
  <c r="P18" i="6"/>
  <c r="Q18" i="6"/>
  <c r="W18" i="4" s="1"/>
  <c r="B18" i="6"/>
  <c r="C18" i="4"/>
  <c r="K18" i="6"/>
  <c r="O18" i="6"/>
  <c r="I18" i="6"/>
  <c r="R18" i="6"/>
  <c r="S18" i="6"/>
  <c r="X18" i="4" s="1"/>
  <c r="C18" i="6"/>
  <c r="D18" i="4"/>
  <c r="G19" i="6"/>
  <c r="D19" i="6"/>
  <c r="E19" i="6"/>
  <c r="F19" i="6"/>
  <c r="J19" i="6"/>
  <c r="H19" i="6"/>
  <c r="P19" i="6"/>
  <c r="Q19" i="6"/>
  <c r="W19" i="4" s="1"/>
  <c r="B19" i="6"/>
  <c r="C19" i="4"/>
  <c r="K19" i="6"/>
  <c r="O19" i="6"/>
  <c r="I19" i="6"/>
  <c r="R19" i="6"/>
  <c r="S19" i="6"/>
  <c r="X19" i="4" s="1"/>
  <c r="C19" i="6"/>
  <c r="D19" i="4"/>
  <c r="D20" i="6"/>
  <c r="E20" i="6"/>
  <c r="B20" i="6"/>
  <c r="C20" i="4"/>
  <c r="C20" i="6"/>
  <c r="D20" i="4"/>
  <c r="G21" i="6"/>
  <c r="D21" i="6"/>
  <c r="E21" i="6"/>
  <c r="F21" i="6"/>
  <c r="J21" i="6"/>
  <c r="H21" i="6"/>
  <c r="P21" i="6"/>
  <c r="Q21" i="6"/>
  <c r="W21" i="4" s="1"/>
  <c r="B21" i="6"/>
  <c r="C21" i="4"/>
  <c r="K21" i="6"/>
  <c r="O21" i="6"/>
  <c r="I21" i="6"/>
  <c r="R21" i="6"/>
  <c r="S21" i="6"/>
  <c r="X21" i="4" s="1"/>
  <c r="C21" i="6"/>
  <c r="D21" i="4"/>
  <c r="D22" i="6"/>
  <c r="E22" i="6"/>
  <c r="B22" i="6"/>
  <c r="C22" i="4"/>
  <c r="C22" i="6"/>
  <c r="D22" i="4"/>
  <c r="G23" i="6"/>
  <c r="D23" i="6"/>
  <c r="E23" i="6"/>
  <c r="F23" i="6"/>
  <c r="J23" i="6"/>
  <c r="H23" i="6"/>
  <c r="P23" i="6"/>
  <c r="Q23" i="6"/>
  <c r="W23" i="4" s="1"/>
  <c r="B23" i="6"/>
  <c r="C23" i="4"/>
  <c r="K23" i="6"/>
  <c r="O23" i="6"/>
  <c r="I23" i="6"/>
  <c r="R23" i="6"/>
  <c r="S23" i="6"/>
  <c r="C23" i="6"/>
  <c r="D23" i="4"/>
  <c r="D24" i="6"/>
  <c r="E24" i="6"/>
  <c r="B24" i="6"/>
  <c r="C24" i="4"/>
  <c r="C24" i="6"/>
  <c r="D24" i="4"/>
  <c r="D25" i="6"/>
  <c r="E25" i="6"/>
  <c r="B25" i="6"/>
  <c r="C25" i="4"/>
  <c r="C25" i="6"/>
  <c r="D25" i="4"/>
  <c r="G26" i="6"/>
  <c r="D26" i="6"/>
  <c r="E26" i="6"/>
  <c r="F26" i="6"/>
  <c r="J26" i="6"/>
  <c r="H26" i="6"/>
  <c r="P26" i="6"/>
  <c r="Q26" i="6"/>
  <c r="W26" i="4" s="1"/>
  <c r="B26" i="6"/>
  <c r="C26" i="4"/>
  <c r="K26" i="6"/>
  <c r="O26" i="6"/>
  <c r="I26" i="6"/>
  <c r="R26" i="6"/>
  <c r="S26" i="6"/>
  <c r="X26" i="4" s="1"/>
  <c r="C26" i="6"/>
  <c r="D26" i="4"/>
  <c r="D27" i="6"/>
  <c r="E27" i="6"/>
  <c r="B27" i="6"/>
  <c r="C27" i="4"/>
  <c r="C27" i="6"/>
  <c r="D27" i="4"/>
  <c r="D28" i="6"/>
  <c r="E28" i="6"/>
  <c r="F28" i="6"/>
  <c r="J28" i="6"/>
  <c r="H28" i="6"/>
  <c r="P28" i="6"/>
  <c r="Q28" i="6"/>
  <c r="W28" i="4" s="1"/>
  <c r="B28" i="6"/>
  <c r="C28" i="4"/>
  <c r="K28" i="6"/>
  <c r="I28" i="6"/>
  <c r="R28" i="6"/>
  <c r="S28" i="6"/>
  <c r="C28" i="6"/>
  <c r="D28" i="4"/>
  <c r="D29" i="6"/>
  <c r="E29" i="6"/>
  <c r="B29" i="6"/>
  <c r="C29" i="4"/>
  <c r="C29" i="6"/>
  <c r="D29" i="4"/>
  <c r="D30" i="6"/>
  <c r="E30" i="6"/>
  <c r="B30" i="6"/>
  <c r="C30" i="4"/>
  <c r="C30" i="6"/>
  <c r="D30" i="4"/>
  <c r="D31" i="6"/>
  <c r="E31" i="6"/>
  <c r="B31" i="6"/>
  <c r="C31" i="4"/>
  <c r="C31" i="6"/>
  <c r="D31" i="4"/>
  <c r="D32" i="6"/>
  <c r="E32" i="6"/>
  <c r="B32" i="6"/>
  <c r="C32" i="4"/>
  <c r="C32" i="6"/>
  <c r="D32" i="4"/>
  <c r="D33" i="6"/>
  <c r="E33" i="6"/>
  <c r="B33" i="6"/>
  <c r="C33" i="4"/>
  <c r="C33" i="6"/>
  <c r="D33" i="4"/>
  <c r="D34" i="6"/>
  <c r="E34" i="6"/>
  <c r="B34" i="6"/>
  <c r="C34" i="4"/>
  <c r="C34" i="6"/>
  <c r="D34" i="4"/>
  <c r="D35" i="6"/>
  <c r="E35" i="6"/>
  <c r="B35" i="6"/>
  <c r="C35" i="4"/>
  <c r="C35" i="6"/>
  <c r="D35" i="4"/>
  <c r="G36" i="6"/>
  <c r="D36" i="6"/>
  <c r="E36" i="6"/>
  <c r="F36" i="6"/>
  <c r="Q36" i="6"/>
  <c r="B36" i="6"/>
  <c r="C36" i="4"/>
  <c r="S36" i="6"/>
  <c r="C36" i="6"/>
  <c r="D36" i="4"/>
  <c r="D37" i="6"/>
  <c r="E37" i="6"/>
  <c r="B37" i="6"/>
  <c r="C37" i="4"/>
  <c r="C37" i="6"/>
  <c r="D37" i="4"/>
  <c r="B28" i="4"/>
  <c r="B12" i="4"/>
  <c r="B13" i="4"/>
  <c r="B14" i="4"/>
  <c r="B15" i="4"/>
  <c r="B16" i="4"/>
  <c r="B17" i="4"/>
  <c r="B18" i="4"/>
  <c r="B19" i="4"/>
  <c r="B20" i="4"/>
  <c r="B21" i="4"/>
  <c r="B22" i="4"/>
  <c r="B23" i="4"/>
  <c r="B24" i="4"/>
  <c r="B25" i="4"/>
  <c r="B26" i="4"/>
  <c r="B27" i="4"/>
  <c r="T48" i="3"/>
  <c r="P48" i="8" s="1"/>
  <c r="AI48" i="8"/>
  <c r="J48" i="8"/>
  <c r="AJ48" i="8"/>
  <c r="O48" i="8"/>
  <c r="U48" i="8"/>
  <c r="W48" i="8" s="1"/>
  <c r="M48" i="8"/>
  <c r="F48" i="6"/>
  <c r="S48" i="6"/>
  <c r="X48" i="4" s="1"/>
  <c r="Q48" i="6"/>
  <c r="W48" i="4" s="1"/>
  <c r="I48" i="5"/>
  <c r="J48" i="5"/>
  <c r="K48" i="5"/>
  <c r="N48" i="5"/>
  <c r="O48" i="5"/>
  <c r="V48" i="4" s="1"/>
  <c r="M48" i="9"/>
  <c r="U48" i="4" s="1"/>
  <c r="AY48" i="8"/>
  <c r="R48" i="4" s="1"/>
  <c r="AX48" i="8"/>
  <c r="Q48" i="4" s="1"/>
  <c r="AW48" i="8"/>
  <c r="P48" i="4" s="1"/>
  <c r="AV48" i="8"/>
  <c r="O48" i="4" s="1"/>
  <c r="U48" i="6"/>
  <c r="M48" i="4" s="1"/>
  <c r="T48" i="6"/>
  <c r="L48" i="4" s="1"/>
  <c r="I48" i="9"/>
  <c r="J48" i="9"/>
  <c r="B48" i="9"/>
  <c r="J48" i="4"/>
  <c r="T47" i="3"/>
  <c r="P47" i="8" s="1"/>
  <c r="AI47" i="8"/>
  <c r="J47" i="8"/>
  <c r="R47" i="8" s="1"/>
  <c r="AJ47" i="8"/>
  <c r="O47" i="8"/>
  <c r="U47" i="8" s="1"/>
  <c r="M47" i="8"/>
  <c r="F47" i="6"/>
  <c r="S47" i="6"/>
  <c r="X47" i="4" s="1"/>
  <c r="Q47" i="6"/>
  <c r="W47" i="4" s="1"/>
  <c r="V47" i="4"/>
  <c r="M47" i="9"/>
  <c r="U47" i="4" s="1"/>
  <c r="AY47" i="8"/>
  <c r="R47" i="4" s="1"/>
  <c r="AX47" i="8"/>
  <c r="Q47" i="4" s="1"/>
  <c r="AW47" i="8"/>
  <c r="P47" i="4" s="1"/>
  <c r="AV47" i="8"/>
  <c r="O47" i="4" s="1"/>
  <c r="U47" i="6"/>
  <c r="M47" i="4" s="1"/>
  <c r="T47" i="6"/>
  <c r="L47" i="4" s="1"/>
  <c r="I47" i="9"/>
  <c r="J47" i="9"/>
  <c r="B47" i="9"/>
  <c r="J47" i="4"/>
  <c r="T46" i="3"/>
  <c r="P46" i="8"/>
  <c r="AI46" i="8"/>
  <c r="J46" i="8"/>
  <c r="O46" i="8"/>
  <c r="U46" i="8"/>
  <c r="V46" i="8" s="1"/>
  <c r="M46" i="8"/>
  <c r="F46" i="6"/>
  <c r="S46" i="6"/>
  <c r="X46" i="4" s="1"/>
  <c r="Q46" i="6"/>
  <c r="W46" i="4" s="1"/>
  <c r="M46" i="9"/>
  <c r="U46" i="4" s="1"/>
  <c r="U46" i="6"/>
  <c r="M46" i="4" s="1"/>
  <c r="T46" i="6"/>
  <c r="L46" i="4" s="1"/>
  <c r="I46" i="9"/>
  <c r="J46" i="9"/>
  <c r="B46" i="9"/>
  <c r="J46" i="4"/>
  <c r="F45" i="6"/>
  <c r="S45" i="6"/>
  <c r="X45" i="4"/>
  <c r="Q45" i="6"/>
  <c r="W45" i="4"/>
  <c r="V45" i="4"/>
  <c r="M45" i="9"/>
  <c r="U45" i="4" s="1"/>
  <c r="AY45" i="8"/>
  <c r="R45" i="4" s="1"/>
  <c r="AX45" i="8"/>
  <c r="Q45" i="4" s="1"/>
  <c r="AW45" i="8"/>
  <c r="P45" i="4" s="1"/>
  <c r="AV45" i="8"/>
  <c r="O45" i="4" s="1"/>
  <c r="U45" i="6"/>
  <c r="M45" i="4" s="1"/>
  <c r="T45" i="6"/>
  <c r="L45" i="4" s="1"/>
  <c r="I45" i="9"/>
  <c r="J45" i="9"/>
  <c r="B45" i="9"/>
  <c r="J45" i="4"/>
  <c r="T42" i="3"/>
  <c r="P42" i="8" s="1"/>
  <c r="J42" i="8"/>
  <c r="O42" i="8"/>
  <c r="U42" i="8" s="1"/>
  <c r="W42" i="8" s="1"/>
  <c r="F42" i="6"/>
  <c r="S42" i="6"/>
  <c r="X42" i="4" s="1"/>
  <c r="Q42" i="6"/>
  <c r="W42" i="4" s="1"/>
  <c r="I42" i="5"/>
  <c r="J42" i="5"/>
  <c r="K42" i="5"/>
  <c r="N42" i="5"/>
  <c r="O42" i="5"/>
  <c r="V42" i="4" s="1"/>
  <c r="M42" i="9"/>
  <c r="U42" i="4" s="1"/>
  <c r="AY42" i="8"/>
  <c r="R42" i="4" s="1"/>
  <c r="AX42" i="8"/>
  <c r="Q42" i="4" s="1"/>
  <c r="AW42" i="8"/>
  <c r="P42" i="4" s="1"/>
  <c r="AV42" i="8"/>
  <c r="O42" i="4" s="1"/>
  <c r="U42" i="6"/>
  <c r="M42" i="4" s="1"/>
  <c r="T42" i="6"/>
  <c r="L42" i="4" s="1"/>
  <c r="I42" i="9"/>
  <c r="J42" i="9"/>
  <c r="B42" i="9"/>
  <c r="J42" i="4"/>
  <c r="T41" i="3"/>
  <c r="P41" i="8" s="1"/>
  <c r="J41" i="8"/>
  <c r="O41" i="8"/>
  <c r="U41" i="8" s="1"/>
  <c r="F41" i="6"/>
  <c r="S41" i="6"/>
  <c r="X41" i="4" s="1"/>
  <c r="Q41" i="6"/>
  <c r="W41" i="4" s="1"/>
  <c r="M41" i="9"/>
  <c r="U41" i="4" s="1"/>
  <c r="AY41" i="8"/>
  <c r="R41" i="4" s="1"/>
  <c r="AX41" i="8"/>
  <c r="Q41" i="4" s="1"/>
  <c r="AW41" i="8"/>
  <c r="P41" i="4" s="1"/>
  <c r="AV41" i="8"/>
  <c r="O41" i="4" s="1"/>
  <c r="U41" i="6"/>
  <c r="M41" i="4" s="1"/>
  <c r="T41" i="6"/>
  <c r="L41" i="4" s="1"/>
  <c r="I41" i="9"/>
  <c r="J41" i="9"/>
  <c r="B41" i="9"/>
  <c r="J41" i="4"/>
  <c r="T40" i="3"/>
  <c r="P40" i="8" s="1"/>
  <c r="J40" i="8"/>
  <c r="O40" i="8"/>
  <c r="U40" i="8" s="1"/>
  <c r="W40" i="8" s="1"/>
  <c r="F40" i="6"/>
  <c r="S40" i="6"/>
  <c r="X40" i="4" s="1"/>
  <c r="Q40" i="6"/>
  <c r="W40" i="4" s="1"/>
  <c r="M40" i="9"/>
  <c r="U40" i="4" s="1"/>
  <c r="AY40" i="8"/>
  <c r="R40" i="4" s="1"/>
  <c r="AX40" i="8"/>
  <c r="Q40" i="4" s="1"/>
  <c r="AW40" i="8"/>
  <c r="P40" i="4" s="1"/>
  <c r="AV40" i="8"/>
  <c r="O40" i="4" s="1"/>
  <c r="U40" i="6"/>
  <c r="M40" i="4" s="1"/>
  <c r="T40" i="6"/>
  <c r="L40" i="4" s="1"/>
  <c r="I40" i="9"/>
  <c r="J40" i="9"/>
  <c r="B40" i="9"/>
  <c r="J40" i="4"/>
  <c r="T39" i="3"/>
  <c r="P39" i="8" s="1"/>
  <c r="J39" i="8"/>
  <c r="O39" i="8"/>
  <c r="U39" i="8" s="1"/>
  <c r="F39" i="6"/>
  <c r="S39" i="6"/>
  <c r="X39" i="4" s="1"/>
  <c r="Q39" i="6"/>
  <c r="W39" i="4" s="1"/>
  <c r="M39" i="9"/>
  <c r="U39" i="4" s="1"/>
  <c r="AY39" i="8"/>
  <c r="R39" i="4" s="1"/>
  <c r="AX39" i="8"/>
  <c r="Q39" i="4" s="1"/>
  <c r="AW39" i="8"/>
  <c r="P39" i="4" s="1"/>
  <c r="AV39" i="8"/>
  <c r="O39" i="4" s="1"/>
  <c r="U39" i="6"/>
  <c r="M39" i="4" s="1"/>
  <c r="T39" i="6"/>
  <c r="L39" i="4" s="1"/>
  <c r="I39" i="9"/>
  <c r="J39" i="9"/>
  <c r="B39" i="9"/>
  <c r="J39" i="4"/>
  <c r="F310" i="6"/>
  <c r="O310" i="6"/>
  <c r="R310" i="6"/>
  <c r="S310" i="6"/>
  <c r="X310" i="4" s="1"/>
  <c r="P310" i="6"/>
  <c r="Q310" i="6"/>
  <c r="W310" i="4" s="1"/>
  <c r="M310" i="9"/>
  <c r="U310" i="4" s="1"/>
  <c r="U310" i="6"/>
  <c r="M310" i="4" s="1"/>
  <c r="T310" i="6"/>
  <c r="L310" i="4" s="1"/>
  <c r="I310" i="9"/>
  <c r="J310" i="9"/>
  <c r="B310" i="9"/>
  <c r="J310" i="4"/>
  <c r="F309" i="6"/>
  <c r="O309" i="6"/>
  <c r="R309" i="6"/>
  <c r="S309" i="6"/>
  <c r="X309" i="4" s="1"/>
  <c r="P309" i="6"/>
  <c r="Q309" i="6"/>
  <c r="W309" i="4" s="1"/>
  <c r="M309" i="9"/>
  <c r="U309" i="4" s="1"/>
  <c r="AY309" i="8"/>
  <c r="R309" i="4" s="1"/>
  <c r="AX309" i="8"/>
  <c r="Q309" i="4" s="1"/>
  <c r="AW309" i="8"/>
  <c r="P309" i="4" s="1"/>
  <c r="AV309" i="8"/>
  <c r="O309" i="4" s="1"/>
  <c r="U309" i="6"/>
  <c r="M309" i="4" s="1"/>
  <c r="T309" i="6"/>
  <c r="L309" i="4" s="1"/>
  <c r="I309" i="9"/>
  <c r="J309" i="9"/>
  <c r="B309" i="9"/>
  <c r="J309" i="4"/>
  <c r="I309" i="4"/>
  <c r="F308" i="6"/>
  <c r="O308" i="6"/>
  <c r="R308" i="6"/>
  <c r="S308" i="6"/>
  <c r="X308" i="4" s="1"/>
  <c r="P308" i="6"/>
  <c r="Q308" i="6"/>
  <c r="W308" i="4" s="1"/>
  <c r="M308" i="9"/>
  <c r="U308" i="4" s="1"/>
  <c r="AY308" i="8"/>
  <c r="R308" i="4" s="1"/>
  <c r="AX308" i="8"/>
  <c r="Q308" i="4" s="1"/>
  <c r="AW308" i="8"/>
  <c r="P308" i="4" s="1"/>
  <c r="AV308" i="8"/>
  <c r="O308" i="4" s="1"/>
  <c r="U308" i="6"/>
  <c r="M308" i="4" s="1"/>
  <c r="T308" i="6"/>
  <c r="L308" i="4" s="1"/>
  <c r="I308" i="9"/>
  <c r="J308" i="9"/>
  <c r="B308" i="9"/>
  <c r="J308" i="4"/>
  <c r="H308" i="4"/>
  <c r="F307" i="6"/>
  <c r="O307" i="6"/>
  <c r="R307" i="6"/>
  <c r="S307" i="6"/>
  <c r="X307" i="4" s="1"/>
  <c r="P307" i="6"/>
  <c r="Q307" i="6"/>
  <c r="W307" i="4" s="1"/>
  <c r="V307" i="4"/>
  <c r="M307" i="9"/>
  <c r="U307" i="4" s="1"/>
  <c r="AY307" i="8"/>
  <c r="R307" i="4" s="1"/>
  <c r="AX307" i="8"/>
  <c r="Q307" i="4" s="1"/>
  <c r="AW307" i="8"/>
  <c r="P307" i="4" s="1"/>
  <c r="AV307" i="8"/>
  <c r="O307" i="4" s="1"/>
  <c r="U307" i="6"/>
  <c r="M307" i="4" s="1"/>
  <c r="T307" i="6"/>
  <c r="L307" i="4" s="1"/>
  <c r="I307" i="9"/>
  <c r="J307" i="9"/>
  <c r="B307" i="9"/>
  <c r="J307" i="4"/>
  <c r="F307" i="4"/>
  <c r="F306" i="6"/>
  <c r="O306" i="6"/>
  <c r="R306" i="6"/>
  <c r="S306" i="6"/>
  <c r="X306" i="4" s="1"/>
  <c r="P306" i="6"/>
  <c r="Q306" i="6"/>
  <c r="W306" i="4" s="1"/>
  <c r="M306" i="9"/>
  <c r="U306" i="4" s="1"/>
  <c r="AY306" i="8"/>
  <c r="R306" i="4" s="1"/>
  <c r="AX306" i="8"/>
  <c r="Q306" i="4" s="1"/>
  <c r="AW306" i="8"/>
  <c r="P306" i="4" s="1"/>
  <c r="AV306" i="8"/>
  <c r="O306" i="4" s="1"/>
  <c r="U306" i="6"/>
  <c r="M306" i="4" s="1"/>
  <c r="T306" i="6"/>
  <c r="L306" i="4" s="1"/>
  <c r="I306" i="9"/>
  <c r="J306" i="9"/>
  <c r="B306" i="9"/>
  <c r="J306" i="4"/>
  <c r="I306" i="4"/>
  <c r="F305" i="6"/>
  <c r="O305" i="6"/>
  <c r="R305" i="6"/>
  <c r="S305" i="6"/>
  <c r="X305" i="4" s="1"/>
  <c r="P305" i="6"/>
  <c r="Q305" i="6"/>
  <c r="W305" i="4" s="1"/>
  <c r="M305" i="9"/>
  <c r="U305" i="4" s="1"/>
  <c r="AY305" i="8"/>
  <c r="R305" i="4" s="1"/>
  <c r="AX305" i="8"/>
  <c r="Q305" i="4" s="1"/>
  <c r="AW305" i="8"/>
  <c r="P305" i="4" s="1"/>
  <c r="AV305" i="8"/>
  <c r="O305" i="4" s="1"/>
  <c r="U305" i="6"/>
  <c r="M305" i="4" s="1"/>
  <c r="T305" i="6"/>
  <c r="L305" i="4" s="1"/>
  <c r="I305" i="9"/>
  <c r="J305" i="9"/>
  <c r="B305" i="9"/>
  <c r="J305" i="4"/>
  <c r="F304" i="6"/>
  <c r="O304" i="6"/>
  <c r="R304" i="6"/>
  <c r="S304" i="6"/>
  <c r="X304" i="4" s="1"/>
  <c r="P304" i="6"/>
  <c r="Q304" i="6"/>
  <c r="W304" i="4" s="1"/>
  <c r="M304" i="9"/>
  <c r="U304" i="4" s="1"/>
  <c r="AY304" i="8"/>
  <c r="R304" i="4" s="1"/>
  <c r="AX304" i="8"/>
  <c r="Q304" i="4" s="1"/>
  <c r="AW304" i="8"/>
  <c r="P304" i="4" s="1"/>
  <c r="AV304" i="8"/>
  <c r="O304" i="4" s="1"/>
  <c r="U304" i="6"/>
  <c r="M304" i="4" s="1"/>
  <c r="T304" i="6"/>
  <c r="L304" i="4" s="1"/>
  <c r="I304" i="9"/>
  <c r="J304" i="9"/>
  <c r="B304" i="9"/>
  <c r="J304" i="4"/>
  <c r="F303" i="6"/>
  <c r="O303" i="6"/>
  <c r="R303" i="6"/>
  <c r="S303" i="6"/>
  <c r="X303" i="4" s="1"/>
  <c r="P303" i="6"/>
  <c r="Q303" i="6"/>
  <c r="W303" i="4" s="1"/>
  <c r="M303" i="9"/>
  <c r="U303" i="4" s="1"/>
  <c r="AY303" i="8"/>
  <c r="R303" i="4" s="1"/>
  <c r="AX303" i="8"/>
  <c r="Q303" i="4" s="1"/>
  <c r="AW303" i="8"/>
  <c r="P303" i="4" s="1"/>
  <c r="AV303" i="8"/>
  <c r="O303" i="4" s="1"/>
  <c r="U303" i="6"/>
  <c r="M303" i="4" s="1"/>
  <c r="T303" i="6"/>
  <c r="L303" i="4" s="1"/>
  <c r="I303" i="9"/>
  <c r="J303" i="9"/>
  <c r="B303" i="9"/>
  <c r="J303" i="4"/>
  <c r="I303" i="4"/>
  <c r="P302" i="8"/>
  <c r="J302" i="8"/>
  <c r="O302" i="8"/>
  <c r="U302" i="8" s="1"/>
  <c r="W302" i="8" s="1"/>
  <c r="F302" i="6"/>
  <c r="S302" i="6"/>
  <c r="X302" i="4" s="1"/>
  <c r="Q302" i="6"/>
  <c r="W302" i="4" s="1"/>
  <c r="M302" i="9"/>
  <c r="U302" i="4" s="1"/>
  <c r="AY302" i="8"/>
  <c r="R302" i="4" s="1"/>
  <c r="AX302" i="8"/>
  <c r="Q302" i="4" s="1"/>
  <c r="AW302" i="8"/>
  <c r="P302" i="4" s="1"/>
  <c r="AV302" i="8"/>
  <c r="O302" i="4" s="1"/>
  <c r="U302" i="6"/>
  <c r="M302" i="4" s="1"/>
  <c r="T302" i="6"/>
  <c r="L302" i="4" s="1"/>
  <c r="I302" i="9"/>
  <c r="J302" i="9"/>
  <c r="B302" i="9"/>
  <c r="J302" i="4"/>
  <c r="P301" i="8"/>
  <c r="J301" i="8"/>
  <c r="O301" i="8"/>
  <c r="U301" i="8"/>
  <c r="F301" i="6"/>
  <c r="S301" i="6"/>
  <c r="X301" i="4" s="1"/>
  <c r="Q301" i="6"/>
  <c r="W301" i="4" s="1"/>
  <c r="M301" i="9"/>
  <c r="U301" i="4" s="1"/>
  <c r="AY301" i="8"/>
  <c r="R301" i="4" s="1"/>
  <c r="AX301" i="8"/>
  <c r="Q301" i="4" s="1"/>
  <c r="AW301" i="8"/>
  <c r="P301" i="4" s="1"/>
  <c r="AV301" i="8"/>
  <c r="O301" i="4" s="1"/>
  <c r="U301" i="6"/>
  <c r="M301" i="4" s="1"/>
  <c r="T301" i="6"/>
  <c r="L301" i="4" s="1"/>
  <c r="I301" i="9"/>
  <c r="J301" i="9"/>
  <c r="B301" i="9"/>
  <c r="J301" i="4"/>
  <c r="P300" i="8"/>
  <c r="J300" i="8"/>
  <c r="O300" i="8"/>
  <c r="U300" i="8"/>
  <c r="W300" i="8" s="1"/>
  <c r="F300" i="6"/>
  <c r="S300" i="6"/>
  <c r="X300" i="4" s="1"/>
  <c r="Q300" i="6"/>
  <c r="W300" i="4" s="1"/>
  <c r="M300" i="9"/>
  <c r="U300" i="4" s="1"/>
  <c r="AY300" i="8"/>
  <c r="R300" i="4" s="1"/>
  <c r="AX300" i="8"/>
  <c r="Q300" i="4" s="1"/>
  <c r="AW300" i="8"/>
  <c r="P300" i="4" s="1"/>
  <c r="AV300" i="8"/>
  <c r="O300" i="4" s="1"/>
  <c r="U300" i="6"/>
  <c r="M300" i="4" s="1"/>
  <c r="T300" i="6"/>
  <c r="L300" i="4" s="1"/>
  <c r="I300" i="9"/>
  <c r="J300" i="9"/>
  <c r="B300" i="9"/>
  <c r="J300" i="4"/>
  <c r="F300" i="4"/>
  <c r="P299" i="8"/>
  <c r="J299" i="8"/>
  <c r="O299" i="8"/>
  <c r="U299" i="8" s="1"/>
  <c r="W299" i="8" s="1"/>
  <c r="F299" i="6"/>
  <c r="S299" i="6"/>
  <c r="X299" i="4" s="1"/>
  <c r="Q299" i="6"/>
  <c r="W299" i="4" s="1"/>
  <c r="M299" i="9"/>
  <c r="U299" i="4" s="1"/>
  <c r="AY299" i="8"/>
  <c r="R299" i="4" s="1"/>
  <c r="AX299" i="8"/>
  <c r="Q299" i="4" s="1"/>
  <c r="AW299" i="8"/>
  <c r="P299" i="4" s="1"/>
  <c r="AV299" i="8"/>
  <c r="O299" i="4" s="1"/>
  <c r="U299" i="6"/>
  <c r="M299" i="4" s="1"/>
  <c r="T299" i="6"/>
  <c r="L299" i="4" s="1"/>
  <c r="I299" i="9"/>
  <c r="J299" i="9"/>
  <c r="B299" i="9"/>
  <c r="J299" i="4"/>
  <c r="H299" i="4"/>
  <c r="P298" i="8"/>
  <c r="J298" i="8"/>
  <c r="O298" i="8"/>
  <c r="U298" i="8" s="1"/>
  <c r="W298" i="8" s="1"/>
  <c r="F298" i="6"/>
  <c r="S298" i="6"/>
  <c r="X298" i="4" s="1"/>
  <c r="Q298" i="6"/>
  <c r="W298" i="4" s="1"/>
  <c r="M298" i="9"/>
  <c r="U298" i="4" s="1"/>
  <c r="AY298" i="8"/>
  <c r="R298" i="4" s="1"/>
  <c r="AX298" i="8"/>
  <c r="Q298" i="4" s="1"/>
  <c r="AW298" i="8"/>
  <c r="P298" i="4" s="1"/>
  <c r="AV298" i="8"/>
  <c r="O298" i="4" s="1"/>
  <c r="U298" i="6"/>
  <c r="M298" i="4" s="1"/>
  <c r="T298" i="6"/>
  <c r="L298" i="4" s="1"/>
  <c r="I298" i="9"/>
  <c r="J298" i="9"/>
  <c r="B298" i="9"/>
  <c r="J298" i="4"/>
  <c r="P297" i="8"/>
  <c r="AI297" i="8"/>
  <c r="J297" i="8"/>
  <c r="O297" i="8"/>
  <c r="U297" i="8"/>
  <c r="W297" i="8" s="1"/>
  <c r="F297" i="6"/>
  <c r="S297" i="6"/>
  <c r="X297" i="4" s="1"/>
  <c r="Q297" i="6"/>
  <c r="W297" i="4" s="1"/>
  <c r="M297" i="9"/>
  <c r="U297" i="4" s="1"/>
  <c r="AY297" i="8"/>
  <c r="R297" i="4" s="1"/>
  <c r="AX297" i="8"/>
  <c r="Q297" i="4" s="1"/>
  <c r="AW297" i="8"/>
  <c r="P297" i="4" s="1"/>
  <c r="AV297" i="8"/>
  <c r="O297" i="4" s="1"/>
  <c r="U297" i="6"/>
  <c r="M297" i="4" s="1"/>
  <c r="T297" i="6"/>
  <c r="L297" i="4" s="1"/>
  <c r="I297" i="9"/>
  <c r="J297" i="9"/>
  <c r="B297" i="9"/>
  <c r="J297" i="4"/>
  <c r="P296" i="8"/>
  <c r="J296" i="8"/>
  <c r="O296" i="8"/>
  <c r="U296" i="8" s="1"/>
  <c r="W296" i="8" s="1"/>
  <c r="F296" i="6"/>
  <c r="S296" i="6"/>
  <c r="X296" i="4" s="1"/>
  <c r="Q296" i="6"/>
  <c r="W296" i="4" s="1"/>
  <c r="M296" i="9"/>
  <c r="U296" i="4" s="1"/>
  <c r="AY296" i="8"/>
  <c r="R296" i="4" s="1"/>
  <c r="AX296" i="8"/>
  <c r="Q296" i="4" s="1"/>
  <c r="AW296" i="8"/>
  <c r="P296" i="4" s="1"/>
  <c r="AV296" i="8"/>
  <c r="O296" i="4" s="1"/>
  <c r="U296" i="6"/>
  <c r="M296" i="4" s="1"/>
  <c r="T296" i="6"/>
  <c r="L296" i="4" s="1"/>
  <c r="I296" i="9"/>
  <c r="J296" i="9"/>
  <c r="B296" i="9"/>
  <c r="J296" i="4"/>
  <c r="P295" i="8"/>
  <c r="J295" i="8"/>
  <c r="O295" i="8"/>
  <c r="U295" i="8"/>
  <c r="W295" i="8"/>
  <c r="F295" i="6"/>
  <c r="S295" i="6"/>
  <c r="X295" i="4" s="1"/>
  <c r="Q295" i="6"/>
  <c r="W295" i="4" s="1"/>
  <c r="M295" i="9"/>
  <c r="U295" i="4" s="1"/>
  <c r="AY295" i="8"/>
  <c r="R295" i="4" s="1"/>
  <c r="AX295" i="8"/>
  <c r="Q295" i="4" s="1"/>
  <c r="AW295" i="8"/>
  <c r="P295" i="4" s="1"/>
  <c r="AV295" i="8"/>
  <c r="O295" i="4" s="1"/>
  <c r="U295" i="6"/>
  <c r="M295" i="4" s="1"/>
  <c r="T295" i="6"/>
  <c r="L295" i="4" s="1"/>
  <c r="I295" i="9"/>
  <c r="J295" i="9"/>
  <c r="B295" i="9"/>
  <c r="J295" i="4"/>
  <c r="P294" i="8"/>
  <c r="J294" i="8"/>
  <c r="O294" i="8"/>
  <c r="U294" i="8" s="1"/>
  <c r="F294" i="6"/>
  <c r="S294" i="6"/>
  <c r="X294" i="4" s="1"/>
  <c r="Q294" i="6"/>
  <c r="W294" i="4" s="1"/>
  <c r="M294" i="9"/>
  <c r="U294" i="4" s="1"/>
  <c r="AY294" i="8"/>
  <c r="R294" i="4" s="1"/>
  <c r="AX294" i="8"/>
  <c r="Q294" i="4" s="1"/>
  <c r="AW294" i="8"/>
  <c r="P294" i="4" s="1"/>
  <c r="AV294" i="8"/>
  <c r="O294" i="4" s="1"/>
  <c r="U294" i="6"/>
  <c r="M294" i="4" s="1"/>
  <c r="T294" i="6"/>
  <c r="L294" i="4" s="1"/>
  <c r="I294" i="9"/>
  <c r="J294" i="9"/>
  <c r="B294" i="9"/>
  <c r="J294" i="4"/>
  <c r="F294" i="4"/>
  <c r="P293" i="8"/>
  <c r="J293" i="8"/>
  <c r="O293" i="8"/>
  <c r="U293" i="8" s="1"/>
  <c r="W293" i="8" s="1"/>
  <c r="F293" i="6"/>
  <c r="S293" i="6"/>
  <c r="X293" i="4" s="1"/>
  <c r="Q293" i="6"/>
  <c r="W293" i="4" s="1"/>
  <c r="M293" i="9"/>
  <c r="U293" i="4" s="1"/>
  <c r="AY293" i="8"/>
  <c r="R293" i="4" s="1"/>
  <c r="AX293" i="8"/>
  <c r="Q293" i="4" s="1"/>
  <c r="AW293" i="8"/>
  <c r="P293" i="4" s="1"/>
  <c r="AV293" i="8"/>
  <c r="O293" i="4" s="1"/>
  <c r="U293" i="6"/>
  <c r="M293" i="4" s="1"/>
  <c r="T293" i="6"/>
  <c r="L293" i="4" s="1"/>
  <c r="I293" i="9"/>
  <c r="J293" i="9"/>
  <c r="B293" i="9"/>
  <c r="J293" i="4"/>
  <c r="H293" i="4"/>
  <c r="P292" i="8"/>
  <c r="J292" i="8"/>
  <c r="O292" i="8"/>
  <c r="U292" i="8"/>
  <c r="W292" i="8" s="1"/>
  <c r="F292" i="6"/>
  <c r="S292" i="6"/>
  <c r="X292" i="4" s="1"/>
  <c r="Q292" i="6"/>
  <c r="W292" i="4" s="1"/>
  <c r="M292" i="9"/>
  <c r="U292" i="4" s="1"/>
  <c r="AY292" i="8"/>
  <c r="R292" i="4" s="1"/>
  <c r="AX292" i="8"/>
  <c r="Q292" i="4" s="1"/>
  <c r="AW292" i="8"/>
  <c r="P292" i="4" s="1"/>
  <c r="AV292" i="8"/>
  <c r="O292" i="4" s="1"/>
  <c r="U292" i="6"/>
  <c r="M292" i="4" s="1"/>
  <c r="T292" i="6"/>
  <c r="L292" i="4" s="1"/>
  <c r="I292" i="9"/>
  <c r="J292" i="9"/>
  <c r="B292" i="9"/>
  <c r="J292" i="4"/>
  <c r="P291" i="8"/>
  <c r="J291" i="8"/>
  <c r="O291" i="8"/>
  <c r="U291" i="8"/>
  <c r="F291" i="6"/>
  <c r="S291" i="6"/>
  <c r="X291" i="4" s="1"/>
  <c r="Q291" i="6"/>
  <c r="W291" i="4" s="1"/>
  <c r="M291" i="9"/>
  <c r="U291" i="4" s="1"/>
  <c r="AY291" i="8"/>
  <c r="R291" i="4" s="1"/>
  <c r="AX291" i="8"/>
  <c r="Q291" i="4" s="1"/>
  <c r="AW291" i="8"/>
  <c r="P291" i="4" s="1"/>
  <c r="AV291" i="8"/>
  <c r="O291" i="4" s="1"/>
  <c r="U291" i="6"/>
  <c r="M291" i="4" s="1"/>
  <c r="T291" i="6"/>
  <c r="L291" i="4" s="1"/>
  <c r="I291" i="9"/>
  <c r="J291" i="9"/>
  <c r="B291" i="9"/>
  <c r="J291" i="4"/>
  <c r="H291" i="4"/>
  <c r="P290" i="8"/>
  <c r="J290" i="8"/>
  <c r="O290" i="8"/>
  <c r="U290" i="8" s="1"/>
  <c r="W290" i="8" s="1"/>
  <c r="F290" i="6"/>
  <c r="S290" i="6"/>
  <c r="X290" i="4" s="1"/>
  <c r="Q290" i="6"/>
  <c r="W290" i="4" s="1"/>
  <c r="M290" i="9"/>
  <c r="U290" i="4" s="1"/>
  <c r="AY290" i="8"/>
  <c r="R290" i="4" s="1"/>
  <c r="AX290" i="8"/>
  <c r="Q290" i="4" s="1"/>
  <c r="AW290" i="8"/>
  <c r="P290" i="4" s="1"/>
  <c r="AV290" i="8"/>
  <c r="O290" i="4" s="1"/>
  <c r="U290" i="6"/>
  <c r="M290" i="4" s="1"/>
  <c r="T290" i="6"/>
  <c r="L290" i="4" s="1"/>
  <c r="I290" i="9"/>
  <c r="J290" i="9"/>
  <c r="B290" i="9"/>
  <c r="J290" i="4"/>
  <c r="P289" i="8"/>
  <c r="J289" i="8"/>
  <c r="O289" i="8"/>
  <c r="U289" i="8" s="1"/>
  <c r="W289" i="8" s="1"/>
  <c r="F289" i="6"/>
  <c r="S289" i="6"/>
  <c r="X289" i="4" s="1"/>
  <c r="Q289" i="6"/>
  <c r="W289" i="4" s="1"/>
  <c r="M289" i="9"/>
  <c r="U289" i="4" s="1"/>
  <c r="AY289" i="8"/>
  <c r="R289" i="4" s="1"/>
  <c r="AX289" i="8"/>
  <c r="Q289" i="4" s="1"/>
  <c r="AW289" i="8"/>
  <c r="P289" i="4" s="1"/>
  <c r="AV289" i="8"/>
  <c r="O289" i="4" s="1"/>
  <c r="U289" i="6"/>
  <c r="M289" i="4" s="1"/>
  <c r="T289" i="6"/>
  <c r="L289" i="4" s="1"/>
  <c r="I289" i="9"/>
  <c r="J289" i="9"/>
  <c r="B289" i="9"/>
  <c r="J289" i="4"/>
  <c r="P288" i="8"/>
  <c r="J288" i="8"/>
  <c r="O288" i="8"/>
  <c r="U288" i="8" s="1"/>
  <c r="W288" i="8" s="1"/>
  <c r="M288" i="8"/>
  <c r="F288" i="6"/>
  <c r="S288" i="6"/>
  <c r="X288" i="4" s="1"/>
  <c r="Q288" i="6"/>
  <c r="W288" i="4" s="1"/>
  <c r="M288" i="9"/>
  <c r="U288" i="4" s="1"/>
  <c r="AY288" i="8"/>
  <c r="R288" i="4" s="1"/>
  <c r="AX288" i="8"/>
  <c r="Q288" i="4" s="1"/>
  <c r="AW288" i="8"/>
  <c r="P288" i="4" s="1"/>
  <c r="AV288" i="8"/>
  <c r="O288" i="4" s="1"/>
  <c r="U288" i="6"/>
  <c r="M288" i="4" s="1"/>
  <c r="T288" i="6"/>
  <c r="L288" i="4" s="1"/>
  <c r="I288" i="9"/>
  <c r="J288" i="9"/>
  <c r="B288" i="9"/>
  <c r="J288" i="4"/>
  <c r="P287" i="8"/>
  <c r="J287" i="8"/>
  <c r="O287" i="8"/>
  <c r="U287" i="8" s="1"/>
  <c r="W287" i="8" s="1"/>
  <c r="F287" i="6"/>
  <c r="S287" i="6"/>
  <c r="X287" i="4" s="1"/>
  <c r="Q287" i="6"/>
  <c r="W287" i="4" s="1"/>
  <c r="M287" i="9"/>
  <c r="U287" i="4" s="1"/>
  <c r="AY287" i="8"/>
  <c r="R287" i="4" s="1"/>
  <c r="AX287" i="8"/>
  <c r="Q287" i="4" s="1"/>
  <c r="AW287" i="8"/>
  <c r="P287" i="4" s="1"/>
  <c r="AV287" i="8"/>
  <c r="O287" i="4" s="1"/>
  <c r="U287" i="6"/>
  <c r="M287" i="4" s="1"/>
  <c r="T287" i="6"/>
  <c r="L287" i="4" s="1"/>
  <c r="I287" i="9"/>
  <c r="J287" i="9"/>
  <c r="B287" i="9"/>
  <c r="J287" i="4"/>
  <c r="P286" i="8"/>
  <c r="J286" i="8"/>
  <c r="O286" i="8"/>
  <c r="U286" i="8" s="1"/>
  <c r="W286" i="8" s="1"/>
  <c r="F286" i="6"/>
  <c r="S286" i="6"/>
  <c r="X286" i="4" s="1"/>
  <c r="Q286" i="6"/>
  <c r="W286" i="4" s="1"/>
  <c r="M286" i="9"/>
  <c r="U286" i="4" s="1"/>
  <c r="AY286" i="8"/>
  <c r="R286" i="4" s="1"/>
  <c r="AX286" i="8"/>
  <c r="Q286" i="4" s="1"/>
  <c r="AW286" i="8"/>
  <c r="P286" i="4" s="1"/>
  <c r="AV286" i="8"/>
  <c r="O286" i="4" s="1"/>
  <c r="U286" i="6"/>
  <c r="M286" i="4" s="1"/>
  <c r="T286" i="6"/>
  <c r="L286" i="4" s="1"/>
  <c r="I286" i="9"/>
  <c r="J286" i="9"/>
  <c r="B286" i="9"/>
  <c r="J286" i="4"/>
  <c r="P285" i="8"/>
  <c r="AI285" i="8"/>
  <c r="J285" i="8"/>
  <c r="O285" i="8"/>
  <c r="U285" i="8" s="1"/>
  <c r="F285" i="6"/>
  <c r="S285" i="6"/>
  <c r="X285" i="4" s="1"/>
  <c r="Q285" i="6"/>
  <c r="W285" i="4" s="1"/>
  <c r="M285" i="9"/>
  <c r="U285" i="4" s="1"/>
  <c r="AY285" i="8"/>
  <c r="R285" i="4" s="1"/>
  <c r="AX285" i="8"/>
  <c r="Q285" i="4" s="1"/>
  <c r="AW285" i="8"/>
  <c r="P285" i="4" s="1"/>
  <c r="AV285" i="8"/>
  <c r="O285" i="4" s="1"/>
  <c r="U285" i="6"/>
  <c r="M285" i="4" s="1"/>
  <c r="T285" i="6"/>
  <c r="L285" i="4" s="1"/>
  <c r="I285" i="9"/>
  <c r="J285" i="9"/>
  <c r="B285" i="9"/>
  <c r="J285" i="4"/>
  <c r="H285" i="4"/>
  <c r="P284" i="8"/>
  <c r="J284" i="8"/>
  <c r="O284" i="8"/>
  <c r="U284" i="8" s="1"/>
  <c r="W284" i="8" s="1"/>
  <c r="F284" i="6"/>
  <c r="S284" i="6"/>
  <c r="X284" i="4" s="1"/>
  <c r="Q284" i="6"/>
  <c r="W284" i="4" s="1"/>
  <c r="M284" i="9"/>
  <c r="U284" i="4" s="1"/>
  <c r="AY284" i="8"/>
  <c r="R284" i="4" s="1"/>
  <c r="AX284" i="8"/>
  <c r="Q284" i="4" s="1"/>
  <c r="AW284" i="8"/>
  <c r="P284" i="4" s="1"/>
  <c r="AV284" i="8"/>
  <c r="O284" i="4" s="1"/>
  <c r="U284" i="6"/>
  <c r="M284" i="4" s="1"/>
  <c r="T284" i="6"/>
  <c r="L284" i="4" s="1"/>
  <c r="I284" i="9"/>
  <c r="J284" i="9"/>
  <c r="B284" i="9"/>
  <c r="J284" i="4"/>
  <c r="P283" i="8"/>
  <c r="J283" i="8"/>
  <c r="O283" i="8"/>
  <c r="U283" i="8" s="1"/>
  <c r="W283" i="8" s="1"/>
  <c r="F283" i="6"/>
  <c r="S283" i="6"/>
  <c r="X283" i="4" s="1"/>
  <c r="Q283" i="6"/>
  <c r="W283" i="4" s="1"/>
  <c r="M283" i="9"/>
  <c r="U283" i="4" s="1"/>
  <c r="AY283" i="8"/>
  <c r="R283" i="4" s="1"/>
  <c r="AX283" i="8"/>
  <c r="Q283" i="4" s="1"/>
  <c r="AW283" i="8"/>
  <c r="P283" i="4" s="1"/>
  <c r="AV283" i="8"/>
  <c r="O283" i="4" s="1"/>
  <c r="U283" i="6"/>
  <c r="M283" i="4" s="1"/>
  <c r="T283" i="6"/>
  <c r="L283" i="4" s="1"/>
  <c r="I283" i="9"/>
  <c r="J283" i="9"/>
  <c r="B283" i="9"/>
  <c r="J283" i="4"/>
  <c r="H283" i="4"/>
  <c r="P282" i="8"/>
  <c r="J282" i="8"/>
  <c r="O282" i="8"/>
  <c r="U282" i="8" s="1"/>
  <c r="W282" i="8" s="1"/>
  <c r="F282" i="6"/>
  <c r="S282" i="6"/>
  <c r="X282" i="4" s="1"/>
  <c r="Q282" i="6"/>
  <c r="W282" i="4" s="1"/>
  <c r="M282" i="9"/>
  <c r="U282" i="4" s="1"/>
  <c r="AY282" i="8"/>
  <c r="R282" i="4" s="1"/>
  <c r="AX282" i="8"/>
  <c r="Q282" i="4" s="1"/>
  <c r="AW282" i="8"/>
  <c r="P282" i="4" s="1"/>
  <c r="AV282" i="8"/>
  <c r="O282" i="4" s="1"/>
  <c r="U282" i="6"/>
  <c r="M282" i="4" s="1"/>
  <c r="T282" i="6"/>
  <c r="L282" i="4" s="1"/>
  <c r="I282" i="9"/>
  <c r="J282" i="9"/>
  <c r="B282" i="9"/>
  <c r="J282" i="4"/>
  <c r="P281" i="8"/>
  <c r="J281" i="8"/>
  <c r="O281" i="8"/>
  <c r="U281" i="8" s="1"/>
  <c r="F281" i="6"/>
  <c r="S281" i="6"/>
  <c r="X281" i="4" s="1"/>
  <c r="Q281" i="6"/>
  <c r="W281" i="4" s="1"/>
  <c r="M281" i="9"/>
  <c r="U281" i="4" s="1"/>
  <c r="AY281" i="8"/>
  <c r="R281" i="4" s="1"/>
  <c r="AX281" i="8"/>
  <c r="Q281" i="4" s="1"/>
  <c r="AW281" i="8"/>
  <c r="P281" i="4" s="1"/>
  <c r="AV281" i="8"/>
  <c r="O281" i="4" s="1"/>
  <c r="U281" i="6"/>
  <c r="M281" i="4" s="1"/>
  <c r="T281" i="6"/>
  <c r="L281" i="4" s="1"/>
  <c r="I281" i="9"/>
  <c r="J281" i="9"/>
  <c r="B281" i="9"/>
  <c r="J281" i="4"/>
  <c r="P280" i="8"/>
  <c r="J280" i="8"/>
  <c r="O280" i="8"/>
  <c r="U280" i="8" s="1"/>
  <c r="W280" i="8" s="1"/>
  <c r="F280" i="6"/>
  <c r="S280" i="6"/>
  <c r="X280" i="4" s="1"/>
  <c r="Q280" i="6"/>
  <c r="W280" i="4" s="1"/>
  <c r="M280" i="9"/>
  <c r="U280" i="4" s="1"/>
  <c r="AY280" i="8"/>
  <c r="R280" i="4" s="1"/>
  <c r="AX280" i="8"/>
  <c r="Q280" i="4" s="1"/>
  <c r="AW280" i="8"/>
  <c r="P280" i="4" s="1"/>
  <c r="AV280" i="8"/>
  <c r="O280" i="4" s="1"/>
  <c r="U280" i="6"/>
  <c r="M280" i="4" s="1"/>
  <c r="T280" i="6"/>
  <c r="L280" i="4" s="1"/>
  <c r="I280" i="9"/>
  <c r="J280" i="9"/>
  <c r="B280" i="9"/>
  <c r="J280" i="4"/>
  <c r="P279" i="8"/>
  <c r="J279" i="8"/>
  <c r="O279" i="8"/>
  <c r="U279" i="8" s="1"/>
  <c r="W279" i="8" s="1"/>
  <c r="F279" i="6"/>
  <c r="S279" i="6"/>
  <c r="X279" i="4" s="1"/>
  <c r="Q279" i="6"/>
  <c r="W279" i="4" s="1"/>
  <c r="M279" i="9"/>
  <c r="U279" i="4" s="1"/>
  <c r="AY279" i="8"/>
  <c r="R279" i="4" s="1"/>
  <c r="AX279" i="8"/>
  <c r="Q279" i="4" s="1"/>
  <c r="AW279" i="8"/>
  <c r="P279" i="4" s="1"/>
  <c r="AV279" i="8"/>
  <c r="O279" i="4" s="1"/>
  <c r="U279" i="6"/>
  <c r="M279" i="4" s="1"/>
  <c r="T279" i="6"/>
  <c r="L279" i="4" s="1"/>
  <c r="I279" i="9"/>
  <c r="J279" i="9"/>
  <c r="B279" i="9"/>
  <c r="J279" i="4"/>
  <c r="P278" i="8"/>
  <c r="J278" i="8"/>
  <c r="O278" i="8"/>
  <c r="U278" i="8"/>
  <c r="W278" i="8" s="1"/>
  <c r="F278" i="6"/>
  <c r="S278" i="6"/>
  <c r="X278" i="4" s="1"/>
  <c r="Q278" i="6"/>
  <c r="W278" i="4" s="1"/>
  <c r="M278" i="9"/>
  <c r="U278" i="4" s="1"/>
  <c r="AY278" i="8"/>
  <c r="R278" i="4" s="1"/>
  <c r="AX278" i="8"/>
  <c r="Q278" i="4" s="1"/>
  <c r="AW278" i="8"/>
  <c r="P278" i="4" s="1"/>
  <c r="AV278" i="8"/>
  <c r="O278" i="4" s="1"/>
  <c r="U278" i="6"/>
  <c r="M278" i="4" s="1"/>
  <c r="T278" i="6"/>
  <c r="L278" i="4" s="1"/>
  <c r="I278" i="9"/>
  <c r="J278" i="9"/>
  <c r="B278" i="9"/>
  <c r="J278" i="4"/>
  <c r="P277" i="8"/>
  <c r="J277" i="8"/>
  <c r="O277" i="8"/>
  <c r="U277" i="8" s="1"/>
  <c r="F277" i="6"/>
  <c r="S277" i="6"/>
  <c r="X277" i="4" s="1"/>
  <c r="Q277" i="6"/>
  <c r="W277" i="4" s="1"/>
  <c r="M277" i="9"/>
  <c r="U277" i="4" s="1"/>
  <c r="AY277" i="8"/>
  <c r="R277" i="4" s="1"/>
  <c r="AX277" i="8"/>
  <c r="Q277" i="4" s="1"/>
  <c r="AW277" i="8"/>
  <c r="P277" i="4" s="1"/>
  <c r="AV277" i="8"/>
  <c r="O277" i="4" s="1"/>
  <c r="U277" i="6"/>
  <c r="M277" i="4" s="1"/>
  <c r="T277" i="6"/>
  <c r="L277" i="4" s="1"/>
  <c r="I277" i="9"/>
  <c r="J277" i="9"/>
  <c r="B277" i="9"/>
  <c r="J277" i="4"/>
  <c r="F275" i="6"/>
  <c r="O275" i="6"/>
  <c r="R275" i="6"/>
  <c r="S275" i="6"/>
  <c r="X275" i="4" s="1"/>
  <c r="P275" i="6"/>
  <c r="Q275" i="6"/>
  <c r="W275" i="4" s="1"/>
  <c r="M275" i="9"/>
  <c r="U275" i="4" s="1"/>
  <c r="AY275" i="8"/>
  <c r="R275" i="4" s="1"/>
  <c r="AX275" i="8"/>
  <c r="Q275" i="4" s="1"/>
  <c r="AW275" i="8"/>
  <c r="P275" i="4" s="1"/>
  <c r="AV275" i="8"/>
  <c r="O275" i="4" s="1"/>
  <c r="U275" i="6"/>
  <c r="M275" i="4" s="1"/>
  <c r="T275" i="6"/>
  <c r="L275" i="4" s="1"/>
  <c r="I275" i="9"/>
  <c r="J275" i="9"/>
  <c r="B275" i="9"/>
  <c r="J275" i="4"/>
  <c r="F275" i="4"/>
  <c r="F274" i="6"/>
  <c r="O274" i="6"/>
  <c r="R274" i="6"/>
  <c r="S274" i="6"/>
  <c r="X274" i="4" s="1"/>
  <c r="P274" i="6"/>
  <c r="Q274" i="6"/>
  <c r="W274" i="4" s="1"/>
  <c r="M274" i="9"/>
  <c r="U274" i="4" s="1"/>
  <c r="AY274" i="8"/>
  <c r="R274" i="4" s="1"/>
  <c r="AX274" i="8"/>
  <c r="Q274" i="4" s="1"/>
  <c r="AW274" i="8"/>
  <c r="P274" i="4" s="1"/>
  <c r="AV274" i="8"/>
  <c r="O274" i="4" s="1"/>
  <c r="U274" i="6"/>
  <c r="M274" i="4" s="1"/>
  <c r="T274" i="6"/>
  <c r="L274" i="4" s="1"/>
  <c r="I274" i="9"/>
  <c r="J274" i="9"/>
  <c r="B274" i="9"/>
  <c r="J274" i="4"/>
  <c r="I274" i="4"/>
  <c r="F273" i="6"/>
  <c r="O273" i="6"/>
  <c r="R273" i="6"/>
  <c r="S273" i="6"/>
  <c r="X273" i="4" s="1"/>
  <c r="P273" i="6"/>
  <c r="Q273" i="6"/>
  <c r="W273" i="4" s="1"/>
  <c r="M273" i="9"/>
  <c r="U273" i="4" s="1"/>
  <c r="AY273" i="8"/>
  <c r="R273" i="4" s="1"/>
  <c r="AX273" i="8"/>
  <c r="Q273" i="4" s="1"/>
  <c r="AW273" i="8"/>
  <c r="P273" i="4" s="1"/>
  <c r="AV273" i="8"/>
  <c r="O273" i="4" s="1"/>
  <c r="U273" i="6"/>
  <c r="M273" i="4" s="1"/>
  <c r="T273" i="6"/>
  <c r="L273" i="4" s="1"/>
  <c r="I273" i="9"/>
  <c r="J273" i="9"/>
  <c r="B273" i="9"/>
  <c r="J273" i="4"/>
  <c r="F272" i="6"/>
  <c r="O272" i="6"/>
  <c r="R272" i="6"/>
  <c r="S272" i="6"/>
  <c r="X272" i="4" s="1"/>
  <c r="P272" i="6"/>
  <c r="Q272" i="6"/>
  <c r="W272" i="4" s="1"/>
  <c r="M272" i="9"/>
  <c r="U272" i="4" s="1"/>
  <c r="AY272" i="8"/>
  <c r="R272" i="4" s="1"/>
  <c r="AX272" i="8"/>
  <c r="Q272" i="4" s="1"/>
  <c r="AW272" i="8"/>
  <c r="P272" i="4" s="1"/>
  <c r="AV272" i="8"/>
  <c r="O272" i="4" s="1"/>
  <c r="U272" i="6"/>
  <c r="M272" i="4" s="1"/>
  <c r="T272" i="6"/>
  <c r="L272" i="4" s="1"/>
  <c r="I272" i="9"/>
  <c r="J272" i="9"/>
  <c r="B272" i="9"/>
  <c r="J272" i="4"/>
  <c r="F271" i="6"/>
  <c r="O271" i="6"/>
  <c r="R271" i="6"/>
  <c r="S271" i="6"/>
  <c r="X271" i="4" s="1"/>
  <c r="P271" i="6"/>
  <c r="Q271" i="6"/>
  <c r="W271" i="4" s="1"/>
  <c r="M271" i="9"/>
  <c r="U271" i="4" s="1"/>
  <c r="AY271" i="8"/>
  <c r="R271" i="4" s="1"/>
  <c r="AX271" i="8"/>
  <c r="Q271" i="4" s="1"/>
  <c r="AW271" i="8"/>
  <c r="P271" i="4" s="1"/>
  <c r="AV271" i="8"/>
  <c r="O271" i="4" s="1"/>
  <c r="U271" i="6"/>
  <c r="M271" i="4" s="1"/>
  <c r="T271" i="6"/>
  <c r="L271" i="4" s="1"/>
  <c r="I271" i="9"/>
  <c r="J271" i="9"/>
  <c r="B271" i="9"/>
  <c r="J271" i="4"/>
  <c r="F270" i="6"/>
  <c r="O270" i="6"/>
  <c r="R270" i="6"/>
  <c r="S270" i="6"/>
  <c r="X270" i="4" s="1"/>
  <c r="P270" i="6"/>
  <c r="Q270" i="6"/>
  <c r="W270" i="4" s="1"/>
  <c r="M270" i="9"/>
  <c r="U270" i="4" s="1"/>
  <c r="AY270" i="8"/>
  <c r="R270" i="4" s="1"/>
  <c r="AX270" i="8"/>
  <c r="Q270" i="4" s="1"/>
  <c r="AW270" i="8"/>
  <c r="P270" i="4" s="1"/>
  <c r="AV270" i="8"/>
  <c r="O270" i="4" s="1"/>
  <c r="U270" i="6"/>
  <c r="M270" i="4" s="1"/>
  <c r="T270" i="6"/>
  <c r="L270" i="4" s="1"/>
  <c r="I270" i="9"/>
  <c r="J270" i="9"/>
  <c r="B270" i="9"/>
  <c r="J270" i="4"/>
  <c r="F269" i="6"/>
  <c r="O269" i="6"/>
  <c r="R269" i="6"/>
  <c r="S269" i="6"/>
  <c r="X269" i="4" s="1"/>
  <c r="P269" i="6"/>
  <c r="Q269" i="6"/>
  <c r="W269" i="4" s="1"/>
  <c r="M269" i="9"/>
  <c r="U269" i="4" s="1"/>
  <c r="AY269" i="8"/>
  <c r="R269" i="4" s="1"/>
  <c r="AX269" i="8"/>
  <c r="Q269" i="4" s="1"/>
  <c r="AW269" i="8"/>
  <c r="P269" i="4" s="1"/>
  <c r="AV269" i="8"/>
  <c r="O269" i="4" s="1"/>
  <c r="U269" i="6"/>
  <c r="M269" i="4" s="1"/>
  <c r="T269" i="6"/>
  <c r="L269" i="4" s="1"/>
  <c r="I269" i="9"/>
  <c r="J269" i="9"/>
  <c r="B269" i="9"/>
  <c r="J269" i="4"/>
  <c r="G269" i="4"/>
  <c r="F268" i="6"/>
  <c r="O268" i="6"/>
  <c r="R268" i="6"/>
  <c r="S268" i="6"/>
  <c r="X268" i="4" s="1"/>
  <c r="P268" i="6"/>
  <c r="Q268" i="6"/>
  <c r="W268" i="4" s="1"/>
  <c r="M268" i="9"/>
  <c r="U268" i="4" s="1"/>
  <c r="AY268" i="8"/>
  <c r="R268" i="4" s="1"/>
  <c r="AX268" i="8"/>
  <c r="Q268" i="4" s="1"/>
  <c r="AW268" i="8"/>
  <c r="P268" i="4" s="1"/>
  <c r="AV268" i="8"/>
  <c r="O268" i="4" s="1"/>
  <c r="U268" i="6"/>
  <c r="M268" i="4" s="1"/>
  <c r="T268" i="6"/>
  <c r="L268" i="4" s="1"/>
  <c r="I268" i="9"/>
  <c r="J268" i="9"/>
  <c r="B268" i="9"/>
  <c r="J268" i="4"/>
  <c r="T267" i="3"/>
  <c r="P267" i="8"/>
  <c r="J267" i="8"/>
  <c r="S267" i="8" s="1"/>
  <c r="R267" i="8"/>
  <c r="O267" i="8"/>
  <c r="U267" i="8" s="1"/>
  <c r="W267" i="8" s="1"/>
  <c r="F267" i="6"/>
  <c r="S267" i="6"/>
  <c r="X267" i="4" s="1"/>
  <c r="Q267" i="6"/>
  <c r="W267" i="4" s="1"/>
  <c r="M267" i="9"/>
  <c r="U267" i="4" s="1"/>
  <c r="AY267" i="8"/>
  <c r="R267" i="4" s="1"/>
  <c r="AX267" i="8"/>
  <c r="Q267" i="4" s="1"/>
  <c r="AW267" i="8"/>
  <c r="P267" i="4" s="1"/>
  <c r="AV267" i="8"/>
  <c r="O267" i="4" s="1"/>
  <c r="U267" i="6"/>
  <c r="M267" i="4" s="1"/>
  <c r="T267" i="6"/>
  <c r="L267" i="4" s="1"/>
  <c r="I267" i="9"/>
  <c r="J267" i="9"/>
  <c r="B267" i="9"/>
  <c r="J267" i="4"/>
  <c r="T266" i="3"/>
  <c r="P266" i="8" s="1"/>
  <c r="J266" i="8"/>
  <c r="S266" i="8" s="1"/>
  <c r="O266" i="8"/>
  <c r="U266" i="8"/>
  <c r="W266" i="8" s="1"/>
  <c r="F266" i="6"/>
  <c r="S266" i="6"/>
  <c r="X266" i="4" s="1"/>
  <c r="Q266" i="6"/>
  <c r="W266" i="4" s="1"/>
  <c r="M266" i="9"/>
  <c r="U266" i="4" s="1"/>
  <c r="AY266" i="8"/>
  <c r="R266" i="4" s="1"/>
  <c r="AX266" i="8"/>
  <c r="Q266" i="4" s="1"/>
  <c r="AW266" i="8"/>
  <c r="P266" i="4" s="1"/>
  <c r="AV266" i="8"/>
  <c r="O266" i="4" s="1"/>
  <c r="U266" i="6"/>
  <c r="M266" i="4" s="1"/>
  <c r="T266" i="6"/>
  <c r="L266" i="4" s="1"/>
  <c r="I266" i="9"/>
  <c r="J266" i="9"/>
  <c r="B266" i="9"/>
  <c r="J266" i="4"/>
  <c r="T265" i="3"/>
  <c r="P265" i="8" s="1"/>
  <c r="J265" i="8"/>
  <c r="R265" i="8" s="1"/>
  <c r="O265" i="8"/>
  <c r="U265" i="8" s="1"/>
  <c r="W265" i="8" s="1"/>
  <c r="F265" i="6"/>
  <c r="S265" i="6"/>
  <c r="X265" i="4" s="1"/>
  <c r="Q265" i="6"/>
  <c r="W265" i="4" s="1"/>
  <c r="M265" i="9"/>
  <c r="U265" i="4" s="1"/>
  <c r="AY265" i="8"/>
  <c r="R265" i="4" s="1"/>
  <c r="AX265" i="8"/>
  <c r="Q265" i="4" s="1"/>
  <c r="AW265" i="8"/>
  <c r="P265" i="4" s="1"/>
  <c r="AV265" i="8"/>
  <c r="O265" i="4" s="1"/>
  <c r="U265" i="6"/>
  <c r="M265" i="4" s="1"/>
  <c r="T265" i="6"/>
  <c r="L265" i="4" s="1"/>
  <c r="I265" i="9"/>
  <c r="J265" i="9"/>
  <c r="B265" i="9"/>
  <c r="J265" i="4"/>
  <c r="H265" i="4"/>
  <c r="T264" i="3"/>
  <c r="P264" i="8" s="1"/>
  <c r="J264" i="8"/>
  <c r="R264" i="8" s="1"/>
  <c r="O264" i="8"/>
  <c r="U264" i="8" s="1"/>
  <c r="W264" i="8" s="1"/>
  <c r="S264" i="8"/>
  <c r="F264" i="6"/>
  <c r="S264" i="6"/>
  <c r="X264" i="4" s="1"/>
  <c r="Q264" i="6"/>
  <c r="W264" i="4" s="1"/>
  <c r="M264" i="9"/>
  <c r="U264" i="4" s="1"/>
  <c r="AY264" i="8"/>
  <c r="R264" i="4" s="1"/>
  <c r="AX264" i="8"/>
  <c r="Q264" i="4" s="1"/>
  <c r="AW264" i="8"/>
  <c r="P264" i="4" s="1"/>
  <c r="AV264" i="8"/>
  <c r="O264" i="4" s="1"/>
  <c r="U264" i="6"/>
  <c r="M264" i="4" s="1"/>
  <c r="T264" i="6"/>
  <c r="L264" i="4" s="1"/>
  <c r="I264" i="9"/>
  <c r="J264" i="9"/>
  <c r="B264" i="9"/>
  <c r="J264" i="4"/>
  <c r="T263" i="3"/>
  <c r="P263" i="8" s="1"/>
  <c r="J263" i="8"/>
  <c r="R263" i="8" s="1"/>
  <c r="O263" i="8"/>
  <c r="U263" i="8" s="1"/>
  <c r="W263" i="8" s="1"/>
  <c r="S263" i="8"/>
  <c r="F263" i="6"/>
  <c r="S263" i="6"/>
  <c r="X263" i="4" s="1"/>
  <c r="Q263" i="6"/>
  <c r="W263" i="4" s="1"/>
  <c r="M263" i="9"/>
  <c r="U263" i="4" s="1"/>
  <c r="AY263" i="8"/>
  <c r="R263" i="4" s="1"/>
  <c r="AX263" i="8"/>
  <c r="Q263" i="4" s="1"/>
  <c r="AW263" i="8"/>
  <c r="P263" i="4" s="1"/>
  <c r="AV263" i="8"/>
  <c r="O263" i="4" s="1"/>
  <c r="U263" i="6"/>
  <c r="M263" i="4" s="1"/>
  <c r="T263" i="6"/>
  <c r="L263" i="4" s="1"/>
  <c r="I263" i="9"/>
  <c r="J263" i="9"/>
  <c r="B263" i="9"/>
  <c r="J263" i="4"/>
  <c r="F262" i="6"/>
  <c r="O262" i="6"/>
  <c r="R262" i="6"/>
  <c r="S262" i="6"/>
  <c r="X262" i="4" s="1"/>
  <c r="P262" i="6"/>
  <c r="Q262" i="6"/>
  <c r="W262" i="4" s="1"/>
  <c r="M262" i="9"/>
  <c r="U262" i="4" s="1"/>
  <c r="AY262" i="8"/>
  <c r="R262" i="4" s="1"/>
  <c r="AX262" i="8"/>
  <c r="Q262" i="4" s="1"/>
  <c r="AW262" i="8"/>
  <c r="P262" i="4" s="1"/>
  <c r="AV262" i="8"/>
  <c r="O262" i="4" s="1"/>
  <c r="U262" i="6"/>
  <c r="M262" i="4" s="1"/>
  <c r="T262" i="6"/>
  <c r="L262" i="4" s="1"/>
  <c r="I262" i="9"/>
  <c r="J262" i="9"/>
  <c r="B262" i="9"/>
  <c r="J262" i="4"/>
  <c r="G262" i="4"/>
  <c r="F261" i="6"/>
  <c r="O261" i="6"/>
  <c r="R261" i="6"/>
  <c r="S261" i="6"/>
  <c r="X261" i="4" s="1"/>
  <c r="P261" i="6"/>
  <c r="Q261" i="6"/>
  <c r="W261" i="4" s="1"/>
  <c r="M261" i="9"/>
  <c r="U261" i="4" s="1"/>
  <c r="AY261" i="8"/>
  <c r="R261" i="4" s="1"/>
  <c r="AX261" i="8"/>
  <c r="Q261" i="4" s="1"/>
  <c r="AW261" i="8"/>
  <c r="P261" i="4" s="1"/>
  <c r="AV261" i="8"/>
  <c r="O261" i="4" s="1"/>
  <c r="U261" i="6"/>
  <c r="M261" i="4" s="1"/>
  <c r="T261" i="6"/>
  <c r="L261" i="4" s="1"/>
  <c r="I261" i="9"/>
  <c r="J261" i="9"/>
  <c r="B261" i="9"/>
  <c r="J261" i="4"/>
  <c r="F261" i="4"/>
  <c r="F260" i="6"/>
  <c r="O260" i="6"/>
  <c r="R260" i="6"/>
  <c r="S260" i="6"/>
  <c r="X260" i="4" s="1"/>
  <c r="P260" i="6"/>
  <c r="Q260" i="6"/>
  <c r="W260" i="4" s="1"/>
  <c r="M260" i="9"/>
  <c r="U260" i="4" s="1"/>
  <c r="AY260" i="8"/>
  <c r="R260" i="4" s="1"/>
  <c r="AX260" i="8"/>
  <c r="Q260" i="4" s="1"/>
  <c r="AW260" i="8"/>
  <c r="P260" i="4" s="1"/>
  <c r="AV260" i="8"/>
  <c r="O260" i="4" s="1"/>
  <c r="U260" i="6"/>
  <c r="M260" i="4" s="1"/>
  <c r="T260" i="6"/>
  <c r="L260" i="4" s="1"/>
  <c r="I260" i="9"/>
  <c r="J260" i="9"/>
  <c r="B260" i="9"/>
  <c r="J260" i="4"/>
  <c r="F259" i="6"/>
  <c r="O259" i="6"/>
  <c r="R259" i="6"/>
  <c r="S259" i="6"/>
  <c r="X259" i="4" s="1"/>
  <c r="P259" i="6"/>
  <c r="Q259" i="6"/>
  <c r="W259" i="4" s="1"/>
  <c r="M259" i="9"/>
  <c r="U259" i="4" s="1"/>
  <c r="AY259" i="8"/>
  <c r="R259" i="4" s="1"/>
  <c r="AX259" i="8"/>
  <c r="Q259" i="4" s="1"/>
  <c r="AW259" i="8"/>
  <c r="P259" i="4" s="1"/>
  <c r="AV259" i="8"/>
  <c r="O259" i="4" s="1"/>
  <c r="U259" i="6"/>
  <c r="M259" i="4" s="1"/>
  <c r="T259" i="6"/>
  <c r="L259" i="4" s="1"/>
  <c r="I259" i="9"/>
  <c r="J259" i="9"/>
  <c r="B259" i="9"/>
  <c r="J259" i="4"/>
  <c r="F258" i="6"/>
  <c r="O258" i="6"/>
  <c r="R258" i="6"/>
  <c r="S258" i="6"/>
  <c r="X258" i="4" s="1"/>
  <c r="P258" i="6"/>
  <c r="Q258" i="6"/>
  <c r="W258" i="4" s="1"/>
  <c r="M258" i="9"/>
  <c r="U258" i="4" s="1"/>
  <c r="AY258" i="8"/>
  <c r="R258" i="4" s="1"/>
  <c r="AX258" i="8"/>
  <c r="Q258" i="4" s="1"/>
  <c r="AW258" i="8"/>
  <c r="P258" i="4" s="1"/>
  <c r="AV258" i="8"/>
  <c r="O258" i="4" s="1"/>
  <c r="U258" i="6"/>
  <c r="M258" i="4" s="1"/>
  <c r="T258" i="6"/>
  <c r="L258" i="4" s="1"/>
  <c r="I258" i="9"/>
  <c r="J258" i="9"/>
  <c r="B258" i="9"/>
  <c r="J258" i="4"/>
  <c r="F257" i="6"/>
  <c r="O257" i="6"/>
  <c r="R257" i="6"/>
  <c r="S257" i="6"/>
  <c r="X257" i="4" s="1"/>
  <c r="P257" i="6"/>
  <c r="Q257" i="6"/>
  <c r="W257" i="4" s="1"/>
  <c r="M257" i="9"/>
  <c r="U257" i="4" s="1"/>
  <c r="AY257" i="8"/>
  <c r="R257" i="4" s="1"/>
  <c r="AX257" i="8"/>
  <c r="Q257" i="4" s="1"/>
  <c r="AW257" i="8"/>
  <c r="P257" i="4" s="1"/>
  <c r="AV257" i="8"/>
  <c r="O257" i="4" s="1"/>
  <c r="U257" i="6"/>
  <c r="M257" i="4" s="1"/>
  <c r="T257" i="6"/>
  <c r="L257" i="4" s="1"/>
  <c r="I257" i="9"/>
  <c r="J257" i="9"/>
  <c r="B257" i="9"/>
  <c r="J257" i="4"/>
  <c r="I257" i="4"/>
  <c r="F256" i="6"/>
  <c r="O256" i="6"/>
  <c r="R256" i="6"/>
  <c r="S256" i="6"/>
  <c r="X256" i="4" s="1"/>
  <c r="P256" i="6"/>
  <c r="Q256" i="6"/>
  <c r="W256" i="4" s="1"/>
  <c r="M256" i="9"/>
  <c r="U256" i="4" s="1"/>
  <c r="AY256" i="8"/>
  <c r="R256" i="4" s="1"/>
  <c r="AX256" i="8"/>
  <c r="Q256" i="4" s="1"/>
  <c r="AW256" i="8"/>
  <c r="P256" i="4" s="1"/>
  <c r="AV256" i="8"/>
  <c r="O256" i="4" s="1"/>
  <c r="U256" i="6"/>
  <c r="M256" i="4" s="1"/>
  <c r="T256" i="6"/>
  <c r="L256" i="4" s="1"/>
  <c r="I256" i="9"/>
  <c r="J256" i="9"/>
  <c r="B256" i="9"/>
  <c r="J256" i="4"/>
  <c r="H256" i="4"/>
  <c r="F255" i="6"/>
  <c r="O255" i="6"/>
  <c r="R255" i="6"/>
  <c r="S255" i="6"/>
  <c r="X255" i="4" s="1"/>
  <c r="P255" i="6"/>
  <c r="Q255" i="6"/>
  <c r="W255" i="4" s="1"/>
  <c r="M255" i="9"/>
  <c r="U255" i="4" s="1"/>
  <c r="AY255" i="8"/>
  <c r="R255" i="4" s="1"/>
  <c r="AX255" i="8"/>
  <c r="Q255" i="4" s="1"/>
  <c r="AW255" i="8"/>
  <c r="P255" i="4" s="1"/>
  <c r="AV255" i="8"/>
  <c r="O255" i="4" s="1"/>
  <c r="U255" i="6"/>
  <c r="M255" i="4" s="1"/>
  <c r="T255" i="6"/>
  <c r="L255" i="4" s="1"/>
  <c r="I255" i="9"/>
  <c r="J255" i="9"/>
  <c r="B255" i="9"/>
  <c r="J255" i="4"/>
  <c r="F255" i="4"/>
  <c r="F254" i="6"/>
  <c r="O254" i="6"/>
  <c r="R254" i="6"/>
  <c r="S254" i="6"/>
  <c r="X254" i="4" s="1"/>
  <c r="P254" i="6"/>
  <c r="Q254" i="6"/>
  <c r="W254" i="4" s="1"/>
  <c r="M254" i="9"/>
  <c r="U254" i="4" s="1"/>
  <c r="AY254" i="8"/>
  <c r="R254" i="4" s="1"/>
  <c r="AX254" i="8"/>
  <c r="Q254" i="4" s="1"/>
  <c r="AW254" i="8"/>
  <c r="P254" i="4" s="1"/>
  <c r="AV254" i="8"/>
  <c r="O254" i="4" s="1"/>
  <c r="U254" i="6"/>
  <c r="M254" i="4" s="1"/>
  <c r="T254" i="6"/>
  <c r="L254" i="4" s="1"/>
  <c r="I254" i="9"/>
  <c r="J254" i="9"/>
  <c r="B254" i="9"/>
  <c r="J254" i="4"/>
  <c r="I254" i="4"/>
  <c r="F253" i="6"/>
  <c r="O253" i="6"/>
  <c r="R253" i="6"/>
  <c r="S253" i="6"/>
  <c r="X253" i="4" s="1"/>
  <c r="P253" i="6"/>
  <c r="Q253" i="6"/>
  <c r="W253" i="4" s="1"/>
  <c r="M253" i="9"/>
  <c r="U253" i="4" s="1"/>
  <c r="AY253" i="8"/>
  <c r="R253" i="4" s="1"/>
  <c r="AX253" i="8"/>
  <c r="Q253" i="4" s="1"/>
  <c r="AW253" i="8"/>
  <c r="P253" i="4" s="1"/>
  <c r="AV253" i="8"/>
  <c r="O253" i="4" s="1"/>
  <c r="U253" i="6"/>
  <c r="M253" i="4" s="1"/>
  <c r="T253" i="6"/>
  <c r="L253" i="4" s="1"/>
  <c r="I253" i="9"/>
  <c r="J253" i="9"/>
  <c r="B253" i="9"/>
  <c r="J253" i="4"/>
  <c r="H253" i="4"/>
  <c r="F252" i="6"/>
  <c r="O252" i="6"/>
  <c r="R252" i="6"/>
  <c r="S252" i="6"/>
  <c r="X252" i="4" s="1"/>
  <c r="P252" i="6"/>
  <c r="Q252" i="6"/>
  <c r="W252" i="4" s="1"/>
  <c r="M252" i="9"/>
  <c r="U252" i="4" s="1"/>
  <c r="AY252" i="8"/>
  <c r="R252" i="4" s="1"/>
  <c r="AX252" i="8"/>
  <c r="Q252" i="4" s="1"/>
  <c r="AW252" i="8"/>
  <c r="P252" i="4" s="1"/>
  <c r="AV252" i="8"/>
  <c r="O252" i="4" s="1"/>
  <c r="U252" i="6"/>
  <c r="M252" i="4" s="1"/>
  <c r="T252" i="6"/>
  <c r="L252" i="4" s="1"/>
  <c r="I252" i="9"/>
  <c r="J252" i="9"/>
  <c r="B252" i="9"/>
  <c r="J252" i="4"/>
  <c r="F251" i="6"/>
  <c r="O251" i="6"/>
  <c r="R251" i="6"/>
  <c r="S251" i="6"/>
  <c r="X251" i="4" s="1"/>
  <c r="P251" i="6"/>
  <c r="Q251" i="6"/>
  <c r="W251" i="4" s="1"/>
  <c r="M251" i="9"/>
  <c r="U251" i="4" s="1"/>
  <c r="AY251" i="8"/>
  <c r="R251" i="4" s="1"/>
  <c r="AX251" i="8"/>
  <c r="Q251" i="4" s="1"/>
  <c r="AW251" i="8"/>
  <c r="P251" i="4" s="1"/>
  <c r="AV251" i="8"/>
  <c r="O251" i="4" s="1"/>
  <c r="U251" i="6"/>
  <c r="M251" i="4" s="1"/>
  <c r="T251" i="6"/>
  <c r="L251" i="4" s="1"/>
  <c r="I251" i="9"/>
  <c r="J251" i="9"/>
  <c r="B251" i="9"/>
  <c r="J251" i="4"/>
  <c r="I251" i="4"/>
  <c r="F250" i="6"/>
  <c r="O250" i="6"/>
  <c r="R250" i="6"/>
  <c r="S250" i="6"/>
  <c r="X250" i="4" s="1"/>
  <c r="P250" i="6"/>
  <c r="Q250" i="6"/>
  <c r="W250" i="4" s="1"/>
  <c r="M250" i="9"/>
  <c r="U250" i="4" s="1"/>
  <c r="AY250" i="8"/>
  <c r="R250" i="4" s="1"/>
  <c r="AX250" i="8"/>
  <c r="Q250" i="4" s="1"/>
  <c r="AW250" i="8"/>
  <c r="P250" i="4" s="1"/>
  <c r="AV250" i="8"/>
  <c r="O250" i="4" s="1"/>
  <c r="U250" i="6"/>
  <c r="M250" i="4" s="1"/>
  <c r="T250" i="6"/>
  <c r="L250" i="4" s="1"/>
  <c r="I250" i="9"/>
  <c r="J250" i="9"/>
  <c r="B250" i="9"/>
  <c r="J250" i="4"/>
  <c r="H250" i="4"/>
  <c r="F249" i="6"/>
  <c r="O249" i="6"/>
  <c r="R249" i="6"/>
  <c r="S249" i="6"/>
  <c r="X249" i="4" s="1"/>
  <c r="P249" i="6"/>
  <c r="Q249" i="6"/>
  <c r="W249" i="4" s="1"/>
  <c r="M249" i="9"/>
  <c r="U249" i="4" s="1"/>
  <c r="AY249" i="8"/>
  <c r="R249" i="4" s="1"/>
  <c r="AX249" i="8"/>
  <c r="Q249" i="4" s="1"/>
  <c r="AW249" i="8"/>
  <c r="P249" i="4" s="1"/>
  <c r="AV249" i="8"/>
  <c r="O249" i="4" s="1"/>
  <c r="U249" i="6"/>
  <c r="M249" i="4" s="1"/>
  <c r="T249" i="6"/>
  <c r="L249" i="4" s="1"/>
  <c r="K249" i="4"/>
  <c r="I249" i="9"/>
  <c r="J249" i="9"/>
  <c r="B249" i="9"/>
  <c r="J249" i="4"/>
  <c r="G249" i="4"/>
  <c r="F248" i="6"/>
  <c r="O248" i="6"/>
  <c r="R248" i="6"/>
  <c r="S248" i="6"/>
  <c r="X248" i="4" s="1"/>
  <c r="P248" i="6"/>
  <c r="Q248" i="6"/>
  <c r="W248" i="4" s="1"/>
  <c r="M248" i="9"/>
  <c r="U248" i="4" s="1"/>
  <c r="AY248" i="8"/>
  <c r="R248" i="4" s="1"/>
  <c r="AX248" i="8"/>
  <c r="Q248" i="4" s="1"/>
  <c r="AW248" i="8"/>
  <c r="P248" i="4" s="1"/>
  <c r="AV248" i="8"/>
  <c r="O248" i="4" s="1"/>
  <c r="U248" i="6"/>
  <c r="M248" i="4" s="1"/>
  <c r="T248" i="6"/>
  <c r="L248" i="4" s="1"/>
  <c r="I248" i="9"/>
  <c r="J248" i="9"/>
  <c r="B248" i="9"/>
  <c r="J248" i="4"/>
  <c r="F247" i="6"/>
  <c r="O247" i="6"/>
  <c r="R247" i="6"/>
  <c r="S247" i="6"/>
  <c r="X247" i="4" s="1"/>
  <c r="P247" i="6"/>
  <c r="Q247" i="6"/>
  <c r="W247" i="4" s="1"/>
  <c r="M247" i="9"/>
  <c r="U247" i="4" s="1"/>
  <c r="AY247" i="8"/>
  <c r="R247" i="4" s="1"/>
  <c r="AX247" i="8"/>
  <c r="Q247" i="4" s="1"/>
  <c r="AW247" i="8"/>
  <c r="P247" i="4" s="1"/>
  <c r="AV247" i="8"/>
  <c r="O247" i="4" s="1"/>
  <c r="U247" i="6"/>
  <c r="M247" i="4" s="1"/>
  <c r="T247" i="6"/>
  <c r="L247" i="4" s="1"/>
  <c r="I247" i="9"/>
  <c r="J247" i="9"/>
  <c r="B247" i="9"/>
  <c r="J247" i="4"/>
  <c r="H247" i="4"/>
  <c r="F246" i="6"/>
  <c r="O246" i="6"/>
  <c r="R246" i="6"/>
  <c r="S246" i="6"/>
  <c r="X246" i="4" s="1"/>
  <c r="P246" i="6"/>
  <c r="Q246" i="6"/>
  <c r="W246" i="4" s="1"/>
  <c r="M246" i="9"/>
  <c r="U246" i="4" s="1"/>
  <c r="AY246" i="8"/>
  <c r="R246" i="4" s="1"/>
  <c r="AX246" i="8"/>
  <c r="Q246" i="4" s="1"/>
  <c r="AW246" i="8"/>
  <c r="P246" i="4" s="1"/>
  <c r="AV246" i="8"/>
  <c r="O246" i="4" s="1"/>
  <c r="U246" i="6"/>
  <c r="M246" i="4" s="1"/>
  <c r="T246" i="6"/>
  <c r="L246" i="4" s="1"/>
  <c r="I246" i="9"/>
  <c r="J246" i="9"/>
  <c r="B246" i="9"/>
  <c r="J246" i="4"/>
  <c r="F244" i="6"/>
  <c r="S244" i="6"/>
  <c r="X244" i="4" s="1"/>
  <c r="Q244" i="6"/>
  <c r="W244" i="4" s="1"/>
  <c r="M244" i="9"/>
  <c r="U244" i="4" s="1"/>
  <c r="AY244" i="8"/>
  <c r="R244" i="4" s="1"/>
  <c r="AX244" i="8"/>
  <c r="Q244" i="4" s="1"/>
  <c r="AW244" i="8"/>
  <c r="P244" i="4" s="1"/>
  <c r="AV244" i="8"/>
  <c r="O244" i="4" s="1"/>
  <c r="U244" i="6"/>
  <c r="M244" i="4" s="1"/>
  <c r="T244" i="6"/>
  <c r="L244" i="4" s="1"/>
  <c r="I244" i="9"/>
  <c r="J244" i="9"/>
  <c r="B244" i="9"/>
  <c r="J244" i="4"/>
  <c r="T243" i="3"/>
  <c r="P243" i="8"/>
  <c r="J243" i="8"/>
  <c r="O243" i="8"/>
  <c r="U243" i="8" s="1"/>
  <c r="W243" i="8" s="1"/>
  <c r="F243" i="6"/>
  <c r="S243" i="6"/>
  <c r="X243" i="4" s="1"/>
  <c r="Q243" i="6"/>
  <c r="W243" i="4" s="1"/>
  <c r="M243" i="9"/>
  <c r="U243" i="4" s="1"/>
  <c r="AY243" i="8"/>
  <c r="R243" i="4" s="1"/>
  <c r="AX243" i="8"/>
  <c r="Q243" i="4" s="1"/>
  <c r="AW243" i="8"/>
  <c r="P243" i="4" s="1"/>
  <c r="AV243" i="8"/>
  <c r="O243" i="4" s="1"/>
  <c r="U243" i="6"/>
  <c r="M243" i="4" s="1"/>
  <c r="T243" i="6"/>
  <c r="L243" i="4" s="1"/>
  <c r="I243" i="9"/>
  <c r="J243" i="9"/>
  <c r="B243" i="9"/>
  <c r="J243" i="4"/>
  <c r="T242" i="3"/>
  <c r="P242" i="8" s="1"/>
  <c r="J242" i="8"/>
  <c r="O242" i="8"/>
  <c r="U242" i="8" s="1"/>
  <c r="W242" i="8" s="1"/>
  <c r="F242" i="6"/>
  <c r="S242" i="6"/>
  <c r="X242" i="4" s="1"/>
  <c r="Q242" i="6"/>
  <c r="W242" i="4" s="1"/>
  <c r="M242" i="9"/>
  <c r="U242" i="4" s="1"/>
  <c r="AY242" i="8"/>
  <c r="R242" i="4" s="1"/>
  <c r="AX242" i="8"/>
  <c r="Q242" i="4" s="1"/>
  <c r="AW242" i="8"/>
  <c r="P242" i="4" s="1"/>
  <c r="AV242" i="8"/>
  <c r="O242" i="4" s="1"/>
  <c r="U242" i="6"/>
  <c r="M242" i="4" s="1"/>
  <c r="T242" i="6"/>
  <c r="L242" i="4" s="1"/>
  <c r="I242" i="9"/>
  <c r="J242" i="9"/>
  <c r="B242" i="9"/>
  <c r="J242" i="4"/>
  <c r="T241" i="3"/>
  <c r="P241" i="8" s="1"/>
  <c r="J241" i="8"/>
  <c r="O241" i="8"/>
  <c r="U241" i="8" s="1"/>
  <c r="W241" i="8" s="1"/>
  <c r="F241" i="6"/>
  <c r="S241" i="6"/>
  <c r="X241" i="4" s="1"/>
  <c r="Q241" i="6"/>
  <c r="W241" i="4" s="1"/>
  <c r="V241" i="4"/>
  <c r="M241" i="9"/>
  <c r="U241" i="4"/>
  <c r="AY241" i="8"/>
  <c r="R241" i="4" s="1"/>
  <c r="AX241" i="8"/>
  <c r="Q241" i="4" s="1"/>
  <c r="AW241" i="8"/>
  <c r="P241" i="4" s="1"/>
  <c r="AV241" i="8"/>
  <c r="O241" i="4" s="1"/>
  <c r="U241" i="6"/>
  <c r="M241" i="4" s="1"/>
  <c r="T241" i="6"/>
  <c r="L241" i="4" s="1"/>
  <c r="I241" i="9"/>
  <c r="J241" i="9"/>
  <c r="B241" i="9"/>
  <c r="J241" i="4"/>
  <c r="H241" i="4"/>
  <c r="T240" i="3"/>
  <c r="P240" i="8" s="1"/>
  <c r="J240" i="8"/>
  <c r="O240" i="8"/>
  <c r="U240" i="8" s="1"/>
  <c r="W240" i="8" s="1"/>
  <c r="F240" i="6"/>
  <c r="S240" i="6"/>
  <c r="X240" i="4" s="1"/>
  <c r="Q240" i="6"/>
  <c r="W240" i="4" s="1"/>
  <c r="M240" i="9"/>
  <c r="U240" i="4" s="1"/>
  <c r="AY240" i="8"/>
  <c r="R240" i="4" s="1"/>
  <c r="AX240" i="8"/>
  <c r="Q240" i="4" s="1"/>
  <c r="AW240" i="8"/>
  <c r="P240" i="4" s="1"/>
  <c r="AV240" i="8"/>
  <c r="O240" i="4" s="1"/>
  <c r="U240" i="6"/>
  <c r="M240" i="4" s="1"/>
  <c r="T240" i="6"/>
  <c r="L240" i="4" s="1"/>
  <c r="I240" i="9"/>
  <c r="J240" i="9"/>
  <c r="B240" i="9"/>
  <c r="J240" i="4"/>
  <c r="F240" i="4"/>
  <c r="T239" i="3"/>
  <c r="P239" i="8" s="1"/>
  <c r="J239" i="8"/>
  <c r="O239" i="8"/>
  <c r="U239" i="8"/>
  <c r="F239" i="6"/>
  <c r="S239" i="6"/>
  <c r="X239" i="4" s="1"/>
  <c r="Q239" i="6"/>
  <c r="W239" i="4" s="1"/>
  <c r="M239" i="9"/>
  <c r="U239" i="4" s="1"/>
  <c r="AY239" i="8"/>
  <c r="R239" i="4" s="1"/>
  <c r="AX239" i="8"/>
  <c r="Q239" i="4" s="1"/>
  <c r="AW239" i="8"/>
  <c r="P239" i="4" s="1"/>
  <c r="AV239" i="8"/>
  <c r="O239" i="4" s="1"/>
  <c r="U239" i="6"/>
  <c r="M239" i="4" s="1"/>
  <c r="T239" i="6"/>
  <c r="L239" i="4" s="1"/>
  <c r="I239" i="9"/>
  <c r="J239" i="9"/>
  <c r="B239" i="9"/>
  <c r="J239" i="4"/>
  <c r="T238" i="3"/>
  <c r="P238" i="8" s="1"/>
  <c r="J238" i="8"/>
  <c r="O238" i="8"/>
  <c r="U238" i="8"/>
  <c r="W238" i="8" s="1"/>
  <c r="F238" i="6"/>
  <c r="S238" i="6"/>
  <c r="X238" i="4" s="1"/>
  <c r="Q238" i="6"/>
  <c r="W238" i="4" s="1"/>
  <c r="M238" i="9"/>
  <c r="U238" i="4" s="1"/>
  <c r="AY238" i="8"/>
  <c r="R238" i="4" s="1"/>
  <c r="AX238" i="8"/>
  <c r="Q238" i="4" s="1"/>
  <c r="AW238" i="8"/>
  <c r="P238" i="4" s="1"/>
  <c r="AV238" i="8"/>
  <c r="O238" i="4" s="1"/>
  <c r="U238" i="6"/>
  <c r="M238" i="4" s="1"/>
  <c r="T238" i="6"/>
  <c r="L238" i="4" s="1"/>
  <c r="I238" i="9"/>
  <c r="J238" i="9"/>
  <c r="B238" i="9"/>
  <c r="J238" i="4"/>
  <c r="T237" i="3"/>
  <c r="P237" i="8" s="1"/>
  <c r="J237" i="8"/>
  <c r="O237" i="8"/>
  <c r="U237" i="8" s="1"/>
  <c r="W237" i="8" s="1"/>
  <c r="M237" i="8"/>
  <c r="F237" i="6"/>
  <c r="S237" i="6"/>
  <c r="X237" i="4" s="1"/>
  <c r="Q237" i="6"/>
  <c r="W237" i="4" s="1"/>
  <c r="M237" i="9"/>
  <c r="U237" i="4" s="1"/>
  <c r="AY237" i="8"/>
  <c r="R237" i="4" s="1"/>
  <c r="AX237" i="8"/>
  <c r="Q237" i="4" s="1"/>
  <c r="AW237" i="8"/>
  <c r="P237" i="4" s="1"/>
  <c r="AV237" i="8"/>
  <c r="O237" i="4" s="1"/>
  <c r="U237" i="6"/>
  <c r="M237" i="4" s="1"/>
  <c r="T237" i="6"/>
  <c r="L237" i="4" s="1"/>
  <c r="I237" i="9"/>
  <c r="J237" i="9"/>
  <c r="B237" i="9"/>
  <c r="J237" i="4"/>
  <c r="H237" i="4"/>
  <c r="F236" i="6"/>
  <c r="S236" i="6"/>
  <c r="X236" i="4" s="1"/>
  <c r="Q236" i="6"/>
  <c r="W236" i="4" s="1"/>
  <c r="G236" i="9"/>
  <c r="M236" i="9"/>
  <c r="U236" i="4" s="1"/>
  <c r="AY236" i="8"/>
  <c r="R236" i="4" s="1"/>
  <c r="AX236" i="8"/>
  <c r="Q236" i="4" s="1"/>
  <c r="AW236" i="8"/>
  <c r="P236" i="4" s="1"/>
  <c r="AV236" i="8"/>
  <c r="O236" i="4" s="1"/>
  <c r="U236" i="6"/>
  <c r="M236" i="4" s="1"/>
  <c r="T236" i="6"/>
  <c r="L236" i="4" s="1"/>
  <c r="I236" i="9"/>
  <c r="J236" i="9"/>
  <c r="B236" i="9"/>
  <c r="J236" i="4"/>
  <c r="T235" i="3"/>
  <c r="P235" i="8" s="1"/>
  <c r="J235" i="8"/>
  <c r="O235" i="8"/>
  <c r="U235" i="8"/>
  <c r="W235" i="8" s="1"/>
  <c r="F235" i="6"/>
  <c r="S235" i="6"/>
  <c r="X235" i="4" s="1"/>
  <c r="Q235" i="6"/>
  <c r="W235" i="4" s="1"/>
  <c r="M235" i="9"/>
  <c r="U235" i="4" s="1"/>
  <c r="AY235" i="8"/>
  <c r="R235" i="4" s="1"/>
  <c r="AX235" i="8"/>
  <c r="Q235" i="4" s="1"/>
  <c r="AW235" i="8"/>
  <c r="P235" i="4" s="1"/>
  <c r="AV235" i="8"/>
  <c r="O235" i="4" s="1"/>
  <c r="U235" i="6"/>
  <c r="M235" i="4" s="1"/>
  <c r="T235" i="6"/>
  <c r="L235" i="4" s="1"/>
  <c r="I235" i="9"/>
  <c r="J235" i="9"/>
  <c r="B235" i="9"/>
  <c r="J235" i="4"/>
  <c r="G235" i="4"/>
  <c r="T234" i="3"/>
  <c r="P234" i="8" s="1"/>
  <c r="J234" i="8"/>
  <c r="O234" i="8"/>
  <c r="U234" i="8" s="1"/>
  <c r="W234" i="8" s="1"/>
  <c r="Y234" i="8" s="1"/>
  <c r="F234" i="6"/>
  <c r="S234" i="6"/>
  <c r="X234" i="4" s="1"/>
  <c r="Q234" i="6"/>
  <c r="W234" i="4" s="1"/>
  <c r="M234" i="9"/>
  <c r="U234" i="4" s="1"/>
  <c r="AY234" i="8"/>
  <c r="R234" i="4" s="1"/>
  <c r="AX234" i="8"/>
  <c r="Q234" i="4" s="1"/>
  <c r="AW234" i="8"/>
  <c r="P234" i="4" s="1"/>
  <c r="AV234" i="8"/>
  <c r="O234" i="4" s="1"/>
  <c r="U234" i="6"/>
  <c r="M234" i="4" s="1"/>
  <c r="T234" i="6"/>
  <c r="L234" i="4" s="1"/>
  <c r="I234" i="9"/>
  <c r="J234" i="9"/>
  <c r="B234" i="9"/>
  <c r="J234" i="4"/>
  <c r="F233" i="6"/>
  <c r="S233" i="6"/>
  <c r="X233" i="4" s="1"/>
  <c r="Q233" i="6"/>
  <c r="W233" i="4" s="1"/>
  <c r="G233" i="9"/>
  <c r="M233" i="9"/>
  <c r="U233" i="4" s="1"/>
  <c r="AY233" i="8"/>
  <c r="R233" i="4" s="1"/>
  <c r="AX233" i="8"/>
  <c r="Q233" i="4" s="1"/>
  <c r="AW233" i="8"/>
  <c r="P233" i="4" s="1"/>
  <c r="AV233" i="8"/>
  <c r="O233" i="4" s="1"/>
  <c r="U233" i="6"/>
  <c r="M233" i="4" s="1"/>
  <c r="T233" i="6"/>
  <c r="L233" i="4" s="1"/>
  <c r="I233" i="9"/>
  <c r="J233" i="9"/>
  <c r="B233" i="9"/>
  <c r="J233" i="4"/>
  <c r="F232" i="6"/>
  <c r="S232" i="6"/>
  <c r="X232" i="4" s="1"/>
  <c r="Q232" i="6"/>
  <c r="W232" i="4" s="1"/>
  <c r="M232" i="9"/>
  <c r="U232" i="4" s="1"/>
  <c r="AY232" i="8"/>
  <c r="R232" i="4" s="1"/>
  <c r="AX232" i="8"/>
  <c r="Q232" i="4" s="1"/>
  <c r="AW232" i="8"/>
  <c r="P232" i="4" s="1"/>
  <c r="AV232" i="8"/>
  <c r="O232" i="4" s="1"/>
  <c r="U232" i="6"/>
  <c r="M232" i="4" s="1"/>
  <c r="T232" i="6"/>
  <c r="L232" i="4" s="1"/>
  <c r="I232" i="9"/>
  <c r="J232" i="9"/>
  <c r="B232" i="9"/>
  <c r="J232" i="4"/>
  <c r="F231" i="6"/>
  <c r="S231" i="6"/>
  <c r="X231" i="4" s="1"/>
  <c r="Q231" i="6"/>
  <c r="W231" i="4" s="1"/>
  <c r="G231" i="9"/>
  <c r="M231" i="9"/>
  <c r="U231" i="4" s="1"/>
  <c r="AY231" i="8"/>
  <c r="R231" i="4" s="1"/>
  <c r="AX231" i="8"/>
  <c r="Q231" i="4" s="1"/>
  <c r="AW231" i="8"/>
  <c r="P231" i="4" s="1"/>
  <c r="AV231" i="8"/>
  <c r="O231" i="4" s="1"/>
  <c r="U231" i="6"/>
  <c r="M231" i="4" s="1"/>
  <c r="T231" i="6"/>
  <c r="L231" i="4" s="1"/>
  <c r="I231" i="9"/>
  <c r="J231" i="9"/>
  <c r="B231" i="9"/>
  <c r="J231" i="4"/>
  <c r="F230" i="6"/>
  <c r="S230" i="6"/>
  <c r="X230" i="4" s="1"/>
  <c r="Q230" i="6"/>
  <c r="W230" i="4" s="1"/>
  <c r="M230" i="9"/>
  <c r="U230" i="4" s="1"/>
  <c r="AY230" i="8"/>
  <c r="R230" i="4" s="1"/>
  <c r="AX230" i="8"/>
  <c r="Q230" i="4" s="1"/>
  <c r="AW230" i="8"/>
  <c r="P230" i="4" s="1"/>
  <c r="AV230" i="8"/>
  <c r="O230" i="4" s="1"/>
  <c r="U230" i="6"/>
  <c r="M230" i="4" s="1"/>
  <c r="T230" i="6"/>
  <c r="L230" i="4" s="1"/>
  <c r="I230" i="9"/>
  <c r="J230" i="9"/>
  <c r="B230" i="9"/>
  <c r="J230" i="4"/>
  <c r="F229" i="6"/>
  <c r="S229" i="6"/>
  <c r="X229" i="4" s="1"/>
  <c r="Q229" i="6"/>
  <c r="W229" i="4" s="1"/>
  <c r="M229" i="9"/>
  <c r="U229" i="4" s="1"/>
  <c r="AY229" i="8"/>
  <c r="R229" i="4" s="1"/>
  <c r="AX229" i="8"/>
  <c r="Q229" i="4" s="1"/>
  <c r="AW229" i="8"/>
  <c r="P229" i="4" s="1"/>
  <c r="AV229" i="8"/>
  <c r="O229" i="4" s="1"/>
  <c r="U229" i="6"/>
  <c r="M229" i="4" s="1"/>
  <c r="T229" i="6"/>
  <c r="L229" i="4" s="1"/>
  <c r="I229" i="9"/>
  <c r="J229" i="9"/>
  <c r="B229" i="9"/>
  <c r="J229" i="4"/>
  <c r="F228" i="6"/>
  <c r="S228" i="6"/>
  <c r="X228" i="4" s="1"/>
  <c r="Q228" i="6"/>
  <c r="W228" i="4" s="1"/>
  <c r="M228" i="9"/>
  <c r="U228" i="4" s="1"/>
  <c r="AY228" i="8"/>
  <c r="R228" i="4" s="1"/>
  <c r="AX228" i="8"/>
  <c r="Q228" i="4" s="1"/>
  <c r="AW228" i="8"/>
  <c r="P228" i="4" s="1"/>
  <c r="AV228" i="8"/>
  <c r="O228" i="4" s="1"/>
  <c r="U228" i="6"/>
  <c r="M228" i="4" s="1"/>
  <c r="T228" i="6"/>
  <c r="L228" i="4" s="1"/>
  <c r="I228" i="9"/>
  <c r="J228" i="9"/>
  <c r="B228" i="9"/>
  <c r="J228" i="4"/>
  <c r="F227" i="6"/>
  <c r="S227" i="6"/>
  <c r="X227" i="4" s="1"/>
  <c r="Q227" i="6"/>
  <c r="W227" i="4" s="1"/>
  <c r="M227" i="9"/>
  <c r="U227" i="4" s="1"/>
  <c r="AY227" i="8"/>
  <c r="R227" i="4" s="1"/>
  <c r="AX227" i="8"/>
  <c r="Q227" i="4" s="1"/>
  <c r="AW227" i="8"/>
  <c r="P227" i="4" s="1"/>
  <c r="AV227" i="8"/>
  <c r="O227" i="4" s="1"/>
  <c r="U227" i="6"/>
  <c r="M227" i="4" s="1"/>
  <c r="T227" i="6"/>
  <c r="L227" i="4" s="1"/>
  <c r="I227" i="9"/>
  <c r="J227" i="9"/>
  <c r="B227" i="9"/>
  <c r="J227" i="4"/>
  <c r="F226" i="6"/>
  <c r="S226" i="6"/>
  <c r="X226" i="4" s="1"/>
  <c r="Q226" i="6"/>
  <c r="W226" i="4" s="1"/>
  <c r="M226" i="9"/>
  <c r="U226" i="4" s="1"/>
  <c r="AY226" i="8"/>
  <c r="R226" i="4" s="1"/>
  <c r="AX226" i="8"/>
  <c r="Q226" i="4" s="1"/>
  <c r="AW226" i="8"/>
  <c r="P226" i="4" s="1"/>
  <c r="AV226" i="8"/>
  <c r="O226" i="4" s="1"/>
  <c r="U226" i="6"/>
  <c r="M226" i="4" s="1"/>
  <c r="T226" i="6"/>
  <c r="L226" i="4" s="1"/>
  <c r="I226" i="9"/>
  <c r="J226" i="9"/>
  <c r="B226" i="9"/>
  <c r="J226" i="4"/>
  <c r="G225" i="9"/>
  <c r="M225" i="9"/>
  <c r="U225" i="4" s="1"/>
  <c r="AY225" i="8"/>
  <c r="R225" i="4" s="1"/>
  <c r="AX225" i="8"/>
  <c r="Q225" i="4" s="1"/>
  <c r="AW225" i="8"/>
  <c r="P225" i="4" s="1"/>
  <c r="AV225" i="8"/>
  <c r="O225" i="4" s="1"/>
  <c r="U225" i="6"/>
  <c r="M225" i="4" s="1"/>
  <c r="T225" i="6"/>
  <c r="L225" i="4" s="1"/>
  <c r="I225" i="9"/>
  <c r="J225" i="9"/>
  <c r="B225" i="9"/>
  <c r="J225" i="4"/>
  <c r="T224" i="3"/>
  <c r="P224" i="8" s="1"/>
  <c r="J224" i="8"/>
  <c r="O224" i="8"/>
  <c r="U224" i="8"/>
  <c r="W224" i="8" s="1"/>
  <c r="F224" i="6"/>
  <c r="S224" i="6"/>
  <c r="X224" i="4" s="1"/>
  <c r="Q224" i="6"/>
  <c r="W224" i="4" s="1"/>
  <c r="M224" i="9"/>
  <c r="U224" i="4" s="1"/>
  <c r="AY224" i="8"/>
  <c r="R224" i="4" s="1"/>
  <c r="AX224" i="8"/>
  <c r="Q224" i="4" s="1"/>
  <c r="AW224" i="8"/>
  <c r="P224" i="4" s="1"/>
  <c r="AV224" i="8"/>
  <c r="O224" i="4" s="1"/>
  <c r="U224" i="6"/>
  <c r="M224" i="4" s="1"/>
  <c r="T224" i="6"/>
  <c r="L224" i="4" s="1"/>
  <c r="K224" i="4"/>
  <c r="I224" i="9"/>
  <c r="J224" i="9"/>
  <c r="B224" i="9"/>
  <c r="J224" i="4"/>
  <c r="T223" i="3"/>
  <c r="P223" i="8" s="1"/>
  <c r="J223" i="8"/>
  <c r="O223" i="8"/>
  <c r="U223" i="8"/>
  <c r="F223" i="6"/>
  <c r="S223" i="6"/>
  <c r="X223" i="4" s="1"/>
  <c r="Q223" i="6"/>
  <c r="W223" i="4" s="1"/>
  <c r="M223" i="9"/>
  <c r="U223" i="4" s="1"/>
  <c r="AY223" i="8"/>
  <c r="R223" i="4" s="1"/>
  <c r="AX223" i="8"/>
  <c r="Q223" i="4" s="1"/>
  <c r="AW223" i="8"/>
  <c r="P223" i="4" s="1"/>
  <c r="AV223" i="8"/>
  <c r="O223" i="4" s="1"/>
  <c r="U223" i="6"/>
  <c r="M223" i="4" s="1"/>
  <c r="T223" i="6"/>
  <c r="L223" i="4" s="1"/>
  <c r="I223" i="9"/>
  <c r="J223" i="9"/>
  <c r="B223" i="9"/>
  <c r="J223" i="4"/>
  <c r="T222" i="3"/>
  <c r="P222" i="8" s="1"/>
  <c r="J222" i="8"/>
  <c r="O222" i="8"/>
  <c r="U222" i="8" s="1"/>
  <c r="W222" i="8" s="1"/>
  <c r="F222" i="6"/>
  <c r="S222" i="6"/>
  <c r="X222" i="4" s="1"/>
  <c r="Q222" i="6"/>
  <c r="W222" i="4" s="1"/>
  <c r="M222" i="9"/>
  <c r="U222" i="4" s="1"/>
  <c r="AY222" i="8"/>
  <c r="R222" i="4" s="1"/>
  <c r="AX222" i="8"/>
  <c r="Q222" i="4" s="1"/>
  <c r="AW222" i="8"/>
  <c r="P222" i="4" s="1"/>
  <c r="AV222" i="8"/>
  <c r="O222" i="4" s="1"/>
  <c r="U222" i="6"/>
  <c r="M222" i="4" s="1"/>
  <c r="T222" i="6"/>
  <c r="L222" i="4" s="1"/>
  <c r="I222" i="9"/>
  <c r="J222" i="9"/>
  <c r="B222" i="9"/>
  <c r="J222" i="4"/>
  <c r="W221" i="4"/>
  <c r="G221" i="9"/>
  <c r="M221" i="9"/>
  <c r="U221" i="4" s="1"/>
  <c r="AY221" i="8"/>
  <c r="R221" i="4" s="1"/>
  <c r="AX221" i="8"/>
  <c r="Q221" i="4" s="1"/>
  <c r="AW221" i="8"/>
  <c r="P221" i="4" s="1"/>
  <c r="AV221" i="8"/>
  <c r="O221" i="4" s="1"/>
  <c r="U221" i="6"/>
  <c r="M221" i="4" s="1"/>
  <c r="T221" i="6"/>
  <c r="L221" i="4" s="1"/>
  <c r="I221" i="9"/>
  <c r="J221" i="9"/>
  <c r="B221" i="9"/>
  <c r="J221" i="4"/>
  <c r="T220" i="3"/>
  <c r="P220" i="8"/>
  <c r="J220" i="8"/>
  <c r="O220" i="8"/>
  <c r="U220" i="8"/>
  <c r="W220" i="8" s="1"/>
  <c r="F220" i="6"/>
  <c r="S220" i="6"/>
  <c r="X220" i="4" s="1"/>
  <c r="Q220" i="6"/>
  <c r="W220" i="4" s="1"/>
  <c r="M220" i="9"/>
  <c r="U220" i="4" s="1"/>
  <c r="AY220" i="8"/>
  <c r="R220" i="4" s="1"/>
  <c r="AX220" i="8"/>
  <c r="Q220" i="4" s="1"/>
  <c r="AW220" i="8"/>
  <c r="P220" i="4" s="1"/>
  <c r="AV220" i="8"/>
  <c r="O220" i="4" s="1"/>
  <c r="U220" i="6"/>
  <c r="M220" i="4" s="1"/>
  <c r="T220" i="6"/>
  <c r="L220" i="4" s="1"/>
  <c r="I220" i="9"/>
  <c r="J220" i="9"/>
  <c r="B220" i="9"/>
  <c r="J220" i="4"/>
  <c r="F219" i="6"/>
  <c r="S219" i="6"/>
  <c r="X219" i="4" s="1"/>
  <c r="Q219" i="6"/>
  <c r="W219" i="4" s="1"/>
  <c r="G219" i="9"/>
  <c r="M219" i="9"/>
  <c r="U219" i="4" s="1"/>
  <c r="AY219" i="8"/>
  <c r="R219" i="4" s="1"/>
  <c r="AX219" i="8"/>
  <c r="Q219" i="4" s="1"/>
  <c r="AW219" i="8"/>
  <c r="P219" i="4" s="1"/>
  <c r="AV219" i="8"/>
  <c r="O219" i="4" s="1"/>
  <c r="U219" i="6"/>
  <c r="M219" i="4" s="1"/>
  <c r="T219" i="6"/>
  <c r="L219" i="4" s="1"/>
  <c r="I219" i="9"/>
  <c r="J219" i="9"/>
  <c r="B219" i="9"/>
  <c r="J219" i="4"/>
  <c r="F218" i="6"/>
  <c r="S218" i="6"/>
  <c r="X218" i="4" s="1"/>
  <c r="Q218" i="6"/>
  <c r="W218" i="4" s="1"/>
  <c r="V218" i="4"/>
  <c r="G218" i="9"/>
  <c r="M218" i="9"/>
  <c r="U218" i="4" s="1"/>
  <c r="AY218" i="8"/>
  <c r="R218" i="4" s="1"/>
  <c r="AX218" i="8"/>
  <c r="Q218" i="4" s="1"/>
  <c r="AW218" i="8"/>
  <c r="P218" i="4" s="1"/>
  <c r="AV218" i="8"/>
  <c r="O218" i="4" s="1"/>
  <c r="U218" i="6"/>
  <c r="M218" i="4" s="1"/>
  <c r="T218" i="6"/>
  <c r="L218" i="4" s="1"/>
  <c r="I218" i="9"/>
  <c r="J218" i="9"/>
  <c r="B218" i="9"/>
  <c r="J218" i="4"/>
  <c r="T217" i="3"/>
  <c r="P217" i="8" s="1"/>
  <c r="J217" i="8"/>
  <c r="O217" i="8"/>
  <c r="U217" i="8"/>
  <c r="W217" i="8" s="1"/>
  <c r="F217" i="6"/>
  <c r="S217" i="6"/>
  <c r="X217" i="4" s="1"/>
  <c r="Q217" i="6"/>
  <c r="W217" i="4" s="1"/>
  <c r="V217" i="4"/>
  <c r="M217" i="9"/>
  <c r="U217" i="4" s="1"/>
  <c r="AY217" i="8"/>
  <c r="R217" i="4" s="1"/>
  <c r="AX217" i="8"/>
  <c r="Q217" i="4" s="1"/>
  <c r="AW217" i="8"/>
  <c r="P217" i="4" s="1"/>
  <c r="AV217" i="8"/>
  <c r="O217" i="4" s="1"/>
  <c r="U217" i="6"/>
  <c r="M217" i="4" s="1"/>
  <c r="T217" i="6"/>
  <c r="L217" i="4" s="1"/>
  <c r="I217" i="9"/>
  <c r="J217" i="9"/>
  <c r="B217" i="9"/>
  <c r="J217" i="4"/>
  <c r="F216" i="6"/>
  <c r="S216" i="6"/>
  <c r="X216" i="4" s="1"/>
  <c r="Q216" i="6"/>
  <c r="W216" i="4" s="1"/>
  <c r="G216" i="9"/>
  <c r="M216" i="9"/>
  <c r="U216" i="4" s="1"/>
  <c r="AY216" i="8"/>
  <c r="R216" i="4" s="1"/>
  <c r="AX216" i="8"/>
  <c r="Q216" i="4" s="1"/>
  <c r="AW216" i="8"/>
  <c r="P216" i="4" s="1"/>
  <c r="AV216" i="8"/>
  <c r="O216" i="4" s="1"/>
  <c r="U216" i="6"/>
  <c r="M216" i="4" s="1"/>
  <c r="T216" i="6"/>
  <c r="L216" i="4" s="1"/>
  <c r="I216" i="9"/>
  <c r="J216" i="9"/>
  <c r="B216" i="9"/>
  <c r="J216" i="4"/>
  <c r="I216" i="4"/>
  <c r="T215" i="3"/>
  <c r="P215" i="8" s="1"/>
  <c r="J215" i="8"/>
  <c r="O215" i="8"/>
  <c r="U215" i="8"/>
  <c r="W215" i="8" s="1"/>
  <c r="F215" i="6"/>
  <c r="S215" i="6"/>
  <c r="X215" i="4" s="1"/>
  <c r="Q215" i="6"/>
  <c r="W215" i="4" s="1"/>
  <c r="V215" i="4"/>
  <c r="M215" i="9"/>
  <c r="U215" i="4" s="1"/>
  <c r="AY215" i="8"/>
  <c r="R215" i="4" s="1"/>
  <c r="AX215" i="8"/>
  <c r="Q215" i="4" s="1"/>
  <c r="AW215" i="8"/>
  <c r="P215" i="4" s="1"/>
  <c r="AV215" i="8"/>
  <c r="O215" i="4" s="1"/>
  <c r="U215" i="6"/>
  <c r="M215" i="4" s="1"/>
  <c r="T215" i="6"/>
  <c r="L215" i="4" s="1"/>
  <c r="I215" i="9"/>
  <c r="J215" i="9"/>
  <c r="B215" i="9"/>
  <c r="J215" i="4"/>
  <c r="G215" i="4"/>
  <c r="T214" i="3"/>
  <c r="P214" i="8"/>
  <c r="J214" i="8"/>
  <c r="O214" i="8"/>
  <c r="U214" i="8" s="1"/>
  <c r="M214" i="8"/>
  <c r="F214" i="6"/>
  <c r="S214" i="6"/>
  <c r="X214" i="4" s="1"/>
  <c r="Q214" i="6"/>
  <c r="W214" i="4" s="1"/>
  <c r="M214" i="9"/>
  <c r="U214" i="4" s="1"/>
  <c r="AY214" i="8"/>
  <c r="R214" i="4" s="1"/>
  <c r="AX214" i="8"/>
  <c r="Q214" i="4" s="1"/>
  <c r="AW214" i="8"/>
  <c r="P214" i="4" s="1"/>
  <c r="AV214" i="8"/>
  <c r="O214" i="4" s="1"/>
  <c r="U214" i="6"/>
  <c r="M214" i="4" s="1"/>
  <c r="T214" i="6"/>
  <c r="L214" i="4" s="1"/>
  <c r="I214" i="9"/>
  <c r="J214" i="9"/>
  <c r="B214" i="9"/>
  <c r="J214" i="4"/>
  <c r="F213" i="6"/>
  <c r="S213" i="6"/>
  <c r="X213" i="4" s="1"/>
  <c r="Q213" i="6"/>
  <c r="W213" i="4" s="1"/>
  <c r="M213" i="9"/>
  <c r="U213" i="4" s="1"/>
  <c r="AY213" i="8"/>
  <c r="R213" i="4" s="1"/>
  <c r="AX213" i="8"/>
  <c r="Q213" i="4" s="1"/>
  <c r="AW213" i="8"/>
  <c r="P213" i="4" s="1"/>
  <c r="AV213" i="8"/>
  <c r="O213" i="4" s="1"/>
  <c r="U213" i="6"/>
  <c r="M213" i="4" s="1"/>
  <c r="T213" i="6"/>
  <c r="L213" i="4" s="1"/>
  <c r="I213" i="9"/>
  <c r="J213" i="9"/>
  <c r="B213" i="9"/>
  <c r="J213" i="4"/>
  <c r="T212" i="3"/>
  <c r="P212" i="8" s="1"/>
  <c r="J212" i="8"/>
  <c r="O212" i="8"/>
  <c r="U212" i="8" s="1"/>
  <c r="F212" i="6"/>
  <c r="S212" i="6"/>
  <c r="X212" i="4" s="1"/>
  <c r="Q212" i="6"/>
  <c r="W212" i="4" s="1"/>
  <c r="M212" i="9"/>
  <c r="U212" i="4" s="1"/>
  <c r="AY212" i="8"/>
  <c r="R212" i="4" s="1"/>
  <c r="AX212" i="8"/>
  <c r="Q212" i="4" s="1"/>
  <c r="AW212" i="8"/>
  <c r="P212" i="4" s="1"/>
  <c r="AV212" i="8"/>
  <c r="O212" i="4" s="1"/>
  <c r="U212" i="6"/>
  <c r="M212" i="4" s="1"/>
  <c r="T212" i="6"/>
  <c r="L212" i="4" s="1"/>
  <c r="I212" i="9"/>
  <c r="J212" i="9"/>
  <c r="B212" i="9"/>
  <c r="J212" i="4"/>
  <c r="T211" i="3"/>
  <c r="P211" i="8" s="1"/>
  <c r="J211" i="8"/>
  <c r="O211" i="8"/>
  <c r="U211" i="8"/>
  <c r="W211" i="8" s="1"/>
  <c r="F211" i="6"/>
  <c r="S211" i="6"/>
  <c r="X211" i="4" s="1"/>
  <c r="Q211" i="6"/>
  <c r="W211" i="4" s="1"/>
  <c r="V211" i="4"/>
  <c r="M211" i="9"/>
  <c r="U211" i="4" s="1"/>
  <c r="AY211" i="8"/>
  <c r="R211" i="4" s="1"/>
  <c r="AX211" i="8"/>
  <c r="Q211" i="4" s="1"/>
  <c r="AW211" i="8"/>
  <c r="P211" i="4" s="1"/>
  <c r="AV211" i="8"/>
  <c r="O211" i="4" s="1"/>
  <c r="U211" i="6"/>
  <c r="M211" i="4" s="1"/>
  <c r="T211" i="6"/>
  <c r="L211" i="4" s="1"/>
  <c r="I211" i="9"/>
  <c r="J211" i="9"/>
  <c r="B211" i="9"/>
  <c r="J211" i="4"/>
  <c r="G211" i="4"/>
  <c r="T210" i="3"/>
  <c r="P210" i="8" s="1"/>
  <c r="J210" i="8"/>
  <c r="O210" i="8"/>
  <c r="U210" i="8" s="1"/>
  <c r="W210" i="8" s="1"/>
  <c r="F210" i="6"/>
  <c r="S210" i="6"/>
  <c r="X210" i="4" s="1"/>
  <c r="Q210" i="6"/>
  <c r="W210" i="4" s="1"/>
  <c r="M210" i="9"/>
  <c r="U210" i="4" s="1"/>
  <c r="AY210" i="8"/>
  <c r="R210" i="4" s="1"/>
  <c r="AX210" i="8"/>
  <c r="Q210" i="4" s="1"/>
  <c r="AW210" i="8"/>
  <c r="P210" i="4" s="1"/>
  <c r="AV210" i="8"/>
  <c r="O210" i="4" s="1"/>
  <c r="U210" i="6"/>
  <c r="M210" i="4" s="1"/>
  <c r="T210" i="6"/>
  <c r="L210" i="4" s="1"/>
  <c r="I210" i="9"/>
  <c r="J210" i="9"/>
  <c r="B210" i="9"/>
  <c r="J210" i="4"/>
  <c r="I210" i="4"/>
  <c r="F209" i="6"/>
  <c r="S209" i="6"/>
  <c r="X209" i="4" s="1"/>
  <c r="Q209" i="6"/>
  <c r="W209" i="4" s="1"/>
  <c r="V209" i="4"/>
  <c r="M209" i="9"/>
  <c r="U209" i="4" s="1"/>
  <c r="AY209" i="8"/>
  <c r="R209" i="4" s="1"/>
  <c r="AX209" i="8"/>
  <c r="Q209" i="4" s="1"/>
  <c r="AW209" i="8"/>
  <c r="P209" i="4" s="1"/>
  <c r="AV209" i="8"/>
  <c r="O209" i="4" s="1"/>
  <c r="U209" i="6"/>
  <c r="M209" i="4" s="1"/>
  <c r="T209" i="6"/>
  <c r="L209" i="4" s="1"/>
  <c r="I209" i="9"/>
  <c r="J209" i="9"/>
  <c r="B209" i="9"/>
  <c r="J209" i="4"/>
  <c r="F208" i="6"/>
  <c r="S208" i="6"/>
  <c r="X208" i="4" s="1"/>
  <c r="Q208" i="6"/>
  <c r="W208" i="4" s="1"/>
  <c r="V208" i="4"/>
  <c r="M208" i="9"/>
  <c r="U208" i="4" s="1"/>
  <c r="AY208" i="8"/>
  <c r="R208" i="4" s="1"/>
  <c r="AX208" i="8"/>
  <c r="Q208" i="4" s="1"/>
  <c r="AW208" i="8"/>
  <c r="P208" i="4" s="1"/>
  <c r="AV208" i="8"/>
  <c r="O208" i="4" s="1"/>
  <c r="U208" i="6"/>
  <c r="M208" i="4" s="1"/>
  <c r="T208" i="6"/>
  <c r="L208" i="4" s="1"/>
  <c r="I208" i="9"/>
  <c r="J208" i="9"/>
  <c r="B208" i="9"/>
  <c r="J208" i="4"/>
  <c r="F207" i="6"/>
  <c r="S207" i="6"/>
  <c r="X207" i="4" s="1"/>
  <c r="Q207" i="6"/>
  <c r="W207" i="4" s="1"/>
  <c r="G207" i="9"/>
  <c r="M207" i="9"/>
  <c r="U207" i="4" s="1"/>
  <c r="AY207" i="8"/>
  <c r="R207" i="4" s="1"/>
  <c r="AX207" i="8"/>
  <c r="Q207" i="4" s="1"/>
  <c r="AW207" i="8"/>
  <c r="P207" i="4" s="1"/>
  <c r="AV207" i="8"/>
  <c r="O207" i="4" s="1"/>
  <c r="U207" i="6"/>
  <c r="M207" i="4" s="1"/>
  <c r="T207" i="6"/>
  <c r="L207" i="4" s="1"/>
  <c r="I207" i="9"/>
  <c r="J207" i="9"/>
  <c r="B207" i="9"/>
  <c r="J207" i="4"/>
  <c r="I207" i="4"/>
  <c r="T206" i="3"/>
  <c r="P206" i="8" s="1"/>
  <c r="J206" i="8"/>
  <c r="O206" i="8"/>
  <c r="U206" i="8" s="1"/>
  <c r="W206" i="8" s="1"/>
  <c r="F206" i="6"/>
  <c r="S206" i="6"/>
  <c r="X206" i="4" s="1"/>
  <c r="Q206" i="6"/>
  <c r="W206" i="4" s="1"/>
  <c r="M206" i="9"/>
  <c r="U206" i="4" s="1"/>
  <c r="AY206" i="8"/>
  <c r="R206" i="4" s="1"/>
  <c r="AX206" i="8"/>
  <c r="Q206" i="4" s="1"/>
  <c r="AW206" i="8"/>
  <c r="P206" i="4" s="1"/>
  <c r="AV206" i="8"/>
  <c r="O206" i="4" s="1"/>
  <c r="U206" i="6"/>
  <c r="M206" i="4" s="1"/>
  <c r="T206" i="6"/>
  <c r="L206" i="4" s="1"/>
  <c r="I206" i="9"/>
  <c r="J206" i="9"/>
  <c r="B206" i="9"/>
  <c r="J206" i="4"/>
  <c r="G206" i="4"/>
  <c r="G205" i="9"/>
  <c r="M205" i="9"/>
  <c r="U205" i="4" s="1"/>
  <c r="AY205" i="8"/>
  <c r="R205" i="4" s="1"/>
  <c r="AX205" i="8"/>
  <c r="Q205" i="4" s="1"/>
  <c r="AW205" i="8"/>
  <c r="P205" i="4" s="1"/>
  <c r="AV205" i="8"/>
  <c r="O205" i="4" s="1"/>
  <c r="U205" i="6"/>
  <c r="M205" i="4" s="1"/>
  <c r="T205" i="6"/>
  <c r="L205" i="4" s="1"/>
  <c r="I205" i="9"/>
  <c r="J205" i="9"/>
  <c r="B205" i="9"/>
  <c r="J205" i="4"/>
  <c r="T203" i="3"/>
  <c r="P203" i="8" s="1"/>
  <c r="J203" i="8"/>
  <c r="O203" i="8"/>
  <c r="U203" i="8" s="1"/>
  <c r="V203" i="8" s="1"/>
  <c r="X203" i="8" s="1"/>
  <c r="F203" i="6"/>
  <c r="S203" i="6"/>
  <c r="X203" i="4" s="1"/>
  <c r="Q203" i="6"/>
  <c r="W203" i="4" s="1"/>
  <c r="M203" i="9"/>
  <c r="U203" i="4" s="1"/>
  <c r="AY203" i="8"/>
  <c r="R203" i="4" s="1"/>
  <c r="AX203" i="8"/>
  <c r="Q203" i="4" s="1"/>
  <c r="AW203" i="8"/>
  <c r="P203" i="4" s="1"/>
  <c r="AV203" i="8"/>
  <c r="O203" i="4" s="1"/>
  <c r="U203" i="6"/>
  <c r="M203" i="4" s="1"/>
  <c r="T203" i="6"/>
  <c r="L203" i="4" s="1"/>
  <c r="I203" i="9"/>
  <c r="J203" i="9"/>
  <c r="B203" i="9"/>
  <c r="J203" i="4"/>
  <c r="T202" i="3"/>
  <c r="P202" i="8" s="1"/>
  <c r="J202" i="8"/>
  <c r="O202" i="8"/>
  <c r="U202" i="8" s="1"/>
  <c r="W202" i="8" s="1"/>
  <c r="F202" i="6"/>
  <c r="S202" i="6"/>
  <c r="X202" i="4" s="1"/>
  <c r="Q202" i="6"/>
  <c r="W202" i="4" s="1"/>
  <c r="M202" i="9"/>
  <c r="U202" i="4" s="1"/>
  <c r="AY202" i="8"/>
  <c r="R202" i="4" s="1"/>
  <c r="AX202" i="8"/>
  <c r="Q202" i="4" s="1"/>
  <c r="AW202" i="8"/>
  <c r="P202" i="4" s="1"/>
  <c r="AV202" i="8"/>
  <c r="O202" i="4" s="1"/>
  <c r="U202" i="6"/>
  <c r="M202" i="4" s="1"/>
  <c r="T202" i="6"/>
  <c r="L202" i="4" s="1"/>
  <c r="I202" i="9"/>
  <c r="J202" i="9"/>
  <c r="B202" i="9"/>
  <c r="J202" i="4"/>
  <c r="F201" i="6"/>
  <c r="S201" i="6"/>
  <c r="X201" i="4" s="1"/>
  <c r="Q201" i="6"/>
  <c r="W201" i="4" s="1"/>
  <c r="M201" i="9"/>
  <c r="U201" i="4" s="1"/>
  <c r="AY201" i="8"/>
  <c r="R201" i="4" s="1"/>
  <c r="AX201" i="8"/>
  <c r="Q201" i="4" s="1"/>
  <c r="AW201" i="8"/>
  <c r="P201" i="4" s="1"/>
  <c r="AV201" i="8"/>
  <c r="O201" i="4" s="1"/>
  <c r="U201" i="6"/>
  <c r="M201" i="4" s="1"/>
  <c r="T201" i="6"/>
  <c r="L201" i="4" s="1"/>
  <c r="I201" i="9"/>
  <c r="J201" i="9"/>
  <c r="B201" i="9"/>
  <c r="J201" i="4"/>
  <c r="F201" i="4"/>
  <c r="T200" i="3"/>
  <c r="P200" i="8" s="1"/>
  <c r="J200" i="8"/>
  <c r="O200" i="8"/>
  <c r="U200" i="8"/>
  <c r="W200" i="8" s="1"/>
  <c r="M200" i="8"/>
  <c r="F200" i="6"/>
  <c r="S200" i="6"/>
  <c r="X200" i="4" s="1"/>
  <c r="Q200" i="6"/>
  <c r="W200" i="4" s="1"/>
  <c r="M200" i="9"/>
  <c r="U200" i="4" s="1"/>
  <c r="AY200" i="8"/>
  <c r="R200" i="4" s="1"/>
  <c r="AX200" i="8"/>
  <c r="Q200" i="4" s="1"/>
  <c r="AW200" i="8"/>
  <c r="P200" i="4" s="1"/>
  <c r="AV200" i="8"/>
  <c r="O200" i="4" s="1"/>
  <c r="U200" i="6"/>
  <c r="M200" i="4" s="1"/>
  <c r="T200" i="6"/>
  <c r="L200" i="4" s="1"/>
  <c r="I200" i="9"/>
  <c r="J200" i="9"/>
  <c r="B200" i="9"/>
  <c r="J200" i="4"/>
  <c r="T199" i="3"/>
  <c r="P199" i="8" s="1"/>
  <c r="J199" i="8"/>
  <c r="O199" i="8"/>
  <c r="U199" i="8" s="1"/>
  <c r="W199" i="8" s="1"/>
  <c r="F199" i="6"/>
  <c r="S199" i="6"/>
  <c r="X199" i="4" s="1"/>
  <c r="Q199" i="6"/>
  <c r="W199" i="4" s="1"/>
  <c r="M199" i="9"/>
  <c r="U199" i="4" s="1"/>
  <c r="AY199" i="8"/>
  <c r="R199" i="4" s="1"/>
  <c r="AX199" i="8"/>
  <c r="Q199" i="4" s="1"/>
  <c r="AW199" i="8"/>
  <c r="P199" i="4" s="1"/>
  <c r="AV199" i="8"/>
  <c r="O199" i="4" s="1"/>
  <c r="U199" i="6"/>
  <c r="M199" i="4" s="1"/>
  <c r="T199" i="6"/>
  <c r="L199" i="4" s="1"/>
  <c r="I199" i="9"/>
  <c r="J199" i="9"/>
  <c r="B199" i="9"/>
  <c r="J199" i="4"/>
  <c r="T198" i="3"/>
  <c r="P198" i="8" s="1"/>
  <c r="J198" i="8"/>
  <c r="O198" i="8"/>
  <c r="U198" i="8" s="1"/>
  <c r="F198" i="6"/>
  <c r="S198" i="6"/>
  <c r="X198" i="4" s="1"/>
  <c r="Q198" i="6"/>
  <c r="W198" i="4" s="1"/>
  <c r="M198" i="9"/>
  <c r="U198" i="4" s="1"/>
  <c r="AY198" i="8"/>
  <c r="R198" i="4" s="1"/>
  <c r="AX198" i="8"/>
  <c r="Q198" i="4" s="1"/>
  <c r="AW198" i="8"/>
  <c r="P198" i="4" s="1"/>
  <c r="AV198" i="8"/>
  <c r="O198" i="4" s="1"/>
  <c r="U198" i="6"/>
  <c r="M198" i="4" s="1"/>
  <c r="T198" i="6"/>
  <c r="L198" i="4" s="1"/>
  <c r="I198" i="9"/>
  <c r="J198" i="9"/>
  <c r="B198" i="9"/>
  <c r="J198" i="4"/>
  <c r="T197" i="3"/>
  <c r="P197" i="8" s="1"/>
  <c r="J197" i="8"/>
  <c r="O197" i="8"/>
  <c r="U197" i="8" s="1"/>
  <c r="W197" i="8" s="1"/>
  <c r="F197" i="6"/>
  <c r="S197" i="6"/>
  <c r="X197" i="4" s="1"/>
  <c r="Q197" i="6"/>
  <c r="W197" i="4" s="1"/>
  <c r="M197" i="9"/>
  <c r="U197" i="4" s="1"/>
  <c r="AY197" i="8"/>
  <c r="R197" i="4" s="1"/>
  <c r="AX197" i="8"/>
  <c r="Q197" i="4" s="1"/>
  <c r="AW197" i="8"/>
  <c r="P197" i="4" s="1"/>
  <c r="AV197" i="8"/>
  <c r="O197" i="4" s="1"/>
  <c r="U197" i="6"/>
  <c r="M197" i="4" s="1"/>
  <c r="T197" i="6"/>
  <c r="L197" i="4" s="1"/>
  <c r="I197" i="9"/>
  <c r="J197" i="9"/>
  <c r="B197" i="9"/>
  <c r="J197" i="4"/>
  <c r="T196" i="3"/>
  <c r="P196" i="8" s="1"/>
  <c r="J196" i="8"/>
  <c r="O196" i="8"/>
  <c r="U196" i="8" s="1"/>
  <c r="W196" i="8"/>
  <c r="F196" i="6"/>
  <c r="S196" i="6"/>
  <c r="X196" i="4" s="1"/>
  <c r="Q196" i="6"/>
  <c r="W196" i="4" s="1"/>
  <c r="M196" i="9"/>
  <c r="U196" i="4" s="1"/>
  <c r="AY196" i="8"/>
  <c r="R196" i="4" s="1"/>
  <c r="AX196" i="8"/>
  <c r="Q196" i="4" s="1"/>
  <c r="AW196" i="8"/>
  <c r="P196" i="4" s="1"/>
  <c r="AV196" i="8"/>
  <c r="O196" i="4" s="1"/>
  <c r="U196" i="6"/>
  <c r="M196" i="4" s="1"/>
  <c r="T196" i="6"/>
  <c r="L196" i="4" s="1"/>
  <c r="I196" i="9"/>
  <c r="J196" i="9"/>
  <c r="B196" i="9"/>
  <c r="J196" i="4"/>
  <c r="T195" i="3"/>
  <c r="P195" i="8" s="1"/>
  <c r="J195" i="8"/>
  <c r="O195" i="8"/>
  <c r="U195" i="8" s="1"/>
  <c r="W195" i="8" s="1"/>
  <c r="F195" i="6"/>
  <c r="S195" i="6"/>
  <c r="X195" i="4" s="1"/>
  <c r="Q195" i="6"/>
  <c r="W195" i="4" s="1"/>
  <c r="M195" i="9"/>
  <c r="U195" i="4" s="1"/>
  <c r="AY195" i="8"/>
  <c r="R195" i="4" s="1"/>
  <c r="AX195" i="8"/>
  <c r="Q195" i="4" s="1"/>
  <c r="AW195" i="8"/>
  <c r="P195" i="4" s="1"/>
  <c r="AV195" i="8"/>
  <c r="O195" i="4" s="1"/>
  <c r="U195" i="6"/>
  <c r="M195" i="4" s="1"/>
  <c r="T195" i="6"/>
  <c r="L195" i="4" s="1"/>
  <c r="I195" i="9"/>
  <c r="J195" i="9"/>
  <c r="B195" i="9"/>
  <c r="J195" i="4"/>
  <c r="I143" i="9"/>
  <c r="J143" i="9"/>
  <c r="B143" i="9"/>
  <c r="J143" i="4"/>
  <c r="T143" i="6"/>
  <c r="L143" i="4" s="1"/>
  <c r="U143" i="6"/>
  <c r="M143" i="4" s="1"/>
  <c r="AV143" i="8"/>
  <c r="O143" i="4" s="1"/>
  <c r="AW143" i="8"/>
  <c r="P143" i="4" s="1"/>
  <c r="AX143" i="8"/>
  <c r="Q143" i="4" s="1"/>
  <c r="AY143" i="8"/>
  <c r="R143" i="4" s="1"/>
  <c r="M143" i="9"/>
  <c r="U143" i="4" s="1"/>
  <c r="F143" i="6"/>
  <c r="Q143" i="6"/>
  <c r="W143" i="4" s="1"/>
  <c r="S143" i="6"/>
  <c r="X143" i="4" s="1"/>
  <c r="O143" i="8"/>
  <c r="U143" i="8" s="1"/>
  <c r="W143" i="8" s="1"/>
  <c r="J143" i="8"/>
  <c r="T143" i="3"/>
  <c r="P143" i="8" s="1"/>
  <c r="I144" i="9"/>
  <c r="J144" i="9"/>
  <c r="B144" i="9"/>
  <c r="J144" i="4"/>
  <c r="T144" i="6"/>
  <c r="L144" i="4" s="1"/>
  <c r="U144" i="6"/>
  <c r="M144" i="4" s="1"/>
  <c r="AV144" i="8"/>
  <c r="O144" i="4" s="1"/>
  <c r="AW144" i="8"/>
  <c r="P144" i="4" s="1"/>
  <c r="AX144" i="8"/>
  <c r="Q144" i="4" s="1"/>
  <c r="AY144" i="8"/>
  <c r="R144" i="4" s="1"/>
  <c r="M144" i="9"/>
  <c r="U144" i="4" s="1"/>
  <c r="F144" i="6"/>
  <c r="Q144" i="6"/>
  <c r="W144" i="4" s="1"/>
  <c r="S144" i="6"/>
  <c r="X144" i="4" s="1"/>
  <c r="O144" i="8"/>
  <c r="U144" i="8" s="1"/>
  <c r="W144" i="8" s="1"/>
  <c r="J144" i="8"/>
  <c r="T144" i="3"/>
  <c r="P144" i="8" s="1"/>
  <c r="F145" i="4"/>
  <c r="I145" i="9"/>
  <c r="J145" i="9"/>
  <c r="B145" i="9"/>
  <c r="J145" i="4"/>
  <c r="T145" i="6"/>
  <c r="L145" i="4" s="1"/>
  <c r="U145" i="6"/>
  <c r="M145" i="4" s="1"/>
  <c r="AV145" i="8"/>
  <c r="O145" i="4" s="1"/>
  <c r="AW145" i="8"/>
  <c r="P145" i="4" s="1"/>
  <c r="AX145" i="8"/>
  <c r="Q145" i="4" s="1"/>
  <c r="AY145" i="8"/>
  <c r="R145" i="4" s="1"/>
  <c r="M145" i="9"/>
  <c r="U145" i="4" s="1"/>
  <c r="F145" i="6"/>
  <c r="Q145" i="6"/>
  <c r="W145" i="4" s="1"/>
  <c r="S145" i="6"/>
  <c r="X145" i="4" s="1"/>
  <c r="O145" i="8"/>
  <c r="U145" i="8" s="1"/>
  <c r="W145" i="8" s="1"/>
  <c r="M145" i="8"/>
  <c r="J145" i="8"/>
  <c r="T145" i="3"/>
  <c r="P145" i="8" s="1"/>
  <c r="I146" i="9"/>
  <c r="J146" i="9"/>
  <c r="B146" i="9"/>
  <c r="J146" i="4"/>
  <c r="T146" i="6"/>
  <c r="L146" i="4" s="1"/>
  <c r="U146" i="6"/>
  <c r="M146" i="4" s="1"/>
  <c r="AV146" i="8"/>
  <c r="O146" i="4" s="1"/>
  <c r="AW146" i="8"/>
  <c r="P146" i="4" s="1"/>
  <c r="AX146" i="8"/>
  <c r="Q146" i="4" s="1"/>
  <c r="AY146" i="8"/>
  <c r="R146" i="4" s="1"/>
  <c r="M146" i="9"/>
  <c r="U146" i="4" s="1"/>
  <c r="F146" i="6"/>
  <c r="Q146" i="6"/>
  <c r="W146" i="4" s="1"/>
  <c r="S146" i="6"/>
  <c r="X146" i="4" s="1"/>
  <c r="O146" i="8"/>
  <c r="U146" i="8" s="1"/>
  <c r="W146" i="8" s="1"/>
  <c r="J146" i="8"/>
  <c r="T146" i="3"/>
  <c r="P146" i="8" s="1"/>
  <c r="I147" i="9"/>
  <c r="J147" i="9"/>
  <c r="B147" i="9"/>
  <c r="J147" i="4"/>
  <c r="T147" i="6"/>
  <c r="L147" i="4" s="1"/>
  <c r="U147" i="6"/>
  <c r="M147" i="4" s="1"/>
  <c r="AV147" i="8"/>
  <c r="O147" i="4" s="1"/>
  <c r="AW147" i="8"/>
  <c r="P147" i="4" s="1"/>
  <c r="AX147" i="8"/>
  <c r="Q147" i="4" s="1"/>
  <c r="AY147" i="8"/>
  <c r="R147" i="4" s="1"/>
  <c r="M147" i="9"/>
  <c r="U147" i="4" s="1"/>
  <c r="F147" i="6"/>
  <c r="Q147" i="6"/>
  <c r="W147" i="4" s="1"/>
  <c r="S147" i="6"/>
  <c r="X147" i="4" s="1"/>
  <c r="O147" i="8"/>
  <c r="U147" i="8"/>
  <c r="W147" i="8" s="1"/>
  <c r="J147" i="8"/>
  <c r="T147" i="3"/>
  <c r="P147" i="8"/>
  <c r="I148" i="9"/>
  <c r="J148" i="9"/>
  <c r="B148" i="9"/>
  <c r="J148" i="4"/>
  <c r="T148" i="6"/>
  <c r="L148" i="4" s="1"/>
  <c r="U148" i="6"/>
  <c r="M148" i="4" s="1"/>
  <c r="AV148" i="8"/>
  <c r="O148" i="4" s="1"/>
  <c r="AW148" i="8"/>
  <c r="P148" i="4" s="1"/>
  <c r="AX148" i="8"/>
  <c r="Q148" i="4" s="1"/>
  <c r="AY148" i="8"/>
  <c r="R148" i="4" s="1"/>
  <c r="M148" i="9"/>
  <c r="U148" i="4" s="1"/>
  <c r="F148" i="6"/>
  <c r="Q148" i="6"/>
  <c r="W148" i="4" s="1"/>
  <c r="S148" i="6"/>
  <c r="X148" i="4" s="1"/>
  <c r="O148" i="8"/>
  <c r="U148" i="8" s="1"/>
  <c r="W148" i="8" s="1"/>
  <c r="J148" i="8"/>
  <c r="T148" i="3"/>
  <c r="P148" i="8" s="1"/>
  <c r="I149" i="9"/>
  <c r="J149" i="9"/>
  <c r="B149" i="9"/>
  <c r="J149" i="4"/>
  <c r="T149" i="6"/>
  <c r="L149" i="4" s="1"/>
  <c r="U149" i="6"/>
  <c r="M149" i="4" s="1"/>
  <c r="AV149" i="8"/>
  <c r="O149" i="4" s="1"/>
  <c r="AW149" i="8"/>
  <c r="P149" i="4" s="1"/>
  <c r="AX149" i="8"/>
  <c r="Q149" i="4" s="1"/>
  <c r="AY149" i="8"/>
  <c r="R149" i="4" s="1"/>
  <c r="M149" i="9"/>
  <c r="U149" i="4" s="1"/>
  <c r="F149" i="6"/>
  <c r="Q149" i="6"/>
  <c r="W149" i="4" s="1"/>
  <c r="S149" i="6"/>
  <c r="X149" i="4" s="1"/>
  <c r="O149" i="8"/>
  <c r="U149" i="8"/>
  <c r="W149" i="8" s="1"/>
  <c r="J149" i="8"/>
  <c r="T149" i="3"/>
  <c r="P149" i="8" s="1"/>
  <c r="I150" i="9"/>
  <c r="J150" i="9"/>
  <c r="B150" i="9"/>
  <c r="J150" i="4"/>
  <c r="K150" i="4"/>
  <c r="T150" i="6"/>
  <c r="L150" i="4" s="1"/>
  <c r="U150" i="6"/>
  <c r="M150" i="4" s="1"/>
  <c r="AV150" i="8"/>
  <c r="O150" i="4" s="1"/>
  <c r="AW150" i="8"/>
  <c r="P150" i="4" s="1"/>
  <c r="AX150" i="8"/>
  <c r="Q150" i="4" s="1"/>
  <c r="AY150" i="8"/>
  <c r="R150" i="4" s="1"/>
  <c r="M150" i="9"/>
  <c r="U150" i="4" s="1"/>
  <c r="F150" i="6"/>
  <c r="Q150" i="6"/>
  <c r="W150" i="4" s="1"/>
  <c r="S150" i="6"/>
  <c r="X150" i="4" s="1"/>
  <c r="O150" i="8"/>
  <c r="U150" i="8" s="1"/>
  <c r="W150" i="8" s="1"/>
  <c r="J150" i="8"/>
  <c r="T150" i="3"/>
  <c r="P150" i="8" s="1"/>
  <c r="I151" i="9"/>
  <c r="J151" i="9"/>
  <c r="B151" i="9"/>
  <c r="J151" i="4"/>
  <c r="T151" i="6"/>
  <c r="L151" i="4" s="1"/>
  <c r="U151" i="6"/>
  <c r="M151" i="4" s="1"/>
  <c r="AV151" i="8"/>
  <c r="O151" i="4" s="1"/>
  <c r="AW151" i="8"/>
  <c r="P151" i="4" s="1"/>
  <c r="AX151" i="8"/>
  <c r="Q151" i="4" s="1"/>
  <c r="AY151" i="8"/>
  <c r="R151" i="4" s="1"/>
  <c r="M151" i="9"/>
  <c r="U151" i="4" s="1"/>
  <c r="F151" i="6"/>
  <c r="Q151" i="6"/>
  <c r="W151" i="4" s="1"/>
  <c r="S151" i="6"/>
  <c r="X151" i="4" s="1"/>
  <c r="O151" i="8"/>
  <c r="U151" i="8" s="1"/>
  <c r="J151" i="8"/>
  <c r="T151" i="3"/>
  <c r="P151" i="8" s="1"/>
  <c r="AI151" i="8"/>
  <c r="I152" i="9"/>
  <c r="G152" i="9"/>
  <c r="J152" i="9"/>
  <c r="B152" i="9"/>
  <c r="J152" i="4"/>
  <c r="F152" i="6"/>
  <c r="Q152" i="6"/>
  <c r="W152" i="4" s="1"/>
  <c r="T152" i="6"/>
  <c r="L152" i="4" s="1"/>
  <c r="S152" i="6"/>
  <c r="X152" i="4" s="1"/>
  <c r="U152" i="6"/>
  <c r="M152" i="4" s="1"/>
  <c r="AV152" i="8"/>
  <c r="O152" i="4" s="1"/>
  <c r="AW152" i="8"/>
  <c r="P152" i="4" s="1"/>
  <c r="AX152" i="8"/>
  <c r="Q152" i="4" s="1"/>
  <c r="AY152" i="8"/>
  <c r="R152" i="4" s="1"/>
  <c r="M152" i="9"/>
  <c r="U152" i="4" s="1"/>
  <c r="I153" i="9"/>
  <c r="J153" i="9"/>
  <c r="B153" i="9"/>
  <c r="J153" i="4"/>
  <c r="K153" i="4"/>
  <c r="T153" i="6"/>
  <c r="L153" i="4" s="1"/>
  <c r="U153" i="6"/>
  <c r="M153" i="4" s="1"/>
  <c r="AV153" i="8"/>
  <c r="O153" i="4" s="1"/>
  <c r="AW153" i="8"/>
  <c r="P153" i="4" s="1"/>
  <c r="AX153" i="8"/>
  <c r="Q153" i="4" s="1"/>
  <c r="AY153" i="8"/>
  <c r="R153" i="4" s="1"/>
  <c r="M153" i="9"/>
  <c r="U153" i="4" s="1"/>
  <c r="F153" i="6"/>
  <c r="Q153" i="6"/>
  <c r="W153" i="4" s="1"/>
  <c r="S153" i="6"/>
  <c r="X153" i="4" s="1"/>
  <c r="O153" i="8"/>
  <c r="U153" i="8" s="1"/>
  <c r="W153" i="8" s="1"/>
  <c r="J153" i="8"/>
  <c r="T153" i="3"/>
  <c r="P153" i="8" s="1"/>
  <c r="I154" i="9"/>
  <c r="J154" i="9"/>
  <c r="B154" i="9"/>
  <c r="J154" i="4"/>
  <c r="T154" i="6"/>
  <c r="L154" i="4" s="1"/>
  <c r="U154" i="6"/>
  <c r="M154" i="4" s="1"/>
  <c r="AV154" i="8"/>
  <c r="O154" i="4" s="1"/>
  <c r="AW154" i="8"/>
  <c r="P154" i="4" s="1"/>
  <c r="AX154" i="8"/>
  <c r="Q154" i="4" s="1"/>
  <c r="AY154" i="8"/>
  <c r="R154" i="4" s="1"/>
  <c r="M154" i="9"/>
  <c r="U154" i="4" s="1"/>
  <c r="F154" i="6"/>
  <c r="Q154" i="6"/>
  <c r="W154" i="4" s="1"/>
  <c r="S154" i="6"/>
  <c r="X154" i="4" s="1"/>
  <c r="O154" i="8"/>
  <c r="U154" i="8" s="1"/>
  <c r="W154" i="8"/>
  <c r="J154" i="8"/>
  <c r="T154" i="3"/>
  <c r="P154" i="8" s="1"/>
  <c r="I155" i="9"/>
  <c r="J155" i="9"/>
  <c r="B155" i="9"/>
  <c r="J155" i="4"/>
  <c r="T155" i="6"/>
  <c r="L155" i="4" s="1"/>
  <c r="U155" i="6"/>
  <c r="M155" i="4" s="1"/>
  <c r="AV155" i="8"/>
  <c r="O155" i="4" s="1"/>
  <c r="AW155" i="8"/>
  <c r="P155" i="4" s="1"/>
  <c r="AX155" i="8"/>
  <c r="Q155" i="4" s="1"/>
  <c r="AY155" i="8"/>
  <c r="R155" i="4" s="1"/>
  <c r="M155" i="9"/>
  <c r="U155" i="4" s="1"/>
  <c r="F155" i="6"/>
  <c r="Q155" i="6"/>
  <c r="W155" i="4" s="1"/>
  <c r="S155" i="6"/>
  <c r="X155" i="4" s="1"/>
  <c r="O155" i="8"/>
  <c r="U155" i="8" s="1"/>
  <c r="J155" i="8"/>
  <c r="T155" i="3"/>
  <c r="P155" i="8" s="1"/>
  <c r="I156" i="9"/>
  <c r="J156" i="9"/>
  <c r="B156" i="9"/>
  <c r="J156" i="4"/>
  <c r="T156" i="6"/>
  <c r="L156" i="4" s="1"/>
  <c r="U156" i="6"/>
  <c r="M156" i="4" s="1"/>
  <c r="AV156" i="8"/>
  <c r="O156" i="4" s="1"/>
  <c r="AW156" i="8"/>
  <c r="P156" i="4" s="1"/>
  <c r="AX156" i="8"/>
  <c r="Q156" i="4" s="1"/>
  <c r="AY156" i="8"/>
  <c r="R156" i="4" s="1"/>
  <c r="M156" i="9"/>
  <c r="U156" i="4" s="1"/>
  <c r="F156" i="6"/>
  <c r="Q156" i="6"/>
  <c r="W156" i="4" s="1"/>
  <c r="S156" i="6"/>
  <c r="X156" i="4" s="1"/>
  <c r="O156" i="8"/>
  <c r="U156" i="8" s="1"/>
  <c r="W156" i="8" s="1"/>
  <c r="M156" i="8"/>
  <c r="J156" i="8"/>
  <c r="T156" i="3"/>
  <c r="P156" i="8" s="1"/>
  <c r="I157" i="9"/>
  <c r="J157" i="9"/>
  <c r="B157" i="9"/>
  <c r="J157" i="4"/>
  <c r="T157" i="6"/>
  <c r="L157" i="4" s="1"/>
  <c r="U157" i="6"/>
  <c r="M157" i="4" s="1"/>
  <c r="AV157" i="8"/>
  <c r="O157" i="4" s="1"/>
  <c r="AW157" i="8"/>
  <c r="P157" i="4" s="1"/>
  <c r="AX157" i="8"/>
  <c r="Q157" i="4" s="1"/>
  <c r="AY157" i="8"/>
  <c r="R157" i="4" s="1"/>
  <c r="M157" i="9"/>
  <c r="U157" i="4" s="1"/>
  <c r="F157" i="6"/>
  <c r="Q157" i="6"/>
  <c r="W157" i="4" s="1"/>
  <c r="S157" i="6"/>
  <c r="X157" i="4" s="1"/>
  <c r="O157" i="8"/>
  <c r="U157" i="8" s="1"/>
  <c r="W157" i="8" s="1"/>
  <c r="J157" i="8"/>
  <c r="T157" i="3"/>
  <c r="P157" i="8"/>
  <c r="I158" i="9"/>
  <c r="J158" i="9"/>
  <c r="B158" i="9"/>
  <c r="J158" i="4"/>
  <c r="T158" i="6"/>
  <c r="L158" i="4" s="1"/>
  <c r="U158" i="6"/>
  <c r="M158" i="4" s="1"/>
  <c r="AV158" i="8"/>
  <c r="O158" i="4" s="1"/>
  <c r="AW158" i="8"/>
  <c r="P158" i="4" s="1"/>
  <c r="AX158" i="8"/>
  <c r="Q158" i="4" s="1"/>
  <c r="AY158" i="8"/>
  <c r="R158" i="4" s="1"/>
  <c r="M158" i="9"/>
  <c r="U158" i="4" s="1"/>
  <c r="F158" i="6"/>
  <c r="Q158" i="6"/>
  <c r="W158" i="4" s="1"/>
  <c r="S158" i="6"/>
  <c r="X158" i="4" s="1"/>
  <c r="O158" i="8"/>
  <c r="U158" i="8" s="1"/>
  <c r="W158" i="8" s="1"/>
  <c r="J158" i="8"/>
  <c r="T158" i="3"/>
  <c r="P158" i="8" s="1"/>
  <c r="I159" i="9"/>
  <c r="J159" i="9"/>
  <c r="B159" i="9"/>
  <c r="J159" i="4"/>
  <c r="T159" i="6"/>
  <c r="L159" i="4" s="1"/>
  <c r="U159" i="6"/>
  <c r="M159" i="4" s="1"/>
  <c r="AV159" i="8"/>
  <c r="O159" i="4" s="1"/>
  <c r="AW159" i="8"/>
  <c r="P159" i="4" s="1"/>
  <c r="AX159" i="8"/>
  <c r="Q159" i="4" s="1"/>
  <c r="AY159" i="8"/>
  <c r="R159" i="4" s="1"/>
  <c r="M159" i="9"/>
  <c r="U159" i="4" s="1"/>
  <c r="F159" i="6"/>
  <c r="Q159" i="6"/>
  <c r="W159" i="4" s="1"/>
  <c r="S159" i="6"/>
  <c r="X159" i="4" s="1"/>
  <c r="O159" i="8"/>
  <c r="U159" i="8" s="1"/>
  <c r="W159" i="8" s="1"/>
  <c r="J159" i="8"/>
  <c r="T159" i="3"/>
  <c r="P159" i="8" s="1"/>
  <c r="I160" i="9"/>
  <c r="J160" i="9"/>
  <c r="B160" i="9"/>
  <c r="J160" i="4"/>
  <c r="K160" i="4"/>
  <c r="T160" i="6"/>
  <c r="L160" i="4" s="1"/>
  <c r="U160" i="6"/>
  <c r="M160" i="4" s="1"/>
  <c r="AV160" i="8"/>
  <c r="O160" i="4" s="1"/>
  <c r="AW160" i="8"/>
  <c r="P160" i="4" s="1"/>
  <c r="AX160" i="8"/>
  <c r="Q160" i="4" s="1"/>
  <c r="AY160" i="8"/>
  <c r="R160" i="4" s="1"/>
  <c r="M160" i="9"/>
  <c r="U160" i="4" s="1"/>
  <c r="F160" i="6"/>
  <c r="Q160" i="6"/>
  <c r="W160" i="4" s="1"/>
  <c r="S160" i="6"/>
  <c r="X160" i="4" s="1"/>
  <c r="O160" i="8"/>
  <c r="U160" i="8" s="1"/>
  <c r="J160" i="8"/>
  <c r="R160" i="8" s="1"/>
  <c r="T160" i="3"/>
  <c r="P160" i="8" s="1"/>
  <c r="I161" i="9"/>
  <c r="J161" i="9"/>
  <c r="B161" i="9"/>
  <c r="J161" i="4"/>
  <c r="T161" i="6"/>
  <c r="L161" i="4" s="1"/>
  <c r="U161" i="6"/>
  <c r="M161" i="4" s="1"/>
  <c r="N161" i="4"/>
  <c r="AV161" i="8"/>
  <c r="O161" i="4" s="1"/>
  <c r="AW161" i="8"/>
  <c r="P161" i="4" s="1"/>
  <c r="AX161" i="8"/>
  <c r="Q161" i="4" s="1"/>
  <c r="AY161" i="8"/>
  <c r="R161" i="4" s="1"/>
  <c r="M161" i="9"/>
  <c r="U161" i="4" s="1"/>
  <c r="F161" i="6"/>
  <c r="Q161" i="6"/>
  <c r="W161" i="4" s="1"/>
  <c r="S161" i="6"/>
  <c r="X161" i="4" s="1"/>
  <c r="O161" i="8"/>
  <c r="U161" i="8" s="1"/>
  <c r="W161" i="8" s="1"/>
  <c r="Y161" i="8" s="1"/>
  <c r="J161" i="8"/>
  <c r="T161" i="3"/>
  <c r="P161" i="8" s="1"/>
  <c r="I162" i="9"/>
  <c r="J162" i="9"/>
  <c r="B162" i="9"/>
  <c r="J162" i="4"/>
  <c r="T162" i="6"/>
  <c r="L162" i="4" s="1"/>
  <c r="U162" i="6"/>
  <c r="M162" i="4" s="1"/>
  <c r="AV162" i="8"/>
  <c r="O162" i="4" s="1"/>
  <c r="AW162" i="8"/>
  <c r="P162" i="4" s="1"/>
  <c r="AX162" i="8"/>
  <c r="Q162" i="4" s="1"/>
  <c r="AY162" i="8"/>
  <c r="R162" i="4" s="1"/>
  <c r="M162" i="9"/>
  <c r="U162" i="4" s="1"/>
  <c r="F162" i="6"/>
  <c r="Q162" i="6"/>
  <c r="W162" i="4" s="1"/>
  <c r="S162" i="6"/>
  <c r="X162" i="4" s="1"/>
  <c r="O162" i="8"/>
  <c r="U162" i="8"/>
  <c r="W162" i="8" s="1"/>
  <c r="J162" i="8"/>
  <c r="T162" i="3"/>
  <c r="P162" i="8" s="1"/>
  <c r="I163" i="9"/>
  <c r="J163" i="9"/>
  <c r="B163" i="9"/>
  <c r="J163" i="4"/>
  <c r="T163" i="6"/>
  <c r="L163" i="4" s="1"/>
  <c r="U163" i="6"/>
  <c r="M163" i="4" s="1"/>
  <c r="AV163" i="8"/>
  <c r="O163" i="4" s="1"/>
  <c r="AW163" i="8"/>
  <c r="P163" i="4" s="1"/>
  <c r="AX163" i="8"/>
  <c r="Q163" i="4" s="1"/>
  <c r="AY163" i="8"/>
  <c r="R163" i="4" s="1"/>
  <c r="M163" i="9"/>
  <c r="U163" i="4" s="1"/>
  <c r="F163" i="6"/>
  <c r="Q163" i="6"/>
  <c r="W163" i="4" s="1"/>
  <c r="S163" i="6"/>
  <c r="X163" i="4" s="1"/>
  <c r="O163" i="8"/>
  <c r="U163" i="8" s="1"/>
  <c r="W163" i="8" s="1"/>
  <c r="J163" i="8"/>
  <c r="T163" i="3"/>
  <c r="P163" i="8" s="1"/>
  <c r="I164" i="9"/>
  <c r="J164" i="9"/>
  <c r="B164" i="9"/>
  <c r="J164" i="4"/>
  <c r="T164" i="6"/>
  <c r="L164" i="4" s="1"/>
  <c r="U164" i="6"/>
  <c r="M164" i="4" s="1"/>
  <c r="AV164" i="8"/>
  <c r="O164" i="4" s="1"/>
  <c r="AW164" i="8"/>
  <c r="P164" i="4" s="1"/>
  <c r="AX164" i="8"/>
  <c r="Q164" i="4" s="1"/>
  <c r="AY164" i="8"/>
  <c r="R164" i="4" s="1"/>
  <c r="M164" i="9"/>
  <c r="U164" i="4" s="1"/>
  <c r="F164" i="6"/>
  <c r="Q164" i="6"/>
  <c r="W164" i="4" s="1"/>
  <c r="S164" i="6"/>
  <c r="X164" i="4" s="1"/>
  <c r="O164" i="8"/>
  <c r="U164" i="8"/>
  <c r="J164" i="8"/>
  <c r="T164" i="3"/>
  <c r="P164" i="8" s="1"/>
  <c r="I165" i="9"/>
  <c r="J165" i="9"/>
  <c r="B165" i="9"/>
  <c r="J165" i="4"/>
  <c r="T165" i="6"/>
  <c r="L165" i="4" s="1"/>
  <c r="U165" i="6"/>
  <c r="M165" i="4" s="1"/>
  <c r="AV165" i="8"/>
  <c r="O165" i="4" s="1"/>
  <c r="AW165" i="8"/>
  <c r="P165" i="4" s="1"/>
  <c r="AX165" i="8"/>
  <c r="Q165" i="4" s="1"/>
  <c r="AY165" i="8"/>
  <c r="R165" i="4" s="1"/>
  <c r="M165" i="9"/>
  <c r="U165" i="4" s="1"/>
  <c r="F165" i="6"/>
  <c r="Q165" i="6"/>
  <c r="W165" i="4" s="1"/>
  <c r="S165" i="6"/>
  <c r="X165" i="4" s="1"/>
  <c r="O165" i="8"/>
  <c r="U165" i="8" s="1"/>
  <c r="W165" i="8" s="1"/>
  <c r="J165" i="8"/>
  <c r="T165" i="3"/>
  <c r="P165" i="8"/>
  <c r="I166" i="9"/>
  <c r="J166" i="9"/>
  <c r="B166" i="9"/>
  <c r="J166" i="4"/>
  <c r="T166" i="6"/>
  <c r="L166" i="4" s="1"/>
  <c r="U166" i="6"/>
  <c r="M166" i="4" s="1"/>
  <c r="AV166" i="8"/>
  <c r="O166" i="4" s="1"/>
  <c r="AW166" i="8"/>
  <c r="P166" i="4" s="1"/>
  <c r="AX166" i="8"/>
  <c r="Q166" i="4" s="1"/>
  <c r="AY166" i="8"/>
  <c r="R166" i="4" s="1"/>
  <c r="M166" i="9"/>
  <c r="U166" i="4" s="1"/>
  <c r="F166" i="6"/>
  <c r="Q166" i="6"/>
  <c r="W166" i="4" s="1"/>
  <c r="S166" i="6"/>
  <c r="X166" i="4" s="1"/>
  <c r="O166" i="8"/>
  <c r="U166" i="8"/>
  <c r="J166" i="8"/>
  <c r="T166" i="3"/>
  <c r="P166" i="8" s="1"/>
  <c r="I167" i="9"/>
  <c r="J167" i="9"/>
  <c r="B167" i="9"/>
  <c r="J167" i="4"/>
  <c r="T167" i="6"/>
  <c r="L167" i="4" s="1"/>
  <c r="U167" i="6"/>
  <c r="M167" i="4" s="1"/>
  <c r="AV167" i="8"/>
  <c r="O167" i="4" s="1"/>
  <c r="AW167" i="8"/>
  <c r="P167" i="4" s="1"/>
  <c r="AX167" i="8"/>
  <c r="Q167" i="4" s="1"/>
  <c r="AY167" i="8"/>
  <c r="R167" i="4" s="1"/>
  <c r="M167" i="9"/>
  <c r="U167" i="4" s="1"/>
  <c r="F167" i="6"/>
  <c r="Q167" i="6"/>
  <c r="W167" i="4" s="1"/>
  <c r="S167" i="6"/>
  <c r="X167" i="4" s="1"/>
  <c r="O167" i="8"/>
  <c r="U167" i="8" s="1"/>
  <c r="W167" i="8" s="1"/>
  <c r="J167" i="8"/>
  <c r="T167" i="3"/>
  <c r="P167" i="8"/>
  <c r="I168" i="4"/>
  <c r="I168" i="9"/>
  <c r="J168" i="9"/>
  <c r="B168" i="9"/>
  <c r="J168" i="4"/>
  <c r="T168" i="6"/>
  <c r="L168" i="4" s="1"/>
  <c r="U168" i="6"/>
  <c r="M168" i="4" s="1"/>
  <c r="AV168" i="8"/>
  <c r="O168" i="4" s="1"/>
  <c r="AW168" i="8"/>
  <c r="P168" i="4" s="1"/>
  <c r="AX168" i="8"/>
  <c r="Q168" i="4" s="1"/>
  <c r="AY168" i="8"/>
  <c r="R168" i="4" s="1"/>
  <c r="M168" i="9"/>
  <c r="U168" i="4" s="1"/>
  <c r="F168" i="6"/>
  <c r="Q168" i="6"/>
  <c r="W168" i="4" s="1"/>
  <c r="S168" i="6"/>
  <c r="X168" i="4" s="1"/>
  <c r="O168" i="8"/>
  <c r="U168" i="8" s="1"/>
  <c r="J168" i="8"/>
  <c r="T168" i="3"/>
  <c r="P168" i="8" s="1"/>
  <c r="I169" i="9"/>
  <c r="J169" i="9"/>
  <c r="B169" i="9"/>
  <c r="J169" i="4"/>
  <c r="T169" i="6"/>
  <c r="L169" i="4" s="1"/>
  <c r="U169" i="6"/>
  <c r="M169" i="4" s="1"/>
  <c r="AV169" i="8"/>
  <c r="O169" i="4" s="1"/>
  <c r="AW169" i="8"/>
  <c r="P169" i="4" s="1"/>
  <c r="AX169" i="8"/>
  <c r="Q169" i="4" s="1"/>
  <c r="AY169" i="8"/>
  <c r="R169" i="4" s="1"/>
  <c r="M169" i="9"/>
  <c r="U169" i="4" s="1"/>
  <c r="F169" i="6"/>
  <c r="Q169" i="6"/>
  <c r="W169" i="4" s="1"/>
  <c r="S169" i="6"/>
  <c r="X169" i="4" s="1"/>
  <c r="O169" i="8"/>
  <c r="U169" i="8" s="1"/>
  <c r="W169" i="8" s="1"/>
  <c r="J169" i="8"/>
  <c r="T169" i="3"/>
  <c r="P169" i="8" s="1"/>
  <c r="I170" i="9"/>
  <c r="J170" i="9"/>
  <c r="B170" i="9"/>
  <c r="J170" i="4"/>
  <c r="T170" i="6"/>
  <c r="L170" i="4" s="1"/>
  <c r="U170" i="6"/>
  <c r="M170" i="4" s="1"/>
  <c r="AV170" i="8"/>
  <c r="O170" i="4" s="1"/>
  <c r="AW170" i="8"/>
  <c r="P170" i="4" s="1"/>
  <c r="AX170" i="8"/>
  <c r="Q170" i="4" s="1"/>
  <c r="AY170" i="8"/>
  <c r="R170" i="4" s="1"/>
  <c r="M170" i="9"/>
  <c r="U170" i="4" s="1"/>
  <c r="F170" i="6"/>
  <c r="Q170" i="6"/>
  <c r="W170" i="4" s="1"/>
  <c r="S170" i="6"/>
  <c r="X170" i="4" s="1"/>
  <c r="O170" i="8"/>
  <c r="U170" i="8"/>
  <c r="W170" i="8" s="1"/>
  <c r="J170" i="8"/>
  <c r="T170" i="3"/>
  <c r="P170" i="8" s="1"/>
  <c r="I171" i="9"/>
  <c r="J171" i="9"/>
  <c r="B171" i="9"/>
  <c r="J171" i="4"/>
  <c r="T171" i="6"/>
  <c r="L171" i="4" s="1"/>
  <c r="U171" i="6"/>
  <c r="M171" i="4" s="1"/>
  <c r="AV171" i="8"/>
  <c r="O171" i="4" s="1"/>
  <c r="AW171" i="8"/>
  <c r="P171" i="4" s="1"/>
  <c r="AX171" i="8"/>
  <c r="Q171" i="4" s="1"/>
  <c r="AY171" i="8"/>
  <c r="R171" i="4" s="1"/>
  <c r="M171" i="9"/>
  <c r="U171" i="4" s="1"/>
  <c r="F171" i="6"/>
  <c r="Q171" i="6"/>
  <c r="W171" i="4" s="1"/>
  <c r="S171" i="6"/>
  <c r="X171" i="4" s="1"/>
  <c r="O171" i="8"/>
  <c r="U171" i="8" s="1"/>
  <c r="J171" i="8"/>
  <c r="T171" i="3"/>
  <c r="P171" i="8" s="1"/>
  <c r="I172" i="9"/>
  <c r="J172" i="9"/>
  <c r="B172" i="9"/>
  <c r="J172" i="4"/>
  <c r="T172" i="6"/>
  <c r="L172" i="4" s="1"/>
  <c r="U172" i="6"/>
  <c r="M172" i="4" s="1"/>
  <c r="AV172" i="8"/>
  <c r="O172" i="4" s="1"/>
  <c r="AW172" i="8"/>
  <c r="P172" i="4" s="1"/>
  <c r="AX172" i="8"/>
  <c r="Q172" i="4" s="1"/>
  <c r="AY172" i="8"/>
  <c r="R172" i="4" s="1"/>
  <c r="M172" i="9"/>
  <c r="U172" i="4" s="1"/>
  <c r="F172" i="6"/>
  <c r="Q172" i="6"/>
  <c r="W172" i="4" s="1"/>
  <c r="S172" i="6"/>
  <c r="X172" i="4" s="1"/>
  <c r="O172" i="8"/>
  <c r="U172" i="8"/>
  <c r="W172" i="8" s="1"/>
  <c r="J172" i="8"/>
  <c r="T172" i="3"/>
  <c r="P172" i="8" s="1"/>
  <c r="I173" i="9"/>
  <c r="J173" i="9"/>
  <c r="B173" i="9"/>
  <c r="J173" i="4"/>
  <c r="T173" i="6"/>
  <c r="L173" i="4" s="1"/>
  <c r="U173" i="6"/>
  <c r="M173" i="4" s="1"/>
  <c r="AV173" i="8"/>
  <c r="O173" i="4" s="1"/>
  <c r="AW173" i="8"/>
  <c r="P173" i="4" s="1"/>
  <c r="AX173" i="8"/>
  <c r="Q173" i="4" s="1"/>
  <c r="AY173" i="8"/>
  <c r="R173" i="4" s="1"/>
  <c r="M173" i="9"/>
  <c r="U173" i="4" s="1"/>
  <c r="F173" i="6"/>
  <c r="Q173" i="6"/>
  <c r="W173" i="4" s="1"/>
  <c r="S173" i="6"/>
  <c r="X173" i="4" s="1"/>
  <c r="O173" i="8"/>
  <c r="U173" i="8" s="1"/>
  <c r="W173" i="8" s="1"/>
  <c r="J173" i="8"/>
  <c r="T173" i="3"/>
  <c r="P173" i="8" s="1"/>
  <c r="AI173" i="8"/>
  <c r="I174" i="9"/>
  <c r="J174" i="9"/>
  <c r="B174" i="9"/>
  <c r="J174" i="4"/>
  <c r="T174" i="6"/>
  <c r="L174" i="4" s="1"/>
  <c r="U174" i="6"/>
  <c r="M174" i="4" s="1"/>
  <c r="AV174" i="8"/>
  <c r="O174" i="4" s="1"/>
  <c r="AW174" i="8"/>
  <c r="P174" i="4" s="1"/>
  <c r="AX174" i="8"/>
  <c r="Q174" i="4" s="1"/>
  <c r="AY174" i="8"/>
  <c r="R174" i="4" s="1"/>
  <c r="M174" i="9"/>
  <c r="U174" i="4" s="1"/>
  <c r="F174" i="6"/>
  <c r="Q174" i="6"/>
  <c r="W174" i="4" s="1"/>
  <c r="S174" i="6"/>
  <c r="X174" i="4" s="1"/>
  <c r="O174" i="8"/>
  <c r="U174" i="8" s="1"/>
  <c r="J174" i="8"/>
  <c r="T174" i="3"/>
  <c r="P174" i="8" s="1"/>
  <c r="I175" i="9"/>
  <c r="J175" i="9"/>
  <c r="B175" i="9"/>
  <c r="J175" i="4"/>
  <c r="T175" i="6"/>
  <c r="L175" i="4" s="1"/>
  <c r="U175" i="6"/>
  <c r="M175" i="4" s="1"/>
  <c r="AV175" i="8"/>
  <c r="O175" i="4" s="1"/>
  <c r="AW175" i="8"/>
  <c r="P175" i="4" s="1"/>
  <c r="AX175" i="8"/>
  <c r="Q175" i="4" s="1"/>
  <c r="AY175" i="8"/>
  <c r="R175" i="4" s="1"/>
  <c r="M175" i="9"/>
  <c r="U175" i="4" s="1"/>
  <c r="F175" i="6"/>
  <c r="Q175" i="6"/>
  <c r="W175" i="4" s="1"/>
  <c r="S175" i="6"/>
  <c r="X175" i="4" s="1"/>
  <c r="O175" i="8"/>
  <c r="U175" i="8"/>
  <c r="W175" i="8" s="1"/>
  <c r="M175" i="8"/>
  <c r="J175" i="8"/>
  <c r="T175" i="3"/>
  <c r="P175" i="8" s="1"/>
  <c r="I176" i="9"/>
  <c r="J176" i="9"/>
  <c r="B176" i="9"/>
  <c r="J176" i="4"/>
  <c r="T176" i="6"/>
  <c r="L176" i="4" s="1"/>
  <c r="U176" i="6"/>
  <c r="M176" i="4" s="1"/>
  <c r="AV176" i="8"/>
  <c r="O176" i="4" s="1"/>
  <c r="AW176" i="8"/>
  <c r="P176" i="4" s="1"/>
  <c r="AX176" i="8"/>
  <c r="Q176" i="4" s="1"/>
  <c r="AY176" i="8"/>
  <c r="R176" i="4" s="1"/>
  <c r="M176" i="9"/>
  <c r="U176" i="4" s="1"/>
  <c r="F176" i="6"/>
  <c r="Q176" i="6"/>
  <c r="W176" i="4" s="1"/>
  <c r="S176" i="6"/>
  <c r="X176" i="4" s="1"/>
  <c r="O176" i="8"/>
  <c r="U176" i="8"/>
  <c r="W176" i="8" s="1"/>
  <c r="J176" i="8"/>
  <c r="T176" i="3"/>
  <c r="P176" i="8" s="1"/>
  <c r="I177" i="9"/>
  <c r="J177" i="9"/>
  <c r="B177" i="9"/>
  <c r="J177" i="4"/>
  <c r="T177" i="6"/>
  <c r="L177" i="4" s="1"/>
  <c r="U177" i="6"/>
  <c r="M177" i="4" s="1"/>
  <c r="AV177" i="8"/>
  <c r="O177" i="4" s="1"/>
  <c r="AW177" i="8"/>
  <c r="P177" i="4" s="1"/>
  <c r="AX177" i="8"/>
  <c r="Q177" i="4" s="1"/>
  <c r="AY177" i="8"/>
  <c r="R177" i="4" s="1"/>
  <c r="M177" i="9"/>
  <c r="U177" i="4" s="1"/>
  <c r="F177" i="6"/>
  <c r="Q177" i="6"/>
  <c r="W177" i="4" s="1"/>
  <c r="S177" i="6"/>
  <c r="X177" i="4" s="1"/>
  <c r="O177" i="8"/>
  <c r="U177" i="8" s="1"/>
  <c r="J177" i="8"/>
  <c r="T177" i="3"/>
  <c r="P177" i="8" s="1"/>
  <c r="I178" i="9"/>
  <c r="J178" i="9"/>
  <c r="B178" i="9"/>
  <c r="J178" i="4"/>
  <c r="T178" i="6"/>
  <c r="L178" i="4" s="1"/>
  <c r="U178" i="6"/>
  <c r="M178" i="4" s="1"/>
  <c r="AV178" i="8"/>
  <c r="O178" i="4" s="1"/>
  <c r="AW178" i="8"/>
  <c r="P178" i="4" s="1"/>
  <c r="AX178" i="8"/>
  <c r="Q178" i="4" s="1"/>
  <c r="AY178" i="8"/>
  <c r="R178" i="4" s="1"/>
  <c r="M178" i="9"/>
  <c r="U178" i="4" s="1"/>
  <c r="F178" i="6"/>
  <c r="Q178" i="6"/>
  <c r="W178" i="4" s="1"/>
  <c r="S178" i="6"/>
  <c r="X178" i="4" s="1"/>
  <c r="O178" i="8"/>
  <c r="U178" i="8"/>
  <c r="W178" i="8" s="1"/>
  <c r="J178" i="8"/>
  <c r="T178" i="3"/>
  <c r="P178" i="8" s="1"/>
  <c r="I179" i="9"/>
  <c r="J179" i="9"/>
  <c r="B179" i="9"/>
  <c r="J179" i="4"/>
  <c r="T179" i="6"/>
  <c r="L179" i="4" s="1"/>
  <c r="U179" i="6"/>
  <c r="M179" i="4" s="1"/>
  <c r="AV179" i="8"/>
  <c r="O179" i="4" s="1"/>
  <c r="AW179" i="8"/>
  <c r="P179" i="4" s="1"/>
  <c r="AX179" i="8"/>
  <c r="Q179" i="4" s="1"/>
  <c r="AY179" i="8"/>
  <c r="R179" i="4" s="1"/>
  <c r="M179" i="9"/>
  <c r="U179" i="4" s="1"/>
  <c r="F179" i="6"/>
  <c r="Q179" i="6"/>
  <c r="W179" i="4" s="1"/>
  <c r="S179" i="6"/>
  <c r="X179" i="4" s="1"/>
  <c r="O179" i="8"/>
  <c r="U179" i="8" s="1"/>
  <c r="W179" i="8" s="1"/>
  <c r="J179" i="8"/>
  <c r="T179" i="3"/>
  <c r="P179" i="8" s="1"/>
  <c r="I180" i="9"/>
  <c r="J180" i="9"/>
  <c r="B180" i="9"/>
  <c r="J180" i="4"/>
  <c r="T180" i="6"/>
  <c r="L180" i="4" s="1"/>
  <c r="U180" i="6"/>
  <c r="M180" i="4" s="1"/>
  <c r="AV180" i="8"/>
  <c r="O180" i="4" s="1"/>
  <c r="AW180" i="8"/>
  <c r="P180" i="4" s="1"/>
  <c r="AX180" i="8"/>
  <c r="Q180" i="4" s="1"/>
  <c r="AY180" i="8"/>
  <c r="R180" i="4" s="1"/>
  <c r="M180" i="9"/>
  <c r="U180" i="4" s="1"/>
  <c r="F180" i="6"/>
  <c r="Q180" i="6"/>
  <c r="W180" i="4" s="1"/>
  <c r="S180" i="6"/>
  <c r="X180" i="4" s="1"/>
  <c r="O180" i="8"/>
  <c r="U180" i="8" s="1"/>
  <c r="W180" i="8" s="1"/>
  <c r="M180" i="8"/>
  <c r="J180" i="8"/>
  <c r="T180" i="3"/>
  <c r="P180" i="8" s="1"/>
  <c r="I181" i="9"/>
  <c r="J181" i="9"/>
  <c r="B181" i="9"/>
  <c r="J181" i="4"/>
  <c r="T181" i="6"/>
  <c r="L181" i="4" s="1"/>
  <c r="U181" i="6"/>
  <c r="M181" i="4" s="1"/>
  <c r="AV181" i="8"/>
  <c r="O181" i="4" s="1"/>
  <c r="AW181" i="8"/>
  <c r="P181" i="4" s="1"/>
  <c r="AX181" i="8"/>
  <c r="Q181" i="4" s="1"/>
  <c r="AY181" i="8"/>
  <c r="R181" i="4" s="1"/>
  <c r="M181" i="9"/>
  <c r="U181" i="4" s="1"/>
  <c r="F181" i="6"/>
  <c r="Q181" i="6"/>
  <c r="W181" i="4" s="1"/>
  <c r="S181" i="6"/>
  <c r="X181" i="4" s="1"/>
  <c r="O181" i="8"/>
  <c r="U181" i="8" s="1"/>
  <c r="J181" i="8"/>
  <c r="T181" i="3"/>
  <c r="P181" i="8" s="1"/>
  <c r="I182" i="9"/>
  <c r="J182" i="9"/>
  <c r="B182" i="9"/>
  <c r="J182" i="4"/>
  <c r="T182" i="6"/>
  <c r="L182" i="4" s="1"/>
  <c r="U182" i="6"/>
  <c r="M182" i="4" s="1"/>
  <c r="AV182" i="8"/>
  <c r="O182" i="4" s="1"/>
  <c r="AW182" i="8"/>
  <c r="P182" i="4" s="1"/>
  <c r="AX182" i="8"/>
  <c r="Q182" i="4" s="1"/>
  <c r="AY182" i="8"/>
  <c r="R182" i="4" s="1"/>
  <c r="M182" i="9"/>
  <c r="U182" i="4" s="1"/>
  <c r="F182" i="6"/>
  <c r="Q182" i="6"/>
  <c r="W182" i="4" s="1"/>
  <c r="S182" i="6"/>
  <c r="X182" i="4" s="1"/>
  <c r="O182" i="8"/>
  <c r="U182" i="8" s="1"/>
  <c r="W182" i="8" s="1"/>
  <c r="J182" i="8"/>
  <c r="T182" i="3"/>
  <c r="P182" i="8" s="1"/>
  <c r="I183" i="9"/>
  <c r="J183" i="9"/>
  <c r="B183" i="9"/>
  <c r="J183" i="4"/>
  <c r="T183" i="6"/>
  <c r="L183" i="4" s="1"/>
  <c r="U183" i="6"/>
  <c r="M183" i="4" s="1"/>
  <c r="AV183" i="8"/>
  <c r="O183" i="4" s="1"/>
  <c r="AW183" i="8"/>
  <c r="P183" i="4" s="1"/>
  <c r="AX183" i="8"/>
  <c r="Q183" i="4" s="1"/>
  <c r="AY183" i="8"/>
  <c r="R183" i="4" s="1"/>
  <c r="M183" i="9"/>
  <c r="U183" i="4" s="1"/>
  <c r="F183" i="6"/>
  <c r="Q183" i="6"/>
  <c r="W183" i="4" s="1"/>
  <c r="S183" i="6"/>
  <c r="X183" i="4" s="1"/>
  <c r="O183" i="8"/>
  <c r="U183" i="8" s="1"/>
  <c r="W183" i="8" s="1"/>
  <c r="J183" i="8"/>
  <c r="T183" i="3"/>
  <c r="P183" i="8" s="1"/>
  <c r="I184" i="9"/>
  <c r="J184" i="9"/>
  <c r="B184" i="9"/>
  <c r="J184" i="4"/>
  <c r="T184" i="6"/>
  <c r="L184" i="4" s="1"/>
  <c r="U184" i="6"/>
  <c r="M184" i="4" s="1"/>
  <c r="AV184" i="8"/>
  <c r="O184" i="4" s="1"/>
  <c r="AW184" i="8"/>
  <c r="P184" i="4" s="1"/>
  <c r="AX184" i="8"/>
  <c r="Q184" i="4" s="1"/>
  <c r="AY184" i="8"/>
  <c r="R184" i="4" s="1"/>
  <c r="M184" i="9"/>
  <c r="U184" i="4" s="1"/>
  <c r="F184" i="6"/>
  <c r="Q184" i="6"/>
  <c r="W184" i="4" s="1"/>
  <c r="S184" i="6"/>
  <c r="X184" i="4" s="1"/>
  <c r="O184" i="8"/>
  <c r="U184" i="8" s="1"/>
  <c r="W184" i="8" s="1"/>
  <c r="M184" i="8"/>
  <c r="J184" i="8"/>
  <c r="T184" i="3"/>
  <c r="P184" i="8" s="1"/>
  <c r="I185" i="9"/>
  <c r="J185" i="9"/>
  <c r="B185" i="9"/>
  <c r="J185" i="4"/>
  <c r="T185" i="6"/>
  <c r="L185" i="4" s="1"/>
  <c r="U185" i="6"/>
  <c r="M185" i="4" s="1"/>
  <c r="AV185" i="8"/>
  <c r="O185" i="4" s="1"/>
  <c r="AW185" i="8"/>
  <c r="P185" i="4" s="1"/>
  <c r="AX185" i="8"/>
  <c r="Q185" i="4" s="1"/>
  <c r="AY185" i="8"/>
  <c r="R185" i="4" s="1"/>
  <c r="M185" i="9"/>
  <c r="U185" i="4" s="1"/>
  <c r="F185" i="6"/>
  <c r="Q185" i="6"/>
  <c r="W185" i="4" s="1"/>
  <c r="S185" i="6"/>
  <c r="X185" i="4" s="1"/>
  <c r="O185" i="8"/>
  <c r="U185" i="8"/>
  <c r="W185" i="8" s="1"/>
  <c r="J185" i="8"/>
  <c r="T185" i="3"/>
  <c r="P185" i="8" s="1"/>
  <c r="I186" i="9"/>
  <c r="J186" i="9"/>
  <c r="B186" i="9"/>
  <c r="J186" i="4"/>
  <c r="T186" i="6"/>
  <c r="L186" i="4" s="1"/>
  <c r="U186" i="6"/>
  <c r="M186" i="4" s="1"/>
  <c r="AV186" i="8"/>
  <c r="O186" i="4" s="1"/>
  <c r="AW186" i="8"/>
  <c r="P186" i="4" s="1"/>
  <c r="AX186" i="8"/>
  <c r="Q186" i="4" s="1"/>
  <c r="AY186" i="8"/>
  <c r="R186" i="4" s="1"/>
  <c r="M186" i="9"/>
  <c r="U186" i="4" s="1"/>
  <c r="F186" i="6"/>
  <c r="Q186" i="6"/>
  <c r="W186" i="4" s="1"/>
  <c r="S186" i="6"/>
  <c r="X186" i="4" s="1"/>
  <c r="O186" i="8"/>
  <c r="U186" i="8" s="1"/>
  <c r="J186" i="8"/>
  <c r="T186" i="3"/>
  <c r="P186" i="8" s="1"/>
  <c r="I187" i="9"/>
  <c r="J187" i="9"/>
  <c r="B187" i="9"/>
  <c r="J187" i="4"/>
  <c r="T187" i="6"/>
  <c r="L187" i="4" s="1"/>
  <c r="U187" i="6"/>
  <c r="M187" i="4" s="1"/>
  <c r="AV187" i="8"/>
  <c r="O187" i="4" s="1"/>
  <c r="AW187" i="8"/>
  <c r="P187" i="4" s="1"/>
  <c r="AX187" i="8"/>
  <c r="Q187" i="4" s="1"/>
  <c r="AY187" i="8"/>
  <c r="R187" i="4" s="1"/>
  <c r="M187" i="9"/>
  <c r="U187" i="4" s="1"/>
  <c r="F187" i="6"/>
  <c r="Q187" i="6"/>
  <c r="W187" i="4" s="1"/>
  <c r="S187" i="6"/>
  <c r="X187" i="4" s="1"/>
  <c r="O187" i="8"/>
  <c r="U187" i="8" s="1"/>
  <c r="W187" i="8" s="1"/>
  <c r="J187" i="8"/>
  <c r="T187" i="3"/>
  <c r="P187" i="8" s="1"/>
  <c r="I188" i="9"/>
  <c r="J188" i="9"/>
  <c r="B188" i="9"/>
  <c r="J188" i="4"/>
  <c r="T188" i="6"/>
  <c r="L188" i="4" s="1"/>
  <c r="U188" i="6"/>
  <c r="M188" i="4" s="1"/>
  <c r="AV188" i="8"/>
  <c r="O188" i="4" s="1"/>
  <c r="AW188" i="8"/>
  <c r="P188" i="4" s="1"/>
  <c r="AX188" i="8"/>
  <c r="Q188" i="4" s="1"/>
  <c r="AY188" i="8"/>
  <c r="R188" i="4" s="1"/>
  <c r="M188" i="9"/>
  <c r="U188" i="4" s="1"/>
  <c r="F188" i="6"/>
  <c r="Q188" i="6"/>
  <c r="W188" i="4" s="1"/>
  <c r="S188" i="6"/>
  <c r="X188" i="4" s="1"/>
  <c r="O188" i="8"/>
  <c r="U188" i="8" s="1"/>
  <c r="W188" i="8" s="1"/>
  <c r="Y188" i="8" s="1"/>
  <c r="M188" i="8"/>
  <c r="J188" i="8"/>
  <c r="T188" i="3"/>
  <c r="P188" i="8" s="1"/>
  <c r="I189" i="9"/>
  <c r="J189" i="9"/>
  <c r="B189" i="9"/>
  <c r="J189" i="4"/>
  <c r="T189" i="6"/>
  <c r="L189" i="4" s="1"/>
  <c r="U189" i="6"/>
  <c r="M189" i="4" s="1"/>
  <c r="AV189" i="8"/>
  <c r="O189" i="4" s="1"/>
  <c r="AW189" i="8"/>
  <c r="P189" i="4" s="1"/>
  <c r="AX189" i="8"/>
  <c r="Q189" i="4" s="1"/>
  <c r="AY189" i="8"/>
  <c r="R189" i="4" s="1"/>
  <c r="M189" i="9"/>
  <c r="U189" i="4" s="1"/>
  <c r="F189" i="6"/>
  <c r="Q189" i="6"/>
  <c r="W189" i="4" s="1"/>
  <c r="S189" i="6"/>
  <c r="X189" i="4" s="1"/>
  <c r="O189" i="8"/>
  <c r="U189" i="8"/>
  <c r="J189" i="8"/>
  <c r="S189" i="8" s="1"/>
  <c r="P189" i="8"/>
  <c r="I190" i="9"/>
  <c r="J190" i="9"/>
  <c r="B190" i="9"/>
  <c r="J190" i="4"/>
  <c r="T190" i="6"/>
  <c r="L190" i="4" s="1"/>
  <c r="U190" i="6"/>
  <c r="M190" i="4" s="1"/>
  <c r="AV190" i="8"/>
  <c r="O190" i="4" s="1"/>
  <c r="AW190" i="8"/>
  <c r="P190" i="4" s="1"/>
  <c r="AX190" i="8"/>
  <c r="Q190" i="4" s="1"/>
  <c r="AY190" i="8"/>
  <c r="R190" i="4" s="1"/>
  <c r="M190" i="9"/>
  <c r="U190" i="4" s="1"/>
  <c r="F190" i="6"/>
  <c r="Q190" i="6"/>
  <c r="W190" i="4" s="1"/>
  <c r="S190" i="6"/>
  <c r="X190" i="4" s="1"/>
  <c r="O190" i="8"/>
  <c r="U190" i="8"/>
  <c r="W190" i="8" s="1"/>
  <c r="J190" i="8"/>
  <c r="T190" i="3"/>
  <c r="P190" i="8" s="1"/>
  <c r="I191" i="9"/>
  <c r="J191" i="9"/>
  <c r="B191" i="9"/>
  <c r="J191" i="4"/>
  <c r="T191" i="6"/>
  <c r="L191" i="4" s="1"/>
  <c r="U191" i="6"/>
  <c r="M191" i="4" s="1"/>
  <c r="AV191" i="8"/>
  <c r="O191" i="4" s="1"/>
  <c r="AW191" i="8"/>
  <c r="P191" i="4" s="1"/>
  <c r="AX191" i="8"/>
  <c r="Q191" i="4" s="1"/>
  <c r="AY191" i="8"/>
  <c r="R191" i="4" s="1"/>
  <c r="M191" i="9"/>
  <c r="U191" i="4" s="1"/>
  <c r="F191" i="6"/>
  <c r="Q191" i="6"/>
  <c r="W191" i="4" s="1"/>
  <c r="S191" i="6"/>
  <c r="X191" i="4" s="1"/>
  <c r="O191" i="8"/>
  <c r="U191" i="8" s="1"/>
  <c r="W191" i="8" s="1"/>
  <c r="M191" i="8"/>
  <c r="J191" i="8"/>
  <c r="T191" i="3"/>
  <c r="P191" i="8"/>
  <c r="AI191" i="8"/>
  <c r="I192" i="9"/>
  <c r="J192" i="9"/>
  <c r="B192" i="9"/>
  <c r="J192" i="4"/>
  <c r="T192" i="6"/>
  <c r="L192" i="4" s="1"/>
  <c r="U192" i="6"/>
  <c r="M192" i="4" s="1"/>
  <c r="AV192" i="8"/>
  <c r="O192" i="4" s="1"/>
  <c r="AW192" i="8"/>
  <c r="P192" i="4" s="1"/>
  <c r="AX192" i="8"/>
  <c r="Q192" i="4" s="1"/>
  <c r="AY192" i="8"/>
  <c r="R192" i="4" s="1"/>
  <c r="M192" i="9"/>
  <c r="U192" i="4" s="1"/>
  <c r="F192" i="6"/>
  <c r="Q192" i="6"/>
  <c r="W192" i="4" s="1"/>
  <c r="S192" i="6"/>
  <c r="X192" i="4" s="1"/>
  <c r="O192" i="8"/>
  <c r="U192" i="8" s="1"/>
  <c r="J192" i="8"/>
  <c r="T192" i="3"/>
  <c r="P192" i="8" s="1"/>
  <c r="I193" i="9"/>
  <c r="J193" i="9"/>
  <c r="B193" i="9"/>
  <c r="J193" i="4"/>
  <c r="T193" i="6"/>
  <c r="L193" i="4" s="1"/>
  <c r="U193" i="6"/>
  <c r="M193" i="4" s="1"/>
  <c r="AV193" i="8"/>
  <c r="O193" i="4" s="1"/>
  <c r="AW193" i="8"/>
  <c r="P193" i="4" s="1"/>
  <c r="AX193" i="8"/>
  <c r="Q193" i="4" s="1"/>
  <c r="AY193" i="8"/>
  <c r="R193" i="4" s="1"/>
  <c r="M193" i="9"/>
  <c r="U193" i="4" s="1"/>
  <c r="F193" i="6"/>
  <c r="Q193" i="6"/>
  <c r="W193" i="4" s="1"/>
  <c r="S193" i="6"/>
  <c r="X193" i="4" s="1"/>
  <c r="O193" i="8"/>
  <c r="U193" i="8" s="1"/>
  <c r="W193" i="8" s="1"/>
  <c r="J193" i="8"/>
  <c r="T193" i="3"/>
  <c r="P193" i="8" s="1"/>
  <c r="F142" i="6"/>
  <c r="S142" i="6"/>
  <c r="X142" i="4" s="1"/>
  <c r="Q142" i="6"/>
  <c r="W142" i="4" s="1"/>
  <c r="G142" i="9"/>
  <c r="M142" i="9"/>
  <c r="U142" i="4" s="1"/>
  <c r="AY142" i="8"/>
  <c r="R142" i="4" s="1"/>
  <c r="AX142" i="8"/>
  <c r="Q142" i="4" s="1"/>
  <c r="AW142" i="8"/>
  <c r="P142" i="4" s="1"/>
  <c r="AV142" i="8"/>
  <c r="O142" i="4" s="1"/>
  <c r="U142" i="6"/>
  <c r="M142" i="4" s="1"/>
  <c r="T142" i="6"/>
  <c r="L142" i="4" s="1"/>
  <c r="I142" i="9"/>
  <c r="J142" i="9"/>
  <c r="B142" i="9"/>
  <c r="J142" i="4"/>
  <c r="F85" i="4"/>
  <c r="I85" i="9"/>
  <c r="G85" i="9"/>
  <c r="J85" i="9"/>
  <c r="B85" i="9"/>
  <c r="J85" i="4"/>
  <c r="F85" i="6"/>
  <c r="J85" i="6"/>
  <c r="P85" i="6"/>
  <c r="Q85" i="6"/>
  <c r="W85" i="4" s="1"/>
  <c r="T85" i="6"/>
  <c r="L85" i="4" s="1"/>
  <c r="K85" i="6"/>
  <c r="O85" i="6"/>
  <c r="R85" i="6"/>
  <c r="S85" i="6"/>
  <c r="X85" i="4" s="1"/>
  <c r="U85" i="6"/>
  <c r="M85" i="4" s="1"/>
  <c r="AV85" i="8"/>
  <c r="O85" i="4" s="1"/>
  <c r="AW85" i="8"/>
  <c r="P85" i="4" s="1"/>
  <c r="AX85" i="8"/>
  <c r="Q85" i="4" s="1"/>
  <c r="AY85" i="8"/>
  <c r="R85" i="4" s="1"/>
  <c r="M85" i="9"/>
  <c r="U85" i="4" s="1"/>
  <c r="G86" i="4"/>
  <c r="I86" i="9"/>
  <c r="G86" i="9"/>
  <c r="J86" i="9"/>
  <c r="B86" i="9"/>
  <c r="J86" i="4"/>
  <c r="F86" i="6"/>
  <c r="J86" i="6"/>
  <c r="P86" i="6"/>
  <c r="Q86" i="6"/>
  <c r="W86" i="4" s="1"/>
  <c r="T86" i="6"/>
  <c r="L86" i="4" s="1"/>
  <c r="K86" i="6"/>
  <c r="O86" i="6"/>
  <c r="R86" i="6"/>
  <c r="S86" i="6"/>
  <c r="X86" i="4" s="1"/>
  <c r="U86" i="6"/>
  <c r="M86" i="4" s="1"/>
  <c r="AV86" i="8"/>
  <c r="O86" i="4" s="1"/>
  <c r="AW86" i="8"/>
  <c r="P86" i="4" s="1"/>
  <c r="AX86" i="8"/>
  <c r="Q86" i="4" s="1"/>
  <c r="AY86" i="8"/>
  <c r="R86" i="4" s="1"/>
  <c r="M86" i="9"/>
  <c r="U86" i="4" s="1"/>
  <c r="I87" i="9"/>
  <c r="G87" i="9"/>
  <c r="J87" i="9"/>
  <c r="B87" i="9"/>
  <c r="J87" i="4"/>
  <c r="F87" i="6"/>
  <c r="J87" i="6"/>
  <c r="P87" i="6"/>
  <c r="Q87" i="6"/>
  <c r="W87" i="4" s="1"/>
  <c r="T87" i="6"/>
  <c r="L87" i="4" s="1"/>
  <c r="K87" i="6"/>
  <c r="O87" i="6"/>
  <c r="R87" i="6"/>
  <c r="S87" i="6"/>
  <c r="X87" i="4" s="1"/>
  <c r="U87" i="6"/>
  <c r="M87" i="4" s="1"/>
  <c r="AV87" i="8"/>
  <c r="O87" i="4" s="1"/>
  <c r="AW87" i="8"/>
  <c r="P87" i="4" s="1"/>
  <c r="AX87" i="8"/>
  <c r="Q87" i="4" s="1"/>
  <c r="AY87" i="8"/>
  <c r="R87" i="4" s="1"/>
  <c r="M87" i="9"/>
  <c r="U87" i="4" s="1"/>
  <c r="I88" i="9"/>
  <c r="G88" i="9"/>
  <c r="J88" i="9"/>
  <c r="B88" i="9"/>
  <c r="J88" i="4"/>
  <c r="F88" i="6"/>
  <c r="J88" i="6"/>
  <c r="P88" i="6"/>
  <c r="Q88" i="6"/>
  <c r="W88" i="4" s="1"/>
  <c r="T88" i="6"/>
  <c r="L88" i="4" s="1"/>
  <c r="K88" i="6"/>
  <c r="O88" i="6"/>
  <c r="R88" i="6"/>
  <c r="S88" i="6"/>
  <c r="X88" i="4" s="1"/>
  <c r="U88" i="6"/>
  <c r="M88" i="4" s="1"/>
  <c r="AV88" i="8"/>
  <c r="O88" i="4" s="1"/>
  <c r="AW88" i="8"/>
  <c r="P88" i="4" s="1"/>
  <c r="AX88" i="8"/>
  <c r="Q88" i="4" s="1"/>
  <c r="AY88" i="8"/>
  <c r="R88" i="4" s="1"/>
  <c r="M88" i="9"/>
  <c r="U88" i="4" s="1"/>
  <c r="I89" i="4"/>
  <c r="I89" i="9"/>
  <c r="G89" i="9"/>
  <c r="J89" i="9"/>
  <c r="B89" i="9"/>
  <c r="J89" i="4"/>
  <c r="F89" i="6"/>
  <c r="J89" i="6"/>
  <c r="P89" i="6"/>
  <c r="Q89" i="6"/>
  <c r="W89" i="4" s="1"/>
  <c r="T89" i="6"/>
  <c r="L89" i="4" s="1"/>
  <c r="K89" i="6"/>
  <c r="O89" i="6"/>
  <c r="R89" i="6"/>
  <c r="S89" i="6"/>
  <c r="X89" i="4" s="1"/>
  <c r="U89" i="6"/>
  <c r="M89" i="4" s="1"/>
  <c r="AV89" i="8"/>
  <c r="O89" i="4" s="1"/>
  <c r="AW89" i="8"/>
  <c r="P89" i="4" s="1"/>
  <c r="AX89" i="8"/>
  <c r="Q89" i="4" s="1"/>
  <c r="AY89" i="8"/>
  <c r="R89" i="4" s="1"/>
  <c r="M89" i="9"/>
  <c r="U89" i="4" s="1"/>
  <c r="I90" i="9"/>
  <c r="G90" i="9"/>
  <c r="J90" i="9"/>
  <c r="B90" i="9"/>
  <c r="J90" i="4"/>
  <c r="F90" i="6"/>
  <c r="J90" i="6"/>
  <c r="P90" i="6"/>
  <c r="Q90" i="6"/>
  <c r="W90" i="4" s="1"/>
  <c r="T90" i="6"/>
  <c r="L90" i="4" s="1"/>
  <c r="K90" i="6"/>
  <c r="O90" i="6"/>
  <c r="R90" i="6"/>
  <c r="S90" i="6"/>
  <c r="X90" i="4" s="1"/>
  <c r="U90" i="6"/>
  <c r="M90" i="4" s="1"/>
  <c r="AV90" i="8"/>
  <c r="O90" i="4" s="1"/>
  <c r="AW90" i="8"/>
  <c r="P90" i="4" s="1"/>
  <c r="AX90" i="8"/>
  <c r="Q90" i="4" s="1"/>
  <c r="AY90" i="8"/>
  <c r="R90" i="4" s="1"/>
  <c r="M90" i="9"/>
  <c r="U90" i="4" s="1"/>
  <c r="I91" i="9"/>
  <c r="G91" i="9"/>
  <c r="J91" i="9"/>
  <c r="B91" i="9"/>
  <c r="J91" i="4"/>
  <c r="F91" i="6"/>
  <c r="J91" i="6"/>
  <c r="P91" i="6"/>
  <c r="Q91" i="6"/>
  <c r="W91" i="4" s="1"/>
  <c r="T91" i="6"/>
  <c r="L91" i="4" s="1"/>
  <c r="K91" i="6"/>
  <c r="O91" i="6"/>
  <c r="R91" i="6"/>
  <c r="S91" i="6"/>
  <c r="X91" i="4" s="1"/>
  <c r="U91" i="6"/>
  <c r="M91" i="4" s="1"/>
  <c r="AV91" i="8"/>
  <c r="O91" i="4" s="1"/>
  <c r="AW91" i="8"/>
  <c r="P91" i="4" s="1"/>
  <c r="AX91" i="8"/>
  <c r="Q91" i="4" s="1"/>
  <c r="AY91" i="8"/>
  <c r="R91" i="4" s="1"/>
  <c r="M91" i="9"/>
  <c r="U91" i="4" s="1"/>
  <c r="H92" i="4"/>
  <c r="I92" i="9"/>
  <c r="G92" i="9"/>
  <c r="J92" i="9"/>
  <c r="B92" i="9"/>
  <c r="J92" i="4"/>
  <c r="F92" i="6"/>
  <c r="J92" i="6"/>
  <c r="P92" i="6"/>
  <c r="Q92" i="6"/>
  <c r="W92" i="4" s="1"/>
  <c r="T92" i="6"/>
  <c r="L92" i="4" s="1"/>
  <c r="K92" i="6"/>
  <c r="O92" i="6"/>
  <c r="R92" i="6"/>
  <c r="S92" i="6"/>
  <c r="X92" i="4" s="1"/>
  <c r="U92" i="6"/>
  <c r="M92" i="4" s="1"/>
  <c r="AV92" i="8"/>
  <c r="O92" i="4" s="1"/>
  <c r="AW92" i="8"/>
  <c r="P92" i="4" s="1"/>
  <c r="AX92" i="8"/>
  <c r="Q92" i="4" s="1"/>
  <c r="AY92" i="8"/>
  <c r="R92" i="4" s="1"/>
  <c r="M92" i="9"/>
  <c r="U92" i="4" s="1"/>
  <c r="I93" i="9"/>
  <c r="G93" i="9"/>
  <c r="J93" i="9"/>
  <c r="B93" i="9"/>
  <c r="J93" i="4"/>
  <c r="F93" i="6"/>
  <c r="J93" i="6"/>
  <c r="P93" i="6"/>
  <c r="Q93" i="6"/>
  <c r="W93" i="4" s="1"/>
  <c r="T93" i="6"/>
  <c r="L93" i="4" s="1"/>
  <c r="K93" i="6"/>
  <c r="O93" i="6"/>
  <c r="R93" i="6"/>
  <c r="S93" i="6"/>
  <c r="X93" i="4" s="1"/>
  <c r="U93" i="6"/>
  <c r="M93" i="4" s="1"/>
  <c r="AV93" i="8"/>
  <c r="O93" i="4" s="1"/>
  <c r="AW93" i="8"/>
  <c r="P93" i="4" s="1"/>
  <c r="AX93" i="8"/>
  <c r="Q93" i="4" s="1"/>
  <c r="AY93" i="8"/>
  <c r="R93" i="4" s="1"/>
  <c r="M93" i="9"/>
  <c r="U93" i="4" s="1"/>
  <c r="I94" i="9"/>
  <c r="G94" i="9"/>
  <c r="J94" i="9"/>
  <c r="B94" i="9"/>
  <c r="J94" i="4"/>
  <c r="F94" i="6"/>
  <c r="J94" i="6"/>
  <c r="P94" i="6"/>
  <c r="Q94" i="6"/>
  <c r="W94" i="4" s="1"/>
  <c r="T94" i="6"/>
  <c r="L94" i="4" s="1"/>
  <c r="K94" i="6"/>
  <c r="O94" i="6"/>
  <c r="R94" i="6"/>
  <c r="S94" i="6"/>
  <c r="X94" i="4" s="1"/>
  <c r="U94" i="6"/>
  <c r="M94" i="4" s="1"/>
  <c r="AV94" i="8"/>
  <c r="O94" i="4" s="1"/>
  <c r="AW94" i="8"/>
  <c r="P94" i="4" s="1"/>
  <c r="AX94" i="8"/>
  <c r="Q94" i="4" s="1"/>
  <c r="AY94" i="8"/>
  <c r="R94" i="4" s="1"/>
  <c r="M94" i="9"/>
  <c r="U94" i="4" s="1"/>
  <c r="I95" i="9"/>
  <c r="G95" i="9"/>
  <c r="J95" i="9"/>
  <c r="B95" i="9"/>
  <c r="J95" i="4"/>
  <c r="F95" i="6"/>
  <c r="J95" i="6"/>
  <c r="P95" i="6"/>
  <c r="Q95" i="6"/>
  <c r="W95" i="4" s="1"/>
  <c r="T95" i="6"/>
  <c r="L95" i="4" s="1"/>
  <c r="K95" i="6"/>
  <c r="O95" i="6"/>
  <c r="R95" i="6"/>
  <c r="S95" i="6"/>
  <c r="X95" i="4" s="1"/>
  <c r="U95" i="6"/>
  <c r="M95" i="4" s="1"/>
  <c r="AV95" i="8"/>
  <c r="O95" i="4" s="1"/>
  <c r="AW95" i="8"/>
  <c r="P95" i="4" s="1"/>
  <c r="AX95" i="8"/>
  <c r="Q95" i="4" s="1"/>
  <c r="AY95" i="8"/>
  <c r="R95" i="4" s="1"/>
  <c r="M95" i="9"/>
  <c r="U95" i="4" s="1"/>
  <c r="V95" i="4"/>
  <c r="I96" i="9"/>
  <c r="G96" i="9"/>
  <c r="J96" i="9"/>
  <c r="B96" i="9"/>
  <c r="J96" i="4"/>
  <c r="F96" i="6"/>
  <c r="J96" i="6"/>
  <c r="P96" i="6"/>
  <c r="Q96" i="6"/>
  <c r="W96" i="4" s="1"/>
  <c r="T96" i="6"/>
  <c r="L96" i="4" s="1"/>
  <c r="K96" i="6"/>
  <c r="O96" i="6"/>
  <c r="R96" i="6"/>
  <c r="S96" i="6"/>
  <c r="X96" i="4" s="1"/>
  <c r="U96" i="6"/>
  <c r="M96" i="4" s="1"/>
  <c r="AV96" i="8"/>
  <c r="O96" i="4" s="1"/>
  <c r="AW96" i="8"/>
  <c r="P96" i="4" s="1"/>
  <c r="AX96" i="8"/>
  <c r="Q96" i="4" s="1"/>
  <c r="AY96" i="8"/>
  <c r="R96" i="4" s="1"/>
  <c r="M96" i="9"/>
  <c r="U96" i="4" s="1"/>
  <c r="I97" i="9"/>
  <c r="G97" i="9"/>
  <c r="J97" i="9"/>
  <c r="B97" i="9"/>
  <c r="J97" i="4"/>
  <c r="F97" i="6"/>
  <c r="J97" i="6"/>
  <c r="P97" i="6"/>
  <c r="Q97" i="6"/>
  <c r="W97" i="4" s="1"/>
  <c r="T97" i="6"/>
  <c r="L97" i="4" s="1"/>
  <c r="K97" i="6"/>
  <c r="O97" i="6"/>
  <c r="R97" i="6"/>
  <c r="S97" i="6"/>
  <c r="X97" i="4" s="1"/>
  <c r="U97" i="6"/>
  <c r="M97" i="4" s="1"/>
  <c r="AV97" i="8"/>
  <c r="O97" i="4" s="1"/>
  <c r="AW97" i="8"/>
  <c r="P97" i="4" s="1"/>
  <c r="AX97" i="8"/>
  <c r="Q97" i="4" s="1"/>
  <c r="AY97" i="8"/>
  <c r="R97" i="4" s="1"/>
  <c r="M97" i="9"/>
  <c r="U97" i="4" s="1"/>
  <c r="I98" i="9"/>
  <c r="G98" i="9"/>
  <c r="J98" i="9"/>
  <c r="B98" i="9"/>
  <c r="J98" i="4"/>
  <c r="F98" i="6"/>
  <c r="J98" i="6"/>
  <c r="P98" i="6"/>
  <c r="Q98" i="6"/>
  <c r="W98" i="4" s="1"/>
  <c r="T98" i="6"/>
  <c r="L98" i="4" s="1"/>
  <c r="K98" i="6"/>
  <c r="O98" i="6"/>
  <c r="R98" i="6"/>
  <c r="S98" i="6"/>
  <c r="X98" i="4" s="1"/>
  <c r="U98" i="6"/>
  <c r="M98" i="4" s="1"/>
  <c r="AV98" i="8"/>
  <c r="O98" i="4" s="1"/>
  <c r="AW98" i="8"/>
  <c r="P98" i="4" s="1"/>
  <c r="AX98" i="8"/>
  <c r="Q98" i="4" s="1"/>
  <c r="AY98" i="8"/>
  <c r="R98" i="4" s="1"/>
  <c r="M98" i="9"/>
  <c r="U98" i="4" s="1"/>
  <c r="I99" i="9"/>
  <c r="J99" i="9"/>
  <c r="B99" i="9"/>
  <c r="J99" i="4"/>
  <c r="F99" i="6"/>
  <c r="J99" i="6"/>
  <c r="P99" i="6"/>
  <c r="Q99" i="6"/>
  <c r="W99" i="4" s="1"/>
  <c r="T99" i="6"/>
  <c r="L99" i="4" s="1"/>
  <c r="K99" i="6"/>
  <c r="O99" i="6"/>
  <c r="R99" i="6"/>
  <c r="S99" i="6"/>
  <c r="X99" i="4" s="1"/>
  <c r="U99" i="6"/>
  <c r="M99" i="4" s="1"/>
  <c r="AV99" i="8"/>
  <c r="O99" i="4" s="1"/>
  <c r="AW99" i="8"/>
  <c r="P99" i="4" s="1"/>
  <c r="AX99" i="8"/>
  <c r="Q99" i="4" s="1"/>
  <c r="AY99" i="8"/>
  <c r="R99" i="4" s="1"/>
  <c r="M99" i="9"/>
  <c r="U99" i="4" s="1"/>
  <c r="F100" i="4"/>
  <c r="I100" i="9"/>
  <c r="G100" i="9"/>
  <c r="J100" i="9"/>
  <c r="B100" i="9"/>
  <c r="J100" i="4"/>
  <c r="K100" i="4"/>
  <c r="F100" i="6"/>
  <c r="J100" i="6"/>
  <c r="P100" i="6"/>
  <c r="Q100" i="6"/>
  <c r="W100" i="4" s="1"/>
  <c r="T100" i="6"/>
  <c r="L100" i="4" s="1"/>
  <c r="K100" i="6"/>
  <c r="O100" i="6"/>
  <c r="R100" i="6"/>
  <c r="S100" i="6"/>
  <c r="U100" i="6"/>
  <c r="M100" i="4" s="1"/>
  <c r="AV100" i="8"/>
  <c r="O100" i="4" s="1"/>
  <c r="AW100" i="8"/>
  <c r="P100" i="4" s="1"/>
  <c r="AX100" i="8"/>
  <c r="Q100" i="4" s="1"/>
  <c r="AY100" i="8"/>
  <c r="R100" i="4" s="1"/>
  <c r="M100" i="9"/>
  <c r="U100" i="4" s="1"/>
  <c r="X100" i="4"/>
  <c r="I101" i="4"/>
  <c r="I101" i="9"/>
  <c r="G101" i="9"/>
  <c r="J101" i="9"/>
  <c r="B101" i="9"/>
  <c r="J101" i="4"/>
  <c r="F101" i="6"/>
  <c r="J101" i="6"/>
  <c r="H101" i="6"/>
  <c r="P101" i="6"/>
  <c r="Q101" i="6"/>
  <c r="W101" i="4" s="1"/>
  <c r="T101" i="6"/>
  <c r="L101" i="4" s="1"/>
  <c r="K101" i="6"/>
  <c r="O101" i="6"/>
  <c r="R101" i="6"/>
  <c r="S101" i="6"/>
  <c r="X101" i="4" s="1"/>
  <c r="U101" i="6"/>
  <c r="M101" i="4" s="1"/>
  <c r="AV101" i="8"/>
  <c r="O101" i="4" s="1"/>
  <c r="AW101" i="8"/>
  <c r="P101" i="4" s="1"/>
  <c r="AX101" i="8"/>
  <c r="Q101" i="4" s="1"/>
  <c r="AY101" i="8"/>
  <c r="R101" i="4" s="1"/>
  <c r="M101" i="9"/>
  <c r="U101" i="4" s="1"/>
  <c r="I102" i="9"/>
  <c r="G102" i="9"/>
  <c r="J102" i="9"/>
  <c r="B102" i="9"/>
  <c r="J102" i="4"/>
  <c r="K102" i="4"/>
  <c r="F102" i="6"/>
  <c r="J102" i="6"/>
  <c r="P102" i="6"/>
  <c r="Q102" i="6"/>
  <c r="W102" i="4" s="1"/>
  <c r="T102" i="6"/>
  <c r="L102" i="4" s="1"/>
  <c r="K102" i="6"/>
  <c r="O102" i="6"/>
  <c r="R102" i="6"/>
  <c r="S102" i="6"/>
  <c r="U102" i="6"/>
  <c r="M102" i="4" s="1"/>
  <c r="AV102" i="8"/>
  <c r="O102" i="4" s="1"/>
  <c r="AW102" i="8"/>
  <c r="P102" i="4" s="1"/>
  <c r="AX102" i="8"/>
  <c r="Q102" i="4" s="1"/>
  <c r="AY102" i="8"/>
  <c r="R102" i="4" s="1"/>
  <c r="M102" i="9"/>
  <c r="U102" i="4" s="1"/>
  <c r="V102" i="4"/>
  <c r="X102" i="4"/>
  <c r="I103" i="9"/>
  <c r="G103" i="9"/>
  <c r="J103" i="9"/>
  <c r="B103" i="9"/>
  <c r="J103" i="4"/>
  <c r="F103" i="6"/>
  <c r="J103" i="6"/>
  <c r="H103" i="6"/>
  <c r="P103" i="6"/>
  <c r="Q103" i="6"/>
  <c r="W103" i="4" s="1"/>
  <c r="T103" i="6"/>
  <c r="L103" i="4" s="1"/>
  <c r="K103" i="6"/>
  <c r="O103" i="6"/>
  <c r="R103" i="6"/>
  <c r="S103" i="6"/>
  <c r="X103" i="4" s="1"/>
  <c r="U103" i="6"/>
  <c r="M103" i="4" s="1"/>
  <c r="AV103" i="8"/>
  <c r="O103" i="4" s="1"/>
  <c r="AW103" i="8"/>
  <c r="P103" i="4" s="1"/>
  <c r="AX103" i="8"/>
  <c r="Q103" i="4" s="1"/>
  <c r="AY103" i="8"/>
  <c r="R103" i="4" s="1"/>
  <c r="M103" i="9"/>
  <c r="U103" i="4" s="1"/>
  <c r="I104" i="9"/>
  <c r="J104" i="9"/>
  <c r="B104" i="9"/>
  <c r="J104" i="4"/>
  <c r="T104" i="6"/>
  <c r="L104" i="4" s="1"/>
  <c r="U104" i="6"/>
  <c r="M104" i="4" s="1"/>
  <c r="AV104" i="8"/>
  <c r="O104" i="4" s="1"/>
  <c r="AW104" i="8"/>
  <c r="P104" i="4" s="1"/>
  <c r="AX104" i="8"/>
  <c r="Q104" i="4" s="1"/>
  <c r="AY104" i="8"/>
  <c r="R104" i="4" s="1"/>
  <c r="M104" i="9"/>
  <c r="U104" i="4" s="1"/>
  <c r="F104" i="6"/>
  <c r="Q104" i="6"/>
  <c r="W104" i="4" s="1"/>
  <c r="S104" i="6"/>
  <c r="X104" i="4" s="1"/>
  <c r="O104" i="8"/>
  <c r="U104" i="8" s="1"/>
  <c r="W104" i="8" s="1"/>
  <c r="J104" i="8"/>
  <c r="T104" i="3"/>
  <c r="P104" i="8" s="1"/>
  <c r="I105" i="4"/>
  <c r="I105" i="9"/>
  <c r="J105" i="9"/>
  <c r="B105" i="9"/>
  <c r="J105" i="4"/>
  <c r="T105" i="6"/>
  <c r="L105" i="4" s="1"/>
  <c r="U105" i="6"/>
  <c r="M105" i="4" s="1"/>
  <c r="AV105" i="8"/>
  <c r="O105" i="4" s="1"/>
  <c r="AW105" i="8"/>
  <c r="P105" i="4" s="1"/>
  <c r="AX105" i="8"/>
  <c r="Q105" i="4" s="1"/>
  <c r="AY105" i="8"/>
  <c r="R105" i="4" s="1"/>
  <c r="M105" i="9"/>
  <c r="U105" i="4"/>
  <c r="F105" i="6"/>
  <c r="Q105" i="6"/>
  <c r="W105" i="4" s="1"/>
  <c r="S105" i="6"/>
  <c r="X105" i="4" s="1"/>
  <c r="O105" i="8"/>
  <c r="U105" i="8" s="1"/>
  <c r="W105" i="8" s="1"/>
  <c r="J105" i="8"/>
  <c r="T105" i="3"/>
  <c r="P105" i="8" s="1"/>
  <c r="I106" i="9"/>
  <c r="J106" i="9"/>
  <c r="B106" i="9"/>
  <c r="J106" i="4"/>
  <c r="T106" i="6"/>
  <c r="L106" i="4" s="1"/>
  <c r="U106" i="6"/>
  <c r="M106" i="4" s="1"/>
  <c r="AV106" i="8"/>
  <c r="O106" i="4" s="1"/>
  <c r="AW106" i="8"/>
  <c r="P106" i="4" s="1"/>
  <c r="AX106" i="8"/>
  <c r="Q106" i="4" s="1"/>
  <c r="AY106" i="8"/>
  <c r="R106" i="4" s="1"/>
  <c r="M106" i="9"/>
  <c r="U106" i="4" s="1"/>
  <c r="F106" i="6"/>
  <c r="Q106" i="6"/>
  <c r="W106" i="4" s="1"/>
  <c r="S106" i="6"/>
  <c r="X106" i="4" s="1"/>
  <c r="O106" i="8"/>
  <c r="U106" i="8" s="1"/>
  <c r="W106" i="8" s="1"/>
  <c r="J106" i="8"/>
  <c r="T106" i="3"/>
  <c r="P106" i="8" s="1"/>
  <c r="I107" i="9"/>
  <c r="J107" i="9"/>
  <c r="B107" i="9"/>
  <c r="J107" i="4"/>
  <c r="T107" i="6"/>
  <c r="L107" i="4" s="1"/>
  <c r="U107" i="6"/>
  <c r="M107" i="4" s="1"/>
  <c r="AV107" i="8"/>
  <c r="O107" i="4" s="1"/>
  <c r="AW107" i="8"/>
  <c r="P107" i="4" s="1"/>
  <c r="AX107" i="8"/>
  <c r="Q107" i="4" s="1"/>
  <c r="AY107" i="8"/>
  <c r="R107" i="4" s="1"/>
  <c r="M107" i="9"/>
  <c r="U107" i="4" s="1"/>
  <c r="V107" i="4"/>
  <c r="F107" i="6"/>
  <c r="Q107" i="6"/>
  <c r="W107" i="4" s="1"/>
  <c r="S107" i="6"/>
  <c r="X107" i="4" s="1"/>
  <c r="O107" i="8"/>
  <c r="U107" i="8" s="1"/>
  <c r="W107" i="8" s="1"/>
  <c r="J107" i="8"/>
  <c r="T107" i="3"/>
  <c r="P107" i="8" s="1"/>
  <c r="I108" i="9"/>
  <c r="J108" i="9"/>
  <c r="B108" i="9"/>
  <c r="J108" i="4"/>
  <c r="T108" i="6"/>
  <c r="L108" i="4" s="1"/>
  <c r="U108" i="6"/>
  <c r="M108" i="4" s="1"/>
  <c r="AV108" i="8"/>
  <c r="O108" i="4" s="1"/>
  <c r="AW108" i="8"/>
  <c r="P108" i="4" s="1"/>
  <c r="AX108" i="8"/>
  <c r="Q108" i="4" s="1"/>
  <c r="AY108" i="8"/>
  <c r="R108" i="4" s="1"/>
  <c r="M108" i="9"/>
  <c r="U108" i="4" s="1"/>
  <c r="F108" i="6"/>
  <c r="Q108" i="6"/>
  <c r="W108" i="4" s="1"/>
  <c r="S108" i="6"/>
  <c r="X108" i="4" s="1"/>
  <c r="O108" i="8"/>
  <c r="U108" i="8" s="1"/>
  <c r="W108" i="8" s="1"/>
  <c r="J108" i="8"/>
  <c r="S108" i="8" s="1"/>
  <c r="T108" i="3"/>
  <c r="P108" i="8" s="1"/>
  <c r="I109" i="9"/>
  <c r="J109" i="9"/>
  <c r="B109" i="9"/>
  <c r="J109" i="4"/>
  <c r="T109" i="6"/>
  <c r="L109" i="4" s="1"/>
  <c r="U109" i="6"/>
  <c r="M109" i="4" s="1"/>
  <c r="AV109" i="8"/>
  <c r="O109" i="4" s="1"/>
  <c r="AW109" i="8"/>
  <c r="P109" i="4" s="1"/>
  <c r="AX109" i="8"/>
  <c r="Q109" i="4" s="1"/>
  <c r="AY109" i="8"/>
  <c r="R109" i="4" s="1"/>
  <c r="M109" i="9"/>
  <c r="U109" i="4" s="1"/>
  <c r="F109" i="6"/>
  <c r="Q109" i="6"/>
  <c r="W109" i="4" s="1"/>
  <c r="S109" i="6"/>
  <c r="X109" i="4" s="1"/>
  <c r="O109" i="8"/>
  <c r="U109" i="8" s="1"/>
  <c r="J109" i="8"/>
  <c r="T109" i="3"/>
  <c r="P109" i="8" s="1"/>
  <c r="I110" i="9"/>
  <c r="J110" i="9"/>
  <c r="B110" i="9"/>
  <c r="J110" i="4"/>
  <c r="T110" i="6"/>
  <c r="L110" i="4" s="1"/>
  <c r="U110" i="6"/>
  <c r="M110" i="4" s="1"/>
  <c r="AV110" i="8"/>
  <c r="O110" i="4" s="1"/>
  <c r="AW110" i="8"/>
  <c r="P110" i="4" s="1"/>
  <c r="AX110" i="8"/>
  <c r="Q110" i="4" s="1"/>
  <c r="AY110" i="8"/>
  <c r="R110" i="4" s="1"/>
  <c r="M110" i="9"/>
  <c r="U110" i="4" s="1"/>
  <c r="F110" i="6"/>
  <c r="Q110" i="6"/>
  <c r="W110" i="4" s="1"/>
  <c r="S110" i="6"/>
  <c r="X110" i="4" s="1"/>
  <c r="O110" i="8"/>
  <c r="U110" i="8" s="1"/>
  <c r="W110" i="8" s="1"/>
  <c r="J110" i="8"/>
  <c r="T110" i="3"/>
  <c r="P110" i="8" s="1"/>
  <c r="I111" i="9"/>
  <c r="J111" i="9"/>
  <c r="B111" i="9"/>
  <c r="J111" i="4"/>
  <c r="T111" i="6"/>
  <c r="L111" i="4" s="1"/>
  <c r="U111" i="6"/>
  <c r="M111" i="4" s="1"/>
  <c r="AV111" i="8"/>
  <c r="O111" i="4" s="1"/>
  <c r="AW111" i="8"/>
  <c r="P111" i="4" s="1"/>
  <c r="AX111" i="8"/>
  <c r="Q111" i="4" s="1"/>
  <c r="AY111" i="8"/>
  <c r="R111" i="4" s="1"/>
  <c r="M111" i="9"/>
  <c r="U111" i="4" s="1"/>
  <c r="F111" i="6"/>
  <c r="Q111" i="6"/>
  <c r="W111" i="4" s="1"/>
  <c r="S111" i="6"/>
  <c r="X111" i="4" s="1"/>
  <c r="O111" i="8"/>
  <c r="U111" i="8" s="1"/>
  <c r="W111" i="8" s="1"/>
  <c r="J111" i="8"/>
  <c r="T111" i="3"/>
  <c r="P111" i="8"/>
  <c r="I112" i="9"/>
  <c r="J112" i="9"/>
  <c r="B112" i="9"/>
  <c r="J112" i="4"/>
  <c r="T112" i="6"/>
  <c r="L112" i="4" s="1"/>
  <c r="U112" i="6"/>
  <c r="M112" i="4" s="1"/>
  <c r="AV112" i="8"/>
  <c r="O112" i="4" s="1"/>
  <c r="AW112" i="8"/>
  <c r="P112" i="4" s="1"/>
  <c r="AX112" i="8"/>
  <c r="Q112" i="4" s="1"/>
  <c r="AY112" i="8"/>
  <c r="R112" i="4" s="1"/>
  <c r="M112" i="9"/>
  <c r="U112" i="4" s="1"/>
  <c r="F112" i="6"/>
  <c r="Q112" i="6"/>
  <c r="W112" i="4" s="1"/>
  <c r="S112" i="6"/>
  <c r="X112" i="4" s="1"/>
  <c r="O112" i="8"/>
  <c r="U112" i="8" s="1"/>
  <c r="W112" i="8" s="1"/>
  <c r="J112" i="8"/>
  <c r="T112" i="3"/>
  <c r="K112" i="6" s="1"/>
  <c r="I113" i="9"/>
  <c r="J113" i="9"/>
  <c r="B113" i="9"/>
  <c r="J113" i="4"/>
  <c r="T113" i="6"/>
  <c r="L113" i="4" s="1"/>
  <c r="U113" i="6"/>
  <c r="M113" i="4" s="1"/>
  <c r="AV113" i="8"/>
  <c r="O113" i="4" s="1"/>
  <c r="AW113" i="8"/>
  <c r="P113" i="4" s="1"/>
  <c r="AX113" i="8"/>
  <c r="Q113" i="4" s="1"/>
  <c r="AY113" i="8"/>
  <c r="R113" i="4" s="1"/>
  <c r="M113" i="9"/>
  <c r="U113" i="4" s="1"/>
  <c r="F113" i="6"/>
  <c r="Q113" i="6"/>
  <c r="W113" i="4" s="1"/>
  <c r="S113" i="6"/>
  <c r="X113" i="4" s="1"/>
  <c r="O113" i="8"/>
  <c r="U113" i="8" s="1"/>
  <c r="W113" i="8"/>
  <c r="J113" i="8"/>
  <c r="T113" i="3"/>
  <c r="P113" i="8" s="1"/>
  <c r="I114" i="9"/>
  <c r="J114" i="9"/>
  <c r="B114" i="9"/>
  <c r="J114" i="4"/>
  <c r="T114" i="6"/>
  <c r="L114" i="4" s="1"/>
  <c r="U114" i="6"/>
  <c r="M114" i="4" s="1"/>
  <c r="AV114" i="8"/>
  <c r="O114" i="4" s="1"/>
  <c r="AW114" i="8"/>
  <c r="P114" i="4" s="1"/>
  <c r="AX114" i="8"/>
  <c r="Q114" i="4" s="1"/>
  <c r="AY114" i="8"/>
  <c r="R114" i="4" s="1"/>
  <c r="M114" i="9"/>
  <c r="U114" i="4" s="1"/>
  <c r="F114" i="6"/>
  <c r="Q114" i="6"/>
  <c r="W114" i="4" s="1"/>
  <c r="S114" i="6"/>
  <c r="X114" i="4" s="1"/>
  <c r="O114" i="8"/>
  <c r="U114" i="8" s="1"/>
  <c r="W114" i="8" s="1"/>
  <c r="J114" i="8"/>
  <c r="T114" i="3"/>
  <c r="P114" i="8" s="1"/>
  <c r="F115" i="4"/>
  <c r="I115" i="9"/>
  <c r="J115" i="9"/>
  <c r="B115" i="9"/>
  <c r="J115" i="4"/>
  <c r="T115" i="6"/>
  <c r="L115" i="4" s="1"/>
  <c r="U115" i="6"/>
  <c r="M115" i="4" s="1"/>
  <c r="AV115" i="8"/>
  <c r="O115" i="4" s="1"/>
  <c r="AW115" i="8"/>
  <c r="P115" i="4" s="1"/>
  <c r="AX115" i="8"/>
  <c r="Q115" i="4" s="1"/>
  <c r="AY115" i="8"/>
  <c r="R115" i="4" s="1"/>
  <c r="M115" i="9"/>
  <c r="U115" i="4" s="1"/>
  <c r="F115" i="6"/>
  <c r="Q115" i="6"/>
  <c r="W115" i="4" s="1"/>
  <c r="S115" i="6"/>
  <c r="X115" i="4" s="1"/>
  <c r="O115" i="8"/>
  <c r="U115" i="8"/>
  <c r="W115" i="8" s="1"/>
  <c r="J115" i="8"/>
  <c r="T115" i="3"/>
  <c r="P115" i="8" s="1"/>
  <c r="AI115" i="8"/>
  <c r="I116" i="9"/>
  <c r="J116" i="9"/>
  <c r="B116" i="9"/>
  <c r="J116" i="4"/>
  <c r="T116" i="6"/>
  <c r="L116" i="4" s="1"/>
  <c r="U116" i="6"/>
  <c r="M116" i="4" s="1"/>
  <c r="AV116" i="8"/>
  <c r="O116" i="4" s="1"/>
  <c r="AW116" i="8"/>
  <c r="P116" i="4" s="1"/>
  <c r="AX116" i="8"/>
  <c r="Q116" i="4" s="1"/>
  <c r="AY116" i="8"/>
  <c r="R116" i="4" s="1"/>
  <c r="M116" i="9"/>
  <c r="U116" i="4" s="1"/>
  <c r="F116" i="6"/>
  <c r="Q116" i="6"/>
  <c r="W116" i="4" s="1"/>
  <c r="S116" i="6"/>
  <c r="X116" i="4" s="1"/>
  <c r="O116" i="8"/>
  <c r="U116" i="8" s="1"/>
  <c r="W116" i="8" s="1"/>
  <c r="J116" i="8"/>
  <c r="T116" i="3"/>
  <c r="P116" i="8" s="1"/>
  <c r="I117" i="9"/>
  <c r="J117" i="9"/>
  <c r="B117" i="9"/>
  <c r="J117" i="4"/>
  <c r="T117" i="6"/>
  <c r="L117" i="4" s="1"/>
  <c r="U117" i="6"/>
  <c r="M117" i="4" s="1"/>
  <c r="AV117" i="8"/>
  <c r="O117" i="4" s="1"/>
  <c r="AW117" i="8"/>
  <c r="P117" i="4" s="1"/>
  <c r="AX117" i="8"/>
  <c r="Q117" i="4" s="1"/>
  <c r="AY117" i="8"/>
  <c r="R117" i="4" s="1"/>
  <c r="M117" i="9"/>
  <c r="U117" i="4" s="1"/>
  <c r="F117" i="6"/>
  <c r="Q117" i="6"/>
  <c r="W117" i="4" s="1"/>
  <c r="S117" i="6"/>
  <c r="X117" i="4" s="1"/>
  <c r="O117" i="8"/>
  <c r="U117" i="8"/>
  <c r="J117" i="8"/>
  <c r="T117" i="3"/>
  <c r="P117" i="8" s="1"/>
  <c r="I118" i="9"/>
  <c r="J118" i="9"/>
  <c r="B118" i="9"/>
  <c r="J118" i="4"/>
  <c r="T118" i="6"/>
  <c r="L118" i="4" s="1"/>
  <c r="U118" i="6"/>
  <c r="M118" i="4" s="1"/>
  <c r="AV118" i="8"/>
  <c r="O118" i="4" s="1"/>
  <c r="AW118" i="8"/>
  <c r="P118" i="4" s="1"/>
  <c r="AX118" i="8"/>
  <c r="Q118" i="4" s="1"/>
  <c r="AY118" i="8"/>
  <c r="R118" i="4" s="1"/>
  <c r="M118" i="9"/>
  <c r="U118" i="4" s="1"/>
  <c r="F118" i="6"/>
  <c r="Q118" i="6"/>
  <c r="W118" i="4" s="1"/>
  <c r="S118" i="6"/>
  <c r="X118" i="4" s="1"/>
  <c r="O118" i="8"/>
  <c r="U118" i="8" s="1"/>
  <c r="W118" i="8" s="1"/>
  <c r="J118" i="8"/>
  <c r="T118" i="3"/>
  <c r="P118" i="8" s="1"/>
  <c r="I119" i="9"/>
  <c r="J119" i="9"/>
  <c r="B119" i="9"/>
  <c r="J119" i="4"/>
  <c r="T119" i="6"/>
  <c r="L119" i="4" s="1"/>
  <c r="U119" i="6"/>
  <c r="M119" i="4" s="1"/>
  <c r="AV119" i="8"/>
  <c r="O119" i="4" s="1"/>
  <c r="AW119" i="8"/>
  <c r="P119" i="4" s="1"/>
  <c r="AX119" i="8"/>
  <c r="Q119" i="4" s="1"/>
  <c r="AY119" i="8"/>
  <c r="R119" i="4" s="1"/>
  <c r="M119" i="9"/>
  <c r="U119" i="4" s="1"/>
  <c r="F119" i="6"/>
  <c r="Q119" i="6"/>
  <c r="W119" i="4" s="1"/>
  <c r="S119" i="6"/>
  <c r="X119" i="4" s="1"/>
  <c r="O119" i="8"/>
  <c r="U119" i="8"/>
  <c r="W119" i="8"/>
  <c r="M119" i="8"/>
  <c r="J119" i="8"/>
  <c r="T119" i="3"/>
  <c r="P119" i="8" s="1"/>
  <c r="I120" i="9"/>
  <c r="J120" i="9"/>
  <c r="B120" i="9"/>
  <c r="J120" i="4"/>
  <c r="T120" i="6"/>
  <c r="L120" i="4" s="1"/>
  <c r="U120" i="6"/>
  <c r="M120" i="4" s="1"/>
  <c r="AV120" i="8"/>
  <c r="O120" i="4" s="1"/>
  <c r="AW120" i="8"/>
  <c r="P120" i="4" s="1"/>
  <c r="AX120" i="8"/>
  <c r="Q120" i="4" s="1"/>
  <c r="AY120" i="8"/>
  <c r="R120" i="4" s="1"/>
  <c r="M120" i="9"/>
  <c r="U120" i="4" s="1"/>
  <c r="F120" i="6"/>
  <c r="Q120" i="6"/>
  <c r="W120" i="4" s="1"/>
  <c r="S120" i="6"/>
  <c r="X120" i="4" s="1"/>
  <c r="O120" i="8"/>
  <c r="U120" i="8"/>
  <c r="W120" i="8" s="1"/>
  <c r="Y120" i="8" s="1"/>
  <c r="J120" i="8"/>
  <c r="T120" i="3"/>
  <c r="P120" i="8" s="1"/>
  <c r="I121" i="9"/>
  <c r="J121" i="9"/>
  <c r="B121" i="9"/>
  <c r="J121" i="4"/>
  <c r="T121" i="6"/>
  <c r="L121" i="4" s="1"/>
  <c r="U121" i="6"/>
  <c r="M121" i="4" s="1"/>
  <c r="AV121" i="8"/>
  <c r="O121" i="4" s="1"/>
  <c r="AW121" i="8"/>
  <c r="P121" i="4" s="1"/>
  <c r="AX121" i="8"/>
  <c r="Q121" i="4" s="1"/>
  <c r="AY121" i="8"/>
  <c r="R121" i="4" s="1"/>
  <c r="M121" i="9"/>
  <c r="U121" i="4" s="1"/>
  <c r="F121" i="6"/>
  <c r="Q121" i="6"/>
  <c r="W121" i="4" s="1"/>
  <c r="S121" i="6"/>
  <c r="X121" i="4" s="1"/>
  <c r="O121" i="8"/>
  <c r="U121" i="8" s="1"/>
  <c r="J121" i="8"/>
  <c r="T121" i="3"/>
  <c r="P121" i="8"/>
  <c r="H122" i="4"/>
  <c r="I122" i="9"/>
  <c r="J122" i="9"/>
  <c r="B122" i="9"/>
  <c r="J122" i="4"/>
  <c r="T122" i="6"/>
  <c r="L122" i="4" s="1"/>
  <c r="U122" i="6"/>
  <c r="M122" i="4" s="1"/>
  <c r="AV122" i="8"/>
  <c r="O122" i="4" s="1"/>
  <c r="AW122" i="8"/>
  <c r="P122" i="4" s="1"/>
  <c r="AX122" i="8"/>
  <c r="Q122" i="4" s="1"/>
  <c r="AY122" i="8"/>
  <c r="R122" i="4" s="1"/>
  <c r="M122" i="9"/>
  <c r="U122" i="4" s="1"/>
  <c r="F122" i="6"/>
  <c r="Q122" i="6"/>
  <c r="W122" i="4" s="1"/>
  <c r="S122" i="6"/>
  <c r="X122" i="4" s="1"/>
  <c r="O122" i="8"/>
  <c r="U122" i="8" s="1"/>
  <c r="W122" i="8" s="1"/>
  <c r="M122" i="8"/>
  <c r="J122" i="8"/>
  <c r="T122" i="3"/>
  <c r="P122" i="8" s="1"/>
  <c r="I123" i="9"/>
  <c r="J123" i="9"/>
  <c r="B123" i="9"/>
  <c r="J123" i="4"/>
  <c r="T123" i="6"/>
  <c r="L123" i="4" s="1"/>
  <c r="U123" i="6"/>
  <c r="M123" i="4" s="1"/>
  <c r="AV123" i="8"/>
  <c r="O123" i="4" s="1"/>
  <c r="AW123" i="8"/>
  <c r="P123" i="4" s="1"/>
  <c r="AX123" i="8"/>
  <c r="Q123" i="4" s="1"/>
  <c r="AY123" i="8"/>
  <c r="R123" i="4" s="1"/>
  <c r="M123" i="9"/>
  <c r="U123" i="4" s="1"/>
  <c r="F123" i="6"/>
  <c r="Q123" i="6"/>
  <c r="W123" i="4" s="1"/>
  <c r="S123" i="6"/>
  <c r="X123" i="4" s="1"/>
  <c r="O123" i="8"/>
  <c r="U123" i="8" s="1"/>
  <c r="J123" i="8"/>
  <c r="T123" i="3"/>
  <c r="P123" i="8" s="1"/>
  <c r="I124" i="9"/>
  <c r="J124" i="9"/>
  <c r="B124" i="9"/>
  <c r="J124" i="4"/>
  <c r="T124" i="6"/>
  <c r="L124" i="4" s="1"/>
  <c r="U124" i="6"/>
  <c r="M124" i="4" s="1"/>
  <c r="AV124" i="8"/>
  <c r="O124" i="4" s="1"/>
  <c r="AW124" i="8"/>
  <c r="P124" i="4" s="1"/>
  <c r="AX124" i="8"/>
  <c r="Q124" i="4" s="1"/>
  <c r="AY124" i="8"/>
  <c r="R124" i="4" s="1"/>
  <c r="M124" i="9"/>
  <c r="U124" i="4" s="1"/>
  <c r="F124" i="6"/>
  <c r="Q124" i="6"/>
  <c r="W124" i="4" s="1"/>
  <c r="S124" i="6"/>
  <c r="X124" i="4" s="1"/>
  <c r="O124" i="8"/>
  <c r="U124" i="8" s="1"/>
  <c r="W124" i="8" s="1"/>
  <c r="J124" i="8"/>
  <c r="T124" i="3"/>
  <c r="P124" i="8" s="1"/>
  <c r="F125" i="4"/>
  <c r="I125" i="9"/>
  <c r="J125" i="9"/>
  <c r="B125" i="9"/>
  <c r="J125" i="4"/>
  <c r="K125" i="4"/>
  <c r="T125" i="6"/>
  <c r="L125" i="4" s="1"/>
  <c r="U125" i="6"/>
  <c r="M125" i="4" s="1"/>
  <c r="AV125" i="8"/>
  <c r="O125" i="4" s="1"/>
  <c r="AW125" i="8"/>
  <c r="P125" i="4" s="1"/>
  <c r="AX125" i="8"/>
  <c r="Q125" i="4" s="1"/>
  <c r="AY125" i="8"/>
  <c r="R125" i="4" s="1"/>
  <c r="M125" i="9"/>
  <c r="U125" i="4" s="1"/>
  <c r="V125" i="4"/>
  <c r="F125" i="6"/>
  <c r="Q125" i="6"/>
  <c r="W125" i="4" s="1"/>
  <c r="S125" i="6"/>
  <c r="X125" i="4" s="1"/>
  <c r="O125" i="8"/>
  <c r="U125" i="8" s="1"/>
  <c r="J125" i="8"/>
  <c r="T125" i="3"/>
  <c r="P125" i="8" s="1"/>
  <c r="I126" i="9"/>
  <c r="J126" i="9"/>
  <c r="B126" i="9"/>
  <c r="J126" i="4"/>
  <c r="T126" i="6"/>
  <c r="L126" i="4" s="1"/>
  <c r="U126" i="6"/>
  <c r="M126" i="4" s="1"/>
  <c r="AV126" i="8"/>
  <c r="O126" i="4" s="1"/>
  <c r="AW126" i="8"/>
  <c r="P126" i="4" s="1"/>
  <c r="AX126" i="8"/>
  <c r="Q126" i="4" s="1"/>
  <c r="AY126" i="8"/>
  <c r="R126" i="4" s="1"/>
  <c r="M126" i="9"/>
  <c r="U126" i="4" s="1"/>
  <c r="F126" i="6"/>
  <c r="Q126" i="6"/>
  <c r="W126" i="4" s="1"/>
  <c r="S126" i="6"/>
  <c r="X126" i="4" s="1"/>
  <c r="O126" i="8"/>
  <c r="U126" i="8" s="1"/>
  <c r="W126" i="8" s="1"/>
  <c r="J126" i="8"/>
  <c r="T126" i="3"/>
  <c r="P126" i="8"/>
  <c r="I127" i="9"/>
  <c r="J127" i="9"/>
  <c r="B127" i="9"/>
  <c r="J127" i="4"/>
  <c r="T127" i="6"/>
  <c r="L127" i="4" s="1"/>
  <c r="U127" i="6"/>
  <c r="M127" i="4" s="1"/>
  <c r="AV127" i="8"/>
  <c r="O127" i="4" s="1"/>
  <c r="AW127" i="8"/>
  <c r="P127" i="4" s="1"/>
  <c r="AX127" i="8"/>
  <c r="Q127" i="4" s="1"/>
  <c r="AY127" i="8"/>
  <c r="R127" i="4" s="1"/>
  <c r="M127" i="9"/>
  <c r="U127" i="4" s="1"/>
  <c r="F127" i="6"/>
  <c r="Q127" i="6"/>
  <c r="W127" i="4" s="1"/>
  <c r="S127" i="6"/>
  <c r="X127" i="4" s="1"/>
  <c r="O127" i="8"/>
  <c r="U127" i="8" s="1"/>
  <c r="W127" i="8" s="1"/>
  <c r="J127" i="8"/>
  <c r="T127" i="3"/>
  <c r="P127" i="8"/>
  <c r="I128" i="9"/>
  <c r="J128" i="9"/>
  <c r="B128" i="9"/>
  <c r="J128" i="4"/>
  <c r="T128" i="6"/>
  <c r="L128" i="4" s="1"/>
  <c r="U128" i="6"/>
  <c r="M128" i="4" s="1"/>
  <c r="AV128" i="8"/>
  <c r="O128" i="4" s="1"/>
  <c r="AW128" i="8"/>
  <c r="P128" i="4" s="1"/>
  <c r="AX128" i="8"/>
  <c r="Q128" i="4" s="1"/>
  <c r="AY128" i="8"/>
  <c r="R128" i="4" s="1"/>
  <c r="M128" i="9"/>
  <c r="U128" i="4" s="1"/>
  <c r="F128" i="6"/>
  <c r="Q128" i="6"/>
  <c r="W128" i="4" s="1"/>
  <c r="S128" i="6"/>
  <c r="X128" i="4" s="1"/>
  <c r="O128" i="8"/>
  <c r="U128" i="8"/>
  <c r="W128" i="8" s="1"/>
  <c r="Y128" i="8" s="1"/>
  <c r="J128" i="8"/>
  <c r="T128" i="3"/>
  <c r="P128" i="8" s="1"/>
  <c r="I129" i="9"/>
  <c r="J129" i="9"/>
  <c r="B129" i="9"/>
  <c r="J129" i="4"/>
  <c r="T129" i="6"/>
  <c r="L129" i="4" s="1"/>
  <c r="U129" i="6"/>
  <c r="M129" i="4" s="1"/>
  <c r="AV129" i="8"/>
  <c r="O129" i="4" s="1"/>
  <c r="AW129" i="8"/>
  <c r="P129" i="4" s="1"/>
  <c r="AX129" i="8"/>
  <c r="Q129" i="4" s="1"/>
  <c r="AY129" i="8"/>
  <c r="R129" i="4" s="1"/>
  <c r="M129" i="9"/>
  <c r="U129" i="4" s="1"/>
  <c r="F129" i="6"/>
  <c r="Q129" i="6"/>
  <c r="W129" i="4" s="1"/>
  <c r="S129" i="6"/>
  <c r="X129" i="4" s="1"/>
  <c r="O129" i="8"/>
  <c r="U129" i="8" s="1"/>
  <c r="J129" i="8"/>
  <c r="T129" i="3"/>
  <c r="P129" i="8" s="1"/>
  <c r="I130" i="9"/>
  <c r="J130" i="9"/>
  <c r="B130" i="9"/>
  <c r="J130" i="4"/>
  <c r="T130" i="6"/>
  <c r="L130" i="4" s="1"/>
  <c r="U130" i="6"/>
  <c r="M130" i="4" s="1"/>
  <c r="AV130" i="8"/>
  <c r="O130" i="4" s="1"/>
  <c r="AW130" i="8"/>
  <c r="P130" i="4" s="1"/>
  <c r="AX130" i="8"/>
  <c r="Q130" i="4" s="1"/>
  <c r="AY130" i="8"/>
  <c r="R130" i="4" s="1"/>
  <c r="M130" i="9"/>
  <c r="U130" i="4" s="1"/>
  <c r="F130" i="6"/>
  <c r="Q130" i="6"/>
  <c r="W130" i="4" s="1"/>
  <c r="S130" i="6"/>
  <c r="X130" i="4" s="1"/>
  <c r="O130" i="8"/>
  <c r="U130" i="8"/>
  <c r="J130" i="8"/>
  <c r="S130" i="8" s="1"/>
  <c r="T130" i="3"/>
  <c r="P130" i="8" s="1"/>
  <c r="I131" i="9"/>
  <c r="J131" i="9"/>
  <c r="B131" i="9"/>
  <c r="J131" i="4"/>
  <c r="T131" i="6"/>
  <c r="L131" i="4" s="1"/>
  <c r="U131" i="6"/>
  <c r="M131" i="4" s="1"/>
  <c r="AV131" i="8"/>
  <c r="O131" i="4" s="1"/>
  <c r="AW131" i="8"/>
  <c r="P131" i="4" s="1"/>
  <c r="AX131" i="8"/>
  <c r="Q131" i="4" s="1"/>
  <c r="AY131" i="8"/>
  <c r="R131" i="4" s="1"/>
  <c r="M131" i="9"/>
  <c r="U131" i="4" s="1"/>
  <c r="V131" i="4"/>
  <c r="F131" i="6"/>
  <c r="Q131" i="6"/>
  <c r="W131" i="4" s="1"/>
  <c r="S131" i="6"/>
  <c r="X131" i="4" s="1"/>
  <c r="O131" i="8"/>
  <c r="U131" i="8" s="1"/>
  <c r="J131" i="8"/>
  <c r="T131" i="3"/>
  <c r="P131" i="8" s="1"/>
  <c r="I132" i="9"/>
  <c r="J132" i="9"/>
  <c r="B132" i="9"/>
  <c r="J132" i="4"/>
  <c r="T132" i="6"/>
  <c r="L132" i="4" s="1"/>
  <c r="U132" i="6"/>
  <c r="M132" i="4" s="1"/>
  <c r="AV132" i="8"/>
  <c r="O132" i="4" s="1"/>
  <c r="AW132" i="8"/>
  <c r="P132" i="4" s="1"/>
  <c r="AX132" i="8"/>
  <c r="Q132" i="4" s="1"/>
  <c r="AY132" i="8"/>
  <c r="R132" i="4" s="1"/>
  <c r="M132" i="9"/>
  <c r="U132" i="4" s="1"/>
  <c r="F132" i="6"/>
  <c r="Q132" i="6"/>
  <c r="W132" i="4" s="1"/>
  <c r="S132" i="6"/>
  <c r="X132" i="4" s="1"/>
  <c r="O132" i="8"/>
  <c r="U132" i="8" s="1"/>
  <c r="W132" i="8" s="1"/>
  <c r="Y132" i="8" s="1"/>
  <c r="J132" i="8"/>
  <c r="T132" i="3"/>
  <c r="P132" i="8" s="1"/>
  <c r="I133" i="9"/>
  <c r="J133" i="9"/>
  <c r="B133" i="9"/>
  <c r="J133" i="4"/>
  <c r="T133" i="6"/>
  <c r="L133" i="4" s="1"/>
  <c r="U133" i="6"/>
  <c r="M133" i="4" s="1"/>
  <c r="AV133" i="8"/>
  <c r="O133" i="4" s="1"/>
  <c r="AW133" i="8"/>
  <c r="P133" i="4" s="1"/>
  <c r="AX133" i="8"/>
  <c r="Q133" i="4" s="1"/>
  <c r="AY133" i="8"/>
  <c r="R133" i="4" s="1"/>
  <c r="M133" i="9"/>
  <c r="U133" i="4" s="1"/>
  <c r="F133" i="6"/>
  <c r="Q133" i="6"/>
  <c r="W133" i="4" s="1"/>
  <c r="S133" i="6"/>
  <c r="X133" i="4" s="1"/>
  <c r="O133" i="8"/>
  <c r="U133" i="8" s="1"/>
  <c r="W133" i="8" s="1"/>
  <c r="J133" i="8"/>
  <c r="T133" i="3"/>
  <c r="P133" i="8" s="1"/>
  <c r="I134" i="9"/>
  <c r="J134" i="9"/>
  <c r="B134" i="9"/>
  <c r="J134" i="4"/>
  <c r="T134" i="6"/>
  <c r="L134" i="4" s="1"/>
  <c r="U134" i="6"/>
  <c r="M134" i="4" s="1"/>
  <c r="AV134" i="8"/>
  <c r="O134" i="4" s="1"/>
  <c r="AW134" i="8"/>
  <c r="P134" i="4" s="1"/>
  <c r="AX134" i="8"/>
  <c r="Q134" i="4" s="1"/>
  <c r="AY134" i="8"/>
  <c r="R134" i="4" s="1"/>
  <c r="M134" i="9"/>
  <c r="U134" i="4" s="1"/>
  <c r="F134" i="6"/>
  <c r="Q134" i="6"/>
  <c r="W134" i="4" s="1"/>
  <c r="S134" i="6"/>
  <c r="X134" i="4" s="1"/>
  <c r="O134" i="8"/>
  <c r="U134" i="8" s="1"/>
  <c r="J134" i="8"/>
  <c r="T134" i="3"/>
  <c r="P134" i="8" s="1"/>
  <c r="I135" i="9"/>
  <c r="J135" i="9"/>
  <c r="B135" i="9"/>
  <c r="J135" i="4"/>
  <c r="T135" i="6"/>
  <c r="L135" i="4" s="1"/>
  <c r="U135" i="6"/>
  <c r="M135" i="4" s="1"/>
  <c r="AV135" i="8"/>
  <c r="O135" i="4" s="1"/>
  <c r="AW135" i="8"/>
  <c r="P135" i="4" s="1"/>
  <c r="AX135" i="8"/>
  <c r="Q135" i="4" s="1"/>
  <c r="AY135" i="8"/>
  <c r="R135" i="4" s="1"/>
  <c r="M135" i="9"/>
  <c r="U135" i="4" s="1"/>
  <c r="F135" i="6"/>
  <c r="Q135" i="6"/>
  <c r="W135" i="4" s="1"/>
  <c r="S135" i="6"/>
  <c r="X135" i="4" s="1"/>
  <c r="O135" i="8"/>
  <c r="U135" i="8"/>
  <c r="W135" i="8"/>
  <c r="J135" i="8"/>
  <c r="T135" i="3"/>
  <c r="P135" i="8" s="1"/>
  <c r="I136" i="9"/>
  <c r="J136" i="9"/>
  <c r="B136" i="9"/>
  <c r="J136" i="4"/>
  <c r="F136" i="6"/>
  <c r="Q136" i="6"/>
  <c r="W136" i="4" s="1"/>
  <c r="T136" i="6"/>
  <c r="L136" i="4" s="1"/>
  <c r="S136" i="6"/>
  <c r="X136" i="4" s="1"/>
  <c r="U136" i="6"/>
  <c r="M136" i="4" s="1"/>
  <c r="AV136" i="8"/>
  <c r="O136" i="4" s="1"/>
  <c r="AW136" i="8"/>
  <c r="P136" i="4" s="1"/>
  <c r="AX136" i="8"/>
  <c r="Q136" i="4" s="1"/>
  <c r="AY136" i="8"/>
  <c r="R136" i="4" s="1"/>
  <c r="M136" i="9"/>
  <c r="U136" i="4" s="1"/>
  <c r="V136" i="4"/>
  <c r="I137" i="9"/>
  <c r="J137" i="9"/>
  <c r="B137" i="9"/>
  <c r="J137" i="4"/>
  <c r="T137" i="6"/>
  <c r="L137" i="4" s="1"/>
  <c r="U137" i="6"/>
  <c r="M137" i="4" s="1"/>
  <c r="AV137" i="8"/>
  <c r="O137" i="4" s="1"/>
  <c r="AW137" i="8"/>
  <c r="P137" i="4" s="1"/>
  <c r="AX137" i="8"/>
  <c r="Q137" i="4" s="1"/>
  <c r="AY137" i="8"/>
  <c r="R137" i="4" s="1"/>
  <c r="M137" i="9"/>
  <c r="U137" i="4" s="1"/>
  <c r="F137" i="6"/>
  <c r="Q137" i="6"/>
  <c r="W137" i="4" s="1"/>
  <c r="S137" i="6"/>
  <c r="X137" i="4" s="1"/>
  <c r="O137" i="8"/>
  <c r="U137" i="8" s="1"/>
  <c r="W137" i="8" s="1"/>
  <c r="J137" i="8"/>
  <c r="T137" i="3"/>
  <c r="P137" i="8" s="1"/>
  <c r="I138" i="9"/>
  <c r="J138" i="9"/>
  <c r="B138" i="9"/>
  <c r="J138" i="4"/>
  <c r="T138" i="6"/>
  <c r="L138" i="4" s="1"/>
  <c r="U138" i="6"/>
  <c r="M138" i="4" s="1"/>
  <c r="AV138" i="8"/>
  <c r="O138" i="4" s="1"/>
  <c r="AW138" i="8"/>
  <c r="P138" i="4" s="1"/>
  <c r="AX138" i="8"/>
  <c r="Q138" i="4" s="1"/>
  <c r="AY138" i="8"/>
  <c r="R138" i="4" s="1"/>
  <c r="M138" i="9"/>
  <c r="U138" i="4" s="1"/>
  <c r="F138" i="6"/>
  <c r="Q138" i="6"/>
  <c r="W138" i="4" s="1"/>
  <c r="S138" i="6"/>
  <c r="X138" i="4" s="1"/>
  <c r="O138" i="8"/>
  <c r="U138" i="8" s="1"/>
  <c r="W138" i="8" s="1"/>
  <c r="M138" i="8"/>
  <c r="J138" i="8"/>
  <c r="T138" i="3"/>
  <c r="P138" i="8" s="1"/>
  <c r="I139" i="4"/>
  <c r="I139" i="9"/>
  <c r="J139" i="9"/>
  <c r="B139" i="9"/>
  <c r="J139" i="4"/>
  <c r="T139" i="6"/>
  <c r="L139" i="4" s="1"/>
  <c r="U139" i="6"/>
  <c r="M139" i="4" s="1"/>
  <c r="AV139" i="8"/>
  <c r="O139" i="4" s="1"/>
  <c r="AW139" i="8"/>
  <c r="P139" i="4" s="1"/>
  <c r="AX139" i="8"/>
  <c r="Q139" i="4" s="1"/>
  <c r="AY139" i="8"/>
  <c r="R139" i="4" s="1"/>
  <c r="M139" i="9"/>
  <c r="U139" i="4" s="1"/>
  <c r="F139" i="6"/>
  <c r="Q139" i="6"/>
  <c r="W139" i="4" s="1"/>
  <c r="S139" i="6"/>
  <c r="X139" i="4" s="1"/>
  <c r="O139" i="8"/>
  <c r="U139" i="8"/>
  <c r="J139" i="8"/>
  <c r="T139" i="3"/>
  <c r="P139" i="8" s="1"/>
  <c r="AI139" i="8"/>
  <c r="I140" i="9"/>
  <c r="J140" i="9"/>
  <c r="B140" i="9"/>
  <c r="J140" i="4"/>
  <c r="T140" i="6"/>
  <c r="L140" i="4" s="1"/>
  <c r="U140" i="6"/>
  <c r="M140" i="4" s="1"/>
  <c r="AV140" i="8"/>
  <c r="O140" i="4" s="1"/>
  <c r="AW140" i="8"/>
  <c r="P140" i="4" s="1"/>
  <c r="AX140" i="8"/>
  <c r="Q140" i="4" s="1"/>
  <c r="AY140" i="8"/>
  <c r="R140" i="4" s="1"/>
  <c r="M140" i="9"/>
  <c r="U140" i="4" s="1"/>
  <c r="F140" i="6"/>
  <c r="Q140" i="6"/>
  <c r="W140" i="4" s="1"/>
  <c r="S140" i="6"/>
  <c r="X140" i="4" s="1"/>
  <c r="O140" i="8"/>
  <c r="U140" i="8" s="1"/>
  <c r="W140" i="8" s="1"/>
  <c r="M140" i="8"/>
  <c r="J140" i="8"/>
  <c r="T140" i="3"/>
  <c r="P140" i="8" s="1"/>
  <c r="F84" i="6"/>
  <c r="K84" i="6"/>
  <c r="O84" i="6"/>
  <c r="R84" i="6"/>
  <c r="S84" i="6"/>
  <c r="X84" i="4" s="1"/>
  <c r="J84" i="6"/>
  <c r="P84" i="6"/>
  <c r="Q84" i="6"/>
  <c r="W84" i="4" s="1"/>
  <c r="G84" i="9"/>
  <c r="M84" i="9"/>
  <c r="U84" i="4" s="1"/>
  <c r="AY84" i="8"/>
  <c r="R84" i="4" s="1"/>
  <c r="AX84" i="8"/>
  <c r="Q84" i="4" s="1"/>
  <c r="AW84" i="8"/>
  <c r="P84" i="4" s="1"/>
  <c r="AV84" i="8"/>
  <c r="O84" i="4" s="1"/>
  <c r="U84" i="6"/>
  <c r="M84" i="4" s="1"/>
  <c r="T84" i="6"/>
  <c r="L84" i="4" s="1"/>
  <c r="K84" i="4"/>
  <c r="I84" i="9"/>
  <c r="J84" i="9"/>
  <c r="B84" i="9"/>
  <c r="J84" i="4"/>
  <c r="I70" i="9"/>
  <c r="G70" i="9"/>
  <c r="J70" i="9"/>
  <c r="B70" i="9"/>
  <c r="J70" i="4"/>
  <c r="F70" i="6"/>
  <c r="J70" i="6"/>
  <c r="Q70" i="6"/>
  <c r="W70" i="4" s="1"/>
  <c r="T70" i="6"/>
  <c r="L70" i="4" s="1"/>
  <c r="K70" i="6"/>
  <c r="O70" i="6"/>
  <c r="R70" i="6"/>
  <c r="S70" i="6"/>
  <c r="X70" i="4" s="1"/>
  <c r="U70" i="6"/>
  <c r="M70" i="4" s="1"/>
  <c r="AV70" i="8"/>
  <c r="O70" i="4" s="1"/>
  <c r="AW70" i="8"/>
  <c r="P70" i="4" s="1"/>
  <c r="AX70" i="8"/>
  <c r="Q70" i="4" s="1"/>
  <c r="AY70" i="8"/>
  <c r="R70" i="4" s="1"/>
  <c r="M70" i="9"/>
  <c r="U70" i="4" s="1"/>
  <c r="I71" i="9"/>
  <c r="G71" i="9"/>
  <c r="J71" i="9"/>
  <c r="B71" i="9"/>
  <c r="J71" i="4"/>
  <c r="F71" i="6"/>
  <c r="J71" i="6"/>
  <c r="Q71" i="6"/>
  <c r="W71" i="4" s="1"/>
  <c r="T71" i="6"/>
  <c r="L71" i="4" s="1"/>
  <c r="K71" i="6"/>
  <c r="O71" i="6"/>
  <c r="R71" i="6"/>
  <c r="S71" i="6"/>
  <c r="X71" i="4" s="1"/>
  <c r="U71" i="6"/>
  <c r="M71" i="4" s="1"/>
  <c r="AV71" i="8"/>
  <c r="O71" i="4" s="1"/>
  <c r="AW71" i="8"/>
  <c r="P71" i="4" s="1"/>
  <c r="AX71" i="8"/>
  <c r="Q71" i="4" s="1"/>
  <c r="AY71" i="8"/>
  <c r="R71" i="4" s="1"/>
  <c r="M71" i="9"/>
  <c r="U71" i="4" s="1"/>
  <c r="I72" i="9"/>
  <c r="G72" i="9"/>
  <c r="J72" i="9"/>
  <c r="B72" i="9"/>
  <c r="J72" i="4"/>
  <c r="F72" i="6"/>
  <c r="J72" i="6"/>
  <c r="Q72" i="6"/>
  <c r="W72" i="4" s="1"/>
  <c r="T72" i="6"/>
  <c r="L72" i="4" s="1"/>
  <c r="K72" i="6"/>
  <c r="O72" i="6"/>
  <c r="R72" i="6"/>
  <c r="S72" i="6"/>
  <c r="X72" i="4" s="1"/>
  <c r="U72" i="6"/>
  <c r="M72" i="4" s="1"/>
  <c r="AV72" i="8"/>
  <c r="O72" i="4" s="1"/>
  <c r="AW72" i="8"/>
  <c r="P72" i="4" s="1"/>
  <c r="AX72" i="8"/>
  <c r="Q72" i="4" s="1"/>
  <c r="AY72" i="8"/>
  <c r="R72" i="4" s="1"/>
  <c r="M72" i="9"/>
  <c r="U72" i="4" s="1"/>
  <c r="I73" i="9"/>
  <c r="G73" i="9"/>
  <c r="J73" i="9"/>
  <c r="B73" i="9"/>
  <c r="J73" i="4"/>
  <c r="F73" i="6"/>
  <c r="J73" i="6"/>
  <c r="Q73" i="6"/>
  <c r="W73" i="4" s="1"/>
  <c r="T73" i="6"/>
  <c r="L73" i="4" s="1"/>
  <c r="K73" i="6"/>
  <c r="O73" i="6"/>
  <c r="R73" i="6"/>
  <c r="S73" i="6"/>
  <c r="X73" i="4" s="1"/>
  <c r="U73" i="6"/>
  <c r="M73" i="4" s="1"/>
  <c r="AV73" i="8"/>
  <c r="O73" i="4" s="1"/>
  <c r="AW73" i="8"/>
  <c r="P73" i="4" s="1"/>
  <c r="AX73" i="8"/>
  <c r="Q73" i="4" s="1"/>
  <c r="AY73" i="8"/>
  <c r="R73" i="4" s="1"/>
  <c r="M73" i="9"/>
  <c r="U73" i="4" s="1"/>
  <c r="I74" i="9"/>
  <c r="G74" i="9"/>
  <c r="J74" i="9"/>
  <c r="B74" i="9"/>
  <c r="J74" i="4"/>
  <c r="F74" i="6"/>
  <c r="J74" i="6"/>
  <c r="Q74" i="6"/>
  <c r="W74" i="4" s="1"/>
  <c r="T74" i="6"/>
  <c r="L74" i="4" s="1"/>
  <c r="K74" i="6"/>
  <c r="O74" i="6"/>
  <c r="R74" i="6"/>
  <c r="S74" i="6"/>
  <c r="X74" i="4" s="1"/>
  <c r="U74" i="6"/>
  <c r="M74" i="4" s="1"/>
  <c r="AV74" i="8"/>
  <c r="O74" i="4" s="1"/>
  <c r="AW74" i="8"/>
  <c r="P74" i="4" s="1"/>
  <c r="AX74" i="8"/>
  <c r="Q74" i="4" s="1"/>
  <c r="AY74" i="8"/>
  <c r="R74" i="4" s="1"/>
  <c r="M74" i="9"/>
  <c r="U74" i="4" s="1"/>
  <c r="I75" i="9"/>
  <c r="G75" i="9"/>
  <c r="J75" i="9"/>
  <c r="B75" i="9"/>
  <c r="J75" i="4"/>
  <c r="F75" i="6"/>
  <c r="J75" i="6"/>
  <c r="Q75" i="6"/>
  <c r="W75" i="4" s="1"/>
  <c r="T75" i="6"/>
  <c r="L75" i="4" s="1"/>
  <c r="K75" i="6"/>
  <c r="O75" i="6"/>
  <c r="R75" i="6"/>
  <c r="S75" i="6"/>
  <c r="X75" i="4" s="1"/>
  <c r="U75" i="6"/>
  <c r="M75" i="4" s="1"/>
  <c r="AV75" i="8"/>
  <c r="O75" i="4" s="1"/>
  <c r="AW75" i="8"/>
  <c r="P75" i="4" s="1"/>
  <c r="AX75" i="8"/>
  <c r="Q75" i="4" s="1"/>
  <c r="AY75" i="8"/>
  <c r="R75" i="4" s="1"/>
  <c r="M75" i="9"/>
  <c r="U75" i="4" s="1"/>
  <c r="I76" i="4"/>
  <c r="I76" i="9"/>
  <c r="G76" i="9"/>
  <c r="J76" i="9"/>
  <c r="B76" i="9"/>
  <c r="J76" i="4"/>
  <c r="F76" i="6"/>
  <c r="J76" i="6"/>
  <c r="Q76" i="6"/>
  <c r="W76" i="4" s="1"/>
  <c r="T76" i="6"/>
  <c r="L76" i="4" s="1"/>
  <c r="K76" i="6"/>
  <c r="O76" i="6"/>
  <c r="R76" i="6"/>
  <c r="S76" i="6"/>
  <c r="X76" i="4" s="1"/>
  <c r="U76" i="6"/>
  <c r="M76" i="4" s="1"/>
  <c r="AV76" i="8"/>
  <c r="O76" i="4" s="1"/>
  <c r="AW76" i="8"/>
  <c r="P76" i="4" s="1"/>
  <c r="AX76" i="8"/>
  <c r="Q76" i="4" s="1"/>
  <c r="AY76" i="8"/>
  <c r="R76" i="4" s="1"/>
  <c r="M76" i="9"/>
  <c r="U76" i="4" s="1"/>
  <c r="I77" i="9"/>
  <c r="G77" i="9"/>
  <c r="J77" i="9"/>
  <c r="B77" i="9"/>
  <c r="J77" i="4"/>
  <c r="F77" i="6"/>
  <c r="J77" i="6"/>
  <c r="Q77" i="6"/>
  <c r="W77" i="4" s="1"/>
  <c r="T77" i="6"/>
  <c r="L77" i="4" s="1"/>
  <c r="K77" i="6"/>
  <c r="O77" i="6"/>
  <c r="R77" i="6"/>
  <c r="S77" i="6"/>
  <c r="X77" i="4" s="1"/>
  <c r="U77" i="6"/>
  <c r="M77" i="4" s="1"/>
  <c r="AV77" i="8"/>
  <c r="O77" i="4" s="1"/>
  <c r="AW77" i="8"/>
  <c r="P77" i="4" s="1"/>
  <c r="AX77" i="8"/>
  <c r="Q77" i="4" s="1"/>
  <c r="AY77" i="8"/>
  <c r="R77" i="4" s="1"/>
  <c r="M77" i="9"/>
  <c r="U77" i="4" s="1"/>
  <c r="I78" i="9"/>
  <c r="G78" i="9"/>
  <c r="J78" i="9"/>
  <c r="B78" i="9"/>
  <c r="J78" i="4"/>
  <c r="F78" i="6"/>
  <c r="J78" i="6"/>
  <c r="Q78" i="6"/>
  <c r="W78" i="4" s="1"/>
  <c r="T78" i="6"/>
  <c r="L78" i="4" s="1"/>
  <c r="K78" i="6"/>
  <c r="O78" i="6"/>
  <c r="R78" i="6"/>
  <c r="S78" i="6"/>
  <c r="X78" i="4" s="1"/>
  <c r="U78" i="6"/>
  <c r="M78" i="4" s="1"/>
  <c r="AV78" i="8"/>
  <c r="O78" i="4" s="1"/>
  <c r="AW78" i="8"/>
  <c r="P78" i="4" s="1"/>
  <c r="AX78" i="8"/>
  <c r="Q78" i="4" s="1"/>
  <c r="AY78" i="8"/>
  <c r="R78" i="4" s="1"/>
  <c r="M78" i="9"/>
  <c r="U78" i="4" s="1"/>
  <c r="I79" i="9"/>
  <c r="G79" i="9"/>
  <c r="J79" i="9"/>
  <c r="B79" i="9"/>
  <c r="J79" i="4"/>
  <c r="F79" i="6"/>
  <c r="J79" i="6"/>
  <c r="Q79" i="6"/>
  <c r="W79" i="4" s="1"/>
  <c r="T79" i="6"/>
  <c r="L79" i="4" s="1"/>
  <c r="K79" i="6"/>
  <c r="O79" i="6"/>
  <c r="R79" i="6"/>
  <c r="S79" i="6"/>
  <c r="X79" i="4" s="1"/>
  <c r="U79" i="6"/>
  <c r="M79" i="4" s="1"/>
  <c r="AV79" i="8"/>
  <c r="O79" i="4" s="1"/>
  <c r="AW79" i="8"/>
  <c r="P79" i="4" s="1"/>
  <c r="AX79" i="8"/>
  <c r="Q79" i="4" s="1"/>
  <c r="AY79" i="8"/>
  <c r="R79" i="4" s="1"/>
  <c r="M79" i="9"/>
  <c r="U79" i="4" s="1"/>
  <c r="I80" i="9"/>
  <c r="G80" i="9"/>
  <c r="J80" i="9"/>
  <c r="B80" i="9"/>
  <c r="J80" i="4"/>
  <c r="F80" i="6"/>
  <c r="J80" i="6"/>
  <c r="Q80" i="6"/>
  <c r="W80" i="4" s="1"/>
  <c r="T80" i="6"/>
  <c r="L80" i="4" s="1"/>
  <c r="K80" i="6"/>
  <c r="O80" i="6"/>
  <c r="R80" i="6"/>
  <c r="S80" i="6"/>
  <c r="X80" i="4" s="1"/>
  <c r="U80" i="6"/>
  <c r="M80" i="4" s="1"/>
  <c r="AV80" i="8"/>
  <c r="O80" i="4" s="1"/>
  <c r="AW80" i="8"/>
  <c r="P80" i="4" s="1"/>
  <c r="AX80" i="8"/>
  <c r="Q80" i="4" s="1"/>
  <c r="AY80" i="8"/>
  <c r="R80" i="4" s="1"/>
  <c r="M80" i="9"/>
  <c r="U80" i="4" s="1"/>
  <c r="I81" i="9"/>
  <c r="G81" i="9"/>
  <c r="J81" i="9"/>
  <c r="B81" i="9"/>
  <c r="J81" i="4"/>
  <c r="F81" i="6"/>
  <c r="J81" i="6"/>
  <c r="Q81" i="6"/>
  <c r="W81" i="4" s="1"/>
  <c r="T81" i="6"/>
  <c r="L81" i="4" s="1"/>
  <c r="K81" i="6"/>
  <c r="O81" i="6"/>
  <c r="R81" i="6"/>
  <c r="S81" i="6"/>
  <c r="X81" i="4" s="1"/>
  <c r="U81" i="6"/>
  <c r="M81" i="4" s="1"/>
  <c r="AV81" i="8"/>
  <c r="O81" i="4" s="1"/>
  <c r="AW81" i="8"/>
  <c r="P81" i="4" s="1"/>
  <c r="AX81" i="8"/>
  <c r="Q81" i="4" s="1"/>
  <c r="AY81" i="8"/>
  <c r="R81" i="4" s="1"/>
  <c r="M81" i="9"/>
  <c r="U81" i="4" s="1"/>
  <c r="I82" i="9"/>
  <c r="J82" i="9"/>
  <c r="B82" i="9"/>
  <c r="J82" i="4"/>
  <c r="F82" i="6"/>
  <c r="J82" i="6"/>
  <c r="Q82" i="6"/>
  <c r="W82" i="4" s="1"/>
  <c r="T82" i="6"/>
  <c r="L82" i="4" s="1"/>
  <c r="K82" i="6"/>
  <c r="O82" i="6"/>
  <c r="R82" i="6"/>
  <c r="S82" i="6"/>
  <c r="X82" i="4" s="1"/>
  <c r="U82" i="6"/>
  <c r="M82" i="4" s="1"/>
  <c r="AV82" i="8"/>
  <c r="O82" i="4" s="1"/>
  <c r="AW82" i="8"/>
  <c r="P82" i="4" s="1"/>
  <c r="AX82" i="8"/>
  <c r="Q82" i="4" s="1"/>
  <c r="AY82" i="8"/>
  <c r="R82" i="4" s="1"/>
  <c r="M82" i="9"/>
  <c r="U82" i="4" s="1"/>
  <c r="I66" i="9"/>
  <c r="J66" i="9"/>
  <c r="B66" i="9"/>
  <c r="J66" i="4"/>
  <c r="F66" i="6"/>
  <c r="J66" i="6"/>
  <c r="Q66" i="6"/>
  <c r="W66" i="4" s="1"/>
  <c r="T66" i="6"/>
  <c r="L66" i="4" s="1"/>
  <c r="K66" i="6"/>
  <c r="O66" i="6"/>
  <c r="R66" i="6"/>
  <c r="S66" i="6"/>
  <c r="X66" i="4" s="1"/>
  <c r="U66" i="6"/>
  <c r="M66" i="4" s="1"/>
  <c r="AV66" i="8"/>
  <c r="O66" i="4" s="1"/>
  <c r="AW66" i="8"/>
  <c r="P66" i="4" s="1"/>
  <c r="AX66" i="8"/>
  <c r="Q66" i="4" s="1"/>
  <c r="AY66" i="8"/>
  <c r="R66" i="4" s="1"/>
  <c r="I67" i="9"/>
  <c r="G67" i="9"/>
  <c r="J67" i="9"/>
  <c r="B67" i="9"/>
  <c r="J67" i="4"/>
  <c r="F67" i="6"/>
  <c r="J67" i="6"/>
  <c r="Q67" i="6"/>
  <c r="W67" i="4" s="1"/>
  <c r="T67" i="6"/>
  <c r="L67" i="4" s="1"/>
  <c r="K67" i="6"/>
  <c r="O67" i="6"/>
  <c r="R67" i="6"/>
  <c r="S67" i="6"/>
  <c r="X67" i="4" s="1"/>
  <c r="U67" i="6"/>
  <c r="M67" i="4" s="1"/>
  <c r="AV67" i="8"/>
  <c r="O67" i="4" s="1"/>
  <c r="AW67" i="8"/>
  <c r="P67" i="4" s="1"/>
  <c r="AX67" i="8"/>
  <c r="Q67" i="4" s="1"/>
  <c r="AY67" i="8"/>
  <c r="R67" i="4" s="1"/>
  <c r="G64" i="9"/>
  <c r="M64" i="9"/>
  <c r="U64" i="4" s="1"/>
  <c r="F64" i="6"/>
  <c r="J64" i="6"/>
  <c r="Q64" i="6"/>
  <c r="W64" i="4" s="1"/>
  <c r="K64" i="6"/>
  <c r="O64" i="6"/>
  <c r="R64" i="6"/>
  <c r="S64" i="6"/>
  <c r="X64" i="4" s="1"/>
  <c r="G65" i="9"/>
  <c r="M65" i="9"/>
  <c r="U65" i="4" s="1"/>
  <c r="F65" i="6"/>
  <c r="J65" i="6"/>
  <c r="Q65" i="6"/>
  <c r="W65" i="4" s="1"/>
  <c r="K65" i="6"/>
  <c r="O65" i="6"/>
  <c r="R65" i="6"/>
  <c r="S65" i="6"/>
  <c r="X65" i="4" s="1"/>
  <c r="M66" i="9"/>
  <c r="U66" i="4" s="1"/>
  <c r="M67" i="9"/>
  <c r="U67" i="4" s="1"/>
  <c r="I50" i="9"/>
  <c r="J50" i="9"/>
  <c r="B50" i="9"/>
  <c r="J50" i="4"/>
  <c r="F50" i="6"/>
  <c r="J50" i="6"/>
  <c r="Q50" i="6"/>
  <c r="W50" i="4" s="1"/>
  <c r="T50" i="6"/>
  <c r="L50" i="4" s="1"/>
  <c r="K50" i="6"/>
  <c r="O50" i="6"/>
  <c r="R50" i="6"/>
  <c r="S50" i="6"/>
  <c r="X50" i="4" s="1"/>
  <c r="U50" i="6"/>
  <c r="M50" i="4" s="1"/>
  <c r="AV50" i="8"/>
  <c r="O50" i="4" s="1"/>
  <c r="AW50" i="8"/>
  <c r="P50" i="4" s="1"/>
  <c r="AX50" i="8"/>
  <c r="Q50" i="4" s="1"/>
  <c r="AY50" i="8"/>
  <c r="R50" i="4" s="1"/>
  <c r="M50" i="9"/>
  <c r="U50" i="4" s="1"/>
  <c r="I51" i="9"/>
  <c r="G51" i="9"/>
  <c r="J51" i="9"/>
  <c r="B51" i="9"/>
  <c r="J51" i="4"/>
  <c r="F51" i="6"/>
  <c r="J51" i="6"/>
  <c r="Q51" i="6"/>
  <c r="W51" i="4" s="1"/>
  <c r="T51" i="6"/>
  <c r="L51" i="4" s="1"/>
  <c r="K51" i="6"/>
  <c r="O51" i="6"/>
  <c r="R51" i="6"/>
  <c r="S51" i="6"/>
  <c r="X51" i="4" s="1"/>
  <c r="U51" i="6"/>
  <c r="M51" i="4" s="1"/>
  <c r="AV51" i="8"/>
  <c r="O51" i="4" s="1"/>
  <c r="AW51" i="8"/>
  <c r="P51" i="4" s="1"/>
  <c r="AX51" i="8"/>
  <c r="Q51" i="4" s="1"/>
  <c r="AY51" i="8"/>
  <c r="R51" i="4" s="1"/>
  <c r="M51" i="9"/>
  <c r="U51" i="4" s="1"/>
  <c r="I52" i="9"/>
  <c r="G52" i="9"/>
  <c r="J52" i="9"/>
  <c r="B52" i="9"/>
  <c r="J52" i="4"/>
  <c r="K52" i="4"/>
  <c r="F52" i="6"/>
  <c r="J52" i="6"/>
  <c r="Q52" i="6"/>
  <c r="W52" i="4" s="1"/>
  <c r="T52" i="6"/>
  <c r="L52" i="4" s="1"/>
  <c r="K52" i="6"/>
  <c r="O52" i="6"/>
  <c r="R52" i="6"/>
  <c r="S52" i="6"/>
  <c r="X52" i="4" s="1"/>
  <c r="U52" i="6"/>
  <c r="M52" i="4" s="1"/>
  <c r="AV52" i="8"/>
  <c r="O52" i="4" s="1"/>
  <c r="AW52" i="8"/>
  <c r="P52" i="4" s="1"/>
  <c r="AX52" i="8"/>
  <c r="Q52" i="4" s="1"/>
  <c r="AY52" i="8"/>
  <c r="R52" i="4" s="1"/>
  <c r="M52" i="9"/>
  <c r="U52" i="4" s="1"/>
  <c r="I53" i="9"/>
  <c r="G53" i="9"/>
  <c r="J53" i="9"/>
  <c r="B53" i="9"/>
  <c r="J53" i="4"/>
  <c r="F53" i="6"/>
  <c r="J53" i="6"/>
  <c r="Q53" i="6"/>
  <c r="W53" i="4" s="1"/>
  <c r="T53" i="6"/>
  <c r="L53" i="4" s="1"/>
  <c r="K53" i="6"/>
  <c r="O53" i="6"/>
  <c r="R53" i="6"/>
  <c r="S53" i="6"/>
  <c r="X53" i="4" s="1"/>
  <c r="U53" i="6"/>
  <c r="M53" i="4" s="1"/>
  <c r="AV53" i="8"/>
  <c r="O53" i="4" s="1"/>
  <c r="AW53" i="8"/>
  <c r="P53" i="4" s="1"/>
  <c r="AX53" i="8"/>
  <c r="Q53" i="4" s="1"/>
  <c r="AY53" i="8"/>
  <c r="R53" i="4" s="1"/>
  <c r="M53" i="9"/>
  <c r="U53" i="4" s="1"/>
  <c r="I54" i="9"/>
  <c r="G54" i="9"/>
  <c r="J54" i="9"/>
  <c r="B54" i="9"/>
  <c r="J54" i="4"/>
  <c r="F54" i="6"/>
  <c r="J54" i="6"/>
  <c r="Q54" i="6"/>
  <c r="T54" i="6"/>
  <c r="L54" i="4" s="1"/>
  <c r="K54" i="6"/>
  <c r="O54" i="6"/>
  <c r="R54" i="6"/>
  <c r="S54" i="6"/>
  <c r="X54" i="4" s="1"/>
  <c r="U54" i="6"/>
  <c r="M54" i="4" s="1"/>
  <c r="AV54" i="8"/>
  <c r="O54" i="4" s="1"/>
  <c r="AW54" i="8"/>
  <c r="P54" i="4" s="1"/>
  <c r="AX54" i="8"/>
  <c r="Q54" i="4" s="1"/>
  <c r="AY54" i="8"/>
  <c r="R54" i="4" s="1"/>
  <c r="M54" i="9"/>
  <c r="U54" i="4" s="1"/>
  <c r="W54" i="4"/>
  <c r="I55" i="4"/>
  <c r="I55" i="9"/>
  <c r="G55" i="9"/>
  <c r="J55" i="9"/>
  <c r="B55" i="9"/>
  <c r="J55" i="4"/>
  <c r="F55" i="6"/>
  <c r="J55" i="6"/>
  <c r="Q55" i="6"/>
  <c r="W55" i="4" s="1"/>
  <c r="T55" i="6"/>
  <c r="L55" i="4" s="1"/>
  <c r="K55" i="6"/>
  <c r="O55" i="6"/>
  <c r="R55" i="6"/>
  <c r="S55" i="6"/>
  <c r="X55" i="4" s="1"/>
  <c r="U55" i="6"/>
  <c r="M55" i="4" s="1"/>
  <c r="AV55" i="8"/>
  <c r="O55" i="4" s="1"/>
  <c r="AW55" i="8"/>
  <c r="P55" i="4" s="1"/>
  <c r="AX55" i="8"/>
  <c r="Q55" i="4" s="1"/>
  <c r="AY55" i="8"/>
  <c r="R55" i="4" s="1"/>
  <c r="M55" i="9"/>
  <c r="U55" i="4" s="1"/>
  <c r="I56" i="9"/>
  <c r="G56" i="9"/>
  <c r="J56" i="9"/>
  <c r="B56" i="9"/>
  <c r="J56" i="4"/>
  <c r="F56" i="6"/>
  <c r="J56" i="6"/>
  <c r="Q56" i="6"/>
  <c r="W56" i="4" s="1"/>
  <c r="T56" i="6"/>
  <c r="L56" i="4" s="1"/>
  <c r="K56" i="6"/>
  <c r="O56" i="6"/>
  <c r="R56" i="6"/>
  <c r="S56" i="6"/>
  <c r="X56" i="4" s="1"/>
  <c r="U56" i="6"/>
  <c r="M56" i="4" s="1"/>
  <c r="AV56" i="8"/>
  <c r="O56" i="4" s="1"/>
  <c r="AW56" i="8"/>
  <c r="P56" i="4" s="1"/>
  <c r="AX56" i="8"/>
  <c r="Q56" i="4" s="1"/>
  <c r="AY56" i="8"/>
  <c r="R56" i="4" s="1"/>
  <c r="M56" i="9"/>
  <c r="U56" i="4" s="1"/>
  <c r="F57" i="6"/>
  <c r="J57" i="6"/>
  <c r="Q57" i="6"/>
  <c r="W57" i="4" s="1"/>
  <c r="K57" i="6"/>
  <c r="O57" i="6"/>
  <c r="R57" i="6"/>
  <c r="S57" i="6"/>
  <c r="X57" i="4" s="1"/>
  <c r="I57" i="9"/>
  <c r="G57" i="9"/>
  <c r="J57" i="9"/>
  <c r="B57" i="9"/>
  <c r="J57" i="4"/>
  <c r="K57" i="4"/>
  <c r="T57" i="6"/>
  <c r="L57" i="4" s="1"/>
  <c r="U57" i="6"/>
  <c r="M57" i="4" s="1"/>
  <c r="AV57" i="8"/>
  <c r="O57" i="4" s="1"/>
  <c r="AW57" i="8"/>
  <c r="P57" i="4" s="1"/>
  <c r="AX57" i="8"/>
  <c r="Q57" i="4" s="1"/>
  <c r="AY57" i="8"/>
  <c r="R57" i="4" s="1"/>
  <c r="M57" i="9"/>
  <c r="U57" i="4" s="1"/>
  <c r="I58" i="9"/>
  <c r="G58" i="9"/>
  <c r="J58" i="9"/>
  <c r="B58" i="9"/>
  <c r="J58" i="4"/>
  <c r="F58" i="6"/>
  <c r="J58" i="6"/>
  <c r="H58" i="6"/>
  <c r="Q58" i="6"/>
  <c r="W58" i="4" s="1"/>
  <c r="T58" i="6"/>
  <c r="L58" i="4" s="1"/>
  <c r="K58" i="6"/>
  <c r="O58" i="6"/>
  <c r="R58" i="6"/>
  <c r="S58" i="6"/>
  <c r="X58" i="4" s="1"/>
  <c r="U58" i="6"/>
  <c r="M58" i="4" s="1"/>
  <c r="AV58" i="8"/>
  <c r="O58" i="4" s="1"/>
  <c r="AW58" i="8"/>
  <c r="P58" i="4" s="1"/>
  <c r="AX58" i="8"/>
  <c r="Q58" i="4" s="1"/>
  <c r="AY58" i="8"/>
  <c r="R58" i="4" s="1"/>
  <c r="M58" i="9"/>
  <c r="U58" i="4" s="1"/>
  <c r="I59" i="9"/>
  <c r="G59" i="9"/>
  <c r="J59" i="9"/>
  <c r="B59" i="9"/>
  <c r="J59" i="4"/>
  <c r="F59" i="6"/>
  <c r="J59" i="6"/>
  <c r="Q59" i="6"/>
  <c r="W59" i="4" s="1"/>
  <c r="T59" i="6"/>
  <c r="L59" i="4" s="1"/>
  <c r="K59" i="6"/>
  <c r="O59" i="6"/>
  <c r="R59" i="6"/>
  <c r="S59" i="6"/>
  <c r="X59" i="4" s="1"/>
  <c r="U59" i="6"/>
  <c r="M59" i="4" s="1"/>
  <c r="AV59" i="8"/>
  <c r="O59" i="4" s="1"/>
  <c r="AW59" i="8"/>
  <c r="P59" i="4" s="1"/>
  <c r="AX59" i="8"/>
  <c r="Q59" i="4" s="1"/>
  <c r="AY59" i="8"/>
  <c r="R59" i="4" s="1"/>
  <c r="M59" i="9"/>
  <c r="U59" i="4" s="1"/>
  <c r="V59" i="4"/>
  <c r="I60" i="9"/>
  <c r="G60" i="9"/>
  <c r="J60" i="9"/>
  <c r="B60" i="9"/>
  <c r="J60" i="4"/>
  <c r="F60" i="6"/>
  <c r="J60" i="6"/>
  <c r="Q60" i="6"/>
  <c r="W60" i="4" s="1"/>
  <c r="T60" i="6"/>
  <c r="L60" i="4" s="1"/>
  <c r="K60" i="6"/>
  <c r="O60" i="6"/>
  <c r="R60" i="6"/>
  <c r="S60" i="6"/>
  <c r="X60" i="4" s="1"/>
  <c r="U60" i="6"/>
  <c r="M60" i="4" s="1"/>
  <c r="AV60" i="8"/>
  <c r="O60" i="4" s="1"/>
  <c r="AW60" i="8"/>
  <c r="P60" i="4" s="1"/>
  <c r="AX60" i="8"/>
  <c r="Q60" i="4" s="1"/>
  <c r="AY60" i="8"/>
  <c r="R60" i="4" s="1"/>
  <c r="M60" i="9"/>
  <c r="U60" i="4" s="1"/>
  <c r="I61" i="4"/>
  <c r="I61" i="9"/>
  <c r="G61" i="9"/>
  <c r="J61" i="9"/>
  <c r="B61" i="9"/>
  <c r="J61" i="4"/>
  <c r="F61" i="6"/>
  <c r="J61" i="6"/>
  <c r="Q61" i="6"/>
  <c r="W61" i="4" s="1"/>
  <c r="T61" i="6"/>
  <c r="L61" i="4" s="1"/>
  <c r="K61" i="6"/>
  <c r="O61" i="6"/>
  <c r="R61" i="6"/>
  <c r="S61" i="6"/>
  <c r="X61" i="4" s="1"/>
  <c r="U61" i="6"/>
  <c r="M61" i="4" s="1"/>
  <c r="AV61" i="8"/>
  <c r="O61" i="4" s="1"/>
  <c r="AW61" i="8"/>
  <c r="P61" i="4" s="1"/>
  <c r="AX61" i="8"/>
  <c r="Q61" i="4" s="1"/>
  <c r="AY61" i="8"/>
  <c r="R61" i="4" s="1"/>
  <c r="M61" i="9"/>
  <c r="U61" i="4" s="1"/>
  <c r="F62" i="4"/>
  <c r="I62" i="9"/>
  <c r="G62" i="9"/>
  <c r="J62" i="9"/>
  <c r="B62" i="9"/>
  <c r="J62" i="4"/>
  <c r="F62" i="6"/>
  <c r="J62" i="6"/>
  <c r="Q62" i="6"/>
  <c r="W62" i="4" s="1"/>
  <c r="T62" i="6"/>
  <c r="L62" i="4" s="1"/>
  <c r="K62" i="6"/>
  <c r="O62" i="6"/>
  <c r="R62" i="6"/>
  <c r="S62" i="6"/>
  <c r="X62" i="4" s="1"/>
  <c r="U62" i="6"/>
  <c r="M62" i="4" s="1"/>
  <c r="AV62" i="8"/>
  <c r="O62" i="4" s="1"/>
  <c r="AW62" i="8"/>
  <c r="P62" i="4" s="1"/>
  <c r="AX62" i="8"/>
  <c r="Q62" i="4" s="1"/>
  <c r="AY62" i="8"/>
  <c r="R62" i="4" s="1"/>
  <c r="M62" i="9"/>
  <c r="U62" i="4" s="1"/>
  <c r="J11" i="8"/>
  <c r="S11" i="3"/>
  <c r="O11" i="8" s="1"/>
  <c r="U11" i="8" s="1"/>
  <c r="M11" i="8"/>
  <c r="AI11" i="8"/>
  <c r="AV11" i="8"/>
  <c r="O11" i="4" s="1"/>
  <c r="AW11" i="8"/>
  <c r="P11" i="4" s="1"/>
  <c r="AX11" i="8"/>
  <c r="Q11" i="4" s="1"/>
  <c r="AY11" i="8"/>
  <c r="R11" i="4" s="1"/>
  <c r="D189" i="5"/>
  <c r="E189" i="5"/>
  <c r="P189" i="5" s="1"/>
  <c r="G189" i="6"/>
  <c r="J189" i="6"/>
  <c r="K189" i="6"/>
  <c r="N189" i="6"/>
  <c r="O189" i="6"/>
  <c r="P189" i="6"/>
  <c r="R189" i="6"/>
  <c r="F189" i="7"/>
  <c r="H189" i="8"/>
  <c r="I189" i="8"/>
  <c r="F189" i="9"/>
  <c r="G189" i="9"/>
  <c r="D178" i="5"/>
  <c r="E178" i="5"/>
  <c r="P178" i="5" s="1"/>
  <c r="D179" i="5"/>
  <c r="E179" i="5"/>
  <c r="G178" i="6"/>
  <c r="J178" i="6"/>
  <c r="K178" i="6"/>
  <c r="N178" i="6"/>
  <c r="O178" i="6"/>
  <c r="P178" i="6"/>
  <c r="R178" i="6"/>
  <c r="G179" i="6"/>
  <c r="J179" i="6"/>
  <c r="N179" i="6"/>
  <c r="O179" i="6"/>
  <c r="P179" i="6"/>
  <c r="R179" i="6"/>
  <c r="D178" i="7"/>
  <c r="F178" i="7"/>
  <c r="D179" i="7"/>
  <c r="F179" i="7"/>
  <c r="H178" i="8"/>
  <c r="I178" i="8"/>
  <c r="H179" i="8"/>
  <c r="I179" i="8"/>
  <c r="F178" i="9"/>
  <c r="G178" i="9"/>
  <c r="F179" i="9"/>
  <c r="G179" i="9"/>
  <c r="D177" i="5"/>
  <c r="E177" i="5"/>
  <c r="P177" i="5" s="1"/>
  <c r="G177" i="6"/>
  <c r="J177" i="6"/>
  <c r="K177" i="6"/>
  <c r="N177" i="6"/>
  <c r="O177" i="6"/>
  <c r="P177" i="6"/>
  <c r="R177" i="6"/>
  <c r="D177" i="7"/>
  <c r="F177" i="7"/>
  <c r="H177" i="8"/>
  <c r="I177" i="8"/>
  <c r="F177" i="9"/>
  <c r="G177" i="9"/>
  <c r="F170" i="9"/>
  <c r="G170" i="9"/>
  <c r="H170" i="8"/>
  <c r="I170" i="8"/>
  <c r="D170" i="7"/>
  <c r="F170" i="7"/>
  <c r="G170" i="6"/>
  <c r="J170" i="6"/>
  <c r="K170" i="6"/>
  <c r="N170" i="6"/>
  <c r="O170" i="6"/>
  <c r="P170" i="6"/>
  <c r="R170" i="6"/>
  <c r="D170" i="5"/>
  <c r="E170" i="5"/>
  <c r="P170" i="5" s="1"/>
  <c r="D163" i="5"/>
  <c r="E163" i="5"/>
  <c r="G163" i="6"/>
  <c r="H163" i="6"/>
  <c r="J163" i="6"/>
  <c r="K163" i="6"/>
  <c r="N163" i="6"/>
  <c r="O163" i="6"/>
  <c r="P163" i="6"/>
  <c r="R163" i="6"/>
  <c r="D163" i="7"/>
  <c r="F163" i="7"/>
  <c r="H163" i="8"/>
  <c r="I163" i="8"/>
  <c r="F163" i="9"/>
  <c r="G163" i="9"/>
  <c r="D156" i="5"/>
  <c r="E156" i="5"/>
  <c r="G156" i="6"/>
  <c r="J156" i="6"/>
  <c r="K156" i="6"/>
  <c r="N156" i="6"/>
  <c r="O156" i="6"/>
  <c r="P156" i="6"/>
  <c r="R156" i="6"/>
  <c r="F156" i="7"/>
  <c r="H156" i="8"/>
  <c r="F156" i="9"/>
  <c r="G156" i="9"/>
  <c r="N86" i="6"/>
  <c r="H86" i="8"/>
  <c r="R16" i="6"/>
  <c r="O302" i="6"/>
  <c r="R302" i="6"/>
  <c r="O301" i="6"/>
  <c r="R301" i="6"/>
  <c r="O300" i="6"/>
  <c r="R300" i="6"/>
  <c r="O299" i="6"/>
  <c r="R299" i="6"/>
  <c r="O298" i="6"/>
  <c r="R298" i="6"/>
  <c r="O297" i="6"/>
  <c r="R297" i="6"/>
  <c r="O296" i="6"/>
  <c r="R296" i="6"/>
  <c r="O295" i="6"/>
  <c r="R295" i="6"/>
  <c r="O294" i="6"/>
  <c r="R294" i="6"/>
  <c r="O293" i="6"/>
  <c r="R293" i="6"/>
  <c r="O292" i="6"/>
  <c r="R292" i="6"/>
  <c r="O291" i="6"/>
  <c r="R291" i="6"/>
  <c r="O290" i="6"/>
  <c r="R290" i="6"/>
  <c r="O289" i="6"/>
  <c r="R289" i="6"/>
  <c r="O288" i="6"/>
  <c r="R288" i="6"/>
  <c r="O287" i="6"/>
  <c r="R287" i="6"/>
  <c r="O286" i="6"/>
  <c r="R286" i="6"/>
  <c r="O285" i="6"/>
  <c r="R285" i="6"/>
  <c r="O284" i="6"/>
  <c r="R284" i="6"/>
  <c r="O283" i="6"/>
  <c r="R283" i="6"/>
  <c r="O282" i="6"/>
  <c r="R282" i="6"/>
  <c r="O281" i="6"/>
  <c r="R281" i="6"/>
  <c r="O280" i="6"/>
  <c r="R280" i="6"/>
  <c r="O279" i="6"/>
  <c r="R279" i="6"/>
  <c r="O278" i="6"/>
  <c r="R278" i="6"/>
  <c r="O277" i="6"/>
  <c r="R277" i="6"/>
  <c r="O267" i="6"/>
  <c r="R267" i="6"/>
  <c r="O266" i="6"/>
  <c r="R266" i="6"/>
  <c r="O265" i="6"/>
  <c r="R265" i="6"/>
  <c r="O264" i="6"/>
  <c r="R264" i="6"/>
  <c r="O263" i="6"/>
  <c r="R263" i="6"/>
  <c r="O244" i="6"/>
  <c r="R244" i="6"/>
  <c r="O243" i="6"/>
  <c r="R243" i="6"/>
  <c r="O242" i="6"/>
  <c r="R242" i="6"/>
  <c r="O241" i="6"/>
  <c r="R241" i="6"/>
  <c r="O240" i="6"/>
  <c r="R240" i="6"/>
  <c r="O239" i="6"/>
  <c r="R239" i="6"/>
  <c r="O238" i="6"/>
  <c r="R238" i="6"/>
  <c r="O237" i="6"/>
  <c r="R237" i="6"/>
  <c r="K236" i="6"/>
  <c r="O236" i="6"/>
  <c r="R236" i="6"/>
  <c r="O235" i="6"/>
  <c r="R235" i="6"/>
  <c r="O234" i="6"/>
  <c r="R234" i="6"/>
  <c r="K233" i="6"/>
  <c r="O233" i="6"/>
  <c r="R233" i="6"/>
  <c r="O232" i="6"/>
  <c r="R232" i="6"/>
  <c r="K231" i="6"/>
  <c r="O231" i="6"/>
  <c r="R231" i="6"/>
  <c r="K230" i="6"/>
  <c r="O230" i="6"/>
  <c r="R230" i="6"/>
  <c r="O229" i="6"/>
  <c r="R229" i="6"/>
  <c r="O228" i="6"/>
  <c r="R228" i="6"/>
  <c r="O227" i="6"/>
  <c r="R227" i="6"/>
  <c r="O226" i="6"/>
  <c r="R226" i="6"/>
  <c r="K225" i="6"/>
  <c r="O225" i="6"/>
  <c r="R225" i="6"/>
  <c r="O224" i="6"/>
  <c r="R224" i="6"/>
  <c r="O223" i="6"/>
  <c r="R223" i="6"/>
  <c r="O222" i="6"/>
  <c r="R222" i="6"/>
  <c r="K221" i="6"/>
  <c r="O221" i="6"/>
  <c r="R221" i="6"/>
  <c r="O220" i="6"/>
  <c r="R220" i="6"/>
  <c r="K219" i="6"/>
  <c r="O219" i="6"/>
  <c r="R219" i="6"/>
  <c r="K218" i="6"/>
  <c r="O218" i="6"/>
  <c r="R218" i="6"/>
  <c r="O217" i="6"/>
  <c r="R217" i="6"/>
  <c r="K216" i="6"/>
  <c r="O216" i="6"/>
  <c r="R216" i="6"/>
  <c r="O215" i="6"/>
  <c r="R215" i="6"/>
  <c r="O214" i="6"/>
  <c r="R214" i="6"/>
  <c r="O213" i="6"/>
  <c r="R213" i="6"/>
  <c r="O212" i="6"/>
  <c r="R212" i="6"/>
  <c r="O211" i="6"/>
  <c r="R211" i="6"/>
  <c r="O210" i="6"/>
  <c r="R210" i="6"/>
  <c r="O209" i="6"/>
  <c r="R209" i="6"/>
  <c r="O208" i="6"/>
  <c r="R208" i="6"/>
  <c r="K207" i="6"/>
  <c r="O207" i="6"/>
  <c r="R207" i="6"/>
  <c r="O206" i="6"/>
  <c r="R206" i="6"/>
  <c r="K205" i="6"/>
  <c r="O205" i="6"/>
  <c r="R205" i="6"/>
  <c r="O203" i="6"/>
  <c r="R203" i="6"/>
  <c r="O202" i="6"/>
  <c r="R202" i="6"/>
  <c r="O201" i="6"/>
  <c r="R201" i="6"/>
  <c r="O200" i="6"/>
  <c r="R200" i="6"/>
  <c r="O199" i="6"/>
  <c r="R199" i="6"/>
  <c r="O198" i="6"/>
  <c r="R198" i="6"/>
  <c r="O197" i="6"/>
  <c r="R197" i="6"/>
  <c r="O196" i="6"/>
  <c r="R196" i="6"/>
  <c r="O195" i="6"/>
  <c r="R195" i="6"/>
  <c r="O193" i="6"/>
  <c r="R193" i="6"/>
  <c r="O192" i="6"/>
  <c r="R192" i="6"/>
  <c r="O191" i="6"/>
  <c r="R191" i="6"/>
  <c r="O190" i="6"/>
  <c r="R190" i="6"/>
  <c r="O188" i="6"/>
  <c r="R188" i="6"/>
  <c r="O187" i="6"/>
  <c r="R187" i="6"/>
  <c r="O186" i="6"/>
  <c r="R186" i="6"/>
  <c r="O185" i="6"/>
  <c r="R185" i="6"/>
  <c r="O184" i="6"/>
  <c r="R184" i="6"/>
  <c r="O183" i="6"/>
  <c r="R183" i="6"/>
  <c r="O182" i="6"/>
  <c r="R182" i="6"/>
  <c r="O181" i="6"/>
  <c r="R181" i="6"/>
  <c r="O180" i="6"/>
  <c r="R180" i="6"/>
  <c r="O176" i="6"/>
  <c r="R176" i="6"/>
  <c r="O175" i="6"/>
  <c r="R175" i="6"/>
  <c r="O174" i="6"/>
  <c r="R174" i="6"/>
  <c r="O173" i="6"/>
  <c r="R173" i="6"/>
  <c r="O172" i="6"/>
  <c r="R172" i="6"/>
  <c r="O171" i="6"/>
  <c r="R171" i="6"/>
  <c r="O169" i="6"/>
  <c r="R169" i="6"/>
  <c r="O168" i="6"/>
  <c r="R168" i="6"/>
  <c r="O167" i="6"/>
  <c r="R167" i="6"/>
  <c r="O166" i="6"/>
  <c r="R166" i="6"/>
  <c r="O165" i="6"/>
  <c r="R165" i="6"/>
  <c r="O164" i="6"/>
  <c r="R164" i="6"/>
  <c r="O162" i="6"/>
  <c r="R162" i="6"/>
  <c r="O161" i="6"/>
  <c r="R161" i="6"/>
  <c r="O160" i="6"/>
  <c r="R160" i="6"/>
  <c r="O159" i="6"/>
  <c r="R159" i="6"/>
  <c r="O158" i="6"/>
  <c r="R158" i="6"/>
  <c r="O157" i="6"/>
  <c r="R157" i="6"/>
  <c r="O155" i="6"/>
  <c r="R155" i="6"/>
  <c r="O154" i="6"/>
  <c r="R154" i="6"/>
  <c r="O153" i="6"/>
  <c r="R153" i="6"/>
  <c r="K152" i="6"/>
  <c r="O152" i="6"/>
  <c r="R152" i="6"/>
  <c r="O151" i="6"/>
  <c r="R151" i="6"/>
  <c r="O150" i="6"/>
  <c r="R150" i="6"/>
  <c r="O149" i="6"/>
  <c r="R149" i="6"/>
  <c r="O148" i="6"/>
  <c r="R148" i="6"/>
  <c r="O147" i="6"/>
  <c r="R147" i="6"/>
  <c r="O146" i="6"/>
  <c r="R146" i="6"/>
  <c r="O145" i="6"/>
  <c r="R145" i="6"/>
  <c r="O144" i="6"/>
  <c r="R144" i="6"/>
  <c r="O143" i="6"/>
  <c r="R143" i="6"/>
  <c r="K142" i="6"/>
  <c r="O142" i="6"/>
  <c r="R142" i="6"/>
  <c r="O140" i="6"/>
  <c r="R140" i="6"/>
  <c r="O139" i="6"/>
  <c r="R139" i="6"/>
  <c r="O138" i="6"/>
  <c r="R138" i="6"/>
  <c r="O137" i="6"/>
  <c r="R137" i="6"/>
  <c r="O136" i="6"/>
  <c r="R136" i="6"/>
  <c r="O135" i="6"/>
  <c r="R135" i="6"/>
  <c r="O134" i="6"/>
  <c r="R134" i="6"/>
  <c r="O133" i="6"/>
  <c r="R133" i="6"/>
  <c r="O132" i="6"/>
  <c r="R132" i="6"/>
  <c r="O131" i="6"/>
  <c r="R131" i="6"/>
  <c r="O130" i="6"/>
  <c r="R130" i="6"/>
  <c r="O129" i="6"/>
  <c r="R129" i="6"/>
  <c r="O128" i="6"/>
  <c r="R128" i="6"/>
  <c r="O127" i="6"/>
  <c r="R127" i="6"/>
  <c r="O126" i="6"/>
  <c r="R126" i="6"/>
  <c r="O125" i="6"/>
  <c r="R125" i="6"/>
  <c r="O124" i="6"/>
  <c r="R124" i="6"/>
  <c r="O123" i="6"/>
  <c r="R123" i="6"/>
  <c r="O122" i="6"/>
  <c r="R122" i="6"/>
  <c r="O121" i="6"/>
  <c r="R121" i="6"/>
  <c r="O120" i="6"/>
  <c r="R120" i="6"/>
  <c r="O119" i="6"/>
  <c r="R119" i="6"/>
  <c r="O118" i="6"/>
  <c r="R118" i="6"/>
  <c r="O117" i="6"/>
  <c r="R117" i="6"/>
  <c r="O116" i="6"/>
  <c r="R116" i="6"/>
  <c r="O115" i="6"/>
  <c r="R115" i="6"/>
  <c r="O114" i="6"/>
  <c r="R114" i="6"/>
  <c r="O113" i="6"/>
  <c r="R113" i="6"/>
  <c r="O112" i="6"/>
  <c r="R112" i="6"/>
  <c r="O111" i="6"/>
  <c r="R111" i="6"/>
  <c r="O110" i="6"/>
  <c r="R110" i="6"/>
  <c r="O109" i="6"/>
  <c r="R109" i="6"/>
  <c r="O108" i="6"/>
  <c r="R108" i="6"/>
  <c r="O107" i="6"/>
  <c r="R107" i="6"/>
  <c r="O106" i="6"/>
  <c r="R106" i="6"/>
  <c r="O105" i="6"/>
  <c r="R105" i="6"/>
  <c r="O104" i="6"/>
  <c r="R104" i="6"/>
  <c r="K69" i="6"/>
  <c r="O69" i="6"/>
  <c r="R69" i="6"/>
  <c r="K68" i="6"/>
  <c r="O68" i="6"/>
  <c r="R68" i="6"/>
  <c r="K63" i="6"/>
  <c r="O63" i="6"/>
  <c r="R63" i="6"/>
  <c r="O48" i="6"/>
  <c r="R48" i="6"/>
  <c r="O47" i="6"/>
  <c r="R47" i="6"/>
  <c r="R46" i="6"/>
  <c r="O45" i="6"/>
  <c r="R45" i="6"/>
  <c r="O42" i="6"/>
  <c r="R42" i="6"/>
  <c r="O41" i="6"/>
  <c r="R41" i="6"/>
  <c r="O40" i="6"/>
  <c r="R40" i="6"/>
  <c r="O39" i="6"/>
  <c r="R39" i="6"/>
  <c r="O12" i="6"/>
  <c r="R12" i="6"/>
  <c r="O13" i="6"/>
  <c r="R13" i="6"/>
  <c r="K14" i="6"/>
  <c r="I14" i="6"/>
  <c r="R14" i="6"/>
  <c r="K15" i="6"/>
  <c r="O15" i="6"/>
  <c r="I15" i="6"/>
  <c r="R15" i="6"/>
  <c r="K20" i="6"/>
  <c r="I20" i="6"/>
  <c r="R20" i="6"/>
  <c r="R22" i="6"/>
  <c r="R24" i="6"/>
  <c r="O25" i="6"/>
  <c r="R25" i="6"/>
  <c r="O27" i="6"/>
  <c r="R27" i="6"/>
  <c r="O29" i="6"/>
  <c r="R29" i="6"/>
  <c r="R30" i="6"/>
  <c r="O31" i="6"/>
  <c r="R31" i="6"/>
  <c r="R32" i="6"/>
  <c r="O33" i="6"/>
  <c r="R33" i="6"/>
  <c r="R34" i="6"/>
  <c r="K35" i="6"/>
  <c r="O35" i="6"/>
  <c r="I35" i="6"/>
  <c r="R35" i="6"/>
  <c r="K36" i="6"/>
  <c r="I36" i="6"/>
  <c r="R36" i="6"/>
  <c r="O37" i="6"/>
  <c r="R37" i="6"/>
  <c r="O11" i="6"/>
  <c r="R11" i="6"/>
  <c r="B36" i="4"/>
  <c r="G36" i="4"/>
  <c r="G36" i="9"/>
  <c r="J36" i="9"/>
  <c r="H36" i="9"/>
  <c r="I36" i="9"/>
  <c r="B36" i="9"/>
  <c r="J36" i="4"/>
  <c r="K36" i="4"/>
  <c r="T36" i="6"/>
  <c r="L36" i="4" s="1"/>
  <c r="U36" i="6"/>
  <c r="M36" i="4" s="1"/>
  <c r="AV36" i="8"/>
  <c r="O36" i="4" s="1"/>
  <c r="AW36" i="8"/>
  <c r="P36" i="4" s="1"/>
  <c r="AX36" i="8"/>
  <c r="Q36" i="4" s="1"/>
  <c r="AY36" i="8"/>
  <c r="R36" i="4" s="1"/>
  <c r="M36" i="9"/>
  <c r="U36" i="4" s="1"/>
  <c r="V36" i="4"/>
  <c r="W36" i="4"/>
  <c r="X36" i="4"/>
  <c r="B37" i="4"/>
  <c r="J37" i="9"/>
  <c r="H37" i="9"/>
  <c r="I37" i="9"/>
  <c r="B37" i="9"/>
  <c r="J37" i="4"/>
  <c r="T37" i="6"/>
  <c r="L37" i="4" s="1"/>
  <c r="U37" i="6"/>
  <c r="M37" i="4" s="1"/>
  <c r="AV37" i="8"/>
  <c r="O37" i="4" s="1"/>
  <c r="AW37" i="8"/>
  <c r="P37" i="4" s="1"/>
  <c r="AX37" i="8"/>
  <c r="Q37" i="4" s="1"/>
  <c r="AY37" i="8"/>
  <c r="R37" i="4" s="1"/>
  <c r="M37" i="9"/>
  <c r="U37" i="4" s="1"/>
  <c r="I37" i="5"/>
  <c r="J37" i="5"/>
  <c r="K37" i="5"/>
  <c r="N37" i="5"/>
  <c r="O37" i="5"/>
  <c r="V37" i="4" s="1"/>
  <c r="F37" i="6"/>
  <c r="Q37" i="6"/>
  <c r="W37" i="4" s="1"/>
  <c r="S37" i="6"/>
  <c r="X37" i="4" s="1"/>
  <c r="O37" i="8"/>
  <c r="U37" i="8" s="1"/>
  <c r="M37" i="8"/>
  <c r="J37" i="8"/>
  <c r="P37" i="8"/>
  <c r="AI37" i="8"/>
  <c r="AJ37" i="8"/>
  <c r="E37" i="9"/>
  <c r="F37" i="9"/>
  <c r="G37" i="9"/>
  <c r="H36" i="8"/>
  <c r="H37" i="8"/>
  <c r="D37" i="7"/>
  <c r="F37" i="7"/>
  <c r="H36" i="6"/>
  <c r="J36" i="6"/>
  <c r="N36" i="6"/>
  <c r="P36" i="6"/>
  <c r="G37" i="6"/>
  <c r="H37" i="6"/>
  <c r="I37" i="6"/>
  <c r="J37" i="6"/>
  <c r="K37" i="6"/>
  <c r="P37" i="6"/>
  <c r="P36" i="5"/>
  <c r="D37" i="5"/>
  <c r="E37" i="5"/>
  <c r="L37" i="5"/>
  <c r="M37" i="5"/>
  <c r="B34" i="4"/>
  <c r="H34" i="9"/>
  <c r="I34" i="9"/>
  <c r="J34" i="9"/>
  <c r="B34" i="9"/>
  <c r="J34" i="4"/>
  <c r="K34" i="4"/>
  <c r="T34" i="6"/>
  <c r="L34" i="4" s="1"/>
  <c r="U34" i="6"/>
  <c r="M34" i="4" s="1"/>
  <c r="AV34" i="8"/>
  <c r="O34" i="4" s="1"/>
  <c r="AW34" i="8"/>
  <c r="P34" i="4" s="1"/>
  <c r="AX34" i="8"/>
  <c r="Q34" i="4" s="1"/>
  <c r="AY34" i="8"/>
  <c r="R34" i="4" s="1"/>
  <c r="M34" i="9"/>
  <c r="U34" i="4" s="1"/>
  <c r="I34" i="5"/>
  <c r="J34" i="5"/>
  <c r="K34" i="5"/>
  <c r="N34" i="5"/>
  <c r="O34" i="5"/>
  <c r="V34" i="4" s="1"/>
  <c r="F34" i="6"/>
  <c r="Q34" i="6"/>
  <c r="W34" i="4" s="1"/>
  <c r="S34" i="6"/>
  <c r="X34" i="4" s="1"/>
  <c r="O34" i="8"/>
  <c r="U34" i="8"/>
  <c r="W34" i="8" s="1"/>
  <c r="M34" i="8"/>
  <c r="V34" i="8" s="1"/>
  <c r="X34" i="8" s="1"/>
  <c r="J34" i="8"/>
  <c r="R34" i="8" s="1"/>
  <c r="P34" i="8"/>
  <c r="AI34" i="8"/>
  <c r="AJ34" i="8"/>
  <c r="B31" i="4"/>
  <c r="I31" i="4"/>
  <c r="H31" i="9"/>
  <c r="I31" i="9"/>
  <c r="J31" i="9"/>
  <c r="B31" i="9"/>
  <c r="J31" i="4"/>
  <c r="T31" i="6"/>
  <c r="L31" i="4" s="1"/>
  <c r="U31" i="6"/>
  <c r="M31" i="4" s="1"/>
  <c r="AV31" i="8"/>
  <c r="O31" i="4" s="1"/>
  <c r="AW31" i="8"/>
  <c r="P31" i="4" s="1"/>
  <c r="AX31" i="8"/>
  <c r="Q31" i="4" s="1"/>
  <c r="AY31" i="8"/>
  <c r="R31" i="4" s="1"/>
  <c r="M31" i="9"/>
  <c r="U31" i="4" s="1"/>
  <c r="I31" i="5"/>
  <c r="J31" i="5"/>
  <c r="K31" i="5"/>
  <c r="N31" i="5"/>
  <c r="O31" i="5"/>
  <c r="V31" i="4" s="1"/>
  <c r="F31" i="6"/>
  <c r="Q31" i="6"/>
  <c r="W31" i="4" s="1"/>
  <c r="S31" i="6"/>
  <c r="X31" i="4" s="1"/>
  <c r="O31" i="8"/>
  <c r="U31" i="8"/>
  <c r="W31" i="8" s="1"/>
  <c r="M31" i="8"/>
  <c r="J31" i="8"/>
  <c r="R31" i="8" s="1"/>
  <c r="P31" i="8"/>
  <c r="AI31" i="8"/>
  <c r="AJ31" i="8"/>
  <c r="G31" i="6"/>
  <c r="H31" i="6"/>
  <c r="I31" i="6"/>
  <c r="J31" i="6"/>
  <c r="K31" i="6"/>
  <c r="P31" i="6"/>
  <c r="D31" i="5"/>
  <c r="E31" i="5"/>
  <c r="L31" i="5"/>
  <c r="M31" i="5"/>
  <c r="D34" i="5"/>
  <c r="E34" i="5"/>
  <c r="L34" i="5"/>
  <c r="M34" i="5"/>
  <c r="G34" i="6"/>
  <c r="H34" i="6"/>
  <c r="I34" i="6"/>
  <c r="J34" i="6"/>
  <c r="K34" i="6"/>
  <c r="N34" i="6"/>
  <c r="P34" i="6"/>
  <c r="F34" i="7"/>
  <c r="F31" i="7"/>
  <c r="H34" i="8"/>
  <c r="H31" i="8"/>
  <c r="I31" i="8"/>
  <c r="E34" i="9"/>
  <c r="F34" i="9"/>
  <c r="G34" i="9"/>
  <c r="E31" i="9"/>
  <c r="F31" i="9"/>
  <c r="G31" i="9"/>
  <c r="H27" i="9"/>
  <c r="I27" i="9"/>
  <c r="J27" i="9"/>
  <c r="B27" i="9"/>
  <c r="E27" i="9"/>
  <c r="F27" i="9"/>
  <c r="G27" i="9"/>
  <c r="M27" i="9"/>
  <c r="U27" i="4" s="1"/>
  <c r="H27" i="8"/>
  <c r="I27" i="8"/>
  <c r="J27" i="8"/>
  <c r="M27" i="8"/>
  <c r="O27" i="8"/>
  <c r="P27" i="8"/>
  <c r="U27" i="8"/>
  <c r="W27" i="8" s="1"/>
  <c r="Y27" i="8" s="1"/>
  <c r="AJ27" i="8"/>
  <c r="AI27" i="8"/>
  <c r="AV27" i="8"/>
  <c r="O27" i="4" s="1"/>
  <c r="AW27" i="8"/>
  <c r="P27" i="4" s="1"/>
  <c r="AX27" i="8"/>
  <c r="Q27" i="4" s="1"/>
  <c r="AY27" i="8"/>
  <c r="R27" i="4" s="1"/>
  <c r="F27" i="7"/>
  <c r="F27" i="6"/>
  <c r="G27" i="6"/>
  <c r="H27" i="6"/>
  <c r="I27" i="6"/>
  <c r="J27" i="6"/>
  <c r="K27" i="6"/>
  <c r="P27" i="6"/>
  <c r="Q27" i="6"/>
  <c r="W27" i="4" s="1"/>
  <c r="S27" i="6"/>
  <c r="X27" i="4" s="1"/>
  <c r="T27" i="6"/>
  <c r="L27" i="4" s="1"/>
  <c r="U27" i="6"/>
  <c r="M27" i="4" s="1"/>
  <c r="D27" i="5"/>
  <c r="E27" i="5"/>
  <c r="I27" i="5"/>
  <c r="J27" i="5"/>
  <c r="K27" i="5"/>
  <c r="L27" i="5"/>
  <c r="M27" i="5"/>
  <c r="N27" i="5"/>
  <c r="O27" i="5"/>
  <c r="V27" i="4" s="1"/>
  <c r="J27" i="4"/>
  <c r="H24" i="9"/>
  <c r="I24" i="9"/>
  <c r="J24" i="9"/>
  <c r="B24" i="9"/>
  <c r="J24" i="4"/>
  <c r="T24" i="6"/>
  <c r="L24" i="4" s="1"/>
  <c r="U24" i="6"/>
  <c r="M24" i="4" s="1"/>
  <c r="AV24" i="8"/>
  <c r="O24" i="4" s="1"/>
  <c r="AW24" i="8"/>
  <c r="P24" i="4" s="1"/>
  <c r="AX24" i="8"/>
  <c r="Q24" i="4" s="1"/>
  <c r="AY24" i="8"/>
  <c r="R24" i="4" s="1"/>
  <c r="M24" i="9"/>
  <c r="U24" i="4" s="1"/>
  <c r="I24" i="5"/>
  <c r="J24" i="5"/>
  <c r="K24" i="5"/>
  <c r="N24" i="5"/>
  <c r="O24" i="5"/>
  <c r="V24" i="4" s="1"/>
  <c r="F24" i="6"/>
  <c r="Q24" i="6"/>
  <c r="W24" i="4" s="1"/>
  <c r="S24" i="6"/>
  <c r="X24" i="4" s="1"/>
  <c r="O24" i="8"/>
  <c r="U24" i="8" s="1"/>
  <c r="M24" i="8"/>
  <c r="J24" i="8"/>
  <c r="P24" i="8"/>
  <c r="AI24" i="8"/>
  <c r="AJ24" i="8"/>
  <c r="I25" i="4"/>
  <c r="H25" i="9"/>
  <c r="I25" i="9"/>
  <c r="J25" i="9"/>
  <c r="B25" i="9"/>
  <c r="J25" i="4"/>
  <c r="T25" i="6"/>
  <c r="L25" i="4" s="1"/>
  <c r="U25" i="6"/>
  <c r="M25" i="4" s="1"/>
  <c r="N25" i="4"/>
  <c r="AV25" i="8"/>
  <c r="O25" i="4" s="1"/>
  <c r="AW25" i="8"/>
  <c r="P25" i="4" s="1"/>
  <c r="AX25" i="8"/>
  <c r="Q25" i="4" s="1"/>
  <c r="AY25" i="8"/>
  <c r="R25" i="4" s="1"/>
  <c r="M25" i="9"/>
  <c r="U25" i="4" s="1"/>
  <c r="I25" i="5"/>
  <c r="J25" i="5"/>
  <c r="K25" i="5"/>
  <c r="N25" i="5"/>
  <c r="O25" i="5"/>
  <c r="V25" i="4" s="1"/>
  <c r="F25" i="6"/>
  <c r="Q25" i="6"/>
  <c r="W25" i="4" s="1"/>
  <c r="S25" i="6"/>
  <c r="X25" i="4" s="1"/>
  <c r="O25" i="8"/>
  <c r="U25" i="8"/>
  <c r="W25" i="8" s="1"/>
  <c r="M25" i="8"/>
  <c r="J25" i="8"/>
  <c r="P25" i="8"/>
  <c r="AI25" i="8"/>
  <c r="AJ25" i="8"/>
  <c r="D24" i="5"/>
  <c r="E24" i="5"/>
  <c r="L24" i="5"/>
  <c r="M24" i="5"/>
  <c r="D25" i="5"/>
  <c r="E25" i="5"/>
  <c r="L25" i="5"/>
  <c r="M25" i="5"/>
  <c r="H24" i="6"/>
  <c r="I24" i="6"/>
  <c r="J24" i="6"/>
  <c r="K24" i="6"/>
  <c r="N24" i="6"/>
  <c r="P24" i="6"/>
  <c r="G25" i="6"/>
  <c r="H25" i="6"/>
  <c r="I25" i="6"/>
  <c r="J25" i="6"/>
  <c r="K25" i="6"/>
  <c r="P25" i="6"/>
  <c r="D24" i="7"/>
  <c r="F24" i="7"/>
  <c r="D25" i="7"/>
  <c r="F25" i="7"/>
  <c r="H24" i="8"/>
  <c r="I24" i="8"/>
  <c r="H25" i="8"/>
  <c r="E24" i="9"/>
  <c r="F24" i="9"/>
  <c r="G24" i="9"/>
  <c r="E25" i="9"/>
  <c r="F25" i="9"/>
  <c r="G25" i="9"/>
  <c r="G22" i="4"/>
  <c r="H22" i="9"/>
  <c r="I22" i="9"/>
  <c r="J22" i="9"/>
  <c r="B22" i="9"/>
  <c r="J22" i="4"/>
  <c r="T22" i="6"/>
  <c r="L22" i="4" s="1"/>
  <c r="U22" i="6"/>
  <c r="M22" i="4" s="1"/>
  <c r="AV22" i="8"/>
  <c r="O22" i="4" s="1"/>
  <c r="AW22" i="8"/>
  <c r="P22" i="4" s="1"/>
  <c r="AX22" i="8"/>
  <c r="Q22" i="4" s="1"/>
  <c r="AY22" i="8"/>
  <c r="R22" i="4" s="1"/>
  <c r="M22" i="9"/>
  <c r="U22" i="4" s="1"/>
  <c r="I22" i="5"/>
  <c r="J22" i="5"/>
  <c r="K22" i="5"/>
  <c r="N22" i="5"/>
  <c r="O22" i="5"/>
  <c r="V22" i="4" s="1"/>
  <c r="F22" i="6"/>
  <c r="Q22" i="6"/>
  <c r="W22" i="4" s="1"/>
  <c r="S22" i="6"/>
  <c r="X22" i="4" s="1"/>
  <c r="O22" i="8"/>
  <c r="U22" i="8" s="1"/>
  <c r="W22" i="8" s="1"/>
  <c r="Y22" i="8" s="1"/>
  <c r="M22" i="8"/>
  <c r="J22" i="8"/>
  <c r="P22" i="8"/>
  <c r="AI22" i="8"/>
  <c r="AJ22" i="8"/>
  <c r="E22" i="9"/>
  <c r="F22" i="9"/>
  <c r="G22" i="9"/>
  <c r="H22" i="8"/>
  <c r="F22" i="7"/>
  <c r="G22" i="6"/>
  <c r="H22" i="6"/>
  <c r="I22" i="6"/>
  <c r="J22" i="6"/>
  <c r="K22" i="6"/>
  <c r="N22" i="6"/>
  <c r="P22" i="6"/>
  <c r="D22" i="5"/>
  <c r="E22" i="5"/>
  <c r="L22" i="5"/>
  <c r="M22" i="5"/>
  <c r="H16" i="9"/>
  <c r="I16" i="9"/>
  <c r="J16" i="9"/>
  <c r="B16" i="9"/>
  <c r="E16" i="9"/>
  <c r="F16" i="9"/>
  <c r="G16" i="9"/>
  <c r="M16" i="9"/>
  <c r="U16" i="4" s="1"/>
  <c r="H15" i="8"/>
  <c r="AV15" i="8"/>
  <c r="O15" i="4" s="1"/>
  <c r="AW15" i="8"/>
  <c r="P15" i="4" s="1"/>
  <c r="AX15" i="8"/>
  <c r="Q15" i="4" s="1"/>
  <c r="AY15" i="8"/>
  <c r="R15" i="4" s="1"/>
  <c r="H16" i="8"/>
  <c r="J16" i="8"/>
  <c r="M16" i="8"/>
  <c r="O16" i="8"/>
  <c r="P16" i="8"/>
  <c r="U16" i="8"/>
  <c r="AJ16" i="8"/>
  <c r="AI16" i="8"/>
  <c r="AV16" i="8"/>
  <c r="O16" i="4" s="1"/>
  <c r="AW16" i="8"/>
  <c r="P16" i="4" s="1"/>
  <c r="AX16" i="8"/>
  <c r="Q16" i="4" s="1"/>
  <c r="AY16" i="8"/>
  <c r="R16" i="4" s="1"/>
  <c r="D16" i="7"/>
  <c r="F16" i="7"/>
  <c r="F16" i="6"/>
  <c r="H16" i="6"/>
  <c r="I16" i="6"/>
  <c r="J16" i="6"/>
  <c r="K16" i="6"/>
  <c r="N16" i="6"/>
  <c r="P16" i="6"/>
  <c r="Q16" i="6"/>
  <c r="W16" i="4" s="1"/>
  <c r="S16" i="6"/>
  <c r="X16" i="4" s="1"/>
  <c r="T16" i="6"/>
  <c r="L16" i="4" s="1"/>
  <c r="U16" i="6"/>
  <c r="M16" i="4" s="1"/>
  <c r="D16" i="5"/>
  <c r="E16" i="5"/>
  <c r="I16" i="5"/>
  <c r="J16" i="5"/>
  <c r="K16" i="5"/>
  <c r="L16" i="5"/>
  <c r="M16" i="5"/>
  <c r="N16" i="5"/>
  <c r="O16" i="5"/>
  <c r="V16" i="4" s="1"/>
  <c r="P16" i="5"/>
  <c r="J16" i="4"/>
  <c r="K16" i="4"/>
  <c r="G18" i="9"/>
  <c r="M18" i="9"/>
  <c r="U18" i="4" s="1"/>
  <c r="G19" i="9"/>
  <c r="M19" i="9"/>
  <c r="I18" i="9"/>
  <c r="J18" i="9"/>
  <c r="I19" i="9"/>
  <c r="J19" i="9"/>
  <c r="H18" i="9"/>
  <c r="H19" i="9"/>
  <c r="B18" i="9"/>
  <c r="B19" i="9"/>
  <c r="AV18" i="8"/>
  <c r="O18" i="4" s="1"/>
  <c r="AW18" i="8"/>
  <c r="P18" i="4" s="1"/>
  <c r="AX18" i="8"/>
  <c r="Q18" i="4" s="1"/>
  <c r="AY18" i="8"/>
  <c r="R18" i="4" s="1"/>
  <c r="AV19" i="8"/>
  <c r="O19" i="4" s="1"/>
  <c r="AW19" i="8"/>
  <c r="P19" i="4" s="1"/>
  <c r="AX19" i="8"/>
  <c r="Q19" i="4" s="1"/>
  <c r="AY19" i="8"/>
  <c r="R19" i="4" s="1"/>
  <c r="H18" i="8"/>
  <c r="H19" i="8"/>
  <c r="T18" i="6"/>
  <c r="L18" i="4" s="1"/>
  <c r="U18" i="6"/>
  <c r="M18" i="4" s="1"/>
  <c r="T19" i="6"/>
  <c r="L19" i="4" s="1"/>
  <c r="U19" i="6"/>
  <c r="M19" i="4" s="1"/>
  <c r="N18" i="6"/>
  <c r="J18" i="4"/>
  <c r="F18" i="4"/>
  <c r="I18" i="4"/>
  <c r="I25" i="2"/>
  <c r="I26" i="2" s="1"/>
  <c r="I27" i="2" s="1"/>
  <c r="D11" i="9"/>
  <c r="E11" i="9"/>
  <c r="K11" i="9"/>
  <c r="S11" i="4" s="1"/>
  <c r="C11" i="9"/>
  <c r="T33" i="3"/>
  <c r="P33" i="8" s="1"/>
  <c r="P32" i="8"/>
  <c r="P30" i="8"/>
  <c r="T12" i="3"/>
  <c r="P12" i="8" s="1"/>
  <c r="J236" i="6"/>
  <c r="J233" i="6"/>
  <c r="J231" i="6"/>
  <c r="J230" i="6"/>
  <c r="J225" i="6"/>
  <c r="J221" i="6"/>
  <c r="J219" i="6"/>
  <c r="J218" i="6"/>
  <c r="J216" i="6"/>
  <c r="J207" i="6"/>
  <c r="J205" i="6"/>
  <c r="J152" i="6"/>
  <c r="J142" i="6"/>
  <c r="J69" i="6"/>
  <c r="J68" i="6"/>
  <c r="J63" i="6"/>
  <c r="J35" i="6"/>
  <c r="J20" i="6"/>
  <c r="J15" i="6"/>
  <c r="J14" i="6"/>
  <c r="K13" i="6"/>
  <c r="J13" i="6"/>
  <c r="G244" i="9"/>
  <c r="F244" i="9"/>
  <c r="E244" i="5"/>
  <c r="P244" i="5" s="1"/>
  <c r="D244" i="5"/>
  <c r="P302" i="6"/>
  <c r="P301" i="6"/>
  <c r="P300" i="6"/>
  <c r="P299" i="6"/>
  <c r="P298" i="6"/>
  <c r="P297" i="6"/>
  <c r="P296" i="6"/>
  <c r="P295" i="6"/>
  <c r="P294" i="6"/>
  <c r="P293" i="6"/>
  <c r="P292" i="6"/>
  <c r="P291" i="6"/>
  <c r="P290" i="6"/>
  <c r="P289" i="6"/>
  <c r="P288" i="6"/>
  <c r="P287" i="6"/>
  <c r="P286" i="6"/>
  <c r="P285" i="6"/>
  <c r="P284" i="6"/>
  <c r="P283" i="6"/>
  <c r="P282" i="6"/>
  <c r="P281" i="6"/>
  <c r="P280" i="6"/>
  <c r="P279" i="6"/>
  <c r="P278" i="6"/>
  <c r="P277" i="6"/>
  <c r="P267" i="6"/>
  <c r="P266" i="6"/>
  <c r="P265" i="6"/>
  <c r="P264" i="6"/>
  <c r="P263" i="6"/>
  <c r="P46" i="6"/>
  <c r="P47" i="6"/>
  <c r="P48" i="6"/>
  <c r="P45" i="6"/>
  <c r="P244" i="6"/>
  <c r="J244" i="6"/>
  <c r="K244" i="6"/>
  <c r="B4" i="6"/>
  <c r="C4" i="6"/>
  <c r="I13" i="6"/>
  <c r="P243" i="6"/>
  <c r="P242" i="6"/>
  <c r="P241" i="6"/>
  <c r="P240" i="6"/>
  <c r="P239" i="6"/>
  <c r="P238" i="6"/>
  <c r="P237" i="6"/>
  <c r="H236" i="6"/>
  <c r="P236" i="6"/>
  <c r="P235" i="6"/>
  <c r="P234" i="6"/>
  <c r="P233" i="6"/>
  <c r="P232" i="6"/>
  <c r="P231" i="6"/>
  <c r="P230" i="6"/>
  <c r="P229" i="6"/>
  <c r="P228" i="6"/>
  <c r="P227" i="6"/>
  <c r="P226" i="6"/>
  <c r="P225" i="6"/>
  <c r="P224" i="6"/>
  <c r="P223" i="6"/>
  <c r="P222" i="6"/>
  <c r="P221" i="6"/>
  <c r="P220" i="6"/>
  <c r="P219" i="6"/>
  <c r="P218" i="6"/>
  <c r="P217" i="6"/>
  <c r="H216" i="6"/>
  <c r="P216" i="6"/>
  <c r="P215" i="6"/>
  <c r="P214" i="6"/>
  <c r="P213" i="6"/>
  <c r="P212" i="6"/>
  <c r="P211" i="6"/>
  <c r="P210" i="6"/>
  <c r="P209" i="6"/>
  <c r="P208" i="6"/>
  <c r="H207" i="6"/>
  <c r="P207" i="6"/>
  <c r="P206" i="6"/>
  <c r="P205" i="6"/>
  <c r="P203" i="6"/>
  <c r="P202" i="6"/>
  <c r="P201" i="6"/>
  <c r="P200" i="6"/>
  <c r="P199" i="6"/>
  <c r="P198" i="6"/>
  <c r="P197" i="6"/>
  <c r="P196" i="6"/>
  <c r="P195" i="6"/>
  <c r="P193" i="6"/>
  <c r="P192" i="6"/>
  <c r="P191" i="6"/>
  <c r="P190" i="6"/>
  <c r="P188" i="6"/>
  <c r="P187" i="6"/>
  <c r="P186" i="6"/>
  <c r="P185" i="6"/>
  <c r="P184" i="6"/>
  <c r="P183" i="6"/>
  <c r="P182" i="6"/>
  <c r="P181" i="6"/>
  <c r="P180" i="6"/>
  <c r="P176" i="6"/>
  <c r="P175" i="6"/>
  <c r="P174" i="6"/>
  <c r="P173" i="6"/>
  <c r="P172" i="6"/>
  <c r="P171" i="6"/>
  <c r="P169" i="6"/>
  <c r="P168" i="6"/>
  <c r="P167" i="6"/>
  <c r="P166" i="6"/>
  <c r="P165" i="6"/>
  <c r="P164" i="6"/>
  <c r="P162" i="6"/>
  <c r="P161" i="6"/>
  <c r="P160" i="6"/>
  <c r="P159" i="6"/>
  <c r="P158" i="6"/>
  <c r="P157" i="6"/>
  <c r="P155" i="6"/>
  <c r="P154" i="6"/>
  <c r="P153" i="6"/>
  <c r="H152" i="6"/>
  <c r="P152" i="6"/>
  <c r="P151" i="6"/>
  <c r="P150" i="6"/>
  <c r="P149" i="6"/>
  <c r="P148" i="6"/>
  <c r="P147" i="6"/>
  <c r="P146" i="6"/>
  <c r="P145" i="6"/>
  <c r="P144" i="6"/>
  <c r="P143" i="6"/>
  <c r="P142" i="6"/>
  <c r="P140" i="6"/>
  <c r="P139" i="6"/>
  <c r="P138" i="6"/>
  <c r="P137" i="6"/>
  <c r="P136" i="6"/>
  <c r="P135" i="6"/>
  <c r="P134" i="6"/>
  <c r="P133" i="6"/>
  <c r="P132" i="6"/>
  <c r="P131" i="6"/>
  <c r="P130" i="6"/>
  <c r="P129" i="6"/>
  <c r="P128" i="6"/>
  <c r="P127" i="6"/>
  <c r="P126" i="6"/>
  <c r="P125" i="6"/>
  <c r="P124" i="6"/>
  <c r="P123" i="6"/>
  <c r="P122" i="6"/>
  <c r="P121" i="6"/>
  <c r="P120" i="6"/>
  <c r="P119" i="6"/>
  <c r="P118" i="6"/>
  <c r="P117" i="6"/>
  <c r="P116" i="6"/>
  <c r="P115" i="6"/>
  <c r="P114" i="6"/>
  <c r="P113" i="6"/>
  <c r="P112" i="6"/>
  <c r="P111" i="6"/>
  <c r="P110" i="6"/>
  <c r="P109" i="6"/>
  <c r="P108" i="6"/>
  <c r="P107" i="6"/>
  <c r="P106" i="6"/>
  <c r="P105" i="6"/>
  <c r="P104" i="6"/>
  <c r="P42" i="6"/>
  <c r="P41" i="6"/>
  <c r="P40" i="6"/>
  <c r="P39" i="6"/>
  <c r="P12" i="6"/>
  <c r="H13" i="6"/>
  <c r="P13" i="6"/>
  <c r="H14" i="6"/>
  <c r="P14" i="6"/>
  <c r="H15" i="6"/>
  <c r="P15" i="6"/>
  <c r="H20" i="6"/>
  <c r="P20" i="6"/>
  <c r="P29" i="6"/>
  <c r="P30" i="6"/>
  <c r="P32" i="6"/>
  <c r="P33" i="6"/>
  <c r="H35" i="6"/>
  <c r="P35" i="6"/>
  <c r="N310" i="6"/>
  <c r="N309" i="6"/>
  <c r="N308" i="6"/>
  <c r="N307" i="6"/>
  <c r="N306" i="6"/>
  <c r="N305" i="6"/>
  <c r="N304" i="6"/>
  <c r="N303" i="6"/>
  <c r="N302" i="6"/>
  <c r="N301" i="6"/>
  <c r="N300" i="6"/>
  <c r="N299" i="6"/>
  <c r="N298" i="6"/>
  <c r="N297" i="6"/>
  <c r="N296" i="6"/>
  <c r="N295" i="6"/>
  <c r="N294" i="6"/>
  <c r="N293" i="6"/>
  <c r="N292" i="6"/>
  <c r="N291" i="6"/>
  <c r="N290" i="6"/>
  <c r="N289" i="6"/>
  <c r="N288" i="6"/>
  <c r="N287" i="6"/>
  <c r="N286" i="6"/>
  <c r="N285" i="6"/>
  <c r="N284" i="6"/>
  <c r="N283" i="6"/>
  <c r="N282" i="6"/>
  <c r="N281" i="6"/>
  <c r="N280" i="6"/>
  <c r="N279" i="6"/>
  <c r="N278" i="6"/>
  <c r="N277" i="6"/>
  <c r="N275" i="6"/>
  <c r="N274" i="6"/>
  <c r="N273" i="6"/>
  <c r="N272" i="6"/>
  <c r="N271" i="6"/>
  <c r="N270" i="6"/>
  <c r="N269" i="6"/>
  <c r="N268" i="6"/>
  <c r="N267" i="6"/>
  <c r="N266" i="6"/>
  <c r="N265" i="6"/>
  <c r="N264" i="6"/>
  <c r="N263" i="6"/>
  <c r="N262" i="6"/>
  <c r="N261" i="6"/>
  <c r="N260" i="6"/>
  <c r="N259" i="6"/>
  <c r="N258" i="6"/>
  <c r="N257" i="6"/>
  <c r="N256" i="6"/>
  <c r="N255" i="6"/>
  <c r="N254" i="6"/>
  <c r="N253" i="6"/>
  <c r="N252" i="6"/>
  <c r="N251" i="6"/>
  <c r="N250" i="6"/>
  <c r="N249" i="6"/>
  <c r="N248" i="6"/>
  <c r="N247" i="6"/>
  <c r="N246" i="6"/>
  <c r="N244" i="6"/>
  <c r="N243" i="6"/>
  <c r="N242" i="6"/>
  <c r="N241" i="6"/>
  <c r="N240" i="6"/>
  <c r="N239" i="6"/>
  <c r="N238" i="6"/>
  <c r="N237" i="6"/>
  <c r="N236" i="6"/>
  <c r="N235" i="6"/>
  <c r="N234" i="6"/>
  <c r="N233" i="6"/>
  <c r="N232" i="6"/>
  <c r="N231" i="6"/>
  <c r="N230" i="6"/>
  <c r="N229" i="6"/>
  <c r="N228" i="6"/>
  <c r="N227" i="6"/>
  <c r="N226" i="6"/>
  <c r="N225" i="6"/>
  <c r="N224" i="6"/>
  <c r="N223" i="6"/>
  <c r="N222" i="6"/>
  <c r="N221" i="6"/>
  <c r="N220" i="6"/>
  <c r="N219" i="6"/>
  <c r="N218" i="6"/>
  <c r="N217" i="6"/>
  <c r="N216" i="6"/>
  <c r="N215" i="6"/>
  <c r="N214" i="6"/>
  <c r="N213" i="6"/>
  <c r="N212" i="6"/>
  <c r="N211" i="6"/>
  <c r="N210" i="6"/>
  <c r="N209" i="6"/>
  <c r="N208" i="6"/>
  <c r="N207" i="6"/>
  <c r="N206" i="6"/>
  <c r="N205" i="6"/>
  <c r="N203" i="6"/>
  <c r="N202" i="6"/>
  <c r="N201" i="6"/>
  <c r="N200" i="6"/>
  <c r="N199" i="6"/>
  <c r="N198" i="6"/>
  <c r="N197" i="6"/>
  <c r="N196" i="6"/>
  <c r="N195" i="6"/>
  <c r="N193" i="6"/>
  <c r="N192" i="6"/>
  <c r="N191" i="6"/>
  <c r="N190" i="6"/>
  <c r="N188" i="6"/>
  <c r="N187" i="6"/>
  <c r="N186" i="6"/>
  <c r="N185" i="6"/>
  <c r="N184" i="6"/>
  <c r="N183" i="6"/>
  <c r="N182" i="6"/>
  <c r="N181" i="6"/>
  <c r="N180" i="6"/>
  <c r="N176" i="6"/>
  <c r="N175" i="6"/>
  <c r="N174" i="6"/>
  <c r="N173" i="6"/>
  <c r="N172" i="6"/>
  <c r="N171" i="6"/>
  <c r="N169" i="6"/>
  <c r="N168" i="6"/>
  <c r="N167" i="6"/>
  <c r="N166" i="6"/>
  <c r="N165" i="6"/>
  <c r="N164" i="6"/>
  <c r="N162" i="6"/>
  <c r="N161" i="6"/>
  <c r="N160" i="6"/>
  <c r="N159" i="6"/>
  <c r="N158" i="6"/>
  <c r="N157" i="6"/>
  <c r="N155" i="6"/>
  <c r="N154" i="6"/>
  <c r="N153" i="6"/>
  <c r="N152" i="6"/>
  <c r="N151" i="6"/>
  <c r="N150" i="6"/>
  <c r="N149" i="6"/>
  <c r="N148" i="6"/>
  <c r="N147" i="6"/>
  <c r="N146" i="6"/>
  <c r="N145" i="6"/>
  <c r="N144" i="6"/>
  <c r="N143" i="6"/>
  <c r="N142" i="6"/>
  <c r="N140" i="6"/>
  <c r="N139" i="6"/>
  <c r="N138" i="6"/>
  <c r="N137" i="6"/>
  <c r="N136" i="6"/>
  <c r="N135" i="6"/>
  <c r="N134" i="6"/>
  <c r="N133" i="6"/>
  <c r="N132" i="6"/>
  <c r="N131" i="6"/>
  <c r="N130" i="6"/>
  <c r="N129" i="6"/>
  <c r="N128" i="6"/>
  <c r="N127" i="6"/>
  <c r="N126" i="6"/>
  <c r="N125" i="6"/>
  <c r="N124" i="6"/>
  <c r="N123" i="6"/>
  <c r="N122" i="6"/>
  <c r="N121" i="6"/>
  <c r="N120" i="6"/>
  <c r="N119" i="6"/>
  <c r="N118" i="6"/>
  <c r="N117" i="6"/>
  <c r="N116" i="6"/>
  <c r="N115" i="6"/>
  <c r="N114" i="6"/>
  <c r="N113" i="6"/>
  <c r="N112" i="6"/>
  <c r="N111" i="6"/>
  <c r="N110" i="6"/>
  <c r="N109" i="6"/>
  <c r="N108" i="6"/>
  <c r="N107" i="6"/>
  <c r="N106" i="6"/>
  <c r="N105" i="6"/>
  <c r="N104" i="6"/>
  <c r="N103" i="6"/>
  <c r="N102" i="6"/>
  <c r="N101" i="6"/>
  <c r="N100" i="6"/>
  <c r="N99" i="6"/>
  <c r="N98" i="6"/>
  <c r="N97" i="6"/>
  <c r="N96" i="6"/>
  <c r="N95" i="6"/>
  <c r="N94" i="6"/>
  <c r="N93" i="6"/>
  <c r="N92" i="6"/>
  <c r="N91" i="6"/>
  <c r="N90" i="6"/>
  <c r="N89" i="6"/>
  <c r="N88" i="6"/>
  <c r="N87" i="6"/>
  <c r="N85" i="6"/>
  <c r="N84" i="6"/>
  <c r="N82" i="6"/>
  <c r="N81" i="6"/>
  <c r="N80" i="6"/>
  <c r="N79" i="6"/>
  <c r="N78" i="6"/>
  <c r="N77" i="6"/>
  <c r="N76" i="6"/>
  <c r="N75" i="6"/>
  <c r="N74" i="6"/>
  <c r="N73" i="6"/>
  <c r="N72" i="6"/>
  <c r="N71" i="6"/>
  <c r="N70" i="6"/>
  <c r="N69" i="6"/>
  <c r="N68" i="6"/>
  <c r="N67" i="6"/>
  <c r="N66" i="6"/>
  <c r="N65" i="6"/>
  <c r="N64" i="6"/>
  <c r="N63" i="6"/>
  <c r="N62" i="6"/>
  <c r="N61" i="6"/>
  <c r="N60" i="6"/>
  <c r="N59" i="6"/>
  <c r="N58" i="6"/>
  <c r="N57" i="6"/>
  <c r="N56" i="6"/>
  <c r="N55" i="6"/>
  <c r="N54" i="6"/>
  <c r="N53" i="6"/>
  <c r="N52" i="6"/>
  <c r="N51" i="6"/>
  <c r="N50" i="6"/>
  <c r="N48" i="6"/>
  <c r="N47" i="6"/>
  <c r="N46" i="6"/>
  <c r="N45" i="6"/>
  <c r="N42" i="6"/>
  <c r="N41" i="6"/>
  <c r="N40" i="6"/>
  <c r="N39" i="6"/>
  <c r="N12" i="6"/>
  <c r="N13" i="6"/>
  <c r="N14" i="6"/>
  <c r="N20" i="6"/>
  <c r="N26" i="6"/>
  <c r="N28" i="6"/>
  <c r="N30" i="6"/>
  <c r="N32" i="6"/>
  <c r="D31" i="2"/>
  <c r="H244" i="8"/>
  <c r="F244" i="7"/>
  <c r="D244" i="7"/>
  <c r="F13" i="7"/>
  <c r="H86" i="2"/>
  <c r="D13" i="7"/>
  <c r="H302" i="7"/>
  <c r="H301" i="7"/>
  <c r="H300" i="7"/>
  <c r="H299" i="7"/>
  <c r="H298" i="7"/>
  <c r="H297" i="7"/>
  <c r="H296" i="7"/>
  <c r="H295" i="7"/>
  <c r="H294" i="7"/>
  <c r="H293" i="7"/>
  <c r="H292" i="7"/>
  <c r="H291" i="7"/>
  <c r="H290" i="7"/>
  <c r="H289" i="7"/>
  <c r="H288" i="7"/>
  <c r="H287" i="7"/>
  <c r="H286" i="7"/>
  <c r="H285" i="7"/>
  <c r="H284" i="7"/>
  <c r="H283" i="7"/>
  <c r="H282" i="7"/>
  <c r="H281" i="7"/>
  <c r="H280" i="7"/>
  <c r="H279" i="7"/>
  <c r="H278" i="7"/>
  <c r="H277" i="7"/>
  <c r="H267" i="7"/>
  <c r="H266" i="7"/>
  <c r="H265" i="7"/>
  <c r="H264" i="7"/>
  <c r="H263" i="7"/>
  <c r="H253" i="7"/>
  <c r="H248" i="7"/>
  <c r="F80" i="7"/>
  <c r="H80" i="7"/>
  <c r="F72" i="7"/>
  <c r="H72" i="7"/>
  <c r="F71" i="7"/>
  <c r="H71" i="7"/>
  <c r="F70" i="7"/>
  <c r="H70" i="7"/>
  <c r="F69" i="7"/>
  <c r="H69" i="7"/>
  <c r="F68" i="7"/>
  <c r="H68" i="7"/>
  <c r="F63" i="7"/>
  <c r="H63" i="7"/>
  <c r="H40" i="7"/>
  <c r="H41" i="7"/>
  <c r="H39" i="7"/>
  <c r="E275" i="5"/>
  <c r="E203" i="5"/>
  <c r="P203" i="5" s="1"/>
  <c r="E193" i="5"/>
  <c r="E140" i="5"/>
  <c r="E48" i="5"/>
  <c r="E310" i="5"/>
  <c r="P310" i="5" s="1"/>
  <c r="E309" i="5"/>
  <c r="E308" i="5"/>
  <c r="E307" i="5"/>
  <c r="E306" i="5"/>
  <c r="E305" i="5"/>
  <c r="P305" i="5" s="1"/>
  <c r="E304" i="5"/>
  <c r="E303" i="5"/>
  <c r="E302" i="5"/>
  <c r="E301" i="5"/>
  <c r="P301" i="5" s="1"/>
  <c r="E300" i="5"/>
  <c r="E299" i="5"/>
  <c r="E298" i="5"/>
  <c r="E297" i="5"/>
  <c r="E296" i="5"/>
  <c r="E295" i="5"/>
  <c r="E294" i="5"/>
  <c r="E293" i="5"/>
  <c r="E292" i="5"/>
  <c r="E291" i="5"/>
  <c r="P291" i="5" s="1"/>
  <c r="E290" i="5"/>
  <c r="P290" i="5" s="1"/>
  <c r="E289" i="5"/>
  <c r="E288" i="5"/>
  <c r="E287" i="5"/>
  <c r="P287" i="5" s="1"/>
  <c r="E286" i="5"/>
  <c r="P286" i="5" s="1"/>
  <c r="E285" i="5"/>
  <c r="E284" i="5"/>
  <c r="E283" i="5"/>
  <c r="E282" i="5"/>
  <c r="E281" i="5"/>
  <c r="P281" i="5" s="1"/>
  <c r="E280" i="5"/>
  <c r="E279" i="5"/>
  <c r="E278" i="5"/>
  <c r="E277" i="5"/>
  <c r="E274" i="5"/>
  <c r="E273" i="5"/>
  <c r="P273" i="5" s="1"/>
  <c r="E272" i="5"/>
  <c r="E271" i="5"/>
  <c r="E270" i="5"/>
  <c r="P270" i="5" s="1"/>
  <c r="E269" i="5"/>
  <c r="P269" i="5" s="1"/>
  <c r="E268" i="5"/>
  <c r="E267" i="5"/>
  <c r="E266" i="5"/>
  <c r="P266" i="5" s="1"/>
  <c r="E265" i="5"/>
  <c r="E264" i="5"/>
  <c r="E263" i="5"/>
  <c r="E262" i="5"/>
  <c r="P262" i="5" s="1"/>
  <c r="E261" i="5"/>
  <c r="P261" i="5" s="1"/>
  <c r="E260" i="5"/>
  <c r="E259" i="5"/>
  <c r="E258" i="5"/>
  <c r="P258" i="5" s="1"/>
  <c r="E257" i="5"/>
  <c r="P257" i="5" s="1"/>
  <c r="E256" i="5"/>
  <c r="E255" i="5"/>
  <c r="E254" i="5"/>
  <c r="P254" i="5" s="1"/>
  <c r="E253" i="5"/>
  <c r="P253" i="5" s="1"/>
  <c r="E252" i="5"/>
  <c r="E251" i="5"/>
  <c r="E250" i="5"/>
  <c r="E249" i="5"/>
  <c r="P249" i="5" s="1"/>
  <c r="E248" i="5"/>
  <c r="E247" i="5"/>
  <c r="E246" i="5"/>
  <c r="P246" i="5" s="1"/>
  <c r="E243" i="5"/>
  <c r="P243" i="5" s="1"/>
  <c r="E242" i="5"/>
  <c r="E241" i="5"/>
  <c r="E240" i="5"/>
  <c r="P240" i="5" s="1"/>
  <c r="E239" i="5"/>
  <c r="E238" i="5"/>
  <c r="E237" i="5"/>
  <c r="P236" i="5"/>
  <c r="E235" i="5"/>
  <c r="E234" i="5"/>
  <c r="E233" i="5"/>
  <c r="E232" i="5"/>
  <c r="P232" i="5" s="1"/>
  <c r="E231" i="5"/>
  <c r="P231" i="5" s="1"/>
  <c r="E230" i="5"/>
  <c r="E229" i="5"/>
  <c r="E228" i="5"/>
  <c r="P228" i="5" s="1"/>
  <c r="E227" i="5"/>
  <c r="P227" i="5" s="1"/>
  <c r="E226" i="5"/>
  <c r="E224" i="5"/>
  <c r="E223" i="5"/>
  <c r="P223" i="5" s="1"/>
  <c r="E222" i="5"/>
  <c r="E220" i="5"/>
  <c r="P220" i="5" s="1"/>
  <c r="P219" i="5"/>
  <c r="E218" i="5"/>
  <c r="E217" i="5"/>
  <c r="P216" i="5"/>
  <c r="E215" i="5"/>
  <c r="E214" i="5"/>
  <c r="E213" i="5"/>
  <c r="E212" i="5"/>
  <c r="E211" i="5"/>
  <c r="P211" i="5" s="1"/>
  <c r="E210" i="5"/>
  <c r="E209" i="5"/>
  <c r="E208" i="5"/>
  <c r="P208" i="5" s="1"/>
  <c r="P207" i="5"/>
  <c r="E206" i="5"/>
  <c r="E202" i="5"/>
  <c r="P202" i="5" s="1"/>
  <c r="E201" i="5"/>
  <c r="E200" i="5"/>
  <c r="E199" i="5"/>
  <c r="P199" i="5" s="1"/>
  <c r="E198" i="5"/>
  <c r="P198" i="5" s="1"/>
  <c r="E197" i="5"/>
  <c r="E196" i="5"/>
  <c r="E195" i="5"/>
  <c r="P195" i="5" s="1"/>
  <c r="E192" i="5"/>
  <c r="E191" i="5"/>
  <c r="E190" i="5"/>
  <c r="E188" i="5"/>
  <c r="E187" i="5"/>
  <c r="E186" i="5"/>
  <c r="P186" i="5" s="1"/>
  <c r="E185" i="5"/>
  <c r="P185" i="5" s="1"/>
  <c r="E184" i="5"/>
  <c r="E183" i="5"/>
  <c r="P183" i="5" s="1"/>
  <c r="E182" i="5"/>
  <c r="E181" i="5"/>
  <c r="E180" i="5"/>
  <c r="E176" i="5"/>
  <c r="E175" i="5"/>
  <c r="E174" i="5"/>
  <c r="E173" i="5"/>
  <c r="E172" i="5"/>
  <c r="E171" i="5"/>
  <c r="E169" i="5"/>
  <c r="P169" i="5"/>
  <c r="E168" i="5"/>
  <c r="E167" i="5"/>
  <c r="E166" i="5"/>
  <c r="E165" i="5"/>
  <c r="P165" i="5" s="1"/>
  <c r="E164" i="5"/>
  <c r="E162" i="5"/>
  <c r="E161" i="5"/>
  <c r="P161" i="5" s="1"/>
  <c r="E160" i="5"/>
  <c r="E159" i="5"/>
  <c r="E158" i="5"/>
  <c r="P158" i="5" s="1"/>
  <c r="E157" i="5"/>
  <c r="P157" i="5" s="1"/>
  <c r="E155" i="5"/>
  <c r="E154" i="5"/>
  <c r="P154" i="5" s="1"/>
  <c r="E153" i="5"/>
  <c r="E151" i="5"/>
  <c r="E150" i="5"/>
  <c r="P150" i="5" s="1"/>
  <c r="E149" i="5"/>
  <c r="E148" i="5"/>
  <c r="E147" i="5"/>
  <c r="E146" i="5"/>
  <c r="P146" i="5" s="1"/>
  <c r="E145" i="5"/>
  <c r="P145" i="5" s="1"/>
  <c r="E144" i="5"/>
  <c r="E143" i="5"/>
  <c r="P142" i="5"/>
  <c r="E139" i="5"/>
  <c r="E138" i="5"/>
  <c r="E137" i="5"/>
  <c r="E136" i="5"/>
  <c r="P136" i="5" s="1"/>
  <c r="E135" i="5"/>
  <c r="E134" i="5"/>
  <c r="E133" i="5"/>
  <c r="E132" i="5"/>
  <c r="P132" i="5" s="1"/>
  <c r="E131" i="5"/>
  <c r="E130" i="5"/>
  <c r="E129" i="5"/>
  <c r="E128" i="5"/>
  <c r="P128" i="5" s="1"/>
  <c r="E127" i="5"/>
  <c r="E126" i="5"/>
  <c r="E125" i="5"/>
  <c r="P125" i="5" s="1"/>
  <c r="E124" i="5"/>
  <c r="P124" i="5" s="1"/>
  <c r="E123" i="5"/>
  <c r="E122" i="5"/>
  <c r="E121" i="5"/>
  <c r="P121" i="5" s="1"/>
  <c r="E120" i="5"/>
  <c r="P120" i="5" s="1"/>
  <c r="E119" i="5"/>
  <c r="E118" i="5"/>
  <c r="E117" i="5"/>
  <c r="E116" i="5"/>
  <c r="P116" i="5" s="1"/>
  <c r="E115" i="5"/>
  <c r="E114" i="5"/>
  <c r="E113" i="5"/>
  <c r="E112" i="5"/>
  <c r="P112" i="5" s="1"/>
  <c r="E111" i="5"/>
  <c r="E110" i="5"/>
  <c r="E109" i="5"/>
  <c r="E108" i="5"/>
  <c r="P108" i="5" s="1"/>
  <c r="E107" i="5"/>
  <c r="E106" i="5"/>
  <c r="E105" i="5"/>
  <c r="E104" i="5"/>
  <c r="P104" i="5" s="1"/>
  <c r="E80" i="5"/>
  <c r="E72" i="5"/>
  <c r="P72" i="5" s="1"/>
  <c r="E71" i="5"/>
  <c r="E70" i="5"/>
  <c r="E69" i="5"/>
  <c r="E68" i="5"/>
  <c r="E63" i="5"/>
  <c r="P63" i="5" s="1"/>
  <c r="E47" i="5"/>
  <c r="P47" i="5" s="1"/>
  <c r="E46" i="5"/>
  <c r="E45" i="5"/>
  <c r="E42" i="5"/>
  <c r="E13" i="5"/>
  <c r="P13" i="5" s="1"/>
  <c r="I13" i="5"/>
  <c r="D13" i="5"/>
  <c r="J13" i="5"/>
  <c r="K13" i="5"/>
  <c r="L13" i="5"/>
  <c r="M13" i="5"/>
  <c r="N13" i="5"/>
  <c r="O13" i="5"/>
  <c r="V13" i="4" s="1"/>
  <c r="E12" i="5"/>
  <c r="P12" i="5" s="1"/>
  <c r="E14" i="5"/>
  <c r="E15" i="5"/>
  <c r="P15" i="5" s="1"/>
  <c r="E20" i="5"/>
  <c r="P20" i="5" s="1"/>
  <c r="E29" i="5"/>
  <c r="E30" i="5"/>
  <c r="E32" i="5"/>
  <c r="E33" i="5"/>
  <c r="P33" i="5" s="1"/>
  <c r="E35" i="5"/>
  <c r="P35" i="5" s="1"/>
  <c r="E11" i="5"/>
  <c r="D41" i="2"/>
  <c r="J19" i="2"/>
  <c r="J18" i="2"/>
  <c r="J17" i="2"/>
  <c r="G58" i="2"/>
  <c r="G60" i="2"/>
  <c r="H60" i="2" s="1"/>
  <c r="H58" i="2"/>
  <c r="D49" i="2"/>
  <c r="R21" i="8" s="1"/>
  <c r="D47" i="2"/>
  <c r="D46" i="2"/>
  <c r="D206" i="5"/>
  <c r="D208" i="5"/>
  <c r="D209" i="5"/>
  <c r="D210" i="5"/>
  <c r="D211" i="5"/>
  <c r="D212" i="5"/>
  <c r="D213" i="5"/>
  <c r="D214" i="5"/>
  <c r="D215" i="5"/>
  <c r="D217" i="5"/>
  <c r="D220" i="5"/>
  <c r="D222" i="5"/>
  <c r="D223" i="5"/>
  <c r="D224" i="5"/>
  <c r="D226" i="5"/>
  <c r="D227" i="5"/>
  <c r="D228" i="5"/>
  <c r="D229" i="5"/>
  <c r="D232" i="5"/>
  <c r="D234" i="5"/>
  <c r="D235" i="5"/>
  <c r="D237" i="5"/>
  <c r="D238" i="5"/>
  <c r="D239" i="5"/>
  <c r="D240" i="5"/>
  <c r="D241" i="5"/>
  <c r="D242" i="5"/>
  <c r="D243" i="5"/>
  <c r="D196" i="5"/>
  <c r="D197" i="5"/>
  <c r="D198" i="5"/>
  <c r="D199" i="5"/>
  <c r="D200" i="5"/>
  <c r="D201" i="5"/>
  <c r="D202" i="5"/>
  <c r="D203" i="5"/>
  <c r="D185" i="5"/>
  <c r="D186" i="5"/>
  <c r="D187" i="5"/>
  <c r="D188" i="5"/>
  <c r="D190" i="5"/>
  <c r="D191" i="5"/>
  <c r="D192" i="5"/>
  <c r="D193" i="5"/>
  <c r="D184" i="5"/>
  <c r="D183" i="5"/>
  <c r="D182" i="5"/>
  <c r="D181" i="5"/>
  <c r="D180" i="5"/>
  <c r="D176" i="5"/>
  <c r="D175" i="5"/>
  <c r="D174" i="5"/>
  <c r="D173" i="5"/>
  <c r="D172" i="5"/>
  <c r="D171" i="5"/>
  <c r="D169" i="5"/>
  <c r="D168" i="5"/>
  <c r="D167" i="5"/>
  <c r="D166" i="5"/>
  <c r="D165" i="5"/>
  <c r="D164" i="5"/>
  <c r="D162" i="5"/>
  <c r="D161" i="5"/>
  <c r="D160" i="5"/>
  <c r="D159" i="5"/>
  <c r="D158" i="5"/>
  <c r="D157" i="5"/>
  <c r="D155" i="5"/>
  <c r="D154" i="5"/>
  <c r="D153" i="5"/>
  <c r="D151" i="5"/>
  <c r="D150" i="5"/>
  <c r="D149" i="5"/>
  <c r="D148" i="5"/>
  <c r="D147" i="5"/>
  <c r="D146" i="5"/>
  <c r="D145" i="5"/>
  <c r="D144" i="5"/>
  <c r="D143" i="5"/>
  <c r="D104" i="5"/>
  <c r="D105" i="5"/>
  <c r="D106" i="5"/>
  <c r="D107" i="5"/>
  <c r="D108" i="5"/>
  <c r="D109" i="5"/>
  <c r="D110" i="5"/>
  <c r="D111" i="5"/>
  <c r="D112" i="5"/>
  <c r="D113" i="5"/>
  <c r="D114" i="5"/>
  <c r="D115" i="5"/>
  <c r="D116" i="5"/>
  <c r="D117" i="5"/>
  <c r="D118" i="5"/>
  <c r="D119" i="5"/>
  <c r="D120" i="5"/>
  <c r="D121" i="5"/>
  <c r="D122" i="5"/>
  <c r="D123" i="5"/>
  <c r="D124" i="5"/>
  <c r="D125" i="5"/>
  <c r="D126" i="5"/>
  <c r="D127" i="5"/>
  <c r="D128" i="5"/>
  <c r="D129" i="5"/>
  <c r="D130" i="5"/>
  <c r="D131" i="5"/>
  <c r="D132" i="5"/>
  <c r="D133" i="5"/>
  <c r="D134" i="5"/>
  <c r="D135" i="5"/>
  <c r="D136" i="5"/>
  <c r="D137" i="5"/>
  <c r="D138" i="5"/>
  <c r="D139" i="5"/>
  <c r="I12" i="5"/>
  <c r="J12" i="5"/>
  <c r="K12" i="5"/>
  <c r="N12" i="5"/>
  <c r="I29" i="5"/>
  <c r="J29" i="5"/>
  <c r="K29" i="5"/>
  <c r="N29" i="5"/>
  <c r="I30" i="5"/>
  <c r="J30" i="5"/>
  <c r="K30" i="5"/>
  <c r="N30" i="5"/>
  <c r="I32" i="5"/>
  <c r="J32" i="5"/>
  <c r="K32" i="5"/>
  <c r="N32" i="5"/>
  <c r="I33" i="5"/>
  <c r="J33" i="5"/>
  <c r="K33" i="5"/>
  <c r="N33" i="5"/>
  <c r="I11" i="5"/>
  <c r="J11" i="5"/>
  <c r="K11" i="5"/>
  <c r="N11" i="5"/>
  <c r="L11" i="5"/>
  <c r="D29" i="5"/>
  <c r="D30" i="5"/>
  <c r="D32" i="5"/>
  <c r="D33" i="5"/>
  <c r="D12" i="5"/>
  <c r="L14" i="5"/>
  <c r="M14" i="5"/>
  <c r="L15" i="5"/>
  <c r="M15" i="5"/>
  <c r="O11" i="5"/>
  <c r="V11" i="4" s="1"/>
  <c r="O12" i="5"/>
  <c r="V12" i="4" s="1"/>
  <c r="O29" i="5"/>
  <c r="V29" i="4" s="1"/>
  <c r="O30" i="5"/>
  <c r="V30" i="4" s="1"/>
  <c r="O32" i="5"/>
  <c r="V32" i="4" s="1"/>
  <c r="O33" i="5"/>
  <c r="V33" i="4" s="1"/>
  <c r="L12" i="5"/>
  <c r="M12" i="5"/>
  <c r="L20" i="5"/>
  <c r="M20" i="5"/>
  <c r="L29" i="5"/>
  <c r="M29" i="5"/>
  <c r="L30" i="5"/>
  <c r="M30" i="5"/>
  <c r="L32" i="5"/>
  <c r="M32" i="5"/>
  <c r="L33" i="5"/>
  <c r="M33" i="5"/>
  <c r="L35" i="5"/>
  <c r="M35" i="5"/>
  <c r="L68" i="5"/>
  <c r="M68" i="5"/>
  <c r="L69" i="5"/>
  <c r="M69" i="5"/>
  <c r="L70" i="5"/>
  <c r="M70" i="5"/>
  <c r="L71" i="5"/>
  <c r="M71" i="5"/>
  <c r="L72" i="5"/>
  <c r="M72" i="5"/>
  <c r="L63" i="5"/>
  <c r="M63" i="5"/>
  <c r="L42" i="5"/>
  <c r="M42" i="5"/>
  <c r="L48" i="5"/>
  <c r="M48" i="5"/>
  <c r="M11" i="5"/>
  <c r="G11" i="5"/>
  <c r="D195" i="5"/>
  <c r="D140" i="5"/>
  <c r="D39" i="5"/>
  <c r="D40" i="5"/>
  <c r="D41" i="5"/>
  <c r="D42" i="5"/>
  <c r="D45" i="5"/>
  <c r="D46" i="5"/>
  <c r="D47" i="5"/>
  <c r="D48" i="5"/>
  <c r="D246" i="5"/>
  <c r="D247" i="5"/>
  <c r="D248" i="5"/>
  <c r="D249" i="5"/>
  <c r="D250" i="5"/>
  <c r="D251" i="5"/>
  <c r="D252" i="5"/>
  <c r="D253" i="5"/>
  <c r="D254" i="5"/>
  <c r="D255" i="5"/>
  <c r="D256" i="5"/>
  <c r="D257" i="5"/>
  <c r="D258" i="5"/>
  <c r="D259" i="5"/>
  <c r="D260" i="5"/>
  <c r="D261" i="5"/>
  <c r="D262" i="5"/>
  <c r="D263" i="5"/>
  <c r="D264" i="5"/>
  <c r="D265" i="5"/>
  <c r="D266" i="5"/>
  <c r="D267" i="5"/>
  <c r="D268" i="5"/>
  <c r="D269" i="5"/>
  <c r="D270" i="5"/>
  <c r="D271" i="5"/>
  <c r="D272" i="5"/>
  <c r="D273" i="5"/>
  <c r="D274" i="5"/>
  <c r="D275" i="5"/>
  <c r="D277" i="5"/>
  <c r="D278" i="5"/>
  <c r="D279" i="5"/>
  <c r="D280" i="5"/>
  <c r="D281" i="5"/>
  <c r="D282" i="5"/>
  <c r="D283" i="5"/>
  <c r="D284" i="5"/>
  <c r="D285" i="5"/>
  <c r="D286" i="5"/>
  <c r="D287" i="5"/>
  <c r="D288" i="5"/>
  <c r="D289" i="5"/>
  <c r="D290" i="5"/>
  <c r="D291" i="5"/>
  <c r="D292" i="5"/>
  <c r="D293" i="5"/>
  <c r="D294" i="5"/>
  <c r="D295" i="5"/>
  <c r="D296" i="5"/>
  <c r="D297" i="5"/>
  <c r="D298" i="5"/>
  <c r="D299" i="5"/>
  <c r="D300" i="5"/>
  <c r="D301" i="5"/>
  <c r="D302" i="5"/>
  <c r="D303" i="5"/>
  <c r="D304" i="5"/>
  <c r="D305" i="5"/>
  <c r="D306" i="5"/>
  <c r="D307" i="5"/>
  <c r="D308" i="5"/>
  <c r="D309" i="5"/>
  <c r="D310" i="5"/>
  <c r="D11" i="5"/>
  <c r="B3" i="5"/>
  <c r="B8" i="5"/>
  <c r="B7" i="5"/>
  <c r="B6" i="5"/>
  <c r="B5" i="5"/>
  <c r="F104" i="7"/>
  <c r="D105" i="7"/>
  <c r="F105" i="7"/>
  <c r="D106" i="7"/>
  <c r="F106" i="7"/>
  <c r="D107" i="7"/>
  <c r="F107" i="7"/>
  <c r="F108" i="7"/>
  <c r="D109" i="7"/>
  <c r="F109" i="7"/>
  <c r="D110" i="7"/>
  <c r="F110" i="7"/>
  <c r="D111" i="7"/>
  <c r="F111" i="7"/>
  <c r="F112" i="7"/>
  <c r="D113" i="7"/>
  <c r="F113" i="7"/>
  <c r="D114" i="7"/>
  <c r="F114" i="7"/>
  <c r="D115" i="7"/>
  <c r="F115" i="7"/>
  <c r="F116" i="7"/>
  <c r="D117" i="7"/>
  <c r="F117" i="7"/>
  <c r="D118" i="7"/>
  <c r="F118" i="7"/>
  <c r="D119" i="7"/>
  <c r="F119" i="7"/>
  <c r="F120" i="7"/>
  <c r="D121" i="7"/>
  <c r="F121" i="7"/>
  <c r="D122" i="7"/>
  <c r="F122" i="7"/>
  <c r="D123" i="7"/>
  <c r="F123" i="7"/>
  <c r="F124" i="7"/>
  <c r="D125" i="7"/>
  <c r="F125" i="7"/>
  <c r="D126" i="7"/>
  <c r="F126" i="7"/>
  <c r="D127" i="7"/>
  <c r="F127" i="7"/>
  <c r="F128" i="7"/>
  <c r="D129" i="7"/>
  <c r="F129" i="7"/>
  <c r="D130" i="7"/>
  <c r="F130" i="7"/>
  <c r="D131" i="7"/>
  <c r="F131" i="7"/>
  <c r="F132" i="7"/>
  <c r="D133" i="7"/>
  <c r="F133" i="7"/>
  <c r="D134" i="7"/>
  <c r="F134" i="7"/>
  <c r="D135" i="7"/>
  <c r="F135" i="7"/>
  <c r="F136" i="7"/>
  <c r="D137" i="7"/>
  <c r="F137" i="7"/>
  <c r="D138" i="7"/>
  <c r="F138" i="7"/>
  <c r="D139" i="7"/>
  <c r="F139" i="7"/>
  <c r="F140" i="7"/>
  <c r="D146" i="7"/>
  <c r="F146" i="7"/>
  <c r="D147" i="7"/>
  <c r="F147" i="7"/>
  <c r="D148" i="7"/>
  <c r="F148" i="7"/>
  <c r="F149" i="7"/>
  <c r="D150" i="7"/>
  <c r="F150" i="7"/>
  <c r="D151" i="7"/>
  <c r="F151" i="7"/>
  <c r="F153" i="7"/>
  <c r="D154" i="7"/>
  <c r="F154" i="7"/>
  <c r="D155" i="7"/>
  <c r="F155" i="7"/>
  <c r="F157" i="7"/>
  <c r="D158" i="7"/>
  <c r="F158" i="7"/>
  <c r="D159" i="7"/>
  <c r="F159" i="7"/>
  <c r="D160" i="7"/>
  <c r="F160" i="7"/>
  <c r="F161" i="7"/>
  <c r="D162" i="7"/>
  <c r="F162" i="7"/>
  <c r="F164" i="7"/>
  <c r="F165" i="7"/>
  <c r="D166" i="7"/>
  <c r="F166" i="7"/>
  <c r="D167" i="7"/>
  <c r="F167" i="7"/>
  <c r="F168" i="7"/>
  <c r="F169" i="7"/>
  <c r="D171" i="7"/>
  <c r="F171" i="7"/>
  <c r="D172" i="7"/>
  <c r="F172" i="7"/>
  <c r="F173" i="7"/>
  <c r="D174" i="7"/>
  <c r="F174" i="7"/>
  <c r="D175" i="7"/>
  <c r="F175" i="7"/>
  <c r="D176" i="7"/>
  <c r="F176" i="7"/>
  <c r="F180" i="7"/>
  <c r="F181" i="7"/>
  <c r="D182" i="7"/>
  <c r="F182" i="7"/>
  <c r="D183" i="7"/>
  <c r="F183" i="7"/>
  <c r="F184" i="7"/>
  <c r="F185" i="7"/>
  <c r="D186" i="7"/>
  <c r="F186" i="7"/>
  <c r="D187" i="7"/>
  <c r="F187" i="7"/>
  <c r="F188" i="7"/>
  <c r="D190" i="7"/>
  <c r="F190" i="7"/>
  <c r="D191" i="7"/>
  <c r="F191" i="7"/>
  <c r="D192" i="7"/>
  <c r="F192" i="7"/>
  <c r="F193" i="7"/>
  <c r="D143" i="7"/>
  <c r="F143" i="7"/>
  <c r="F144" i="7"/>
  <c r="D196" i="7"/>
  <c r="F196" i="7"/>
  <c r="F197" i="7"/>
  <c r="F198" i="7"/>
  <c r="D199" i="7"/>
  <c r="F199" i="7"/>
  <c r="D200" i="7"/>
  <c r="F200" i="7"/>
  <c r="F201" i="7"/>
  <c r="F202" i="7"/>
  <c r="D203" i="7"/>
  <c r="F203" i="7"/>
  <c r="D206" i="7"/>
  <c r="F206" i="7"/>
  <c r="D208" i="7"/>
  <c r="F208" i="7"/>
  <c r="D209" i="7"/>
  <c r="F209" i="7"/>
  <c r="F210" i="7"/>
  <c r="F211" i="7"/>
  <c r="D212" i="7"/>
  <c r="F212" i="7"/>
  <c r="D213" i="7"/>
  <c r="F213" i="7"/>
  <c r="F214" i="7"/>
  <c r="F215" i="7"/>
  <c r="D217" i="7"/>
  <c r="F217" i="7"/>
  <c r="D220" i="7"/>
  <c r="F220" i="7"/>
  <c r="F222" i="7"/>
  <c r="F223" i="7"/>
  <c r="D224" i="7"/>
  <c r="F224" i="7"/>
  <c r="D226" i="7"/>
  <c r="F226" i="7"/>
  <c r="F227" i="7"/>
  <c r="D228" i="7"/>
  <c r="F228" i="7"/>
  <c r="D229" i="7"/>
  <c r="F229" i="7"/>
  <c r="D232" i="7"/>
  <c r="F232" i="7"/>
  <c r="F234" i="7"/>
  <c r="F235" i="7"/>
  <c r="D237" i="7"/>
  <c r="F237" i="7"/>
  <c r="D238" i="7"/>
  <c r="F238" i="7"/>
  <c r="F239" i="7"/>
  <c r="D240" i="7"/>
  <c r="F240" i="7"/>
  <c r="D241" i="7"/>
  <c r="F241" i="7"/>
  <c r="D242" i="7"/>
  <c r="F242" i="7"/>
  <c r="F243" i="7"/>
  <c r="F145" i="7"/>
  <c r="O276" i="7"/>
  <c r="F14" i="7"/>
  <c r="H14" i="7"/>
  <c r="I14" i="7" s="1"/>
  <c r="F20" i="7"/>
  <c r="H20" i="7"/>
  <c r="I20" i="7" s="1"/>
  <c r="H33" i="7"/>
  <c r="I33" i="7" s="1"/>
  <c r="F35" i="7"/>
  <c r="H35" i="7"/>
  <c r="I35" i="7" s="1"/>
  <c r="F12" i="7"/>
  <c r="F29" i="7"/>
  <c r="F30" i="7"/>
  <c r="F32" i="7"/>
  <c r="F33" i="7"/>
  <c r="F195" i="7"/>
  <c r="F39" i="7"/>
  <c r="F40" i="7"/>
  <c r="F41" i="7"/>
  <c r="F42" i="7"/>
  <c r="F45" i="7"/>
  <c r="F46" i="7"/>
  <c r="F47" i="7"/>
  <c r="F48" i="7"/>
  <c r="F246" i="7"/>
  <c r="F247" i="7"/>
  <c r="F248" i="7"/>
  <c r="F249" i="7"/>
  <c r="F250" i="7"/>
  <c r="F251" i="7"/>
  <c r="F252" i="7"/>
  <c r="F253" i="7"/>
  <c r="F254" i="7"/>
  <c r="F255" i="7"/>
  <c r="F256" i="7"/>
  <c r="F257" i="7"/>
  <c r="F258" i="7"/>
  <c r="F259" i="7"/>
  <c r="F260" i="7"/>
  <c r="F261" i="7"/>
  <c r="F262" i="7"/>
  <c r="F263" i="7"/>
  <c r="F264" i="7"/>
  <c r="F265" i="7"/>
  <c r="F266" i="7"/>
  <c r="F267" i="7"/>
  <c r="F268" i="7"/>
  <c r="F269" i="7"/>
  <c r="F270" i="7"/>
  <c r="F271" i="7"/>
  <c r="F272" i="7"/>
  <c r="F273" i="7"/>
  <c r="F274" i="7"/>
  <c r="F275" i="7"/>
  <c r="F277" i="7"/>
  <c r="F278" i="7"/>
  <c r="F279" i="7"/>
  <c r="F280" i="7"/>
  <c r="F281" i="7"/>
  <c r="F282" i="7"/>
  <c r="F283" i="7"/>
  <c r="F284" i="7"/>
  <c r="F285" i="7"/>
  <c r="F286" i="7"/>
  <c r="F287" i="7"/>
  <c r="F288" i="7"/>
  <c r="F289" i="7"/>
  <c r="F290" i="7"/>
  <c r="F291" i="7"/>
  <c r="F292" i="7"/>
  <c r="F293" i="7"/>
  <c r="F294" i="7"/>
  <c r="F295" i="7"/>
  <c r="F296" i="7"/>
  <c r="F297" i="7"/>
  <c r="F298" i="7"/>
  <c r="F299" i="7"/>
  <c r="F300" i="7"/>
  <c r="F301" i="7"/>
  <c r="F302" i="7"/>
  <c r="F303" i="7"/>
  <c r="F304" i="7"/>
  <c r="F305" i="7"/>
  <c r="F306" i="7"/>
  <c r="F307" i="7"/>
  <c r="F308" i="7"/>
  <c r="F309" i="7"/>
  <c r="F310" i="7"/>
  <c r="D12" i="7"/>
  <c r="D29" i="7"/>
  <c r="D30" i="7"/>
  <c r="D32" i="7"/>
  <c r="D33" i="7"/>
  <c r="D195" i="7"/>
  <c r="D39" i="7"/>
  <c r="D41" i="7"/>
  <c r="D42" i="7"/>
  <c r="D45" i="7"/>
  <c r="D47" i="7"/>
  <c r="D48" i="7"/>
  <c r="D246" i="7"/>
  <c r="D247" i="7"/>
  <c r="D249" i="7"/>
  <c r="D250" i="7"/>
  <c r="D251" i="7"/>
  <c r="D253" i="7"/>
  <c r="D254" i="7"/>
  <c r="D255" i="7"/>
  <c r="D257" i="7"/>
  <c r="D258" i="7"/>
  <c r="D259" i="7"/>
  <c r="D261" i="7"/>
  <c r="D262" i="7"/>
  <c r="D263" i="7"/>
  <c r="D265" i="7"/>
  <c r="D266" i="7"/>
  <c r="D267" i="7"/>
  <c r="D269" i="7"/>
  <c r="D270" i="7"/>
  <c r="D271" i="7"/>
  <c r="D273" i="7"/>
  <c r="D274" i="7"/>
  <c r="D275" i="7"/>
  <c r="D278" i="7"/>
  <c r="D279" i="7"/>
  <c r="D280" i="7"/>
  <c r="D282" i="7"/>
  <c r="D283" i="7"/>
  <c r="D284" i="7"/>
  <c r="D286" i="7"/>
  <c r="D287" i="7"/>
  <c r="D288" i="7"/>
  <c r="D290" i="7"/>
  <c r="D291" i="7"/>
  <c r="D292" i="7"/>
  <c r="D294" i="7"/>
  <c r="D295" i="7"/>
  <c r="D296" i="7"/>
  <c r="D298" i="7"/>
  <c r="D299" i="7"/>
  <c r="D300" i="7"/>
  <c r="D302" i="7"/>
  <c r="D303" i="7"/>
  <c r="D304" i="7"/>
  <c r="D306" i="7"/>
  <c r="D307" i="7"/>
  <c r="D308" i="7"/>
  <c r="D310" i="7"/>
  <c r="D11" i="7"/>
  <c r="B9" i="7"/>
  <c r="B3" i="7"/>
  <c r="B5" i="7"/>
  <c r="B6" i="7"/>
  <c r="B8" i="7"/>
  <c r="F208" i="9"/>
  <c r="G208" i="9"/>
  <c r="F209" i="9"/>
  <c r="G209" i="9"/>
  <c r="F210" i="9"/>
  <c r="G210" i="9"/>
  <c r="F211" i="9"/>
  <c r="G211" i="9"/>
  <c r="F212" i="9"/>
  <c r="G212" i="9"/>
  <c r="F213" i="9"/>
  <c r="G213" i="9"/>
  <c r="F214" i="9"/>
  <c r="F215" i="9"/>
  <c r="G215" i="9"/>
  <c r="F217" i="9"/>
  <c r="G217" i="9"/>
  <c r="F220" i="9"/>
  <c r="G220" i="9"/>
  <c r="F222" i="9"/>
  <c r="G222" i="9"/>
  <c r="F223" i="9"/>
  <c r="G223" i="9"/>
  <c r="F224" i="9"/>
  <c r="G224" i="9"/>
  <c r="F226" i="9"/>
  <c r="G226" i="9"/>
  <c r="F227" i="9"/>
  <c r="G227" i="9"/>
  <c r="F228" i="9"/>
  <c r="G228" i="9"/>
  <c r="F229" i="9"/>
  <c r="G229" i="9"/>
  <c r="F232" i="9"/>
  <c r="G232" i="9"/>
  <c r="F234" i="9"/>
  <c r="G234" i="9"/>
  <c r="F235" i="9"/>
  <c r="G235" i="9"/>
  <c r="F237" i="9"/>
  <c r="G237" i="9"/>
  <c r="F238" i="9"/>
  <c r="G238" i="9"/>
  <c r="F239" i="9"/>
  <c r="G239" i="9"/>
  <c r="F240" i="9"/>
  <c r="G240" i="9"/>
  <c r="F241" i="9"/>
  <c r="G241" i="9"/>
  <c r="F242" i="9"/>
  <c r="G242" i="9"/>
  <c r="F243" i="9"/>
  <c r="G243" i="9"/>
  <c r="F206" i="9"/>
  <c r="G206" i="9"/>
  <c r="F196" i="9"/>
  <c r="G196" i="9"/>
  <c r="F197" i="9"/>
  <c r="F198" i="9"/>
  <c r="G198" i="9"/>
  <c r="F199" i="9"/>
  <c r="G199" i="9"/>
  <c r="F200" i="9"/>
  <c r="G200" i="9"/>
  <c r="F201" i="9"/>
  <c r="G201" i="9"/>
  <c r="F202" i="9"/>
  <c r="G202" i="9"/>
  <c r="F203" i="9"/>
  <c r="G203" i="9"/>
  <c r="F146" i="9"/>
  <c r="G146" i="9"/>
  <c r="F147" i="9"/>
  <c r="G147" i="9"/>
  <c r="F148" i="9"/>
  <c r="F149" i="9"/>
  <c r="G149" i="9"/>
  <c r="F150" i="9"/>
  <c r="G150" i="9"/>
  <c r="F151" i="9"/>
  <c r="G151" i="9"/>
  <c r="F153" i="9"/>
  <c r="G153" i="9"/>
  <c r="F154" i="9"/>
  <c r="G154" i="9"/>
  <c r="F155" i="9"/>
  <c r="G155" i="9"/>
  <c r="F157" i="9"/>
  <c r="G157" i="9"/>
  <c r="F158" i="9"/>
  <c r="G158" i="9"/>
  <c r="F159" i="9"/>
  <c r="G159" i="9"/>
  <c r="F160" i="9"/>
  <c r="G160" i="9"/>
  <c r="F161" i="9"/>
  <c r="G161" i="9"/>
  <c r="F162" i="9"/>
  <c r="G162" i="9"/>
  <c r="F164" i="9"/>
  <c r="F165" i="9"/>
  <c r="G165" i="9"/>
  <c r="F166" i="9"/>
  <c r="G166" i="9"/>
  <c r="F167" i="9"/>
  <c r="G167" i="9"/>
  <c r="F168" i="9"/>
  <c r="G168" i="9"/>
  <c r="F169" i="9"/>
  <c r="G169" i="9"/>
  <c r="F171" i="9"/>
  <c r="G171" i="9"/>
  <c r="F172" i="9"/>
  <c r="G172" i="9"/>
  <c r="F173" i="9"/>
  <c r="G173" i="9"/>
  <c r="F174" i="9"/>
  <c r="G174" i="9"/>
  <c r="F175" i="9"/>
  <c r="G175" i="9"/>
  <c r="F176" i="9"/>
  <c r="G176" i="9"/>
  <c r="F180" i="9"/>
  <c r="F181" i="9"/>
  <c r="G181" i="9"/>
  <c r="F182" i="9"/>
  <c r="G182" i="9"/>
  <c r="F183" i="9"/>
  <c r="G183" i="9"/>
  <c r="F184" i="9"/>
  <c r="G184" i="9"/>
  <c r="F185" i="9"/>
  <c r="G185" i="9"/>
  <c r="F186" i="9"/>
  <c r="G186" i="9"/>
  <c r="F187" i="9"/>
  <c r="G187" i="9"/>
  <c r="F188" i="9"/>
  <c r="G188" i="9"/>
  <c r="F190" i="9"/>
  <c r="G190" i="9"/>
  <c r="F191" i="9"/>
  <c r="G191" i="9"/>
  <c r="F192" i="9"/>
  <c r="G192" i="9"/>
  <c r="F193" i="9"/>
  <c r="G193" i="9"/>
  <c r="F143" i="9"/>
  <c r="G143" i="9"/>
  <c r="F144" i="9"/>
  <c r="G144" i="9"/>
  <c r="F104" i="9"/>
  <c r="G104" i="9"/>
  <c r="F105" i="9"/>
  <c r="G105" i="9"/>
  <c r="F106" i="9"/>
  <c r="G106" i="9"/>
  <c r="F107" i="9"/>
  <c r="G107" i="9"/>
  <c r="F108" i="9"/>
  <c r="G108" i="9"/>
  <c r="F109" i="9"/>
  <c r="G109" i="9"/>
  <c r="F110" i="9"/>
  <c r="G110" i="9"/>
  <c r="F111" i="9"/>
  <c r="G111" i="9"/>
  <c r="F112" i="9"/>
  <c r="G112" i="9"/>
  <c r="F113" i="9"/>
  <c r="G113" i="9"/>
  <c r="F114" i="9"/>
  <c r="G114" i="9"/>
  <c r="F115" i="9"/>
  <c r="F116" i="9"/>
  <c r="G116" i="9"/>
  <c r="F117" i="9"/>
  <c r="G117" i="9"/>
  <c r="F118" i="9"/>
  <c r="G118" i="9"/>
  <c r="F119" i="9"/>
  <c r="G119" i="9"/>
  <c r="F120" i="9"/>
  <c r="G120" i="9"/>
  <c r="F121" i="9"/>
  <c r="G121" i="9"/>
  <c r="F122" i="9"/>
  <c r="G122" i="9"/>
  <c r="F123" i="9"/>
  <c r="G123" i="9"/>
  <c r="F124" i="9"/>
  <c r="G124" i="9"/>
  <c r="F125" i="9"/>
  <c r="G125" i="9"/>
  <c r="F126" i="9"/>
  <c r="G126" i="9"/>
  <c r="F127" i="9"/>
  <c r="G127" i="9"/>
  <c r="F128" i="9"/>
  <c r="G128" i="9"/>
  <c r="F129" i="9"/>
  <c r="G129" i="9"/>
  <c r="F130" i="9"/>
  <c r="G130" i="9"/>
  <c r="F131" i="9"/>
  <c r="F132" i="9"/>
  <c r="G132" i="9"/>
  <c r="F133" i="9"/>
  <c r="G133" i="9"/>
  <c r="F134" i="9"/>
  <c r="G134" i="9"/>
  <c r="F135" i="9"/>
  <c r="G135" i="9"/>
  <c r="F136" i="9"/>
  <c r="G136" i="9"/>
  <c r="F137" i="9"/>
  <c r="G137" i="9"/>
  <c r="F138" i="9"/>
  <c r="G138" i="9"/>
  <c r="F139" i="9"/>
  <c r="G139" i="9"/>
  <c r="F140" i="9"/>
  <c r="G140" i="9"/>
  <c r="G145" i="9"/>
  <c r="F145" i="9"/>
  <c r="J11" i="9"/>
  <c r="I11" i="9"/>
  <c r="H11" i="9"/>
  <c r="B11" i="9"/>
  <c r="G13" i="9"/>
  <c r="J13" i="9"/>
  <c r="I13" i="9"/>
  <c r="J12" i="9"/>
  <c r="J14" i="9"/>
  <c r="G15" i="9"/>
  <c r="J15" i="9"/>
  <c r="G17" i="9"/>
  <c r="J17" i="9"/>
  <c r="G20" i="9"/>
  <c r="J20" i="9"/>
  <c r="G21" i="9"/>
  <c r="J21" i="9"/>
  <c r="G23" i="9"/>
  <c r="J23" i="9"/>
  <c r="G26" i="9"/>
  <c r="J26" i="9"/>
  <c r="G28" i="9"/>
  <c r="J28" i="9"/>
  <c r="J29" i="9"/>
  <c r="J30" i="9"/>
  <c r="J32" i="9"/>
  <c r="J33" i="9"/>
  <c r="G35" i="9"/>
  <c r="J35" i="9"/>
  <c r="G68" i="9"/>
  <c r="J68" i="9"/>
  <c r="G69" i="9"/>
  <c r="J69" i="9"/>
  <c r="J65" i="9"/>
  <c r="J64" i="9"/>
  <c r="G63" i="9"/>
  <c r="J63" i="9"/>
  <c r="I12" i="9"/>
  <c r="I14" i="9"/>
  <c r="I15" i="9"/>
  <c r="I17" i="9"/>
  <c r="I20" i="9"/>
  <c r="I21" i="9"/>
  <c r="I23" i="9"/>
  <c r="I26" i="9"/>
  <c r="I28" i="9"/>
  <c r="I29" i="9"/>
  <c r="I30" i="9"/>
  <c r="I32" i="9"/>
  <c r="I33" i="9"/>
  <c r="I35" i="9"/>
  <c r="I68" i="9"/>
  <c r="I69" i="9"/>
  <c r="I65" i="9"/>
  <c r="I64" i="9"/>
  <c r="I63" i="9"/>
  <c r="H12" i="9"/>
  <c r="H13" i="9"/>
  <c r="H14" i="9"/>
  <c r="H15" i="9"/>
  <c r="H17" i="9"/>
  <c r="H20" i="9"/>
  <c r="H21" i="9"/>
  <c r="H23" i="9"/>
  <c r="H26" i="9"/>
  <c r="H28" i="9"/>
  <c r="H29" i="9"/>
  <c r="H30" i="9"/>
  <c r="H32" i="9"/>
  <c r="H33" i="9"/>
  <c r="H35" i="9"/>
  <c r="F11" i="9"/>
  <c r="G11" i="9"/>
  <c r="G195" i="9"/>
  <c r="G39" i="9"/>
  <c r="G40" i="9"/>
  <c r="G41" i="9"/>
  <c r="G42" i="9"/>
  <c r="G44" i="9"/>
  <c r="G45" i="9"/>
  <c r="G46" i="9"/>
  <c r="G47" i="9"/>
  <c r="G48" i="9"/>
  <c r="G246" i="9"/>
  <c r="G248" i="9"/>
  <c r="G249" i="9"/>
  <c r="G250" i="9"/>
  <c r="G251" i="9"/>
  <c r="G252" i="9"/>
  <c r="G253" i="9"/>
  <c r="G254" i="9"/>
  <c r="G255" i="9"/>
  <c r="G256" i="9"/>
  <c r="G257" i="9"/>
  <c r="G258" i="9"/>
  <c r="G259" i="9"/>
  <c r="G260" i="9"/>
  <c r="G261" i="9"/>
  <c r="G262" i="9"/>
  <c r="G264" i="9"/>
  <c r="G265" i="9"/>
  <c r="G266" i="9"/>
  <c r="G267" i="9"/>
  <c r="G268" i="9"/>
  <c r="G269" i="9"/>
  <c r="G270" i="9"/>
  <c r="G271" i="9"/>
  <c r="G272" i="9"/>
  <c r="G273" i="9"/>
  <c r="G274" i="9"/>
  <c r="G275" i="9"/>
  <c r="G277" i="9"/>
  <c r="G278" i="9"/>
  <c r="G279" i="9"/>
  <c r="G281" i="9"/>
  <c r="G282" i="9"/>
  <c r="G283" i="9"/>
  <c r="G284" i="9"/>
  <c r="G285" i="9"/>
  <c r="G286" i="9"/>
  <c r="G287" i="9"/>
  <c r="G288" i="9"/>
  <c r="G289" i="9"/>
  <c r="G290" i="9"/>
  <c r="G291" i="9"/>
  <c r="G292" i="9"/>
  <c r="G293" i="9"/>
  <c r="G294" i="9"/>
  <c r="G295" i="9"/>
  <c r="G297" i="9"/>
  <c r="G298" i="9"/>
  <c r="G299" i="9"/>
  <c r="G300" i="9"/>
  <c r="G301" i="9"/>
  <c r="G302" i="9"/>
  <c r="G303" i="9"/>
  <c r="G304" i="9"/>
  <c r="G305" i="9"/>
  <c r="G306" i="9"/>
  <c r="G307" i="9"/>
  <c r="G308" i="9"/>
  <c r="G309" i="9"/>
  <c r="G310" i="9"/>
  <c r="G12" i="9"/>
  <c r="G29" i="9"/>
  <c r="G32" i="9"/>
  <c r="G33" i="9"/>
  <c r="B12" i="9"/>
  <c r="B13" i="9"/>
  <c r="B14" i="9"/>
  <c r="B15" i="9"/>
  <c r="B17" i="9"/>
  <c r="B20" i="9"/>
  <c r="B21" i="9"/>
  <c r="B23" i="9"/>
  <c r="B26" i="9"/>
  <c r="B28" i="9"/>
  <c r="B29" i="9"/>
  <c r="B30" i="9"/>
  <c r="B32" i="9"/>
  <c r="B33" i="9"/>
  <c r="B35" i="9"/>
  <c r="B68" i="9"/>
  <c r="B69" i="9"/>
  <c r="B65" i="9"/>
  <c r="B64" i="9"/>
  <c r="B63" i="9"/>
  <c r="M17" i="9"/>
  <c r="U17" i="4" s="1"/>
  <c r="M20" i="9"/>
  <c r="U20" i="4" s="1"/>
  <c r="M21" i="9"/>
  <c r="U21" i="4" s="1"/>
  <c r="M23" i="9"/>
  <c r="U23" i="4" s="1"/>
  <c r="M26" i="9"/>
  <c r="U26" i="4" s="1"/>
  <c r="M28" i="9"/>
  <c r="U28" i="4" s="1"/>
  <c r="M29" i="9"/>
  <c r="U29" i="4" s="1"/>
  <c r="M30" i="9"/>
  <c r="M32" i="9"/>
  <c r="U32" i="4" s="1"/>
  <c r="M33" i="9"/>
  <c r="U33" i="4" s="1"/>
  <c r="M35" i="9"/>
  <c r="U35" i="4" s="1"/>
  <c r="M68" i="9"/>
  <c r="U68" i="4" s="1"/>
  <c r="M69" i="9"/>
  <c r="U69" i="4" s="1"/>
  <c r="M63" i="9"/>
  <c r="U63" i="4" s="1"/>
  <c r="M12" i="9"/>
  <c r="U12" i="4" s="1"/>
  <c r="M13" i="9"/>
  <c r="U13" i="4" s="1"/>
  <c r="M14" i="9"/>
  <c r="U14" i="4" s="1"/>
  <c r="M15" i="9"/>
  <c r="U15" i="4" s="1"/>
  <c r="M11" i="9"/>
  <c r="U11" i="4" s="1"/>
  <c r="L11" i="9"/>
  <c r="T11" i="4" s="1"/>
  <c r="F12" i="9"/>
  <c r="F29" i="9"/>
  <c r="F30" i="9"/>
  <c r="F32" i="9"/>
  <c r="F33" i="9"/>
  <c r="F10" i="9"/>
  <c r="B5" i="9"/>
  <c r="B8" i="9"/>
  <c r="B7" i="9"/>
  <c r="B6" i="9"/>
  <c r="F310" i="9"/>
  <c r="F309" i="9"/>
  <c r="F308" i="9"/>
  <c r="F307" i="9"/>
  <c r="F306" i="9"/>
  <c r="F305" i="9"/>
  <c r="F304" i="9"/>
  <c r="F303" i="9"/>
  <c r="F302" i="9"/>
  <c r="F301" i="9"/>
  <c r="F300" i="9"/>
  <c r="F299" i="9"/>
  <c r="F298" i="9"/>
  <c r="F297" i="9"/>
  <c r="F296" i="9"/>
  <c r="F295" i="9"/>
  <c r="F294" i="9"/>
  <c r="F293" i="9"/>
  <c r="F292" i="9"/>
  <c r="F291" i="9"/>
  <c r="F290" i="9"/>
  <c r="F289" i="9"/>
  <c r="F288" i="9"/>
  <c r="F287" i="9"/>
  <c r="F286" i="9"/>
  <c r="F285" i="9"/>
  <c r="F284" i="9"/>
  <c r="F283" i="9"/>
  <c r="F282" i="9"/>
  <c r="F281" i="9"/>
  <c r="F280" i="9"/>
  <c r="F279" i="9"/>
  <c r="F278" i="9"/>
  <c r="F277" i="9"/>
  <c r="F275" i="9"/>
  <c r="F274" i="9"/>
  <c r="F273" i="9"/>
  <c r="F272" i="9"/>
  <c r="F271" i="9"/>
  <c r="F270" i="9"/>
  <c r="F269" i="9"/>
  <c r="F268" i="9"/>
  <c r="F267" i="9"/>
  <c r="F266" i="9"/>
  <c r="F265" i="9"/>
  <c r="F264" i="9"/>
  <c r="F263" i="9"/>
  <c r="F262" i="9"/>
  <c r="F261" i="9"/>
  <c r="F260" i="9"/>
  <c r="F259" i="9"/>
  <c r="F258" i="9"/>
  <c r="F257" i="9"/>
  <c r="F256" i="9"/>
  <c r="F255" i="9"/>
  <c r="F254" i="9"/>
  <c r="F253" i="9"/>
  <c r="F252" i="9"/>
  <c r="F251" i="9"/>
  <c r="F250" i="9"/>
  <c r="F249" i="9"/>
  <c r="F248" i="9"/>
  <c r="F247" i="9"/>
  <c r="F246" i="9"/>
  <c r="F48" i="9"/>
  <c r="F47" i="9"/>
  <c r="F46" i="9"/>
  <c r="F45" i="9"/>
  <c r="F42" i="9"/>
  <c r="F41" i="9"/>
  <c r="F40" i="9"/>
  <c r="F39" i="9"/>
  <c r="F195" i="9"/>
  <c r="G206" i="6"/>
  <c r="J206" i="6"/>
  <c r="K206" i="6"/>
  <c r="J208" i="6"/>
  <c r="K208" i="6"/>
  <c r="G209" i="6"/>
  <c r="J209" i="6"/>
  <c r="K209" i="6"/>
  <c r="G210" i="6"/>
  <c r="J210" i="6"/>
  <c r="K210" i="6"/>
  <c r="G211" i="6"/>
  <c r="J211" i="6"/>
  <c r="K211" i="6"/>
  <c r="J212" i="6"/>
  <c r="K212" i="6"/>
  <c r="G213" i="6"/>
  <c r="J213" i="6"/>
  <c r="K213" i="6"/>
  <c r="G214" i="6"/>
  <c r="J214" i="6"/>
  <c r="K214" i="6"/>
  <c r="G215" i="6"/>
  <c r="J215" i="6"/>
  <c r="K215" i="6"/>
  <c r="G217" i="6"/>
  <c r="J217" i="6"/>
  <c r="K217" i="6"/>
  <c r="G218" i="6"/>
  <c r="J220" i="6"/>
  <c r="K220" i="6"/>
  <c r="G222" i="6"/>
  <c r="J222" i="6"/>
  <c r="K222" i="6"/>
  <c r="G223" i="6"/>
  <c r="J223" i="6"/>
  <c r="K223" i="6"/>
  <c r="J224" i="6"/>
  <c r="K224" i="6"/>
  <c r="G226" i="6"/>
  <c r="J226" i="6"/>
  <c r="K226" i="6"/>
  <c r="G227" i="6"/>
  <c r="J227" i="6"/>
  <c r="K227" i="6"/>
  <c r="H228" i="6"/>
  <c r="J228" i="6"/>
  <c r="K228" i="6"/>
  <c r="G229" i="6"/>
  <c r="J229" i="6"/>
  <c r="K229" i="6"/>
  <c r="G230" i="6"/>
  <c r="G231" i="6"/>
  <c r="G232" i="6"/>
  <c r="J232" i="6"/>
  <c r="K232" i="6"/>
  <c r="G233" i="6"/>
  <c r="G234" i="6"/>
  <c r="J234" i="6"/>
  <c r="K234" i="6"/>
  <c r="G235" i="6"/>
  <c r="J235" i="6"/>
  <c r="K235" i="6"/>
  <c r="G237" i="6"/>
  <c r="H237" i="6"/>
  <c r="J237" i="6"/>
  <c r="K237" i="6"/>
  <c r="G238" i="6"/>
  <c r="J238" i="6"/>
  <c r="K238" i="6"/>
  <c r="G239" i="6"/>
  <c r="J239" i="6"/>
  <c r="K239" i="6"/>
  <c r="I240" i="6"/>
  <c r="J240" i="6"/>
  <c r="K240" i="6"/>
  <c r="G241" i="6"/>
  <c r="J241" i="6"/>
  <c r="K241" i="6"/>
  <c r="G242" i="6"/>
  <c r="J242" i="6"/>
  <c r="K242" i="6"/>
  <c r="G243" i="6"/>
  <c r="J243" i="6"/>
  <c r="K243" i="6"/>
  <c r="G196" i="6"/>
  <c r="H196" i="6"/>
  <c r="J196" i="6"/>
  <c r="K196" i="6"/>
  <c r="G197" i="6"/>
  <c r="J197" i="6"/>
  <c r="K197" i="6"/>
  <c r="G198" i="6"/>
  <c r="J198" i="6"/>
  <c r="K198" i="6"/>
  <c r="J199" i="6"/>
  <c r="K199" i="6"/>
  <c r="G200" i="6"/>
  <c r="J200" i="6"/>
  <c r="K200" i="6"/>
  <c r="G201" i="6"/>
  <c r="J201" i="6"/>
  <c r="K201" i="6"/>
  <c r="G202" i="6"/>
  <c r="H202" i="6"/>
  <c r="J202" i="6"/>
  <c r="K202" i="6"/>
  <c r="G203" i="6"/>
  <c r="J203" i="6"/>
  <c r="K203" i="6"/>
  <c r="G145" i="6"/>
  <c r="J145" i="6"/>
  <c r="K145" i="6"/>
  <c r="J146" i="6"/>
  <c r="K146" i="6"/>
  <c r="G147" i="6"/>
  <c r="J147" i="6"/>
  <c r="K147" i="6"/>
  <c r="G148" i="6"/>
  <c r="H148" i="6"/>
  <c r="J148" i="6"/>
  <c r="K148" i="6"/>
  <c r="G149" i="6"/>
  <c r="J149" i="6"/>
  <c r="K149" i="6"/>
  <c r="J150" i="6"/>
  <c r="K150" i="6"/>
  <c r="G151" i="6"/>
  <c r="J151" i="6"/>
  <c r="K151" i="6"/>
  <c r="G153" i="6"/>
  <c r="J153" i="6"/>
  <c r="K153" i="6"/>
  <c r="J154" i="6"/>
  <c r="K154" i="6"/>
  <c r="G155" i="6"/>
  <c r="J155" i="6"/>
  <c r="K155" i="6"/>
  <c r="G157" i="6"/>
  <c r="J157" i="6"/>
  <c r="K157" i="6"/>
  <c r="J158" i="6"/>
  <c r="K158" i="6"/>
  <c r="G159" i="6"/>
  <c r="H159" i="6"/>
  <c r="J159" i="6"/>
  <c r="K159" i="6"/>
  <c r="G160" i="6"/>
  <c r="J160" i="6"/>
  <c r="K160" i="6"/>
  <c r="G161" i="6"/>
  <c r="J161" i="6"/>
  <c r="K161" i="6"/>
  <c r="G162" i="6"/>
  <c r="J162" i="6"/>
  <c r="K162" i="6"/>
  <c r="G164" i="6"/>
  <c r="J164" i="6"/>
  <c r="K164" i="6"/>
  <c r="G165" i="6"/>
  <c r="J165" i="6"/>
  <c r="K165" i="6"/>
  <c r="J166" i="6"/>
  <c r="K166" i="6"/>
  <c r="G167" i="6"/>
  <c r="J167" i="6"/>
  <c r="K167" i="6"/>
  <c r="G168" i="6"/>
  <c r="J168" i="6"/>
  <c r="K168" i="6"/>
  <c r="G169" i="6"/>
  <c r="J169" i="6"/>
  <c r="K169" i="6"/>
  <c r="G171" i="6"/>
  <c r="J171" i="6"/>
  <c r="K171" i="6"/>
  <c r="G172" i="6"/>
  <c r="J172" i="6"/>
  <c r="K172" i="6"/>
  <c r="G173" i="6"/>
  <c r="J173" i="6"/>
  <c r="K173" i="6"/>
  <c r="J174" i="6"/>
  <c r="K174" i="6"/>
  <c r="G175" i="6"/>
  <c r="J175" i="6"/>
  <c r="K175" i="6"/>
  <c r="G176" i="6"/>
  <c r="J176" i="6"/>
  <c r="K176" i="6"/>
  <c r="G180" i="6"/>
  <c r="J180" i="6"/>
  <c r="K180" i="6"/>
  <c r="G181" i="6"/>
  <c r="H181" i="6"/>
  <c r="J181" i="6"/>
  <c r="K181" i="6"/>
  <c r="J182" i="6"/>
  <c r="K182" i="6"/>
  <c r="G183" i="6"/>
  <c r="J183" i="6"/>
  <c r="K183" i="6"/>
  <c r="G184" i="6"/>
  <c r="J184" i="6"/>
  <c r="K184" i="6"/>
  <c r="G185" i="6"/>
  <c r="J185" i="6"/>
  <c r="K185" i="6"/>
  <c r="H186" i="6"/>
  <c r="J186" i="6"/>
  <c r="K186" i="6"/>
  <c r="G187" i="6"/>
  <c r="J187" i="6"/>
  <c r="K187" i="6"/>
  <c r="G188" i="6"/>
  <c r="H188" i="6"/>
  <c r="J188" i="6"/>
  <c r="K188" i="6"/>
  <c r="G190" i="6"/>
  <c r="J190" i="6"/>
  <c r="K190" i="6"/>
  <c r="G191" i="6"/>
  <c r="H191" i="6"/>
  <c r="J191" i="6"/>
  <c r="K191" i="6"/>
  <c r="G192" i="6"/>
  <c r="J192" i="6"/>
  <c r="K192" i="6"/>
  <c r="G193" i="6"/>
  <c r="J193" i="6"/>
  <c r="K193" i="6"/>
  <c r="G143" i="6"/>
  <c r="J143" i="6"/>
  <c r="K143" i="6"/>
  <c r="G104" i="6"/>
  <c r="J104" i="6"/>
  <c r="K104" i="6"/>
  <c r="J105" i="6"/>
  <c r="K105" i="6"/>
  <c r="G106" i="6"/>
  <c r="J106" i="6"/>
  <c r="K106" i="6"/>
  <c r="G107" i="6"/>
  <c r="J107" i="6"/>
  <c r="K107" i="6"/>
  <c r="G108" i="6"/>
  <c r="J108" i="6"/>
  <c r="K108" i="6"/>
  <c r="J109" i="6"/>
  <c r="K109" i="6"/>
  <c r="G110" i="6"/>
  <c r="J110" i="6"/>
  <c r="G111" i="6"/>
  <c r="J111" i="6"/>
  <c r="K111" i="6"/>
  <c r="G112" i="6"/>
  <c r="J112" i="6"/>
  <c r="J113" i="6"/>
  <c r="K113" i="6"/>
  <c r="G114" i="6"/>
  <c r="J114" i="6"/>
  <c r="K114" i="6"/>
  <c r="G115" i="6"/>
  <c r="J115" i="6"/>
  <c r="K115" i="6"/>
  <c r="G116" i="6"/>
  <c r="J116" i="6"/>
  <c r="K116" i="6"/>
  <c r="G117" i="6"/>
  <c r="J117" i="6"/>
  <c r="K117" i="6"/>
  <c r="G118" i="6"/>
  <c r="J118" i="6"/>
  <c r="K118" i="6"/>
  <c r="G119" i="6"/>
  <c r="J119" i="6"/>
  <c r="K119" i="6"/>
  <c r="G120" i="6"/>
  <c r="J120" i="6"/>
  <c r="K120" i="6"/>
  <c r="J121" i="6"/>
  <c r="K121" i="6"/>
  <c r="G122" i="6"/>
  <c r="J122" i="6"/>
  <c r="K122" i="6"/>
  <c r="G123" i="6"/>
  <c r="J123" i="6"/>
  <c r="G124" i="6"/>
  <c r="J124" i="6"/>
  <c r="K124" i="6"/>
  <c r="J125" i="6"/>
  <c r="K125" i="6"/>
  <c r="G126" i="6"/>
  <c r="J126" i="6"/>
  <c r="K126" i="6"/>
  <c r="G127" i="6"/>
  <c r="J127" i="6"/>
  <c r="K127" i="6"/>
  <c r="G128" i="6"/>
  <c r="J128" i="6"/>
  <c r="K128" i="6"/>
  <c r="J129" i="6"/>
  <c r="K129" i="6"/>
  <c r="G130" i="6"/>
  <c r="J130" i="6"/>
  <c r="K130" i="6"/>
  <c r="G131" i="6"/>
  <c r="J131" i="6"/>
  <c r="K131" i="6"/>
  <c r="G132" i="6"/>
  <c r="J132" i="6"/>
  <c r="K132" i="6"/>
  <c r="H133" i="6"/>
  <c r="J133" i="6"/>
  <c r="K133" i="6"/>
  <c r="G134" i="6"/>
  <c r="H134" i="6"/>
  <c r="J134" i="6"/>
  <c r="K134" i="6"/>
  <c r="G135" i="6"/>
  <c r="J135" i="6"/>
  <c r="G136" i="6"/>
  <c r="J136" i="6"/>
  <c r="K136" i="6"/>
  <c r="J137" i="6"/>
  <c r="K137" i="6"/>
  <c r="G138" i="6"/>
  <c r="J138" i="6"/>
  <c r="K138" i="6"/>
  <c r="G139" i="6"/>
  <c r="I139" i="6"/>
  <c r="J139" i="6"/>
  <c r="G140" i="6"/>
  <c r="H140" i="6"/>
  <c r="J140" i="6"/>
  <c r="K140" i="6"/>
  <c r="K144" i="6"/>
  <c r="J144" i="6"/>
  <c r="G144" i="6"/>
  <c r="G13" i="6"/>
  <c r="F13" i="6"/>
  <c r="Q13" i="6"/>
  <c r="W13" i="4" s="1"/>
  <c r="S13" i="6"/>
  <c r="X13" i="4" s="1"/>
  <c r="E11" i="6"/>
  <c r="C11" i="6"/>
  <c r="B11" i="6"/>
  <c r="F12" i="6"/>
  <c r="F14" i="6"/>
  <c r="F15" i="6"/>
  <c r="F20" i="6"/>
  <c r="F29" i="6"/>
  <c r="F30" i="6"/>
  <c r="F32" i="6"/>
  <c r="F33" i="6"/>
  <c r="F35" i="6"/>
  <c r="U33" i="6"/>
  <c r="M33" i="4" s="1"/>
  <c r="S35" i="6"/>
  <c r="X35" i="4" s="1"/>
  <c r="U35" i="6"/>
  <c r="M35" i="4" s="1"/>
  <c r="F68" i="6"/>
  <c r="S68" i="6"/>
  <c r="X68" i="4" s="1"/>
  <c r="U68" i="6"/>
  <c r="M68" i="4" s="1"/>
  <c r="F69" i="6"/>
  <c r="S69" i="6"/>
  <c r="X69" i="4" s="1"/>
  <c r="U69" i="6"/>
  <c r="M69" i="4" s="1"/>
  <c r="U65" i="6"/>
  <c r="M65" i="4" s="1"/>
  <c r="U64" i="6"/>
  <c r="M64" i="4" s="1"/>
  <c r="F63" i="6"/>
  <c r="S63" i="6"/>
  <c r="X63" i="4" s="1"/>
  <c r="U63" i="6"/>
  <c r="M63" i="4" s="1"/>
  <c r="U12" i="6"/>
  <c r="M12" i="4" s="1"/>
  <c r="U13" i="6"/>
  <c r="M13" i="4" s="1"/>
  <c r="S14" i="6"/>
  <c r="X14" i="4" s="1"/>
  <c r="U14" i="6"/>
  <c r="M14" i="4" s="1"/>
  <c r="G15" i="6"/>
  <c r="S15" i="6"/>
  <c r="X15" i="4" s="1"/>
  <c r="U15" i="6"/>
  <c r="M15" i="4" s="1"/>
  <c r="U17" i="6"/>
  <c r="M17" i="4" s="1"/>
  <c r="S20" i="6"/>
  <c r="X20" i="4" s="1"/>
  <c r="U20" i="6"/>
  <c r="M20" i="4" s="1"/>
  <c r="U21" i="6"/>
  <c r="M21" i="4" s="1"/>
  <c r="U23" i="6"/>
  <c r="M23" i="4" s="1"/>
  <c r="U26" i="6"/>
  <c r="M26" i="4" s="1"/>
  <c r="U28" i="6"/>
  <c r="M28" i="4" s="1"/>
  <c r="S29" i="6"/>
  <c r="X29" i="4" s="1"/>
  <c r="U29" i="6"/>
  <c r="M29" i="4" s="1"/>
  <c r="U30" i="6"/>
  <c r="M30" i="4" s="1"/>
  <c r="U32" i="6"/>
  <c r="M32" i="4" s="1"/>
  <c r="U11" i="6"/>
  <c r="M11" i="4" s="1"/>
  <c r="T30" i="6"/>
  <c r="L30" i="4" s="1"/>
  <c r="T32" i="6"/>
  <c r="L32" i="4" s="1"/>
  <c r="T33" i="6"/>
  <c r="L33" i="4" s="1"/>
  <c r="Q35" i="6"/>
  <c r="W35" i="4" s="1"/>
  <c r="T35" i="6"/>
  <c r="L35" i="4" s="1"/>
  <c r="Q68" i="6"/>
  <c r="W68" i="4" s="1"/>
  <c r="T68" i="6"/>
  <c r="L68" i="4" s="1"/>
  <c r="Q69" i="6"/>
  <c r="W69" i="4" s="1"/>
  <c r="T69" i="6"/>
  <c r="L69" i="4" s="1"/>
  <c r="T65" i="6"/>
  <c r="L65" i="4" s="1"/>
  <c r="T64" i="6"/>
  <c r="L64" i="4" s="1"/>
  <c r="Q63" i="6"/>
  <c r="W63" i="4" s="1"/>
  <c r="T63" i="6"/>
  <c r="L63" i="4" s="1"/>
  <c r="T12" i="6"/>
  <c r="L12" i="4" s="1"/>
  <c r="T13" i="6"/>
  <c r="L13" i="4" s="1"/>
  <c r="Q14" i="6"/>
  <c r="W14" i="4" s="1"/>
  <c r="T14" i="6"/>
  <c r="L14" i="4" s="1"/>
  <c r="Q15" i="6"/>
  <c r="W15" i="4" s="1"/>
  <c r="T15" i="6"/>
  <c r="L15" i="4" s="1"/>
  <c r="T17" i="6"/>
  <c r="L17" i="4" s="1"/>
  <c r="Q20" i="6"/>
  <c r="W20" i="4" s="1"/>
  <c r="T20" i="6"/>
  <c r="L20" i="4" s="1"/>
  <c r="T21" i="6"/>
  <c r="L21" i="4" s="1"/>
  <c r="T23" i="6"/>
  <c r="L23" i="4" s="1"/>
  <c r="T26" i="6"/>
  <c r="L26" i="4" s="1"/>
  <c r="T28" i="6"/>
  <c r="L28" i="4" s="1"/>
  <c r="Q29" i="6"/>
  <c r="W29" i="4" s="1"/>
  <c r="T29" i="6"/>
  <c r="L29" i="4" s="1"/>
  <c r="T11" i="6"/>
  <c r="L11" i="4" s="1"/>
  <c r="I11" i="6"/>
  <c r="I29" i="6"/>
  <c r="I30" i="6"/>
  <c r="I32" i="6"/>
  <c r="I33" i="6"/>
  <c r="I45" i="6"/>
  <c r="I46" i="6"/>
  <c r="I47" i="6"/>
  <c r="I48" i="6"/>
  <c r="H11" i="6"/>
  <c r="G11" i="6"/>
  <c r="K29" i="6"/>
  <c r="K30" i="6"/>
  <c r="K32" i="6"/>
  <c r="K195" i="6"/>
  <c r="K39" i="6"/>
  <c r="K40" i="6"/>
  <c r="K41" i="6"/>
  <c r="K42" i="6"/>
  <c r="K45" i="6"/>
  <c r="K46" i="6"/>
  <c r="K47" i="6"/>
  <c r="K48"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J29" i="6"/>
  <c r="J30" i="6"/>
  <c r="J32" i="6"/>
  <c r="J33" i="6"/>
  <c r="J195" i="6"/>
  <c r="J39" i="6"/>
  <c r="J40" i="6"/>
  <c r="J41" i="6"/>
  <c r="J42" i="6"/>
  <c r="J45" i="6"/>
  <c r="J46" i="6"/>
  <c r="J47" i="6"/>
  <c r="J48"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12" i="6"/>
  <c r="I12" i="6"/>
  <c r="H195" i="6"/>
  <c r="H45" i="6"/>
  <c r="H46" i="6"/>
  <c r="H47" i="6"/>
  <c r="H48" i="6"/>
  <c r="H249" i="6"/>
  <c r="H253" i="6"/>
  <c r="H254" i="6"/>
  <c r="H255" i="6"/>
  <c r="H257" i="6"/>
  <c r="H258" i="6"/>
  <c r="H266" i="6"/>
  <c r="H267" i="6"/>
  <c r="H304" i="6"/>
  <c r="H12" i="6"/>
  <c r="H29" i="6"/>
  <c r="H30" i="6"/>
  <c r="H32" i="6"/>
  <c r="H33" i="6"/>
  <c r="G39" i="6"/>
  <c r="G40" i="6"/>
  <c r="G42" i="6"/>
  <c r="G45" i="6"/>
  <c r="G46" i="6"/>
  <c r="G48" i="6"/>
  <c r="G246" i="6"/>
  <c r="G247" i="6"/>
  <c r="G248" i="6"/>
  <c r="G250" i="6"/>
  <c r="G251" i="6"/>
  <c r="G252" i="6"/>
  <c r="G254" i="6"/>
  <c r="G255" i="6"/>
  <c r="G256" i="6"/>
  <c r="G258" i="6"/>
  <c r="G259" i="6"/>
  <c r="G260" i="6"/>
  <c r="G262" i="6"/>
  <c r="G263" i="6"/>
  <c r="G264" i="6"/>
  <c r="G266" i="6"/>
  <c r="G267" i="6"/>
  <c r="G268" i="6"/>
  <c r="G270" i="6"/>
  <c r="G271" i="6"/>
  <c r="G272" i="6"/>
  <c r="G274" i="6"/>
  <c r="G275" i="6"/>
  <c r="G277" i="6"/>
  <c r="G279" i="6"/>
  <c r="G280" i="6"/>
  <c r="G281" i="6"/>
  <c r="G283" i="6"/>
  <c r="G284" i="6"/>
  <c r="G285" i="6"/>
  <c r="G287" i="6"/>
  <c r="G288" i="6"/>
  <c r="G289" i="6"/>
  <c r="G291" i="6"/>
  <c r="G292" i="6"/>
  <c r="G293" i="6"/>
  <c r="G295" i="6"/>
  <c r="G296" i="6"/>
  <c r="G297" i="6"/>
  <c r="G299" i="6"/>
  <c r="G300" i="6"/>
  <c r="G301" i="6"/>
  <c r="G303" i="6"/>
  <c r="G304" i="6"/>
  <c r="G305" i="6"/>
  <c r="G307" i="6"/>
  <c r="G308" i="6"/>
  <c r="G309" i="6"/>
  <c r="G14" i="6"/>
  <c r="G20" i="6"/>
  <c r="G29" i="6"/>
  <c r="G30" i="6"/>
  <c r="G33" i="6"/>
  <c r="G35" i="6"/>
  <c r="S12" i="6"/>
  <c r="X12" i="4" s="1"/>
  <c r="S30" i="6"/>
  <c r="X30" i="4" s="1"/>
  <c r="S32" i="6"/>
  <c r="X32" i="4" s="1"/>
  <c r="S33" i="6"/>
  <c r="Q12" i="6"/>
  <c r="W12" i="4" s="1"/>
  <c r="Q30" i="6"/>
  <c r="W30" i="4" s="1"/>
  <c r="Q32" i="6"/>
  <c r="W32" i="4" s="1"/>
  <c r="Q33" i="6"/>
  <c r="W33" i="4" s="1"/>
  <c r="C7" i="6"/>
  <c r="C6" i="6"/>
  <c r="C5" i="6"/>
  <c r="B5" i="6"/>
  <c r="B7" i="6"/>
  <c r="B6" i="6"/>
  <c r="W17" i="4"/>
  <c r="X17" i="4"/>
  <c r="V19" i="4"/>
  <c r="V20" i="4"/>
  <c r="X23" i="4"/>
  <c r="X28" i="4"/>
  <c r="X33" i="4"/>
  <c r="V35" i="4"/>
  <c r="W11" i="4"/>
  <c r="U19" i="4"/>
  <c r="U30" i="4"/>
  <c r="N13" i="4"/>
  <c r="N33" i="4"/>
  <c r="K13" i="4"/>
  <c r="K20" i="4"/>
  <c r="K26" i="4"/>
  <c r="J65" i="4"/>
  <c r="J64" i="4"/>
  <c r="J63" i="4"/>
  <c r="J12" i="4"/>
  <c r="J13" i="4"/>
  <c r="J14" i="4"/>
  <c r="J15" i="4"/>
  <c r="J17" i="4"/>
  <c r="J19" i="4"/>
  <c r="J20" i="4"/>
  <c r="J21" i="4"/>
  <c r="J23" i="4"/>
  <c r="J26" i="4"/>
  <c r="J28" i="4"/>
  <c r="J29" i="4"/>
  <c r="J30" i="4"/>
  <c r="J32" i="4"/>
  <c r="J33" i="4"/>
  <c r="J35" i="4"/>
  <c r="J68" i="4"/>
  <c r="J69" i="4"/>
  <c r="B29" i="4"/>
  <c r="B30" i="4"/>
  <c r="B32" i="4"/>
  <c r="B33" i="4"/>
  <c r="B35" i="4"/>
  <c r="D8" i="4"/>
  <c r="D7" i="4"/>
  <c r="D6" i="4"/>
  <c r="J11" i="4"/>
  <c r="C7" i="4"/>
  <c r="C6" i="4"/>
  <c r="C8" i="4"/>
  <c r="B9" i="4"/>
  <c r="I8" i="4"/>
  <c r="H8" i="4"/>
  <c r="J9" i="4"/>
  <c r="J8" i="4"/>
  <c r="J7" i="4"/>
  <c r="B6" i="4"/>
  <c r="I7" i="4"/>
  <c r="H7" i="4"/>
  <c r="G8" i="4"/>
  <c r="G7" i="4"/>
  <c r="F8" i="4"/>
  <c r="F7" i="4"/>
  <c r="D11" i="4"/>
  <c r="B8" i="4"/>
  <c r="E8" i="4"/>
  <c r="E7" i="4"/>
  <c r="E6" i="4"/>
  <c r="C11" i="4"/>
  <c r="B7" i="4"/>
  <c r="B11" i="4"/>
  <c r="AI33" i="8"/>
  <c r="AJ33" i="8"/>
  <c r="J33" i="8"/>
  <c r="R33" i="8" s="1"/>
  <c r="AI32" i="8"/>
  <c r="AJ32" i="8"/>
  <c r="J32" i="8"/>
  <c r="R32" i="8" s="1"/>
  <c r="O33" i="8"/>
  <c r="U33" i="8" s="1"/>
  <c r="M33" i="8"/>
  <c r="O32" i="8"/>
  <c r="U32" i="8"/>
  <c r="W32" i="8" s="1"/>
  <c r="M32" i="8"/>
  <c r="V32" i="8" s="1"/>
  <c r="X32" i="8" s="1"/>
  <c r="AI30" i="8"/>
  <c r="J30" i="8"/>
  <c r="AJ30" i="8"/>
  <c r="O30" i="8"/>
  <c r="U30" i="8" s="1"/>
  <c r="M30" i="8"/>
  <c r="AI12" i="8"/>
  <c r="AJ12" i="8"/>
  <c r="J12" i="8"/>
  <c r="O12" i="8"/>
  <c r="U12" i="8" s="1"/>
  <c r="M12" i="8"/>
  <c r="AY69" i="8"/>
  <c r="R69" i="4" s="1"/>
  <c r="AX69" i="8"/>
  <c r="Q69" i="4" s="1"/>
  <c r="AY68" i="8"/>
  <c r="R68" i="4" s="1"/>
  <c r="AX68" i="8"/>
  <c r="Q68" i="4" s="1"/>
  <c r="AV69" i="8"/>
  <c r="O69" i="4" s="1"/>
  <c r="AW69" i="8"/>
  <c r="P69" i="4" s="1"/>
  <c r="AW68" i="8"/>
  <c r="P68" i="4" s="1"/>
  <c r="AV68" i="8"/>
  <c r="O68" i="4" s="1"/>
  <c r="AY65" i="8"/>
  <c r="R65" i="4" s="1"/>
  <c r="AX65" i="8"/>
  <c r="Q65" i="4" s="1"/>
  <c r="AY63" i="8"/>
  <c r="R63" i="4" s="1"/>
  <c r="AX63" i="8"/>
  <c r="Q63" i="4" s="1"/>
  <c r="AX64" i="8"/>
  <c r="Q64" i="4" s="1"/>
  <c r="AY64" i="8"/>
  <c r="R64" i="4" s="1"/>
  <c r="AY35" i="8"/>
  <c r="R35" i="4" s="1"/>
  <c r="AY33" i="8"/>
  <c r="R33" i="4" s="1"/>
  <c r="AX33" i="8"/>
  <c r="Q33" i="4" s="1"/>
  <c r="AX35" i="8"/>
  <c r="Q35" i="4" s="1"/>
  <c r="I35" i="4"/>
  <c r="AY32" i="8"/>
  <c r="R32" i="4" s="1"/>
  <c r="AX32" i="8"/>
  <c r="Q32" i="4" s="1"/>
  <c r="AV35" i="8"/>
  <c r="O35" i="4" s="1"/>
  <c r="AV33" i="8"/>
  <c r="O33" i="4" s="1"/>
  <c r="AV32" i="8"/>
  <c r="O32" i="4" s="1"/>
  <c r="AW35" i="8"/>
  <c r="P35" i="4" s="1"/>
  <c r="AW33" i="8"/>
  <c r="P33" i="4" s="1"/>
  <c r="AW32" i="8"/>
  <c r="P32" i="4" s="1"/>
  <c r="AX30" i="8"/>
  <c r="Q30" i="4" s="1"/>
  <c r="AY30" i="8"/>
  <c r="R30" i="4" s="1"/>
  <c r="G30" i="4"/>
  <c r="AV30" i="8"/>
  <c r="O30" i="4" s="1"/>
  <c r="AW30" i="8"/>
  <c r="P30" i="4" s="1"/>
  <c r="AW26" i="8"/>
  <c r="P26" i="4" s="1"/>
  <c r="AV26" i="8"/>
  <c r="O26" i="4" s="1"/>
  <c r="F26" i="4"/>
  <c r="AY26" i="8"/>
  <c r="R26" i="4" s="1"/>
  <c r="AX26" i="8"/>
  <c r="Q26" i="4" s="1"/>
  <c r="AX29" i="8"/>
  <c r="Q29" i="4" s="1"/>
  <c r="AY29" i="8"/>
  <c r="R29" i="4" s="1"/>
  <c r="AY28" i="8"/>
  <c r="R28" i="4" s="1"/>
  <c r="AX28" i="8"/>
  <c r="Q28" i="4" s="1"/>
  <c r="AY13" i="8"/>
  <c r="R13" i="4" s="1"/>
  <c r="AY14" i="8"/>
  <c r="R14" i="4" s="1"/>
  <c r="AY23" i="8"/>
  <c r="R23" i="4" s="1"/>
  <c r="AY21" i="8"/>
  <c r="R21" i="4" s="1"/>
  <c r="AY20" i="8"/>
  <c r="R20" i="4" s="1"/>
  <c r="AY17" i="8"/>
  <c r="R17" i="4" s="1"/>
  <c r="AY12" i="8"/>
  <c r="R12" i="4" s="1"/>
  <c r="AX23" i="8"/>
  <c r="Q23" i="4" s="1"/>
  <c r="AX21" i="8"/>
  <c r="Q21" i="4" s="1"/>
  <c r="AX20" i="8"/>
  <c r="Q20" i="4" s="1"/>
  <c r="AX17" i="8"/>
  <c r="Q17" i="4" s="1"/>
  <c r="AX12" i="8"/>
  <c r="Q12" i="4" s="1"/>
  <c r="AX14" i="8"/>
  <c r="Q14" i="4" s="1"/>
  <c r="AX13" i="8"/>
  <c r="Q13" i="4" s="1"/>
  <c r="I23" i="4"/>
  <c r="G17" i="4"/>
  <c r="G12" i="4"/>
  <c r="F12" i="4"/>
  <c r="AV23" i="8"/>
  <c r="O23" i="4" s="1"/>
  <c r="AV21" i="8"/>
  <c r="O21" i="4" s="1"/>
  <c r="AV20" i="8"/>
  <c r="O20" i="4" s="1"/>
  <c r="AW23" i="8"/>
  <c r="P23" i="4" s="1"/>
  <c r="AW21" i="8"/>
  <c r="P21" i="4" s="1"/>
  <c r="AW20" i="8"/>
  <c r="P20" i="4" s="1"/>
  <c r="AW28" i="8"/>
  <c r="P28" i="4" s="1"/>
  <c r="AV28" i="8"/>
  <c r="O28" i="4" s="1"/>
  <c r="AV17" i="8"/>
  <c r="O17" i="4" s="1"/>
  <c r="AV12" i="8"/>
  <c r="O12" i="4" s="1"/>
  <c r="AW17" i="8"/>
  <c r="P17" i="4" s="1"/>
  <c r="AW12" i="8"/>
  <c r="P12" i="4" s="1"/>
  <c r="AV29" i="8"/>
  <c r="O29" i="4" s="1"/>
  <c r="AW29" i="8"/>
  <c r="P29" i="4" s="1"/>
  <c r="AW14" i="8"/>
  <c r="P14" i="4" s="1"/>
  <c r="AV14" i="8"/>
  <c r="O14" i="4" s="1"/>
  <c r="AV13" i="8"/>
  <c r="O13" i="4" s="1"/>
  <c r="AW13" i="8"/>
  <c r="P13" i="4" s="1"/>
  <c r="H64" i="4"/>
  <c r="AV65" i="8"/>
  <c r="O65" i="4" s="1"/>
  <c r="AV64" i="8"/>
  <c r="O64" i="4" s="1"/>
  <c r="AV63" i="8"/>
  <c r="O63" i="4" s="1"/>
  <c r="AW65" i="8"/>
  <c r="P65" i="4" s="1"/>
  <c r="AW64" i="8"/>
  <c r="P64" i="4" s="1"/>
  <c r="AW63" i="8"/>
  <c r="P63" i="4" s="1"/>
  <c r="I140" i="8"/>
  <c r="H140" i="8"/>
  <c r="H139" i="8"/>
  <c r="I138" i="8"/>
  <c r="H138" i="8"/>
  <c r="I137" i="8"/>
  <c r="H137" i="8"/>
  <c r="H136" i="8"/>
  <c r="H135" i="8"/>
  <c r="I134" i="8"/>
  <c r="H134" i="8"/>
  <c r="I133" i="8"/>
  <c r="H133" i="8"/>
  <c r="I132" i="8"/>
  <c r="H132" i="8"/>
  <c r="H131" i="8"/>
  <c r="I130" i="8"/>
  <c r="H130" i="8"/>
  <c r="I129" i="8"/>
  <c r="H129" i="8"/>
  <c r="I128" i="8"/>
  <c r="H128" i="8"/>
  <c r="H127" i="8"/>
  <c r="I126" i="8"/>
  <c r="H126" i="8"/>
  <c r="I125" i="8"/>
  <c r="H125" i="8"/>
  <c r="I124" i="8"/>
  <c r="H124" i="8"/>
  <c r="H123" i="8"/>
  <c r="I122" i="8"/>
  <c r="H122" i="8"/>
  <c r="I121" i="8"/>
  <c r="H121" i="8"/>
  <c r="I120" i="8"/>
  <c r="H120" i="8"/>
  <c r="H119" i="8"/>
  <c r="I118" i="8"/>
  <c r="H118" i="8"/>
  <c r="I117" i="8"/>
  <c r="H117" i="8"/>
  <c r="I116" i="8"/>
  <c r="H116" i="8"/>
  <c r="H115" i="8"/>
  <c r="I114" i="8"/>
  <c r="H114" i="8"/>
  <c r="I113" i="8"/>
  <c r="H113" i="8"/>
  <c r="I112" i="8"/>
  <c r="H112" i="8"/>
  <c r="H111" i="8"/>
  <c r="I110" i="8"/>
  <c r="H110" i="8"/>
  <c r="I109" i="8"/>
  <c r="H109" i="8"/>
  <c r="I108" i="8"/>
  <c r="H108" i="8"/>
  <c r="H107" i="8"/>
  <c r="I106" i="8"/>
  <c r="H106" i="8"/>
  <c r="I105" i="8"/>
  <c r="H105" i="8"/>
  <c r="I104" i="8"/>
  <c r="H104" i="8"/>
  <c r="H103" i="8"/>
  <c r="H102" i="8"/>
  <c r="H101" i="8"/>
  <c r="H100" i="8"/>
  <c r="H99" i="8"/>
  <c r="H98" i="8"/>
  <c r="H97" i="8"/>
  <c r="H96" i="8"/>
  <c r="H95" i="8"/>
  <c r="H94" i="8"/>
  <c r="H93" i="8"/>
  <c r="H92" i="8"/>
  <c r="H91" i="8"/>
  <c r="H90" i="8"/>
  <c r="H84" i="8"/>
  <c r="H85" i="8"/>
  <c r="H87" i="8"/>
  <c r="H88" i="8"/>
  <c r="H146" i="8"/>
  <c r="I146" i="8"/>
  <c r="H147" i="8"/>
  <c r="H148" i="8"/>
  <c r="H149" i="8"/>
  <c r="I149" i="8"/>
  <c r="H150" i="8"/>
  <c r="I150" i="8"/>
  <c r="H151" i="8"/>
  <c r="H152" i="8"/>
  <c r="H153" i="8"/>
  <c r="I153" i="8"/>
  <c r="H154" i="8"/>
  <c r="I154" i="8"/>
  <c r="H155" i="8"/>
  <c r="H157" i="8"/>
  <c r="I157" i="8"/>
  <c r="H158" i="8"/>
  <c r="I158" i="8"/>
  <c r="H159" i="8"/>
  <c r="I159" i="8"/>
  <c r="H160" i="8"/>
  <c r="H161" i="8"/>
  <c r="I161" i="8"/>
  <c r="H162" i="8"/>
  <c r="I162" i="8"/>
  <c r="H164" i="8"/>
  <c r="I164" i="8"/>
  <c r="H165" i="8"/>
  <c r="I165" i="8"/>
  <c r="H166" i="8"/>
  <c r="I166" i="8"/>
  <c r="H167" i="8"/>
  <c r="H168" i="8"/>
  <c r="I168" i="8"/>
  <c r="H169" i="8"/>
  <c r="I169" i="8"/>
  <c r="H171" i="8"/>
  <c r="I171" i="8"/>
  <c r="H172" i="8"/>
  <c r="H173" i="8"/>
  <c r="I173" i="8"/>
  <c r="H174" i="8"/>
  <c r="I174" i="8"/>
  <c r="H175" i="8"/>
  <c r="I175" i="8"/>
  <c r="H176" i="8"/>
  <c r="H180" i="8"/>
  <c r="I180" i="8"/>
  <c r="H181" i="8"/>
  <c r="I181" i="8"/>
  <c r="H182" i="8"/>
  <c r="I182" i="8"/>
  <c r="H183" i="8"/>
  <c r="H184" i="8"/>
  <c r="I184" i="8"/>
  <c r="H185" i="8"/>
  <c r="I185" i="8"/>
  <c r="H186" i="8"/>
  <c r="I186" i="8"/>
  <c r="H187" i="8"/>
  <c r="H188" i="8"/>
  <c r="I188" i="8"/>
  <c r="H190" i="8"/>
  <c r="I190" i="8"/>
  <c r="H191" i="8"/>
  <c r="I191" i="8"/>
  <c r="H192" i="8"/>
  <c r="H193" i="8"/>
  <c r="I193" i="8"/>
  <c r="H142" i="8"/>
  <c r="H143" i="8"/>
  <c r="H144" i="8"/>
  <c r="H196" i="8"/>
  <c r="H197" i="8"/>
  <c r="H198" i="8"/>
  <c r="I198" i="8"/>
  <c r="H199" i="8"/>
  <c r="I199" i="8"/>
  <c r="H200" i="8"/>
  <c r="H201" i="8"/>
  <c r="H202" i="8"/>
  <c r="I202" i="8"/>
  <c r="H203" i="8"/>
  <c r="I203" i="8"/>
  <c r="H206" i="8"/>
  <c r="H207" i="8"/>
  <c r="H208" i="8"/>
  <c r="H209" i="8"/>
  <c r="H210" i="8"/>
  <c r="H211" i="8"/>
  <c r="I211" i="8"/>
  <c r="H212" i="8"/>
  <c r="I212" i="8"/>
  <c r="H213" i="8"/>
  <c r="H214" i="8"/>
  <c r="H215" i="8"/>
  <c r="I215" i="8"/>
  <c r="H216" i="8"/>
  <c r="H217" i="8"/>
  <c r="H218" i="8"/>
  <c r="H219" i="8"/>
  <c r="H220" i="8"/>
  <c r="I220" i="8"/>
  <c r="H221" i="8"/>
  <c r="H222" i="8"/>
  <c r="H223" i="8"/>
  <c r="I223" i="8"/>
  <c r="H224" i="8"/>
  <c r="I224" i="8"/>
  <c r="H225" i="8"/>
  <c r="H226" i="8"/>
  <c r="H227" i="8"/>
  <c r="H228" i="8"/>
  <c r="H229" i="8"/>
  <c r="H230" i="8"/>
  <c r="H231" i="8"/>
  <c r="H232" i="8"/>
  <c r="H233" i="8"/>
  <c r="H234" i="8"/>
  <c r="H235" i="8"/>
  <c r="I235" i="8"/>
  <c r="H236" i="8"/>
  <c r="H237" i="8"/>
  <c r="H238" i="8"/>
  <c r="I238" i="8"/>
  <c r="H239" i="8"/>
  <c r="I239" i="8"/>
  <c r="H240" i="8"/>
  <c r="I240" i="8"/>
  <c r="H241" i="8"/>
  <c r="H242" i="8"/>
  <c r="I242" i="8"/>
  <c r="H243" i="8"/>
  <c r="I243" i="8"/>
  <c r="I145" i="8"/>
  <c r="H145" i="8"/>
  <c r="I195" i="8"/>
  <c r="I40" i="8"/>
  <c r="I41" i="8"/>
  <c r="I42" i="8"/>
  <c r="I46" i="8"/>
  <c r="I47" i="8"/>
  <c r="I48" i="8"/>
  <c r="I264" i="8"/>
  <c r="I265" i="8"/>
  <c r="I266" i="8"/>
  <c r="I277" i="8"/>
  <c r="I278" i="8"/>
  <c r="I279" i="8"/>
  <c r="I281" i="8"/>
  <c r="I282" i="8"/>
  <c r="I283" i="8"/>
  <c r="I285" i="8"/>
  <c r="I286" i="8"/>
  <c r="I287" i="8"/>
  <c r="I289" i="8"/>
  <c r="I290" i="8"/>
  <c r="I291" i="8"/>
  <c r="I293" i="8"/>
  <c r="I294" i="8"/>
  <c r="I295" i="8"/>
  <c r="I297" i="8"/>
  <c r="I298" i="8"/>
  <c r="I299" i="8"/>
  <c r="I301" i="8"/>
  <c r="I302" i="8"/>
  <c r="I12" i="8"/>
  <c r="I32" i="8"/>
  <c r="H12" i="8"/>
  <c r="H13" i="8"/>
  <c r="H14" i="8"/>
  <c r="H17" i="8"/>
  <c r="H20" i="8"/>
  <c r="H21" i="8"/>
  <c r="H23" i="8"/>
  <c r="H26" i="8"/>
  <c r="H28" i="8"/>
  <c r="H29" i="8"/>
  <c r="H30" i="8"/>
  <c r="H32" i="8"/>
  <c r="H33" i="8"/>
  <c r="H35" i="8"/>
  <c r="H68" i="8"/>
  <c r="H69" i="8"/>
  <c r="H77" i="8"/>
  <c r="H70" i="8"/>
  <c r="H71" i="8"/>
  <c r="H78" i="8"/>
  <c r="H72" i="8"/>
  <c r="H76" i="8"/>
  <c r="H67" i="8"/>
  <c r="H50" i="8"/>
  <c r="H51" i="8"/>
  <c r="H52" i="8"/>
  <c r="H53" i="8"/>
  <c r="H57" i="8"/>
  <c r="H54" i="8"/>
  <c r="H58" i="8"/>
  <c r="H56" i="8"/>
  <c r="H55" i="8"/>
  <c r="H59" i="8"/>
  <c r="H60" i="8"/>
  <c r="H61" i="8"/>
  <c r="H65" i="8"/>
  <c r="H62" i="8"/>
  <c r="H64" i="8"/>
  <c r="H63" i="8"/>
  <c r="H66" i="8"/>
  <c r="H73" i="8"/>
  <c r="H74" i="8"/>
  <c r="H75" i="8"/>
  <c r="H79" i="8"/>
  <c r="H80" i="8"/>
  <c r="H81" i="8"/>
  <c r="H82" i="8"/>
  <c r="H195" i="8"/>
  <c r="H205" i="8"/>
  <c r="H89" i="8"/>
  <c r="H39" i="8"/>
  <c r="H40" i="8"/>
  <c r="H41" i="8"/>
  <c r="H42" i="8"/>
  <c r="H45" i="8"/>
  <c r="H46" i="8"/>
  <c r="H47" i="8"/>
  <c r="H48"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11" i="8"/>
  <c r="E5" i="8"/>
  <c r="D5" i="8"/>
  <c r="C5" i="8"/>
  <c r="B5" i="8"/>
  <c r="E8" i="8"/>
  <c r="D8" i="8"/>
  <c r="C8" i="8"/>
  <c r="E7" i="8"/>
  <c r="D7" i="8"/>
  <c r="C7" i="8"/>
  <c r="E6" i="8"/>
  <c r="D6" i="8"/>
  <c r="C6" i="8"/>
  <c r="B8" i="8"/>
  <c r="B7" i="8"/>
  <c r="B6" i="8"/>
  <c r="D19" i="1"/>
  <c r="D18" i="1"/>
  <c r="D17" i="1"/>
  <c r="D16" i="1"/>
  <c r="D15" i="1"/>
  <c r="T11" i="3"/>
  <c r="P11" i="8" s="1"/>
  <c r="R53" i="3"/>
  <c r="R62" i="3"/>
  <c r="G91" i="5"/>
  <c r="R97" i="3"/>
  <c r="I97" i="6" s="1"/>
  <c r="G122" i="5"/>
  <c r="G130" i="5"/>
  <c r="R140" i="3"/>
  <c r="I140" i="6" s="1"/>
  <c r="G260" i="5"/>
  <c r="E260" i="7"/>
  <c r="E269" i="7"/>
  <c r="G65" i="5"/>
  <c r="G104" i="5"/>
  <c r="R124" i="3"/>
  <c r="I124" i="6" s="1"/>
  <c r="G133" i="5"/>
  <c r="R251" i="3"/>
  <c r="I251" i="6" s="1"/>
  <c r="G254" i="5"/>
  <c r="E254" i="7"/>
  <c r="I254" i="7" s="1"/>
  <c r="G258" i="5"/>
  <c r="M81" i="8"/>
  <c r="M205" i="8"/>
  <c r="M225" i="8"/>
  <c r="R225" i="3"/>
  <c r="I225" i="6" s="1"/>
  <c r="R233" i="3"/>
  <c r="I233" i="6" s="1"/>
  <c r="M233" i="8"/>
  <c r="J12" i="2"/>
  <c r="V35" i="8" l="1"/>
  <c r="X35" i="8" s="1"/>
  <c r="W35" i="8"/>
  <c r="Y35" i="8" s="1"/>
  <c r="Z35" i="8" s="1"/>
  <c r="T253" i="8"/>
  <c r="W36" i="8"/>
  <c r="Y36" i="8" s="1"/>
  <c r="V36" i="8"/>
  <c r="X36" i="8" s="1"/>
  <c r="F11" i="7"/>
  <c r="R12" i="8"/>
  <c r="K12" i="6"/>
  <c r="S137" i="8"/>
  <c r="R133" i="8"/>
  <c r="S126" i="8"/>
  <c r="S115" i="8"/>
  <c r="R109" i="8"/>
  <c r="R188" i="8"/>
  <c r="R239" i="8"/>
  <c r="R60" i="8"/>
  <c r="R255" i="8"/>
  <c r="P173" i="5"/>
  <c r="M121" i="8"/>
  <c r="E121" i="7"/>
  <c r="S12" i="8"/>
  <c r="S33" i="8"/>
  <c r="T33" i="8" s="1"/>
  <c r="K110" i="6"/>
  <c r="S25" i="8"/>
  <c r="S37" i="8"/>
  <c r="R137" i="8"/>
  <c r="S124" i="8"/>
  <c r="R170" i="8"/>
  <c r="S210" i="8"/>
  <c r="O29" i="7"/>
  <c r="N29" i="4" s="1"/>
  <c r="B71" i="7"/>
  <c r="E71" i="4" s="1"/>
  <c r="B156" i="7"/>
  <c r="E156" i="4" s="1"/>
  <c r="B170" i="7"/>
  <c r="E170" i="4" s="1"/>
  <c r="B221" i="7"/>
  <c r="E221" i="4" s="1"/>
  <c r="I28" i="7"/>
  <c r="J11" i="6"/>
  <c r="K123" i="6"/>
  <c r="K139" i="6"/>
  <c r="K135" i="6"/>
  <c r="R16" i="8"/>
  <c r="R131" i="8"/>
  <c r="S120" i="8"/>
  <c r="V180" i="8"/>
  <c r="X180" i="8" s="1"/>
  <c r="Y288" i="8"/>
  <c r="R253" i="8"/>
  <c r="B255" i="7"/>
  <c r="E255" i="4" s="1"/>
  <c r="H12" i="7"/>
  <c r="J47" i="7"/>
  <c r="K47" i="7" s="1"/>
  <c r="H225" i="7"/>
  <c r="H233" i="7"/>
  <c r="R27" i="8"/>
  <c r="S31" i="8"/>
  <c r="T31" i="8" s="1"/>
  <c r="R147" i="8"/>
  <c r="R266" i="8"/>
  <c r="O17" i="7"/>
  <c r="N17" i="4" s="1"/>
  <c r="B50" i="7"/>
  <c r="E50" i="4" s="1"/>
  <c r="B131" i="7"/>
  <c r="E131" i="4" s="1"/>
  <c r="B158" i="7"/>
  <c r="E158" i="4" s="1"/>
  <c r="I25" i="7"/>
  <c r="H15" i="7"/>
  <c r="AP21" i="8"/>
  <c r="S140" i="8"/>
  <c r="S129" i="8"/>
  <c r="S118" i="8"/>
  <c r="S147" i="8"/>
  <c r="S197" i="8"/>
  <c r="T266" i="8"/>
  <c r="S259" i="8"/>
  <c r="T259" i="8" s="1"/>
  <c r="B119" i="7"/>
  <c r="E119" i="4" s="1"/>
  <c r="B147" i="7"/>
  <c r="E147" i="4" s="1"/>
  <c r="S32" i="8"/>
  <c r="T32" i="8" s="1"/>
  <c r="Y31" i="8"/>
  <c r="S116" i="8"/>
  <c r="P112" i="8"/>
  <c r="R193" i="8"/>
  <c r="S265" i="8"/>
  <c r="T265" i="8" s="1"/>
  <c r="R46" i="8"/>
  <c r="V59" i="8"/>
  <c r="X59" i="8" s="1"/>
  <c r="S138" i="8"/>
  <c r="R51" i="8"/>
  <c r="W254" i="8"/>
  <c r="Y254" i="8" s="1"/>
  <c r="R262" i="8"/>
  <c r="O263" i="7"/>
  <c r="N263" i="4" s="1"/>
  <c r="B29" i="7"/>
  <c r="E29" i="4" s="1"/>
  <c r="B40" i="7"/>
  <c r="E40" i="4" s="1"/>
  <c r="B90" i="7"/>
  <c r="E90" i="4" s="1"/>
  <c r="B122" i="7"/>
  <c r="E122" i="4" s="1"/>
  <c r="B188" i="7"/>
  <c r="E188" i="4" s="1"/>
  <c r="H27" i="7"/>
  <c r="I27" i="7" s="1"/>
  <c r="I24" i="7"/>
  <c r="I30" i="7"/>
  <c r="S24" i="8"/>
  <c r="R187" i="8"/>
  <c r="S183" i="8"/>
  <c r="R294" i="8"/>
  <c r="H45" i="7"/>
  <c r="I45" i="7" s="1"/>
  <c r="H104" i="7"/>
  <c r="H140" i="7"/>
  <c r="H179" i="7"/>
  <c r="R11" i="8"/>
  <c r="R175" i="8"/>
  <c r="K33" i="6"/>
  <c r="K179" i="6"/>
  <c r="S175" i="8"/>
  <c r="S206" i="8"/>
  <c r="S300" i="8"/>
  <c r="S67" i="8"/>
  <c r="O69" i="7"/>
  <c r="N69" i="4" s="1"/>
  <c r="B151" i="7"/>
  <c r="E151" i="4" s="1"/>
  <c r="R30" i="8"/>
  <c r="H11" i="5"/>
  <c r="R130" i="8"/>
  <c r="S121" i="8"/>
  <c r="V119" i="8"/>
  <c r="X119" i="8" s="1"/>
  <c r="R106" i="8"/>
  <c r="V161" i="8"/>
  <c r="X161" i="8" s="1"/>
  <c r="T264" i="8"/>
  <c r="R252" i="8"/>
  <c r="O54" i="7"/>
  <c r="N54" i="4" s="1"/>
  <c r="B54" i="7"/>
  <c r="E54" i="4" s="1"/>
  <c r="B217" i="7"/>
  <c r="E217" i="4" s="1"/>
  <c r="I23" i="7"/>
  <c r="H151" i="7"/>
  <c r="R104" i="8"/>
  <c r="R289" i="8"/>
  <c r="B256" i="7"/>
  <c r="E256" i="4" s="1"/>
  <c r="H256" i="7"/>
  <c r="S139" i="8"/>
  <c r="S135" i="8"/>
  <c r="S133" i="8"/>
  <c r="S104" i="8"/>
  <c r="R278" i="8"/>
  <c r="Y95" i="8"/>
  <c r="O256" i="7"/>
  <c r="N256" i="4" s="1"/>
  <c r="I156" i="7"/>
  <c r="H241" i="7"/>
  <c r="P205" i="5"/>
  <c r="AP17" i="8"/>
  <c r="C27" i="8"/>
  <c r="G27" i="4" s="1"/>
  <c r="B47" i="8"/>
  <c r="F47" i="4" s="1"/>
  <c r="D62" i="8"/>
  <c r="H62" i="4" s="1"/>
  <c r="E73" i="8"/>
  <c r="I73" i="4" s="1"/>
  <c r="E74" i="8"/>
  <c r="I74" i="4" s="1"/>
  <c r="D86" i="8"/>
  <c r="H86" i="4" s="1"/>
  <c r="B107" i="8"/>
  <c r="F107" i="4" s="1"/>
  <c r="C110" i="8"/>
  <c r="G110" i="4" s="1"/>
  <c r="C114" i="8"/>
  <c r="G114" i="4" s="1"/>
  <c r="B122" i="8"/>
  <c r="F122" i="4" s="1"/>
  <c r="D131" i="8"/>
  <c r="H131" i="4" s="1"/>
  <c r="C145" i="8"/>
  <c r="G145" i="4" s="1"/>
  <c r="B148" i="8"/>
  <c r="F148" i="4" s="1"/>
  <c r="C151" i="8"/>
  <c r="G151" i="4" s="1"/>
  <c r="E154" i="8"/>
  <c r="I154" i="4" s="1"/>
  <c r="C162" i="8"/>
  <c r="G162" i="4" s="1"/>
  <c r="C172" i="8"/>
  <c r="G172" i="4" s="1"/>
  <c r="C175" i="8"/>
  <c r="G175" i="4" s="1"/>
  <c r="D188" i="8"/>
  <c r="H188" i="4" s="1"/>
  <c r="B191" i="8"/>
  <c r="F191" i="4" s="1"/>
  <c r="D197" i="8"/>
  <c r="H197" i="4" s="1"/>
  <c r="C200" i="8"/>
  <c r="G200" i="4" s="1"/>
  <c r="E202" i="8"/>
  <c r="I202" i="4" s="1"/>
  <c r="C209" i="8"/>
  <c r="G209" i="4" s="1"/>
  <c r="D212" i="8"/>
  <c r="H212" i="4" s="1"/>
  <c r="C216" i="8"/>
  <c r="G216" i="4" s="1"/>
  <c r="B244" i="8"/>
  <c r="F244" i="4" s="1"/>
  <c r="E247" i="8"/>
  <c r="I247" i="4" s="1"/>
  <c r="E256" i="8"/>
  <c r="I256" i="4" s="1"/>
  <c r="B259" i="8"/>
  <c r="F259" i="4" s="1"/>
  <c r="E265" i="8"/>
  <c r="I265" i="4" s="1"/>
  <c r="E271" i="8"/>
  <c r="I271" i="4" s="1"/>
  <c r="C285" i="8"/>
  <c r="G285" i="4" s="1"/>
  <c r="B288" i="8"/>
  <c r="F288" i="4" s="1"/>
  <c r="E298" i="8"/>
  <c r="I298" i="4" s="1"/>
  <c r="C309" i="8"/>
  <c r="G309" i="4" s="1"/>
  <c r="AP27" i="8"/>
  <c r="AP37" i="8"/>
  <c r="X45" i="8"/>
  <c r="C51" i="8"/>
  <c r="G51" i="4" s="1"/>
  <c r="C56" i="8"/>
  <c r="G56" i="4" s="1"/>
  <c r="C65" i="8"/>
  <c r="G65" i="4" s="1"/>
  <c r="D71" i="8"/>
  <c r="H71" i="4" s="1"/>
  <c r="E86" i="8"/>
  <c r="I86" i="4" s="1"/>
  <c r="D145" i="8"/>
  <c r="H145" i="4" s="1"/>
  <c r="C148" i="8"/>
  <c r="G148" i="4" s="1"/>
  <c r="D151" i="8"/>
  <c r="H151" i="4" s="1"/>
  <c r="D167" i="8"/>
  <c r="H167" i="4" s="1"/>
  <c r="E170" i="8"/>
  <c r="I170" i="4" s="1"/>
  <c r="D175" i="8"/>
  <c r="H175" i="4" s="1"/>
  <c r="E188" i="8"/>
  <c r="I188" i="4" s="1"/>
  <c r="E212" i="8"/>
  <c r="I212" i="4" s="1"/>
  <c r="C259" i="8"/>
  <c r="G259" i="4" s="1"/>
  <c r="V259" i="3"/>
  <c r="E15" i="8"/>
  <c r="I15" i="4" s="1"/>
  <c r="E22" i="8"/>
  <c r="I22" i="4" s="1"/>
  <c r="B36" i="8"/>
  <c r="F36" i="4" s="1"/>
  <c r="E59" i="8"/>
  <c r="I59" i="4" s="1"/>
  <c r="D68" i="8"/>
  <c r="H68" i="4" s="1"/>
  <c r="C84" i="8"/>
  <c r="G84" i="4" s="1"/>
  <c r="C131" i="8"/>
  <c r="G131" i="4" s="1"/>
  <c r="C188" i="8"/>
  <c r="G188" i="4" s="1"/>
  <c r="B207" i="8"/>
  <c r="F207" i="4" s="1"/>
  <c r="E262" i="8"/>
  <c r="I262" i="4" s="1"/>
  <c r="D309" i="8"/>
  <c r="H309" i="4" s="1"/>
  <c r="Z45" i="8"/>
  <c r="C289" i="8"/>
  <c r="G289" i="4" s="1"/>
  <c r="AP15" i="8"/>
  <c r="AP19" i="8"/>
  <c r="C23" i="8"/>
  <c r="G23" i="4" s="1"/>
  <c r="E28" i="8"/>
  <c r="I28" i="4" s="1"/>
  <c r="D36" i="8"/>
  <c r="H36" i="4" s="1"/>
  <c r="E40" i="8"/>
  <c r="I40" i="4" s="1"/>
  <c r="E48" i="8"/>
  <c r="I48" i="4" s="1"/>
  <c r="E51" i="8"/>
  <c r="I51" i="4" s="1"/>
  <c r="D65" i="8"/>
  <c r="H65" i="4" s="1"/>
  <c r="AH99" i="8"/>
  <c r="C101" i="8"/>
  <c r="G101" i="4" s="1"/>
  <c r="E148" i="8"/>
  <c r="I148" i="4" s="1"/>
  <c r="C156" i="8"/>
  <c r="G156" i="4" s="1"/>
  <c r="E248" i="8"/>
  <c r="I248" i="4" s="1"/>
  <c r="B257" i="8"/>
  <c r="F257" i="4" s="1"/>
  <c r="D289" i="8"/>
  <c r="H289" i="4" s="1"/>
  <c r="U303" i="8"/>
  <c r="W303" i="8" s="1"/>
  <c r="AP31" i="8"/>
  <c r="W19" i="8"/>
  <c r="Y19" i="8" s="1"/>
  <c r="C20" i="8"/>
  <c r="G20" i="4" s="1"/>
  <c r="D23" i="8"/>
  <c r="H23" i="4" s="1"/>
  <c r="B57" i="8"/>
  <c r="F57" i="4" s="1"/>
  <c r="E60" i="8"/>
  <c r="I60" i="4" s="1"/>
  <c r="C69" i="8"/>
  <c r="G69" i="4" s="1"/>
  <c r="U79" i="8"/>
  <c r="D80" i="8"/>
  <c r="H80" i="4" s="1"/>
  <c r="D82" i="8"/>
  <c r="H82" i="4" s="1"/>
  <c r="D85" i="8"/>
  <c r="H85" i="4" s="1"/>
  <c r="B87" i="8"/>
  <c r="F87" i="4" s="1"/>
  <c r="C93" i="8"/>
  <c r="G93" i="4" s="1"/>
  <c r="C108" i="8"/>
  <c r="G108" i="4" s="1"/>
  <c r="E125" i="8"/>
  <c r="I125" i="4" s="1"/>
  <c r="D146" i="8"/>
  <c r="H146" i="4" s="1"/>
  <c r="C152" i="8"/>
  <c r="G152" i="4" s="1"/>
  <c r="D156" i="8"/>
  <c r="H156" i="4" s="1"/>
  <c r="B159" i="8"/>
  <c r="F159" i="4" s="1"/>
  <c r="E164" i="8"/>
  <c r="I164" i="4" s="1"/>
  <c r="B168" i="8"/>
  <c r="F168" i="4" s="1"/>
  <c r="B176" i="8"/>
  <c r="F176" i="4" s="1"/>
  <c r="B186" i="8"/>
  <c r="F186" i="4" s="1"/>
  <c r="E189" i="8"/>
  <c r="I189" i="4" s="1"/>
  <c r="D198" i="8"/>
  <c r="H198" i="4" s="1"/>
  <c r="C201" i="8"/>
  <c r="G201" i="4" s="1"/>
  <c r="D203" i="8"/>
  <c r="H203" i="4" s="1"/>
  <c r="C220" i="8"/>
  <c r="G220" i="4" s="1"/>
  <c r="B222" i="8"/>
  <c r="F222" i="4" s="1"/>
  <c r="AH233" i="8"/>
  <c r="D273" i="8"/>
  <c r="H273" i="4" s="1"/>
  <c r="B293" i="8"/>
  <c r="F293" i="4" s="1"/>
  <c r="P74" i="5"/>
  <c r="AP25" i="8"/>
  <c r="E12" i="8"/>
  <c r="I12" i="4" s="1"/>
  <c r="E16" i="8"/>
  <c r="I16" i="4" s="1"/>
  <c r="E33" i="8"/>
  <c r="I33" i="4" s="1"/>
  <c r="C87" i="8"/>
  <c r="G87" i="4" s="1"/>
  <c r="B97" i="8"/>
  <c r="F97" i="4" s="1"/>
  <c r="D105" i="8"/>
  <c r="H105" i="4" s="1"/>
  <c r="B109" i="8"/>
  <c r="F109" i="4" s="1"/>
  <c r="E119" i="8"/>
  <c r="I119" i="4" s="1"/>
  <c r="B130" i="8"/>
  <c r="F130" i="4" s="1"/>
  <c r="E132" i="8"/>
  <c r="I132" i="4" s="1"/>
  <c r="B139" i="8"/>
  <c r="F139" i="4" s="1"/>
  <c r="C165" i="8"/>
  <c r="G165" i="4" s="1"/>
  <c r="C168" i="8"/>
  <c r="G168" i="4" s="1"/>
  <c r="B174" i="8"/>
  <c r="F174" i="4" s="1"/>
  <c r="B183" i="8"/>
  <c r="F183" i="4" s="1"/>
  <c r="B190" i="8"/>
  <c r="F190" i="4" s="1"/>
  <c r="C195" i="8"/>
  <c r="G195" i="4" s="1"/>
  <c r="D210" i="8"/>
  <c r="H210" i="4" s="1"/>
  <c r="E214" i="8"/>
  <c r="I214" i="4" s="1"/>
  <c r="AG225" i="8"/>
  <c r="U226" i="8"/>
  <c r="W226" i="8" s="1"/>
  <c r="E228" i="8"/>
  <c r="I228" i="4" s="1"/>
  <c r="B277" i="8"/>
  <c r="F277" i="4" s="1"/>
  <c r="B284" i="8"/>
  <c r="F284" i="4" s="1"/>
  <c r="B289" i="8"/>
  <c r="F289" i="4" s="1"/>
  <c r="C293" i="8"/>
  <c r="G293" i="4" s="1"/>
  <c r="C97" i="8"/>
  <c r="G97" i="4" s="1"/>
  <c r="C130" i="8"/>
  <c r="G130" i="4" s="1"/>
  <c r="B133" i="8"/>
  <c r="F133" i="4" s="1"/>
  <c r="C139" i="8"/>
  <c r="G139" i="4" s="1"/>
  <c r="B268" i="8"/>
  <c r="F268" i="4" s="1"/>
  <c r="C277" i="8"/>
  <c r="G277" i="4" s="1"/>
  <c r="C281" i="8"/>
  <c r="G281" i="4" s="1"/>
  <c r="AP13" i="8"/>
  <c r="E30" i="8"/>
  <c r="I30" i="4" s="1"/>
  <c r="B42" i="8"/>
  <c r="F42" i="4" s="1"/>
  <c r="AH45" i="8"/>
  <c r="D57" i="8"/>
  <c r="H57" i="4" s="1"/>
  <c r="B64" i="8"/>
  <c r="F64" i="4" s="1"/>
  <c r="B74" i="8"/>
  <c r="F74" i="4" s="1"/>
  <c r="C75" i="8"/>
  <c r="G75" i="4" s="1"/>
  <c r="D87" i="8"/>
  <c r="H87" i="4" s="1"/>
  <c r="B89" i="8"/>
  <c r="F89" i="4" s="1"/>
  <c r="E95" i="8"/>
  <c r="I95" i="4" s="1"/>
  <c r="D97" i="8"/>
  <c r="H97" i="4" s="1"/>
  <c r="R103" i="8"/>
  <c r="D109" i="8"/>
  <c r="H109" i="4" s="1"/>
  <c r="D127" i="8"/>
  <c r="H127" i="4" s="1"/>
  <c r="D130" i="8"/>
  <c r="H130" i="4" s="1"/>
  <c r="C133" i="8"/>
  <c r="G133" i="4" s="1"/>
  <c r="D139" i="8"/>
  <c r="H139" i="4" s="1"/>
  <c r="D144" i="8"/>
  <c r="H144" i="4" s="1"/>
  <c r="D153" i="8"/>
  <c r="H153" i="4" s="1"/>
  <c r="B179" i="8"/>
  <c r="F179" i="4" s="1"/>
  <c r="D183" i="8"/>
  <c r="H183" i="4" s="1"/>
  <c r="E186" i="8"/>
  <c r="I186" i="4" s="1"/>
  <c r="C191" i="8"/>
  <c r="G191" i="4" s="1"/>
  <c r="C231" i="8"/>
  <c r="G231" i="4" s="1"/>
  <c r="C234" i="8"/>
  <c r="G234" i="4" s="1"/>
  <c r="B253" i="8"/>
  <c r="F253" i="4" s="1"/>
  <c r="E261" i="8"/>
  <c r="I261" i="4" s="1"/>
  <c r="C268" i="8"/>
  <c r="G268" i="4" s="1"/>
  <c r="D277" i="8"/>
  <c r="H277" i="4" s="1"/>
  <c r="D281" i="8"/>
  <c r="H281" i="4" s="1"/>
  <c r="D287" i="8"/>
  <c r="H287" i="4" s="1"/>
  <c r="B290" i="8"/>
  <c r="F290" i="4" s="1"/>
  <c r="C301" i="8"/>
  <c r="G301" i="4" s="1"/>
  <c r="AP20" i="8"/>
  <c r="D14" i="8"/>
  <c r="H14" i="4" s="1"/>
  <c r="E21" i="8"/>
  <c r="I21" i="4" s="1"/>
  <c r="C24" i="8"/>
  <c r="G24" i="4" s="1"/>
  <c r="B31" i="8"/>
  <c r="F31" i="4" s="1"/>
  <c r="E34" i="8"/>
  <c r="I34" i="4" s="1"/>
  <c r="E64" i="8"/>
  <c r="I64" i="4" s="1"/>
  <c r="D67" i="8"/>
  <c r="H67" i="4" s="1"/>
  <c r="C89" i="8"/>
  <c r="G89" i="4" s="1"/>
  <c r="U99" i="8"/>
  <c r="C107" i="8"/>
  <c r="G107" i="4" s="1"/>
  <c r="B117" i="8"/>
  <c r="F117" i="4" s="1"/>
  <c r="D121" i="8"/>
  <c r="H121" i="4" s="1"/>
  <c r="E127" i="8"/>
  <c r="I127" i="4" s="1"/>
  <c r="D133" i="8"/>
  <c r="H133" i="4" s="1"/>
  <c r="C147" i="8"/>
  <c r="G147" i="4" s="1"/>
  <c r="B154" i="8"/>
  <c r="F154" i="4" s="1"/>
  <c r="E157" i="8"/>
  <c r="I157" i="4" s="1"/>
  <c r="C161" i="8"/>
  <c r="G161" i="4" s="1"/>
  <c r="C177" i="8"/>
  <c r="G177" i="4" s="1"/>
  <c r="B180" i="8"/>
  <c r="F180" i="4" s="1"/>
  <c r="D191" i="8"/>
  <c r="H191" i="4" s="1"/>
  <c r="AG205" i="8"/>
  <c r="D215" i="8"/>
  <c r="H215" i="4" s="1"/>
  <c r="C218" i="8"/>
  <c r="G218" i="4" s="1"/>
  <c r="D231" i="8"/>
  <c r="H231" i="4" s="1"/>
  <c r="D234" i="8"/>
  <c r="H234" i="4" s="1"/>
  <c r="B247" i="8"/>
  <c r="F247" i="4" s="1"/>
  <c r="C253" i="8"/>
  <c r="G253" i="4" s="1"/>
  <c r="B258" i="8"/>
  <c r="F258" i="4" s="1"/>
  <c r="B265" i="8"/>
  <c r="F265" i="4" s="1"/>
  <c r="D270" i="8"/>
  <c r="H270" i="4" s="1"/>
  <c r="E290" i="8"/>
  <c r="I290" i="4" s="1"/>
  <c r="D301" i="8"/>
  <c r="H301" i="4" s="1"/>
  <c r="AI43" i="8"/>
  <c r="P78" i="5"/>
  <c r="AI119" i="8"/>
  <c r="C21" i="8"/>
  <c r="G21" i="4" s="1"/>
  <c r="C31" i="8"/>
  <c r="G31" i="4" s="1"/>
  <c r="D42" i="8"/>
  <c r="H42" i="4" s="1"/>
  <c r="C58" i="8"/>
  <c r="G58" i="4" s="1"/>
  <c r="C70" i="8"/>
  <c r="G70" i="4" s="1"/>
  <c r="W74" i="8"/>
  <c r="E91" i="8"/>
  <c r="I91" i="4" s="1"/>
  <c r="D99" i="8"/>
  <c r="H99" i="4" s="1"/>
  <c r="C117" i="8"/>
  <c r="G117" i="4" s="1"/>
  <c r="C180" i="8"/>
  <c r="G180" i="4" s="1"/>
  <c r="B226" i="8"/>
  <c r="F226" i="4" s="1"/>
  <c r="B243" i="8"/>
  <c r="F243" i="4" s="1"/>
  <c r="B281" i="8"/>
  <c r="F281" i="4" s="1"/>
  <c r="B287" i="8"/>
  <c r="F287" i="4" s="1"/>
  <c r="B298" i="8"/>
  <c r="F298" i="4" s="1"/>
  <c r="B306" i="8"/>
  <c r="F306" i="4" s="1"/>
  <c r="P43" i="5"/>
  <c r="AG43" i="8"/>
  <c r="AP33" i="8"/>
  <c r="P162" i="5"/>
  <c r="P304" i="5"/>
  <c r="P182" i="5"/>
  <c r="P307" i="5"/>
  <c r="P274" i="5"/>
  <c r="P224" i="5"/>
  <c r="P294" i="5"/>
  <c r="P41" i="5"/>
  <c r="P80" i="5"/>
  <c r="P140" i="5"/>
  <c r="P212" i="5"/>
  <c r="P265" i="5"/>
  <c r="P250" i="5"/>
  <c r="P284" i="5"/>
  <c r="P285" i="5"/>
  <c r="P24" i="5"/>
  <c r="W12" i="8"/>
  <c r="Y12" i="8" s="1"/>
  <c r="V12" i="8"/>
  <c r="X12" i="8" s="1"/>
  <c r="W33" i="8"/>
  <c r="Y33" i="8" s="1"/>
  <c r="V33" i="8"/>
  <c r="X33" i="8" s="1"/>
  <c r="V24" i="8"/>
  <c r="X24" i="8" s="1"/>
  <c r="W24" i="8"/>
  <c r="Y24" i="8" s="1"/>
  <c r="Z24" i="8" s="1"/>
  <c r="T133" i="8"/>
  <c r="W11" i="8"/>
  <c r="Y11" i="8" s="1"/>
  <c r="V11" i="8"/>
  <c r="X11" i="8" s="1"/>
  <c r="W30" i="8"/>
  <c r="Y30" i="8" s="1"/>
  <c r="V30" i="8"/>
  <c r="X30" i="8" s="1"/>
  <c r="V37" i="8"/>
  <c r="X37" i="8" s="1"/>
  <c r="W37" i="8"/>
  <c r="Y37" i="8" s="1"/>
  <c r="Z37" i="8" s="1"/>
  <c r="S157" i="8"/>
  <c r="R157" i="8"/>
  <c r="H77" i="7"/>
  <c r="O77" i="7"/>
  <c r="N77" i="4" s="1"/>
  <c r="T104" i="8"/>
  <c r="T175" i="8"/>
  <c r="H73" i="7"/>
  <c r="B73" i="7"/>
  <c r="E73" i="4" s="1"/>
  <c r="O73" i="7"/>
  <c r="N73" i="4" s="1"/>
  <c r="W130" i="8"/>
  <c r="Y130" i="8" s="1"/>
  <c r="V130" i="8"/>
  <c r="X130" i="8" s="1"/>
  <c r="R127" i="8"/>
  <c r="R112" i="8"/>
  <c r="R108" i="8"/>
  <c r="T108" i="8" s="1"/>
  <c r="R189" i="8"/>
  <c r="S184" i="8"/>
  <c r="R179" i="8"/>
  <c r="S170" i="8"/>
  <c r="T170" i="8" s="1"/>
  <c r="S165" i="8"/>
  <c r="S160" i="8"/>
  <c r="T160" i="8" s="1"/>
  <c r="R156" i="8"/>
  <c r="R224" i="8"/>
  <c r="S279" i="8"/>
  <c r="S294" i="8"/>
  <c r="T294" i="8" s="1"/>
  <c r="R15" i="8"/>
  <c r="R72" i="8"/>
  <c r="S80" i="8"/>
  <c r="H144" i="7"/>
  <c r="O144" i="7"/>
  <c r="N144" i="4" s="1"/>
  <c r="B144" i="7"/>
  <c r="E144" i="4" s="1"/>
  <c r="H226" i="7"/>
  <c r="B226" i="7"/>
  <c r="E226" i="4" s="1"/>
  <c r="O226" i="7"/>
  <c r="N226" i="4" s="1"/>
  <c r="T137" i="8"/>
  <c r="S16" i="8"/>
  <c r="T16" i="8" s="1"/>
  <c r="S34" i="8"/>
  <c r="T34" i="8" s="1"/>
  <c r="R139" i="8"/>
  <c r="R135" i="8"/>
  <c r="T135" i="8" s="1"/>
  <c r="S127" i="8"/>
  <c r="R124" i="8"/>
  <c r="T124" i="8" s="1"/>
  <c r="R121" i="8"/>
  <c r="T121" i="8" s="1"/>
  <c r="R115" i="8"/>
  <c r="T115" i="8" s="1"/>
  <c r="S112" i="8"/>
  <c r="W189" i="8"/>
  <c r="V189" i="8"/>
  <c r="X189" i="8" s="1"/>
  <c r="S179" i="8"/>
  <c r="R165" i="8"/>
  <c r="W160" i="8"/>
  <c r="Y160" i="8" s="1"/>
  <c r="V160" i="8"/>
  <c r="X160" i="8" s="1"/>
  <c r="S156" i="8"/>
  <c r="T156" i="8" s="1"/>
  <c r="R150" i="8"/>
  <c r="R39" i="8"/>
  <c r="S39" i="8"/>
  <c r="S40" i="8"/>
  <c r="S95" i="8"/>
  <c r="S268" i="8"/>
  <c r="S30" i="8"/>
  <c r="V31" i="8"/>
  <c r="X31" i="8" s="1"/>
  <c r="Z31" i="8" s="1"/>
  <c r="AA31" i="8" s="1"/>
  <c r="AB31" i="8" s="1"/>
  <c r="R129" i="8"/>
  <c r="T129" i="8" s="1"/>
  <c r="R118" i="8"/>
  <c r="T118" i="8" s="1"/>
  <c r="S107" i="8"/>
  <c r="V184" i="8"/>
  <c r="X184" i="8" s="1"/>
  <c r="S178" i="8"/>
  <c r="S174" i="8"/>
  <c r="S169" i="8"/>
  <c r="S164" i="8"/>
  <c r="R146" i="8"/>
  <c r="S196" i="8"/>
  <c r="T196" i="8" s="1"/>
  <c r="R196" i="8"/>
  <c r="S217" i="8"/>
  <c r="S234" i="8"/>
  <c r="R240" i="8"/>
  <c r="S240" i="8"/>
  <c r="R279" i="8"/>
  <c r="S290" i="8"/>
  <c r="R35" i="8"/>
  <c r="R64" i="8"/>
  <c r="R68" i="8"/>
  <c r="R152" i="8"/>
  <c r="R244" i="8"/>
  <c r="R256" i="8"/>
  <c r="H60" i="7"/>
  <c r="B60" i="7"/>
  <c r="E60" i="4" s="1"/>
  <c r="O60" i="7"/>
  <c r="N60" i="4" s="1"/>
  <c r="R107" i="8"/>
  <c r="S193" i="8"/>
  <c r="T193" i="8" s="1"/>
  <c r="S188" i="8"/>
  <c r="T188" i="8" s="1"/>
  <c r="R174" i="8"/>
  <c r="T174" i="8" s="1"/>
  <c r="R169" i="8"/>
  <c r="R164" i="8"/>
  <c r="T164" i="8" s="1"/>
  <c r="S146" i="8"/>
  <c r="T146" i="8" s="1"/>
  <c r="R211" i="8"/>
  <c r="S296" i="8"/>
  <c r="R75" i="8"/>
  <c r="S84" i="8"/>
  <c r="T84" i="8" s="1"/>
  <c r="R249" i="8"/>
  <c r="V269" i="8"/>
  <c r="X269" i="8" s="1"/>
  <c r="W269" i="8"/>
  <c r="Y269" i="8" s="1"/>
  <c r="R231" i="8"/>
  <c r="S231" i="8"/>
  <c r="R132" i="8"/>
  <c r="R111" i="8"/>
  <c r="R192" i="8"/>
  <c r="R183" i="8"/>
  <c r="T183" i="8" s="1"/>
  <c r="R145" i="8"/>
  <c r="R197" i="8"/>
  <c r="T197" i="8" s="1"/>
  <c r="S211" i="8"/>
  <c r="T211" i="8" s="1"/>
  <c r="R301" i="8"/>
  <c r="S23" i="8"/>
  <c r="S54" i="8"/>
  <c r="T54" i="8" s="1"/>
  <c r="W246" i="8"/>
  <c r="Y246" i="8" s="1"/>
  <c r="V246" i="8"/>
  <c r="X246" i="8" s="1"/>
  <c r="S257" i="8"/>
  <c r="S260" i="8"/>
  <c r="R269" i="8"/>
  <c r="S305" i="8"/>
  <c r="R309" i="8"/>
  <c r="Y32" i="8"/>
  <c r="Z32" i="8" s="1"/>
  <c r="AA32" i="8" s="1"/>
  <c r="AB32" i="8" s="1"/>
  <c r="Y34" i="8"/>
  <c r="Z34" i="8" s="1"/>
  <c r="AA34" i="8" s="1"/>
  <c r="AB34" i="8" s="1"/>
  <c r="S132" i="8"/>
  <c r="S123" i="8"/>
  <c r="R120" i="8"/>
  <c r="T120" i="8" s="1"/>
  <c r="S111" i="8"/>
  <c r="S192" i="8"/>
  <c r="R163" i="8"/>
  <c r="R159" i="8"/>
  <c r="R155" i="8"/>
  <c r="S212" i="8"/>
  <c r="R217" i="8"/>
  <c r="S286" i="8"/>
  <c r="R291" i="8"/>
  <c r="R296" i="8"/>
  <c r="S301" i="8"/>
  <c r="R41" i="8"/>
  <c r="S41" i="8"/>
  <c r="W47" i="8"/>
  <c r="Y47" i="8" s="1"/>
  <c r="V47" i="8"/>
  <c r="X47" i="8" s="1"/>
  <c r="R13" i="8"/>
  <c r="V20" i="8"/>
  <c r="X20" i="8" s="1"/>
  <c r="W20" i="8"/>
  <c r="Y20" i="8" s="1"/>
  <c r="R58" i="8"/>
  <c r="R246" i="8"/>
  <c r="S11" i="8"/>
  <c r="T11" i="8" s="1"/>
  <c r="R123" i="8"/>
  <c r="R117" i="8"/>
  <c r="S114" i="8"/>
  <c r="S182" i="8"/>
  <c r="R177" i="8"/>
  <c r="S173" i="8"/>
  <c r="S168" i="8"/>
  <c r="S163" i="8"/>
  <c r="S159" i="8"/>
  <c r="S155" i="8"/>
  <c r="R149" i="8"/>
  <c r="S199" i="8"/>
  <c r="T199" i="8" s="1"/>
  <c r="R199" i="8"/>
  <c r="S200" i="8"/>
  <c r="S214" i="8"/>
  <c r="S282" i="8"/>
  <c r="S291" i="8"/>
  <c r="R302" i="8"/>
  <c r="S20" i="8"/>
  <c r="R54" i="8"/>
  <c r="S69" i="8"/>
  <c r="S85" i="8"/>
  <c r="R97" i="8"/>
  <c r="R250" i="8"/>
  <c r="S250" i="8"/>
  <c r="R257" i="8"/>
  <c r="B77" i="7"/>
  <c r="E77" i="4" s="1"/>
  <c r="H46" i="7"/>
  <c r="T130" i="8"/>
  <c r="V166" i="8"/>
  <c r="X166" i="8" s="1"/>
  <c r="W166" i="8"/>
  <c r="Y166" i="8" s="1"/>
  <c r="R195" i="8"/>
  <c r="S195" i="8"/>
  <c r="R203" i="8"/>
  <c r="S203" i="8"/>
  <c r="T203" i="8" s="1"/>
  <c r="Y25" i="8"/>
  <c r="R138" i="8"/>
  <c r="T138" i="8" s="1"/>
  <c r="R126" i="8"/>
  <c r="T126" i="8" s="1"/>
  <c r="S117" i="8"/>
  <c r="R114" i="8"/>
  <c r="S187" i="8"/>
  <c r="T187" i="8" s="1"/>
  <c r="R182" i="8"/>
  <c r="R173" i="8"/>
  <c r="R168" i="8"/>
  <c r="T168" i="8" s="1"/>
  <c r="S149" i="8"/>
  <c r="Y145" i="8"/>
  <c r="R212" i="8"/>
  <c r="S222" i="8"/>
  <c r="R235" i="8"/>
  <c r="R241" i="8"/>
  <c r="S241" i="8"/>
  <c r="R297" i="8"/>
  <c r="R270" i="8"/>
  <c r="S270" i="8"/>
  <c r="R22" i="8"/>
  <c r="R134" i="8"/>
  <c r="R128" i="8"/>
  <c r="V120" i="8"/>
  <c r="X120" i="8" s="1"/>
  <c r="Z120" i="8" s="1"/>
  <c r="R110" i="8"/>
  <c r="S106" i="8"/>
  <c r="T106" i="8" s="1"/>
  <c r="R191" i="8"/>
  <c r="S186" i="8"/>
  <c r="S162" i="8"/>
  <c r="T162" i="8" s="1"/>
  <c r="R162" i="8"/>
  <c r="S154" i="8"/>
  <c r="R154" i="8"/>
  <c r="R220" i="8"/>
  <c r="R287" i="8"/>
  <c r="S297" i="8"/>
  <c r="S228" i="8"/>
  <c r="R261" i="8"/>
  <c r="R310" i="8"/>
  <c r="H34" i="7"/>
  <c r="I34" i="7" s="1"/>
  <c r="O34" i="7"/>
  <c r="N34" i="4" s="1"/>
  <c r="B34" i="7"/>
  <c r="E34" i="4" s="1"/>
  <c r="H177" i="7"/>
  <c r="O177" i="7"/>
  <c r="N177" i="4" s="1"/>
  <c r="B177" i="7"/>
  <c r="E177" i="4" s="1"/>
  <c r="T147" i="8"/>
  <c r="K11" i="6"/>
  <c r="S22" i="8"/>
  <c r="V27" i="8"/>
  <c r="X27" i="8" s="1"/>
  <c r="R140" i="8"/>
  <c r="T140" i="8" s="1"/>
  <c r="S134" i="8"/>
  <c r="S131" i="8"/>
  <c r="T131" i="8" s="1"/>
  <c r="S128" i="8"/>
  <c r="T128" i="8" s="1"/>
  <c r="S110" i="8"/>
  <c r="T110" i="8" s="1"/>
  <c r="R105" i="8"/>
  <c r="S191" i="8"/>
  <c r="R186" i="8"/>
  <c r="S181" i="8"/>
  <c r="S172" i="8"/>
  <c r="S158" i="8"/>
  <c r="R222" i="8"/>
  <c r="S223" i="8"/>
  <c r="S287" i="8"/>
  <c r="R55" i="8"/>
  <c r="R306" i="8"/>
  <c r="B95" i="7"/>
  <c r="E95" i="4" s="1"/>
  <c r="H95" i="7"/>
  <c r="R25" i="8"/>
  <c r="T25" i="8" s="1"/>
  <c r="S27" i="8"/>
  <c r="T27" i="8" s="1"/>
  <c r="R37" i="8"/>
  <c r="T37" i="8" s="1"/>
  <c r="V138" i="8"/>
  <c r="X138" i="8" s="1"/>
  <c r="R122" i="8"/>
  <c r="S105" i="8"/>
  <c r="S176" i="8"/>
  <c r="R167" i="8"/>
  <c r="S161" i="8"/>
  <c r="R153" i="8"/>
  <c r="S148" i="8"/>
  <c r="R144" i="8"/>
  <c r="R237" i="8"/>
  <c r="S237" i="8"/>
  <c r="T263" i="8"/>
  <c r="S293" i="8"/>
  <c r="T293" i="8" s="1"/>
  <c r="S42" i="8"/>
  <c r="R66" i="8"/>
  <c r="S86" i="8"/>
  <c r="S101" i="8"/>
  <c r="R258" i="8"/>
  <c r="R271" i="8"/>
  <c r="V22" i="8"/>
  <c r="X22" i="8" s="1"/>
  <c r="Z22" i="8" s="1"/>
  <c r="R24" i="8"/>
  <c r="T24" i="8" s="1"/>
  <c r="V128" i="8"/>
  <c r="X128" i="8" s="1"/>
  <c r="R125" i="8"/>
  <c r="S122" i="8"/>
  <c r="R119" i="8"/>
  <c r="R113" i="8"/>
  <c r="Y191" i="8"/>
  <c r="S185" i="8"/>
  <c r="R176" i="8"/>
  <c r="S167" i="8"/>
  <c r="R161" i="8"/>
  <c r="S153" i="8"/>
  <c r="R148" i="8"/>
  <c r="S144" i="8"/>
  <c r="T144" i="8" s="1"/>
  <c r="T267" i="8"/>
  <c r="R298" i="8"/>
  <c r="S298" i="8"/>
  <c r="T298" i="8" s="1"/>
  <c r="S36" i="8"/>
  <c r="I12" i="7"/>
  <c r="Y140" i="8"/>
  <c r="Z128" i="8"/>
  <c r="S125" i="8"/>
  <c r="S119" i="8"/>
  <c r="R116" i="8"/>
  <c r="T116" i="8" s="1"/>
  <c r="S113" i="8"/>
  <c r="S109" i="8"/>
  <c r="T109" i="8" s="1"/>
  <c r="R190" i="8"/>
  <c r="R185" i="8"/>
  <c r="S171" i="8"/>
  <c r="R166" i="8"/>
  <c r="R202" i="8"/>
  <c r="S202" i="8"/>
  <c r="R223" i="8"/>
  <c r="R238" i="8"/>
  <c r="R288" i="8"/>
  <c r="S288" i="8"/>
  <c r="R293" i="8"/>
  <c r="R207" i="8"/>
  <c r="S230" i="8"/>
  <c r="S307" i="8"/>
  <c r="B14" i="7"/>
  <c r="E14" i="4" s="1"/>
  <c r="O14" i="7"/>
  <c r="N14" i="4" s="1"/>
  <c r="H87" i="7"/>
  <c r="O87" i="7"/>
  <c r="N87" i="4" s="1"/>
  <c r="S180" i="8"/>
  <c r="R180" i="8"/>
  <c r="H59" i="2"/>
  <c r="T189" i="8"/>
  <c r="R233" i="8"/>
  <c r="R232" i="8"/>
  <c r="S227" i="8"/>
  <c r="S232" i="8"/>
  <c r="R236" i="8"/>
  <c r="R225" i="8"/>
  <c r="R229" i="8"/>
  <c r="S229" i="8"/>
  <c r="R227" i="8"/>
  <c r="R226" i="8"/>
  <c r="R50" i="8"/>
  <c r="T50" i="8" s="1"/>
  <c r="R96" i="8"/>
  <c r="R81" i="8"/>
  <c r="S226" i="8"/>
  <c r="R78" i="8"/>
  <c r="S50" i="8"/>
  <c r="S100" i="8"/>
  <c r="R82" i="8"/>
  <c r="S81" i="8"/>
  <c r="R74" i="8"/>
  <c r="R87" i="8"/>
  <c r="R19" i="8"/>
  <c r="S78" i="8"/>
  <c r="R29" i="8"/>
  <c r="R18" i="8"/>
  <c r="S82" i="8"/>
  <c r="S79" i="8"/>
  <c r="R52" i="8"/>
  <c r="T52" i="8" s="1"/>
  <c r="R45" i="8"/>
  <c r="S236" i="8"/>
  <c r="R98" i="8"/>
  <c r="S19" i="8"/>
  <c r="S29" i="8"/>
  <c r="S18" i="8"/>
  <c r="R99" i="8"/>
  <c r="S98" i="8"/>
  <c r="T98" i="8" s="1"/>
  <c r="S52" i="8"/>
  <c r="S45" i="8"/>
  <c r="S239" i="8"/>
  <c r="T239" i="8" s="1"/>
  <c r="S224" i="8"/>
  <c r="T224" i="8" s="1"/>
  <c r="S220" i="8"/>
  <c r="T220" i="8" s="1"/>
  <c r="R272" i="8"/>
  <c r="R254" i="8"/>
  <c r="S218" i="8"/>
  <c r="S213" i="8"/>
  <c r="R62" i="8"/>
  <c r="R36" i="8"/>
  <c r="S14" i="8"/>
  <c r="R295" i="8"/>
  <c r="R292" i="8"/>
  <c r="R281" i="8"/>
  <c r="S235" i="8"/>
  <c r="S309" i="8"/>
  <c r="T309" i="8" s="1"/>
  <c r="R304" i="8"/>
  <c r="R274" i="8"/>
  <c r="S261" i="8"/>
  <c r="T261" i="8" s="1"/>
  <c r="S152" i="8"/>
  <c r="R91" i="8"/>
  <c r="R77" i="8"/>
  <c r="S60" i="8"/>
  <c r="T60" i="8" s="1"/>
  <c r="S58" i="8"/>
  <c r="R23" i="8"/>
  <c r="R48" i="8"/>
  <c r="R243" i="8"/>
  <c r="R234" i="8"/>
  <c r="R214" i="8"/>
  <c r="R198" i="8"/>
  <c r="S272" i="8"/>
  <c r="S246" i="8"/>
  <c r="R219" i="8"/>
  <c r="R216" i="8"/>
  <c r="R209" i="8"/>
  <c r="R93" i="8"/>
  <c r="R84" i="8"/>
  <c r="S62" i="8"/>
  <c r="T62" i="8" s="1"/>
  <c r="R53" i="8"/>
  <c r="S46" i="8"/>
  <c r="T46" i="8" s="1"/>
  <c r="R42" i="8"/>
  <c r="R40" i="8"/>
  <c r="R300" i="8"/>
  <c r="T300" i="8" s="1"/>
  <c r="R286" i="8"/>
  <c r="S281" i="8"/>
  <c r="S295" i="8"/>
  <c r="T295" i="8" s="1"/>
  <c r="S292" i="8"/>
  <c r="T292" i="8" s="1"/>
  <c r="S304" i="8"/>
  <c r="S274" i="8"/>
  <c r="S91" i="8"/>
  <c r="S77" i="8"/>
  <c r="S35" i="8"/>
  <c r="S21" i="8"/>
  <c r="T21" i="8" s="1"/>
  <c r="R283" i="8"/>
  <c r="R280" i="8"/>
  <c r="S243" i="8"/>
  <c r="R210" i="8"/>
  <c r="T210" i="8" s="1"/>
  <c r="S198" i="8"/>
  <c r="T198" i="8" s="1"/>
  <c r="S145" i="8"/>
  <c r="T145" i="8" s="1"/>
  <c r="S150" i="8"/>
  <c r="T150" i="8" s="1"/>
  <c r="S177" i="8"/>
  <c r="R308" i="8"/>
  <c r="R260" i="8"/>
  <c r="S254" i="8"/>
  <c r="R247" i="8"/>
  <c r="R230" i="8"/>
  <c r="S209" i="8"/>
  <c r="R142" i="8"/>
  <c r="R86" i="8"/>
  <c r="R70" i="8"/>
  <c r="R61" i="8"/>
  <c r="R59" i="8"/>
  <c r="R57" i="8"/>
  <c r="S53" i="8"/>
  <c r="R273" i="8"/>
  <c r="R251" i="8"/>
  <c r="S219" i="8"/>
  <c r="R201" i="8"/>
  <c r="R89" i="8"/>
  <c r="R63" i="8"/>
  <c r="S55" i="8"/>
  <c r="T55" i="8" s="1"/>
  <c r="R28" i="8"/>
  <c r="S48" i="8"/>
  <c r="S283" i="8"/>
  <c r="S280" i="8"/>
  <c r="R242" i="8"/>
  <c r="R200" i="8"/>
  <c r="S143" i="8"/>
  <c r="S308" i="8"/>
  <c r="R275" i="8"/>
  <c r="S247" i="8"/>
  <c r="R208" i="8"/>
  <c r="S142" i="8"/>
  <c r="R92" i="8"/>
  <c r="R76" i="8"/>
  <c r="S70" i="8"/>
  <c r="R65" i="8"/>
  <c r="S61" i="8"/>
  <c r="S57" i="8"/>
  <c r="R285" i="8"/>
  <c r="R282" i="8"/>
  <c r="R215" i="8"/>
  <c r="S251" i="8"/>
  <c r="S201" i="8"/>
  <c r="S89" i="8"/>
  <c r="S59" i="8"/>
  <c r="R151" i="8"/>
  <c r="T151" i="8" s="1"/>
  <c r="R158" i="8"/>
  <c r="R172" i="8"/>
  <c r="R178" i="8"/>
  <c r="R181" i="8"/>
  <c r="T181" i="8" s="1"/>
  <c r="R184" i="8"/>
  <c r="R305" i="8"/>
  <c r="S273" i="8"/>
  <c r="R218" i="8"/>
  <c r="R213" i="8"/>
  <c r="S72" i="8"/>
  <c r="R67" i="8"/>
  <c r="T67" i="8" s="1"/>
  <c r="S63" i="8"/>
  <c r="S51" i="8"/>
  <c r="R14" i="8"/>
  <c r="S302" i="8"/>
  <c r="T302" i="8" s="1"/>
  <c r="S242" i="8"/>
  <c r="S275" i="8"/>
  <c r="T275" i="8" s="1"/>
  <c r="S208" i="8"/>
  <c r="S92" i="8"/>
  <c r="S76" i="8"/>
  <c r="S65" i="8"/>
  <c r="S28" i="8"/>
  <c r="S285" i="8"/>
  <c r="T285" i="8" s="1"/>
  <c r="S215" i="8"/>
  <c r="T215" i="8" s="1"/>
  <c r="V25" i="8"/>
  <c r="X25" i="8" s="1"/>
  <c r="V122" i="8"/>
  <c r="X122" i="8" s="1"/>
  <c r="S190" i="8"/>
  <c r="T190" i="8" s="1"/>
  <c r="R171" i="8"/>
  <c r="S166" i="8"/>
  <c r="T166" i="8" s="1"/>
  <c r="S151" i="8"/>
  <c r="R143" i="8"/>
  <c r="R277" i="8"/>
  <c r="S277" i="8"/>
  <c r="R284" i="8"/>
  <c r="S284" i="8"/>
  <c r="R299" i="8"/>
  <c r="S56" i="8"/>
  <c r="R71" i="8"/>
  <c r="S71" i="8"/>
  <c r="T71" i="8" s="1"/>
  <c r="R88" i="8"/>
  <c r="S88" i="8"/>
  <c r="S93" i="8"/>
  <c r="T93" i="8" s="1"/>
  <c r="S216" i="8"/>
  <c r="V156" i="8"/>
  <c r="X156" i="8" s="1"/>
  <c r="S299" i="8"/>
  <c r="R56" i="8"/>
  <c r="R69" i="8"/>
  <c r="R85" i="8"/>
  <c r="R101" i="8"/>
  <c r="R228" i="8"/>
  <c r="T228" i="8" s="1"/>
  <c r="S255" i="8"/>
  <c r="T255" i="8" s="1"/>
  <c r="R268" i="8"/>
  <c r="R307" i="8"/>
  <c r="O142" i="7"/>
  <c r="N142" i="4" s="1"/>
  <c r="O240" i="7"/>
  <c r="N240" i="4" s="1"/>
  <c r="O70" i="7"/>
  <c r="N70" i="4" s="1"/>
  <c r="I29" i="7"/>
  <c r="P19" i="5"/>
  <c r="S13" i="8"/>
  <c r="T13" i="8" s="1"/>
  <c r="V28" i="8"/>
  <c r="X28" i="8" s="1"/>
  <c r="Z28" i="8" s="1"/>
  <c r="O291" i="7"/>
  <c r="N291" i="4" s="1"/>
  <c r="B210" i="7"/>
  <c r="E210" i="4" s="1"/>
  <c r="F23" i="7"/>
  <c r="H61" i="7"/>
  <c r="H92" i="7"/>
  <c r="I92" i="7" s="1"/>
  <c r="V200" i="8"/>
  <c r="X200" i="8" s="1"/>
  <c r="R206" i="8"/>
  <c r="T206" i="8" s="1"/>
  <c r="R290" i="8"/>
  <c r="V13" i="8"/>
  <c r="X13" i="8" s="1"/>
  <c r="Z13" i="8" s="1"/>
  <c r="AA13" i="8" s="1"/>
  <c r="AB13" i="8" s="1"/>
  <c r="R80" i="8"/>
  <c r="R95" i="8"/>
  <c r="S271" i="8"/>
  <c r="O210" i="7"/>
  <c r="N210" i="4" s="1"/>
  <c r="B63" i="7"/>
  <c r="E63" i="4" s="1"/>
  <c r="B161" i="7"/>
  <c r="E161" i="4" s="1"/>
  <c r="H105" i="7"/>
  <c r="H167" i="7"/>
  <c r="V237" i="8"/>
  <c r="X237" i="8" s="1"/>
  <c r="V288" i="8"/>
  <c r="X288" i="8" s="1"/>
  <c r="S244" i="8"/>
  <c r="T244" i="8" s="1"/>
  <c r="S249" i="8"/>
  <c r="S310" i="8"/>
  <c r="V175" i="8"/>
  <c r="X175" i="8" s="1"/>
  <c r="S15" i="8"/>
  <c r="R20" i="8"/>
  <c r="T20" i="8" s="1"/>
  <c r="S68" i="8"/>
  <c r="T68" i="8" s="1"/>
  <c r="W70" i="8"/>
  <c r="Y70" i="8" s="1"/>
  <c r="Z70" i="8" s="1"/>
  <c r="S262" i="8"/>
  <c r="T262" i="8" s="1"/>
  <c r="S269" i="8"/>
  <c r="T269" i="8" s="1"/>
  <c r="W308" i="8"/>
  <c r="O84" i="7"/>
  <c r="N84" i="4" s="1"/>
  <c r="B33" i="7"/>
  <c r="E33" i="4" s="1"/>
  <c r="J48" i="7"/>
  <c r="K48" i="7" s="1"/>
  <c r="Y262" i="8"/>
  <c r="S47" i="8"/>
  <c r="T47" i="8" s="1"/>
  <c r="V23" i="8"/>
  <c r="X23" i="8" s="1"/>
  <c r="S97" i="8"/>
  <c r="T97" i="8" s="1"/>
  <c r="V262" i="8"/>
  <c r="X262" i="8" s="1"/>
  <c r="B240" i="7"/>
  <c r="E240" i="4" s="1"/>
  <c r="I249" i="7"/>
  <c r="V48" i="8"/>
  <c r="X48" i="8" s="1"/>
  <c r="S66" i="8"/>
  <c r="T66" i="8" s="1"/>
  <c r="V97" i="8"/>
  <c r="X97" i="8" s="1"/>
  <c r="S258" i="8"/>
  <c r="S306" i="8"/>
  <c r="T306" i="8" s="1"/>
  <c r="O102" i="7"/>
  <c r="N102" i="4" s="1"/>
  <c r="I15" i="7"/>
  <c r="H152" i="7"/>
  <c r="S17" i="8"/>
  <c r="R136" i="8"/>
  <c r="O61" i="7"/>
  <c r="N61" i="4" s="1"/>
  <c r="O15" i="7"/>
  <c r="N15" i="4" s="1"/>
  <c r="B270" i="7"/>
  <c r="E270" i="4" s="1"/>
  <c r="H11" i="7"/>
  <c r="I11" i="7" s="1"/>
  <c r="O11" i="7"/>
  <c r="N11" i="4" s="1"/>
  <c r="I36" i="7"/>
  <c r="H58" i="7"/>
  <c r="O58" i="7"/>
  <c r="N58" i="4" s="1"/>
  <c r="S96" i="8"/>
  <c r="S278" i="8"/>
  <c r="T278" i="8" s="1"/>
  <c r="S289" i="8"/>
  <c r="T289" i="8" s="1"/>
  <c r="Y48" i="8"/>
  <c r="S75" i="8"/>
  <c r="S256" i="8"/>
  <c r="T256" i="8" s="1"/>
  <c r="B92" i="7"/>
  <c r="E92" i="4" s="1"/>
  <c r="B102" i="7"/>
  <c r="E102" i="4" s="1"/>
  <c r="B117" i="7"/>
  <c r="E117" i="4" s="1"/>
  <c r="H142" i="7"/>
  <c r="R100" i="8"/>
  <c r="S238" i="8"/>
  <c r="V21" i="8"/>
  <c r="X21" i="8" s="1"/>
  <c r="S64" i="8"/>
  <c r="S207" i="8"/>
  <c r="S252" i="8"/>
  <c r="T252" i="8" s="1"/>
  <c r="O283" i="7"/>
  <c r="N283" i="4" s="1"/>
  <c r="O299" i="7"/>
  <c r="N299" i="4" s="1"/>
  <c r="O105" i="7"/>
  <c r="N105" i="4" s="1"/>
  <c r="B47" i="7"/>
  <c r="E47" i="4" s="1"/>
  <c r="I31" i="7"/>
  <c r="H220" i="7"/>
  <c r="I229" i="7"/>
  <c r="S73" i="8"/>
  <c r="P153" i="5"/>
  <c r="R94" i="8"/>
  <c r="Y21" i="8"/>
  <c r="T248" i="8"/>
  <c r="O153" i="7"/>
  <c r="N153" i="4" s="1"/>
  <c r="B84" i="7"/>
  <c r="E84" i="4" s="1"/>
  <c r="H216" i="7"/>
  <c r="W309" i="8"/>
  <c r="O220" i="7"/>
  <c r="N220" i="4" s="1"/>
  <c r="R26" i="8"/>
  <c r="V188" i="8"/>
  <c r="X188" i="8" s="1"/>
  <c r="H47" i="7"/>
  <c r="I149" i="7"/>
  <c r="I154" i="7"/>
  <c r="I273" i="7"/>
  <c r="V265" i="8"/>
  <c r="X265" i="8" s="1"/>
  <c r="AH13" i="8"/>
  <c r="AK13" i="8" s="1"/>
  <c r="AL13" i="8" s="1"/>
  <c r="AM13" i="8" s="1"/>
  <c r="AN13" i="8" s="1"/>
  <c r="AO13" i="8" s="1"/>
  <c r="AB13" i="4" s="1"/>
  <c r="AH32" i="8"/>
  <c r="AH37" i="8"/>
  <c r="AK37" i="8" s="1"/>
  <c r="AH66" i="8"/>
  <c r="C66" i="8"/>
  <c r="G66" i="4" s="1"/>
  <c r="B66" i="8"/>
  <c r="F66" i="4" s="1"/>
  <c r="V73" i="8"/>
  <c r="X73" i="8" s="1"/>
  <c r="AH78" i="8"/>
  <c r="U78" i="8"/>
  <c r="W78" i="8" s="1"/>
  <c r="S90" i="8"/>
  <c r="R90" i="8"/>
  <c r="AH94" i="8"/>
  <c r="C94" i="8"/>
  <c r="G94" i="4" s="1"/>
  <c r="AH113" i="8"/>
  <c r="C113" i="8"/>
  <c r="G113" i="4" s="1"/>
  <c r="B113" i="8"/>
  <c r="F113" i="4" s="1"/>
  <c r="AH116" i="8"/>
  <c r="D116" i="8"/>
  <c r="H116" i="4" s="1"/>
  <c r="AH142" i="8"/>
  <c r="C142" i="8"/>
  <c r="G142" i="4" s="1"/>
  <c r="AH163" i="8"/>
  <c r="E163" i="8"/>
  <c r="I163" i="4" s="1"/>
  <c r="D163" i="8"/>
  <c r="H163" i="4" s="1"/>
  <c r="C163" i="8"/>
  <c r="G163" i="4" s="1"/>
  <c r="B163" i="8"/>
  <c r="F163" i="4" s="1"/>
  <c r="D182" i="8"/>
  <c r="H182" i="4" s="1"/>
  <c r="AH182" i="8"/>
  <c r="E182" i="8"/>
  <c r="I182" i="4" s="1"/>
  <c r="C182" i="8"/>
  <c r="G182" i="4" s="1"/>
  <c r="AH238" i="8"/>
  <c r="E238" i="8"/>
  <c r="I238" i="4" s="1"/>
  <c r="D238" i="8"/>
  <c r="H238" i="4" s="1"/>
  <c r="C238" i="8"/>
  <c r="G238" i="4" s="1"/>
  <c r="B238" i="8"/>
  <c r="F238" i="4" s="1"/>
  <c r="P174" i="5"/>
  <c r="I58" i="7"/>
  <c r="D11" i="8"/>
  <c r="H11" i="4" s="1"/>
  <c r="B14" i="8"/>
  <c r="F14" i="4" s="1"/>
  <c r="R17" i="8"/>
  <c r="D22" i="8"/>
  <c r="H22" i="4" s="1"/>
  <c r="AH24" i="8"/>
  <c r="AQ24" i="8" s="1"/>
  <c r="AR24" i="8" s="1"/>
  <c r="AS24" i="8" s="1"/>
  <c r="AT24" i="8" s="1"/>
  <c r="AU24" i="8" s="1"/>
  <c r="AC24" i="4" s="1"/>
  <c r="S26" i="8"/>
  <c r="AH27" i="8"/>
  <c r="D30" i="8"/>
  <c r="H30" i="4" s="1"/>
  <c r="B33" i="8"/>
  <c r="F33" i="4" s="1"/>
  <c r="B39" i="8"/>
  <c r="F39" i="4" s="1"/>
  <c r="D45" i="8"/>
  <c r="H45" i="4" s="1"/>
  <c r="D47" i="8"/>
  <c r="H47" i="4" s="1"/>
  <c r="AH47" i="8"/>
  <c r="AK47" i="8" s="1"/>
  <c r="AL47" i="8" s="1"/>
  <c r="AM47" i="8" s="1"/>
  <c r="AN47" i="8" s="1"/>
  <c r="AO47" i="8" s="1"/>
  <c r="AB47" i="4" s="1"/>
  <c r="D52" i="8"/>
  <c r="H52" i="4" s="1"/>
  <c r="D56" i="8"/>
  <c r="H56" i="4" s="1"/>
  <c r="AH58" i="8"/>
  <c r="C64" i="8"/>
  <c r="G64" i="4" s="1"/>
  <c r="C67" i="8"/>
  <c r="G67" i="4" s="1"/>
  <c r="B80" i="8"/>
  <c r="F80" i="4" s="1"/>
  <c r="AH96" i="8"/>
  <c r="E96" i="8"/>
  <c r="I96" i="4" s="1"/>
  <c r="D96" i="8"/>
  <c r="H96" i="4" s="1"/>
  <c r="E98" i="8"/>
  <c r="I98" i="4" s="1"/>
  <c r="S99" i="8"/>
  <c r="T99" i="8" s="1"/>
  <c r="R102" i="8"/>
  <c r="S102" i="8"/>
  <c r="B110" i="8"/>
  <c r="F110" i="4" s="1"/>
  <c r="B114" i="8"/>
  <c r="F114" i="4" s="1"/>
  <c r="AH128" i="8"/>
  <c r="E128" i="8"/>
  <c r="I128" i="4" s="1"/>
  <c r="D128" i="8"/>
  <c r="H128" i="4" s="1"/>
  <c r="C128" i="8"/>
  <c r="G128" i="4" s="1"/>
  <c r="B128" i="8"/>
  <c r="F128" i="4" s="1"/>
  <c r="C132" i="8"/>
  <c r="G132" i="4" s="1"/>
  <c r="AH135" i="8"/>
  <c r="B135" i="8"/>
  <c r="F135" i="4" s="1"/>
  <c r="D164" i="8"/>
  <c r="H164" i="4" s="1"/>
  <c r="AH205" i="8"/>
  <c r="U205" i="8"/>
  <c r="E205" i="8"/>
  <c r="I205" i="4" s="1"/>
  <c r="D205" i="8"/>
  <c r="H205" i="4" s="1"/>
  <c r="B205" i="8"/>
  <c r="F205" i="4" s="1"/>
  <c r="D213" i="8"/>
  <c r="H213" i="4" s="1"/>
  <c r="B224" i="8"/>
  <c r="F224" i="4" s="1"/>
  <c r="AH224" i="8"/>
  <c r="E224" i="8"/>
  <c r="I224" i="4" s="1"/>
  <c r="D224" i="8"/>
  <c r="H224" i="4" s="1"/>
  <c r="AH235" i="8"/>
  <c r="E310" i="8"/>
  <c r="I310" i="4" s="1"/>
  <c r="I140" i="7"/>
  <c r="C14" i="8"/>
  <c r="G14" i="4" s="1"/>
  <c r="D18" i="8"/>
  <c r="H18" i="4" s="1"/>
  <c r="B20" i="8"/>
  <c r="F20" i="4" s="1"/>
  <c r="B25" i="8"/>
  <c r="F25" i="4" s="1"/>
  <c r="D26" i="8"/>
  <c r="H26" i="4" s="1"/>
  <c r="B28" i="8"/>
  <c r="F28" i="4" s="1"/>
  <c r="D29" i="8"/>
  <c r="H29" i="4" s="1"/>
  <c r="C33" i="8"/>
  <c r="G33" i="4" s="1"/>
  <c r="AH35" i="8"/>
  <c r="AK35" i="8" s="1"/>
  <c r="C39" i="8"/>
  <c r="G39" i="4" s="1"/>
  <c r="AH41" i="8"/>
  <c r="E45" i="8"/>
  <c r="I45" i="4" s="1"/>
  <c r="B48" i="8"/>
  <c r="F48" i="4" s="1"/>
  <c r="E52" i="8"/>
  <c r="I52" i="4" s="1"/>
  <c r="AH53" i="8"/>
  <c r="C59" i="8"/>
  <c r="G59" i="4" s="1"/>
  <c r="AH61" i="8"/>
  <c r="D61" i="8"/>
  <c r="H61" i="4" s="1"/>
  <c r="B70" i="8"/>
  <c r="F70" i="4" s="1"/>
  <c r="AH72" i="8"/>
  <c r="C72" i="8"/>
  <c r="G72" i="4" s="1"/>
  <c r="B75" i="8"/>
  <c r="F75" i="4" s="1"/>
  <c r="AH77" i="8"/>
  <c r="C77" i="8"/>
  <c r="G77" i="4" s="1"/>
  <c r="B77" i="8"/>
  <c r="F77" i="4" s="1"/>
  <c r="AH81" i="8"/>
  <c r="E81" i="8"/>
  <c r="I81" i="4" s="1"/>
  <c r="C81" i="8"/>
  <c r="G81" i="4" s="1"/>
  <c r="AH88" i="8"/>
  <c r="E88" i="8"/>
  <c r="I88" i="4" s="1"/>
  <c r="D88" i="8"/>
  <c r="H88" i="4" s="1"/>
  <c r="AH100" i="8"/>
  <c r="C100" i="8"/>
  <c r="G100" i="4" s="1"/>
  <c r="AH103" i="8"/>
  <c r="E103" i="8"/>
  <c r="I103" i="4" s="1"/>
  <c r="U103" i="8"/>
  <c r="AH124" i="8"/>
  <c r="D124" i="8"/>
  <c r="H124" i="4" s="1"/>
  <c r="AH138" i="8"/>
  <c r="B138" i="8"/>
  <c r="F138" i="4" s="1"/>
  <c r="E138" i="8"/>
  <c r="I138" i="4" s="1"/>
  <c r="B147" i="8"/>
  <c r="F147" i="4" s="1"/>
  <c r="D150" i="8"/>
  <c r="H150" i="4" s="1"/>
  <c r="AH150" i="8"/>
  <c r="C150" i="8"/>
  <c r="G150" i="4" s="1"/>
  <c r="AH187" i="8"/>
  <c r="E187" i="8"/>
  <c r="I187" i="4" s="1"/>
  <c r="D187" i="8"/>
  <c r="H187" i="4" s="1"/>
  <c r="B187" i="8"/>
  <c r="F187" i="4" s="1"/>
  <c r="E192" i="8"/>
  <c r="I192" i="4" s="1"/>
  <c r="D192" i="8"/>
  <c r="H192" i="4" s="1"/>
  <c r="C192" i="8"/>
  <c r="G192" i="4" s="1"/>
  <c r="B192" i="8"/>
  <c r="F192" i="4" s="1"/>
  <c r="AH192" i="8"/>
  <c r="AH217" i="8"/>
  <c r="B217" i="8"/>
  <c r="F217" i="4" s="1"/>
  <c r="E217" i="8"/>
  <c r="I217" i="4" s="1"/>
  <c r="R221" i="8"/>
  <c r="S221" i="8"/>
  <c r="AH239" i="8"/>
  <c r="E239" i="8"/>
  <c r="I239" i="4" s="1"/>
  <c r="C239" i="8"/>
  <c r="G239" i="4" s="1"/>
  <c r="B239" i="8"/>
  <c r="F239" i="4" s="1"/>
  <c r="D239" i="8"/>
  <c r="H239" i="4" s="1"/>
  <c r="AH260" i="8"/>
  <c r="B260" i="8"/>
  <c r="F260" i="4" s="1"/>
  <c r="E260" i="8"/>
  <c r="I260" i="4" s="1"/>
  <c r="C260" i="8"/>
  <c r="G260" i="4" s="1"/>
  <c r="AH282" i="8"/>
  <c r="E282" i="8"/>
  <c r="I282" i="4" s="1"/>
  <c r="C282" i="8"/>
  <c r="G282" i="4" s="1"/>
  <c r="B282" i="8"/>
  <c r="F282" i="4" s="1"/>
  <c r="E300" i="8"/>
  <c r="I300" i="4" s="1"/>
  <c r="AH300" i="8"/>
  <c r="D300" i="8"/>
  <c r="H300" i="4" s="1"/>
  <c r="C300" i="8"/>
  <c r="G300" i="4" s="1"/>
  <c r="AH16" i="8"/>
  <c r="AH84" i="8"/>
  <c r="E84" i="8"/>
  <c r="I84" i="4" s="1"/>
  <c r="D84" i="8"/>
  <c r="H84" i="4" s="1"/>
  <c r="AH90" i="8"/>
  <c r="D90" i="8"/>
  <c r="H90" i="4" s="1"/>
  <c r="B90" i="8"/>
  <c r="F90" i="4" s="1"/>
  <c r="AH93" i="8"/>
  <c r="E93" i="8"/>
  <c r="I93" i="4" s="1"/>
  <c r="AH121" i="8"/>
  <c r="C121" i="8"/>
  <c r="G121" i="4" s="1"/>
  <c r="B121" i="8"/>
  <c r="F121" i="4" s="1"/>
  <c r="AH143" i="8"/>
  <c r="E143" i="8"/>
  <c r="I143" i="4" s="1"/>
  <c r="D143" i="8"/>
  <c r="H143" i="4" s="1"/>
  <c r="C143" i="8"/>
  <c r="G143" i="4" s="1"/>
  <c r="B143" i="8"/>
  <c r="F143" i="4" s="1"/>
  <c r="AJ11" i="8"/>
  <c r="AL11" i="8" s="1"/>
  <c r="AM11" i="8" s="1"/>
  <c r="AN11" i="8" s="1"/>
  <c r="AO11" i="8" s="1"/>
  <c r="AB11" i="4" s="1"/>
  <c r="AP22" i="8"/>
  <c r="P155" i="5"/>
  <c r="P176" i="5"/>
  <c r="AH11" i="8"/>
  <c r="AK11" i="8" s="1"/>
  <c r="B17" i="8"/>
  <c r="F17" i="4" s="1"/>
  <c r="D19" i="8"/>
  <c r="H19" i="4" s="1"/>
  <c r="D20" i="8"/>
  <c r="H20" i="4" s="1"/>
  <c r="AH22" i="8"/>
  <c r="D25" i="8"/>
  <c r="H25" i="4" s="1"/>
  <c r="D28" i="8"/>
  <c r="H28" i="4" s="1"/>
  <c r="AH30" i="8"/>
  <c r="AK30" i="8" s="1"/>
  <c r="AL30" i="8" s="1"/>
  <c r="AM30" i="8" s="1"/>
  <c r="AN30" i="8" s="1"/>
  <c r="AO30" i="8" s="1"/>
  <c r="AB30" i="4" s="1"/>
  <c r="C42" i="8"/>
  <c r="G42" i="4" s="1"/>
  <c r="D48" i="8"/>
  <c r="H48" i="4" s="1"/>
  <c r="AH50" i="8"/>
  <c r="E50" i="8"/>
  <c r="I50" i="4" s="1"/>
  <c r="B50" i="8"/>
  <c r="F50" i="4" s="1"/>
  <c r="B54" i="8"/>
  <c r="F54" i="4" s="1"/>
  <c r="AH56" i="8"/>
  <c r="AH67" i="8"/>
  <c r="B67" i="8"/>
  <c r="F67" i="4" s="1"/>
  <c r="E67" i="8"/>
  <c r="I67" i="4" s="1"/>
  <c r="D70" i="8"/>
  <c r="H70" i="4" s="1"/>
  <c r="D75" i="8"/>
  <c r="H75" i="4" s="1"/>
  <c r="B78" i="8"/>
  <c r="F78" i="4" s="1"/>
  <c r="AH110" i="8"/>
  <c r="E110" i="8"/>
  <c r="I110" i="4" s="1"/>
  <c r="D110" i="8"/>
  <c r="H110" i="4" s="1"/>
  <c r="AH132" i="8"/>
  <c r="D132" i="8"/>
  <c r="H132" i="4" s="1"/>
  <c r="AH164" i="8"/>
  <c r="C164" i="8"/>
  <c r="G164" i="4" s="1"/>
  <c r="B164" i="8"/>
  <c r="F164" i="4" s="1"/>
  <c r="D240" i="8"/>
  <c r="H240" i="4" s="1"/>
  <c r="AH295" i="8"/>
  <c r="C295" i="8"/>
  <c r="G295" i="4" s="1"/>
  <c r="E295" i="8"/>
  <c r="I295" i="4" s="1"/>
  <c r="D295" i="8"/>
  <c r="H295" i="4" s="1"/>
  <c r="B295" i="8"/>
  <c r="F295" i="4" s="1"/>
  <c r="AP34" i="8"/>
  <c r="P166" i="5"/>
  <c r="I114" i="7"/>
  <c r="Y267" i="8"/>
  <c r="AH17" i="8"/>
  <c r="AK17" i="8" s="1"/>
  <c r="AL17" i="8" s="1"/>
  <c r="AM17" i="8" s="1"/>
  <c r="AN17" i="8" s="1"/>
  <c r="AO17" i="8" s="1"/>
  <c r="AB17" i="4" s="1"/>
  <c r="E29" i="8"/>
  <c r="I29" i="4" s="1"/>
  <c r="I50" i="7"/>
  <c r="AH64" i="8"/>
  <c r="C78" i="8"/>
  <c r="G78" i="4" s="1"/>
  <c r="AH80" i="8"/>
  <c r="C80" i="8"/>
  <c r="G80" i="4" s="1"/>
  <c r="B94" i="8"/>
  <c r="F94" i="4" s="1"/>
  <c r="AH129" i="8"/>
  <c r="C129" i="8"/>
  <c r="G129" i="4" s="1"/>
  <c r="B129" i="8"/>
  <c r="F129" i="4" s="1"/>
  <c r="AH155" i="8"/>
  <c r="E155" i="8"/>
  <c r="I155" i="4" s="1"/>
  <c r="D155" i="8"/>
  <c r="H155" i="4" s="1"/>
  <c r="B155" i="8"/>
  <c r="F155" i="4" s="1"/>
  <c r="AH179" i="8"/>
  <c r="E179" i="8"/>
  <c r="I179" i="4" s="1"/>
  <c r="D179" i="8"/>
  <c r="H179" i="4" s="1"/>
  <c r="C296" i="8"/>
  <c r="G296" i="4" s="1"/>
  <c r="B296" i="8"/>
  <c r="F296" i="4" s="1"/>
  <c r="AH14" i="8"/>
  <c r="AH33" i="8"/>
  <c r="AK33" i="8" s="1"/>
  <c r="AH39" i="8"/>
  <c r="AH59" i="8"/>
  <c r="B59" i="8"/>
  <c r="F59" i="4" s="1"/>
  <c r="U94" i="8"/>
  <c r="W94" i="8" s="1"/>
  <c r="AH95" i="8"/>
  <c r="C95" i="8"/>
  <c r="G95" i="4" s="1"/>
  <c r="B95" i="8"/>
  <c r="F95" i="4" s="1"/>
  <c r="AH102" i="8"/>
  <c r="U102" i="8"/>
  <c r="S136" i="8"/>
  <c r="AH147" i="8"/>
  <c r="D147" i="8"/>
  <c r="H147" i="4" s="1"/>
  <c r="E160" i="8"/>
  <c r="I160" i="4" s="1"/>
  <c r="D160" i="8"/>
  <c r="H160" i="4" s="1"/>
  <c r="C160" i="8"/>
  <c r="G160" i="4" s="1"/>
  <c r="B160" i="8"/>
  <c r="F160" i="4" s="1"/>
  <c r="AH160" i="8"/>
  <c r="D221" i="8"/>
  <c r="H221" i="4" s="1"/>
  <c r="AH221" i="8"/>
  <c r="E221" i="8"/>
  <c r="I221" i="4" s="1"/>
  <c r="U221" i="8"/>
  <c r="W221" i="8" s="1"/>
  <c r="C221" i="8"/>
  <c r="G221" i="4" s="1"/>
  <c r="D85" i="2"/>
  <c r="D90" i="2" s="1"/>
  <c r="P27" i="5"/>
  <c r="P57" i="5"/>
  <c r="AH20" i="8"/>
  <c r="AH25" i="8"/>
  <c r="AK25" i="8" s="1"/>
  <c r="AL25" i="8" s="1"/>
  <c r="AM25" i="8" s="1"/>
  <c r="AN25" i="8" s="1"/>
  <c r="AO25" i="8" s="1"/>
  <c r="AB25" i="4" s="1"/>
  <c r="AH28" i="8"/>
  <c r="AH48" i="8"/>
  <c r="AK48" i="8" s="1"/>
  <c r="AH75" i="8"/>
  <c r="AK75" i="8" s="1"/>
  <c r="AH104" i="8"/>
  <c r="E104" i="8"/>
  <c r="I104" i="4" s="1"/>
  <c r="D104" i="8"/>
  <c r="H104" i="4" s="1"/>
  <c r="C104" i="8"/>
  <c r="G104" i="4" s="1"/>
  <c r="C144" i="8"/>
  <c r="G144" i="4" s="1"/>
  <c r="B144" i="8"/>
  <c r="F144" i="4" s="1"/>
  <c r="AH144" i="8"/>
  <c r="D169" i="8"/>
  <c r="H169" i="4" s="1"/>
  <c r="AH246" i="8"/>
  <c r="E246" i="8"/>
  <c r="I246" i="4" s="1"/>
  <c r="C246" i="8"/>
  <c r="G246" i="4" s="1"/>
  <c r="B246" i="8"/>
  <c r="F246" i="4" s="1"/>
  <c r="B86" i="7"/>
  <c r="E86" i="4" s="1"/>
  <c r="H26" i="5"/>
  <c r="V72" i="8"/>
  <c r="X72" i="8" s="1"/>
  <c r="I137" i="7"/>
  <c r="C15" i="8"/>
  <c r="G15" i="4" s="1"/>
  <c r="U17" i="8"/>
  <c r="C34" i="8"/>
  <c r="G34" i="4" s="1"/>
  <c r="C40" i="8"/>
  <c r="G40" i="4" s="1"/>
  <c r="AH42" i="8"/>
  <c r="C50" i="8"/>
  <c r="G50" i="4" s="1"/>
  <c r="AH54" i="8"/>
  <c r="C54" i="8"/>
  <c r="G54" i="4" s="1"/>
  <c r="B60" i="8"/>
  <c r="F60" i="4" s="1"/>
  <c r="C62" i="8"/>
  <c r="G62" i="4" s="1"/>
  <c r="AH62" i="8"/>
  <c r="C71" i="8"/>
  <c r="G71" i="4" s="1"/>
  <c r="D78" i="8"/>
  <c r="H78" i="4" s="1"/>
  <c r="U81" i="8"/>
  <c r="V81" i="8" s="1"/>
  <c r="X81" i="8" s="1"/>
  <c r="AH91" i="8"/>
  <c r="D91" i="8"/>
  <c r="H91" i="4" s="1"/>
  <c r="C91" i="8"/>
  <c r="G91" i="4" s="1"/>
  <c r="D94" i="8"/>
  <c r="H94" i="4" s="1"/>
  <c r="C96" i="8"/>
  <c r="G96" i="4" s="1"/>
  <c r="AH98" i="8"/>
  <c r="U98" i="8"/>
  <c r="W98" i="8" s="1"/>
  <c r="D98" i="8"/>
  <c r="H98" i="4" s="1"/>
  <c r="U100" i="8"/>
  <c r="B103" i="8"/>
  <c r="F103" i="4" s="1"/>
  <c r="AH118" i="8"/>
  <c r="E118" i="8"/>
  <c r="I118" i="4" s="1"/>
  <c r="D118" i="8"/>
  <c r="H118" i="4" s="1"/>
  <c r="B118" i="8"/>
  <c r="F118" i="4" s="1"/>
  <c r="AH176" i="8"/>
  <c r="E176" i="8"/>
  <c r="I176" i="4" s="1"/>
  <c r="D176" i="8"/>
  <c r="H176" i="4" s="1"/>
  <c r="AH184" i="8"/>
  <c r="E184" i="8"/>
  <c r="I184" i="4" s="1"/>
  <c r="D184" i="8"/>
  <c r="H184" i="4" s="1"/>
  <c r="B184" i="8"/>
  <c r="F184" i="4" s="1"/>
  <c r="D292" i="8"/>
  <c r="H292" i="4" s="1"/>
  <c r="AP35" i="8"/>
  <c r="Y256" i="8"/>
  <c r="D15" i="8"/>
  <c r="H15" i="4" s="1"/>
  <c r="C18" i="8"/>
  <c r="G18" i="4" s="1"/>
  <c r="B21" i="8"/>
  <c r="F21" i="4" s="1"/>
  <c r="C26" i="8"/>
  <c r="G26" i="4" s="1"/>
  <c r="B29" i="8"/>
  <c r="F29" i="4" s="1"/>
  <c r="D34" i="8"/>
  <c r="H34" i="4" s="1"/>
  <c r="AH36" i="8"/>
  <c r="D40" i="8"/>
  <c r="H40" i="4" s="1"/>
  <c r="B45" i="8"/>
  <c r="F45" i="4" s="1"/>
  <c r="U50" i="8"/>
  <c r="W50" i="8" s="1"/>
  <c r="B55" i="8"/>
  <c r="F55" i="4" s="1"/>
  <c r="C60" i="8"/>
  <c r="G60" i="4" s="1"/>
  <c r="B63" i="8"/>
  <c r="F63" i="4" s="1"/>
  <c r="C76" i="8"/>
  <c r="G76" i="4" s="1"/>
  <c r="E78" i="8"/>
  <c r="I78" i="4" s="1"/>
  <c r="W79" i="8"/>
  <c r="AH85" i="8"/>
  <c r="C85" i="8"/>
  <c r="G85" i="4" s="1"/>
  <c r="AH89" i="8"/>
  <c r="E94" i="8"/>
  <c r="I94" i="4" s="1"/>
  <c r="U96" i="8"/>
  <c r="AH101" i="8"/>
  <c r="D101" i="8"/>
  <c r="H101" i="4" s="1"/>
  <c r="C103" i="8"/>
  <c r="G103" i="4" s="1"/>
  <c r="B111" i="8"/>
  <c r="F111" i="4" s="1"/>
  <c r="AH111" i="8"/>
  <c r="C119" i="8"/>
  <c r="G119" i="4" s="1"/>
  <c r="B173" i="8"/>
  <c r="F173" i="4" s="1"/>
  <c r="AH173" i="8"/>
  <c r="AQ173" i="8" s="1"/>
  <c r="E173" i="8"/>
  <c r="I173" i="4" s="1"/>
  <c r="D219" i="8"/>
  <c r="H219" i="4" s="1"/>
  <c r="AH219" i="8"/>
  <c r="C219" i="8"/>
  <c r="G219" i="4" s="1"/>
  <c r="E219" i="8"/>
  <c r="I219" i="4" s="1"/>
  <c r="B219" i="8"/>
  <c r="F219" i="4" s="1"/>
  <c r="C280" i="8"/>
  <c r="G280" i="4" s="1"/>
  <c r="B280" i="8"/>
  <c r="F280" i="4" s="1"/>
  <c r="B304" i="8"/>
  <c r="F304" i="4" s="1"/>
  <c r="AH304" i="8"/>
  <c r="E304" i="8"/>
  <c r="I304" i="4" s="1"/>
  <c r="C304" i="8"/>
  <c r="G304" i="4" s="1"/>
  <c r="H310" i="7"/>
  <c r="P61" i="5"/>
  <c r="I304" i="7"/>
  <c r="AH12" i="8"/>
  <c r="AQ12" i="8" s="1"/>
  <c r="AH23" i="8"/>
  <c r="AK23" i="8" s="1"/>
  <c r="AH26" i="8"/>
  <c r="C29" i="8"/>
  <c r="G29" i="4" s="1"/>
  <c r="AH31" i="8"/>
  <c r="AQ31" i="8" s="1"/>
  <c r="AR31" i="8" s="1"/>
  <c r="AS31" i="8" s="1"/>
  <c r="AT31" i="8" s="1"/>
  <c r="AU31" i="8" s="1"/>
  <c r="AC31" i="4" s="1"/>
  <c r="C45" i="8"/>
  <c r="G45" i="4" s="1"/>
  <c r="AH51" i="8"/>
  <c r="B51" i="8"/>
  <c r="F51" i="4" s="1"/>
  <c r="AH52" i="8"/>
  <c r="D55" i="8"/>
  <c r="H55" i="4" s="1"/>
  <c r="AH57" i="8"/>
  <c r="E57" i="8"/>
  <c r="I57" i="4" s="1"/>
  <c r="C63" i="8"/>
  <c r="G63" i="4" s="1"/>
  <c r="AH68" i="8"/>
  <c r="E68" i="8"/>
  <c r="I68" i="4" s="1"/>
  <c r="W73" i="8"/>
  <c r="D76" i="8"/>
  <c r="H76" i="4" s="1"/>
  <c r="R79" i="8"/>
  <c r="S87" i="8"/>
  <c r="T87" i="8" s="1"/>
  <c r="C92" i="8"/>
  <c r="G92" i="4" s="1"/>
  <c r="D119" i="8"/>
  <c r="H119" i="4" s="1"/>
  <c r="AH126" i="8"/>
  <c r="E126" i="8"/>
  <c r="I126" i="4" s="1"/>
  <c r="D126" i="8"/>
  <c r="H126" i="4" s="1"/>
  <c r="B126" i="8"/>
  <c r="F126" i="4" s="1"/>
  <c r="AH136" i="8"/>
  <c r="E136" i="8"/>
  <c r="I136" i="4" s="1"/>
  <c r="U136" i="8"/>
  <c r="W136" i="8" s="1"/>
  <c r="C136" i="8"/>
  <c r="G136" i="4" s="1"/>
  <c r="B136" i="8"/>
  <c r="F136" i="4" s="1"/>
  <c r="AH152" i="8"/>
  <c r="E152" i="8"/>
  <c r="I152" i="4" s="1"/>
  <c r="D152" i="8"/>
  <c r="H152" i="4" s="1"/>
  <c r="B152" i="8"/>
  <c r="F152" i="4" s="1"/>
  <c r="AH156" i="8"/>
  <c r="B156" i="8"/>
  <c r="F156" i="4" s="1"/>
  <c r="B162" i="8"/>
  <c r="F162" i="4" s="1"/>
  <c r="C203" i="8"/>
  <c r="G203" i="4" s="1"/>
  <c r="AH203" i="8"/>
  <c r="E203" i="8"/>
  <c r="I203" i="4" s="1"/>
  <c r="B208" i="8"/>
  <c r="F208" i="4" s="1"/>
  <c r="AH236" i="8"/>
  <c r="B236" i="8"/>
  <c r="F236" i="4" s="1"/>
  <c r="E236" i="8"/>
  <c r="I236" i="4" s="1"/>
  <c r="D236" i="8"/>
  <c r="H236" i="4" s="1"/>
  <c r="U236" i="8"/>
  <c r="W236" i="8" s="1"/>
  <c r="C236" i="8"/>
  <c r="G236" i="4" s="1"/>
  <c r="E267" i="8"/>
  <c r="I267" i="4" s="1"/>
  <c r="C267" i="8"/>
  <c r="G267" i="4" s="1"/>
  <c r="B267" i="8"/>
  <c r="F267" i="4" s="1"/>
  <c r="AH267" i="8"/>
  <c r="D267" i="8"/>
  <c r="H267" i="4" s="1"/>
  <c r="E302" i="8"/>
  <c r="I302" i="4" s="1"/>
  <c r="AP48" i="8"/>
  <c r="I116" i="7"/>
  <c r="I138" i="7"/>
  <c r="I257" i="7"/>
  <c r="B13" i="8"/>
  <c r="F13" i="4" s="1"/>
  <c r="AH18" i="8"/>
  <c r="B32" i="8"/>
  <c r="F32" i="4" s="1"/>
  <c r="B37" i="8"/>
  <c r="F37" i="4" s="1"/>
  <c r="AH65" i="8"/>
  <c r="B65" i="8"/>
  <c r="F65" i="4" s="1"/>
  <c r="R73" i="8"/>
  <c r="S74" i="8"/>
  <c r="T74" i="8" s="1"/>
  <c r="D81" i="8"/>
  <c r="H81" i="4" s="1"/>
  <c r="C90" i="8"/>
  <c r="G90" i="4" s="1"/>
  <c r="B98" i="8"/>
  <c r="F98" i="4" s="1"/>
  <c r="D100" i="8"/>
  <c r="H100" i="4" s="1"/>
  <c r="B102" i="8"/>
  <c r="F102" i="4" s="1"/>
  <c r="S103" i="8"/>
  <c r="T103" i="8" s="1"/>
  <c r="AH105" i="8"/>
  <c r="C105" i="8"/>
  <c r="G105" i="4" s="1"/>
  <c r="B105" i="8"/>
  <c r="F105" i="4" s="1"/>
  <c r="AH108" i="8"/>
  <c r="D108" i="8"/>
  <c r="H108" i="4" s="1"/>
  <c r="AH140" i="8"/>
  <c r="E140" i="8"/>
  <c r="I140" i="4" s="1"/>
  <c r="C140" i="8"/>
  <c r="G140" i="4" s="1"/>
  <c r="B140" i="8"/>
  <c r="F140" i="4" s="1"/>
  <c r="D166" i="8"/>
  <c r="H166" i="4" s="1"/>
  <c r="AH166" i="8"/>
  <c r="E166" i="8"/>
  <c r="I166" i="4" s="1"/>
  <c r="C166" i="8"/>
  <c r="G166" i="4" s="1"/>
  <c r="B166" i="8"/>
  <c r="F166" i="4" s="1"/>
  <c r="D170" i="8"/>
  <c r="H170" i="4" s="1"/>
  <c r="AH170" i="8"/>
  <c r="B170" i="8"/>
  <c r="F170" i="4" s="1"/>
  <c r="B185" i="8"/>
  <c r="F185" i="4" s="1"/>
  <c r="AH185" i="8"/>
  <c r="D185" i="8"/>
  <c r="H185" i="4" s="1"/>
  <c r="C185" i="8"/>
  <c r="G185" i="4" s="1"/>
  <c r="AH190" i="8"/>
  <c r="D190" i="8"/>
  <c r="H190" i="4" s="1"/>
  <c r="E190" i="8"/>
  <c r="I190" i="4" s="1"/>
  <c r="C190" i="8"/>
  <c r="G190" i="4" s="1"/>
  <c r="AH196" i="8"/>
  <c r="E196" i="8"/>
  <c r="I196" i="4" s="1"/>
  <c r="D196" i="8"/>
  <c r="H196" i="4" s="1"/>
  <c r="C196" i="8"/>
  <c r="G196" i="4" s="1"/>
  <c r="B196" i="8"/>
  <c r="F196" i="4" s="1"/>
  <c r="C205" i="8"/>
  <c r="G205" i="4" s="1"/>
  <c r="V132" i="8"/>
  <c r="X132" i="8" s="1"/>
  <c r="C13" i="8"/>
  <c r="G13" i="4" s="1"/>
  <c r="AH15" i="8"/>
  <c r="AQ15" i="8" s="1"/>
  <c r="D17" i="8"/>
  <c r="H17" i="4" s="1"/>
  <c r="B24" i="8"/>
  <c r="F24" i="4" s="1"/>
  <c r="B27" i="8"/>
  <c r="F27" i="4" s="1"/>
  <c r="C32" i="8"/>
  <c r="G32" i="4" s="1"/>
  <c r="AH34" i="8"/>
  <c r="C37" i="8"/>
  <c r="G37" i="4" s="1"/>
  <c r="AH40" i="8"/>
  <c r="AH46" i="8"/>
  <c r="D50" i="8"/>
  <c r="H50" i="4" s="1"/>
  <c r="B52" i="8"/>
  <c r="F52" i="4" s="1"/>
  <c r="B58" i="8"/>
  <c r="F58" i="4" s="1"/>
  <c r="AH60" i="8"/>
  <c r="D60" i="8"/>
  <c r="H60" i="4" s="1"/>
  <c r="U90" i="8"/>
  <c r="W90" i="8" s="1"/>
  <c r="S94" i="8"/>
  <c r="T94" i="8" s="1"/>
  <c r="C98" i="8"/>
  <c r="G98" i="4" s="1"/>
  <c r="E100" i="8"/>
  <c r="I100" i="4" s="1"/>
  <c r="C102" i="8"/>
  <c r="G102" i="4" s="1"/>
  <c r="D103" i="8"/>
  <c r="H103" i="4" s="1"/>
  <c r="B106" i="8"/>
  <c r="F106" i="4" s="1"/>
  <c r="AH112" i="8"/>
  <c r="E112" i="8"/>
  <c r="I112" i="4" s="1"/>
  <c r="D112" i="8"/>
  <c r="H112" i="4" s="1"/>
  <c r="C112" i="8"/>
  <c r="G112" i="4" s="1"/>
  <c r="B116" i="8"/>
  <c r="F116" i="4" s="1"/>
  <c r="AH134" i="8"/>
  <c r="E134" i="8"/>
  <c r="I134" i="4" s="1"/>
  <c r="D134" i="8"/>
  <c r="H134" i="4" s="1"/>
  <c r="B134" i="8"/>
  <c r="F134" i="4" s="1"/>
  <c r="B142" i="8"/>
  <c r="F142" i="4" s="1"/>
  <c r="D208" i="8"/>
  <c r="H208" i="4" s="1"/>
  <c r="C208" i="8"/>
  <c r="G208" i="4" s="1"/>
  <c r="D232" i="8"/>
  <c r="H232" i="4" s="1"/>
  <c r="B232" i="8"/>
  <c r="F232" i="4" s="1"/>
  <c r="AH232" i="8"/>
  <c r="E232" i="8"/>
  <c r="I232" i="4" s="1"/>
  <c r="U232" i="8"/>
  <c r="W232" i="8" s="1"/>
  <c r="C232" i="8"/>
  <c r="G232" i="4" s="1"/>
  <c r="AH305" i="8"/>
  <c r="E305" i="8"/>
  <c r="I305" i="4" s="1"/>
  <c r="C305" i="8"/>
  <c r="G305" i="4" s="1"/>
  <c r="B305" i="8"/>
  <c r="F305" i="4" s="1"/>
  <c r="D305" i="8"/>
  <c r="H305" i="4" s="1"/>
  <c r="P95" i="5"/>
  <c r="V264" i="8"/>
  <c r="X264" i="8" s="1"/>
  <c r="I270" i="7"/>
  <c r="D13" i="8"/>
  <c r="H13" i="4" s="1"/>
  <c r="B19" i="8"/>
  <c r="F19" i="4" s="1"/>
  <c r="D32" i="8"/>
  <c r="H32" i="4" s="1"/>
  <c r="B35" i="8"/>
  <c r="F35" i="4" s="1"/>
  <c r="D37" i="8"/>
  <c r="H37" i="4" s="1"/>
  <c r="B41" i="8"/>
  <c r="F41" i="4" s="1"/>
  <c r="B53" i="8"/>
  <c r="F53" i="4" s="1"/>
  <c r="AH55" i="8"/>
  <c r="C55" i="8"/>
  <c r="G55" i="4" s="1"/>
  <c r="D66" i="8"/>
  <c r="H66" i="4" s="1"/>
  <c r="AH76" i="8"/>
  <c r="B76" i="8"/>
  <c r="F76" i="4" s="1"/>
  <c r="AH92" i="8"/>
  <c r="B92" i="8"/>
  <c r="F92" i="4" s="1"/>
  <c r="E92" i="8"/>
  <c r="I92" i="4" s="1"/>
  <c r="W100" i="8"/>
  <c r="C106" i="8"/>
  <c r="G106" i="4" s="1"/>
  <c r="D113" i="8"/>
  <c r="H113" i="4" s="1"/>
  <c r="C116" i="8"/>
  <c r="G116" i="4" s="1"/>
  <c r="AH119" i="8"/>
  <c r="AQ119" i="8" s="1"/>
  <c r="B119" i="8"/>
  <c r="F119" i="4" s="1"/>
  <c r="C135" i="8"/>
  <c r="G135" i="4" s="1"/>
  <c r="D142" i="8"/>
  <c r="H142" i="4" s="1"/>
  <c r="B181" i="8"/>
  <c r="F181" i="4" s="1"/>
  <c r="AH181" i="8"/>
  <c r="E181" i="8"/>
  <c r="I181" i="4" s="1"/>
  <c r="C181" i="8"/>
  <c r="G181" i="4" s="1"/>
  <c r="AH216" i="8"/>
  <c r="C242" i="8"/>
  <c r="G242" i="4" s="1"/>
  <c r="E242" i="8"/>
  <c r="I242" i="4" s="1"/>
  <c r="B242" i="8"/>
  <c r="F242" i="4" s="1"/>
  <c r="AH242" i="8"/>
  <c r="E255" i="8"/>
  <c r="I255" i="4" s="1"/>
  <c r="AH271" i="8"/>
  <c r="I247" i="7"/>
  <c r="E13" i="8"/>
  <c r="I13" i="4" s="1"/>
  <c r="B16" i="8"/>
  <c r="F16" i="4" s="1"/>
  <c r="AH21" i="8"/>
  <c r="AK21" i="8" s="1"/>
  <c r="D24" i="8"/>
  <c r="H24" i="4" s="1"/>
  <c r="U26" i="8"/>
  <c r="V26" i="8" s="1"/>
  <c r="X26" i="8" s="1"/>
  <c r="D27" i="8"/>
  <c r="H27" i="4" s="1"/>
  <c r="E32" i="8"/>
  <c r="I32" i="4" s="1"/>
  <c r="C35" i="8"/>
  <c r="G35" i="4" s="1"/>
  <c r="E37" i="8"/>
  <c r="I37" i="4" s="1"/>
  <c r="C41" i="8"/>
  <c r="G41" i="4" s="1"/>
  <c r="C47" i="8"/>
  <c r="G47" i="4" s="1"/>
  <c r="U52" i="8"/>
  <c r="C53" i="8"/>
  <c r="G53" i="4" s="1"/>
  <c r="D58" i="8"/>
  <c r="H58" i="4" s="1"/>
  <c r="B61" i="8"/>
  <c r="F61" i="4" s="1"/>
  <c r="E66" i="8"/>
  <c r="I66" i="4" s="1"/>
  <c r="B72" i="8"/>
  <c r="F72" i="4" s="1"/>
  <c r="AH79" i="8"/>
  <c r="AH82" i="8"/>
  <c r="U82" i="8"/>
  <c r="W82" i="8" s="1"/>
  <c r="C82" i="8"/>
  <c r="G82" i="4" s="1"/>
  <c r="AH87" i="8"/>
  <c r="U87" i="8"/>
  <c r="W87" i="8" s="1"/>
  <c r="E90" i="8"/>
  <c r="I90" i="4" s="1"/>
  <c r="D102" i="8"/>
  <c r="H102" i="4" s="1"/>
  <c r="D106" i="8"/>
  <c r="H106" i="4" s="1"/>
  <c r="E113" i="8"/>
  <c r="I113" i="4" s="1"/>
  <c r="E116" i="8"/>
  <c r="I116" i="4" s="1"/>
  <c r="B124" i="8"/>
  <c r="F124" i="4" s="1"/>
  <c r="D135" i="8"/>
  <c r="H135" i="4" s="1"/>
  <c r="D137" i="8"/>
  <c r="H137" i="4" s="1"/>
  <c r="E142" i="8"/>
  <c r="I142" i="4" s="1"/>
  <c r="B149" i="8"/>
  <c r="F149" i="4" s="1"/>
  <c r="AH149" i="8"/>
  <c r="E149" i="8"/>
  <c r="I149" i="4" s="1"/>
  <c r="C149" i="8"/>
  <c r="G149" i="4" s="1"/>
  <c r="B153" i="8"/>
  <c r="F153" i="4" s="1"/>
  <c r="AH153" i="8"/>
  <c r="C153" i="8"/>
  <c r="G153" i="4" s="1"/>
  <c r="B182" i="8"/>
  <c r="F182" i="4" s="1"/>
  <c r="R205" i="8"/>
  <c r="S205" i="8"/>
  <c r="AH293" i="8"/>
  <c r="H29" i="5"/>
  <c r="B11" i="8"/>
  <c r="F11" i="4" s="1"/>
  <c r="C16" i="8"/>
  <c r="G16" i="4" s="1"/>
  <c r="E17" i="8"/>
  <c r="I17" i="4" s="1"/>
  <c r="U18" i="8"/>
  <c r="V18" i="8" s="1"/>
  <c r="X18" i="8" s="1"/>
  <c r="AH19" i="8"/>
  <c r="AK19" i="8" s="1"/>
  <c r="AL19" i="8" s="1"/>
  <c r="AM19" i="8" s="1"/>
  <c r="AN19" i="8" s="1"/>
  <c r="AO19" i="8" s="1"/>
  <c r="AB19" i="4" s="1"/>
  <c r="B22" i="8"/>
  <c r="F22" i="4" s="1"/>
  <c r="E24" i="8"/>
  <c r="I24" i="4" s="1"/>
  <c r="E27" i="8"/>
  <c r="I27" i="4" s="1"/>
  <c r="U29" i="8"/>
  <c r="V29" i="8" s="1"/>
  <c r="X29" i="8" s="1"/>
  <c r="B30" i="8"/>
  <c r="F30" i="4" s="1"/>
  <c r="D35" i="8"/>
  <c r="H35" i="4" s="1"/>
  <c r="D41" i="8"/>
  <c r="H41" i="4" s="1"/>
  <c r="E47" i="8"/>
  <c r="I47" i="4" s="1"/>
  <c r="D53" i="8"/>
  <c r="H53" i="4" s="1"/>
  <c r="B56" i="8"/>
  <c r="F56" i="4" s="1"/>
  <c r="E58" i="8"/>
  <c r="I58" i="4" s="1"/>
  <c r="C61" i="8"/>
  <c r="G61" i="4" s="1"/>
  <c r="D72" i="8"/>
  <c r="H72" i="4" s="1"/>
  <c r="AH73" i="8"/>
  <c r="D73" i="8"/>
  <c r="H73" i="4" s="1"/>
  <c r="C73" i="8"/>
  <c r="G73" i="4" s="1"/>
  <c r="D77" i="8"/>
  <c r="H77" i="4" s="1"/>
  <c r="B88" i="8"/>
  <c r="F88" i="4" s="1"/>
  <c r="B93" i="8"/>
  <c r="F93" i="4" s="1"/>
  <c r="E102" i="8"/>
  <c r="I102" i="4" s="1"/>
  <c r="AH120" i="8"/>
  <c r="E120" i="8"/>
  <c r="I120" i="4" s="1"/>
  <c r="D120" i="8"/>
  <c r="H120" i="4" s="1"/>
  <c r="C120" i="8"/>
  <c r="G120" i="4" s="1"/>
  <c r="B120" i="8"/>
  <c r="F120" i="4" s="1"/>
  <c r="C124" i="8"/>
  <c r="G124" i="4" s="1"/>
  <c r="B127" i="8"/>
  <c r="F127" i="4" s="1"/>
  <c r="AH127" i="8"/>
  <c r="E135" i="8"/>
  <c r="I135" i="4" s="1"/>
  <c r="C138" i="8"/>
  <c r="G138" i="4" s="1"/>
  <c r="B150" i="8"/>
  <c r="F150" i="4" s="1"/>
  <c r="AH158" i="8"/>
  <c r="D158" i="8"/>
  <c r="H158" i="4" s="1"/>
  <c r="E158" i="8"/>
  <c r="I158" i="4" s="1"/>
  <c r="C158" i="8"/>
  <c r="G158" i="4" s="1"/>
  <c r="AH167" i="8"/>
  <c r="C167" i="8"/>
  <c r="G167" i="4" s="1"/>
  <c r="B167" i="8"/>
  <c r="F167" i="4" s="1"/>
  <c r="C217" i="8"/>
  <c r="G217" i="4" s="1"/>
  <c r="B221" i="8"/>
  <c r="F221" i="4" s="1"/>
  <c r="C224" i="8"/>
  <c r="G224" i="4" s="1"/>
  <c r="E233" i="8"/>
  <c r="I233" i="4" s="1"/>
  <c r="D233" i="8"/>
  <c r="H233" i="4" s="1"/>
  <c r="W233" i="8"/>
  <c r="C233" i="8"/>
  <c r="G233" i="4" s="1"/>
  <c r="B233" i="8"/>
  <c r="F233" i="4" s="1"/>
  <c r="C264" i="8"/>
  <c r="G264" i="4" s="1"/>
  <c r="B264" i="8"/>
  <c r="F264" i="4" s="1"/>
  <c r="AH289" i="8"/>
  <c r="AH252" i="8"/>
  <c r="E252" i="8"/>
  <c r="I252" i="4" s="1"/>
  <c r="C263" i="8"/>
  <c r="G263" i="4" s="1"/>
  <c r="AH263" i="8"/>
  <c r="AH266" i="8"/>
  <c r="AH272" i="8"/>
  <c r="D272" i="8"/>
  <c r="H272" i="4" s="1"/>
  <c r="B272" i="8"/>
  <c r="F272" i="4" s="1"/>
  <c r="AH279" i="8"/>
  <c r="C279" i="8"/>
  <c r="G279" i="4" s="1"/>
  <c r="E296" i="8"/>
  <c r="I296" i="4" s="1"/>
  <c r="AP12" i="8"/>
  <c r="AP47" i="8"/>
  <c r="P22" i="5"/>
  <c r="P39" i="5"/>
  <c r="P58" i="5"/>
  <c r="I217" i="7"/>
  <c r="AH69" i="8"/>
  <c r="AH161" i="8"/>
  <c r="B161" i="8"/>
  <c r="F161" i="4" s="1"/>
  <c r="AH193" i="8"/>
  <c r="B193" i="8"/>
  <c r="F193" i="4" s="1"/>
  <c r="AH200" i="8"/>
  <c r="B206" i="8"/>
  <c r="F206" i="4" s="1"/>
  <c r="AH208" i="8"/>
  <c r="AH211" i="8"/>
  <c r="E211" i="8"/>
  <c r="I211" i="4" s="1"/>
  <c r="D211" i="8"/>
  <c r="H211" i="4" s="1"/>
  <c r="C214" i="8"/>
  <c r="G214" i="4" s="1"/>
  <c r="B214" i="8"/>
  <c r="F214" i="4" s="1"/>
  <c r="AH214" i="8"/>
  <c r="B225" i="8"/>
  <c r="F225" i="4" s="1"/>
  <c r="E226" i="8"/>
  <c r="I226" i="4" s="1"/>
  <c r="B237" i="8"/>
  <c r="F237" i="4" s="1"/>
  <c r="C240" i="8"/>
  <c r="G240" i="4" s="1"/>
  <c r="D243" i="8"/>
  <c r="H243" i="4" s="1"/>
  <c r="B249" i="8"/>
  <c r="F249" i="4" s="1"/>
  <c r="AH249" i="8"/>
  <c r="D255" i="8"/>
  <c r="H255" i="4" s="1"/>
  <c r="C258" i="8"/>
  <c r="G258" i="4" s="1"/>
  <c r="C261" i="8"/>
  <c r="G261" i="4" s="1"/>
  <c r="C270" i="8"/>
  <c r="G270" i="4" s="1"/>
  <c r="E275" i="8"/>
  <c r="I275" i="4" s="1"/>
  <c r="D286" i="8"/>
  <c r="H286" i="4" s="1"/>
  <c r="C286" i="8"/>
  <c r="G286" i="4" s="1"/>
  <c r="AH286" i="8"/>
  <c r="C290" i="8"/>
  <c r="G290" i="4" s="1"/>
  <c r="C297" i="8"/>
  <c r="G297" i="4" s="1"/>
  <c r="E308" i="8"/>
  <c r="I308" i="4" s="1"/>
  <c r="AH197" i="8"/>
  <c r="B215" i="8"/>
  <c r="F215" i="4" s="1"/>
  <c r="E220" i="8"/>
  <c r="I220" i="4" s="1"/>
  <c r="AH220" i="8"/>
  <c r="D229" i="8"/>
  <c r="H229" i="4" s="1"/>
  <c r="C237" i="8"/>
  <c r="G237" i="4" s="1"/>
  <c r="E283" i="8"/>
  <c r="I283" i="4" s="1"/>
  <c r="C283" i="8"/>
  <c r="G283" i="4" s="1"/>
  <c r="B283" i="8"/>
  <c r="F283" i="4" s="1"/>
  <c r="AH283" i="8"/>
  <c r="D297" i="8"/>
  <c r="H297" i="4" s="1"/>
  <c r="P65" i="5"/>
  <c r="P163" i="5"/>
  <c r="S43" i="8"/>
  <c r="AH206" i="8"/>
  <c r="E206" i="8"/>
  <c r="I206" i="4" s="1"/>
  <c r="D206" i="8"/>
  <c r="H206" i="4" s="1"/>
  <c r="AH231" i="8"/>
  <c r="E240" i="8"/>
  <c r="I240" i="4" s="1"/>
  <c r="AH240" i="8"/>
  <c r="C243" i="8"/>
  <c r="G243" i="4" s="1"/>
  <c r="AH243" i="8"/>
  <c r="AH255" i="8"/>
  <c r="C255" i="8"/>
  <c r="G255" i="4" s="1"/>
  <c r="E258" i="8"/>
  <c r="I258" i="4" s="1"/>
  <c r="AH258" i="8"/>
  <c r="E264" i="8"/>
  <c r="I264" i="4" s="1"/>
  <c r="E280" i="8"/>
  <c r="I280" i="4" s="1"/>
  <c r="T59" i="8"/>
  <c r="P26" i="5"/>
  <c r="P62" i="5"/>
  <c r="E250" i="8"/>
  <c r="I250" i="4" s="1"/>
  <c r="C250" i="8"/>
  <c r="G250" i="4" s="1"/>
  <c r="B250" i="8"/>
  <c r="F250" i="4" s="1"/>
  <c r="AH250" i="8"/>
  <c r="AH261" i="8"/>
  <c r="AH270" i="8"/>
  <c r="AH290" i="8"/>
  <c r="AH297" i="8"/>
  <c r="AQ297" i="8" s="1"/>
  <c r="R303" i="8"/>
  <c r="T303" i="8" s="1"/>
  <c r="S303" i="8"/>
  <c r="AH210" i="8"/>
  <c r="AH159" i="8"/>
  <c r="AH162" i="8"/>
  <c r="D162" i="8"/>
  <c r="H162" i="4" s="1"/>
  <c r="AH188" i="8"/>
  <c r="AH191" i="8"/>
  <c r="AK191" i="8" s="1"/>
  <c r="AH195" i="8"/>
  <c r="D195" i="8"/>
  <c r="H195" i="4" s="1"/>
  <c r="E215" i="8"/>
  <c r="I215" i="4" s="1"/>
  <c r="AH215" i="8"/>
  <c r="AH222" i="8"/>
  <c r="E222" i="8"/>
  <c r="I222" i="4" s="1"/>
  <c r="AH227" i="8"/>
  <c r="C227" i="8"/>
  <c r="G227" i="4" s="1"/>
  <c r="AH237" i="8"/>
  <c r="AH247" i="8"/>
  <c r="C273" i="8"/>
  <c r="G273" i="4" s="1"/>
  <c r="AH273" i="8"/>
  <c r="C287" i="8"/>
  <c r="G287" i="4" s="1"/>
  <c r="AH287" i="8"/>
  <c r="AH226" i="8"/>
  <c r="C157" i="8"/>
  <c r="G157" i="4" s="1"/>
  <c r="B165" i="8"/>
  <c r="F165" i="4" s="1"/>
  <c r="AH165" i="8"/>
  <c r="C189" i="8"/>
  <c r="G189" i="4" s="1"/>
  <c r="B198" i="8"/>
  <c r="F198" i="4" s="1"/>
  <c r="AH198" i="8"/>
  <c r="AH201" i="8"/>
  <c r="AH212" i="8"/>
  <c r="C223" i="8"/>
  <c r="G223" i="4" s="1"/>
  <c r="S225" i="8"/>
  <c r="T225" i="8" s="1"/>
  <c r="B248" i="8"/>
  <c r="F248" i="4" s="1"/>
  <c r="B251" i="8"/>
  <c r="F251" i="4" s="1"/>
  <c r="AH253" i="8"/>
  <c r="B271" i="8"/>
  <c r="F271" i="4" s="1"/>
  <c r="AH277" i="8"/>
  <c r="E284" i="8"/>
  <c r="I284" i="4" s="1"/>
  <c r="AH284" i="8"/>
  <c r="AH294" i="8"/>
  <c r="D294" i="8"/>
  <c r="H294" i="4" s="1"/>
  <c r="C294" i="8"/>
  <c r="G294" i="4" s="1"/>
  <c r="C298" i="8"/>
  <c r="G298" i="4" s="1"/>
  <c r="AH63" i="8"/>
  <c r="AH70" i="8"/>
  <c r="AH74" i="8"/>
  <c r="AH97" i="8"/>
  <c r="AH106" i="8"/>
  <c r="AH114" i="8"/>
  <c r="AH122" i="8"/>
  <c r="AH130" i="8"/>
  <c r="B137" i="8"/>
  <c r="F137" i="4" s="1"/>
  <c r="AH145" i="8"/>
  <c r="D157" i="8"/>
  <c r="H157" i="4" s="1"/>
  <c r="AH168" i="8"/>
  <c r="AH171" i="8"/>
  <c r="AH174" i="8"/>
  <c r="D174" i="8"/>
  <c r="H174" i="4" s="1"/>
  <c r="D189" i="8"/>
  <c r="H189" i="4" s="1"/>
  <c r="B199" i="8"/>
  <c r="F199" i="4" s="1"/>
  <c r="AH209" i="8"/>
  <c r="B213" i="8"/>
  <c r="F213" i="4" s="1"/>
  <c r="B218" i="8"/>
  <c r="F218" i="4" s="1"/>
  <c r="AH218" i="8"/>
  <c r="D223" i="8"/>
  <c r="H223" i="4" s="1"/>
  <c r="B228" i="8"/>
  <c r="F228" i="4" s="1"/>
  <c r="AH244" i="8"/>
  <c r="D248" i="8"/>
  <c r="H248" i="4" s="1"/>
  <c r="C251" i="8"/>
  <c r="G251" i="4" s="1"/>
  <c r="D259" i="8"/>
  <c r="H259" i="4" s="1"/>
  <c r="E268" i="8"/>
  <c r="I268" i="4" s="1"/>
  <c r="AH268" i="8"/>
  <c r="C271" i="8"/>
  <c r="G271" i="4" s="1"/>
  <c r="B278" i="8"/>
  <c r="F278" i="4" s="1"/>
  <c r="AH291" i="8"/>
  <c r="E291" i="8"/>
  <c r="I291" i="4" s="1"/>
  <c r="C291" i="8"/>
  <c r="G291" i="4" s="1"/>
  <c r="B291" i="8"/>
  <c r="F291" i="4" s="1"/>
  <c r="D298" i="8"/>
  <c r="H298" i="4" s="1"/>
  <c r="AH259" i="8"/>
  <c r="AH86" i="8"/>
  <c r="B123" i="8"/>
  <c r="F123" i="4" s="1"/>
  <c r="B131" i="8"/>
  <c r="F131" i="4" s="1"/>
  <c r="C137" i="8"/>
  <c r="G137" i="4" s="1"/>
  <c r="AH139" i="8"/>
  <c r="AQ139" i="8" s="1"/>
  <c r="B146" i="8"/>
  <c r="F146" i="4" s="1"/>
  <c r="C169" i="8"/>
  <c r="G169" i="4" s="1"/>
  <c r="B172" i="8"/>
  <c r="F172" i="4" s="1"/>
  <c r="AH177" i="8"/>
  <c r="B177" i="8"/>
  <c r="F177" i="4" s="1"/>
  <c r="B202" i="8"/>
  <c r="F202" i="4" s="1"/>
  <c r="B210" i="8"/>
  <c r="F210" i="4" s="1"/>
  <c r="C213" i="8"/>
  <c r="G213" i="4" s="1"/>
  <c r="AH229" i="8"/>
  <c r="U229" i="8"/>
  <c r="W229" i="8" s="1"/>
  <c r="AH234" i="8"/>
  <c r="B254" i="8"/>
  <c r="F254" i="4" s="1"/>
  <c r="C256" i="8"/>
  <c r="G256" i="4" s="1"/>
  <c r="AH256" i="8"/>
  <c r="D271" i="8"/>
  <c r="H271" i="4" s="1"/>
  <c r="AH281" i="8"/>
  <c r="B292" i="8"/>
  <c r="F292" i="4" s="1"/>
  <c r="AH301" i="8"/>
  <c r="C303" i="8"/>
  <c r="G303" i="4" s="1"/>
  <c r="AH303" i="8"/>
  <c r="D306" i="8"/>
  <c r="H306" i="4" s="1"/>
  <c r="AH306" i="8"/>
  <c r="AH309" i="8"/>
  <c r="AH275" i="8"/>
  <c r="AH109" i="8"/>
  <c r="AH117" i="8"/>
  <c r="AH125" i="8"/>
  <c r="AH133" i="8"/>
  <c r="AH148" i="8"/>
  <c r="AK148" i="8" s="1"/>
  <c r="AH151" i="8"/>
  <c r="AK151" i="8" s="1"/>
  <c r="D154" i="8"/>
  <c r="H154" i="4" s="1"/>
  <c r="AH154" i="8"/>
  <c r="AH180" i="8"/>
  <c r="AK180" i="8" s="1"/>
  <c r="AH183" i="8"/>
  <c r="D186" i="8"/>
  <c r="H186" i="4" s="1"/>
  <c r="AH186" i="8"/>
  <c r="W205" i="8"/>
  <c r="Y205" i="8" s="1"/>
  <c r="AH207" i="8"/>
  <c r="AH225" i="8"/>
  <c r="U225" i="8"/>
  <c r="C225" i="8"/>
  <c r="G225" i="4" s="1"/>
  <c r="B227" i="8"/>
  <c r="F227" i="4" s="1"/>
  <c r="AH241" i="8"/>
  <c r="AH262" i="8"/>
  <c r="D262" i="8"/>
  <c r="H262" i="4" s="1"/>
  <c r="B262" i="8"/>
  <c r="F262" i="4" s="1"/>
  <c r="AH265" i="8"/>
  <c r="AH288" i="8"/>
  <c r="C292" i="8"/>
  <c r="G292" i="4" s="1"/>
  <c r="B302" i="8"/>
  <c r="F302" i="4" s="1"/>
  <c r="B310" i="8"/>
  <c r="F310" i="4" s="1"/>
  <c r="AH292" i="8"/>
  <c r="B157" i="8"/>
  <c r="F157" i="4" s="1"/>
  <c r="AH157" i="8"/>
  <c r="B189" i="8"/>
  <c r="F189" i="4" s="1"/>
  <c r="AH189" i="8"/>
  <c r="D199" i="8"/>
  <c r="H199" i="4" s="1"/>
  <c r="C199" i="8"/>
  <c r="G199" i="4" s="1"/>
  <c r="AH199" i="8"/>
  <c r="AH223" i="8"/>
  <c r="B223" i="8"/>
  <c r="F223" i="4" s="1"/>
  <c r="U227" i="8"/>
  <c r="W227" i="8" s="1"/>
  <c r="AH228" i="8"/>
  <c r="D228" i="8"/>
  <c r="H228" i="4" s="1"/>
  <c r="C228" i="8"/>
  <c r="G228" i="4" s="1"/>
  <c r="C248" i="8"/>
  <c r="G248" i="4" s="1"/>
  <c r="AH248" i="8"/>
  <c r="AK248" i="8" s="1"/>
  <c r="AL248" i="8" s="1"/>
  <c r="AM248" i="8" s="1"/>
  <c r="AN248" i="8" s="1"/>
  <c r="AO248" i="8" s="1"/>
  <c r="AB248" i="4" s="1"/>
  <c r="D251" i="8"/>
  <c r="H251" i="4" s="1"/>
  <c r="AH251" i="8"/>
  <c r="B266" i="8"/>
  <c r="F266" i="4" s="1"/>
  <c r="AH274" i="8"/>
  <c r="AH278" i="8"/>
  <c r="D278" i="8"/>
  <c r="H278" i="4" s="1"/>
  <c r="C278" i="8"/>
  <c r="G278" i="4" s="1"/>
  <c r="AH298" i="8"/>
  <c r="AP30" i="8"/>
  <c r="P18" i="5"/>
  <c r="P54" i="5"/>
  <c r="P152" i="5"/>
  <c r="P168" i="5"/>
  <c r="H43" i="7"/>
  <c r="B43" i="7"/>
  <c r="E43" i="4" s="1"/>
  <c r="O43" i="7"/>
  <c r="N43" i="4" s="1"/>
  <c r="B99" i="8"/>
  <c r="F99" i="4" s="1"/>
  <c r="I100" i="7"/>
  <c r="AH137" i="8"/>
  <c r="B169" i="8"/>
  <c r="F169" i="4" s="1"/>
  <c r="AH169" i="8"/>
  <c r="B197" i="8"/>
  <c r="F197" i="4" s="1"/>
  <c r="C210" i="8"/>
  <c r="G210" i="4" s="1"/>
  <c r="AH213" i="8"/>
  <c r="C226" i="8"/>
  <c r="G226" i="4" s="1"/>
  <c r="C252" i="8"/>
  <c r="G252" i="4" s="1"/>
  <c r="D263" i="8"/>
  <c r="H263" i="4" s="1"/>
  <c r="D266" i="8"/>
  <c r="H266" i="4" s="1"/>
  <c r="C272" i="8"/>
  <c r="G272" i="4" s="1"/>
  <c r="D279" i="8"/>
  <c r="H279" i="4" s="1"/>
  <c r="AH285" i="8"/>
  <c r="E292" i="8"/>
  <c r="I292" i="4" s="1"/>
  <c r="D302" i="8"/>
  <c r="H302" i="4" s="1"/>
  <c r="C302" i="8"/>
  <c r="G302" i="4" s="1"/>
  <c r="AH302" i="8"/>
  <c r="AH310" i="8"/>
  <c r="D310" i="8"/>
  <c r="H310" i="4" s="1"/>
  <c r="C310" i="8"/>
  <c r="G310" i="4" s="1"/>
  <c r="D69" i="8"/>
  <c r="H69" i="4" s="1"/>
  <c r="AH71" i="8"/>
  <c r="C99" i="8"/>
  <c r="G99" i="4" s="1"/>
  <c r="AH107" i="8"/>
  <c r="AH115" i="8"/>
  <c r="AK115" i="8" s="1"/>
  <c r="AH123" i="8"/>
  <c r="AQ123" i="8" s="1"/>
  <c r="AH131" i="8"/>
  <c r="AH146" i="8"/>
  <c r="D161" i="8"/>
  <c r="H161" i="4" s="1"/>
  <c r="AH172" i="8"/>
  <c r="AH175" i="8"/>
  <c r="AH178" i="8"/>
  <c r="D178" i="8"/>
  <c r="H178" i="4" s="1"/>
  <c r="D193" i="8"/>
  <c r="H193" i="4" s="1"/>
  <c r="C197" i="8"/>
  <c r="G197" i="4" s="1"/>
  <c r="D200" i="8"/>
  <c r="H200" i="4" s="1"/>
  <c r="AH202" i="8"/>
  <c r="B211" i="8"/>
  <c r="F211" i="4" s="1"/>
  <c r="D214" i="8"/>
  <c r="H214" i="4" s="1"/>
  <c r="B220" i="8"/>
  <c r="F220" i="4" s="1"/>
  <c r="D227" i="8"/>
  <c r="H227" i="4" s="1"/>
  <c r="C229" i="8"/>
  <c r="G229" i="4" s="1"/>
  <c r="E230" i="8"/>
  <c r="I230" i="4" s="1"/>
  <c r="AH230" i="8"/>
  <c r="S233" i="8"/>
  <c r="T233" i="8" s="1"/>
  <c r="D249" i="8"/>
  <c r="H249" i="4" s="1"/>
  <c r="D252" i="8"/>
  <c r="H252" i="4" s="1"/>
  <c r="AH254" i="8"/>
  <c r="AH257" i="8"/>
  <c r="D257" i="8"/>
  <c r="H257" i="4" s="1"/>
  <c r="C257" i="8"/>
  <c r="G257" i="4" s="1"/>
  <c r="E263" i="8"/>
  <c r="I263" i="4" s="1"/>
  <c r="E266" i="8"/>
  <c r="I266" i="4" s="1"/>
  <c r="AH269" i="8"/>
  <c r="E269" i="8"/>
  <c r="I269" i="4" s="1"/>
  <c r="E272" i="8"/>
  <c r="I272" i="4" s="1"/>
  <c r="C275" i="8"/>
  <c r="G275" i="4" s="1"/>
  <c r="E279" i="8"/>
  <c r="I279" i="4" s="1"/>
  <c r="B286" i="8"/>
  <c r="F286" i="4" s="1"/>
  <c r="E299" i="8"/>
  <c r="I299" i="4" s="1"/>
  <c r="C299" i="8"/>
  <c r="G299" i="4" s="1"/>
  <c r="B299" i="8"/>
  <c r="F299" i="4" s="1"/>
  <c r="AH299" i="8"/>
  <c r="B303" i="8"/>
  <c r="F303" i="4" s="1"/>
  <c r="AH307" i="8"/>
  <c r="AP32" i="8"/>
  <c r="P156" i="5"/>
  <c r="P172" i="5"/>
  <c r="AH280" i="8"/>
  <c r="AH296" i="8"/>
  <c r="I150" i="7"/>
  <c r="B43" i="8"/>
  <c r="F43" i="4" s="1"/>
  <c r="AH264" i="8"/>
  <c r="AI240" i="8"/>
  <c r="AQ240" i="8" s="1"/>
  <c r="C43" i="8"/>
  <c r="G43" i="4" s="1"/>
  <c r="D43" i="8"/>
  <c r="H43" i="4" s="1"/>
  <c r="U43" i="8"/>
  <c r="W43" i="8" s="1"/>
  <c r="AV43" i="8"/>
  <c r="O43" i="4" s="1"/>
  <c r="V153" i="8"/>
  <c r="X153" i="8" s="1"/>
  <c r="E43" i="8"/>
  <c r="I43" i="4" s="1"/>
  <c r="AH43" i="8"/>
  <c r="AK43" i="8" s="1"/>
  <c r="AW43" i="8"/>
  <c r="P43" i="4" s="1"/>
  <c r="P160" i="5"/>
  <c r="I87" i="7"/>
  <c r="AX43" i="8"/>
  <c r="Q43" i="4" s="1"/>
  <c r="D244" i="8"/>
  <c r="H244" i="4" s="1"/>
  <c r="D264" i="8"/>
  <c r="H264" i="4" s="1"/>
  <c r="C274" i="8"/>
  <c r="G274" i="4" s="1"/>
  <c r="D280" i="8"/>
  <c r="H280" i="4" s="1"/>
  <c r="D288" i="8"/>
  <c r="H288" i="4" s="1"/>
  <c r="D296" i="8"/>
  <c r="H296" i="4" s="1"/>
  <c r="D307" i="8"/>
  <c r="H307" i="4" s="1"/>
  <c r="AI213" i="8"/>
  <c r="AI155" i="8"/>
  <c r="V169" i="8"/>
  <c r="X169" i="8" s="1"/>
  <c r="AI183" i="8"/>
  <c r="AK183" i="8" s="1"/>
  <c r="E244" i="8"/>
  <c r="I244" i="4" s="1"/>
  <c r="D274" i="8"/>
  <c r="H274" i="4" s="1"/>
  <c r="E288" i="8"/>
  <c r="I288" i="4" s="1"/>
  <c r="E307" i="8"/>
  <c r="I307" i="4" s="1"/>
  <c r="I170" i="7"/>
  <c r="Q290" i="3"/>
  <c r="W290" i="3" s="1"/>
  <c r="P17" i="5"/>
  <c r="P167" i="5"/>
  <c r="P50" i="5"/>
  <c r="P66" i="5"/>
  <c r="P164" i="5"/>
  <c r="V172" i="8"/>
  <c r="X172" i="8" s="1"/>
  <c r="I186" i="7"/>
  <c r="I46" i="7"/>
  <c r="I158" i="7"/>
  <c r="V187" i="8"/>
  <c r="X187" i="8" s="1"/>
  <c r="AI293" i="8"/>
  <c r="P21" i="5"/>
  <c r="P171" i="5"/>
  <c r="P221" i="5"/>
  <c r="I146" i="7"/>
  <c r="I174" i="7"/>
  <c r="V279" i="8"/>
  <c r="X279" i="8" s="1"/>
  <c r="Y295" i="8"/>
  <c r="AI206" i="8"/>
  <c r="I190" i="7"/>
  <c r="I221" i="7"/>
  <c r="I237" i="7"/>
  <c r="R43" i="8"/>
  <c r="P159" i="5"/>
  <c r="P175" i="5"/>
  <c r="P225" i="5"/>
  <c r="AI164" i="8"/>
  <c r="AQ164" i="8" s="1"/>
  <c r="V283" i="8"/>
  <c r="X283" i="8" s="1"/>
  <c r="AQ127" i="8"/>
  <c r="AK127" i="8"/>
  <c r="Y264" i="8"/>
  <c r="H289" i="6"/>
  <c r="Z132" i="8"/>
  <c r="H99" i="6"/>
  <c r="AI176" i="8"/>
  <c r="AQ176" i="8" s="1"/>
  <c r="AK173" i="8"/>
  <c r="Y169" i="8"/>
  <c r="M236" i="8"/>
  <c r="R88" i="3"/>
  <c r="I88" i="6" s="1"/>
  <c r="I248" i="6"/>
  <c r="H115" i="6"/>
  <c r="H243" i="6"/>
  <c r="H206" i="6"/>
  <c r="M135" i="8"/>
  <c r="V135" i="8" s="1"/>
  <c r="X135" i="8" s="1"/>
  <c r="Z130" i="8"/>
  <c r="AA130" i="8" s="1"/>
  <c r="AB130" i="8" s="1"/>
  <c r="AC130" i="8" s="1"/>
  <c r="AD130" i="8" s="1"/>
  <c r="Z130" i="4" s="1"/>
  <c r="AI180" i="8"/>
  <c r="Y172" i="8"/>
  <c r="Z172" i="8" s="1"/>
  <c r="AI148" i="8"/>
  <c r="AI144" i="8"/>
  <c r="AQ144" i="8" s="1"/>
  <c r="Y200" i="8"/>
  <c r="Z200" i="8" s="1"/>
  <c r="V219" i="8"/>
  <c r="X219" i="8" s="1"/>
  <c r="Z219" i="8" s="1"/>
  <c r="E94" i="7"/>
  <c r="I94" i="7" s="1"/>
  <c r="E118" i="7"/>
  <c r="I118" i="7" s="1"/>
  <c r="E119" i="7"/>
  <c r="E148" i="7"/>
  <c r="I148" i="7" s="1"/>
  <c r="Y135" i="8"/>
  <c r="Z135" i="8" s="1"/>
  <c r="AA135" i="8" s="1"/>
  <c r="AB135" i="8" s="1"/>
  <c r="H88" i="6"/>
  <c r="Y308" i="8"/>
  <c r="Z308" i="8" s="1"/>
  <c r="R87" i="3"/>
  <c r="I87" i="6" s="1"/>
  <c r="R55" i="3"/>
  <c r="I55" i="6" s="1"/>
  <c r="W256" i="3"/>
  <c r="X256" i="3" s="1"/>
  <c r="I281" i="6"/>
  <c r="H190" i="6"/>
  <c r="I173" i="6"/>
  <c r="H162" i="6"/>
  <c r="I213" i="6"/>
  <c r="H63" i="6"/>
  <c r="H79" i="6"/>
  <c r="V113" i="8"/>
  <c r="X113" i="8" s="1"/>
  <c r="Y180" i="8"/>
  <c r="Z180" i="8" s="1"/>
  <c r="M179" i="8"/>
  <c r="Y179" i="8" s="1"/>
  <c r="M176" i="8"/>
  <c r="V176" i="8" s="1"/>
  <c r="X176" i="8" s="1"/>
  <c r="G206" i="5"/>
  <c r="G213" i="5"/>
  <c r="G50" i="5"/>
  <c r="Y73" i="8"/>
  <c r="Z73" i="8" s="1"/>
  <c r="V205" i="8"/>
  <c r="X205" i="8" s="1"/>
  <c r="R40" i="3"/>
  <c r="E40" i="7"/>
  <c r="I40" i="7" s="1"/>
  <c r="M40" i="8"/>
  <c r="V40" i="8" s="1"/>
  <c r="X40" i="8" s="1"/>
  <c r="H40" i="6"/>
  <c r="AK164" i="8"/>
  <c r="Y184" i="8"/>
  <c r="Z184" i="8" s="1"/>
  <c r="M249" i="8"/>
  <c r="V249" i="8" s="1"/>
  <c r="X249" i="8" s="1"/>
  <c r="R249" i="3"/>
  <c r="I249" i="6" s="1"/>
  <c r="M112" i="8"/>
  <c r="V112" i="8" s="1"/>
  <c r="X112" i="8" s="1"/>
  <c r="G112" i="5"/>
  <c r="Y176" i="8"/>
  <c r="E52" i="7"/>
  <c r="G52" i="5"/>
  <c r="Z59" i="8"/>
  <c r="Z160" i="8"/>
  <c r="AA160" i="8" s="1"/>
  <c r="AB160" i="8" s="1"/>
  <c r="AE160" i="8" s="1"/>
  <c r="AF160" i="8" s="1"/>
  <c r="AA160" i="4" s="1"/>
  <c r="AQ285" i="8"/>
  <c r="AK285" i="8"/>
  <c r="AQ206" i="8"/>
  <c r="AK206" i="8"/>
  <c r="R220" i="3"/>
  <c r="N220" i="8" s="1"/>
  <c r="M220" i="8"/>
  <c r="AI224" i="8"/>
  <c r="R187" i="3"/>
  <c r="E187" i="7"/>
  <c r="I187" i="7" s="1"/>
  <c r="I84" i="6"/>
  <c r="N84" i="8"/>
  <c r="AP84" i="8" s="1"/>
  <c r="AI277" i="8"/>
  <c r="AI281" i="8"/>
  <c r="R301" i="3"/>
  <c r="G301" i="5"/>
  <c r="Y63" i="8"/>
  <c r="AQ155" i="8"/>
  <c r="H41" i="6"/>
  <c r="H114" i="6"/>
  <c r="H113" i="6"/>
  <c r="Y138" i="8"/>
  <c r="Z138" i="8" s="1"/>
  <c r="Y122" i="8"/>
  <c r="Z122" i="8" s="1"/>
  <c r="Y119" i="8"/>
  <c r="Z119" i="8" s="1"/>
  <c r="Y189" i="8"/>
  <c r="Z189" i="8" s="1"/>
  <c r="AA189" i="8" s="1"/>
  <c r="AB189" i="8" s="1"/>
  <c r="AC189" i="8" s="1"/>
  <c r="AD189" i="8" s="1"/>
  <c r="Z189" i="4" s="1"/>
  <c r="Y187" i="8"/>
  <c r="Y175" i="8"/>
  <c r="Z175" i="8" s="1"/>
  <c r="AA175" i="8" s="1"/>
  <c r="AB175" i="8" s="1"/>
  <c r="AE175" i="8" s="1"/>
  <c r="AF175" i="8" s="1"/>
  <c r="AA175" i="4" s="1"/>
  <c r="Y211" i="8"/>
  <c r="Y265" i="8"/>
  <c r="Z265" i="8" s="1"/>
  <c r="W41" i="3"/>
  <c r="X41" i="3" s="1"/>
  <c r="G309" i="5"/>
  <c r="R41" i="3"/>
  <c r="E41" i="7"/>
  <c r="I41" i="7" s="1"/>
  <c r="AQ75" i="8"/>
  <c r="H60" i="6"/>
  <c r="M60" i="8"/>
  <c r="V60" i="8" s="1"/>
  <c r="X60" i="8" s="1"/>
  <c r="E60" i="7"/>
  <c r="Z262" i="8"/>
  <c r="E258" i="7"/>
  <c r="I258" i="7" s="1"/>
  <c r="R104" i="3"/>
  <c r="I104" i="6" s="1"/>
  <c r="H135" i="6"/>
  <c r="Y113" i="8"/>
  <c r="Z113" i="8" s="1"/>
  <c r="Z161" i="8"/>
  <c r="Y156" i="8"/>
  <c r="Y153" i="8"/>
  <c r="Z153" i="8" s="1"/>
  <c r="V291" i="8"/>
  <c r="X291" i="8" s="1"/>
  <c r="V95" i="8"/>
  <c r="X95" i="8" s="1"/>
  <c r="Z95" i="8" s="1"/>
  <c r="G41" i="5"/>
  <c r="Y233" i="8"/>
  <c r="V234" i="8"/>
  <c r="X234" i="8" s="1"/>
  <c r="Z234" i="8" s="1"/>
  <c r="Y279" i="8"/>
  <c r="Z279" i="8" s="1"/>
  <c r="Y40" i="8"/>
  <c r="Z40" i="8" s="1"/>
  <c r="Y59" i="8"/>
  <c r="Y97" i="8"/>
  <c r="Z97" i="8" s="1"/>
  <c r="AA97" i="8" s="1"/>
  <c r="AB97" i="8" s="1"/>
  <c r="AC97" i="8" s="1"/>
  <c r="AD97" i="8" s="1"/>
  <c r="Z97" i="4" s="1"/>
  <c r="V256" i="8"/>
  <c r="X256" i="8" s="1"/>
  <c r="Z256" i="8" s="1"/>
  <c r="AA256" i="8" s="1"/>
  <c r="AB256" i="8" s="1"/>
  <c r="Y309" i="8"/>
  <c r="V233" i="8"/>
  <c r="X233" i="8" s="1"/>
  <c r="Y237" i="8"/>
  <c r="Z237" i="8" s="1"/>
  <c r="Y283" i="8"/>
  <c r="V295" i="8"/>
  <c r="X295" i="8" s="1"/>
  <c r="Z295" i="8" s="1"/>
  <c r="AA295" i="8" s="1"/>
  <c r="AB295" i="8" s="1"/>
  <c r="V63" i="8"/>
  <c r="X63" i="8" s="1"/>
  <c r="Y72" i="8"/>
  <c r="Z246" i="8"/>
  <c r="AP248" i="8"/>
  <c r="AL21" i="8"/>
  <c r="AM21" i="8" s="1"/>
  <c r="AN21" i="8" s="1"/>
  <c r="AO21" i="8" s="1"/>
  <c r="AB21" i="4" s="1"/>
  <c r="AL23" i="8"/>
  <c r="AM23" i="8" s="1"/>
  <c r="AN23" i="8" s="1"/>
  <c r="AO23" i="8" s="1"/>
  <c r="AB23" i="4" s="1"/>
  <c r="AL37" i="8"/>
  <c r="AM37" i="8" s="1"/>
  <c r="AN37" i="8" s="1"/>
  <c r="AO37" i="8" s="1"/>
  <c r="AB37" i="4" s="1"/>
  <c r="AL33" i="8"/>
  <c r="AM33" i="8" s="1"/>
  <c r="AN33" i="8" s="1"/>
  <c r="AO33" i="8" s="1"/>
  <c r="AB33" i="4" s="1"/>
  <c r="AL29" i="8"/>
  <c r="AM29" i="8" s="1"/>
  <c r="AN29" i="8" s="1"/>
  <c r="AO29" i="8" s="1"/>
  <c r="AB29" i="4" s="1"/>
  <c r="AE34" i="8"/>
  <c r="AF34" i="8" s="1"/>
  <c r="AA34" i="4" s="1"/>
  <c r="AC34" i="8"/>
  <c r="AD34" i="8" s="1"/>
  <c r="Z34" i="4" s="1"/>
  <c r="AE97" i="8"/>
  <c r="AF97" i="8" s="1"/>
  <c r="AA97" i="4" s="1"/>
  <c r="Z33" i="8"/>
  <c r="AA33" i="8" s="1"/>
  <c r="AB33" i="8" s="1"/>
  <c r="AE32" i="8"/>
  <c r="AF32" i="8" s="1"/>
  <c r="AA32" i="4" s="1"/>
  <c r="AC32" i="8"/>
  <c r="AD32" i="8" s="1"/>
  <c r="Z32" i="4" s="1"/>
  <c r="Z25" i="8"/>
  <c r="AA24" i="8"/>
  <c r="AB24" i="8" s="1"/>
  <c r="T75" i="8"/>
  <c r="V177" i="8"/>
  <c r="X177" i="8" s="1"/>
  <c r="W177" i="8"/>
  <c r="Y177" i="8" s="1"/>
  <c r="W277" i="8"/>
  <c r="AQ32" i="8"/>
  <c r="AR32" i="8" s="1"/>
  <c r="AS32" i="8" s="1"/>
  <c r="AT32" i="8" s="1"/>
  <c r="AU32" i="8" s="1"/>
  <c r="AC32" i="4" s="1"/>
  <c r="AK32" i="8"/>
  <c r="AL32" i="8" s="1"/>
  <c r="AM32" i="8" s="1"/>
  <c r="AN32" i="8" s="1"/>
  <c r="AO32" i="8" s="1"/>
  <c r="AB32" i="4" s="1"/>
  <c r="AQ213" i="8"/>
  <c r="AK213" i="8"/>
  <c r="W16" i="8"/>
  <c r="Y16" i="8" s="1"/>
  <c r="V16" i="8"/>
  <c r="X16" i="8" s="1"/>
  <c r="AQ34" i="8"/>
  <c r="AR34" i="8" s="1"/>
  <c r="AS34" i="8" s="1"/>
  <c r="AT34" i="8" s="1"/>
  <c r="AU34" i="8" s="1"/>
  <c r="AC34" i="4" s="1"/>
  <c r="AK34" i="8"/>
  <c r="AL34" i="8" s="1"/>
  <c r="AM34" i="8" s="1"/>
  <c r="AN34" i="8" s="1"/>
  <c r="AO34" i="8" s="1"/>
  <c r="AB34" i="4" s="1"/>
  <c r="W123" i="8"/>
  <c r="V121" i="8"/>
  <c r="X121" i="8" s="1"/>
  <c r="W121" i="8"/>
  <c r="Y121" i="8" s="1"/>
  <c r="W168" i="8"/>
  <c r="W164" i="8"/>
  <c r="W223" i="8"/>
  <c r="AE295" i="8"/>
  <c r="AF295" i="8" s="1"/>
  <c r="AA295" i="4" s="1"/>
  <c r="AC295" i="8"/>
  <c r="AD295" i="8" s="1"/>
  <c r="Z295" i="4" s="1"/>
  <c r="T15" i="8"/>
  <c r="W251" i="8"/>
  <c r="Y251" i="8" s="1"/>
  <c r="V251" i="8"/>
  <c r="X251" i="8" s="1"/>
  <c r="W304" i="8"/>
  <c r="AK12" i="8"/>
  <c r="AL12" i="8" s="1"/>
  <c r="AM12" i="8" s="1"/>
  <c r="AN12" i="8" s="1"/>
  <c r="AO12" i="8" s="1"/>
  <c r="AB12" i="4" s="1"/>
  <c r="Z27" i="8"/>
  <c r="AA27" i="8" s="1"/>
  <c r="AB27" i="8" s="1"/>
  <c r="W139" i="8"/>
  <c r="V179" i="8"/>
  <c r="X179" i="8" s="1"/>
  <c r="Z169" i="8"/>
  <c r="AQ22" i="8"/>
  <c r="AR22" i="8" s="1"/>
  <c r="AS22" i="8" s="1"/>
  <c r="AT22" i="8" s="1"/>
  <c r="AU22" i="8" s="1"/>
  <c r="AC22" i="4" s="1"/>
  <c r="AK22" i="8"/>
  <c r="AL22" i="8" s="1"/>
  <c r="AM22" i="8" s="1"/>
  <c r="AN22" i="8" s="1"/>
  <c r="AO22" i="8" s="1"/>
  <c r="AB22" i="4" s="1"/>
  <c r="AQ27" i="8"/>
  <c r="AR27" i="8" s="1"/>
  <c r="AS27" i="8" s="1"/>
  <c r="AT27" i="8" s="1"/>
  <c r="AU27" i="8" s="1"/>
  <c r="AC27" i="4" s="1"/>
  <c r="AK27" i="8"/>
  <c r="AL27" i="8" s="1"/>
  <c r="AM27" i="8" s="1"/>
  <c r="AN27" i="8" s="1"/>
  <c r="AO27" i="8" s="1"/>
  <c r="AB27" i="4" s="1"/>
  <c r="V134" i="8"/>
  <c r="X134" i="8" s="1"/>
  <c r="W134" i="8"/>
  <c r="Y134" i="8" s="1"/>
  <c r="V109" i="8"/>
  <c r="X109" i="8" s="1"/>
  <c r="W109" i="8"/>
  <c r="Y109" i="8" s="1"/>
  <c r="W75" i="8"/>
  <c r="W228" i="8"/>
  <c r="W131" i="8"/>
  <c r="V198" i="8"/>
  <c r="X198" i="8" s="1"/>
  <c r="W198" i="8"/>
  <c r="Y198" i="8" s="1"/>
  <c r="W257" i="8"/>
  <c r="AQ36" i="8"/>
  <c r="AK36" i="8"/>
  <c r="AL36" i="8" s="1"/>
  <c r="AM36" i="8" s="1"/>
  <c r="AN36" i="8" s="1"/>
  <c r="AO36" i="8" s="1"/>
  <c r="AB36" i="4" s="1"/>
  <c r="AQ191" i="8"/>
  <c r="AQ46" i="8"/>
  <c r="AK46" i="8"/>
  <c r="V129" i="8"/>
  <c r="X129" i="8" s="1"/>
  <c r="W129" i="8"/>
  <c r="Y129" i="8" s="1"/>
  <c r="V125" i="8"/>
  <c r="X125" i="8" s="1"/>
  <c r="W125" i="8"/>
  <c r="Y125" i="8" s="1"/>
  <c r="V117" i="8"/>
  <c r="X117" i="8" s="1"/>
  <c r="W117" i="8"/>
  <c r="Y117" i="8" s="1"/>
  <c r="V192" i="8"/>
  <c r="X192" i="8" s="1"/>
  <c r="W192" i="8"/>
  <c r="Y192" i="8" s="1"/>
  <c r="W186" i="8"/>
  <c r="W181" i="8"/>
  <c r="W174" i="8"/>
  <c r="W171" i="8"/>
  <c r="W155" i="8"/>
  <c r="W151" i="8"/>
  <c r="V214" i="8"/>
  <c r="X214" i="8" s="1"/>
  <c r="W214" i="8"/>
  <c r="Y214" i="8" s="1"/>
  <c r="T214" i="8"/>
  <c r="W15" i="8"/>
  <c r="Y15" i="8" s="1"/>
  <c r="Z15" i="8" s="1"/>
  <c r="V15" i="8"/>
  <c r="X15" i="8" s="1"/>
  <c r="T139" i="8"/>
  <c r="AQ16" i="8"/>
  <c r="AK16" i="8"/>
  <c r="AL16" i="8" s="1"/>
  <c r="AM16" i="8" s="1"/>
  <c r="AN16" i="8" s="1"/>
  <c r="AO16" i="8" s="1"/>
  <c r="AB16" i="4" s="1"/>
  <c r="V140" i="8"/>
  <c r="X140" i="8" s="1"/>
  <c r="Z140" i="8" s="1"/>
  <c r="AA128" i="8"/>
  <c r="AB128" i="8" s="1"/>
  <c r="Z188" i="8"/>
  <c r="AA188" i="8" s="1"/>
  <c r="AB188" i="8" s="1"/>
  <c r="AK155" i="8"/>
  <c r="V145" i="8"/>
  <c r="X145" i="8" s="1"/>
  <c r="Z145" i="8" s="1"/>
  <c r="AA145" i="8" s="1"/>
  <c r="AB145" i="8" s="1"/>
  <c r="Z264" i="8"/>
  <c r="AA264" i="8" s="1"/>
  <c r="AB264" i="8" s="1"/>
  <c r="T277" i="8"/>
  <c r="Z288" i="8"/>
  <c r="W51" i="8"/>
  <c r="W260" i="8"/>
  <c r="Y260" i="8" s="1"/>
  <c r="V260" i="8"/>
  <c r="X260" i="8" s="1"/>
  <c r="W14" i="8"/>
  <c r="Y14" i="8" s="1"/>
  <c r="V14" i="8"/>
  <c r="X14" i="8" s="1"/>
  <c r="W64" i="8"/>
  <c r="W71" i="8"/>
  <c r="W85" i="8"/>
  <c r="V191" i="8"/>
  <c r="X191" i="8" s="1"/>
  <c r="Z191" i="8" s="1"/>
  <c r="T70" i="8"/>
  <c r="V211" i="8"/>
  <c r="X211" i="8" s="1"/>
  <c r="V267" i="8"/>
  <c r="X267" i="8" s="1"/>
  <c r="Z267" i="8" s="1"/>
  <c r="AA267" i="8" s="1"/>
  <c r="AB267" i="8" s="1"/>
  <c r="W281" i="8"/>
  <c r="W291" i="8"/>
  <c r="Y291" i="8" s="1"/>
  <c r="W294" i="8"/>
  <c r="W39" i="8"/>
  <c r="W230" i="8"/>
  <c r="Z254" i="8"/>
  <c r="W41" i="8"/>
  <c r="Y41" i="8" s="1"/>
  <c r="V41" i="8"/>
  <c r="X41" i="8" s="1"/>
  <c r="W54" i="8"/>
  <c r="Y54" i="8" s="1"/>
  <c r="V54" i="8"/>
  <c r="X54" i="8" s="1"/>
  <c r="V201" i="8"/>
  <c r="X201" i="8" s="1"/>
  <c r="W201" i="8"/>
  <c r="Y201" i="8" s="1"/>
  <c r="V258" i="8"/>
  <c r="X258" i="8" s="1"/>
  <c r="W258" i="8"/>
  <c r="Y258" i="8" s="1"/>
  <c r="W272" i="8"/>
  <c r="W310" i="8"/>
  <c r="AK31" i="8"/>
  <c r="AL31" i="8" s="1"/>
  <c r="AM31" i="8" s="1"/>
  <c r="AN31" i="8" s="1"/>
  <c r="AO31" i="8" s="1"/>
  <c r="AB31" i="4" s="1"/>
  <c r="W203" i="8"/>
  <c r="Y203" i="8" s="1"/>
  <c r="Z203" i="8" s="1"/>
  <c r="AA203" i="8" s="1"/>
  <c r="AB203" i="8" s="1"/>
  <c r="W212" i="8"/>
  <c r="T234" i="8"/>
  <c r="W239" i="8"/>
  <c r="W285" i="8"/>
  <c r="W301" i="8"/>
  <c r="Z20" i="8"/>
  <c r="AA20" i="8" s="1"/>
  <c r="AB20" i="8" s="1"/>
  <c r="Z23" i="8"/>
  <c r="T51" i="8"/>
  <c r="AR15" i="8"/>
  <c r="AS15" i="8" s="1"/>
  <c r="AT15" i="8" s="1"/>
  <c r="AU15" i="8" s="1"/>
  <c r="AC15" i="4" s="1"/>
  <c r="W52" i="8"/>
  <c r="AP14" i="8"/>
  <c r="AI14" i="8"/>
  <c r="AJ14" i="8"/>
  <c r="AI18" i="8"/>
  <c r="AP18" i="8"/>
  <c r="AI20" i="8"/>
  <c r="AQ20" i="8" s="1"/>
  <c r="AR20" i="8" s="1"/>
  <c r="AS20" i="8" s="1"/>
  <c r="AT20" i="8" s="1"/>
  <c r="AU20" i="8" s="1"/>
  <c r="AC20" i="4" s="1"/>
  <c r="AJ20" i="8"/>
  <c r="AI26" i="8"/>
  <c r="T26" i="8"/>
  <c r="AP28" i="8"/>
  <c r="AI28" i="8"/>
  <c r="AQ28" i="8" s="1"/>
  <c r="AR28" i="8" s="1"/>
  <c r="AS28" i="8" s="1"/>
  <c r="AT28" i="8" s="1"/>
  <c r="AU28" i="8" s="1"/>
  <c r="AC28" i="4" s="1"/>
  <c r="AJ28" i="8"/>
  <c r="T36" i="8"/>
  <c r="AP36" i="8"/>
  <c r="AI45" i="8"/>
  <c r="AP45" i="8"/>
  <c r="AI228" i="8"/>
  <c r="T232" i="8"/>
  <c r="T236" i="8"/>
  <c r="AA262" i="8"/>
  <c r="AB262" i="8" s="1"/>
  <c r="AP16" i="8"/>
  <c r="V225" i="8"/>
  <c r="X225" i="8" s="1"/>
  <c r="W225" i="8"/>
  <c r="Y225" i="8" s="1"/>
  <c r="AL35" i="8"/>
  <c r="AM35" i="8" s="1"/>
  <c r="AN35" i="8" s="1"/>
  <c r="AO35" i="8" s="1"/>
  <c r="AB35" i="4" s="1"/>
  <c r="W62" i="8"/>
  <c r="W86" i="8"/>
  <c r="W207" i="8"/>
  <c r="W249" i="8"/>
  <c r="Y249" i="8" s="1"/>
  <c r="W270" i="8"/>
  <c r="Z309" i="8"/>
  <c r="AA309" i="8" s="1"/>
  <c r="AB309" i="8" s="1"/>
  <c r="V19" i="8"/>
  <c r="X19" i="8" s="1"/>
  <c r="Z19" i="8" s="1"/>
  <c r="T45" i="8"/>
  <c r="AA45" i="8" s="1"/>
  <c r="AB45" i="8" s="1"/>
  <c r="W102" i="8"/>
  <c r="T82" i="8"/>
  <c r="W96" i="8"/>
  <c r="W99" i="8"/>
  <c r="T136" i="8"/>
  <c r="T78" i="8"/>
  <c r="T102" i="8"/>
  <c r="AQ13" i="8"/>
  <c r="AR13" i="8" s="1"/>
  <c r="AS13" i="8" s="1"/>
  <c r="AT13" i="8" s="1"/>
  <c r="AU13" i="8" s="1"/>
  <c r="AC13" i="4" s="1"/>
  <c r="AQ17" i="8"/>
  <c r="AR17" i="8" s="1"/>
  <c r="AS17" i="8" s="1"/>
  <c r="AT17" i="8" s="1"/>
  <c r="AU17" i="8" s="1"/>
  <c r="AC17" i="4" s="1"/>
  <c r="AQ21" i="8"/>
  <c r="AR21" i="8" s="1"/>
  <c r="AS21" i="8" s="1"/>
  <c r="AT21" i="8" s="1"/>
  <c r="AU21" i="8" s="1"/>
  <c r="AC21" i="4" s="1"/>
  <c r="AQ25" i="8"/>
  <c r="AR25" i="8" s="1"/>
  <c r="AS25" i="8" s="1"/>
  <c r="AT25" i="8" s="1"/>
  <c r="AU25" i="8" s="1"/>
  <c r="AC25" i="4" s="1"/>
  <c r="AQ29" i="8"/>
  <c r="AR29" i="8" s="1"/>
  <c r="AS29" i="8" s="1"/>
  <c r="AT29" i="8" s="1"/>
  <c r="AU29" i="8" s="1"/>
  <c r="AC29" i="4" s="1"/>
  <c r="AQ33" i="8"/>
  <c r="AR33" i="8" s="1"/>
  <c r="AS33" i="8" s="1"/>
  <c r="AT33" i="8" s="1"/>
  <c r="AU33" i="8" s="1"/>
  <c r="AC33" i="4" s="1"/>
  <c r="AQ37" i="8"/>
  <c r="AR37" i="8" s="1"/>
  <c r="AS37" i="8" s="1"/>
  <c r="AT37" i="8" s="1"/>
  <c r="AU37" i="8" s="1"/>
  <c r="AC37" i="4" s="1"/>
  <c r="AQ47" i="8"/>
  <c r="AR47" i="8" s="1"/>
  <c r="AS47" i="8" s="1"/>
  <c r="AT47" i="8" s="1"/>
  <c r="AU47" i="8" s="1"/>
  <c r="AC47" i="4" s="1"/>
  <c r="W11" i="3"/>
  <c r="X11" i="3" s="1"/>
  <c r="W15" i="3"/>
  <c r="W12" i="3"/>
  <c r="W111" i="3"/>
  <c r="X111" i="3" s="1"/>
  <c r="W260" i="3"/>
  <c r="X260" i="3" s="1"/>
  <c r="W27" i="3"/>
  <c r="X27" i="3" s="1"/>
  <c r="W18" i="3"/>
  <c r="W254" i="3"/>
  <c r="X254" i="3" s="1"/>
  <c r="W22" i="3"/>
  <c r="X22" i="3" s="1"/>
  <c r="W21" i="3"/>
  <c r="X21" i="3" s="1"/>
  <c r="W19" i="3"/>
  <c r="X19" i="3" s="1"/>
  <c r="W16" i="3"/>
  <c r="J16" i="7" s="1"/>
  <c r="K16" i="7" s="1"/>
  <c r="W14" i="3"/>
  <c r="X14" i="3" s="1"/>
  <c r="W37" i="3"/>
  <c r="W36" i="3"/>
  <c r="W106" i="3"/>
  <c r="X106" i="3" s="1"/>
  <c r="W144" i="3"/>
  <c r="X144" i="3" s="1"/>
  <c r="W258" i="3"/>
  <c r="X258" i="3" s="1"/>
  <c r="G132" i="5"/>
  <c r="E201" i="7"/>
  <c r="I201" i="7" s="1"/>
  <c r="R130" i="3"/>
  <c r="N130" i="8" s="1"/>
  <c r="R122" i="3"/>
  <c r="I122" i="6" s="1"/>
  <c r="H262" i="6"/>
  <c r="H250" i="6"/>
  <c r="H130" i="6"/>
  <c r="H126" i="6"/>
  <c r="H123" i="6"/>
  <c r="H205" i="6"/>
  <c r="M133" i="8"/>
  <c r="V133" i="8" s="1"/>
  <c r="X133" i="8" s="1"/>
  <c r="M223" i="8"/>
  <c r="V223" i="8" s="1"/>
  <c r="X223" i="8" s="1"/>
  <c r="N251" i="8"/>
  <c r="M87" i="8"/>
  <c r="M227" i="8"/>
  <c r="H132" i="6"/>
  <c r="H125" i="6"/>
  <c r="M126" i="8"/>
  <c r="M154" i="8"/>
  <c r="Y154" i="8" s="1"/>
  <c r="M143" i="8"/>
  <c r="V143" i="8" s="1"/>
  <c r="X143" i="8" s="1"/>
  <c r="W87" i="3"/>
  <c r="X87" i="3" s="1"/>
  <c r="E123" i="7"/>
  <c r="I123" i="7" s="1"/>
  <c r="E130" i="7"/>
  <c r="I130" i="7" s="1"/>
  <c r="E131" i="7"/>
  <c r="I131" i="7" s="1"/>
  <c r="E132" i="7"/>
  <c r="E133" i="7"/>
  <c r="I133" i="7" s="1"/>
  <c r="G242" i="5"/>
  <c r="I43" i="6"/>
  <c r="R227" i="3"/>
  <c r="N227" i="8" s="1"/>
  <c r="G262" i="5"/>
  <c r="R138" i="3"/>
  <c r="I138" i="6" s="1"/>
  <c r="R132" i="3"/>
  <c r="I132" i="6" s="1"/>
  <c r="R116" i="3"/>
  <c r="I116" i="6" s="1"/>
  <c r="G256" i="5"/>
  <c r="G246" i="5"/>
  <c r="R135" i="3"/>
  <c r="I135" i="6" s="1"/>
  <c r="G126" i="5"/>
  <c r="H279" i="6"/>
  <c r="H251" i="6"/>
  <c r="H246" i="6"/>
  <c r="H124" i="6"/>
  <c r="I123" i="6"/>
  <c r="H235" i="6"/>
  <c r="H223" i="6"/>
  <c r="H70" i="6"/>
  <c r="M137" i="8"/>
  <c r="Y137" i="8" s="1"/>
  <c r="M131" i="8"/>
  <c r="V131" i="8" s="1"/>
  <c r="X131" i="8" s="1"/>
  <c r="M124" i="8"/>
  <c r="V124" i="8" s="1"/>
  <c r="X124" i="8" s="1"/>
  <c r="M123" i="8"/>
  <c r="V123" i="8" s="1"/>
  <c r="X123" i="8" s="1"/>
  <c r="M114" i="8"/>
  <c r="M193" i="8"/>
  <c r="V193" i="8" s="1"/>
  <c r="X193" i="8" s="1"/>
  <c r="M186" i="8"/>
  <c r="V186" i="8" s="1"/>
  <c r="X186" i="8" s="1"/>
  <c r="M185" i="8"/>
  <c r="M150" i="8"/>
  <c r="M241" i="8"/>
  <c r="M242" i="8"/>
  <c r="W102" i="3"/>
  <c r="X102" i="3" s="1"/>
  <c r="E126" i="7"/>
  <c r="I126" i="7" s="1"/>
  <c r="E135" i="7"/>
  <c r="I135" i="7" s="1"/>
  <c r="W137" i="3"/>
  <c r="X137" i="3" s="1"/>
  <c r="W139" i="3"/>
  <c r="G147" i="5"/>
  <c r="G138" i="5"/>
  <c r="H122" i="6"/>
  <c r="H161" i="6"/>
  <c r="E124" i="7"/>
  <c r="I124" i="7" s="1"/>
  <c r="G139" i="5"/>
  <c r="E262" i="7"/>
  <c r="I262" i="7" s="1"/>
  <c r="E251" i="7"/>
  <c r="E256" i="7"/>
  <c r="I256" i="7" s="1"/>
  <c r="E246" i="7"/>
  <c r="I246" i="7" s="1"/>
  <c r="G114" i="5"/>
  <c r="H265" i="6"/>
  <c r="H247" i="6"/>
  <c r="H139" i="6"/>
  <c r="H138" i="6"/>
  <c r="H137" i="6"/>
  <c r="H172" i="6"/>
  <c r="H153" i="6"/>
  <c r="H201" i="6"/>
  <c r="H241" i="6"/>
  <c r="H189" i="6"/>
  <c r="H52" i="6"/>
  <c r="M139" i="8"/>
  <c r="V139" i="8" s="1"/>
  <c r="X139" i="8" s="1"/>
  <c r="M212" i="8"/>
  <c r="V212" i="8" s="1"/>
  <c r="X212" i="8" s="1"/>
  <c r="E139" i="7"/>
  <c r="I139" i="7" s="1"/>
  <c r="J139" i="7" s="1"/>
  <c r="K139" i="7" s="1"/>
  <c r="G123" i="5"/>
  <c r="G87" i="5"/>
  <c r="I118" i="6"/>
  <c r="N118" i="8"/>
  <c r="G128" i="5"/>
  <c r="G120" i="5"/>
  <c r="R269" i="3"/>
  <c r="I269" i="6" s="1"/>
  <c r="R114" i="3"/>
  <c r="N114" i="8" s="1"/>
  <c r="AP114" i="8" s="1"/>
  <c r="H293" i="6"/>
  <c r="H281" i="6"/>
  <c r="H269" i="6"/>
  <c r="I285" i="6"/>
  <c r="H129" i="6"/>
  <c r="H127" i="6"/>
  <c r="H121" i="6"/>
  <c r="H119" i="6"/>
  <c r="H118" i="6"/>
  <c r="H117" i="6"/>
  <c r="H116" i="6"/>
  <c r="I115" i="6"/>
  <c r="H183" i="6"/>
  <c r="H176" i="6"/>
  <c r="H158" i="6"/>
  <c r="I148" i="6"/>
  <c r="I228" i="6"/>
  <c r="H224" i="6"/>
  <c r="I206" i="6"/>
  <c r="H84" i="6"/>
  <c r="M127" i="8"/>
  <c r="Y127" i="8" s="1"/>
  <c r="M118" i="8"/>
  <c r="M116" i="8"/>
  <c r="V116" i="8" s="1"/>
  <c r="X116" i="8" s="1"/>
  <c r="M190" i="8"/>
  <c r="M162" i="8"/>
  <c r="M158" i="8"/>
  <c r="M148" i="8"/>
  <c r="M217" i="8"/>
  <c r="M243" i="8"/>
  <c r="V243" i="8" s="1"/>
  <c r="X243" i="8" s="1"/>
  <c r="M285" i="8"/>
  <c r="V285" i="8" s="1"/>
  <c r="X285" i="8" s="1"/>
  <c r="M289" i="8"/>
  <c r="Y289" i="8" s="1"/>
  <c r="M293" i="8"/>
  <c r="V293" i="8" s="1"/>
  <c r="X293" i="8" s="1"/>
  <c r="M297" i="8"/>
  <c r="M84" i="8"/>
  <c r="E84" i="7"/>
  <c r="I84" i="7" s="1"/>
  <c r="E127" i="7"/>
  <c r="I127" i="7" s="1"/>
  <c r="E128" i="7"/>
  <c r="I128" i="7" s="1"/>
  <c r="E129" i="7"/>
  <c r="E144" i="7"/>
  <c r="I144" i="7" s="1"/>
  <c r="E151" i="7"/>
  <c r="I151" i="7" s="1"/>
  <c r="J151" i="7" s="1"/>
  <c r="K151" i="7" s="1"/>
  <c r="E176" i="7"/>
  <c r="I176" i="7" s="1"/>
  <c r="E183" i="7"/>
  <c r="I183" i="7" s="1"/>
  <c r="E213" i="7"/>
  <c r="I213" i="7" s="1"/>
  <c r="E220" i="7"/>
  <c r="I220" i="7" s="1"/>
  <c r="E277" i="7"/>
  <c r="I277" i="7" s="1"/>
  <c r="E293" i="7"/>
  <c r="I293" i="7" s="1"/>
  <c r="G144" i="5"/>
  <c r="G148" i="5"/>
  <c r="G176" i="5"/>
  <c r="G180" i="5"/>
  <c r="G220" i="5"/>
  <c r="G228" i="5"/>
  <c r="G240" i="5"/>
  <c r="G277" i="5"/>
  <c r="E43" i="7"/>
  <c r="N124" i="8"/>
  <c r="R81" i="3"/>
  <c r="I81" i="6" s="1"/>
  <c r="R128" i="3"/>
  <c r="I128" i="6" s="1"/>
  <c r="R120" i="3"/>
  <c r="I120" i="6" s="1"/>
  <c r="G118" i="5"/>
  <c r="H309" i="6"/>
  <c r="H297" i="6"/>
  <c r="H285" i="6"/>
  <c r="H270" i="6"/>
  <c r="I293" i="6"/>
  <c r="H144" i="6"/>
  <c r="H128" i="6"/>
  <c r="I127" i="6"/>
  <c r="H120" i="6"/>
  <c r="I119" i="6"/>
  <c r="I183" i="6"/>
  <c r="H180" i="6"/>
  <c r="I176" i="6"/>
  <c r="H155" i="6"/>
  <c r="H151" i="6"/>
  <c r="H232" i="6"/>
  <c r="I224" i="6"/>
  <c r="H220" i="6"/>
  <c r="H217" i="6"/>
  <c r="H100" i="6"/>
  <c r="M183" i="8"/>
  <c r="V183" i="8" s="1"/>
  <c r="X183" i="8" s="1"/>
  <c r="M173" i="8"/>
  <c r="Y173" i="8" s="1"/>
  <c r="M155" i="8"/>
  <c r="V155" i="8" s="1"/>
  <c r="X155" i="8" s="1"/>
  <c r="M206" i="8"/>
  <c r="V206" i="8" s="1"/>
  <c r="X206" i="8" s="1"/>
  <c r="M224" i="8"/>
  <c r="V224" i="8" s="1"/>
  <c r="X224" i="8" s="1"/>
  <c r="M240" i="8"/>
  <c r="V240" i="8" s="1"/>
  <c r="X240" i="8" s="1"/>
  <c r="M281" i="8"/>
  <c r="V281" i="8" s="1"/>
  <c r="X281" i="8" s="1"/>
  <c r="M301" i="8"/>
  <c r="V301" i="8" s="1"/>
  <c r="X301" i="8" s="1"/>
  <c r="M209" i="8"/>
  <c r="V209" i="8" s="1"/>
  <c r="X209" i="8" s="1"/>
  <c r="M213" i="8"/>
  <c r="W84" i="3"/>
  <c r="X84" i="3" s="1"/>
  <c r="E155" i="7"/>
  <c r="I155" i="7" s="1"/>
  <c r="E206" i="7"/>
  <c r="I206" i="7" s="1"/>
  <c r="W232" i="3"/>
  <c r="X232" i="3" s="1"/>
  <c r="E232" i="7"/>
  <c r="I232" i="7" s="1"/>
  <c r="W277" i="3"/>
  <c r="X277" i="3" s="1"/>
  <c r="E281" i="7"/>
  <c r="I281" i="7" s="1"/>
  <c r="W293" i="3"/>
  <c r="X293" i="3" s="1"/>
  <c r="E297" i="7"/>
  <c r="I297" i="7" s="1"/>
  <c r="E308" i="7"/>
  <c r="I308" i="7" s="1"/>
  <c r="E309" i="7"/>
  <c r="G115" i="5"/>
  <c r="G119" i="5"/>
  <c r="G127" i="5"/>
  <c r="G151" i="5"/>
  <c r="G183" i="5"/>
  <c r="G281" i="5"/>
  <c r="G285" i="5"/>
  <c r="G84" i="5"/>
  <c r="G98" i="5"/>
  <c r="M43" i="8"/>
  <c r="G116" i="5"/>
  <c r="H301" i="6"/>
  <c r="H277" i="6"/>
  <c r="I297" i="6"/>
  <c r="I277" i="6"/>
  <c r="H187" i="6"/>
  <c r="I180" i="6"/>
  <c r="H173" i="6"/>
  <c r="H169" i="6"/>
  <c r="I155" i="6"/>
  <c r="I151" i="6"/>
  <c r="H240" i="6"/>
  <c r="I220" i="6"/>
  <c r="H213" i="6"/>
  <c r="H209" i="6"/>
  <c r="M115" i="8"/>
  <c r="M151" i="8"/>
  <c r="V151" i="8" s="1"/>
  <c r="X151" i="8" s="1"/>
  <c r="M144" i="8"/>
  <c r="Y144" i="8" s="1"/>
  <c r="M277" i="8"/>
  <c r="V277" i="8" s="1"/>
  <c r="X277" i="8" s="1"/>
  <c r="M228" i="8"/>
  <c r="V228" i="8" s="1"/>
  <c r="X228" i="8" s="1"/>
  <c r="E115" i="7"/>
  <c r="I115" i="7" s="1"/>
  <c r="W148" i="3"/>
  <c r="X148" i="3" s="1"/>
  <c r="E173" i="7"/>
  <c r="I173" i="7" s="1"/>
  <c r="E224" i="7"/>
  <c r="I224" i="7" s="1"/>
  <c r="E228" i="7"/>
  <c r="I228" i="7" s="1"/>
  <c r="E240" i="7"/>
  <c r="I240" i="7" s="1"/>
  <c r="I243" i="7"/>
  <c r="E285" i="7"/>
  <c r="I285" i="7" s="1"/>
  <c r="E301" i="7"/>
  <c r="I301" i="7" s="1"/>
  <c r="G155" i="5"/>
  <c r="G173" i="5"/>
  <c r="G187" i="5"/>
  <c r="G224" i="5"/>
  <c r="G293" i="5"/>
  <c r="G297" i="5"/>
  <c r="G100" i="5"/>
  <c r="G43" i="5"/>
  <c r="H43" i="6"/>
  <c r="V43" i="3"/>
  <c r="P70" i="5"/>
  <c r="P187" i="5"/>
  <c r="P296" i="5"/>
  <c r="P29" i="5"/>
  <c r="P69" i="5"/>
  <c r="P107" i="5"/>
  <c r="P115" i="5"/>
  <c r="P123" i="5"/>
  <c r="P131" i="5"/>
  <c r="P139" i="5"/>
  <c r="P149" i="5"/>
  <c r="P191" i="5"/>
  <c r="P201" i="5"/>
  <c r="P235" i="5"/>
  <c r="P283" i="5"/>
  <c r="P299" i="5"/>
  <c r="P303" i="5"/>
  <c r="P48" i="5"/>
  <c r="P30" i="5"/>
  <c r="P14" i="5"/>
  <c r="P45" i="5"/>
  <c r="P68" i="5"/>
  <c r="P106" i="5"/>
  <c r="P110" i="5"/>
  <c r="P114" i="5"/>
  <c r="P118" i="5"/>
  <c r="P122" i="5"/>
  <c r="P126" i="5"/>
  <c r="P130" i="5"/>
  <c r="P134" i="5"/>
  <c r="P138" i="5"/>
  <c r="P144" i="5"/>
  <c r="P148" i="5"/>
  <c r="P181" i="5"/>
  <c r="P190" i="5"/>
  <c r="P196" i="5"/>
  <c r="P200" i="5"/>
  <c r="P206" i="5"/>
  <c r="P210" i="5"/>
  <c r="P214" i="5"/>
  <c r="P218" i="5"/>
  <c r="P222" i="5"/>
  <c r="P226" i="5"/>
  <c r="P230" i="5"/>
  <c r="P234" i="5"/>
  <c r="P238" i="5"/>
  <c r="P242" i="5"/>
  <c r="P248" i="5"/>
  <c r="P252" i="5"/>
  <c r="P256" i="5"/>
  <c r="P260" i="5"/>
  <c r="P264" i="5"/>
  <c r="P268" i="5"/>
  <c r="P272" i="5"/>
  <c r="P278" i="5"/>
  <c r="P282" i="5"/>
  <c r="P298" i="5"/>
  <c r="P302" i="5"/>
  <c r="P306" i="5"/>
  <c r="P25" i="5"/>
  <c r="P40" i="5"/>
  <c r="P192" i="5"/>
  <c r="P280" i="5"/>
  <c r="P288" i="5"/>
  <c r="P292" i="5"/>
  <c r="P300" i="5"/>
  <c r="P308" i="5"/>
  <c r="P46" i="5"/>
  <c r="P111" i="5"/>
  <c r="P119" i="5"/>
  <c r="P127" i="5"/>
  <c r="P135" i="5"/>
  <c r="P197" i="5"/>
  <c r="P215" i="5"/>
  <c r="P239" i="5"/>
  <c r="P279" i="5"/>
  <c r="P295" i="5"/>
  <c r="P275" i="5"/>
  <c r="P32" i="5"/>
  <c r="P42" i="5"/>
  <c r="P71" i="5"/>
  <c r="P105" i="5"/>
  <c r="P109" i="5"/>
  <c r="P113" i="5"/>
  <c r="P117" i="5"/>
  <c r="P129" i="5"/>
  <c r="P133" i="5"/>
  <c r="P137" i="5"/>
  <c r="P143" i="5"/>
  <c r="P147" i="5"/>
  <c r="P151" i="5"/>
  <c r="P180" i="5"/>
  <c r="P184" i="5"/>
  <c r="P188" i="5"/>
  <c r="P209" i="5"/>
  <c r="P213" i="5"/>
  <c r="P217" i="5"/>
  <c r="P229" i="5"/>
  <c r="P233" i="5"/>
  <c r="P237" i="5"/>
  <c r="P241" i="5"/>
  <c r="P247" i="5"/>
  <c r="P251" i="5"/>
  <c r="P255" i="5"/>
  <c r="P259" i="5"/>
  <c r="P263" i="5"/>
  <c r="P267" i="5"/>
  <c r="P271" i="5"/>
  <c r="P277" i="5"/>
  <c r="P289" i="5"/>
  <c r="P293" i="5"/>
  <c r="P297" i="5"/>
  <c r="P309" i="5"/>
  <c r="P193" i="5"/>
  <c r="P34" i="5"/>
  <c r="P31" i="5"/>
  <c r="P37" i="5"/>
  <c r="P179" i="5"/>
  <c r="E62" i="7"/>
  <c r="I62" i="7" s="1"/>
  <c r="M62" i="8"/>
  <c r="V62" i="8" s="1"/>
  <c r="X62" i="8" s="1"/>
  <c r="M64" i="8"/>
  <c r="V64" i="8" s="1"/>
  <c r="X64" i="8" s="1"/>
  <c r="H64" i="6"/>
  <c r="E64" i="7"/>
  <c r="I64" i="7" s="1"/>
  <c r="M71" i="8"/>
  <c r="V71" i="8" s="1"/>
  <c r="X71" i="8" s="1"/>
  <c r="E71" i="7"/>
  <c r="I71" i="7" s="1"/>
  <c r="E76" i="7"/>
  <c r="I76" i="7" s="1"/>
  <c r="H76" i="6"/>
  <c r="E106" i="7"/>
  <c r="I106" i="7" s="1"/>
  <c r="M106" i="8"/>
  <c r="E108" i="7"/>
  <c r="I108" i="7" s="1"/>
  <c r="M108" i="8"/>
  <c r="V108" i="8" s="1"/>
  <c r="X108" i="8" s="1"/>
  <c r="E110" i="7"/>
  <c r="I110" i="7" s="1"/>
  <c r="M110" i="8"/>
  <c r="V110" i="8" s="1"/>
  <c r="X110" i="8" s="1"/>
  <c r="R202" i="3"/>
  <c r="E202" i="7"/>
  <c r="I202" i="7" s="1"/>
  <c r="M202" i="8"/>
  <c r="V202" i="8" s="1"/>
  <c r="X202" i="8" s="1"/>
  <c r="R274" i="3"/>
  <c r="E274" i="7"/>
  <c r="I274" i="7" s="1"/>
  <c r="G78" i="5"/>
  <c r="H78" i="6"/>
  <c r="G102" i="5"/>
  <c r="H102" i="6"/>
  <c r="E215" i="7"/>
  <c r="I215" i="7" s="1"/>
  <c r="M215" i="8"/>
  <c r="V215" i="8" s="1"/>
  <c r="X215" i="8" s="1"/>
  <c r="R167" i="3"/>
  <c r="N167" i="8" s="1"/>
  <c r="G167" i="5"/>
  <c r="E178" i="7"/>
  <c r="I178" i="7" s="1"/>
  <c r="M178" i="8"/>
  <c r="H178" i="6"/>
  <c r="E55" i="7"/>
  <c r="I55" i="7" s="1"/>
  <c r="M55" i="8"/>
  <c r="M61" i="8"/>
  <c r="H61" i="6"/>
  <c r="E66" i="7"/>
  <c r="I66" i="7" s="1"/>
  <c r="W66" i="3"/>
  <c r="E88" i="7"/>
  <c r="I88" i="7" s="1"/>
  <c r="M88" i="8"/>
  <c r="V88" i="8" s="1"/>
  <c r="X88" i="8" s="1"/>
  <c r="R92" i="3"/>
  <c r="G92" i="5"/>
  <c r="H92" i="6"/>
  <c r="R101" i="3"/>
  <c r="E101" i="7"/>
  <c r="I101" i="7" s="1"/>
  <c r="G101" i="5"/>
  <c r="M101" i="8"/>
  <c r="E105" i="7"/>
  <c r="I105" i="7" s="1"/>
  <c r="M105" i="8"/>
  <c r="E195" i="7"/>
  <c r="I195" i="7" s="1"/>
  <c r="M195" i="8"/>
  <c r="R197" i="3"/>
  <c r="G197" i="5"/>
  <c r="E197" i="7"/>
  <c r="I197" i="7" s="1"/>
  <c r="R198" i="3"/>
  <c r="E198" i="7"/>
  <c r="I198" i="7" s="1"/>
  <c r="G198" i="5"/>
  <c r="R306" i="3"/>
  <c r="E306" i="7"/>
  <c r="I306" i="7" s="1"/>
  <c r="G90" i="5"/>
  <c r="E90" i="7"/>
  <c r="I90" i="7" s="1"/>
  <c r="E59" i="7"/>
  <c r="I59" i="7" s="1"/>
  <c r="H59" i="6"/>
  <c r="R207" i="3"/>
  <c r="G207" i="5"/>
  <c r="M207" i="8"/>
  <c r="V207" i="8" s="1"/>
  <c r="X207" i="8" s="1"/>
  <c r="E207" i="7"/>
  <c r="I207" i="7" s="1"/>
  <c r="R210" i="3"/>
  <c r="G210" i="5"/>
  <c r="R214" i="3"/>
  <c r="E214" i="7"/>
  <c r="I214" i="7" s="1"/>
  <c r="H233" i="6"/>
  <c r="G233" i="5"/>
  <c r="R244" i="3"/>
  <c r="E244" i="7"/>
  <c r="I244" i="7" s="1"/>
  <c r="M244" i="8"/>
  <c r="R152" i="3"/>
  <c r="M152" i="8"/>
  <c r="R159" i="3"/>
  <c r="M159" i="8"/>
  <c r="V159" i="8" s="1"/>
  <c r="X159" i="8" s="1"/>
  <c r="R163" i="3"/>
  <c r="E163" i="7"/>
  <c r="I163" i="7" s="1"/>
  <c r="G163" i="5"/>
  <c r="R184" i="3"/>
  <c r="G184" i="5"/>
  <c r="E184" i="7"/>
  <c r="I184" i="7" s="1"/>
  <c r="R188" i="3"/>
  <c r="E188" i="7"/>
  <c r="I188" i="7" s="1"/>
  <c r="R85" i="3"/>
  <c r="H85" i="6"/>
  <c r="M85" i="8"/>
  <c r="V85" i="8" s="1"/>
  <c r="X85" i="8" s="1"/>
  <c r="R112" i="3"/>
  <c r="I112" i="6" s="1"/>
  <c r="H273" i="6"/>
  <c r="H164" i="6"/>
  <c r="H234" i="6"/>
  <c r="H75" i="6"/>
  <c r="M167" i="8"/>
  <c r="M58" i="8"/>
  <c r="Y58" i="8" s="1"/>
  <c r="M68" i="8"/>
  <c r="M80" i="8"/>
  <c r="I67" i="7"/>
  <c r="E70" i="7"/>
  <c r="I70" i="7" s="1"/>
  <c r="G274" i="5"/>
  <c r="N233" i="8"/>
  <c r="AI233" i="8" s="1"/>
  <c r="R229" i="3"/>
  <c r="I229" i="6" s="1"/>
  <c r="M229" i="8"/>
  <c r="R108" i="3"/>
  <c r="G76" i="5"/>
  <c r="R60" i="3"/>
  <c r="I60" i="6" s="1"/>
  <c r="G201" i="5"/>
  <c r="G140" i="5"/>
  <c r="G106" i="5"/>
  <c r="G62" i="5"/>
  <c r="G53" i="5"/>
  <c r="H308" i="6"/>
  <c r="H291" i="6"/>
  <c r="H110" i="6"/>
  <c r="H109" i="6"/>
  <c r="H108" i="6"/>
  <c r="H199" i="6"/>
  <c r="H215" i="6"/>
  <c r="H68" i="6"/>
  <c r="H221" i="6"/>
  <c r="H244" i="6"/>
  <c r="H170" i="6"/>
  <c r="H177" i="6"/>
  <c r="H62" i="6"/>
  <c r="H55" i="6"/>
  <c r="H67" i="6"/>
  <c r="H66" i="6"/>
  <c r="H80" i="6"/>
  <c r="H72" i="6"/>
  <c r="M104" i="8"/>
  <c r="M170" i="8"/>
  <c r="V170" i="8" s="1"/>
  <c r="X170" i="8" s="1"/>
  <c r="M197" i="8"/>
  <c r="M273" i="8"/>
  <c r="V273" i="8" s="1"/>
  <c r="X273" i="8" s="1"/>
  <c r="M274" i="8"/>
  <c r="V274" i="8" s="1"/>
  <c r="X274" i="8" s="1"/>
  <c r="E54" i="7"/>
  <c r="I54" i="7" s="1"/>
  <c r="W80" i="3"/>
  <c r="J80" i="7" s="1"/>
  <c r="K80" i="7" s="1"/>
  <c r="I85" i="7"/>
  <c r="E102" i="7"/>
  <c r="I102" i="7" s="1"/>
  <c r="E152" i="7"/>
  <c r="I152" i="7" s="1"/>
  <c r="E191" i="7"/>
  <c r="I191" i="7" s="1"/>
  <c r="G159" i="5"/>
  <c r="G188" i="5"/>
  <c r="G202" i="5"/>
  <c r="G85" i="5"/>
  <c r="G152" i="5"/>
  <c r="E57" i="7"/>
  <c r="I57" i="7" s="1"/>
  <c r="W57" i="3"/>
  <c r="X57" i="3" s="1"/>
  <c r="R69" i="3"/>
  <c r="W69" i="3"/>
  <c r="J69" i="7" s="1"/>
  <c r="K69" i="7" s="1"/>
  <c r="M69" i="8"/>
  <c r="R107" i="3"/>
  <c r="G107" i="5"/>
  <c r="E107" i="7"/>
  <c r="I107" i="7" s="1"/>
  <c r="M107" i="8"/>
  <c r="R111" i="3"/>
  <c r="E111" i="7"/>
  <c r="I111" i="7" s="1"/>
  <c r="M111" i="8"/>
  <c r="V111" i="8" s="1"/>
  <c r="X111" i="8" s="1"/>
  <c r="R203" i="3"/>
  <c r="G203" i="5"/>
  <c r="E203" i="7"/>
  <c r="I203" i="7" s="1"/>
  <c r="R310" i="3"/>
  <c r="G310" i="5"/>
  <c r="M51" i="8"/>
  <c r="V51" i="8" s="1"/>
  <c r="X51" i="8" s="1"/>
  <c r="H51" i="6"/>
  <c r="E53" i="7"/>
  <c r="I53" i="7" s="1"/>
  <c r="M53" i="8"/>
  <c r="R56" i="3"/>
  <c r="E56" i="7"/>
  <c r="I56" i="7" s="1"/>
  <c r="E65" i="7"/>
  <c r="I65" i="7" s="1"/>
  <c r="H65" i="6"/>
  <c r="E89" i="7"/>
  <c r="I89" i="7" s="1"/>
  <c r="M89" i="8"/>
  <c r="V89" i="8" s="1"/>
  <c r="X89" i="8" s="1"/>
  <c r="H89" i="6"/>
  <c r="E91" i="7"/>
  <c r="I91" i="7" s="1"/>
  <c r="M91" i="8"/>
  <c r="V91" i="8" s="1"/>
  <c r="X91" i="8" s="1"/>
  <c r="H91" i="6"/>
  <c r="E93" i="7"/>
  <c r="I93" i="7" s="1"/>
  <c r="H93" i="6"/>
  <c r="R196" i="3"/>
  <c r="E196" i="7"/>
  <c r="M196" i="8"/>
  <c r="V196" i="8" s="1"/>
  <c r="X196" i="8" s="1"/>
  <c r="R200" i="3"/>
  <c r="G200" i="5"/>
  <c r="E200" i="7"/>
  <c r="G96" i="5"/>
  <c r="E96" i="7"/>
  <c r="I96" i="7" s="1"/>
  <c r="H96" i="6"/>
  <c r="G99" i="5"/>
  <c r="E99" i="7"/>
  <c r="I99" i="7" s="1"/>
  <c r="R149" i="3"/>
  <c r="M149" i="8"/>
  <c r="V149" i="8" s="1"/>
  <c r="X149" i="8" s="1"/>
  <c r="G149" i="5"/>
  <c r="R156" i="3"/>
  <c r="G156" i="5"/>
  <c r="H156" i="6"/>
  <c r="R181" i="3"/>
  <c r="G181" i="5"/>
  <c r="M181" i="8"/>
  <c r="V181" i="8" s="1"/>
  <c r="X181" i="8" s="1"/>
  <c r="G110" i="5"/>
  <c r="G67" i="5"/>
  <c r="G57" i="5"/>
  <c r="H310" i="6"/>
  <c r="H203" i="6"/>
  <c r="M67" i="8"/>
  <c r="M77" i="8"/>
  <c r="E75" i="7"/>
  <c r="I75" i="7" s="1"/>
  <c r="W107" i="3"/>
  <c r="W112" i="3"/>
  <c r="X112" i="3" s="1"/>
  <c r="E112" i="7"/>
  <c r="I112" i="7" s="1"/>
  <c r="E113" i="7"/>
  <c r="I113" i="7" s="1"/>
  <c r="G70" i="5"/>
  <c r="M99" i="8"/>
  <c r="V99" i="8" s="1"/>
  <c r="X99" i="8" s="1"/>
  <c r="G108" i="5"/>
  <c r="R93" i="3"/>
  <c r="I93" i="6" s="1"/>
  <c r="R76" i="3"/>
  <c r="I76" i="6" s="1"/>
  <c r="G60" i="5"/>
  <c r="R201" i="3"/>
  <c r="N201" i="8" s="1"/>
  <c r="R110" i="3"/>
  <c r="I110" i="6" s="1"/>
  <c r="G97" i="5"/>
  <c r="R67" i="3"/>
  <c r="R57" i="3"/>
  <c r="I57" i="6" s="1"/>
  <c r="H306" i="6"/>
  <c r="H299" i="6"/>
  <c r="H274" i="6"/>
  <c r="H107" i="6"/>
  <c r="H106" i="6"/>
  <c r="H105" i="6"/>
  <c r="H104" i="6"/>
  <c r="H192" i="6"/>
  <c r="I191" i="6"/>
  <c r="H184" i="6"/>
  <c r="H166" i="6"/>
  <c r="I164" i="6"/>
  <c r="H146" i="6"/>
  <c r="H198" i="6"/>
  <c r="H229" i="6"/>
  <c r="H214" i="6"/>
  <c r="H210" i="6"/>
  <c r="H69" i="6"/>
  <c r="H225" i="6"/>
  <c r="H54" i="6"/>
  <c r="I75" i="6"/>
  <c r="H74" i="6"/>
  <c r="H71" i="6"/>
  <c r="H90" i="6"/>
  <c r="H86" i="6"/>
  <c r="M164" i="8"/>
  <c r="V164" i="8" s="1"/>
  <c r="X164" i="8" s="1"/>
  <c r="M163" i="8"/>
  <c r="V163" i="8" s="1"/>
  <c r="X163" i="8" s="1"/>
  <c r="M199" i="8"/>
  <c r="Y199" i="8" s="1"/>
  <c r="M210" i="8"/>
  <c r="V210" i="8" s="1"/>
  <c r="X210" i="8" s="1"/>
  <c r="M56" i="8"/>
  <c r="M57" i="8"/>
  <c r="V57" i="8" s="1"/>
  <c r="X57" i="8" s="1"/>
  <c r="M65" i="8"/>
  <c r="M66" i="8"/>
  <c r="M75" i="8"/>
  <c r="V75" i="8" s="1"/>
  <c r="X75" i="8" s="1"/>
  <c r="M76" i="8"/>
  <c r="M92" i="8"/>
  <c r="V92" i="8" s="1"/>
  <c r="X92" i="8" s="1"/>
  <c r="M93" i="8"/>
  <c r="V93" i="8" s="1"/>
  <c r="X93" i="8" s="1"/>
  <c r="M304" i="8"/>
  <c r="V304" i="8" s="1"/>
  <c r="X304" i="8" s="1"/>
  <c r="M306" i="8"/>
  <c r="M310" i="8"/>
  <c r="V310" i="8" s="1"/>
  <c r="W58" i="3"/>
  <c r="W68" i="3"/>
  <c r="J68" i="7" s="1"/>
  <c r="K68" i="7" s="1"/>
  <c r="E74" i="7"/>
  <c r="I74" i="7" s="1"/>
  <c r="W97" i="3"/>
  <c r="X97" i="3" s="1"/>
  <c r="W108" i="3"/>
  <c r="X108" i="3" s="1"/>
  <c r="E166" i="7"/>
  <c r="I166" i="7" s="1"/>
  <c r="E233" i="7"/>
  <c r="I233" i="7" s="1"/>
  <c r="G111" i="5"/>
  <c r="G75" i="5"/>
  <c r="W52" i="3"/>
  <c r="X52" i="3" s="1"/>
  <c r="W89" i="3"/>
  <c r="X89" i="3" s="1"/>
  <c r="W90" i="3"/>
  <c r="X90" i="3" s="1"/>
  <c r="W159" i="3"/>
  <c r="X159" i="3" s="1"/>
  <c r="I180" i="7"/>
  <c r="I181" i="7"/>
  <c r="I225" i="7"/>
  <c r="W73" i="3"/>
  <c r="X73" i="3" s="1"/>
  <c r="I52" i="7"/>
  <c r="W101" i="3"/>
  <c r="X101" i="3" s="1"/>
  <c r="I104" i="7"/>
  <c r="W110" i="3"/>
  <c r="X110" i="3" s="1"/>
  <c r="W170" i="3"/>
  <c r="W202" i="3"/>
  <c r="X202" i="3" s="1"/>
  <c r="I209" i="7"/>
  <c r="I210" i="7"/>
  <c r="X18" i="3"/>
  <c r="J18" i="7"/>
  <c r="K18" i="7" s="1"/>
  <c r="J19" i="7"/>
  <c r="K19" i="7" s="1"/>
  <c r="J12" i="7"/>
  <c r="K12" i="7" s="1"/>
  <c r="X36" i="3"/>
  <c r="D19" i="2"/>
  <c r="AJ297" i="8" s="1"/>
  <c r="W75" i="3"/>
  <c r="X75" i="3" s="1"/>
  <c r="W59" i="3"/>
  <c r="W249" i="3"/>
  <c r="X249" i="3" s="1"/>
  <c r="W251" i="3"/>
  <c r="X251" i="3" s="1"/>
  <c r="W214" i="3"/>
  <c r="X214" i="3" s="1"/>
  <c r="W126" i="3"/>
  <c r="X126" i="3" s="1"/>
  <c r="W99" i="3"/>
  <c r="W91" i="3"/>
  <c r="X91" i="3" s="1"/>
  <c r="W55" i="3"/>
  <c r="W53" i="3"/>
  <c r="X53" i="3" s="1"/>
  <c r="W34" i="3"/>
  <c r="X34" i="3" s="1"/>
  <c r="W24" i="3"/>
  <c r="X24" i="3" s="1"/>
  <c r="W246" i="3"/>
  <c r="X246" i="3" s="1"/>
  <c r="W269" i="3"/>
  <c r="X269" i="3" s="1"/>
  <c r="W262" i="3"/>
  <c r="X262" i="3" s="1"/>
  <c r="W43" i="3"/>
  <c r="X43" i="3" s="1"/>
  <c r="W166" i="3"/>
  <c r="X166" i="3" s="1"/>
  <c r="W187" i="3"/>
  <c r="W191" i="3"/>
  <c r="W210" i="3"/>
  <c r="W221" i="3"/>
  <c r="X221" i="3" s="1"/>
  <c r="W225" i="3"/>
  <c r="W229" i="3"/>
  <c r="X229" i="3" s="1"/>
  <c r="W240" i="3"/>
  <c r="X240" i="3" s="1"/>
  <c r="W297" i="3"/>
  <c r="X297" i="3" s="1"/>
  <c r="J27" i="7"/>
  <c r="K27" i="7" s="1"/>
  <c r="W25" i="3"/>
  <c r="X25" i="3" s="1"/>
  <c r="J21" i="7"/>
  <c r="K21" i="7" s="1"/>
  <c r="W20" i="3"/>
  <c r="X20" i="3" s="1"/>
  <c r="W31" i="3"/>
  <c r="X31" i="3" s="1"/>
  <c r="W30" i="3"/>
  <c r="W29" i="3"/>
  <c r="J29" i="7" s="1"/>
  <c r="K29" i="7" s="1"/>
  <c r="W60" i="3"/>
  <c r="X60" i="3" s="1"/>
  <c r="W74" i="3"/>
  <c r="W113" i="3"/>
  <c r="W114" i="3"/>
  <c r="W135" i="3"/>
  <c r="X135" i="3" s="1"/>
  <c r="W149" i="3"/>
  <c r="J149" i="7" s="1"/>
  <c r="K149" i="7" s="1"/>
  <c r="W151" i="3"/>
  <c r="X151" i="3" s="1"/>
  <c r="W152" i="3"/>
  <c r="W162" i="3"/>
  <c r="X162" i="3" s="1"/>
  <c r="W163" i="3"/>
  <c r="X163" i="3" s="1"/>
  <c r="W176" i="3"/>
  <c r="X176" i="3" s="1"/>
  <c r="W183" i="3"/>
  <c r="X183" i="3" s="1"/>
  <c r="W184" i="3"/>
  <c r="W195" i="3"/>
  <c r="X195" i="3" s="1"/>
  <c r="W196" i="3"/>
  <c r="X196" i="3" s="1"/>
  <c r="W197" i="3"/>
  <c r="X197" i="3" s="1"/>
  <c r="W198" i="3"/>
  <c r="X198" i="3" s="1"/>
  <c r="W199" i="3"/>
  <c r="X199" i="3" s="1"/>
  <c r="W200" i="3"/>
  <c r="X200" i="3" s="1"/>
  <c r="W201" i="3"/>
  <c r="X201" i="3" s="1"/>
  <c r="W203" i="3"/>
  <c r="X203" i="3" s="1"/>
  <c r="W206" i="3"/>
  <c r="X206" i="3" s="1"/>
  <c r="W213" i="3"/>
  <c r="X213" i="3" s="1"/>
  <c r="W217" i="3"/>
  <c r="J217" i="7" s="1"/>
  <c r="K217" i="7" s="1"/>
  <c r="W233" i="3"/>
  <c r="W237" i="3"/>
  <c r="X237" i="3" s="1"/>
  <c r="W243" i="3"/>
  <c r="W244" i="3"/>
  <c r="X244" i="3" s="1"/>
  <c r="W274" i="3"/>
  <c r="X274" i="3" s="1"/>
  <c r="W306" i="3"/>
  <c r="X306" i="3" s="1"/>
  <c r="W310" i="3"/>
  <c r="X310" i="3" s="1"/>
  <c r="W160" i="3"/>
  <c r="X160" i="3" s="1"/>
  <c r="W188" i="3"/>
  <c r="W190" i="3"/>
  <c r="X190" i="3" s="1"/>
  <c r="W209" i="3"/>
  <c r="W224" i="3"/>
  <c r="X224" i="3" s="1"/>
  <c r="W241" i="3"/>
  <c r="X241" i="3" s="1"/>
  <c r="W281" i="3"/>
  <c r="X281" i="3" s="1"/>
  <c r="W28" i="3"/>
  <c r="X28" i="3" s="1"/>
  <c r="W23" i="3"/>
  <c r="W17" i="3"/>
  <c r="W13" i="3"/>
  <c r="X13" i="3" s="1"/>
  <c r="W35" i="3"/>
  <c r="J35" i="7" s="1"/>
  <c r="K35" i="7" s="1"/>
  <c r="W33" i="3"/>
  <c r="W40" i="3"/>
  <c r="X40" i="3" s="1"/>
  <c r="W56" i="3"/>
  <c r="X56" i="3" s="1"/>
  <c r="W62" i="3"/>
  <c r="W78" i="3"/>
  <c r="X78" i="3" s="1"/>
  <c r="W85" i="3"/>
  <c r="X85" i="3" s="1"/>
  <c r="W92" i="3"/>
  <c r="X92" i="3" s="1"/>
  <c r="W96" i="3"/>
  <c r="X96" i="3" s="1"/>
  <c r="W115" i="3"/>
  <c r="X115" i="3" s="1"/>
  <c r="W116" i="3"/>
  <c r="W118" i="3"/>
  <c r="X118" i="3" s="1"/>
  <c r="W119" i="3"/>
  <c r="X119" i="3" s="1"/>
  <c r="W120" i="3"/>
  <c r="X120" i="3" s="1"/>
  <c r="W121" i="3"/>
  <c r="X121" i="3" s="1"/>
  <c r="W122" i="3"/>
  <c r="X122" i="3" s="1"/>
  <c r="W123" i="3"/>
  <c r="X123" i="3" s="1"/>
  <c r="W124" i="3"/>
  <c r="X124" i="3" s="1"/>
  <c r="W127" i="3"/>
  <c r="X127" i="3" s="1"/>
  <c r="W128" i="3"/>
  <c r="X128" i="3" s="1"/>
  <c r="W129" i="3"/>
  <c r="X129" i="3" s="1"/>
  <c r="W130" i="3"/>
  <c r="X130" i="3" s="1"/>
  <c r="W131" i="3"/>
  <c r="X131" i="3" s="1"/>
  <c r="W132" i="3"/>
  <c r="X132" i="3" s="1"/>
  <c r="W133" i="3"/>
  <c r="X133" i="3" s="1"/>
  <c r="W154" i="3"/>
  <c r="J154" i="7" s="1"/>
  <c r="K154" i="7" s="1"/>
  <c r="W155" i="3"/>
  <c r="X155" i="3" s="1"/>
  <c r="W156" i="3"/>
  <c r="X156" i="3" s="1"/>
  <c r="W158" i="3"/>
  <c r="J158" i="7" s="1"/>
  <c r="K158" i="7" s="1"/>
  <c r="W173" i="3"/>
  <c r="X173" i="3" s="1"/>
  <c r="W180" i="3"/>
  <c r="W181" i="3"/>
  <c r="X181" i="3" s="1"/>
  <c r="W182" i="3"/>
  <c r="X182" i="3" s="1"/>
  <c r="W207" i="3"/>
  <c r="J207" i="7" s="1"/>
  <c r="K207" i="7" s="1"/>
  <c r="W220" i="3"/>
  <c r="X220" i="3" s="1"/>
  <c r="W228" i="3"/>
  <c r="X228" i="3" s="1"/>
  <c r="W279" i="3"/>
  <c r="X279" i="3" s="1"/>
  <c r="W285" i="3"/>
  <c r="X285" i="3" s="1"/>
  <c r="W295" i="3"/>
  <c r="X295" i="3" s="1"/>
  <c r="W301" i="3"/>
  <c r="X301" i="3" s="1"/>
  <c r="J37" i="7"/>
  <c r="K37" i="7" s="1"/>
  <c r="J45" i="7"/>
  <c r="K45" i="7" s="1"/>
  <c r="J32" i="7"/>
  <c r="K32" i="7" s="1"/>
  <c r="J30" i="7"/>
  <c r="K30" i="7" s="1"/>
  <c r="J46" i="7"/>
  <c r="R250" i="3"/>
  <c r="G250" i="5"/>
  <c r="M250" i="8"/>
  <c r="V250" i="8" s="1"/>
  <c r="X250" i="8" s="1"/>
  <c r="R252" i="3"/>
  <c r="E252" i="7"/>
  <c r="I252" i="7" s="1"/>
  <c r="G252" i="5"/>
  <c r="M252" i="8"/>
  <c r="V252" i="8" s="1"/>
  <c r="X252" i="8" s="1"/>
  <c r="R255" i="3"/>
  <c r="G255" i="5"/>
  <c r="E255" i="7"/>
  <c r="R259" i="3"/>
  <c r="G259" i="5"/>
  <c r="M259" i="8"/>
  <c r="E261" i="7"/>
  <c r="I261" i="7" s="1"/>
  <c r="M261" i="8"/>
  <c r="R263" i="3"/>
  <c r="E263" i="7"/>
  <c r="I263" i="7" s="1"/>
  <c r="R264" i="3"/>
  <c r="G264" i="5"/>
  <c r="E264" i="7"/>
  <c r="I264" i="7" s="1"/>
  <c r="R265" i="3"/>
  <c r="E265" i="7"/>
  <c r="I265" i="7" s="1"/>
  <c r="G265" i="5"/>
  <c r="R266" i="3"/>
  <c r="N266" i="8" s="1"/>
  <c r="E266" i="7"/>
  <c r="I266" i="7" s="1"/>
  <c r="G266" i="5"/>
  <c r="R267" i="3"/>
  <c r="E267" i="7"/>
  <c r="I267" i="7" s="1"/>
  <c r="G79" i="5"/>
  <c r="W79" i="3"/>
  <c r="X79" i="3" s="1"/>
  <c r="E79" i="7"/>
  <c r="I79" i="7" s="1"/>
  <c r="G103" i="5"/>
  <c r="E103" i="7"/>
  <c r="I103" i="7" s="1"/>
  <c r="R39" i="3"/>
  <c r="E39" i="7"/>
  <c r="I39" i="7" s="1"/>
  <c r="G39" i="5"/>
  <c r="M39" i="8"/>
  <c r="V39" i="8" s="1"/>
  <c r="X39" i="8" s="1"/>
  <c r="E205" i="7"/>
  <c r="I205" i="7" s="1"/>
  <c r="G205" i="5"/>
  <c r="W205" i="3"/>
  <c r="X205" i="3" s="1"/>
  <c r="R216" i="3"/>
  <c r="E216" i="7"/>
  <c r="I216" i="7" s="1"/>
  <c r="G216" i="5"/>
  <c r="G227" i="5"/>
  <c r="E227" i="7"/>
  <c r="I227" i="7" s="1"/>
  <c r="R231" i="3"/>
  <c r="E231" i="7"/>
  <c r="I231" i="7" s="1"/>
  <c r="M231" i="8"/>
  <c r="R235" i="3"/>
  <c r="E235" i="7"/>
  <c r="I235" i="7" s="1"/>
  <c r="R239" i="3"/>
  <c r="E239" i="7"/>
  <c r="I239" i="7" s="1"/>
  <c r="W239" i="3"/>
  <c r="X239" i="3" s="1"/>
  <c r="R242" i="3"/>
  <c r="E242" i="7"/>
  <c r="I242" i="7" s="1"/>
  <c r="R143" i="3"/>
  <c r="E143" i="7"/>
  <c r="I143" i="7" s="1"/>
  <c r="G143" i="5"/>
  <c r="R147" i="3"/>
  <c r="E147" i="7"/>
  <c r="I147" i="7" s="1"/>
  <c r="W147" i="3"/>
  <c r="X147" i="3" s="1"/>
  <c r="R165" i="3"/>
  <c r="G165" i="5"/>
  <c r="R168" i="3"/>
  <c r="G168" i="5"/>
  <c r="R172" i="3"/>
  <c r="E172" i="7"/>
  <c r="I172" i="7" s="1"/>
  <c r="G172" i="5"/>
  <c r="R175" i="3"/>
  <c r="G175" i="5"/>
  <c r="R179" i="3"/>
  <c r="G179" i="5"/>
  <c r="E179" i="7"/>
  <c r="I179" i="7" s="1"/>
  <c r="N55" i="8"/>
  <c r="N91" i="8"/>
  <c r="W142" i="3"/>
  <c r="X142" i="3" s="1"/>
  <c r="E248" i="7"/>
  <c r="I248" i="7" s="1"/>
  <c r="G164" i="5"/>
  <c r="G248" i="5"/>
  <c r="G73" i="5"/>
  <c r="E253" i="7"/>
  <c r="I253" i="7" s="1"/>
  <c r="M253" i="8"/>
  <c r="R270" i="3"/>
  <c r="G270" i="5"/>
  <c r="G82" i="5"/>
  <c r="W82" i="3"/>
  <c r="X82" i="3" s="1"/>
  <c r="E82" i="7"/>
  <c r="I82" i="7" s="1"/>
  <c r="G136" i="5"/>
  <c r="E136" i="7"/>
  <c r="I136" i="7" s="1"/>
  <c r="R42" i="3"/>
  <c r="G42" i="5"/>
  <c r="E42" i="7"/>
  <c r="I42" i="7" s="1"/>
  <c r="W42" i="3"/>
  <c r="X42" i="3" s="1"/>
  <c r="M42" i="8"/>
  <c r="V42" i="8" s="1"/>
  <c r="X42" i="8" s="1"/>
  <c r="R208" i="3"/>
  <c r="G208" i="5"/>
  <c r="E208" i="7"/>
  <c r="I208" i="7" s="1"/>
  <c r="M208" i="8"/>
  <c r="Y208" i="8" s="1"/>
  <c r="R211" i="3"/>
  <c r="G211" i="5"/>
  <c r="E211" i="7"/>
  <c r="I211" i="7" s="1"/>
  <c r="R218" i="3"/>
  <c r="I218" i="6" s="1"/>
  <c r="G218" i="5"/>
  <c r="E218" i="7"/>
  <c r="I218" i="7" s="1"/>
  <c r="R222" i="3"/>
  <c r="G222" i="5"/>
  <c r="G226" i="5"/>
  <c r="E226" i="7"/>
  <c r="I226" i="7" s="1"/>
  <c r="E230" i="7"/>
  <c r="I230" i="7" s="1"/>
  <c r="M230" i="8"/>
  <c r="V230" i="8" s="1"/>
  <c r="X230" i="8" s="1"/>
  <c r="R238" i="3"/>
  <c r="G238" i="5"/>
  <c r="E238" i="7"/>
  <c r="I238" i="7" s="1"/>
  <c r="R142" i="3"/>
  <c r="E142" i="7"/>
  <c r="I142" i="7" s="1"/>
  <c r="G142" i="5"/>
  <c r="R157" i="3"/>
  <c r="G157" i="5"/>
  <c r="E157" i="7"/>
  <c r="I157" i="7" s="1"/>
  <c r="R160" i="3"/>
  <c r="G160" i="5"/>
  <c r="R171" i="3"/>
  <c r="G171" i="5"/>
  <c r="E171" i="7"/>
  <c r="I171" i="7" s="1"/>
  <c r="R189" i="3"/>
  <c r="G189" i="5"/>
  <c r="E189" i="7"/>
  <c r="I189" i="7" s="1"/>
  <c r="R192" i="3"/>
  <c r="G192" i="5"/>
  <c r="E192" i="7"/>
  <c r="I192" i="7" s="1"/>
  <c r="R86" i="3"/>
  <c r="E86" i="7"/>
  <c r="I86" i="7" s="1"/>
  <c r="R279" i="3"/>
  <c r="E279" i="7"/>
  <c r="I279" i="7" s="1"/>
  <c r="J279" i="7" s="1"/>
  <c r="K279" i="7" s="1"/>
  <c r="G279" i="5"/>
  <c r="R283" i="3"/>
  <c r="G283" i="5"/>
  <c r="E283" i="7"/>
  <c r="I283" i="7" s="1"/>
  <c r="R287" i="3"/>
  <c r="N287" i="8" s="1"/>
  <c r="E287" i="7"/>
  <c r="R291" i="3"/>
  <c r="E291" i="7"/>
  <c r="I291" i="7" s="1"/>
  <c r="G291" i="5"/>
  <c r="R295" i="3"/>
  <c r="E295" i="7"/>
  <c r="I295" i="7" s="1"/>
  <c r="G295" i="5"/>
  <c r="R299" i="3"/>
  <c r="E299" i="7"/>
  <c r="I299" i="7" s="1"/>
  <c r="N65" i="8"/>
  <c r="N140" i="8"/>
  <c r="M79" i="8"/>
  <c r="Y79" i="8" s="1"/>
  <c r="R103" i="3"/>
  <c r="R73" i="3"/>
  <c r="R262" i="3"/>
  <c r="I262" i="6" s="1"/>
  <c r="R258" i="3"/>
  <c r="N258" i="8" s="1"/>
  <c r="R254" i="3"/>
  <c r="G251" i="5"/>
  <c r="G269" i="5"/>
  <c r="R260" i="3"/>
  <c r="R256" i="3"/>
  <c r="N256" i="8" s="1"/>
  <c r="G249" i="5"/>
  <c r="R246" i="3"/>
  <c r="I246" i="6" s="1"/>
  <c r="H295" i="6"/>
  <c r="H283" i="6"/>
  <c r="H268" i="6"/>
  <c r="H264" i="6"/>
  <c r="H260" i="6"/>
  <c r="H256" i="6"/>
  <c r="H252" i="6"/>
  <c r="H248" i="6"/>
  <c r="H167" i="6"/>
  <c r="H238" i="6"/>
  <c r="H211" i="6"/>
  <c r="H50" i="6"/>
  <c r="H73" i="6"/>
  <c r="H94" i="6"/>
  <c r="M182" i="8"/>
  <c r="M168" i="8"/>
  <c r="V168" i="8" s="1"/>
  <c r="X168" i="8" s="1"/>
  <c r="M165" i="8"/>
  <c r="M157" i="8"/>
  <c r="M147" i="8"/>
  <c r="V147" i="8" s="1"/>
  <c r="X147" i="8" s="1"/>
  <c r="M146" i="8"/>
  <c r="M239" i="8"/>
  <c r="V239" i="8" s="1"/>
  <c r="X239" i="8" s="1"/>
  <c r="M263" i="8"/>
  <c r="V263" i="8" s="1"/>
  <c r="X263" i="8" s="1"/>
  <c r="M86" i="8"/>
  <c r="V86" i="8" s="1"/>
  <c r="X86" i="8" s="1"/>
  <c r="M142" i="8"/>
  <c r="M248" i="8"/>
  <c r="Y248" i="8" s="1"/>
  <c r="M257" i="8"/>
  <c r="V257" i="8" s="1"/>
  <c r="X257" i="8" s="1"/>
  <c r="M270" i="8"/>
  <c r="V270" i="8" s="1"/>
  <c r="X270" i="8" s="1"/>
  <c r="E73" i="7"/>
  <c r="I73" i="7" s="1"/>
  <c r="W94" i="3"/>
  <c r="X94" i="3" s="1"/>
  <c r="E160" i="7"/>
  <c r="I160" i="7" s="1"/>
  <c r="W219" i="3"/>
  <c r="X219" i="3" s="1"/>
  <c r="E219" i="7"/>
  <c r="I219" i="7" s="1"/>
  <c r="E222" i="7"/>
  <c r="I222" i="7" s="1"/>
  <c r="W242" i="3"/>
  <c r="X242" i="3" s="1"/>
  <c r="W257" i="3"/>
  <c r="X257" i="3" s="1"/>
  <c r="W283" i="3"/>
  <c r="X283" i="3" s="1"/>
  <c r="W299" i="3"/>
  <c r="X299" i="3" s="1"/>
  <c r="H182" i="6"/>
  <c r="H175" i="6"/>
  <c r="H174" i="6"/>
  <c r="H168" i="6"/>
  <c r="H160" i="6"/>
  <c r="H150" i="6"/>
  <c r="H239" i="6"/>
  <c r="H222" i="6"/>
  <c r="I287" i="7"/>
  <c r="H219" i="6"/>
  <c r="H231" i="6"/>
  <c r="H82" i="6"/>
  <c r="H98" i="6"/>
  <c r="H87" i="6"/>
  <c r="M174" i="8"/>
  <c r="V174" i="8" s="1"/>
  <c r="X174" i="8" s="1"/>
  <c r="M171" i="8"/>
  <c r="V171" i="8" s="1"/>
  <c r="X171" i="8" s="1"/>
  <c r="M222" i="8"/>
  <c r="V222" i="8" s="1"/>
  <c r="X222" i="8" s="1"/>
  <c r="M235" i="8"/>
  <c r="M238" i="8"/>
  <c r="V238" i="8" s="1"/>
  <c r="X238" i="8" s="1"/>
  <c r="M266" i="8"/>
  <c r="M287" i="8"/>
  <c r="V287" i="8" s="1"/>
  <c r="X287" i="8" s="1"/>
  <c r="M299" i="8"/>
  <c r="V299" i="8" s="1"/>
  <c r="X299" i="8" s="1"/>
  <c r="M216" i="8"/>
  <c r="M218" i="8"/>
  <c r="Y218" i="8" s="1"/>
  <c r="M247" i="8"/>
  <c r="M255" i="8"/>
  <c r="V255" i="8" s="1"/>
  <c r="X255" i="8" s="1"/>
  <c r="M268" i="8"/>
  <c r="J87" i="7"/>
  <c r="K87" i="7" s="1"/>
  <c r="W50" i="3"/>
  <c r="X50" i="3" s="1"/>
  <c r="W103" i="3"/>
  <c r="X103" i="3" s="1"/>
  <c r="E164" i="7"/>
  <c r="I164" i="7" s="1"/>
  <c r="E165" i="7"/>
  <c r="I165" i="7" s="1"/>
  <c r="E167" i="7"/>
  <c r="I167" i="7" s="1"/>
  <c r="E168" i="7"/>
  <c r="I168" i="7" s="1"/>
  <c r="W175" i="3"/>
  <c r="X175" i="3" s="1"/>
  <c r="E175" i="7"/>
  <c r="I175" i="7" s="1"/>
  <c r="W179" i="3"/>
  <c r="X179" i="3" s="1"/>
  <c r="I182" i="7"/>
  <c r="I255" i="7"/>
  <c r="W264" i="3"/>
  <c r="X264" i="3" s="1"/>
  <c r="W270" i="3"/>
  <c r="X270" i="3" s="1"/>
  <c r="G287" i="5"/>
  <c r="R63" i="3"/>
  <c r="E63" i="7"/>
  <c r="I63" i="7" s="1"/>
  <c r="G63" i="5"/>
  <c r="W63" i="3"/>
  <c r="X63" i="3" s="1"/>
  <c r="R64" i="3"/>
  <c r="W64" i="3"/>
  <c r="X64" i="3" s="1"/>
  <c r="R68" i="3"/>
  <c r="G68" i="5"/>
  <c r="R70" i="3"/>
  <c r="W70" i="3"/>
  <c r="X70" i="3" s="1"/>
  <c r="R71" i="3"/>
  <c r="W71" i="3"/>
  <c r="X71" i="3" s="1"/>
  <c r="G71" i="5"/>
  <c r="R72" i="3"/>
  <c r="G72" i="5"/>
  <c r="E72" i="7"/>
  <c r="I72" i="7" s="1"/>
  <c r="W72" i="3"/>
  <c r="X72" i="3" s="1"/>
  <c r="W192" i="3"/>
  <c r="X192" i="3" s="1"/>
  <c r="W208" i="3"/>
  <c r="X208" i="3" s="1"/>
  <c r="W235" i="3"/>
  <c r="X235" i="3" s="1"/>
  <c r="W255" i="3"/>
  <c r="X255" i="3" s="1"/>
  <c r="W268" i="3"/>
  <c r="X268" i="3" s="1"/>
  <c r="I269" i="7"/>
  <c r="W287" i="3"/>
  <c r="X287" i="3" s="1"/>
  <c r="I310" i="7"/>
  <c r="R61" i="3"/>
  <c r="W61" i="3"/>
  <c r="X61" i="3" s="1"/>
  <c r="E61" i="7"/>
  <c r="I61" i="7" s="1"/>
  <c r="R131" i="3"/>
  <c r="G131" i="5"/>
  <c r="W171" i="3"/>
  <c r="X171" i="3" s="1"/>
  <c r="W178" i="3"/>
  <c r="X178" i="3" s="1"/>
  <c r="W186" i="3"/>
  <c r="J186" i="7" s="1"/>
  <c r="K186" i="7" s="1"/>
  <c r="W211" i="3"/>
  <c r="X211" i="3" s="1"/>
  <c r="W226" i="3"/>
  <c r="X226" i="3" s="1"/>
  <c r="W230" i="3"/>
  <c r="X230" i="3" s="1"/>
  <c r="I241" i="7"/>
  <c r="W247" i="3"/>
  <c r="W263" i="3"/>
  <c r="X263" i="3" s="1"/>
  <c r="W265" i="3"/>
  <c r="X265" i="3" s="1"/>
  <c r="W267" i="3"/>
  <c r="X267" i="3" s="1"/>
  <c r="W291" i="3"/>
  <c r="X291" i="3" s="1"/>
  <c r="W39" i="3"/>
  <c r="X39" i="3" s="1"/>
  <c r="W54" i="3"/>
  <c r="W67" i="3"/>
  <c r="W76" i="3"/>
  <c r="W88" i="3"/>
  <c r="I98" i="7"/>
  <c r="W104" i="3"/>
  <c r="W105" i="3"/>
  <c r="X105" i="3" s="1"/>
  <c r="W136" i="3"/>
  <c r="X136" i="3" s="1"/>
  <c r="W138" i="3"/>
  <c r="W140" i="3"/>
  <c r="W143" i="3"/>
  <c r="X143" i="3" s="1"/>
  <c r="W146" i="3"/>
  <c r="X146" i="3" s="1"/>
  <c r="I162" i="7"/>
  <c r="I196" i="7"/>
  <c r="I199" i="7"/>
  <c r="I200" i="7"/>
  <c r="I223" i="7"/>
  <c r="I250" i="7"/>
  <c r="I251" i="7"/>
  <c r="I259" i="7"/>
  <c r="I260" i="7"/>
  <c r="I60" i="7"/>
  <c r="W65" i="3"/>
  <c r="I78" i="7"/>
  <c r="W86" i="3"/>
  <c r="X86" i="3" s="1"/>
  <c r="W93" i="3"/>
  <c r="X93" i="3" s="1"/>
  <c r="W98" i="3"/>
  <c r="X98" i="3" s="1"/>
  <c r="W100" i="3"/>
  <c r="X100" i="3" s="1"/>
  <c r="I119" i="7"/>
  <c r="I120" i="7"/>
  <c r="I121" i="7"/>
  <c r="I122" i="7"/>
  <c r="I129" i="7"/>
  <c r="I132" i="7"/>
  <c r="W150" i="3"/>
  <c r="X150" i="3" s="1"/>
  <c r="W157" i="3"/>
  <c r="X157" i="3" s="1"/>
  <c r="W164" i="3"/>
  <c r="X164" i="3" s="1"/>
  <c r="W165" i="3"/>
  <c r="X165" i="3" s="1"/>
  <c r="W167" i="3"/>
  <c r="X167" i="3" s="1"/>
  <c r="W168" i="3"/>
  <c r="X168" i="3" s="1"/>
  <c r="W172" i="3"/>
  <c r="X172" i="3" s="1"/>
  <c r="W174" i="3"/>
  <c r="X174" i="3" s="1"/>
  <c r="W189" i="3"/>
  <c r="X189" i="3" s="1"/>
  <c r="W215" i="3"/>
  <c r="X215" i="3" s="1"/>
  <c r="W216" i="3"/>
  <c r="X216" i="3" s="1"/>
  <c r="W218" i="3"/>
  <c r="X218" i="3" s="1"/>
  <c r="W222" i="3"/>
  <c r="X222" i="3" s="1"/>
  <c r="W223" i="3"/>
  <c r="X223" i="3" s="1"/>
  <c r="W227" i="3"/>
  <c r="X227" i="3" s="1"/>
  <c r="W231" i="3"/>
  <c r="X231" i="3" s="1"/>
  <c r="W238" i="3"/>
  <c r="X238" i="3" s="1"/>
  <c r="W248" i="3"/>
  <c r="X248" i="3" s="1"/>
  <c r="W250" i="3"/>
  <c r="X250" i="3" s="1"/>
  <c r="W252" i="3"/>
  <c r="X252" i="3" s="1"/>
  <c r="W259" i="3"/>
  <c r="X259" i="3" s="1"/>
  <c r="W261" i="3"/>
  <c r="X261" i="3" s="1"/>
  <c r="I309" i="7"/>
  <c r="J14" i="7"/>
  <c r="K14" i="7" s="1"/>
  <c r="J28" i="7"/>
  <c r="K28" i="7" s="1"/>
  <c r="J26" i="7"/>
  <c r="K26" i="7" s="1"/>
  <c r="J24" i="7"/>
  <c r="K24" i="7" s="1"/>
  <c r="J33" i="7"/>
  <c r="K33" i="7" s="1"/>
  <c r="N133" i="8"/>
  <c r="N126" i="8"/>
  <c r="N246" i="8"/>
  <c r="N97" i="8"/>
  <c r="N120" i="8"/>
  <c r="I236" i="6"/>
  <c r="N236" i="8"/>
  <c r="AI236" i="8" s="1"/>
  <c r="I201" i="6"/>
  <c r="I114" i="6"/>
  <c r="I106" i="6"/>
  <c r="N106" i="8"/>
  <c r="I62" i="6"/>
  <c r="N62" i="8"/>
  <c r="I53" i="6"/>
  <c r="N53" i="8"/>
  <c r="I99" i="6"/>
  <c r="N99" i="8"/>
  <c r="AP99" i="8" s="1"/>
  <c r="X33" i="3"/>
  <c r="R51" i="3"/>
  <c r="G51" i="5"/>
  <c r="E51" i="7"/>
  <c r="I51" i="7" s="1"/>
  <c r="W51" i="3"/>
  <c r="W109" i="3"/>
  <c r="E109" i="7"/>
  <c r="I109" i="7" s="1"/>
  <c r="W125" i="3"/>
  <c r="E125" i="7"/>
  <c r="I125" i="7" s="1"/>
  <c r="W134" i="3"/>
  <c r="E134" i="7"/>
  <c r="I134" i="7" s="1"/>
  <c r="R212" i="3"/>
  <c r="E212" i="7"/>
  <c r="I212" i="7" s="1"/>
  <c r="G212" i="5"/>
  <c r="R234" i="3"/>
  <c r="G234" i="5"/>
  <c r="E234" i="7"/>
  <c r="I234" i="7" s="1"/>
  <c r="G236" i="5"/>
  <c r="E236" i="7"/>
  <c r="I236" i="7" s="1"/>
  <c r="R153" i="3"/>
  <c r="G153" i="5"/>
  <c r="E153" i="7"/>
  <c r="I153" i="7" s="1"/>
  <c r="R169" i="3"/>
  <c r="G169" i="5"/>
  <c r="E169" i="7"/>
  <c r="I169" i="7" s="1"/>
  <c r="R185" i="3"/>
  <c r="G185" i="5"/>
  <c r="E185" i="7"/>
  <c r="I185" i="7" s="1"/>
  <c r="X12" i="3"/>
  <c r="X37" i="3"/>
  <c r="X30" i="3"/>
  <c r="X154" i="3"/>
  <c r="E77" i="7"/>
  <c r="I77" i="7" s="1"/>
  <c r="W77" i="3"/>
  <c r="E95" i="7"/>
  <c r="I95" i="7" s="1"/>
  <c r="W95" i="3"/>
  <c r="W117" i="3"/>
  <c r="E117" i="7"/>
  <c r="I117" i="7" s="1"/>
  <c r="E305" i="7"/>
  <c r="I305" i="7" s="1"/>
  <c r="G305" i="5"/>
  <c r="M305" i="8"/>
  <c r="V305" i="8" s="1"/>
  <c r="X305" i="8" s="1"/>
  <c r="G81" i="5"/>
  <c r="E81" i="7"/>
  <c r="I81" i="7" s="1"/>
  <c r="R145" i="3"/>
  <c r="E145" i="7"/>
  <c r="I145" i="7" s="1"/>
  <c r="G145" i="5"/>
  <c r="R161" i="3"/>
  <c r="G161" i="5"/>
  <c r="E161" i="7"/>
  <c r="I161" i="7" s="1"/>
  <c r="R177" i="3"/>
  <c r="G177" i="5"/>
  <c r="E177" i="7"/>
  <c r="I177" i="7" s="1"/>
  <c r="R193" i="3"/>
  <c r="G193" i="5"/>
  <c r="E193" i="7"/>
  <c r="I193" i="7" s="1"/>
  <c r="W153" i="3"/>
  <c r="W161" i="3"/>
  <c r="W169" i="3"/>
  <c r="X169" i="3" s="1"/>
  <c r="W177" i="3"/>
  <c r="X177" i="3" s="1"/>
  <c r="W185" i="3"/>
  <c r="X185" i="3" s="1"/>
  <c r="W193" i="3"/>
  <c r="X193" i="3" s="1"/>
  <c r="D84" i="2"/>
  <c r="W81" i="3"/>
  <c r="W145" i="3"/>
  <c r="X145" i="3" s="1"/>
  <c r="W212" i="3"/>
  <c r="W234" i="3"/>
  <c r="X234" i="3" s="1"/>
  <c r="W236" i="3"/>
  <c r="N205" i="8"/>
  <c r="N79" i="8"/>
  <c r="N225" i="8"/>
  <c r="P11" i="5"/>
  <c r="X158" i="3"/>
  <c r="X266" i="3"/>
  <c r="X253" i="3"/>
  <c r="R54" i="3"/>
  <c r="G54" i="5"/>
  <c r="R77" i="3"/>
  <c r="G77" i="5"/>
  <c r="R95" i="3"/>
  <c r="G95" i="5"/>
  <c r="R109" i="3"/>
  <c r="G109" i="5"/>
  <c r="R117" i="3"/>
  <c r="G117" i="5"/>
  <c r="R125" i="3"/>
  <c r="G125" i="5"/>
  <c r="R134" i="3"/>
  <c r="G134" i="5"/>
  <c r="R195" i="3"/>
  <c r="G195" i="5"/>
  <c r="R261" i="3"/>
  <c r="G261" i="5"/>
  <c r="R268" i="3"/>
  <c r="G268" i="5"/>
  <c r="Q271" i="3"/>
  <c r="V271" i="3"/>
  <c r="Q272" i="3"/>
  <c r="V272" i="3"/>
  <c r="Q275" i="3"/>
  <c r="V275" i="3"/>
  <c r="R304" i="3"/>
  <c r="G304" i="5"/>
  <c r="W304" i="3"/>
  <c r="Q307" i="3"/>
  <c r="V307" i="3"/>
  <c r="R308" i="3"/>
  <c r="G308" i="5"/>
  <c r="W308" i="3"/>
  <c r="R309" i="3"/>
  <c r="W309" i="3"/>
  <c r="Q303" i="3"/>
  <c r="M303" i="8" s="1"/>
  <c r="V303" i="3"/>
  <c r="R59" i="3"/>
  <c r="G59" i="5"/>
  <c r="R226" i="3"/>
  <c r="M226" i="8"/>
  <c r="R230" i="3"/>
  <c r="G230" i="5"/>
  <c r="R237" i="3"/>
  <c r="G237" i="5"/>
  <c r="R146" i="3"/>
  <c r="G146" i="5"/>
  <c r="R154" i="3"/>
  <c r="G154" i="5"/>
  <c r="R162" i="3"/>
  <c r="G162" i="5"/>
  <c r="R170" i="3"/>
  <c r="G170" i="5"/>
  <c r="R178" i="3"/>
  <c r="G178" i="5"/>
  <c r="R186" i="3"/>
  <c r="G186" i="5"/>
  <c r="Q278" i="3"/>
  <c r="V278" i="3"/>
  <c r="Q280" i="3"/>
  <c r="V280" i="3"/>
  <c r="Q282" i="3"/>
  <c r="V282" i="3"/>
  <c r="Q284" i="3"/>
  <c r="V284" i="3"/>
  <c r="Q286" i="3"/>
  <c r="V286" i="3"/>
  <c r="R288" i="3"/>
  <c r="G288" i="5"/>
  <c r="E288" i="7"/>
  <c r="I288" i="7" s="1"/>
  <c r="R289" i="3"/>
  <c r="E289" i="7"/>
  <c r="I289" i="7" s="1"/>
  <c r="E290" i="7"/>
  <c r="I290" i="7" s="1"/>
  <c r="Q292" i="3"/>
  <c r="V292" i="3"/>
  <c r="Q294" i="3"/>
  <c r="V294" i="3"/>
  <c r="Q296" i="3"/>
  <c r="V296" i="3"/>
  <c r="Q298" i="3"/>
  <c r="V298" i="3"/>
  <c r="Q300" i="3"/>
  <c r="V300" i="3"/>
  <c r="Q302" i="3"/>
  <c r="V302" i="3"/>
  <c r="R58" i="3"/>
  <c r="G58" i="5"/>
  <c r="R66" i="3"/>
  <c r="G66" i="5"/>
  <c r="R80" i="3"/>
  <c r="G80" i="5"/>
  <c r="R89" i="3"/>
  <c r="G89" i="5"/>
  <c r="R105" i="3"/>
  <c r="G105" i="5"/>
  <c r="R113" i="3"/>
  <c r="G113" i="5"/>
  <c r="R121" i="3"/>
  <c r="G121" i="5"/>
  <c r="R129" i="3"/>
  <c r="G129" i="5"/>
  <c r="R137" i="3"/>
  <c r="G137" i="5"/>
  <c r="R199" i="3"/>
  <c r="G199" i="5"/>
  <c r="R247" i="3"/>
  <c r="G247" i="5"/>
  <c r="R253" i="3"/>
  <c r="G253" i="5"/>
  <c r="R257" i="3"/>
  <c r="G257" i="5"/>
  <c r="R273" i="3"/>
  <c r="G273" i="5"/>
  <c r="W273" i="3"/>
  <c r="J273" i="7" s="1"/>
  <c r="K273" i="7" s="1"/>
  <c r="R305" i="3"/>
  <c r="W305" i="3"/>
  <c r="R50" i="3"/>
  <c r="M50" i="8"/>
  <c r="R52" i="3"/>
  <c r="M52" i="8"/>
  <c r="V52" i="8" s="1"/>
  <c r="X52" i="8" s="1"/>
  <c r="R100" i="3"/>
  <c r="M100" i="8"/>
  <c r="R102" i="3"/>
  <c r="M102" i="8"/>
  <c r="V102" i="8" s="1"/>
  <c r="X102" i="8" s="1"/>
  <c r="R209" i="3"/>
  <c r="G209" i="5"/>
  <c r="R215" i="3"/>
  <c r="G215" i="5"/>
  <c r="R217" i="3"/>
  <c r="G217" i="5"/>
  <c r="R219" i="3"/>
  <c r="G219" i="5"/>
  <c r="R221" i="3"/>
  <c r="M221" i="8"/>
  <c r="G221" i="5"/>
  <c r="R223" i="3"/>
  <c r="G223" i="5"/>
  <c r="R241" i="3"/>
  <c r="G241" i="5"/>
  <c r="R243" i="3"/>
  <c r="G243" i="5"/>
  <c r="R150" i="3"/>
  <c r="G150" i="5"/>
  <c r="R158" i="3"/>
  <c r="G158" i="5"/>
  <c r="R166" i="3"/>
  <c r="G166" i="5"/>
  <c r="R174" i="3"/>
  <c r="G174" i="5"/>
  <c r="R182" i="3"/>
  <c r="G182" i="5"/>
  <c r="R190" i="3"/>
  <c r="G190" i="5"/>
  <c r="X210" i="3"/>
  <c r="G196" i="5"/>
  <c r="G263" i="5"/>
  <c r="G267" i="5"/>
  <c r="G56" i="5"/>
  <c r="G64" i="5"/>
  <c r="W288" i="3"/>
  <c r="W289" i="3"/>
  <c r="X46" i="3"/>
  <c r="X47" i="3"/>
  <c r="X48" i="3"/>
  <c r="X139" i="3"/>
  <c r="R82" i="3"/>
  <c r="M82" i="8"/>
  <c r="Y82" i="8" s="1"/>
  <c r="R90" i="3"/>
  <c r="M90" i="8"/>
  <c r="V90" i="8" s="1"/>
  <c r="X90" i="8" s="1"/>
  <c r="R94" i="3"/>
  <c r="M94" i="8"/>
  <c r="R96" i="3"/>
  <c r="M96" i="8"/>
  <c r="V96" i="8" s="1"/>
  <c r="X96" i="8" s="1"/>
  <c r="R98" i="3"/>
  <c r="M98" i="8"/>
  <c r="R232" i="3"/>
  <c r="M232" i="8"/>
  <c r="R74" i="3"/>
  <c r="M74" i="8"/>
  <c r="V74" i="8" s="1"/>
  <c r="X74" i="8" s="1"/>
  <c r="R78" i="3"/>
  <c r="M78" i="8"/>
  <c r="R136" i="3"/>
  <c r="M136" i="8"/>
  <c r="Y136" i="8" s="1"/>
  <c r="X35" i="3"/>
  <c r="AP251" i="8" l="1"/>
  <c r="AR46" i="8"/>
  <c r="AS46" i="8" s="1"/>
  <c r="AT46" i="8" s="1"/>
  <c r="AU46" i="8" s="1"/>
  <c r="AC175" i="8"/>
  <c r="AD175" i="8" s="1"/>
  <c r="Z175" i="4" s="1"/>
  <c r="AA265" i="8"/>
  <c r="AB265" i="8" s="1"/>
  <c r="AE265" i="8" s="1"/>
  <c r="AF265" i="8" s="1"/>
  <c r="AA265" i="4" s="1"/>
  <c r="AP119" i="8"/>
  <c r="AQ148" i="8"/>
  <c r="W81" i="8"/>
  <c r="Y81" i="8" s="1"/>
  <c r="Z81" i="8" s="1"/>
  <c r="Z72" i="8"/>
  <c r="Z48" i="8"/>
  <c r="AA48" i="8" s="1"/>
  <c r="AB48" i="8" s="1"/>
  <c r="T208" i="8"/>
  <c r="T272" i="8"/>
  <c r="T149" i="8"/>
  <c r="T195" i="8"/>
  <c r="T221" i="8"/>
  <c r="T134" i="8"/>
  <c r="T163" i="8"/>
  <c r="T112" i="8"/>
  <c r="T12" i="8"/>
  <c r="Z134" i="8"/>
  <c r="AQ180" i="8"/>
  <c r="T171" i="8"/>
  <c r="T57" i="8"/>
  <c r="T77" i="8"/>
  <c r="T53" i="8"/>
  <c r="T235" i="8"/>
  <c r="AA37" i="8"/>
  <c r="AB37" i="8" s="1"/>
  <c r="Z249" i="8"/>
  <c r="AP293" i="8"/>
  <c r="AP285" i="8"/>
  <c r="AR285" i="8" s="1"/>
  <c r="AS285" i="8" s="1"/>
  <c r="AT285" i="8" s="1"/>
  <c r="AU285" i="8" s="1"/>
  <c r="AC285" i="4" s="1"/>
  <c r="AQ248" i="8"/>
  <c r="AA132" i="8"/>
  <c r="AB132" i="8" s="1"/>
  <c r="AL48" i="8"/>
  <c r="AM48" i="8" s="1"/>
  <c r="AN48" i="8" s="1"/>
  <c r="AO48" i="8" s="1"/>
  <c r="AB48" i="4" s="1"/>
  <c r="T64" i="8"/>
  <c r="T65" i="8"/>
  <c r="T191" i="8"/>
  <c r="T270" i="8"/>
  <c r="T291" i="8"/>
  <c r="T184" i="8"/>
  <c r="AA184" i="8" s="1"/>
  <c r="AB184" i="8" s="1"/>
  <c r="AJ45" i="8"/>
  <c r="AE130" i="8"/>
  <c r="AF130" i="8" s="1"/>
  <c r="AA130" i="4" s="1"/>
  <c r="AP176" i="8"/>
  <c r="AR176" i="8" s="1"/>
  <c r="AS176" i="8" s="1"/>
  <c r="AT176" i="8" s="1"/>
  <c r="AU176" i="8" s="1"/>
  <c r="AC176" i="4" s="1"/>
  <c r="Z21" i="8"/>
  <c r="AA21" i="8" s="1"/>
  <c r="AB21" i="8" s="1"/>
  <c r="T56" i="8"/>
  <c r="T58" i="8"/>
  <c r="T113" i="8"/>
  <c r="T111" i="8"/>
  <c r="T178" i="8"/>
  <c r="T127" i="8"/>
  <c r="V136" i="8"/>
  <c r="X136" i="8" s="1"/>
  <c r="AP139" i="8"/>
  <c r="AR139" i="8" s="1"/>
  <c r="AS139" i="8" s="1"/>
  <c r="AT139" i="8" s="1"/>
  <c r="AU139" i="8" s="1"/>
  <c r="AC139" i="4" s="1"/>
  <c r="AA153" i="8"/>
  <c r="AB153" i="8" s="1"/>
  <c r="AC153" i="8" s="1"/>
  <c r="AD153" i="8" s="1"/>
  <c r="Z153" i="4" s="1"/>
  <c r="T238" i="8"/>
  <c r="T63" i="8"/>
  <c r="T48" i="8"/>
  <c r="T288" i="8"/>
  <c r="AA288" i="8" s="1"/>
  <c r="AB288" i="8" s="1"/>
  <c r="T153" i="8"/>
  <c r="Z269" i="8"/>
  <c r="Y226" i="8"/>
  <c r="J31" i="7"/>
  <c r="K31" i="7" s="1"/>
  <c r="AP118" i="8"/>
  <c r="AA36" i="8"/>
  <c r="AB36" i="8" s="1"/>
  <c r="AK144" i="8"/>
  <c r="J41" i="7"/>
  <c r="K41" i="7" s="1"/>
  <c r="AR119" i="8"/>
  <c r="AS119" i="8" s="1"/>
  <c r="AT119" i="8" s="1"/>
  <c r="AU119" i="8" s="1"/>
  <c r="AC119" i="4" s="1"/>
  <c r="T310" i="8"/>
  <c r="T284" i="8"/>
  <c r="T257" i="8"/>
  <c r="T240" i="8"/>
  <c r="T107" i="8"/>
  <c r="Z36" i="8"/>
  <c r="N60" i="8"/>
  <c r="I43" i="7"/>
  <c r="AK176" i="8"/>
  <c r="V248" i="8"/>
  <c r="X248" i="8" s="1"/>
  <c r="Z248" i="8" s="1"/>
  <c r="AA248" i="8" s="1"/>
  <c r="AB248" i="8" s="1"/>
  <c r="J36" i="7"/>
  <c r="K36" i="7" s="1"/>
  <c r="T167" i="8"/>
  <c r="T258" i="8"/>
  <c r="T132" i="8"/>
  <c r="AA113" i="8"/>
  <c r="AB113" i="8" s="1"/>
  <c r="AJ213" i="8"/>
  <c r="AQ293" i="8"/>
  <c r="AR293" i="8" s="1"/>
  <c r="AS293" i="8" s="1"/>
  <c r="AT293" i="8" s="1"/>
  <c r="AU293" i="8" s="1"/>
  <c r="AC293" i="4" s="1"/>
  <c r="I266" i="6"/>
  <c r="AP240" i="8"/>
  <c r="Y196" i="8"/>
  <c r="Z196" i="8" s="1"/>
  <c r="AA196" i="8" s="1"/>
  <c r="AB196" i="8" s="1"/>
  <c r="Y229" i="8"/>
  <c r="T76" i="8"/>
  <c r="T251" i="8"/>
  <c r="T89" i="8"/>
  <c r="T218" i="8"/>
  <c r="T179" i="8"/>
  <c r="Y87" i="8"/>
  <c r="AP148" i="8"/>
  <c r="AP206" i="8"/>
  <c r="AR206" i="8" s="1"/>
  <c r="AS206" i="8" s="1"/>
  <c r="AT206" i="8" s="1"/>
  <c r="AU206" i="8" s="1"/>
  <c r="AC206" i="4" s="1"/>
  <c r="T205" i="8"/>
  <c r="AP46" i="8"/>
  <c r="T216" i="8"/>
  <c r="T92" i="8"/>
  <c r="T230" i="8"/>
  <c r="T274" i="8"/>
  <c r="T296" i="8"/>
  <c r="T30" i="8"/>
  <c r="AE13" i="8"/>
  <c r="AF13" i="8" s="1"/>
  <c r="AA13" i="4" s="1"/>
  <c r="AC13" i="8"/>
  <c r="AD13" i="8" s="1"/>
  <c r="Z13" i="4" s="1"/>
  <c r="AR123" i="8"/>
  <c r="AS123" i="8" s="1"/>
  <c r="AT123" i="8" s="1"/>
  <c r="AU123" i="8" s="1"/>
  <c r="AC123" i="4" s="1"/>
  <c r="AE31" i="8"/>
  <c r="AF31" i="8" s="1"/>
  <c r="AA31" i="4" s="1"/>
  <c r="AC31" i="8"/>
  <c r="AD31" i="8" s="1"/>
  <c r="Z31" i="4" s="1"/>
  <c r="AA120" i="8"/>
  <c r="AB120" i="8" s="1"/>
  <c r="AL297" i="8"/>
  <c r="AM297" i="8" s="1"/>
  <c r="AN297" i="8" s="1"/>
  <c r="AO297" i="8" s="1"/>
  <c r="AB297" i="4" s="1"/>
  <c r="AA25" i="8"/>
  <c r="AB25" i="8" s="1"/>
  <c r="AE25" i="8" s="1"/>
  <c r="AF25" i="8" s="1"/>
  <c r="AA25" i="4" s="1"/>
  <c r="W29" i="8"/>
  <c r="Y29" i="8" s="1"/>
  <c r="Z29" i="8" s="1"/>
  <c r="X46" i="8"/>
  <c r="W18" i="8"/>
  <c r="Y18" i="8" s="1"/>
  <c r="Z18" i="8" s="1"/>
  <c r="T79" i="8"/>
  <c r="T101" i="8"/>
  <c r="T23" i="8"/>
  <c r="AA23" i="8" s="1"/>
  <c r="AB23" i="8" s="1"/>
  <c r="Z11" i="8"/>
  <c r="AA11" i="8" s="1"/>
  <c r="AB11" i="8" s="1"/>
  <c r="T280" i="8"/>
  <c r="T86" i="8"/>
  <c r="T157" i="8"/>
  <c r="G290" i="5"/>
  <c r="Z156" i="8"/>
  <c r="AA156" i="8" s="1"/>
  <c r="AB156" i="8" s="1"/>
  <c r="V78" i="8"/>
  <c r="X78" i="8" s="1"/>
  <c r="N87" i="8"/>
  <c r="AP87" i="8" s="1"/>
  <c r="AK24" i="8"/>
  <c r="AL24" i="8" s="1"/>
  <c r="AM24" i="8" s="1"/>
  <c r="AN24" i="8" s="1"/>
  <c r="AO24" i="8" s="1"/>
  <c r="AB24" i="4" s="1"/>
  <c r="AL213" i="8"/>
  <c r="AM213" i="8" s="1"/>
  <c r="AN213" i="8" s="1"/>
  <c r="AO213" i="8" s="1"/>
  <c r="AB213" i="4" s="1"/>
  <c r="AJ240" i="8"/>
  <c r="AP115" i="8"/>
  <c r="AP224" i="8"/>
  <c r="W17" i="8"/>
  <c r="Y17" i="8" s="1"/>
  <c r="V17" i="8"/>
  <c r="X17" i="8" s="1"/>
  <c r="AQ23" i="8"/>
  <c r="AR23" i="8" s="1"/>
  <c r="AS23" i="8" s="1"/>
  <c r="AT23" i="8" s="1"/>
  <c r="AU23" i="8" s="1"/>
  <c r="AC23" i="4" s="1"/>
  <c r="T88" i="8"/>
  <c r="T283" i="8"/>
  <c r="T152" i="8"/>
  <c r="T35" i="8"/>
  <c r="AA35" i="8" s="1"/>
  <c r="AB35" i="8" s="1"/>
  <c r="AA140" i="8"/>
  <c r="AB140" i="8" s="1"/>
  <c r="Z16" i="8"/>
  <c r="AA16" i="8" s="1"/>
  <c r="AB16" i="8" s="1"/>
  <c r="V82" i="8"/>
  <c r="X82" i="8" s="1"/>
  <c r="AK240" i="8"/>
  <c r="Y170" i="8"/>
  <c r="Z170" i="8" s="1"/>
  <c r="AA170" i="8" s="1"/>
  <c r="AB170" i="8" s="1"/>
  <c r="AC170" i="8" s="1"/>
  <c r="AD170" i="8" s="1"/>
  <c r="Z170" i="4" s="1"/>
  <c r="AJ224" i="8"/>
  <c r="AA59" i="8"/>
  <c r="AB59" i="8" s="1"/>
  <c r="Z179" i="8"/>
  <c r="AA179" i="8" s="1"/>
  <c r="AB179" i="8" s="1"/>
  <c r="AE179" i="8" s="1"/>
  <c r="AF179" i="8" s="1"/>
  <c r="AA179" i="4" s="1"/>
  <c r="AP144" i="8"/>
  <c r="AR144" i="8" s="1"/>
  <c r="AS144" i="8" s="1"/>
  <c r="AT144" i="8" s="1"/>
  <c r="AU144" i="8" s="1"/>
  <c r="AC144" i="4" s="1"/>
  <c r="AQ48" i="8"/>
  <c r="AR48" i="8" s="1"/>
  <c r="AS48" i="8" s="1"/>
  <c r="AT48" i="8" s="1"/>
  <c r="AU48" i="8" s="1"/>
  <c r="AC48" i="4" s="1"/>
  <c r="T209" i="8"/>
  <c r="T229" i="8"/>
  <c r="T307" i="8"/>
  <c r="T42" i="8"/>
  <c r="T290" i="8"/>
  <c r="N138" i="8"/>
  <c r="J25" i="7"/>
  <c r="K25" i="7" s="1"/>
  <c r="AK28" i="8"/>
  <c r="AE153" i="8"/>
  <c r="AF153" i="8" s="1"/>
  <c r="AA153" i="4" s="1"/>
  <c r="AP180" i="8"/>
  <c r="AR180" i="8" s="1"/>
  <c r="AS180" i="8" s="1"/>
  <c r="AT180" i="8" s="1"/>
  <c r="AU180" i="8" s="1"/>
  <c r="AC180" i="4" s="1"/>
  <c r="Y111" i="8"/>
  <c r="Z111" i="8" s="1"/>
  <c r="AA111" i="8" s="1"/>
  <c r="AB111" i="8" s="1"/>
  <c r="AC111" i="8" s="1"/>
  <c r="AD111" i="8" s="1"/>
  <c r="Z111" i="4" s="1"/>
  <c r="AJ151" i="8"/>
  <c r="AL151" i="8" s="1"/>
  <c r="AM151" i="8" s="1"/>
  <c r="AN151" i="8" s="1"/>
  <c r="AO151" i="8" s="1"/>
  <c r="AB151" i="4" s="1"/>
  <c r="AP123" i="8"/>
  <c r="W46" i="8"/>
  <c r="Y46" i="8" s="1"/>
  <c r="T73" i="8"/>
  <c r="T61" i="8"/>
  <c r="T91" i="8"/>
  <c r="T159" i="8"/>
  <c r="T80" i="8"/>
  <c r="W26" i="8"/>
  <c r="Y26" i="8" s="1"/>
  <c r="Z26" i="8" s="1"/>
  <c r="AA26" i="8" s="1"/>
  <c r="AB26" i="8" s="1"/>
  <c r="T28" i="8"/>
  <c r="AA28" i="8" s="1"/>
  <c r="AB28" i="8" s="1"/>
  <c r="T207" i="8"/>
  <c r="T185" i="8"/>
  <c r="T250" i="8"/>
  <c r="Z47" i="8"/>
  <c r="AA47" i="8" s="1"/>
  <c r="AB47" i="8" s="1"/>
  <c r="T72" i="8"/>
  <c r="J170" i="7"/>
  <c r="K170" i="7" s="1"/>
  <c r="AP164" i="8"/>
  <c r="AR164" i="8" s="1"/>
  <c r="AS164" i="8" s="1"/>
  <c r="AT164" i="8" s="1"/>
  <c r="AU164" i="8" s="1"/>
  <c r="AC164" i="4" s="1"/>
  <c r="V199" i="8"/>
  <c r="X199" i="8" s="1"/>
  <c r="AJ293" i="8"/>
  <c r="AK297" i="8"/>
  <c r="AJ123" i="8"/>
  <c r="AJ173" i="8"/>
  <c r="AL173" i="8" s="1"/>
  <c r="AM173" i="8" s="1"/>
  <c r="AN173" i="8" s="1"/>
  <c r="AO173" i="8" s="1"/>
  <c r="AB173" i="4" s="1"/>
  <c r="T254" i="8"/>
  <c r="AA254" i="8" s="1"/>
  <c r="AB254" i="8" s="1"/>
  <c r="T304" i="8"/>
  <c r="T246" i="8"/>
  <c r="AA246" i="8" s="1"/>
  <c r="AB246" i="8" s="1"/>
  <c r="T237" i="8"/>
  <c r="AA237" i="8" s="1"/>
  <c r="AB237" i="8" s="1"/>
  <c r="T41" i="8"/>
  <c r="T192" i="8"/>
  <c r="T268" i="8"/>
  <c r="T200" i="8"/>
  <c r="AA200" i="8" s="1"/>
  <c r="AB200" i="8" s="1"/>
  <c r="AE200" i="8" s="1"/>
  <c r="AF200" i="8" s="1"/>
  <c r="AA200" i="4" s="1"/>
  <c r="Y227" i="8"/>
  <c r="J13" i="7"/>
  <c r="K13" i="7" s="1"/>
  <c r="AP127" i="8"/>
  <c r="AR127" i="8" s="1"/>
  <c r="AS127" i="8" s="1"/>
  <c r="AT127" i="8" s="1"/>
  <c r="AU127" i="8" s="1"/>
  <c r="AC127" i="4" s="1"/>
  <c r="AP281" i="8"/>
  <c r="AK123" i="8"/>
  <c r="AL123" i="8" s="1"/>
  <c r="AM123" i="8" s="1"/>
  <c r="AN123" i="8" s="1"/>
  <c r="AO123" i="8" s="1"/>
  <c r="AB123" i="4" s="1"/>
  <c r="AP173" i="8"/>
  <c r="AR173" i="8" s="1"/>
  <c r="AS173" i="8" s="1"/>
  <c r="AT173" i="8" s="1"/>
  <c r="AU173" i="8" s="1"/>
  <c r="AC173" i="4" s="1"/>
  <c r="AQ19" i="8"/>
  <c r="AR19" i="8" s="1"/>
  <c r="AS19" i="8" s="1"/>
  <c r="AT19" i="8" s="1"/>
  <c r="AU19" i="8" s="1"/>
  <c r="AC19" i="4" s="1"/>
  <c r="T17" i="8"/>
  <c r="T85" i="8"/>
  <c r="T173" i="8"/>
  <c r="T95" i="8"/>
  <c r="AA95" i="8" s="1"/>
  <c r="AB95" i="8" s="1"/>
  <c r="Y98" i="8"/>
  <c r="J187" i="7"/>
  <c r="K187" i="7" s="1"/>
  <c r="AJ26" i="8"/>
  <c r="AK119" i="8"/>
  <c r="Z187" i="8"/>
  <c r="AA187" i="8" s="1"/>
  <c r="AB187" i="8" s="1"/>
  <c r="AE187" i="8" s="1"/>
  <c r="AF187" i="8" s="1"/>
  <c r="AA187" i="4" s="1"/>
  <c r="AJ281" i="8"/>
  <c r="AQ183" i="8"/>
  <c r="AJ183" i="8"/>
  <c r="AL183" i="8" s="1"/>
  <c r="AM183" i="8" s="1"/>
  <c r="AN183" i="8" s="1"/>
  <c r="AO183" i="8" s="1"/>
  <c r="AB183" i="4" s="1"/>
  <c r="AP43" i="8"/>
  <c r="AP228" i="8"/>
  <c r="T227" i="8"/>
  <c r="T119" i="8"/>
  <c r="AA119" i="8" s="1"/>
  <c r="AB119" i="8" s="1"/>
  <c r="T287" i="8"/>
  <c r="T22" i="8"/>
  <c r="AA22" i="8" s="1"/>
  <c r="AB22" i="8" s="1"/>
  <c r="T154" i="8"/>
  <c r="T297" i="8"/>
  <c r="AQ115" i="8"/>
  <c r="T69" i="8"/>
  <c r="T177" i="8"/>
  <c r="T301" i="8"/>
  <c r="T217" i="8"/>
  <c r="T40" i="8"/>
  <c r="AA40" i="8" s="1"/>
  <c r="AB40" i="8" s="1"/>
  <c r="T279" i="8"/>
  <c r="AA279" i="8" s="1"/>
  <c r="AB279" i="8" s="1"/>
  <c r="N88" i="8"/>
  <c r="AI88" i="8" s="1"/>
  <c r="AQ88" i="8" s="1"/>
  <c r="Z211" i="8"/>
  <c r="AA211" i="8" s="1"/>
  <c r="AB211" i="8" s="1"/>
  <c r="AK293" i="8"/>
  <c r="AL293" i="8" s="1"/>
  <c r="AM293" i="8" s="1"/>
  <c r="AN293" i="8" s="1"/>
  <c r="AO293" i="8" s="1"/>
  <c r="AB293" i="4" s="1"/>
  <c r="AA234" i="8"/>
  <c r="AB234" i="8" s="1"/>
  <c r="AQ151" i="8"/>
  <c r="T142" i="8"/>
  <c r="T219" i="8"/>
  <c r="AA219" i="8" s="1"/>
  <c r="AB219" i="8" s="1"/>
  <c r="T281" i="8"/>
  <c r="T18" i="8"/>
  <c r="AQ30" i="8"/>
  <c r="AR30" i="8" s="1"/>
  <c r="AS30" i="8" s="1"/>
  <c r="AT30" i="8" s="1"/>
  <c r="AU30" i="8" s="1"/>
  <c r="AC30" i="4" s="1"/>
  <c r="T122" i="8"/>
  <c r="T148" i="8"/>
  <c r="T223" i="8"/>
  <c r="T241" i="8"/>
  <c r="T182" i="8"/>
  <c r="T305" i="8"/>
  <c r="T231" i="8"/>
  <c r="T39" i="8"/>
  <c r="I31" i="2"/>
  <c r="AJ164" i="8"/>
  <c r="AL164" i="8" s="1"/>
  <c r="AM164" i="8" s="1"/>
  <c r="AN164" i="8" s="1"/>
  <c r="AO164" i="8" s="1"/>
  <c r="AB164" i="4" s="1"/>
  <c r="AJ115" i="8"/>
  <c r="AL115" i="8" s="1"/>
  <c r="AM115" i="8" s="1"/>
  <c r="AN115" i="8" s="1"/>
  <c r="AO115" i="8" s="1"/>
  <c r="AB115" i="4" s="1"/>
  <c r="AJ75" i="8"/>
  <c r="AJ191" i="8"/>
  <c r="AL191" i="8" s="1"/>
  <c r="AM191" i="8" s="1"/>
  <c r="AN191" i="8" s="1"/>
  <c r="AO191" i="8" s="1"/>
  <c r="AB191" i="4" s="1"/>
  <c r="AJ206" i="8"/>
  <c r="AL206" i="8" s="1"/>
  <c r="AM206" i="8" s="1"/>
  <c r="AN206" i="8" s="1"/>
  <c r="AO206" i="8" s="1"/>
  <c r="AB206" i="4" s="1"/>
  <c r="AJ127" i="8"/>
  <c r="AL127" i="8" s="1"/>
  <c r="AM127" i="8" s="1"/>
  <c r="AN127" i="8" s="1"/>
  <c r="AO127" i="8" s="1"/>
  <c r="AB127" i="4" s="1"/>
  <c r="AJ119" i="8"/>
  <c r="AJ155" i="8"/>
  <c r="AJ46" i="8"/>
  <c r="AL46" i="8" s="1"/>
  <c r="AM46" i="8" s="1"/>
  <c r="AN46" i="8" s="1"/>
  <c r="AO46" i="8" s="1"/>
  <c r="AJ139" i="8"/>
  <c r="AP26" i="8"/>
  <c r="AP297" i="8"/>
  <c r="AR297" i="8" s="1"/>
  <c r="AS297" i="8" s="1"/>
  <c r="AT297" i="8" s="1"/>
  <c r="AU297" i="8" s="1"/>
  <c r="AC297" i="4" s="1"/>
  <c r="Z283" i="8"/>
  <c r="AA283" i="8" s="1"/>
  <c r="AB283" i="8" s="1"/>
  <c r="AJ277" i="8"/>
  <c r="AJ43" i="8"/>
  <c r="AL43" i="8" s="1"/>
  <c r="AM43" i="8" s="1"/>
  <c r="AN43" i="8" s="1"/>
  <c r="AO43" i="8" s="1"/>
  <c r="AB43" i="4" s="1"/>
  <c r="AP183" i="8"/>
  <c r="AJ176" i="8"/>
  <c r="AL176" i="8" s="1"/>
  <c r="AM176" i="8" s="1"/>
  <c r="AN176" i="8" s="1"/>
  <c r="AO176" i="8" s="1"/>
  <c r="AB176" i="4" s="1"/>
  <c r="T29" i="8"/>
  <c r="T100" i="8"/>
  <c r="T125" i="8"/>
  <c r="T114" i="8"/>
  <c r="J106" i="7"/>
  <c r="K106" i="7" s="1"/>
  <c r="AA122" i="8"/>
  <c r="AB122" i="8" s="1"/>
  <c r="AE122" i="8" s="1"/>
  <c r="AF122" i="8" s="1"/>
  <c r="AA122" i="4" s="1"/>
  <c r="AP155" i="8"/>
  <c r="AR155" i="8" s="1"/>
  <c r="AS155" i="8" s="1"/>
  <c r="AT155" i="8" s="1"/>
  <c r="AU155" i="8" s="1"/>
  <c r="AC155" i="4" s="1"/>
  <c r="AK139" i="8"/>
  <c r="AJ148" i="8"/>
  <c r="AL148" i="8" s="1"/>
  <c r="AM148" i="8" s="1"/>
  <c r="AN148" i="8" s="1"/>
  <c r="AO148" i="8" s="1"/>
  <c r="AB148" i="4" s="1"/>
  <c r="AP191" i="8"/>
  <c r="AR191" i="8" s="1"/>
  <c r="AS191" i="8" s="1"/>
  <c r="AT191" i="8" s="1"/>
  <c r="AU191" i="8" s="1"/>
  <c r="AC191" i="4" s="1"/>
  <c r="T242" i="8"/>
  <c r="T247" i="8"/>
  <c r="T273" i="8"/>
  <c r="T14" i="8"/>
  <c r="T19" i="8"/>
  <c r="AA19" i="8" s="1"/>
  <c r="AB19" i="8" s="1"/>
  <c r="T202" i="8"/>
  <c r="T161" i="8"/>
  <c r="AA161" i="8" s="1"/>
  <c r="AB161" i="8" s="1"/>
  <c r="T158" i="8"/>
  <c r="T117" i="8"/>
  <c r="T286" i="8"/>
  <c r="T260" i="8"/>
  <c r="Y94" i="8"/>
  <c r="V229" i="8"/>
  <c r="X229" i="8" s="1"/>
  <c r="AQ43" i="8"/>
  <c r="AR43" i="8" s="1"/>
  <c r="AS43" i="8" s="1"/>
  <c r="AT43" i="8" s="1"/>
  <c r="AU43" i="8" s="1"/>
  <c r="AC43" i="4" s="1"/>
  <c r="AA15" i="8"/>
  <c r="AB15" i="8" s="1"/>
  <c r="AA138" i="8"/>
  <c r="AB138" i="8" s="1"/>
  <c r="AP277" i="8"/>
  <c r="AA73" i="8"/>
  <c r="AB73" i="8" s="1"/>
  <c r="AJ285" i="8"/>
  <c r="AL285" i="8" s="1"/>
  <c r="AM285" i="8" s="1"/>
  <c r="AN285" i="8" s="1"/>
  <c r="AO285" i="8" s="1"/>
  <c r="AB285" i="4" s="1"/>
  <c r="AJ144" i="8"/>
  <c r="T96" i="8"/>
  <c r="T172" i="8"/>
  <c r="AA172" i="8" s="1"/>
  <c r="AB172" i="8" s="1"/>
  <c r="T222" i="8"/>
  <c r="T123" i="8"/>
  <c r="AA269" i="8"/>
  <c r="AB269" i="8" s="1"/>
  <c r="T165" i="8"/>
  <c r="Z30" i="8"/>
  <c r="AA30" i="8" s="1"/>
  <c r="AB30" i="8" s="1"/>
  <c r="H290" i="6"/>
  <c r="M290" i="8"/>
  <c r="R290" i="3"/>
  <c r="X310" i="8"/>
  <c r="Z310" i="8" s="1"/>
  <c r="AA310" i="8" s="1"/>
  <c r="AB310" i="8" s="1"/>
  <c r="AJ228" i="8"/>
  <c r="AA191" i="8"/>
  <c r="AB191" i="8" s="1"/>
  <c r="AL155" i="8"/>
  <c r="AM155" i="8" s="1"/>
  <c r="AN155" i="8" s="1"/>
  <c r="AO155" i="8" s="1"/>
  <c r="AB155" i="4" s="1"/>
  <c r="Z251" i="8"/>
  <c r="AP75" i="8"/>
  <c r="AR75" i="8" s="1"/>
  <c r="AS75" i="8" s="1"/>
  <c r="AT75" i="8" s="1"/>
  <c r="AU75" i="8" s="1"/>
  <c r="AC75" i="4" s="1"/>
  <c r="AL75" i="8"/>
  <c r="AM75" i="8" s="1"/>
  <c r="AN75" i="8" s="1"/>
  <c r="AO75" i="8" s="1"/>
  <c r="AB75" i="4" s="1"/>
  <c r="Y60" i="8"/>
  <c r="Z60" i="8" s="1"/>
  <c r="AA60" i="8" s="1"/>
  <c r="AB60" i="8" s="1"/>
  <c r="AE60" i="8" s="1"/>
  <c r="AF60" i="8" s="1"/>
  <c r="AA60" i="4" s="1"/>
  <c r="AP213" i="8"/>
  <c r="AR213" i="8" s="1"/>
  <c r="AS213" i="8" s="1"/>
  <c r="AT213" i="8" s="1"/>
  <c r="AU213" i="8" s="1"/>
  <c r="AC213" i="4" s="1"/>
  <c r="AJ180" i="8"/>
  <c r="AL180" i="8" s="1"/>
  <c r="AM180" i="8" s="1"/>
  <c r="AN180" i="8" s="1"/>
  <c r="AO180" i="8" s="1"/>
  <c r="AB180" i="4" s="1"/>
  <c r="T90" i="8"/>
  <c r="AQ35" i="8"/>
  <c r="AR35" i="8" s="1"/>
  <c r="AS35" i="8" s="1"/>
  <c r="AT35" i="8" s="1"/>
  <c r="AU35" i="8" s="1"/>
  <c r="AC35" i="4" s="1"/>
  <c r="T308" i="8"/>
  <c r="AA308" i="8" s="1"/>
  <c r="AB308" i="8" s="1"/>
  <c r="AC308" i="8" s="1"/>
  <c r="AD308" i="8" s="1"/>
  <c r="Z308" i="4" s="1"/>
  <c r="T226" i="8"/>
  <c r="T176" i="8"/>
  <c r="T282" i="8"/>
  <c r="T212" i="8"/>
  <c r="T169" i="8"/>
  <c r="AA169" i="8" s="1"/>
  <c r="AB169" i="8" s="1"/>
  <c r="Z12" i="8"/>
  <c r="AA12" i="8" s="1"/>
  <c r="AB12" i="8" s="1"/>
  <c r="J304" i="7"/>
  <c r="K304" i="7" s="1"/>
  <c r="Z233" i="8"/>
  <c r="AA233" i="8" s="1"/>
  <c r="AB233" i="8" s="1"/>
  <c r="Y92" i="8"/>
  <c r="Z92" i="8" s="1"/>
  <c r="AA92" i="8" s="1"/>
  <c r="AB92" i="8" s="1"/>
  <c r="AP151" i="8"/>
  <c r="T43" i="8"/>
  <c r="AR12" i="8"/>
  <c r="AS12" i="8" s="1"/>
  <c r="AT12" i="8" s="1"/>
  <c r="AU12" i="8" s="1"/>
  <c r="AC12" i="4" s="1"/>
  <c r="V103" i="8"/>
  <c r="X103" i="8" s="1"/>
  <c r="W103" i="8"/>
  <c r="Y103" i="8" s="1"/>
  <c r="AK15" i="8"/>
  <c r="AL15" i="8" s="1"/>
  <c r="AM15" i="8" s="1"/>
  <c r="AN15" i="8" s="1"/>
  <c r="AO15" i="8" s="1"/>
  <c r="AB15" i="4" s="1"/>
  <c r="T299" i="8"/>
  <c r="T201" i="8"/>
  <c r="T143" i="8"/>
  <c r="T243" i="8"/>
  <c r="T213" i="8"/>
  <c r="T81" i="8"/>
  <c r="AA81" i="8" s="1"/>
  <c r="AB81" i="8" s="1"/>
  <c r="T180" i="8"/>
  <c r="AA180" i="8" s="1"/>
  <c r="AB180" i="8" s="1"/>
  <c r="T271" i="8"/>
  <c r="T105" i="8"/>
  <c r="T186" i="8"/>
  <c r="Z166" i="8"/>
  <c r="AA166" i="8" s="1"/>
  <c r="AB166" i="8" s="1"/>
  <c r="AQ11" i="8"/>
  <c r="AR11" i="8" s="1"/>
  <c r="AS11" i="8" s="1"/>
  <c r="AT11" i="8" s="1"/>
  <c r="AU11" i="8" s="1"/>
  <c r="AC11" i="4" s="1"/>
  <c r="T155" i="8"/>
  <c r="T249" i="8"/>
  <c r="J183" i="7"/>
  <c r="K183" i="7" s="1"/>
  <c r="V137" i="8"/>
  <c r="X137" i="8" s="1"/>
  <c r="Y274" i="8"/>
  <c r="Z274" i="8" s="1"/>
  <c r="AA274" i="8" s="1"/>
  <c r="AB274" i="8" s="1"/>
  <c r="AR183" i="8"/>
  <c r="AS183" i="8" s="1"/>
  <c r="AT183" i="8" s="1"/>
  <c r="AU183" i="8" s="1"/>
  <c r="AC183" i="4" s="1"/>
  <c r="Z136" i="8"/>
  <c r="AA136" i="8" s="1"/>
  <c r="AB136" i="8" s="1"/>
  <c r="Z82" i="8"/>
  <c r="AA82" i="8" s="1"/>
  <c r="AB82" i="8" s="1"/>
  <c r="AE82" i="8" s="1"/>
  <c r="AF82" i="8" s="1"/>
  <c r="AA82" i="4" s="1"/>
  <c r="X207" i="3"/>
  <c r="N104" i="8"/>
  <c r="N218" i="8"/>
  <c r="AJ218" i="8" s="1"/>
  <c r="J243" i="7"/>
  <c r="K243" i="7" s="1"/>
  <c r="Y281" i="8"/>
  <c r="Z281" i="8" s="1"/>
  <c r="AA281" i="8" s="1"/>
  <c r="AB281" i="8" s="1"/>
  <c r="Z198" i="8"/>
  <c r="AA198" i="8" s="1"/>
  <c r="AB198" i="8" s="1"/>
  <c r="AC198" i="8" s="1"/>
  <c r="AD198" i="8" s="1"/>
  <c r="Z198" i="4" s="1"/>
  <c r="J258" i="7"/>
  <c r="K258" i="7" s="1"/>
  <c r="V94" i="8"/>
  <c r="X94" i="8" s="1"/>
  <c r="Z94" i="8" s="1"/>
  <c r="AA94" i="8" s="1"/>
  <c r="AB94" i="8" s="1"/>
  <c r="Y116" i="8"/>
  <c r="Z116" i="8" s="1"/>
  <c r="AA116" i="8" s="1"/>
  <c r="AB116" i="8" s="1"/>
  <c r="AC116" i="8" s="1"/>
  <c r="AD116" i="8" s="1"/>
  <c r="Z116" i="4" s="1"/>
  <c r="V173" i="8"/>
  <c r="X173" i="8" s="1"/>
  <c r="Z173" i="8" s="1"/>
  <c r="AA173" i="8" s="1"/>
  <c r="AB173" i="8" s="1"/>
  <c r="Y236" i="8"/>
  <c r="V236" i="8"/>
  <c r="X236" i="8" s="1"/>
  <c r="Z137" i="8"/>
  <c r="AA137" i="8" s="1"/>
  <c r="AB137" i="8" s="1"/>
  <c r="AC137" i="8" s="1"/>
  <c r="AD137" i="8" s="1"/>
  <c r="Z137" i="4" s="1"/>
  <c r="N122" i="8"/>
  <c r="AJ122" i="8" s="1"/>
  <c r="N229" i="8"/>
  <c r="AJ229" i="8" s="1"/>
  <c r="J137" i="7"/>
  <c r="K137" i="7" s="1"/>
  <c r="N135" i="8"/>
  <c r="AP135" i="8" s="1"/>
  <c r="J180" i="7"/>
  <c r="K180" i="7" s="1"/>
  <c r="J233" i="7"/>
  <c r="K233" i="7" s="1"/>
  <c r="Z199" i="8"/>
  <c r="AA199" i="8" s="1"/>
  <c r="AB199" i="8" s="1"/>
  <c r="AC199" i="8" s="1"/>
  <c r="AD199" i="8" s="1"/>
  <c r="Z199" i="4" s="1"/>
  <c r="AP88" i="8"/>
  <c r="AR88" i="8" s="1"/>
  <c r="AS88" i="8" s="1"/>
  <c r="AT88" i="8" s="1"/>
  <c r="AU88" i="8" s="1"/>
  <c r="AC88" i="4" s="1"/>
  <c r="Y62" i="8"/>
  <c r="Z62" i="8" s="1"/>
  <c r="AA62" i="8" s="1"/>
  <c r="AB62" i="8" s="1"/>
  <c r="AJ236" i="8"/>
  <c r="Y71" i="8"/>
  <c r="Y139" i="8"/>
  <c r="Z139" i="8" s="1"/>
  <c r="AA139" i="8" s="1"/>
  <c r="AB139" i="8" s="1"/>
  <c r="AR240" i="8"/>
  <c r="AS240" i="8" s="1"/>
  <c r="AT240" i="8" s="1"/>
  <c r="AU240" i="8" s="1"/>
  <c r="AC240" i="4" s="1"/>
  <c r="Y123" i="8"/>
  <c r="AC60" i="8"/>
  <c r="AD60" i="8" s="1"/>
  <c r="Z60" i="4" s="1"/>
  <c r="Y250" i="8"/>
  <c r="Z250" i="8" s="1"/>
  <c r="AA250" i="8" s="1"/>
  <c r="AB250" i="8" s="1"/>
  <c r="AC250" i="8" s="1"/>
  <c r="AD250" i="8" s="1"/>
  <c r="Z250" i="4" s="1"/>
  <c r="Y215" i="8"/>
  <c r="Z215" i="8" s="1"/>
  <c r="AA215" i="8" s="1"/>
  <c r="AB215" i="8" s="1"/>
  <c r="AE215" i="8" s="1"/>
  <c r="AF215" i="8" s="1"/>
  <c r="AA215" i="4" s="1"/>
  <c r="Y240" i="8"/>
  <c r="Z240" i="8" s="1"/>
  <c r="AA240" i="8" s="1"/>
  <c r="AB240" i="8" s="1"/>
  <c r="V87" i="8"/>
  <c r="X87" i="8" s="1"/>
  <c r="Z87" i="8" s="1"/>
  <c r="AA87" i="8" s="1"/>
  <c r="AB87" i="8" s="1"/>
  <c r="Y299" i="8"/>
  <c r="Z299" i="8" s="1"/>
  <c r="V79" i="8"/>
  <c r="X79" i="8" s="1"/>
  <c r="Z63" i="8"/>
  <c r="AA63" i="8" s="1"/>
  <c r="AB63" i="8" s="1"/>
  <c r="V144" i="8"/>
  <c r="X144" i="8" s="1"/>
  <c r="Y252" i="8"/>
  <c r="Z252" i="8" s="1"/>
  <c r="AA252" i="8" s="1"/>
  <c r="AB252" i="8" s="1"/>
  <c r="AC252" i="8" s="1"/>
  <c r="AD252" i="8" s="1"/>
  <c r="Z252" i="4" s="1"/>
  <c r="Z205" i="8"/>
  <c r="AA205" i="8" s="1"/>
  <c r="AB205" i="8" s="1"/>
  <c r="V303" i="8"/>
  <c r="X303" i="8" s="1"/>
  <c r="Y303" i="8"/>
  <c r="AI130" i="8"/>
  <c r="AJ130" i="8"/>
  <c r="AP130" i="8"/>
  <c r="AC122" i="8"/>
  <c r="AD122" i="8" s="1"/>
  <c r="Z122" i="4" s="1"/>
  <c r="AP106" i="8"/>
  <c r="AI106" i="8"/>
  <c r="AJ106" i="8"/>
  <c r="AI138" i="8"/>
  <c r="AJ138" i="8"/>
  <c r="AJ246" i="8"/>
  <c r="AI246" i="8"/>
  <c r="AP218" i="8"/>
  <c r="AI229" i="8"/>
  <c r="Y253" i="8"/>
  <c r="V253" i="8"/>
  <c r="X253" i="8" s="1"/>
  <c r="V259" i="8"/>
  <c r="X259" i="8" s="1"/>
  <c r="Y259" i="8"/>
  <c r="V107" i="8"/>
  <c r="X107" i="8" s="1"/>
  <c r="Y107" i="8"/>
  <c r="Y69" i="8"/>
  <c r="V69" i="8"/>
  <c r="X69" i="8" s="1"/>
  <c r="AK233" i="8"/>
  <c r="AL233" i="8" s="1"/>
  <c r="AM233" i="8" s="1"/>
  <c r="AN233" i="8" s="1"/>
  <c r="AO233" i="8" s="1"/>
  <c r="AB233" i="4" s="1"/>
  <c r="AQ233" i="8"/>
  <c r="AP167" i="8"/>
  <c r="AJ167" i="8"/>
  <c r="AI167" i="8"/>
  <c r="V297" i="8"/>
  <c r="X297" i="8" s="1"/>
  <c r="Y297" i="8"/>
  <c r="V162" i="8"/>
  <c r="X162" i="8" s="1"/>
  <c r="Y162" i="8"/>
  <c r="V241" i="8"/>
  <c r="X241" i="8" s="1"/>
  <c r="Y241" i="8"/>
  <c r="N40" i="8"/>
  <c r="I40" i="6"/>
  <c r="AI79" i="8"/>
  <c r="AP79" i="8"/>
  <c r="AJ79" i="8"/>
  <c r="AI60" i="8"/>
  <c r="AJ60" i="8"/>
  <c r="AP60" i="8"/>
  <c r="AI287" i="8"/>
  <c r="AJ287" i="8"/>
  <c r="AP287" i="8"/>
  <c r="V56" i="8"/>
  <c r="X56" i="8" s="1"/>
  <c r="Y56" i="8"/>
  <c r="V167" i="8"/>
  <c r="X167" i="8" s="1"/>
  <c r="Y167" i="8"/>
  <c r="V105" i="8"/>
  <c r="X105" i="8" s="1"/>
  <c r="Y105" i="8"/>
  <c r="V118" i="8"/>
  <c r="X118" i="8" s="1"/>
  <c r="Y118" i="8"/>
  <c r="Y242" i="8"/>
  <c r="V242" i="8"/>
  <c r="X242" i="8" s="1"/>
  <c r="Y232" i="8"/>
  <c r="V232" i="8"/>
  <c r="X232" i="8" s="1"/>
  <c r="AJ205" i="8"/>
  <c r="AI205" i="8"/>
  <c r="AQ205" i="8" s="1"/>
  <c r="AI120" i="8"/>
  <c r="AJ120" i="8"/>
  <c r="AP120" i="8"/>
  <c r="AJ126" i="8"/>
  <c r="AI126" i="8"/>
  <c r="AP126" i="8"/>
  <c r="Y235" i="8"/>
  <c r="V235" i="8"/>
  <c r="X235" i="8" s="1"/>
  <c r="V157" i="8"/>
  <c r="X157" i="8" s="1"/>
  <c r="Y157" i="8"/>
  <c r="AI256" i="8"/>
  <c r="AJ256" i="8"/>
  <c r="AP256" i="8"/>
  <c r="AJ91" i="8"/>
  <c r="AP91" i="8"/>
  <c r="AI91" i="8"/>
  <c r="V231" i="8"/>
  <c r="X231" i="8" s="1"/>
  <c r="Y231" i="8"/>
  <c r="AI266" i="8"/>
  <c r="AJ266" i="8"/>
  <c r="AP266" i="8"/>
  <c r="V65" i="8"/>
  <c r="X65" i="8" s="1"/>
  <c r="Y65" i="8"/>
  <c r="AI201" i="8"/>
  <c r="AJ201" i="8"/>
  <c r="AP201" i="8"/>
  <c r="V77" i="8"/>
  <c r="X77" i="8" s="1"/>
  <c r="Y77" i="8"/>
  <c r="V68" i="8"/>
  <c r="X68" i="8" s="1"/>
  <c r="Y68" i="8"/>
  <c r="V195" i="8"/>
  <c r="X195" i="8" s="1"/>
  <c r="Y195" i="8"/>
  <c r="Y101" i="8"/>
  <c r="V101" i="8"/>
  <c r="X101" i="8" s="1"/>
  <c r="V61" i="8"/>
  <c r="X61" i="8" s="1"/>
  <c r="Y61" i="8"/>
  <c r="V178" i="8"/>
  <c r="X178" i="8" s="1"/>
  <c r="Y178" i="8"/>
  <c r="Y115" i="8"/>
  <c r="V115" i="8"/>
  <c r="X115" i="8" s="1"/>
  <c r="Y43" i="8"/>
  <c r="V43" i="8"/>
  <c r="X43" i="8" s="1"/>
  <c r="V217" i="8"/>
  <c r="X217" i="8" s="1"/>
  <c r="Y217" i="8"/>
  <c r="Y190" i="8"/>
  <c r="V190" i="8"/>
  <c r="X190" i="8" s="1"/>
  <c r="AI118" i="8"/>
  <c r="AJ118" i="8"/>
  <c r="V150" i="8"/>
  <c r="X150" i="8" s="1"/>
  <c r="Y150" i="8"/>
  <c r="V114" i="8"/>
  <c r="X114" i="8" s="1"/>
  <c r="Y114" i="8"/>
  <c r="V126" i="8"/>
  <c r="X126" i="8" s="1"/>
  <c r="Y126" i="8"/>
  <c r="AC256" i="8"/>
  <c r="AD256" i="8" s="1"/>
  <c r="Z256" i="4" s="1"/>
  <c r="AE256" i="8"/>
  <c r="AF256" i="8" s="1"/>
  <c r="AA256" i="4" s="1"/>
  <c r="Y64" i="8"/>
  <c r="Y181" i="8"/>
  <c r="Z181" i="8" s="1"/>
  <c r="AA181" i="8" s="1"/>
  <c r="AB181" i="8" s="1"/>
  <c r="Y133" i="8"/>
  <c r="Z133" i="8" s="1"/>
  <c r="AA133" i="8" s="1"/>
  <c r="AB133" i="8" s="1"/>
  <c r="Y305" i="8"/>
  <c r="Z305" i="8" s="1"/>
  <c r="AA305" i="8" s="1"/>
  <c r="AB305" i="8" s="1"/>
  <c r="AE305" i="8" s="1"/>
  <c r="AF305" i="8" s="1"/>
  <c r="AA305" i="4" s="1"/>
  <c r="I130" i="6"/>
  <c r="N249" i="8"/>
  <c r="Z144" i="8"/>
  <c r="AA144" i="8" s="1"/>
  <c r="AB144" i="8" s="1"/>
  <c r="AJ87" i="8"/>
  <c r="Y86" i="8"/>
  <c r="Z86" i="8" s="1"/>
  <c r="Z258" i="8"/>
  <c r="AA258" i="8" s="1"/>
  <c r="AB258" i="8" s="1"/>
  <c r="AE258" i="8" s="1"/>
  <c r="AF258" i="8" s="1"/>
  <c r="AA258" i="4" s="1"/>
  <c r="Y91" i="8"/>
  <c r="Z91" i="8" s="1"/>
  <c r="AA91" i="8" s="1"/>
  <c r="AB91" i="8" s="1"/>
  <c r="Y210" i="8"/>
  <c r="Z210" i="8" s="1"/>
  <c r="AA210" i="8" s="1"/>
  <c r="AB210" i="8" s="1"/>
  <c r="X243" i="3"/>
  <c r="N93" i="8"/>
  <c r="N132" i="8"/>
  <c r="J52" i="7"/>
  <c r="K52" i="7" s="1"/>
  <c r="J188" i="7"/>
  <c r="K188" i="7" s="1"/>
  <c r="Y99" i="8"/>
  <c r="Z99" i="8" s="1"/>
  <c r="AA99" i="8" s="1"/>
  <c r="AB99" i="8" s="1"/>
  <c r="AP233" i="8"/>
  <c r="V208" i="8"/>
  <c r="X208" i="8" s="1"/>
  <c r="Z208" i="8" s="1"/>
  <c r="AA208" i="8" s="1"/>
  <c r="AB208" i="8" s="1"/>
  <c r="AP236" i="8"/>
  <c r="AP205" i="8"/>
  <c r="Y301" i="8"/>
  <c r="Z301" i="8" s="1"/>
  <c r="AA301" i="8" s="1"/>
  <c r="AB301" i="8" s="1"/>
  <c r="AE301" i="8" s="1"/>
  <c r="AF301" i="8" s="1"/>
  <c r="AA301" i="4" s="1"/>
  <c r="Y310" i="8"/>
  <c r="Y85" i="8"/>
  <c r="Z85" i="8" s="1"/>
  <c r="AA85" i="8" s="1"/>
  <c r="AB85" i="8" s="1"/>
  <c r="Y51" i="8"/>
  <c r="Y171" i="8"/>
  <c r="Z171" i="8" s="1"/>
  <c r="AA171" i="8" s="1"/>
  <c r="AB171" i="8" s="1"/>
  <c r="Y75" i="8"/>
  <c r="Z75" i="8" s="1"/>
  <c r="AA75" i="8" s="1"/>
  <c r="AB75" i="8" s="1"/>
  <c r="Y277" i="8"/>
  <c r="AC160" i="8"/>
  <c r="AD160" i="8" s="1"/>
  <c r="Z160" i="4" s="1"/>
  <c r="Y273" i="8"/>
  <c r="Z273" i="8" s="1"/>
  <c r="AA273" i="8" s="1"/>
  <c r="AB273" i="8" s="1"/>
  <c r="Y42" i="8"/>
  <c r="Z42" i="8" s="1"/>
  <c r="AA42" i="8" s="1"/>
  <c r="AB42" i="8" s="1"/>
  <c r="Y202" i="8"/>
  <c r="Z202" i="8" s="1"/>
  <c r="Y90" i="8"/>
  <c r="Z90" i="8" s="1"/>
  <c r="AA90" i="8" s="1"/>
  <c r="AB90" i="8" s="1"/>
  <c r="AE90" i="8" s="1"/>
  <c r="AF90" i="8" s="1"/>
  <c r="AA90" i="4" s="1"/>
  <c r="Y293" i="8"/>
  <c r="Z293" i="8" s="1"/>
  <c r="AA293" i="8" s="1"/>
  <c r="AB293" i="8" s="1"/>
  <c r="AE293" i="8" s="1"/>
  <c r="AF293" i="8" s="1"/>
  <c r="AA293" i="4" s="1"/>
  <c r="Y224" i="8"/>
  <c r="Z224" i="8" s="1"/>
  <c r="AA224" i="8" s="1"/>
  <c r="AB224" i="8" s="1"/>
  <c r="V227" i="8"/>
  <c r="X227" i="8" s="1"/>
  <c r="Z227" i="8" s="1"/>
  <c r="AA227" i="8" s="1"/>
  <c r="AB227" i="8" s="1"/>
  <c r="V58" i="8"/>
  <c r="X58" i="8" s="1"/>
  <c r="Z58" i="8" s="1"/>
  <c r="AA58" i="8" s="1"/>
  <c r="AB58" i="8" s="1"/>
  <c r="Y143" i="8"/>
  <c r="Z143" i="8" s="1"/>
  <c r="AA143" i="8" s="1"/>
  <c r="AB143" i="8" s="1"/>
  <c r="Y108" i="8"/>
  <c r="Z108" i="8" s="1"/>
  <c r="AA108" i="8" s="1"/>
  <c r="AB108" i="8" s="1"/>
  <c r="V218" i="8"/>
  <c r="X218" i="8" s="1"/>
  <c r="Z218" i="8" s="1"/>
  <c r="AA218" i="8" s="1"/>
  <c r="AB218" i="8" s="1"/>
  <c r="Y93" i="8"/>
  <c r="Z93" i="8" s="1"/>
  <c r="AA93" i="8" s="1"/>
  <c r="AB93" i="8" s="1"/>
  <c r="Y163" i="8"/>
  <c r="Z163" i="8" s="1"/>
  <c r="AA163" i="8" s="1"/>
  <c r="AB163" i="8" s="1"/>
  <c r="V127" i="8"/>
  <c r="X127" i="8" s="1"/>
  <c r="Z127" i="8" s="1"/>
  <c r="AA127" i="8" s="1"/>
  <c r="AB127" i="8" s="1"/>
  <c r="Y287" i="8"/>
  <c r="Z287" i="8" s="1"/>
  <c r="AA287" i="8" s="1"/>
  <c r="AB287" i="8" s="1"/>
  <c r="Y193" i="8"/>
  <c r="Z193" i="8" s="1"/>
  <c r="AA193" i="8" s="1"/>
  <c r="AB193" i="8" s="1"/>
  <c r="AE193" i="8" s="1"/>
  <c r="AF193" i="8" s="1"/>
  <c r="AA193" i="4" s="1"/>
  <c r="Y88" i="8"/>
  <c r="Z88" i="8" s="1"/>
  <c r="Y149" i="8"/>
  <c r="Z149" i="8" s="1"/>
  <c r="AA149" i="8" s="1"/>
  <c r="AB149" i="8" s="1"/>
  <c r="AC149" i="8" s="1"/>
  <c r="AD149" i="8" s="1"/>
  <c r="Z149" i="4" s="1"/>
  <c r="AJ53" i="8"/>
  <c r="AP53" i="8"/>
  <c r="AI53" i="8"/>
  <c r="AJ97" i="8"/>
  <c r="AI97" i="8"/>
  <c r="Y268" i="8"/>
  <c r="V268" i="8"/>
  <c r="X268" i="8" s="1"/>
  <c r="Y216" i="8"/>
  <c r="Z216" i="8" s="1"/>
  <c r="AA216" i="8" s="1"/>
  <c r="AB216" i="8" s="1"/>
  <c r="AC216" i="8" s="1"/>
  <c r="AD216" i="8" s="1"/>
  <c r="Z216" i="4" s="1"/>
  <c r="V216" i="8"/>
  <c r="X216" i="8" s="1"/>
  <c r="V182" i="8"/>
  <c r="X182" i="8" s="1"/>
  <c r="Y182" i="8"/>
  <c r="V66" i="8"/>
  <c r="X66" i="8" s="1"/>
  <c r="Y66" i="8"/>
  <c r="V53" i="8"/>
  <c r="X53" i="8" s="1"/>
  <c r="Y53" i="8"/>
  <c r="V197" i="8"/>
  <c r="X197" i="8" s="1"/>
  <c r="Y197" i="8"/>
  <c r="V80" i="8"/>
  <c r="X80" i="8" s="1"/>
  <c r="Y80" i="8"/>
  <c r="Y244" i="8"/>
  <c r="V244" i="8"/>
  <c r="X244" i="8" s="1"/>
  <c r="Y106" i="8"/>
  <c r="V106" i="8"/>
  <c r="X106" i="8" s="1"/>
  <c r="AI124" i="8"/>
  <c r="AJ124" i="8"/>
  <c r="AP124" i="8"/>
  <c r="Y221" i="8"/>
  <c r="V221" i="8"/>
  <c r="X221" i="8" s="1"/>
  <c r="Y100" i="8"/>
  <c r="V100" i="8"/>
  <c r="X100" i="8" s="1"/>
  <c r="V50" i="8"/>
  <c r="X50" i="8" s="1"/>
  <c r="Y50" i="8"/>
  <c r="Y266" i="8"/>
  <c r="V266" i="8"/>
  <c r="X266" i="8" s="1"/>
  <c r="Y142" i="8"/>
  <c r="V142" i="8"/>
  <c r="X142" i="8" s="1"/>
  <c r="Y146" i="8"/>
  <c r="V146" i="8"/>
  <c r="X146" i="8" s="1"/>
  <c r="AI140" i="8"/>
  <c r="AJ140" i="8"/>
  <c r="AP140" i="8"/>
  <c r="AJ135" i="8"/>
  <c r="V84" i="8"/>
  <c r="X84" i="8" s="1"/>
  <c r="Y84" i="8"/>
  <c r="V158" i="8"/>
  <c r="X158" i="8" s="1"/>
  <c r="Y158" i="8"/>
  <c r="AC240" i="8"/>
  <c r="AD240" i="8" s="1"/>
  <c r="Z240" i="4" s="1"/>
  <c r="AE240" i="8"/>
  <c r="AF240" i="8" s="1"/>
  <c r="AA240" i="4" s="1"/>
  <c r="AQ277" i="8"/>
  <c r="AR277" i="8" s="1"/>
  <c r="AS277" i="8" s="1"/>
  <c r="AT277" i="8" s="1"/>
  <c r="AU277" i="8" s="1"/>
  <c r="AC277" i="4" s="1"/>
  <c r="AK277" i="8"/>
  <c r="AL277" i="8" s="1"/>
  <c r="AM277" i="8" s="1"/>
  <c r="AN277" i="8" s="1"/>
  <c r="AO277" i="8" s="1"/>
  <c r="AB277" i="4" s="1"/>
  <c r="AC196" i="8"/>
  <c r="AD196" i="8" s="1"/>
  <c r="Z196" i="4" s="1"/>
  <c r="AE196" i="8"/>
  <c r="AF196" i="8" s="1"/>
  <c r="AA196" i="4" s="1"/>
  <c r="AP225" i="8"/>
  <c r="AI225" i="8"/>
  <c r="AJ225" i="8"/>
  <c r="AI99" i="8"/>
  <c r="AJ99" i="8"/>
  <c r="AP62" i="8"/>
  <c r="AI62" i="8"/>
  <c r="AJ62" i="8"/>
  <c r="AJ114" i="8"/>
  <c r="AI114" i="8"/>
  <c r="AI104" i="8"/>
  <c r="AJ104" i="8"/>
  <c r="AP104" i="8"/>
  <c r="AI133" i="8"/>
  <c r="AJ133" i="8"/>
  <c r="AP133" i="8"/>
  <c r="Y247" i="8"/>
  <c r="V247" i="8"/>
  <c r="X247" i="8" s="1"/>
  <c r="V165" i="8"/>
  <c r="X165" i="8" s="1"/>
  <c r="Y165" i="8"/>
  <c r="AP258" i="8"/>
  <c r="AI258" i="8"/>
  <c r="AJ258" i="8"/>
  <c r="AP65" i="8"/>
  <c r="AI65" i="8"/>
  <c r="AJ65" i="8"/>
  <c r="AI55" i="8"/>
  <c r="AP55" i="8"/>
  <c r="AJ55" i="8"/>
  <c r="V261" i="8"/>
  <c r="X261" i="8" s="1"/>
  <c r="Y261" i="8"/>
  <c r="Y306" i="8"/>
  <c r="V306" i="8"/>
  <c r="X306" i="8" s="1"/>
  <c r="V76" i="8"/>
  <c r="X76" i="8" s="1"/>
  <c r="Y76" i="8"/>
  <c r="V67" i="8"/>
  <c r="X67" i="8" s="1"/>
  <c r="Y67" i="8"/>
  <c r="V104" i="8"/>
  <c r="X104" i="8" s="1"/>
  <c r="Y104" i="8"/>
  <c r="Y152" i="8"/>
  <c r="V152" i="8"/>
  <c r="X152" i="8" s="1"/>
  <c r="Y55" i="8"/>
  <c r="V55" i="8"/>
  <c r="X55" i="8" s="1"/>
  <c r="V213" i="8"/>
  <c r="X213" i="8" s="1"/>
  <c r="Y213" i="8"/>
  <c r="V148" i="8"/>
  <c r="X148" i="8" s="1"/>
  <c r="Y148" i="8"/>
  <c r="V185" i="8"/>
  <c r="X185" i="8" s="1"/>
  <c r="Y185" i="8"/>
  <c r="AI227" i="8"/>
  <c r="AP227" i="8"/>
  <c r="AJ251" i="8"/>
  <c r="AI251" i="8"/>
  <c r="AI220" i="8"/>
  <c r="AJ220" i="8"/>
  <c r="AI87" i="8"/>
  <c r="AK87" i="8" s="1"/>
  <c r="Y238" i="8"/>
  <c r="Z238" i="8" s="1"/>
  <c r="AA238" i="8" s="1"/>
  <c r="AB238" i="8" s="1"/>
  <c r="AE238" i="8" s="1"/>
  <c r="AF238" i="8" s="1"/>
  <c r="AA238" i="4" s="1"/>
  <c r="Z229" i="8"/>
  <c r="AA229" i="8" s="1"/>
  <c r="AB229" i="8" s="1"/>
  <c r="Y147" i="8"/>
  <c r="Z147" i="8" s="1"/>
  <c r="AA147" i="8" s="1"/>
  <c r="AB147" i="8" s="1"/>
  <c r="V154" i="8"/>
  <c r="X154" i="8" s="1"/>
  <c r="Z154" i="8" s="1"/>
  <c r="AA154" i="8" s="1"/>
  <c r="AB154" i="8" s="1"/>
  <c r="AP97" i="8"/>
  <c r="Y124" i="8"/>
  <c r="Z124" i="8" s="1"/>
  <c r="AA124" i="8" s="1"/>
  <c r="AB124" i="8" s="1"/>
  <c r="AC124" i="8" s="1"/>
  <c r="AD124" i="8" s="1"/>
  <c r="Z124" i="4" s="1"/>
  <c r="X170" i="3"/>
  <c r="N262" i="8"/>
  <c r="J190" i="7"/>
  <c r="K190" i="7" s="1"/>
  <c r="Z79" i="8"/>
  <c r="AA79" i="8" s="1"/>
  <c r="AB79" i="8" s="1"/>
  <c r="N81" i="8"/>
  <c r="Y96" i="8"/>
  <c r="Z96" i="8" s="1"/>
  <c r="AP138" i="8"/>
  <c r="Y102" i="8"/>
  <c r="Z102" i="8" s="1"/>
  <c r="AA102" i="8" s="1"/>
  <c r="AB102" i="8" s="1"/>
  <c r="AK88" i="8"/>
  <c r="AJ233" i="8"/>
  <c r="Y52" i="8"/>
  <c r="Y285" i="8"/>
  <c r="Z285" i="8" s="1"/>
  <c r="AA285" i="8" s="1"/>
  <c r="AB285" i="8" s="1"/>
  <c r="AE285" i="8" s="1"/>
  <c r="AF285" i="8" s="1"/>
  <c r="AA285" i="4" s="1"/>
  <c r="AA70" i="8"/>
  <c r="AB70" i="8" s="1"/>
  <c r="AC70" i="8" s="1"/>
  <c r="AD70" i="8" s="1"/>
  <c r="Z70" i="4" s="1"/>
  <c r="Y151" i="8"/>
  <c r="Z151" i="8" s="1"/>
  <c r="AA151" i="8" s="1"/>
  <c r="AB151" i="8" s="1"/>
  <c r="Y257" i="8"/>
  <c r="Z257" i="8" s="1"/>
  <c r="AA257" i="8" s="1"/>
  <c r="AB257" i="8" s="1"/>
  <c r="AE257" i="8" s="1"/>
  <c r="AF257" i="8" s="1"/>
  <c r="AA257" i="4" s="1"/>
  <c r="Y131" i="8"/>
  <c r="Z131" i="8" s="1"/>
  <c r="AA131" i="8" s="1"/>
  <c r="AB131" i="8" s="1"/>
  <c r="AC131" i="8" s="1"/>
  <c r="AD131" i="8" s="1"/>
  <c r="Z131" i="4" s="1"/>
  <c r="Y228" i="8"/>
  <c r="Z228" i="8" s="1"/>
  <c r="AA228" i="8" s="1"/>
  <c r="AB228" i="8" s="1"/>
  <c r="AE228" i="8" s="1"/>
  <c r="AF228" i="8" s="1"/>
  <c r="AA228" i="4" s="1"/>
  <c r="Y164" i="8"/>
  <c r="Z164" i="8" s="1"/>
  <c r="AA164" i="8" s="1"/>
  <c r="AB164" i="8" s="1"/>
  <c r="AE189" i="8"/>
  <c r="AF189" i="8" s="1"/>
  <c r="AA189" i="4" s="1"/>
  <c r="AJ88" i="8"/>
  <c r="Y255" i="8"/>
  <c r="Z255" i="8" s="1"/>
  <c r="AA255" i="8" s="1"/>
  <c r="AB255" i="8" s="1"/>
  <c r="Y209" i="8"/>
  <c r="Z209" i="8" s="1"/>
  <c r="AA209" i="8" s="1"/>
  <c r="AB209" i="8" s="1"/>
  <c r="Y243" i="8"/>
  <c r="Z243" i="8" s="1"/>
  <c r="AA243" i="8" s="1"/>
  <c r="AB243" i="8" s="1"/>
  <c r="Y222" i="8"/>
  <c r="Z222" i="8" s="1"/>
  <c r="AA222" i="8" s="1"/>
  <c r="AB222" i="8" s="1"/>
  <c r="AE222" i="8" s="1"/>
  <c r="AF222" i="8" s="1"/>
  <c r="AA222" i="4" s="1"/>
  <c r="AJ227" i="8"/>
  <c r="Y74" i="8"/>
  <c r="Z74" i="8" s="1"/>
  <c r="AA74" i="8" s="1"/>
  <c r="AB74" i="8" s="1"/>
  <c r="AP246" i="8"/>
  <c r="Y57" i="8"/>
  <c r="Z57" i="8" s="1"/>
  <c r="AA57" i="8" s="1"/>
  <c r="AB57" i="8" s="1"/>
  <c r="AC57" i="8" s="1"/>
  <c r="AD57" i="8" s="1"/>
  <c r="Z57" i="4" s="1"/>
  <c r="V289" i="8"/>
  <c r="X289" i="8" s="1"/>
  <c r="Z289" i="8" s="1"/>
  <c r="AA289" i="8" s="1"/>
  <c r="AB289" i="8" s="1"/>
  <c r="Y263" i="8"/>
  <c r="Z263" i="8" s="1"/>
  <c r="AA263" i="8" s="1"/>
  <c r="AB263" i="8" s="1"/>
  <c r="AE263" i="8" s="1"/>
  <c r="AF263" i="8" s="1"/>
  <c r="AA263" i="4" s="1"/>
  <c r="V98" i="8"/>
  <c r="X98" i="8" s="1"/>
  <c r="Z98" i="8" s="1"/>
  <c r="AA98" i="8" s="1"/>
  <c r="AB98" i="8" s="1"/>
  <c r="Y110" i="8"/>
  <c r="Z110" i="8" s="1"/>
  <c r="AA110" i="8" s="1"/>
  <c r="AB110" i="8" s="1"/>
  <c r="AC110" i="8" s="1"/>
  <c r="AD110" i="8" s="1"/>
  <c r="Z110" i="4" s="1"/>
  <c r="Y89" i="8"/>
  <c r="Z89" i="8" s="1"/>
  <c r="AA89" i="8" s="1"/>
  <c r="AB89" i="8" s="1"/>
  <c r="AE89" i="8" s="1"/>
  <c r="AF89" i="8" s="1"/>
  <c r="AA89" i="4" s="1"/>
  <c r="Y112" i="8"/>
  <c r="Z112" i="8" s="1"/>
  <c r="AA112" i="8" s="1"/>
  <c r="AB112" i="8" s="1"/>
  <c r="Y159" i="8"/>
  <c r="Z159" i="8" s="1"/>
  <c r="AA159" i="8" s="1"/>
  <c r="AB159" i="8" s="1"/>
  <c r="Y206" i="8"/>
  <c r="Z206" i="8" s="1"/>
  <c r="AA206" i="8" s="1"/>
  <c r="AB206" i="8" s="1"/>
  <c r="Y183" i="8"/>
  <c r="Z183" i="8" s="1"/>
  <c r="AA183" i="8" s="1"/>
  <c r="AB183" i="8" s="1"/>
  <c r="V226" i="8"/>
  <c r="X226" i="8" s="1"/>
  <c r="Z226" i="8" s="1"/>
  <c r="AA226" i="8" s="1"/>
  <c r="AB226" i="8" s="1"/>
  <c r="AP220" i="8"/>
  <c r="N41" i="8"/>
  <c r="I41" i="6"/>
  <c r="AQ281" i="8"/>
  <c r="AR281" i="8" s="1"/>
  <c r="AS281" i="8" s="1"/>
  <c r="AT281" i="8" s="1"/>
  <c r="AU281" i="8" s="1"/>
  <c r="AC281" i="4" s="1"/>
  <c r="AK281" i="8"/>
  <c r="AL281" i="8" s="1"/>
  <c r="AM281" i="8" s="1"/>
  <c r="AN281" i="8" s="1"/>
  <c r="AO281" i="8" s="1"/>
  <c r="AB281" i="4" s="1"/>
  <c r="AJ84" i="8"/>
  <c r="AI84" i="8"/>
  <c r="V220" i="8"/>
  <c r="X220" i="8" s="1"/>
  <c r="Y220" i="8"/>
  <c r="Y270" i="8"/>
  <c r="Z270" i="8" s="1"/>
  <c r="AA270" i="8" s="1"/>
  <c r="AB270" i="8" s="1"/>
  <c r="AC270" i="8" s="1"/>
  <c r="AD270" i="8" s="1"/>
  <c r="Z270" i="4" s="1"/>
  <c r="Z54" i="8"/>
  <c r="AA54" i="8" s="1"/>
  <c r="AB54" i="8" s="1"/>
  <c r="AE54" i="8" s="1"/>
  <c r="AF54" i="8" s="1"/>
  <c r="AA54" i="4" s="1"/>
  <c r="Y78" i="8"/>
  <c r="Z78" i="8" s="1"/>
  <c r="AA78" i="8" s="1"/>
  <c r="AB78" i="8" s="1"/>
  <c r="AC78" i="8" s="1"/>
  <c r="AD78" i="8" s="1"/>
  <c r="Z78" i="4" s="1"/>
  <c r="Y304" i="8"/>
  <c r="Z304" i="8" s="1"/>
  <c r="AA304" i="8" s="1"/>
  <c r="AB304" i="8" s="1"/>
  <c r="AR248" i="8"/>
  <c r="AS248" i="8" s="1"/>
  <c r="AT248" i="8" s="1"/>
  <c r="AU248" i="8" s="1"/>
  <c r="AC248" i="4" s="1"/>
  <c r="N301" i="8"/>
  <c r="I301" i="6"/>
  <c r="N187" i="8"/>
  <c r="I187" i="6"/>
  <c r="AQ224" i="8"/>
  <c r="AR224" i="8" s="1"/>
  <c r="AS224" i="8" s="1"/>
  <c r="AT224" i="8" s="1"/>
  <c r="AU224" i="8" s="1"/>
  <c r="AC224" i="4" s="1"/>
  <c r="AK224" i="8"/>
  <c r="AL224" i="8" s="1"/>
  <c r="AM224" i="8" s="1"/>
  <c r="AN224" i="8" s="1"/>
  <c r="AO224" i="8" s="1"/>
  <c r="AB224" i="4" s="1"/>
  <c r="Y207" i="8"/>
  <c r="Z207" i="8" s="1"/>
  <c r="Y239" i="8"/>
  <c r="Z239" i="8" s="1"/>
  <c r="AA239" i="8" s="1"/>
  <c r="AB239" i="8" s="1"/>
  <c r="AE239" i="8" s="1"/>
  <c r="AF239" i="8" s="1"/>
  <c r="AA239" i="4" s="1"/>
  <c r="Y212" i="8"/>
  <c r="Z212" i="8" s="1"/>
  <c r="AA212" i="8" s="1"/>
  <c r="AB212" i="8" s="1"/>
  <c r="AC212" i="8" s="1"/>
  <c r="AD212" i="8" s="1"/>
  <c r="Z212" i="4" s="1"/>
  <c r="Y230" i="8"/>
  <c r="Z230" i="8" s="1"/>
  <c r="Y39" i="8"/>
  <c r="Z39" i="8" s="1"/>
  <c r="Z291" i="8"/>
  <c r="AA291" i="8" s="1"/>
  <c r="AB291" i="8" s="1"/>
  <c r="AE291" i="8" s="1"/>
  <c r="AF291" i="8" s="1"/>
  <c r="AA291" i="4" s="1"/>
  <c r="Z260" i="8"/>
  <c r="AA260" i="8" s="1"/>
  <c r="AB260" i="8" s="1"/>
  <c r="AE260" i="8" s="1"/>
  <c r="AF260" i="8" s="1"/>
  <c r="AA260" i="4" s="1"/>
  <c r="Z214" i="8"/>
  <c r="AA214" i="8" s="1"/>
  <c r="AB214" i="8" s="1"/>
  <c r="Y155" i="8"/>
  <c r="Z155" i="8" s="1"/>
  <c r="AA155" i="8" s="1"/>
  <c r="AB155" i="8" s="1"/>
  <c r="AE155" i="8" s="1"/>
  <c r="AF155" i="8" s="1"/>
  <c r="AA155" i="4" s="1"/>
  <c r="Y174" i="8"/>
  <c r="Z174" i="8" s="1"/>
  <c r="AA174" i="8" s="1"/>
  <c r="AB174" i="8" s="1"/>
  <c r="AC174" i="8" s="1"/>
  <c r="AD174" i="8" s="1"/>
  <c r="Z174" i="4" s="1"/>
  <c r="Y186" i="8"/>
  <c r="Z186" i="8" s="1"/>
  <c r="AA186" i="8" s="1"/>
  <c r="AB186" i="8" s="1"/>
  <c r="AE186" i="8" s="1"/>
  <c r="AF186" i="8" s="1"/>
  <c r="AA186" i="4" s="1"/>
  <c r="Z192" i="8"/>
  <c r="AA192" i="8" s="1"/>
  <c r="AB192" i="8" s="1"/>
  <c r="AC192" i="8" s="1"/>
  <c r="AD192" i="8" s="1"/>
  <c r="Z192" i="4" s="1"/>
  <c r="Z125" i="8"/>
  <c r="AA125" i="8" s="1"/>
  <c r="AB125" i="8" s="1"/>
  <c r="AE125" i="8" s="1"/>
  <c r="AF125" i="8" s="1"/>
  <c r="AA125" i="4" s="1"/>
  <c r="Y223" i="8"/>
  <c r="Z223" i="8" s="1"/>
  <c r="AA223" i="8" s="1"/>
  <c r="AB223" i="8" s="1"/>
  <c r="AE223" i="8" s="1"/>
  <c r="AF223" i="8" s="1"/>
  <c r="AA223" i="4" s="1"/>
  <c r="Y168" i="8"/>
  <c r="Z168" i="8" s="1"/>
  <c r="AA168" i="8" s="1"/>
  <c r="AB168" i="8" s="1"/>
  <c r="AE168" i="8" s="1"/>
  <c r="AF168" i="8" s="1"/>
  <c r="AA168" i="4" s="1"/>
  <c r="Z176" i="8"/>
  <c r="AA176" i="8" s="1"/>
  <c r="AB176" i="8" s="1"/>
  <c r="AC176" i="8" s="1"/>
  <c r="AD176" i="8" s="1"/>
  <c r="Z176" i="4" s="1"/>
  <c r="AL28" i="8"/>
  <c r="AM28" i="8" s="1"/>
  <c r="AN28" i="8" s="1"/>
  <c r="AO28" i="8" s="1"/>
  <c r="AB28" i="4" s="1"/>
  <c r="K46" i="7"/>
  <c r="J254" i="7"/>
  <c r="K254" i="7" s="1"/>
  <c r="J111" i="7"/>
  <c r="K111" i="7" s="1"/>
  <c r="X16" i="3"/>
  <c r="AE267" i="8"/>
  <c r="AF267" i="8" s="1"/>
  <c r="AA267" i="4" s="1"/>
  <c r="AC267" i="8"/>
  <c r="AD267" i="8" s="1"/>
  <c r="Z267" i="4" s="1"/>
  <c r="AE145" i="8"/>
  <c r="AF145" i="8" s="1"/>
  <c r="AA145" i="4" s="1"/>
  <c r="AC145" i="8"/>
  <c r="AD145" i="8" s="1"/>
  <c r="Z145" i="4" s="1"/>
  <c r="AE211" i="8"/>
  <c r="AF211" i="8" s="1"/>
  <c r="AA211" i="4" s="1"/>
  <c r="AC211" i="8"/>
  <c r="AD211" i="8" s="1"/>
  <c r="Z211" i="4" s="1"/>
  <c r="AC45" i="8"/>
  <c r="AD45" i="8" s="1"/>
  <c r="Z45" i="4" s="1"/>
  <c r="AE45" i="8"/>
  <c r="AF45" i="8" s="1"/>
  <c r="AA45" i="4" s="1"/>
  <c r="AE36" i="8"/>
  <c r="AF36" i="8" s="1"/>
  <c r="AA36" i="4" s="1"/>
  <c r="AC36" i="8"/>
  <c r="AD36" i="8" s="1"/>
  <c r="Z36" i="4" s="1"/>
  <c r="AE270" i="8"/>
  <c r="AF270" i="8" s="1"/>
  <c r="AA270" i="4" s="1"/>
  <c r="AE20" i="8"/>
  <c r="AF20" i="8" s="1"/>
  <c r="AA20" i="4" s="1"/>
  <c r="AC20" i="8"/>
  <c r="AD20" i="8" s="1"/>
  <c r="Z20" i="4" s="1"/>
  <c r="AC46" i="4"/>
  <c r="E46" i="8"/>
  <c r="I46" i="4" s="1"/>
  <c r="AY46" i="8"/>
  <c r="R46" i="4" s="1"/>
  <c r="AE78" i="8"/>
  <c r="AF78" i="8" s="1"/>
  <c r="AA78" i="4" s="1"/>
  <c r="AE37" i="8"/>
  <c r="AF37" i="8" s="1"/>
  <c r="AA37" i="4" s="1"/>
  <c r="AC37" i="8"/>
  <c r="AD37" i="8" s="1"/>
  <c r="Z37" i="4" s="1"/>
  <c r="AE279" i="8"/>
  <c r="AF279" i="8" s="1"/>
  <c r="AA279" i="4" s="1"/>
  <c r="AC279" i="8"/>
  <c r="AD279" i="8" s="1"/>
  <c r="Z279" i="4" s="1"/>
  <c r="AE16" i="8"/>
  <c r="AF16" i="8" s="1"/>
  <c r="AA16" i="4" s="1"/>
  <c r="AC16" i="8"/>
  <c r="AD16" i="8" s="1"/>
  <c r="Z16" i="4" s="1"/>
  <c r="AC291" i="8"/>
  <c r="AD291" i="8" s="1"/>
  <c r="Z291" i="4" s="1"/>
  <c r="AE140" i="8"/>
  <c r="AF140" i="8" s="1"/>
  <c r="AA140" i="4" s="1"/>
  <c r="AC140" i="8"/>
  <c r="AD140" i="8" s="1"/>
  <c r="Z140" i="4" s="1"/>
  <c r="AE191" i="8"/>
  <c r="AF191" i="8" s="1"/>
  <c r="AA191" i="4" s="1"/>
  <c r="AC191" i="8"/>
  <c r="AD191" i="8" s="1"/>
  <c r="Z191" i="4" s="1"/>
  <c r="AE252" i="8"/>
  <c r="AF252" i="8" s="1"/>
  <c r="AA252" i="4" s="1"/>
  <c r="AQ14" i="8"/>
  <c r="AR14" i="8" s="1"/>
  <c r="AS14" i="8" s="1"/>
  <c r="AT14" i="8" s="1"/>
  <c r="AU14" i="8" s="1"/>
  <c r="AC14" i="4" s="1"/>
  <c r="AK14" i="8"/>
  <c r="AL14" i="8" s="1"/>
  <c r="AM14" i="8" s="1"/>
  <c r="AN14" i="8" s="1"/>
  <c r="AO14" i="8" s="1"/>
  <c r="AB14" i="4" s="1"/>
  <c r="AE48" i="8"/>
  <c r="AF48" i="8" s="1"/>
  <c r="AA48" i="4" s="1"/>
  <c r="AC48" i="8"/>
  <c r="AD48" i="8" s="1"/>
  <c r="Z48" i="4" s="1"/>
  <c r="AC215" i="8"/>
  <c r="AD215" i="8" s="1"/>
  <c r="Z215" i="4" s="1"/>
  <c r="AE203" i="8"/>
  <c r="AF203" i="8" s="1"/>
  <c r="AA203" i="4" s="1"/>
  <c r="AC203" i="8"/>
  <c r="AD203" i="8" s="1"/>
  <c r="Z203" i="4" s="1"/>
  <c r="AE57" i="8"/>
  <c r="AF57" i="8" s="1"/>
  <c r="AA57" i="4" s="1"/>
  <c r="AE47" i="8"/>
  <c r="AF47" i="8" s="1"/>
  <c r="AA47" i="4" s="1"/>
  <c r="AC47" i="8"/>
  <c r="AD47" i="8" s="1"/>
  <c r="Z47" i="4" s="1"/>
  <c r="AE281" i="8"/>
  <c r="AF281" i="8" s="1"/>
  <c r="AA281" i="4" s="1"/>
  <c r="AC281" i="8"/>
  <c r="AD281" i="8" s="1"/>
  <c r="Z281" i="4" s="1"/>
  <c r="AE92" i="8"/>
  <c r="AF92" i="8" s="1"/>
  <c r="AA92" i="4" s="1"/>
  <c r="AC92" i="8"/>
  <c r="AD92" i="8" s="1"/>
  <c r="Z92" i="4" s="1"/>
  <c r="AE264" i="8"/>
  <c r="AF264" i="8" s="1"/>
  <c r="AA264" i="4" s="1"/>
  <c r="AC264" i="8"/>
  <c r="AD264" i="8" s="1"/>
  <c r="Z264" i="4" s="1"/>
  <c r="AC186" i="8"/>
  <c r="AD186" i="8" s="1"/>
  <c r="Z186" i="4" s="1"/>
  <c r="AE198" i="8"/>
  <c r="AF198" i="8" s="1"/>
  <c r="AA198" i="4" s="1"/>
  <c r="AE27" i="8"/>
  <c r="AF27" i="8" s="1"/>
  <c r="AA27" i="4" s="1"/>
  <c r="AC27" i="8"/>
  <c r="AD27" i="8" s="1"/>
  <c r="Z27" i="4" s="1"/>
  <c r="AE147" i="8"/>
  <c r="AF147" i="8" s="1"/>
  <c r="AA147" i="4" s="1"/>
  <c r="AC147" i="8"/>
  <c r="AD147" i="8" s="1"/>
  <c r="Z147" i="4" s="1"/>
  <c r="AC168" i="8"/>
  <c r="AD168" i="8" s="1"/>
  <c r="Z168" i="4" s="1"/>
  <c r="AE24" i="8"/>
  <c r="AF24" i="8" s="1"/>
  <c r="AA24" i="4" s="1"/>
  <c r="AC24" i="8"/>
  <c r="AD24" i="8" s="1"/>
  <c r="Z24" i="4" s="1"/>
  <c r="AE33" i="8"/>
  <c r="AF33" i="8" s="1"/>
  <c r="AA33" i="4" s="1"/>
  <c r="AC33" i="8"/>
  <c r="AD33" i="8" s="1"/>
  <c r="Z33" i="4" s="1"/>
  <c r="Z225" i="8"/>
  <c r="AA225" i="8" s="1"/>
  <c r="AB225" i="8" s="1"/>
  <c r="Z51" i="8"/>
  <c r="AA51" i="8" s="1"/>
  <c r="AB51" i="8" s="1"/>
  <c r="Z129" i="8"/>
  <c r="AA129" i="8" s="1"/>
  <c r="AB129" i="8" s="1"/>
  <c r="Z109" i="8"/>
  <c r="AA109" i="8" s="1"/>
  <c r="AB109" i="8" s="1"/>
  <c r="Z121" i="8"/>
  <c r="AA121" i="8" s="1"/>
  <c r="AB121" i="8" s="1"/>
  <c r="Z277" i="8"/>
  <c r="AA277" i="8" s="1"/>
  <c r="AB277" i="8" s="1"/>
  <c r="Z52" i="8"/>
  <c r="AA52" i="8" s="1"/>
  <c r="AB52" i="8" s="1"/>
  <c r="Z41" i="8"/>
  <c r="AA41" i="8" s="1"/>
  <c r="AB41" i="8" s="1"/>
  <c r="AR16" i="8"/>
  <c r="AS16" i="8" s="1"/>
  <c r="AT16" i="8" s="1"/>
  <c r="AU16" i="8" s="1"/>
  <c r="AC16" i="4" s="1"/>
  <c r="AK20" i="8"/>
  <c r="AL20" i="8" s="1"/>
  <c r="AM20" i="8" s="1"/>
  <c r="AN20" i="8" s="1"/>
  <c r="AO20" i="8" s="1"/>
  <c r="AB20" i="4" s="1"/>
  <c r="AC305" i="8"/>
  <c r="AD305" i="8" s="1"/>
  <c r="Z305" i="4" s="1"/>
  <c r="AE21" i="8"/>
  <c r="AF21" i="8" s="1"/>
  <c r="AA21" i="4" s="1"/>
  <c r="AC21" i="8"/>
  <c r="AD21" i="8" s="1"/>
  <c r="Z21" i="4" s="1"/>
  <c r="AE30" i="8"/>
  <c r="AF30" i="8" s="1"/>
  <c r="AA30" i="4" s="1"/>
  <c r="AC30" i="8"/>
  <c r="AD30" i="8" s="1"/>
  <c r="Z30" i="4" s="1"/>
  <c r="AE15" i="8"/>
  <c r="AF15" i="8" s="1"/>
  <c r="AA15" i="4" s="1"/>
  <c r="AC15" i="8"/>
  <c r="AD15" i="8" s="1"/>
  <c r="Z15" i="4" s="1"/>
  <c r="AE234" i="8"/>
  <c r="AF234" i="8" s="1"/>
  <c r="AA234" i="4" s="1"/>
  <c r="AC234" i="8"/>
  <c r="AD234" i="8" s="1"/>
  <c r="Z234" i="4" s="1"/>
  <c r="AC274" i="8"/>
  <c r="AD274" i="8" s="1"/>
  <c r="Z274" i="4" s="1"/>
  <c r="AE274" i="8"/>
  <c r="AF274" i="8" s="1"/>
  <c r="AA274" i="4" s="1"/>
  <c r="AQ228" i="8"/>
  <c r="AR228" i="8" s="1"/>
  <c r="AS228" i="8" s="1"/>
  <c r="AT228" i="8" s="1"/>
  <c r="AU228" i="8" s="1"/>
  <c r="AC228" i="4" s="1"/>
  <c r="AK228" i="8"/>
  <c r="AL228" i="8" s="1"/>
  <c r="AM228" i="8" s="1"/>
  <c r="AN228" i="8" s="1"/>
  <c r="AO228" i="8" s="1"/>
  <c r="AB228" i="4" s="1"/>
  <c r="AQ45" i="8"/>
  <c r="AR45" i="8" s="1"/>
  <c r="AS45" i="8" s="1"/>
  <c r="AT45" i="8" s="1"/>
  <c r="AU45" i="8" s="1"/>
  <c r="AC45" i="4" s="1"/>
  <c r="AK45" i="8"/>
  <c r="AL45" i="8" s="1"/>
  <c r="AM45" i="8" s="1"/>
  <c r="AN45" i="8" s="1"/>
  <c r="AO45" i="8" s="1"/>
  <c r="AB45" i="4" s="1"/>
  <c r="AQ18" i="8"/>
  <c r="AR18" i="8" s="1"/>
  <c r="AS18" i="8" s="1"/>
  <c r="AT18" i="8" s="1"/>
  <c r="AU18" i="8" s="1"/>
  <c r="AC18" i="4" s="1"/>
  <c r="AK18" i="8"/>
  <c r="AL18" i="8" s="1"/>
  <c r="AM18" i="8" s="1"/>
  <c r="AN18" i="8" s="1"/>
  <c r="AO18" i="8" s="1"/>
  <c r="AB18" i="4" s="1"/>
  <c r="AE99" i="8"/>
  <c r="AF99" i="8" s="1"/>
  <c r="AA99" i="4" s="1"/>
  <c r="AC99" i="8"/>
  <c r="AD99" i="8" s="1"/>
  <c r="Z99" i="4" s="1"/>
  <c r="AE205" i="8"/>
  <c r="AF205" i="8" s="1"/>
  <c r="AA205" i="4" s="1"/>
  <c r="AC205" i="8"/>
  <c r="AD205" i="8" s="1"/>
  <c r="Z205" i="4" s="1"/>
  <c r="AE309" i="8"/>
  <c r="AF309" i="8" s="1"/>
  <c r="AA309" i="4" s="1"/>
  <c r="AC309" i="8"/>
  <c r="AD309" i="8" s="1"/>
  <c r="Z309" i="4" s="1"/>
  <c r="AC62" i="8"/>
  <c r="AD62" i="8" s="1"/>
  <c r="Z62" i="4" s="1"/>
  <c r="AE62" i="8"/>
  <c r="AF62" i="8" s="1"/>
  <c r="AA62" i="4" s="1"/>
  <c r="AE262" i="8"/>
  <c r="AF262" i="8" s="1"/>
  <c r="AA262" i="4" s="1"/>
  <c r="AC262" i="8"/>
  <c r="AD262" i="8" s="1"/>
  <c r="Z262" i="4" s="1"/>
  <c r="AQ236" i="8"/>
  <c r="AK236" i="8"/>
  <c r="AL236" i="8" s="1"/>
  <c r="AM236" i="8" s="1"/>
  <c r="AN236" i="8" s="1"/>
  <c r="AO236" i="8" s="1"/>
  <c r="AB236" i="4" s="1"/>
  <c r="AQ26" i="8"/>
  <c r="AK26" i="8"/>
  <c r="AL26" i="8" s="1"/>
  <c r="AM26" i="8" s="1"/>
  <c r="AN26" i="8" s="1"/>
  <c r="AO26" i="8" s="1"/>
  <c r="AB26" i="4" s="1"/>
  <c r="AC209" i="8"/>
  <c r="AD209" i="8" s="1"/>
  <c r="Z209" i="4" s="1"/>
  <c r="AE209" i="8"/>
  <c r="AF209" i="8" s="1"/>
  <c r="AA209" i="4" s="1"/>
  <c r="AE287" i="8"/>
  <c r="AF287" i="8" s="1"/>
  <c r="AA287" i="4" s="1"/>
  <c r="AC287" i="8"/>
  <c r="AD287" i="8" s="1"/>
  <c r="Z287" i="4" s="1"/>
  <c r="AE188" i="8"/>
  <c r="AF188" i="8" s="1"/>
  <c r="AA188" i="4" s="1"/>
  <c r="AC188" i="8"/>
  <c r="AD188" i="8" s="1"/>
  <c r="Z188" i="4" s="1"/>
  <c r="AE128" i="8"/>
  <c r="AF128" i="8" s="1"/>
  <c r="AA128" i="4" s="1"/>
  <c r="AC128" i="8"/>
  <c r="AD128" i="8" s="1"/>
  <c r="Z128" i="4" s="1"/>
  <c r="AE135" i="8"/>
  <c r="AF135" i="8" s="1"/>
  <c r="AA135" i="4" s="1"/>
  <c r="AC135" i="8"/>
  <c r="AD135" i="8" s="1"/>
  <c r="Z135" i="4" s="1"/>
  <c r="Z71" i="8"/>
  <c r="AA71" i="8" s="1"/>
  <c r="AB71" i="8" s="1"/>
  <c r="Z117" i="8"/>
  <c r="AA117" i="8" s="1"/>
  <c r="AB117" i="8" s="1"/>
  <c r="Z123" i="8"/>
  <c r="AA123" i="8" s="1"/>
  <c r="AB123" i="8" s="1"/>
  <c r="Z177" i="8"/>
  <c r="AA177" i="8" s="1"/>
  <c r="AB177" i="8" s="1"/>
  <c r="Z201" i="8"/>
  <c r="Z64" i="8"/>
  <c r="AA64" i="8" s="1"/>
  <c r="AB64" i="8" s="1"/>
  <c r="Z14" i="8"/>
  <c r="AA14" i="8" s="1"/>
  <c r="AB14" i="8" s="1"/>
  <c r="AR36" i="8"/>
  <c r="AS36" i="8" s="1"/>
  <c r="AT36" i="8" s="1"/>
  <c r="AU36" i="8" s="1"/>
  <c r="AC36" i="4" s="1"/>
  <c r="X15" i="3"/>
  <c r="J15" i="7"/>
  <c r="K15" i="7" s="1"/>
  <c r="X180" i="3"/>
  <c r="J20" i="7"/>
  <c r="K20" i="7" s="1"/>
  <c r="J97" i="7"/>
  <c r="K97" i="7" s="1"/>
  <c r="J22" i="7"/>
  <c r="K22" i="7" s="1"/>
  <c r="J89" i="7"/>
  <c r="K89" i="7" s="1"/>
  <c r="J240" i="7"/>
  <c r="K240" i="7" s="1"/>
  <c r="J43" i="7"/>
  <c r="K43" i="7" s="1"/>
  <c r="J213" i="7"/>
  <c r="K213" i="7" s="1"/>
  <c r="J144" i="7"/>
  <c r="K144" i="7" s="1"/>
  <c r="X80" i="3"/>
  <c r="J299" i="7"/>
  <c r="K299" i="7" s="1"/>
  <c r="J11" i="7"/>
  <c r="K11" i="7" s="1"/>
  <c r="J115" i="7"/>
  <c r="K115" i="7" s="1"/>
  <c r="X149" i="3"/>
  <c r="I258" i="6"/>
  <c r="N128" i="8"/>
  <c r="J262" i="7"/>
  <c r="K262" i="7" s="1"/>
  <c r="J237" i="7"/>
  <c r="K237" i="7" s="1"/>
  <c r="J113" i="7"/>
  <c r="K113" i="7" s="1"/>
  <c r="J191" i="7"/>
  <c r="K191" i="7" s="1"/>
  <c r="J102" i="7"/>
  <c r="K102" i="7" s="1"/>
  <c r="I227" i="6"/>
  <c r="J232" i="7"/>
  <c r="K232" i="7" s="1"/>
  <c r="J293" i="7"/>
  <c r="K293" i="7" s="1"/>
  <c r="X186" i="3"/>
  <c r="J206" i="7"/>
  <c r="K206" i="7" s="1"/>
  <c r="N269" i="8"/>
  <c r="J285" i="7"/>
  <c r="K285" i="7" s="1"/>
  <c r="J277" i="7"/>
  <c r="K277" i="7" s="1"/>
  <c r="N110" i="8"/>
  <c r="N116" i="8"/>
  <c r="J90" i="7"/>
  <c r="K90" i="7" s="1"/>
  <c r="J108" i="7"/>
  <c r="K108" i="7" s="1"/>
  <c r="J281" i="7"/>
  <c r="K281" i="7" s="1"/>
  <c r="X69" i="3"/>
  <c r="N76" i="8"/>
  <c r="J135" i="7"/>
  <c r="K135" i="7" s="1"/>
  <c r="J249" i="7"/>
  <c r="K249" i="7" s="1"/>
  <c r="J96" i="7"/>
  <c r="K96" i="7" s="1"/>
  <c r="J202" i="7"/>
  <c r="K202" i="7" s="1"/>
  <c r="J159" i="7"/>
  <c r="K159" i="7" s="1"/>
  <c r="X68" i="3"/>
  <c r="J176" i="7"/>
  <c r="K176" i="7" s="1"/>
  <c r="J112" i="7"/>
  <c r="K112" i="7" s="1"/>
  <c r="J85" i="7"/>
  <c r="K85" i="7" s="1"/>
  <c r="J84" i="7"/>
  <c r="K84" i="7" s="1"/>
  <c r="J287" i="7"/>
  <c r="K287" i="7" s="1"/>
  <c r="J210" i="7"/>
  <c r="K210" i="7" s="1"/>
  <c r="J148" i="7"/>
  <c r="K148" i="7" s="1"/>
  <c r="J71" i="7"/>
  <c r="K71" i="7" s="1"/>
  <c r="N196" i="8"/>
  <c r="I196" i="6"/>
  <c r="N56" i="8"/>
  <c r="I56" i="6"/>
  <c r="N111" i="8"/>
  <c r="I111" i="6"/>
  <c r="N107" i="8"/>
  <c r="I107" i="6"/>
  <c r="N244" i="8"/>
  <c r="I244" i="6"/>
  <c r="N214" i="8"/>
  <c r="I214" i="6"/>
  <c r="N306" i="8"/>
  <c r="I306" i="6"/>
  <c r="J66" i="7"/>
  <c r="K66" i="7" s="1"/>
  <c r="X66" i="3"/>
  <c r="J58" i="7"/>
  <c r="K58" i="7" s="1"/>
  <c r="X58" i="3"/>
  <c r="N181" i="8"/>
  <c r="I181" i="6"/>
  <c r="N69" i="8"/>
  <c r="I69" i="6"/>
  <c r="N188" i="8"/>
  <c r="I188" i="6"/>
  <c r="N159" i="8"/>
  <c r="I159" i="6"/>
  <c r="N198" i="8"/>
  <c r="I198" i="6"/>
  <c r="X113" i="3"/>
  <c r="J297" i="7"/>
  <c r="K297" i="7" s="1"/>
  <c r="J283" i="7"/>
  <c r="K283" i="7" s="1"/>
  <c r="J105" i="7"/>
  <c r="K105" i="7" s="1"/>
  <c r="J221" i="7"/>
  <c r="K221" i="7" s="1"/>
  <c r="J110" i="7"/>
  <c r="K110" i="7" s="1"/>
  <c r="N156" i="8"/>
  <c r="I156" i="6"/>
  <c r="N310" i="8"/>
  <c r="I310" i="6"/>
  <c r="N184" i="8"/>
  <c r="I184" i="6"/>
  <c r="N210" i="8"/>
  <c r="I210" i="6"/>
  <c r="N207" i="8"/>
  <c r="I207" i="6"/>
  <c r="N197" i="8"/>
  <c r="I197" i="6"/>
  <c r="N101" i="8"/>
  <c r="I101" i="6"/>
  <c r="N274" i="8"/>
  <c r="I274" i="6"/>
  <c r="I67" i="6"/>
  <c r="N67" i="8"/>
  <c r="N149" i="8"/>
  <c r="I149" i="6"/>
  <c r="N200" i="8"/>
  <c r="I200" i="6"/>
  <c r="N203" i="8"/>
  <c r="I203" i="6"/>
  <c r="I108" i="6"/>
  <c r="N108" i="8"/>
  <c r="N85" i="8"/>
  <c r="I85" i="6"/>
  <c r="N163" i="8"/>
  <c r="I163" i="6"/>
  <c r="I152" i="6"/>
  <c r="N152" i="8"/>
  <c r="N92" i="8"/>
  <c r="I92" i="6"/>
  <c r="N202" i="8"/>
  <c r="I202" i="6"/>
  <c r="J184" i="7"/>
  <c r="K184" i="7" s="1"/>
  <c r="J107" i="7"/>
  <c r="K107" i="7" s="1"/>
  <c r="X191" i="3"/>
  <c r="X107" i="3"/>
  <c r="X233" i="3"/>
  <c r="I256" i="6"/>
  <c r="N112" i="8"/>
  <c r="I287" i="6"/>
  <c r="N57" i="8"/>
  <c r="J291" i="7"/>
  <c r="K291" i="7" s="1"/>
  <c r="J310" i="7"/>
  <c r="K310" i="7" s="1"/>
  <c r="I167" i="6"/>
  <c r="J274" i="7"/>
  <c r="K274" i="7" s="1"/>
  <c r="J155" i="7"/>
  <c r="K155" i="7" s="1"/>
  <c r="J40" i="7"/>
  <c r="K40" i="7" s="1"/>
  <c r="X23" i="3"/>
  <c r="J23" i="7"/>
  <c r="K23" i="7" s="1"/>
  <c r="X152" i="3"/>
  <c r="J152" i="7"/>
  <c r="K152" i="7" s="1"/>
  <c r="X225" i="3"/>
  <c r="J225" i="7"/>
  <c r="K225" i="7" s="1"/>
  <c r="J74" i="7"/>
  <c r="K74" i="7" s="1"/>
  <c r="X74" i="3"/>
  <c r="J99" i="7"/>
  <c r="K99" i="7" s="1"/>
  <c r="X99" i="3"/>
  <c r="J156" i="7"/>
  <c r="K156" i="7" s="1"/>
  <c r="J229" i="7"/>
  <c r="K229" i="7" s="1"/>
  <c r="X29" i="3"/>
  <c r="X188" i="3"/>
  <c r="X187" i="3"/>
  <c r="X184" i="3"/>
  <c r="J203" i="7"/>
  <c r="K203" i="7" s="1"/>
  <c r="J228" i="7"/>
  <c r="K228" i="7" s="1"/>
  <c r="J173" i="7"/>
  <c r="K173" i="7" s="1"/>
  <c r="J220" i="7"/>
  <c r="K220" i="7" s="1"/>
  <c r="J114" i="7"/>
  <c r="K114" i="7" s="1"/>
  <c r="X114" i="3"/>
  <c r="X55" i="3"/>
  <c r="J55" i="7"/>
  <c r="K55" i="7" s="1"/>
  <c r="X62" i="3"/>
  <c r="J62" i="7"/>
  <c r="K62" i="7" s="1"/>
  <c r="X17" i="3"/>
  <c r="J17" i="7"/>
  <c r="K17" i="7" s="1"/>
  <c r="X59" i="3"/>
  <c r="J59" i="7"/>
  <c r="K59" i="7" s="1"/>
  <c r="X116" i="3"/>
  <c r="J116" i="7"/>
  <c r="K116" i="7" s="1"/>
  <c r="X209" i="3"/>
  <c r="J209" i="7"/>
  <c r="K209" i="7" s="1"/>
  <c r="J244" i="7"/>
  <c r="K244" i="7" s="1"/>
  <c r="J56" i="7"/>
  <c r="K56" i="7" s="1"/>
  <c r="J92" i="7"/>
  <c r="K92" i="7" s="1"/>
  <c r="X217" i="3"/>
  <c r="J301" i="7"/>
  <c r="K301" i="7" s="1"/>
  <c r="J150" i="7"/>
  <c r="K150" i="7" s="1"/>
  <c r="J181" i="7"/>
  <c r="K181" i="7" s="1"/>
  <c r="J34" i="7"/>
  <c r="K34" i="7" s="1"/>
  <c r="J290" i="7"/>
  <c r="K290" i="7" s="1"/>
  <c r="J134" i="7"/>
  <c r="K134" i="7" s="1"/>
  <c r="J289" i="7"/>
  <c r="K289" i="7" s="1"/>
  <c r="J51" i="7"/>
  <c r="K51" i="7" s="1"/>
  <c r="J145" i="7"/>
  <c r="K145" i="7" s="1"/>
  <c r="J77" i="7"/>
  <c r="K77" i="7" s="1"/>
  <c r="J169" i="7"/>
  <c r="K169" i="7" s="1"/>
  <c r="J234" i="7"/>
  <c r="K234" i="7" s="1"/>
  <c r="J212" i="7"/>
  <c r="K212" i="7" s="1"/>
  <c r="J125" i="7"/>
  <c r="K125" i="7" s="1"/>
  <c r="J95" i="7"/>
  <c r="K95" i="7" s="1"/>
  <c r="J109" i="7"/>
  <c r="K109" i="7" s="1"/>
  <c r="J185" i="7"/>
  <c r="K185" i="7" s="1"/>
  <c r="J82" i="7"/>
  <c r="K82" i="7" s="1"/>
  <c r="J79" i="7"/>
  <c r="K79" i="7" s="1"/>
  <c r="J288" i="7"/>
  <c r="K288" i="7" s="1"/>
  <c r="J153" i="7"/>
  <c r="K153" i="7" s="1"/>
  <c r="J168" i="7"/>
  <c r="K168" i="7" s="1"/>
  <c r="J219" i="7"/>
  <c r="K219" i="7" s="1"/>
  <c r="J295" i="7"/>
  <c r="K295" i="7" s="1"/>
  <c r="J161" i="7"/>
  <c r="K161" i="7" s="1"/>
  <c r="J309" i="7"/>
  <c r="K309" i="7" s="1"/>
  <c r="J147" i="7"/>
  <c r="K147" i="7" s="1"/>
  <c r="J131" i="7"/>
  <c r="K131" i="7" s="1"/>
  <c r="J127" i="7"/>
  <c r="K127" i="7" s="1"/>
  <c r="J123" i="7"/>
  <c r="K123" i="7" s="1"/>
  <c r="J119" i="7"/>
  <c r="K119" i="7" s="1"/>
  <c r="J75" i="7"/>
  <c r="K75" i="7" s="1"/>
  <c r="J306" i="7"/>
  <c r="K306" i="7" s="1"/>
  <c r="J251" i="7"/>
  <c r="K251" i="7" s="1"/>
  <c r="J224" i="7"/>
  <c r="K224" i="7" s="1"/>
  <c r="J215" i="7"/>
  <c r="K215" i="7" s="1"/>
  <c r="J200" i="7"/>
  <c r="K200" i="7" s="1"/>
  <c r="J196" i="7"/>
  <c r="K196" i="7" s="1"/>
  <c r="J167" i="7"/>
  <c r="K167" i="7" s="1"/>
  <c r="J163" i="7"/>
  <c r="K163" i="7" s="1"/>
  <c r="X140" i="3"/>
  <c r="J140" i="7"/>
  <c r="K140" i="7" s="1"/>
  <c r="J104" i="7"/>
  <c r="K104" i="7" s="1"/>
  <c r="X104" i="3"/>
  <c r="J93" i="7"/>
  <c r="K93" i="7" s="1"/>
  <c r="J247" i="7"/>
  <c r="K247" i="7" s="1"/>
  <c r="X247" i="3"/>
  <c r="J179" i="7"/>
  <c r="K179" i="7" s="1"/>
  <c r="J269" i="7"/>
  <c r="K269" i="7" s="1"/>
  <c r="J239" i="7"/>
  <c r="K239" i="7" s="1"/>
  <c r="N70" i="8"/>
  <c r="I70" i="6"/>
  <c r="N64" i="8"/>
  <c r="I64" i="6"/>
  <c r="N63" i="8"/>
  <c r="I63" i="6"/>
  <c r="J255" i="7"/>
  <c r="K255" i="7" s="1"/>
  <c r="J73" i="7"/>
  <c r="K73" i="7" s="1"/>
  <c r="I254" i="6"/>
  <c r="N254" i="8"/>
  <c r="N103" i="8"/>
  <c r="I103" i="6"/>
  <c r="J242" i="7"/>
  <c r="K242" i="7" s="1"/>
  <c r="J42" i="7"/>
  <c r="K42" i="7" s="1"/>
  <c r="N291" i="8"/>
  <c r="I291" i="6"/>
  <c r="N279" i="8"/>
  <c r="I279" i="6"/>
  <c r="N189" i="8"/>
  <c r="I189" i="6"/>
  <c r="J171" i="7"/>
  <c r="K171" i="7" s="1"/>
  <c r="N160" i="8"/>
  <c r="I160" i="6"/>
  <c r="J142" i="7"/>
  <c r="K142" i="7" s="1"/>
  <c r="N238" i="8"/>
  <c r="I238" i="6"/>
  <c r="N211" i="8"/>
  <c r="I211" i="6"/>
  <c r="N208" i="8"/>
  <c r="I208" i="6"/>
  <c r="J253" i="7"/>
  <c r="K253" i="7" s="1"/>
  <c r="J248" i="7"/>
  <c r="K248" i="7" s="1"/>
  <c r="N179" i="8"/>
  <c r="I179" i="6"/>
  <c r="J172" i="7"/>
  <c r="K172" i="7" s="1"/>
  <c r="N235" i="8"/>
  <c r="I235" i="6"/>
  <c r="J227" i="7"/>
  <c r="K227" i="7" s="1"/>
  <c r="N216" i="8"/>
  <c r="I216" i="6"/>
  <c r="J103" i="7"/>
  <c r="K103" i="7" s="1"/>
  <c r="N267" i="8"/>
  <c r="I267" i="6"/>
  <c r="N259" i="8"/>
  <c r="I259" i="6"/>
  <c r="J117" i="7"/>
  <c r="K117" i="7" s="1"/>
  <c r="J132" i="7"/>
  <c r="K132" i="7" s="1"/>
  <c r="J128" i="7"/>
  <c r="K128" i="7" s="1"/>
  <c r="J124" i="7"/>
  <c r="K124" i="7" s="1"/>
  <c r="J120" i="7"/>
  <c r="K120" i="7" s="1"/>
  <c r="J53" i="7"/>
  <c r="K53" i="7" s="1"/>
  <c r="J259" i="7"/>
  <c r="K259" i="7" s="1"/>
  <c r="J216" i="7"/>
  <c r="K216" i="7" s="1"/>
  <c r="J201" i="7"/>
  <c r="K201" i="7" s="1"/>
  <c r="J197" i="7"/>
  <c r="K197" i="7" s="1"/>
  <c r="J164" i="7"/>
  <c r="K164" i="7" s="1"/>
  <c r="J76" i="7"/>
  <c r="K76" i="7" s="1"/>
  <c r="X76" i="3"/>
  <c r="J54" i="7"/>
  <c r="K54" i="7" s="1"/>
  <c r="X54" i="3"/>
  <c r="J64" i="7"/>
  <c r="K64" i="7" s="1"/>
  <c r="N72" i="8"/>
  <c r="I72" i="6"/>
  <c r="J63" i="7"/>
  <c r="K63" i="7" s="1"/>
  <c r="J175" i="7"/>
  <c r="K175" i="7" s="1"/>
  <c r="J246" i="7"/>
  <c r="K246" i="7" s="1"/>
  <c r="J160" i="7"/>
  <c r="K160" i="7" s="1"/>
  <c r="N73" i="8"/>
  <c r="I73" i="6"/>
  <c r="J192" i="7"/>
  <c r="K192" i="7" s="1"/>
  <c r="N157" i="8"/>
  <c r="I157" i="6"/>
  <c r="J226" i="7"/>
  <c r="K226" i="7" s="1"/>
  <c r="J218" i="7"/>
  <c r="K218" i="7" s="1"/>
  <c r="N168" i="8"/>
  <c r="I168" i="6"/>
  <c r="N242" i="8"/>
  <c r="I242" i="6"/>
  <c r="J235" i="7"/>
  <c r="K235" i="7" s="1"/>
  <c r="N231" i="8"/>
  <c r="I231" i="6"/>
  <c r="N39" i="8"/>
  <c r="I39" i="6"/>
  <c r="J267" i="7"/>
  <c r="K267" i="7" s="1"/>
  <c r="J264" i="7"/>
  <c r="K264" i="7" s="1"/>
  <c r="N263" i="8"/>
  <c r="I263" i="6"/>
  <c r="N255" i="8"/>
  <c r="I255" i="6"/>
  <c r="N252" i="8"/>
  <c r="I252" i="6"/>
  <c r="J50" i="7"/>
  <c r="K50" i="7" s="1"/>
  <c r="J146" i="7"/>
  <c r="K146" i="7" s="1"/>
  <c r="J257" i="7"/>
  <c r="K257" i="7" s="1"/>
  <c r="J39" i="7"/>
  <c r="K39" i="7" s="1"/>
  <c r="J100" i="7"/>
  <c r="K100" i="7" s="1"/>
  <c r="J268" i="7"/>
  <c r="K268" i="7" s="1"/>
  <c r="J193" i="7"/>
  <c r="K193" i="7" s="1"/>
  <c r="J81" i="7"/>
  <c r="K81" i="7" s="1"/>
  <c r="J305" i="7"/>
  <c r="K305" i="7" s="1"/>
  <c r="J236" i="7"/>
  <c r="K236" i="7" s="1"/>
  <c r="J133" i="7"/>
  <c r="K133" i="7" s="1"/>
  <c r="J129" i="7"/>
  <c r="K129" i="7" s="1"/>
  <c r="J121" i="7"/>
  <c r="K121" i="7" s="1"/>
  <c r="J78" i="7"/>
  <c r="K78" i="7" s="1"/>
  <c r="J60" i="7"/>
  <c r="K60" i="7" s="1"/>
  <c r="J260" i="7"/>
  <c r="K260" i="7" s="1"/>
  <c r="J231" i="7"/>
  <c r="K231" i="7" s="1"/>
  <c r="J222" i="7"/>
  <c r="K222" i="7" s="1"/>
  <c r="J205" i="7"/>
  <c r="K205" i="7" s="1"/>
  <c r="J198" i="7"/>
  <c r="K198" i="7" s="1"/>
  <c r="J165" i="7"/>
  <c r="K165" i="7" s="1"/>
  <c r="J88" i="7"/>
  <c r="K88" i="7" s="1"/>
  <c r="X88" i="3"/>
  <c r="J57" i="7"/>
  <c r="K57" i="7" s="1"/>
  <c r="N131" i="8"/>
  <c r="I131" i="6"/>
  <c r="J256" i="7"/>
  <c r="K256" i="7" s="1"/>
  <c r="J211" i="7"/>
  <c r="K211" i="7" s="1"/>
  <c r="J178" i="7"/>
  <c r="K178" i="7" s="1"/>
  <c r="J61" i="7"/>
  <c r="K61" i="7" s="1"/>
  <c r="N71" i="8"/>
  <c r="I71" i="6"/>
  <c r="N68" i="8"/>
  <c r="I68" i="6"/>
  <c r="J143" i="7"/>
  <c r="K143" i="7" s="1"/>
  <c r="J208" i="7"/>
  <c r="K208" i="7" s="1"/>
  <c r="N299" i="8"/>
  <c r="I299" i="6"/>
  <c r="N86" i="8"/>
  <c r="I86" i="6"/>
  <c r="J189" i="7"/>
  <c r="K189" i="7" s="1"/>
  <c r="N171" i="8"/>
  <c r="I171" i="6"/>
  <c r="J238" i="7"/>
  <c r="K238" i="7" s="1"/>
  <c r="J230" i="7"/>
  <c r="K230" i="7" s="1"/>
  <c r="N222" i="8"/>
  <c r="I222" i="6"/>
  <c r="J136" i="7"/>
  <c r="K136" i="7" s="1"/>
  <c r="N270" i="8"/>
  <c r="I270" i="6"/>
  <c r="N175" i="8"/>
  <c r="I175" i="6"/>
  <c r="N147" i="8"/>
  <c r="I147" i="6"/>
  <c r="N239" i="8"/>
  <c r="I239" i="6"/>
  <c r="J266" i="7"/>
  <c r="K266" i="7" s="1"/>
  <c r="N265" i="8"/>
  <c r="I265" i="6"/>
  <c r="J263" i="7"/>
  <c r="K263" i="7" s="1"/>
  <c r="J252" i="7"/>
  <c r="K252" i="7" s="1"/>
  <c r="N250" i="8"/>
  <c r="I250" i="6"/>
  <c r="J177" i="7"/>
  <c r="K177" i="7" s="1"/>
  <c r="J308" i="7"/>
  <c r="K308" i="7" s="1"/>
  <c r="J130" i="7"/>
  <c r="K130" i="7" s="1"/>
  <c r="J126" i="7"/>
  <c r="K126" i="7" s="1"/>
  <c r="J122" i="7"/>
  <c r="K122" i="7" s="1"/>
  <c r="J118" i="7"/>
  <c r="K118" i="7" s="1"/>
  <c r="J65" i="7"/>
  <c r="K65" i="7" s="1"/>
  <c r="X65" i="3"/>
  <c r="J250" i="7"/>
  <c r="K250" i="7" s="1"/>
  <c r="J223" i="7"/>
  <c r="K223" i="7" s="1"/>
  <c r="J214" i="7"/>
  <c r="K214" i="7" s="1"/>
  <c r="J199" i="7"/>
  <c r="K199" i="7" s="1"/>
  <c r="J195" i="7"/>
  <c r="K195" i="7" s="1"/>
  <c r="J166" i="7"/>
  <c r="K166" i="7" s="1"/>
  <c r="J162" i="7"/>
  <c r="K162" i="7" s="1"/>
  <c r="J138" i="7"/>
  <c r="K138" i="7" s="1"/>
  <c r="X138" i="3"/>
  <c r="J98" i="7"/>
  <c r="K98" i="7" s="1"/>
  <c r="J91" i="7"/>
  <c r="K91" i="7" s="1"/>
  <c r="J67" i="7"/>
  <c r="K67" i="7" s="1"/>
  <c r="X67" i="3"/>
  <c r="J241" i="7"/>
  <c r="K241" i="7" s="1"/>
  <c r="N61" i="8"/>
  <c r="I61" i="6"/>
  <c r="J72" i="7"/>
  <c r="K72" i="7" s="1"/>
  <c r="J182" i="7"/>
  <c r="K182" i="7" s="1"/>
  <c r="J101" i="7"/>
  <c r="K101" i="7" s="1"/>
  <c r="I260" i="6"/>
  <c r="N260" i="8"/>
  <c r="N295" i="8"/>
  <c r="I295" i="6"/>
  <c r="N283" i="8"/>
  <c r="I283" i="6"/>
  <c r="J86" i="7"/>
  <c r="K86" i="7" s="1"/>
  <c r="N192" i="8"/>
  <c r="I192" i="6"/>
  <c r="J157" i="7"/>
  <c r="K157" i="7" s="1"/>
  <c r="N142" i="8"/>
  <c r="I142" i="6"/>
  <c r="N42" i="8"/>
  <c r="I42" i="6"/>
  <c r="N172" i="8"/>
  <c r="I172" i="6"/>
  <c r="N165" i="8"/>
  <c r="I165" i="6"/>
  <c r="N143" i="8"/>
  <c r="I143" i="6"/>
  <c r="J265" i="7"/>
  <c r="K265" i="7" s="1"/>
  <c r="N264" i="8"/>
  <c r="I264" i="6"/>
  <c r="J261" i="7"/>
  <c r="K261" i="7" s="1"/>
  <c r="J174" i="7"/>
  <c r="K174" i="7" s="1"/>
  <c r="J94" i="7"/>
  <c r="K94" i="7" s="1"/>
  <c r="J70" i="7"/>
  <c r="K70" i="7" s="1"/>
  <c r="J270" i="7"/>
  <c r="K270" i="7" s="1"/>
  <c r="W302" i="3"/>
  <c r="X302" i="3" s="1"/>
  <c r="X161" i="3"/>
  <c r="N193" i="8"/>
  <c r="I193" i="6"/>
  <c r="N161" i="8"/>
  <c r="I161" i="6"/>
  <c r="X117" i="3"/>
  <c r="N185" i="8"/>
  <c r="I185" i="6"/>
  <c r="N153" i="8"/>
  <c r="I153" i="6"/>
  <c r="N212" i="8"/>
  <c r="I212" i="6"/>
  <c r="X134" i="3"/>
  <c r="X125" i="3"/>
  <c r="X109" i="3"/>
  <c r="N51" i="8"/>
  <c r="I51" i="6"/>
  <c r="W300" i="3"/>
  <c r="X300" i="3" s="1"/>
  <c r="W298" i="3"/>
  <c r="X298" i="3" s="1"/>
  <c r="W296" i="3"/>
  <c r="X296" i="3" s="1"/>
  <c r="W294" i="3"/>
  <c r="X294" i="3" s="1"/>
  <c r="W292" i="3"/>
  <c r="X292" i="3" s="1"/>
  <c r="W286" i="3"/>
  <c r="X286" i="3" s="1"/>
  <c r="W284" i="3"/>
  <c r="X284" i="3" s="1"/>
  <c r="W282" i="3"/>
  <c r="X282" i="3" s="1"/>
  <c r="W280" i="3"/>
  <c r="X280" i="3" s="1"/>
  <c r="W278" i="3"/>
  <c r="X278" i="3" s="1"/>
  <c r="W303" i="3"/>
  <c r="X303" i="3" s="1"/>
  <c r="W275" i="3"/>
  <c r="X275" i="3" s="1"/>
  <c r="W272" i="3"/>
  <c r="X272" i="3" s="1"/>
  <c r="W271" i="3"/>
  <c r="X271" i="3" s="1"/>
  <c r="X236" i="3"/>
  <c r="X212" i="3"/>
  <c r="X81" i="3"/>
  <c r="D89" i="2"/>
  <c r="D91" i="2" s="1"/>
  <c r="X153" i="3"/>
  <c r="N177" i="8"/>
  <c r="I177" i="6"/>
  <c r="N145" i="8"/>
  <c r="I145" i="6"/>
  <c r="X95" i="3"/>
  <c r="X77" i="3"/>
  <c r="N169" i="8"/>
  <c r="I169" i="6"/>
  <c r="N234" i="8"/>
  <c r="I234" i="6"/>
  <c r="X51" i="3"/>
  <c r="X289" i="3"/>
  <c r="N190" i="8"/>
  <c r="I190" i="6"/>
  <c r="N182" i="8"/>
  <c r="I182" i="6"/>
  <c r="N174" i="8"/>
  <c r="I174" i="6"/>
  <c r="N166" i="8"/>
  <c r="I166" i="6"/>
  <c r="N158" i="8"/>
  <c r="I158" i="6"/>
  <c r="N150" i="8"/>
  <c r="I150" i="6"/>
  <c r="N243" i="8"/>
  <c r="I243" i="6"/>
  <c r="N241" i="8"/>
  <c r="I241" i="6"/>
  <c r="N223" i="8"/>
  <c r="I223" i="6"/>
  <c r="X305" i="3"/>
  <c r="X273" i="3"/>
  <c r="N273" i="8"/>
  <c r="I273" i="6"/>
  <c r="N257" i="8"/>
  <c r="I257" i="6"/>
  <c r="N253" i="8"/>
  <c r="I253" i="6"/>
  <c r="N247" i="8"/>
  <c r="I247" i="6"/>
  <c r="N199" i="8"/>
  <c r="I199" i="6"/>
  <c r="N137" i="8"/>
  <c r="I137" i="6"/>
  <c r="N129" i="8"/>
  <c r="I129" i="6"/>
  <c r="N121" i="8"/>
  <c r="I121" i="6"/>
  <c r="N113" i="8"/>
  <c r="I113" i="6"/>
  <c r="N105" i="8"/>
  <c r="I105" i="6"/>
  <c r="N89" i="8"/>
  <c r="I89" i="6"/>
  <c r="N80" i="8"/>
  <c r="I80" i="6"/>
  <c r="N66" i="8"/>
  <c r="I66" i="6"/>
  <c r="N58" i="8"/>
  <c r="I58" i="6"/>
  <c r="N290" i="8"/>
  <c r="I290" i="6"/>
  <c r="N289" i="8"/>
  <c r="I289" i="6"/>
  <c r="X309" i="3"/>
  <c r="X308" i="3"/>
  <c r="N308" i="8"/>
  <c r="I308" i="6"/>
  <c r="R307" i="3"/>
  <c r="E307" i="7"/>
  <c r="I307" i="7" s="1"/>
  <c r="G307" i="5"/>
  <c r="M307" i="8"/>
  <c r="H307" i="6"/>
  <c r="X288" i="3"/>
  <c r="N221" i="8"/>
  <c r="I221" i="6"/>
  <c r="N219" i="8"/>
  <c r="I219" i="6"/>
  <c r="N217" i="8"/>
  <c r="I217" i="6"/>
  <c r="N215" i="8"/>
  <c r="I215" i="6"/>
  <c r="N209" i="8"/>
  <c r="I209" i="6"/>
  <c r="N102" i="8"/>
  <c r="I102" i="6"/>
  <c r="N100" i="8"/>
  <c r="I100" i="6"/>
  <c r="N52" i="8"/>
  <c r="I52" i="6"/>
  <c r="N50" i="8"/>
  <c r="I50" i="6"/>
  <c r="N305" i="8"/>
  <c r="I305" i="6"/>
  <c r="X290" i="3"/>
  <c r="R302" i="3"/>
  <c r="G302" i="5"/>
  <c r="E302" i="7"/>
  <c r="I302" i="7" s="1"/>
  <c r="M302" i="8"/>
  <c r="H302" i="6"/>
  <c r="R300" i="3"/>
  <c r="G300" i="5"/>
  <c r="E300" i="7"/>
  <c r="I300" i="7" s="1"/>
  <c r="M300" i="8"/>
  <c r="H300" i="6"/>
  <c r="R298" i="3"/>
  <c r="G298" i="5"/>
  <c r="E298" i="7"/>
  <c r="I298" i="7" s="1"/>
  <c r="M298" i="8"/>
  <c r="H298" i="6"/>
  <c r="R296" i="3"/>
  <c r="G296" i="5"/>
  <c r="E296" i="7"/>
  <c r="I296" i="7" s="1"/>
  <c r="M296" i="8"/>
  <c r="H296" i="6"/>
  <c r="R294" i="3"/>
  <c r="G294" i="5"/>
  <c r="E294" i="7"/>
  <c r="I294" i="7" s="1"/>
  <c r="M294" i="8"/>
  <c r="V294" i="8" s="1"/>
  <c r="X294" i="8" s="1"/>
  <c r="H294" i="6"/>
  <c r="R292" i="3"/>
  <c r="G292" i="5"/>
  <c r="E292" i="7"/>
  <c r="I292" i="7" s="1"/>
  <c r="M292" i="8"/>
  <c r="H292" i="6"/>
  <c r="N288" i="8"/>
  <c r="I288" i="6"/>
  <c r="R286" i="3"/>
  <c r="G286" i="5"/>
  <c r="E286" i="7"/>
  <c r="I286" i="7" s="1"/>
  <c r="M286" i="8"/>
  <c r="H286" i="6"/>
  <c r="R284" i="3"/>
  <c r="G284" i="5"/>
  <c r="E284" i="7"/>
  <c r="I284" i="7" s="1"/>
  <c r="M284" i="8"/>
  <c r="H284" i="6"/>
  <c r="R282" i="3"/>
  <c r="G282" i="5"/>
  <c r="E282" i="7"/>
  <c r="I282" i="7" s="1"/>
  <c r="M282" i="8"/>
  <c r="H282" i="6"/>
  <c r="R280" i="3"/>
  <c r="G280" i="5"/>
  <c r="E280" i="7"/>
  <c r="I280" i="7" s="1"/>
  <c r="M280" i="8"/>
  <c r="H280" i="6"/>
  <c r="R278" i="3"/>
  <c r="G278" i="5"/>
  <c r="E278" i="7"/>
  <c r="I278" i="7" s="1"/>
  <c r="M278" i="8"/>
  <c r="H278" i="6"/>
  <c r="N186" i="8"/>
  <c r="I186" i="6"/>
  <c r="N178" i="8"/>
  <c r="I178" i="6"/>
  <c r="N170" i="8"/>
  <c r="I170" i="6"/>
  <c r="N162" i="8"/>
  <c r="I162" i="6"/>
  <c r="N154" i="8"/>
  <c r="I154" i="6"/>
  <c r="N146" i="8"/>
  <c r="I146" i="6"/>
  <c r="N237" i="8"/>
  <c r="I237" i="6"/>
  <c r="N230" i="8"/>
  <c r="I230" i="6"/>
  <c r="N226" i="8"/>
  <c r="I226" i="6"/>
  <c r="N59" i="8"/>
  <c r="I59" i="6"/>
  <c r="R303" i="3"/>
  <c r="E303" i="7"/>
  <c r="I303" i="7" s="1"/>
  <c r="G303" i="5"/>
  <c r="H303" i="6"/>
  <c r="N309" i="8"/>
  <c r="I309" i="6"/>
  <c r="X304" i="3"/>
  <c r="N304" i="8"/>
  <c r="I304" i="6"/>
  <c r="R275" i="3"/>
  <c r="G275" i="5"/>
  <c r="E275" i="7"/>
  <c r="I275" i="7" s="1"/>
  <c r="M275" i="8"/>
  <c r="H275" i="6"/>
  <c r="R272" i="3"/>
  <c r="E272" i="7"/>
  <c r="I272" i="7" s="1"/>
  <c r="G272" i="5"/>
  <c r="M272" i="8"/>
  <c r="V272" i="8" s="1"/>
  <c r="X272" i="8" s="1"/>
  <c r="H272" i="6"/>
  <c r="R271" i="3"/>
  <c r="G271" i="5"/>
  <c r="E271" i="7"/>
  <c r="I271" i="7" s="1"/>
  <c r="M271" i="8"/>
  <c r="H271" i="6"/>
  <c r="N268" i="8"/>
  <c r="I268" i="6"/>
  <c r="N261" i="8"/>
  <c r="I261" i="6"/>
  <c r="N195" i="8"/>
  <c r="I195" i="6"/>
  <c r="N134" i="8"/>
  <c r="I134" i="6"/>
  <c r="N125" i="8"/>
  <c r="I125" i="6"/>
  <c r="N117" i="8"/>
  <c r="I117" i="6"/>
  <c r="N109" i="8"/>
  <c r="I109" i="6"/>
  <c r="N95" i="8"/>
  <c r="I95" i="6"/>
  <c r="N77" i="8"/>
  <c r="I77" i="6"/>
  <c r="N54" i="8"/>
  <c r="I54" i="6"/>
  <c r="W307" i="3"/>
  <c r="N136" i="8"/>
  <c r="I136" i="6"/>
  <c r="N78" i="8"/>
  <c r="I78" i="6"/>
  <c r="N74" i="8"/>
  <c r="I74" i="6"/>
  <c r="N232" i="8"/>
  <c r="I232" i="6"/>
  <c r="N98" i="8"/>
  <c r="I98" i="6"/>
  <c r="N96" i="8"/>
  <c r="I96" i="6"/>
  <c r="N94" i="8"/>
  <c r="I94" i="6"/>
  <c r="N90" i="8"/>
  <c r="I90" i="6"/>
  <c r="N82" i="8"/>
  <c r="I82" i="6"/>
  <c r="AB46" i="4" l="1"/>
  <c r="D46" i="8"/>
  <c r="H46" i="4" s="1"/>
  <c r="AX46" i="8"/>
  <c r="Q46" i="4" s="1"/>
  <c r="AE288" i="8"/>
  <c r="AF288" i="8" s="1"/>
  <c r="AA288" i="4" s="1"/>
  <c r="AC288" i="8"/>
  <c r="AD288" i="8" s="1"/>
  <c r="Z288" i="4" s="1"/>
  <c r="AE169" i="8"/>
  <c r="AF169" i="8" s="1"/>
  <c r="AA169" i="4" s="1"/>
  <c r="AC169" i="8"/>
  <c r="AD169" i="8" s="1"/>
  <c r="Z169" i="4" s="1"/>
  <c r="AE248" i="8"/>
  <c r="AF248" i="8" s="1"/>
  <c r="AA248" i="4" s="1"/>
  <c r="AC248" i="8"/>
  <c r="AD248" i="8" s="1"/>
  <c r="Z248" i="4" s="1"/>
  <c r="AE184" i="8"/>
  <c r="AF184" i="8" s="1"/>
  <c r="AA184" i="4" s="1"/>
  <c r="AC184" i="8"/>
  <c r="AD184" i="8" s="1"/>
  <c r="Z184" i="4" s="1"/>
  <c r="AC155" i="8"/>
  <c r="AD155" i="8" s="1"/>
  <c r="Z155" i="4" s="1"/>
  <c r="AA230" i="8"/>
  <c r="AB230" i="8" s="1"/>
  <c r="AE230" i="8" s="1"/>
  <c r="AF230" i="8" s="1"/>
  <c r="AA230" i="4" s="1"/>
  <c r="AC187" i="8"/>
  <c r="AD187" i="8" s="1"/>
  <c r="Z187" i="4" s="1"/>
  <c r="AL240" i="8"/>
  <c r="AM240" i="8" s="1"/>
  <c r="AN240" i="8" s="1"/>
  <c r="AO240" i="8" s="1"/>
  <c r="AB240" i="4" s="1"/>
  <c r="AC179" i="8"/>
  <c r="AD179" i="8" s="1"/>
  <c r="Z179" i="4" s="1"/>
  <c r="AA249" i="8"/>
  <c r="AB249" i="8" s="1"/>
  <c r="AA207" i="8"/>
  <c r="AB207" i="8" s="1"/>
  <c r="AC207" i="8" s="1"/>
  <c r="AD207" i="8" s="1"/>
  <c r="Z207" i="4" s="1"/>
  <c r="AC113" i="8"/>
  <c r="AD113" i="8" s="1"/>
  <c r="Z113" i="4" s="1"/>
  <c r="AE113" i="8"/>
  <c r="AF113" i="8" s="1"/>
  <c r="AA113" i="4" s="1"/>
  <c r="AE132" i="8"/>
  <c r="AF132" i="8" s="1"/>
  <c r="AA132" i="4" s="1"/>
  <c r="AC132" i="8"/>
  <c r="AD132" i="8" s="1"/>
  <c r="Z132" i="4" s="1"/>
  <c r="AC25" i="8"/>
  <c r="AD25" i="8" s="1"/>
  <c r="Z25" i="4" s="1"/>
  <c r="AC258" i="8"/>
  <c r="AD258" i="8" s="1"/>
  <c r="Z258" i="4" s="1"/>
  <c r="AA251" i="8"/>
  <c r="AB251" i="8" s="1"/>
  <c r="AA72" i="8"/>
  <c r="AB72" i="8" s="1"/>
  <c r="Z46" i="8"/>
  <c r="AA46" i="8" s="1"/>
  <c r="AB46" i="8" s="1"/>
  <c r="AC265" i="8"/>
  <c r="AD265" i="8" s="1"/>
  <c r="Z265" i="4" s="1"/>
  <c r="AA134" i="8"/>
  <c r="AB134" i="8" s="1"/>
  <c r="AE308" i="8"/>
  <c r="AF308" i="8" s="1"/>
  <c r="AA308" i="4" s="1"/>
  <c r="AC285" i="8"/>
  <c r="AD285" i="8" s="1"/>
  <c r="Z285" i="4" s="1"/>
  <c r="AP229" i="8"/>
  <c r="AL139" i="8"/>
  <c r="AM139" i="8" s="1"/>
  <c r="AN139" i="8" s="1"/>
  <c r="AO139" i="8" s="1"/>
  <c r="AB139" i="4" s="1"/>
  <c r="AR148" i="8"/>
  <c r="AS148" i="8" s="1"/>
  <c r="AT148" i="8" s="1"/>
  <c r="AU148" i="8" s="1"/>
  <c r="AC148" i="4" s="1"/>
  <c r="AR26" i="8"/>
  <c r="AS26" i="8" s="1"/>
  <c r="AT26" i="8" s="1"/>
  <c r="AU26" i="8" s="1"/>
  <c r="AC26" i="4" s="1"/>
  <c r="AL144" i="8"/>
  <c r="AM144" i="8" s="1"/>
  <c r="AN144" i="8" s="1"/>
  <c r="AO144" i="8" s="1"/>
  <c r="AB144" i="4" s="1"/>
  <c r="AA29" i="8"/>
  <c r="AB29" i="8" s="1"/>
  <c r="AL87" i="8"/>
  <c r="AM87" i="8" s="1"/>
  <c r="AN87" i="8" s="1"/>
  <c r="AO87" i="8" s="1"/>
  <c r="AB87" i="4" s="1"/>
  <c r="AR151" i="8"/>
  <c r="AS151" i="8" s="1"/>
  <c r="AT151" i="8" s="1"/>
  <c r="AU151" i="8" s="1"/>
  <c r="AC151" i="4" s="1"/>
  <c r="AA88" i="8"/>
  <c r="AB88" i="8" s="1"/>
  <c r="AE88" i="8" s="1"/>
  <c r="AF88" i="8" s="1"/>
  <c r="AA88" i="4" s="1"/>
  <c r="AE199" i="8"/>
  <c r="AF199" i="8" s="1"/>
  <c r="AA199" i="4" s="1"/>
  <c r="AA201" i="8"/>
  <c r="AB201" i="8" s="1"/>
  <c r="AC54" i="8"/>
  <c r="AD54" i="8" s="1"/>
  <c r="Z54" i="4" s="1"/>
  <c r="AA39" i="8"/>
  <c r="AB39" i="8" s="1"/>
  <c r="Z17" i="8"/>
  <c r="AA17" i="8" s="1"/>
  <c r="AB17" i="8" s="1"/>
  <c r="AC17" i="8" s="1"/>
  <c r="AD17" i="8" s="1"/>
  <c r="Z17" i="4" s="1"/>
  <c r="AE19" i="8"/>
  <c r="AF19" i="8" s="1"/>
  <c r="AA19" i="4" s="1"/>
  <c r="AC19" i="8"/>
  <c r="AD19" i="8" s="1"/>
  <c r="Z19" i="4" s="1"/>
  <c r="AE23" i="8"/>
  <c r="AF23" i="8" s="1"/>
  <c r="AA23" i="4" s="1"/>
  <c r="AC23" i="8"/>
  <c r="AD23" i="8" s="1"/>
  <c r="Z23" i="4" s="1"/>
  <c r="AC180" i="8"/>
  <c r="AD180" i="8" s="1"/>
  <c r="Z180" i="4" s="1"/>
  <c r="AE180" i="8"/>
  <c r="AF180" i="8" s="1"/>
  <c r="AA180" i="4" s="1"/>
  <c r="AE81" i="8"/>
  <c r="AF81" i="8" s="1"/>
  <c r="AA81" i="4" s="1"/>
  <c r="AC81" i="8"/>
  <c r="AD81" i="8" s="1"/>
  <c r="Z81" i="4" s="1"/>
  <c r="AE119" i="8"/>
  <c r="AF119" i="8" s="1"/>
  <c r="AA119" i="4" s="1"/>
  <c r="AC119" i="8"/>
  <c r="AD119" i="8" s="1"/>
  <c r="Z119" i="4" s="1"/>
  <c r="AC40" i="8"/>
  <c r="AD40" i="8" s="1"/>
  <c r="Z40" i="4" s="1"/>
  <c r="AE40" i="8"/>
  <c r="AF40" i="8" s="1"/>
  <c r="AA40" i="4" s="1"/>
  <c r="AE29" i="8"/>
  <c r="AF29" i="8" s="1"/>
  <c r="AA29" i="4" s="1"/>
  <c r="AC29" i="8"/>
  <c r="AD29" i="8" s="1"/>
  <c r="Z29" i="4" s="1"/>
  <c r="AE72" i="8"/>
  <c r="AF72" i="8" s="1"/>
  <c r="AA72" i="4" s="1"/>
  <c r="AC72" i="8"/>
  <c r="AD72" i="8" s="1"/>
  <c r="Z72" i="4" s="1"/>
  <c r="AE172" i="8"/>
  <c r="AF172" i="8" s="1"/>
  <c r="AA172" i="4" s="1"/>
  <c r="AC172" i="8"/>
  <c r="AD172" i="8" s="1"/>
  <c r="Z172" i="4" s="1"/>
  <c r="AE249" i="8"/>
  <c r="AF249" i="8" s="1"/>
  <c r="AA249" i="4" s="1"/>
  <c r="AC249" i="8"/>
  <c r="AD249" i="8" s="1"/>
  <c r="Z249" i="4" s="1"/>
  <c r="AC95" i="8"/>
  <c r="AD95" i="8" s="1"/>
  <c r="Z95" i="4" s="1"/>
  <c r="AE95" i="8"/>
  <c r="AF95" i="8" s="1"/>
  <c r="AA95" i="4" s="1"/>
  <c r="AE237" i="8"/>
  <c r="AF237" i="8" s="1"/>
  <c r="AA237" i="4" s="1"/>
  <c r="AC237" i="8"/>
  <c r="AD237" i="8" s="1"/>
  <c r="Z237" i="4" s="1"/>
  <c r="AE246" i="8"/>
  <c r="AF246" i="8" s="1"/>
  <c r="AA246" i="4" s="1"/>
  <c r="AC246" i="8"/>
  <c r="AD246" i="8" s="1"/>
  <c r="Z246" i="4" s="1"/>
  <c r="AC26" i="8"/>
  <c r="AD26" i="8" s="1"/>
  <c r="Z26" i="4" s="1"/>
  <c r="AE26" i="8"/>
  <c r="AF26" i="8" s="1"/>
  <c r="AA26" i="4" s="1"/>
  <c r="AE219" i="8"/>
  <c r="AF219" i="8" s="1"/>
  <c r="AA219" i="4" s="1"/>
  <c r="AC219" i="8"/>
  <c r="AD219" i="8" s="1"/>
  <c r="Z219" i="4" s="1"/>
  <c r="AE22" i="8"/>
  <c r="AF22" i="8" s="1"/>
  <c r="AA22" i="4" s="1"/>
  <c r="AC22" i="8"/>
  <c r="AD22" i="8" s="1"/>
  <c r="Z22" i="4" s="1"/>
  <c r="AE161" i="8"/>
  <c r="AF161" i="8" s="1"/>
  <c r="AA161" i="4" s="1"/>
  <c r="AC161" i="8"/>
  <c r="AD161" i="8" s="1"/>
  <c r="Z161" i="4" s="1"/>
  <c r="AE254" i="8"/>
  <c r="AF254" i="8" s="1"/>
  <c r="AA254" i="4" s="1"/>
  <c r="AC254" i="8"/>
  <c r="AD254" i="8" s="1"/>
  <c r="Z254" i="4" s="1"/>
  <c r="Z220" i="8"/>
  <c r="AA220" i="8" s="1"/>
  <c r="AB220" i="8" s="1"/>
  <c r="AC220" i="8" s="1"/>
  <c r="AD220" i="8" s="1"/>
  <c r="Z220" i="4" s="1"/>
  <c r="AE120" i="8"/>
  <c r="AF120" i="8" s="1"/>
  <c r="AA120" i="4" s="1"/>
  <c r="AC120" i="8"/>
  <c r="AD120" i="8" s="1"/>
  <c r="Z120" i="4" s="1"/>
  <c r="AC233" i="8"/>
  <c r="AD233" i="8" s="1"/>
  <c r="Z233" i="4" s="1"/>
  <c r="AE233" i="8"/>
  <c r="AF233" i="8" s="1"/>
  <c r="AA233" i="4" s="1"/>
  <c r="AA202" i="8"/>
  <c r="AB202" i="8" s="1"/>
  <c r="AR115" i="8"/>
  <c r="AS115" i="8" s="1"/>
  <c r="AT115" i="8" s="1"/>
  <c r="AU115" i="8" s="1"/>
  <c r="AC115" i="4" s="1"/>
  <c r="AE11" i="8"/>
  <c r="AF11" i="8" s="1"/>
  <c r="AA11" i="4" s="1"/>
  <c r="AC11" i="8"/>
  <c r="AD11" i="8" s="1"/>
  <c r="Z11" i="4" s="1"/>
  <c r="AC293" i="8"/>
  <c r="AD293" i="8" s="1"/>
  <c r="Z293" i="4" s="1"/>
  <c r="AE250" i="8"/>
  <c r="AF250" i="8" s="1"/>
  <c r="AA250" i="4" s="1"/>
  <c r="AC12" i="8"/>
  <c r="AD12" i="8" s="1"/>
  <c r="Z12" i="4" s="1"/>
  <c r="AE12" i="8"/>
  <c r="AF12" i="8" s="1"/>
  <c r="AA12" i="4" s="1"/>
  <c r="AE73" i="8"/>
  <c r="AF73" i="8" s="1"/>
  <c r="AA73" i="4" s="1"/>
  <c r="AC73" i="8"/>
  <c r="AD73" i="8" s="1"/>
  <c r="Z73" i="4" s="1"/>
  <c r="AE28" i="8"/>
  <c r="AF28" i="8" s="1"/>
  <c r="AA28" i="4" s="1"/>
  <c r="AC28" i="8"/>
  <c r="AD28" i="8" s="1"/>
  <c r="Z28" i="4" s="1"/>
  <c r="AC200" i="8"/>
  <c r="AD200" i="8" s="1"/>
  <c r="Z200" i="4" s="1"/>
  <c r="AE170" i="8"/>
  <c r="AF170" i="8" s="1"/>
  <c r="AA170" i="4" s="1"/>
  <c r="Z303" i="8"/>
  <c r="AA303" i="8" s="1"/>
  <c r="AB303" i="8" s="1"/>
  <c r="AC303" i="8" s="1"/>
  <c r="AD303" i="8" s="1"/>
  <c r="Z303" i="4" s="1"/>
  <c r="Z55" i="8"/>
  <c r="AA55" i="8" s="1"/>
  <c r="AB55" i="8" s="1"/>
  <c r="AE138" i="8"/>
  <c r="AF138" i="8" s="1"/>
  <c r="AA138" i="4" s="1"/>
  <c r="AC138" i="8"/>
  <c r="AD138" i="8" s="1"/>
  <c r="Z138" i="4" s="1"/>
  <c r="AC239" i="8"/>
  <c r="AD239" i="8" s="1"/>
  <c r="Z239" i="4" s="1"/>
  <c r="AA18" i="8"/>
  <c r="AB18" i="8" s="1"/>
  <c r="AI122" i="8"/>
  <c r="AQ122" i="8" s="1"/>
  <c r="AR122" i="8" s="1"/>
  <c r="AS122" i="8" s="1"/>
  <c r="AT122" i="8" s="1"/>
  <c r="AU122" i="8" s="1"/>
  <c r="AC122" i="4" s="1"/>
  <c r="AE124" i="8"/>
  <c r="AF124" i="8" s="1"/>
  <c r="AA124" i="4" s="1"/>
  <c r="AA96" i="8"/>
  <c r="AB96" i="8" s="1"/>
  <c r="Z103" i="8"/>
  <c r="AA103" i="8" s="1"/>
  <c r="AB103" i="8" s="1"/>
  <c r="V290" i="8"/>
  <c r="X290" i="8" s="1"/>
  <c r="Y290" i="8"/>
  <c r="Z290" i="8" s="1"/>
  <c r="AA290" i="8" s="1"/>
  <c r="AB290" i="8" s="1"/>
  <c r="AC283" i="8"/>
  <c r="AD283" i="8" s="1"/>
  <c r="Z283" i="4" s="1"/>
  <c r="AE283" i="8"/>
  <c r="AF283" i="8" s="1"/>
  <c r="AA283" i="4" s="1"/>
  <c r="AR236" i="8"/>
  <c r="AS236" i="8" s="1"/>
  <c r="AT236" i="8" s="1"/>
  <c r="AU236" i="8" s="1"/>
  <c r="AC236" i="4" s="1"/>
  <c r="AE35" i="8"/>
  <c r="AF35" i="8" s="1"/>
  <c r="AA35" i="4" s="1"/>
  <c r="AC35" i="8"/>
  <c r="AD35" i="8" s="1"/>
  <c r="Z35" i="4" s="1"/>
  <c r="AC257" i="8"/>
  <c r="AD257" i="8" s="1"/>
  <c r="Z257" i="4" s="1"/>
  <c r="AC263" i="8"/>
  <c r="AD263" i="8" s="1"/>
  <c r="Z263" i="4" s="1"/>
  <c r="AC156" i="8"/>
  <c r="AD156" i="8" s="1"/>
  <c r="Z156" i="4" s="1"/>
  <c r="AE156" i="8"/>
  <c r="AF156" i="8" s="1"/>
  <c r="AA156" i="4" s="1"/>
  <c r="AE70" i="8"/>
  <c r="AF70" i="8" s="1"/>
  <c r="AA70" i="4" s="1"/>
  <c r="AA299" i="8"/>
  <c r="AB299" i="8" s="1"/>
  <c r="AE166" i="8"/>
  <c r="AF166" i="8" s="1"/>
  <c r="AA166" i="4" s="1"/>
  <c r="AC166" i="8"/>
  <c r="AD166" i="8" s="1"/>
  <c r="Z166" i="4" s="1"/>
  <c r="AE269" i="8"/>
  <c r="AF269" i="8" s="1"/>
  <c r="AA269" i="4" s="1"/>
  <c r="AC269" i="8"/>
  <c r="AD269" i="8" s="1"/>
  <c r="Z269" i="4" s="1"/>
  <c r="AL119" i="8"/>
  <c r="AM119" i="8" s="1"/>
  <c r="AN119" i="8" s="1"/>
  <c r="AO119" i="8" s="1"/>
  <c r="AB119" i="4" s="1"/>
  <c r="AC46" i="8"/>
  <c r="AD46" i="8" s="1"/>
  <c r="AE46" i="8"/>
  <c r="AF46" i="8" s="1"/>
  <c r="AC125" i="8"/>
  <c r="AD125" i="8" s="1"/>
  <c r="Z125" i="4" s="1"/>
  <c r="AA86" i="8"/>
  <c r="AB86" i="8" s="1"/>
  <c r="AC86" i="8" s="1"/>
  <c r="AD86" i="8" s="1"/>
  <c r="Z86" i="4" s="1"/>
  <c r="AE176" i="8"/>
  <c r="AF176" i="8" s="1"/>
  <c r="AA176" i="4" s="1"/>
  <c r="AE59" i="8"/>
  <c r="AF59" i="8" s="1"/>
  <c r="AA59" i="4" s="1"/>
  <c r="AC59" i="8"/>
  <c r="AD59" i="8" s="1"/>
  <c r="Z59" i="4" s="1"/>
  <c r="AE58" i="8"/>
  <c r="AF58" i="8" s="1"/>
  <c r="AA58" i="4" s="1"/>
  <c r="AC58" i="8"/>
  <c r="AD58" i="8" s="1"/>
  <c r="Z58" i="4" s="1"/>
  <c r="AE94" i="8"/>
  <c r="AF94" i="8" s="1"/>
  <c r="AA94" i="4" s="1"/>
  <c r="AC94" i="8"/>
  <c r="AD94" i="8" s="1"/>
  <c r="Z94" i="4" s="1"/>
  <c r="AE207" i="8"/>
  <c r="AF207" i="8" s="1"/>
  <c r="AA207" i="4" s="1"/>
  <c r="AE116" i="8"/>
  <c r="AF116" i="8" s="1"/>
  <c r="AA116" i="4" s="1"/>
  <c r="Z185" i="8"/>
  <c r="AA185" i="8" s="1"/>
  <c r="AB185" i="8" s="1"/>
  <c r="Z213" i="8"/>
  <c r="AA213" i="8" s="1"/>
  <c r="AB213" i="8" s="1"/>
  <c r="Z67" i="8"/>
  <c r="AA67" i="8" s="1"/>
  <c r="AB67" i="8" s="1"/>
  <c r="AC67" i="8" s="1"/>
  <c r="AD67" i="8" s="1"/>
  <c r="Z67" i="4" s="1"/>
  <c r="Z53" i="8"/>
  <c r="AA53" i="8" s="1"/>
  <c r="AB53" i="8" s="1"/>
  <c r="Z182" i="8"/>
  <c r="AA182" i="8" s="1"/>
  <c r="AB182" i="8" s="1"/>
  <c r="Z65" i="8"/>
  <c r="AA65" i="8" s="1"/>
  <c r="AB65" i="8" s="1"/>
  <c r="AI218" i="8"/>
  <c r="AK218" i="8" s="1"/>
  <c r="AL218" i="8" s="1"/>
  <c r="AM218" i="8" s="1"/>
  <c r="AN218" i="8" s="1"/>
  <c r="AO218" i="8" s="1"/>
  <c r="AB218" i="4" s="1"/>
  <c r="AC193" i="8"/>
  <c r="AD193" i="8" s="1"/>
  <c r="Z193" i="4" s="1"/>
  <c r="AC230" i="8"/>
  <c r="AD230" i="8" s="1"/>
  <c r="Z230" i="4" s="1"/>
  <c r="AC301" i="8"/>
  <c r="AD301" i="8" s="1"/>
  <c r="Z301" i="4" s="1"/>
  <c r="AC90" i="8"/>
  <c r="AD90" i="8" s="1"/>
  <c r="Z90" i="4" s="1"/>
  <c r="AC89" i="8"/>
  <c r="AD89" i="8" s="1"/>
  <c r="Z89" i="4" s="1"/>
  <c r="AC82" i="8"/>
  <c r="AD82" i="8" s="1"/>
  <c r="Z82" i="4" s="1"/>
  <c r="AE192" i="8"/>
  <c r="AF192" i="8" s="1"/>
  <c r="AA192" i="4" s="1"/>
  <c r="AC88" i="8"/>
  <c r="AD88" i="8" s="1"/>
  <c r="Z88" i="4" s="1"/>
  <c r="AE111" i="8"/>
  <c r="AF111" i="8" s="1"/>
  <c r="AA111" i="4" s="1"/>
  <c r="Y272" i="8"/>
  <c r="Z272" i="8" s="1"/>
  <c r="AA272" i="8" s="1"/>
  <c r="AB272" i="8" s="1"/>
  <c r="Z146" i="8"/>
  <c r="AA146" i="8" s="1"/>
  <c r="AB146" i="8" s="1"/>
  <c r="AE146" i="8" s="1"/>
  <c r="AF146" i="8" s="1"/>
  <c r="AA146" i="4" s="1"/>
  <c r="Z100" i="8"/>
  <c r="AA100" i="8" s="1"/>
  <c r="AB100" i="8" s="1"/>
  <c r="AC100" i="8" s="1"/>
  <c r="AD100" i="8" s="1"/>
  <c r="Z100" i="4" s="1"/>
  <c r="Z190" i="8"/>
  <c r="AA190" i="8" s="1"/>
  <c r="AB190" i="8" s="1"/>
  <c r="Z43" i="8"/>
  <c r="AA43" i="8" s="1"/>
  <c r="AB43" i="8" s="1"/>
  <c r="Z101" i="8"/>
  <c r="AA101" i="8" s="1"/>
  <c r="AB101" i="8" s="1"/>
  <c r="Z232" i="8"/>
  <c r="AA232" i="8" s="1"/>
  <c r="AB232" i="8" s="1"/>
  <c r="AC232" i="8" s="1"/>
  <c r="AD232" i="8" s="1"/>
  <c r="Z232" i="4" s="1"/>
  <c r="Z242" i="8"/>
  <c r="AA242" i="8" s="1"/>
  <c r="AB242" i="8" s="1"/>
  <c r="AC242" i="8" s="1"/>
  <c r="AD242" i="8" s="1"/>
  <c r="Z242" i="4" s="1"/>
  <c r="Z69" i="8"/>
  <c r="AA69" i="8" s="1"/>
  <c r="AB69" i="8" s="1"/>
  <c r="AP122" i="8"/>
  <c r="AC63" i="8"/>
  <c r="AD63" i="8" s="1"/>
  <c r="Z63" i="4" s="1"/>
  <c r="AE63" i="8"/>
  <c r="AF63" i="8" s="1"/>
  <c r="AA63" i="4" s="1"/>
  <c r="AE110" i="8"/>
  <c r="AF110" i="8" s="1"/>
  <c r="AA110" i="4" s="1"/>
  <c r="AE137" i="8"/>
  <c r="AF137" i="8" s="1"/>
  <c r="AA137" i="4" s="1"/>
  <c r="AI135" i="8"/>
  <c r="AK135" i="8" s="1"/>
  <c r="AL135" i="8" s="1"/>
  <c r="AM135" i="8" s="1"/>
  <c r="AN135" i="8" s="1"/>
  <c r="AO135" i="8" s="1"/>
  <c r="AB135" i="4" s="1"/>
  <c r="Z80" i="8"/>
  <c r="AA80" i="8" s="1"/>
  <c r="AB80" i="8" s="1"/>
  <c r="Z162" i="8"/>
  <c r="AA162" i="8" s="1"/>
  <c r="AB162" i="8" s="1"/>
  <c r="AC228" i="8"/>
  <c r="AD228" i="8" s="1"/>
  <c r="Z228" i="4" s="1"/>
  <c r="Z158" i="8"/>
  <c r="AA158" i="8" s="1"/>
  <c r="AB158" i="8" s="1"/>
  <c r="Z50" i="8"/>
  <c r="AA50" i="8" s="1"/>
  <c r="AB50" i="8" s="1"/>
  <c r="AC50" i="8" s="1"/>
  <c r="AD50" i="8" s="1"/>
  <c r="Z50" i="4" s="1"/>
  <c r="Z114" i="8"/>
  <c r="AA114" i="8" s="1"/>
  <c r="AB114" i="8" s="1"/>
  <c r="AC114" i="8" s="1"/>
  <c r="AD114" i="8" s="1"/>
  <c r="Z114" i="4" s="1"/>
  <c r="Z217" i="8"/>
  <c r="AA217" i="8" s="1"/>
  <c r="AB217" i="8" s="1"/>
  <c r="Z61" i="8"/>
  <c r="AA61" i="8" s="1"/>
  <c r="AB61" i="8" s="1"/>
  <c r="AC61" i="8" s="1"/>
  <c r="AD61" i="8" s="1"/>
  <c r="Z61" i="4" s="1"/>
  <c r="Z195" i="8"/>
  <c r="AA195" i="8" s="1"/>
  <c r="AB195" i="8" s="1"/>
  <c r="Z77" i="8"/>
  <c r="AA77" i="8" s="1"/>
  <c r="AB77" i="8" s="1"/>
  <c r="AE77" i="8" s="1"/>
  <c r="AF77" i="8" s="1"/>
  <c r="AA77" i="4" s="1"/>
  <c r="AR205" i="8"/>
  <c r="AS205" i="8" s="1"/>
  <c r="AT205" i="8" s="1"/>
  <c r="AU205" i="8" s="1"/>
  <c r="AC205" i="4" s="1"/>
  <c r="Z118" i="8"/>
  <c r="AA118" i="8" s="1"/>
  <c r="AB118" i="8" s="1"/>
  <c r="AE118" i="8" s="1"/>
  <c r="AF118" i="8" s="1"/>
  <c r="AA118" i="4" s="1"/>
  <c r="Z167" i="8"/>
  <c r="AA167" i="8" s="1"/>
  <c r="AB167" i="8" s="1"/>
  <c r="AR233" i="8"/>
  <c r="AS233" i="8" s="1"/>
  <c r="AT233" i="8" s="1"/>
  <c r="AU233" i="8" s="1"/>
  <c r="AC233" i="4" s="1"/>
  <c r="Z107" i="8"/>
  <c r="AA107" i="8" s="1"/>
  <c r="AB107" i="8" s="1"/>
  <c r="AC107" i="8" s="1"/>
  <c r="AD107" i="8" s="1"/>
  <c r="Z107" i="4" s="1"/>
  <c r="Z236" i="8"/>
  <c r="AA236" i="8" s="1"/>
  <c r="AB236" i="8" s="1"/>
  <c r="AE227" i="8"/>
  <c r="AF227" i="8" s="1"/>
  <c r="AA227" i="4" s="1"/>
  <c r="AC227" i="8"/>
  <c r="AD227" i="8" s="1"/>
  <c r="Z227" i="4" s="1"/>
  <c r="AE232" i="8"/>
  <c r="AF232" i="8" s="1"/>
  <c r="AA232" i="4" s="1"/>
  <c r="AE206" i="8"/>
  <c r="AF206" i="8" s="1"/>
  <c r="AA206" i="4" s="1"/>
  <c r="AC206" i="8"/>
  <c r="AD206" i="8" s="1"/>
  <c r="Z206" i="4" s="1"/>
  <c r="AE208" i="8"/>
  <c r="AF208" i="8" s="1"/>
  <c r="AA208" i="4" s="1"/>
  <c r="AC208" i="8"/>
  <c r="AD208" i="8" s="1"/>
  <c r="Z208" i="4" s="1"/>
  <c r="AC154" i="8"/>
  <c r="AD154" i="8" s="1"/>
  <c r="Z154" i="4" s="1"/>
  <c r="AE154" i="8"/>
  <c r="AF154" i="8" s="1"/>
  <c r="AA154" i="4" s="1"/>
  <c r="AE98" i="8"/>
  <c r="AF98" i="8" s="1"/>
  <c r="AA98" i="4" s="1"/>
  <c r="AC98" i="8"/>
  <c r="AD98" i="8" s="1"/>
  <c r="Z98" i="4" s="1"/>
  <c r="AC218" i="8"/>
  <c r="AD218" i="8" s="1"/>
  <c r="Z218" i="4" s="1"/>
  <c r="AE218" i="8"/>
  <c r="AF218" i="8" s="1"/>
  <c r="AA218" i="4" s="1"/>
  <c r="AE127" i="8"/>
  <c r="AF127" i="8" s="1"/>
  <c r="AA127" i="4" s="1"/>
  <c r="AC127" i="8"/>
  <c r="AD127" i="8" s="1"/>
  <c r="Z127" i="4" s="1"/>
  <c r="AC224" i="8"/>
  <c r="AD224" i="8" s="1"/>
  <c r="Z224" i="4" s="1"/>
  <c r="AE224" i="8"/>
  <c r="AF224" i="8" s="1"/>
  <c r="AA224" i="4" s="1"/>
  <c r="AJ95" i="8"/>
  <c r="AI95" i="8"/>
  <c r="AP95" i="8"/>
  <c r="AJ134" i="8"/>
  <c r="AI134" i="8"/>
  <c r="AP134" i="8"/>
  <c r="AI261" i="8"/>
  <c r="AJ261" i="8"/>
  <c r="AP261" i="8"/>
  <c r="AJ230" i="8"/>
  <c r="AP230" i="8"/>
  <c r="AI230" i="8"/>
  <c r="AP146" i="8"/>
  <c r="AI146" i="8"/>
  <c r="AJ146" i="8"/>
  <c r="AP178" i="8"/>
  <c r="AI178" i="8"/>
  <c r="AJ178" i="8"/>
  <c r="Y278" i="8"/>
  <c r="V278" i="8"/>
  <c r="X278" i="8" s="1"/>
  <c r="Y286" i="8"/>
  <c r="V286" i="8"/>
  <c r="X286" i="8" s="1"/>
  <c r="V302" i="8"/>
  <c r="X302" i="8" s="1"/>
  <c r="Y302" i="8"/>
  <c r="Z302" i="8" s="1"/>
  <c r="AA302" i="8" s="1"/>
  <c r="AB302" i="8" s="1"/>
  <c r="AJ50" i="8"/>
  <c r="AI50" i="8"/>
  <c r="AP50" i="8"/>
  <c r="AP209" i="8"/>
  <c r="AJ209" i="8"/>
  <c r="AI209" i="8"/>
  <c r="AI221" i="8"/>
  <c r="AP221" i="8"/>
  <c r="AJ221" i="8"/>
  <c r="AI308" i="8"/>
  <c r="AJ308" i="8"/>
  <c r="AP308" i="8"/>
  <c r="AP42" i="8"/>
  <c r="AJ42" i="8"/>
  <c r="AI42" i="8"/>
  <c r="AJ283" i="8"/>
  <c r="AI283" i="8"/>
  <c r="AP283" i="8"/>
  <c r="AJ71" i="8"/>
  <c r="AI71" i="8"/>
  <c r="AP71" i="8"/>
  <c r="AI252" i="8"/>
  <c r="AJ252" i="8"/>
  <c r="AP252" i="8"/>
  <c r="AI39" i="8"/>
  <c r="AJ39" i="8"/>
  <c r="AP39" i="8"/>
  <c r="AJ72" i="8"/>
  <c r="AI72" i="8"/>
  <c r="AP72" i="8"/>
  <c r="AI160" i="8"/>
  <c r="AJ160" i="8"/>
  <c r="AP160" i="8"/>
  <c r="AJ254" i="8"/>
  <c r="AI254" i="8"/>
  <c r="AP254" i="8"/>
  <c r="AJ163" i="8"/>
  <c r="AI163" i="8"/>
  <c r="AP163" i="8"/>
  <c r="AI200" i="8"/>
  <c r="AP200" i="8"/>
  <c r="AJ200" i="8"/>
  <c r="AI101" i="8"/>
  <c r="AJ101" i="8"/>
  <c r="AP101" i="8"/>
  <c r="AJ207" i="8"/>
  <c r="AI207" i="8"/>
  <c r="AP207" i="8"/>
  <c r="AJ184" i="8"/>
  <c r="AI184" i="8"/>
  <c r="AP184" i="8"/>
  <c r="AJ156" i="8"/>
  <c r="AI156" i="8"/>
  <c r="AP156" i="8"/>
  <c r="AI214" i="8"/>
  <c r="AJ214" i="8"/>
  <c r="AP214" i="8"/>
  <c r="AJ56" i="8"/>
  <c r="AP56" i="8"/>
  <c r="AI56" i="8"/>
  <c r="AC159" i="8"/>
  <c r="AD159" i="8" s="1"/>
  <c r="Z159" i="4" s="1"/>
  <c r="AE159" i="8"/>
  <c r="AF159" i="8" s="1"/>
  <c r="AA159" i="4" s="1"/>
  <c r="AC243" i="8"/>
  <c r="AD243" i="8" s="1"/>
  <c r="Z243" i="4" s="1"/>
  <c r="AE243" i="8"/>
  <c r="AF243" i="8" s="1"/>
  <c r="AA243" i="4" s="1"/>
  <c r="AQ220" i="8"/>
  <c r="AR220" i="8" s="1"/>
  <c r="AS220" i="8" s="1"/>
  <c r="AT220" i="8" s="1"/>
  <c r="AU220" i="8" s="1"/>
  <c r="AC220" i="4" s="1"/>
  <c r="AK220" i="8"/>
  <c r="AL220" i="8" s="1"/>
  <c r="AM220" i="8" s="1"/>
  <c r="AN220" i="8" s="1"/>
  <c r="AO220" i="8" s="1"/>
  <c r="AB220" i="4" s="1"/>
  <c r="AQ114" i="8"/>
  <c r="AR114" i="8" s="1"/>
  <c r="AS114" i="8" s="1"/>
  <c r="AT114" i="8" s="1"/>
  <c r="AU114" i="8" s="1"/>
  <c r="AC114" i="4" s="1"/>
  <c r="AK114" i="8"/>
  <c r="AL114" i="8" s="1"/>
  <c r="AM114" i="8" s="1"/>
  <c r="AN114" i="8" s="1"/>
  <c r="AO114" i="8" s="1"/>
  <c r="AB114" i="4" s="1"/>
  <c r="AE42" i="8"/>
  <c r="AF42" i="8" s="1"/>
  <c r="AA42" i="4" s="1"/>
  <c r="AC42" i="8"/>
  <c r="AD42" i="8" s="1"/>
  <c r="Z42" i="4" s="1"/>
  <c r="AC133" i="8"/>
  <c r="AD133" i="8" s="1"/>
  <c r="Z133" i="4" s="1"/>
  <c r="AE133" i="8"/>
  <c r="AF133" i="8" s="1"/>
  <c r="AA133" i="4" s="1"/>
  <c r="AQ201" i="8"/>
  <c r="AK201" i="8"/>
  <c r="AL201" i="8" s="1"/>
  <c r="AM201" i="8" s="1"/>
  <c r="AN201" i="8" s="1"/>
  <c r="AO201" i="8" s="1"/>
  <c r="AB201" i="4" s="1"/>
  <c r="AQ91" i="8"/>
  <c r="AR91" i="8" s="1"/>
  <c r="AS91" i="8" s="1"/>
  <c r="AT91" i="8" s="1"/>
  <c r="AU91" i="8" s="1"/>
  <c r="AC91" i="4" s="1"/>
  <c r="AK91" i="8"/>
  <c r="AL91" i="8" s="1"/>
  <c r="AM91" i="8" s="1"/>
  <c r="AN91" i="8" s="1"/>
  <c r="AO91" i="8" s="1"/>
  <c r="AB91" i="4" s="1"/>
  <c r="AQ79" i="8"/>
  <c r="AR79" i="8" s="1"/>
  <c r="AS79" i="8" s="1"/>
  <c r="AT79" i="8" s="1"/>
  <c r="AU79" i="8" s="1"/>
  <c r="AC79" i="4" s="1"/>
  <c r="AK79" i="8"/>
  <c r="AL79" i="8" s="1"/>
  <c r="AM79" i="8" s="1"/>
  <c r="AN79" i="8" s="1"/>
  <c r="AO79" i="8" s="1"/>
  <c r="AB79" i="4" s="1"/>
  <c r="AI90" i="8"/>
  <c r="AJ90" i="8"/>
  <c r="AP90" i="8"/>
  <c r="AP232" i="8"/>
  <c r="AJ232" i="8"/>
  <c r="AI232" i="8"/>
  <c r="AJ304" i="8"/>
  <c r="AP304" i="8"/>
  <c r="AI304" i="8"/>
  <c r="Y284" i="8"/>
  <c r="V284" i="8"/>
  <c r="X284" i="8" s="1"/>
  <c r="Y307" i="8"/>
  <c r="V307" i="8"/>
  <c r="X307" i="8" s="1"/>
  <c r="AP113" i="8"/>
  <c r="AJ113" i="8"/>
  <c r="AI113" i="8"/>
  <c r="AJ253" i="8"/>
  <c r="AI253" i="8"/>
  <c r="AP253" i="8"/>
  <c r="AI223" i="8"/>
  <c r="AJ223" i="8"/>
  <c r="AP223" i="8"/>
  <c r="AI174" i="8"/>
  <c r="AJ174" i="8"/>
  <c r="AP174" i="8"/>
  <c r="AI153" i="8"/>
  <c r="AJ153" i="8"/>
  <c r="AP153" i="8"/>
  <c r="AI168" i="8"/>
  <c r="AJ168" i="8"/>
  <c r="AP168" i="8"/>
  <c r="AJ157" i="8"/>
  <c r="AI157" i="8"/>
  <c r="AP157" i="8"/>
  <c r="AP216" i="8"/>
  <c r="AJ216" i="8"/>
  <c r="AI216" i="8"/>
  <c r="AI211" i="8"/>
  <c r="AJ211" i="8"/>
  <c r="AP211" i="8"/>
  <c r="AP189" i="8"/>
  <c r="AJ189" i="8"/>
  <c r="AI189" i="8"/>
  <c r="AP291" i="8"/>
  <c r="AI291" i="8"/>
  <c r="AJ291" i="8"/>
  <c r="AP103" i="8"/>
  <c r="AI103" i="8"/>
  <c r="AJ103" i="8"/>
  <c r="AI64" i="8"/>
  <c r="AP64" i="8"/>
  <c r="AJ64" i="8"/>
  <c r="AP108" i="8"/>
  <c r="AJ108" i="8"/>
  <c r="AI108" i="8"/>
  <c r="AJ67" i="8"/>
  <c r="AI67" i="8"/>
  <c r="AP67" i="8"/>
  <c r="AP110" i="8"/>
  <c r="AJ110" i="8"/>
  <c r="AI110" i="8"/>
  <c r="AP41" i="8"/>
  <c r="AI41" i="8"/>
  <c r="AJ41" i="8"/>
  <c r="AC79" i="8"/>
  <c r="AD79" i="8" s="1"/>
  <c r="Z79" i="4" s="1"/>
  <c r="AE79" i="8"/>
  <c r="AF79" i="8" s="1"/>
  <c r="AA79" i="4" s="1"/>
  <c r="AQ55" i="8"/>
  <c r="AR55" i="8" s="1"/>
  <c r="AS55" i="8" s="1"/>
  <c r="AT55" i="8" s="1"/>
  <c r="AU55" i="8" s="1"/>
  <c r="AC55" i="4" s="1"/>
  <c r="AK55" i="8"/>
  <c r="AL55" i="8" s="1"/>
  <c r="AM55" i="8" s="1"/>
  <c r="AN55" i="8" s="1"/>
  <c r="AO55" i="8" s="1"/>
  <c r="AB55" i="4" s="1"/>
  <c r="AQ104" i="8"/>
  <c r="AR104" i="8" s="1"/>
  <c r="AS104" i="8" s="1"/>
  <c r="AT104" i="8" s="1"/>
  <c r="AU104" i="8" s="1"/>
  <c r="AC104" i="4" s="1"/>
  <c r="AK104" i="8"/>
  <c r="AL104" i="8" s="1"/>
  <c r="AM104" i="8" s="1"/>
  <c r="AN104" i="8" s="1"/>
  <c r="AO104" i="8" s="1"/>
  <c r="AB104" i="4" s="1"/>
  <c r="AC273" i="8"/>
  <c r="AD273" i="8" s="1"/>
  <c r="Z273" i="4" s="1"/>
  <c r="AE273" i="8"/>
  <c r="AF273" i="8" s="1"/>
  <c r="AA273" i="4" s="1"/>
  <c r="AQ120" i="8"/>
  <c r="AR120" i="8" s="1"/>
  <c r="AS120" i="8" s="1"/>
  <c r="AT120" i="8" s="1"/>
  <c r="AU120" i="8" s="1"/>
  <c r="AC120" i="4" s="1"/>
  <c r="AK120" i="8"/>
  <c r="AL120" i="8" s="1"/>
  <c r="AM120" i="8" s="1"/>
  <c r="AN120" i="8" s="1"/>
  <c r="AO120" i="8" s="1"/>
  <c r="AB120" i="4" s="1"/>
  <c r="AI82" i="8"/>
  <c r="AJ82" i="8"/>
  <c r="AP82" i="8"/>
  <c r="AI94" i="8"/>
  <c r="AJ94" i="8"/>
  <c r="AP94" i="8"/>
  <c r="AP98" i="8"/>
  <c r="AI98" i="8"/>
  <c r="AJ98" i="8"/>
  <c r="AI74" i="8"/>
  <c r="AJ74" i="8"/>
  <c r="AP74" i="8"/>
  <c r="AI136" i="8"/>
  <c r="AJ136" i="8"/>
  <c r="AP136" i="8"/>
  <c r="Y280" i="8"/>
  <c r="V280" i="8"/>
  <c r="X280" i="8" s="1"/>
  <c r="AI288" i="8"/>
  <c r="AJ288" i="8"/>
  <c r="AP288" i="8"/>
  <c r="V296" i="8"/>
  <c r="X296" i="8" s="1"/>
  <c r="Y296" i="8"/>
  <c r="AI58" i="8"/>
  <c r="AJ58" i="8"/>
  <c r="AP58" i="8"/>
  <c r="AI80" i="8"/>
  <c r="AJ80" i="8"/>
  <c r="AP80" i="8"/>
  <c r="AJ105" i="8"/>
  <c r="AI105" i="8"/>
  <c r="AP105" i="8"/>
  <c r="AJ121" i="8"/>
  <c r="AI121" i="8"/>
  <c r="AP121" i="8"/>
  <c r="AI137" i="8"/>
  <c r="AJ137" i="8"/>
  <c r="AP137" i="8"/>
  <c r="AI247" i="8"/>
  <c r="AJ247" i="8"/>
  <c r="AP247" i="8"/>
  <c r="AI257" i="8"/>
  <c r="AJ257" i="8"/>
  <c r="AP257" i="8"/>
  <c r="AJ241" i="8"/>
  <c r="AI241" i="8"/>
  <c r="AP241" i="8"/>
  <c r="AI150" i="8"/>
  <c r="AJ150" i="8"/>
  <c r="AP150" i="8"/>
  <c r="AI166" i="8"/>
  <c r="AP166" i="8"/>
  <c r="AJ166" i="8"/>
  <c r="AI182" i="8"/>
  <c r="AJ182" i="8"/>
  <c r="AP182" i="8"/>
  <c r="AI169" i="8"/>
  <c r="AJ169" i="8"/>
  <c r="AP169" i="8"/>
  <c r="AI145" i="8"/>
  <c r="AJ145" i="8"/>
  <c r="AP145" i="8"/>
  <c r="AP212" i="8"/>
  <c r="AI212" i="8"/>
  <c r="AJ212" i="8"/>
  <c r="AP185" i="8"/>
  <c r="AI185" i="8"/>
  <c r="AJ185" i="8"/>
  <c r="AJ192" i="8"/>
  <c r="AI192" i="8"/>
  <c r="AP192" i="8"/>
  <c r="AI61" i="8"/>
  <c r="AJ61" i="8"/>
  <c r="AP61" i="8"/>
  <c r="AI250" i="8"/>
  <c r="AJ250" i="8"/>
  <c r="AP250" i="8"/>
  <c r="AI265" i="8"/>
  <c r="AJ265" i="8"/>
  <c r="AP265" i="8"/>
  <c r="AJ222" i="8"/>
  <c r="AI222" i="8"/>
  <c r="AP222" i="8"/>
  <c r="AI171" i="8"/>
  <c r="AJ171" i="8"/>
  <c r="AP171" i="8"/>
  <c r="AI242" i="8"/>
  <c r="AP242" i="8"/>
  <c r="AJ242" i="8"/>
  <c r="AI179" i="8"/>
  <c r="AJ179" i="8"/>
  <c r="AP179" i="8"/>
  <c r="AJ208" i="8"/>
  <c r="AI208" i="8"/>
  <c r="AP208" i="8"/>
  <c r="AI238" i="8"/>
  <c r="AJ238" i="8"/>
  <c r="AP238" i="8"/>
  <c r="AJ279" i="8"/>
  <c r="AP279" i="8"/>
  <c r="AI279" i="8"/>
  <c r="AP63" i="8"/>
  <c r="AJ63" i="8"/>
  <c r="AI63" i="8"/>
  <c r="AJ70" i="8"/>
  <c r="AI70" i="8"/>
  <c r="AP70" i="8"/>
  <c r="AI152" i="8"/>
  <c r="AJ152" i="8"/>
  <c r="AP152" i="8"/>
  <c r="AJ76" i="8"/>
  <c r="AI76" i="8"/>
  <c r="AP76" i="8"/>
  <c r="AJ128" i="8"/>
  <c r="AI128" i="8"/>
  <c r="AP128" i="8"/>
  <c r="AE112" i="8"/>
  <c r="AF112" i="8" s="1"/>
  <c r="AA112" i="4" s="1"/>
  <c r="AC112" i="8"/>
  <c r="AD112" i="8" s="1"/>
  <c r="Z112" i="4" s="1"/>
  <c r="AE74" i="8"/>
  <c r="AF74" i="8" s="1"/>
  <c r="AA74" i="4" s="1"/>
  <c r="AC74" i="8"/>
  <c r="AD74" i="8" s="1"/>
  <c r="Z74" i="4" s="1"/>
  <c r="AJ262" i="8"/>
  <c r="AP262" i="8"/>
  <c r="AI262" i="8"/>
  <c r="AQ251" i="8"/>
  <c r="AR251" i="8" s="1"/>
  <c r="AS251" i="8" s="1"/>
  <c r="AT251" i="8" s="1"/>
  <c r="AU251" i="8" s="1"/>
  <c r="AC251" i="4" s="1"/>
  <c r="AK251" i="8"/>
  <c r="AL251" i="8" s="1"/>
  <c r="AM251" i="8" s="1"/>
  <c r="AN251" i="8" s="1"/>
  <c r="AO251" i="8" s="1"/>
  <c r="AB251" i="4" s="1"/>
  <c r="AK65" i="8"/>
  <c r="AL65" i="8" s="1"/>
  <c r="AM65" i="8" s="1"/>
  <c r="AN65" i="8" s="1"/>
  <c r="AO65" i="8" s="1"/>
  <c r="AB65" i="4" s="1"/>
  <c r="AQ65" i="8"/>
  <c r="AR65" i="8" s="1"/>
  <c r="AS65" i="8" s="1"/>
  <c r="AT65" i="8" s="1"/>
  <c r="AU65" i="8" s="1"/>
  <c r="AC65" i="4" s="1"/>
  <c r="AK140" i="8"/>
  <c r="AL140" i="8" s="1"/>
  <c r="AM140" i="8" s="1"/>
  <c r="AN140" i="8" s="1"/>
  <c r="AO140" i="8" s="1"/>
  <c r="AB140" i="4" s="1"/>
  <c r="AQ140" i="8"/>
  <c r="AR140" i="8" s="1"/>
  <c r="AS140" i="8" s="1"/>
  <c r="AT140" i="8" s="1"/>
  <c r="AU140" i="8" s="1"/>
  <c r="AC140" i="4" s="1"/>
  <c r="AK53" i="8"/>
  <c r="AL53" i="8" s="1"/>
  <c r="AM53" i="8" s="1"/>
  <c r="AN53" i="8" s="1"/>
  <c r="AO53" i="8" s="1"/>
  <c r="AB53" i="4" s="1"/>
  <c r="AQ53" i="8"/>
  <c r="AR53" i="8" s="1"/>
  <c r="AS53" i="8" s="1"/>
  <c r="AT53" i="8" s="1"/>
  <c r="AU53" i="8" s="1"/>
  <c r="AC53" i="4" s="1"/>
  <c r="AE163" i="8"/>
  <c r="AF163" i="8" s="1"/>
  <c r="AA163" i="4" s="1"/>
  <c r="AC163" i="8"/>
  <c r="AD163" i="8" s="1"/>
  <c r="Z163" i="4" s="1"/>
  <c r="AC143" i="8"/>
  <c r="AD143" i="8" s="1"/>
  <c r="Z143" i="4" s="1"/>
  <c r="AE143" i="8"/>
  <c r="AF143" i="8" s="1"/>
  <c r="AA143" i="4" s="1"/>
  <c r="AI132" i="8"/>
  <c r="AJ132" i="8"/>
  <c r="AP132" i="8"/>
  <c r="AC91" i="8"/>
  <c r="AD91" i="8" s="1"/>
  <c r="Z91" i="4" s="1"/>
  <c r="AE91" i="8"/>
  <c r="AF91" i="8" s="1"/>
  <c r="AA91" i="4" s="1"/>
  <c r="AK118" i="8"/>
  <c r="AL118" i="8" s="1"/>
  <c r="AM118" i="8" s="1"/>
  <c r="AN118" i="8" s="1"/>
  <c r="AO118" i="8" s="1"/>
  <c r="AB118" i="4" s="1"/>
  <c r="AQ118" i="8"/>
  <c r="AR118" i="8" s="1"/>
  <c r="AS118" i="8" s="1"/>
  <c r="AT118" i="8" s="1"/>
  <c r="AU118" i="8" s="1"/>
  <c r="AC118" i="4" s="1"/>
  <c r="AK266" i="8"/>
  <c r="AL266" i="8" s="1"/>
  <c r="AM266" i="8" s="1"/>
  <c r="AN266" i="8" s="1"/>
  <c r="AO266" i="8" s="1"/>
  <c r="AB266" i="4" s="1"/>
  <c r="AQ266" i="8"/>
  <c r="AR266" i="8" s="1"/>
  <c r="AS266" i="8" s="1"/>
  <c r="AT266" i="8" s="1"/>
  <c r="AU266" i="8" s="1"/>
  <c r="AC266" i="4" s="1"/>
  <c r="AQ256" i="8"/>
  <c r="AR256" i="8" s="1"/>
  <c r="AS256" i="8" s="1"/>
  <c r="AT256" i="8" s="1"/>
  <c r="AU256" i="8" s="1"/>
  <c r="AC256" i="4" s="1"/>
  <c r="AK256" i="8"/>
  <c r="AL256" i="8" s="1"/>
  <c r="AM256" i="8" s="1"/>
  <c r="AN256" i="8" s="1"/>
  <c r="AO256" i="8" s="1"/>
  <c r="AB256" i="4" s="1"/>
  <c r="AQ60" i="8"/>
  <c r="AR60" i="8" s="1"/>
  <c r="AS60" i="8" s="1"/>
  <c r="AT60" i="8" s="1"/>
  <c r="AU60" i="8" s="1"/>
  <c r="AC60" i="4" s="1"/>
  <c r="AK60" i="8"/>
  <c r="AL60" i="8" s="1"/>
  <c r="AM60" i="8" s="1"/>
  <c r="AN60" i="8" s="1"/>
  <c r="AO60" i="8" s="1"/>
  <c r="AB60" i="4" s="1"/>
  <c r="AC162" i="8"/>
  <c r="AD162" i="8" s="1"/>
  <c r="Z162" i="4" s="1"/>
  <c r="AE162" i="8"/>
  <c r="AF162" i="8" s="1"/>
  <c r="AA162" i="4" s="1"/>
  <c r="AK167" i="8"/>
  <c r="AL167" i="8" s="1"/>
  <c r="AM167" i="8" s="1"/>
  <c r="AN167" i="8" s="1"/>
  <c r="AO167" i="8" s="1"/>
  <c r="AB167" i="4" s="1"/>
  <c r="AQ167" i="8"/>
  <c r="AR167" i="8" s="1"/>
  <c r="AS167" i="8" s="1"/>
  <c r="AT167" i="8" s="1"/>
  <c r="AU167" i="8" s="1"/>
  <c r="AC167" i="4" s="1"/>
  <c r="AK122" i="8"/>
  <c r="AL122" i="8" s="1"/>
  <c r="AM122" i="8" s="1"/>
  <c r="AN122" i="8" s="1"/>
  <c r="AO122" i="8" s="1"/>
  <c r="AB122" i="4" s="1"/>
  <c r="AK130" i="8"/>
  <c r="AL130" i="8" s="1"/>
  <c r="AM130" i="8" s="1"/>
  <c r="AN130" i="8" s="1"/>
  <c r="AO130" i="8" s="1"/>
  <c r="AB130" i="4" s="1"/>
  <c r="AQ130" i="8"/>
  <c r="AR130" i="8" s="1"/>
  <c r="AS130" i="8" s="1"/>
  <c r="AT130" i="8" s="1"/>
  <c r="AU130" i="8" s="1"/>
  <c r="AC130" i="4" s="1"/>
  <c r="AE114" i="8"/>
  <c r="AF114" i="8" s="1"/>
  <c r="AA114" i="4" s="1"/>
  <c r="AE212" i="8"/>
  <c r="AF212" i="8" s="1"/>
  <c r="AA212" i="4" s="1"/>
  <c r="AQ87" i="8"/>
  <c r="AR87" i="8" s="1"/>
  <c r="AS87" i="8" s="1"/>
  <c r="AT87" i="8" s="1"/>
  <c r="AU87" i="8" s="1"/>
  <c r="AC87" i="4" s="1"/>
  <c r="AE216" i="8"/>
  <c r="AF216" i="8" s="1"/>
  <c r="AA216" i="4" s="1"/>
  <c r="AK205" i="8"/>
  <c r="AL205" i="8" s="1"/>
  <c r="AM205" i="8" s="1"/>
  <c r="AN205" i="8" s="1"/>
  <c r="AO205" i="8" s="1"/>
  <c r="AB205" i="4" s="1"/>
  <c r="AC77" i="8"/>
  <c r="AD77" i="8" s="1"/>
  <c r="Z77" i="4" s="1"/>
  <c r="AL88" i="8"/>
  <c r="AM88" i="8" s="1"/>
  <c r="AN88" i="8" s="1"/>
  <c r="AO88" i="8" s="1"/>
  <c r="AB88" i="4" s="1"/>
  <c r="Z76" i="8"/>
  <c r="AA76" i="8" s="1"/>
  <c r="AB76" i="8" s="1"/>
  <c r="Z244" i="8"/>
  <c r="AA244" i="8" s="1"/>
  <c r="AB244" i="8" s="1"/>
  <c r="Z297" i="8"/>
  <c r="AA297" i="8" s="1"/>
  <c r="AB297" i="8" s="1"/>
  <c r="AC222" i="8"/>
  <c r="AD222" i="8" s="1"/>
  <c r="Z222" i="4" s="1"/>
  <c r="AC238" i="8"/>
  <c r="AD238" i="8" s="1"/>
  <c r="Z238" i="4" s="1"/>
  <c r="AE303" i="8"/>
  <c r="AF303" i="8" s="1"/>
  <c r="AA303" i="4" s="1"/>
  <c r="AC223" i="8"/>
  <c r="AD223" i="8" s="1"/>
  <c r="Z223" i="4" s="1"/>
  <c r="AC260" i="8"/>
  <c r="AD260" i="8" s="1"/>
  <c r="Z260" i="4" s="1"/>
  <c r="Z247" i="8"/>
  <c r="AA247" i="8" s="1"/>
  <c r="AB247" i="8" s="1"/>
  <c r="Z142" i="8"/>
  <c r="AA142" i="8" s="1"/>
  <c r="AB142" i="8" s="1"/>
  <c r="Z221" i="8"/>
  <c r="AA221" i="8" s="1"/>
  <c r="AB221" i="8" s="1"/>
  <c r="Y294" i="8"/>
  <c r="Z294" i="8" s="1"/>
  <c r="AA294" i="8" s="1"/>
  <c r="AB294" i="8" s="1"/>
  <c r="Z115" i="8"/>
  <c r="AA115" i="8" s="1"/>
  <c r="AB115" i="8" s="1"/>
  <c r="Z235" i="8"/>
  <c r="AA235" i="8" s="1"/>
  <c r="AB235" i="8" s="1"/>
  <c r="Z253" i="8"/>
  <c r="AA253" i="8" s="1"/>
  <c r="AB253" i="8" s="1"/>
  <c r="AP54" i="8"/>
  <c r="AI54" i="8"/>
  <c r="AJ54" i="8"/>
  <c r="AI117" i="8"/>
  <c r="AJ117" i="8"/>
  <c r="AP117" i="8"/>
  <c r="Y271" i="8"/>
  <c r="V271" i="8"/>
  <c r="X271" i="8" s="1"/>
  <c r="AP59" i="8"/>
  <c r="AI59" i="8"/>
  <c r="AJ59" i="8"/>
  <c r="AP162" i="8"/>
  <c r="AI162" i="8"/>
  <c r="AJ162" i="8"/>
  <c r="AP100" i="8"/>
  <c r="AJ100" i="8"/>
  <c r="AI100" i="8"/>
  <c r="AI217" i="8"/>
  <c r="AJ217" i="8"/>
  <c r="AP217" i="8"/>
  <c r="AJ289" i="8"/>
  <c r="AP289" i="8"/>
  <c r="AI289" i="8"/>
  <c r="AP51" i="8"/>
  <c r="AI51" i="8"/>
  <c r="AJ51" i="8"/>
  <c r="AJ161" i="8"/>
  <c r="AI161" i="8"/>
  <c r="AP161" i="8"/>
  <c r="AJ165" i="8"/>
  <c r="AI165" i="8"/>
  <c r="AP165" i="8"/>
  <c r="AI239" i="8"/>
  <c r="AJ239" i="8"/>
  <c r="AP239" i="8"/>
  <c r="AI175" i="8"/>
  <c r="AJ175" i="8"/>
  <c r="AP175" i="8"/>
  <c r="AI86" i="8"/>
  <c r="AJ86" i="8"/>
  <c r="AP86" i="8"/>
  <c r="AJ263" i="8"/>
  <c r="AP263" i="8"/>
  <c r="AI263" i="8"/>
  <c r="AJ267" i="8"/>
  <c r="AI267" i="8"/>
  <c r="AP267" i="8"/>
  <c r="AI57" i="8"/>
  <c r="AJ57" i="8"/>
  <c r="AP57" i="8"/>
  <c r="AI92" i="8"/>
  <c r="AJ92" i="8"/>
  <c r="AP92" i="8"/>
  <c r="AI198" i="8"/>
  <c r="AJ198" i="8"/>
  <c r="AP198" i="8"/>
  <c r="AI188" i="8"/>
  <c r="AJ188" i="8"/>
  <c r="AP188" i="8"/>
  <c r="AP181" i="8"/>
  <c r="AJ181" i="8"/>
  <c r="AI181" i="8"/>
  <c r="AP107" i="8"/>
  <c r="AI107" i="8"/>
  <c r="AJ107" i="8"/>
  <c r="AI301" i="8"/>
  <c r="AJ301" i="8"/>
  <c r="AP301" i="8"/>
  <c r="AE173" i="8"/>
  <c r="AF173" i="8" s="1"/>
  <c r="AA173" i="4" s="1"/>
  <c r="AC173" i="8"/>
  <c r="AD173" i="8" s="1"/>
  <c r="Z173" i="4" s="1"/>
  <c r="AK227" i="8"/>
  <c r="AL227" i="8" s="1"/>
  <c r="AM227" i="8" s="1"/>
  <c r="AN227" i="8" s="1"/>
  <c r="AO227" i="8" s="1"/>
  <c r="AB227" i="4" s="1"/>
  <c r="AQ227" i="8"/>
  <c r="AR227" i="8" s="1"/>
  <c r="AS227" i="8" s="1"/>
  <c r="AT227" i="8" s="1"/>
  <c r="AU227" i="8" s="1"/>
  <c r="AC227" i="4" s="1"/>
  <c r="AQ258" i="8"/>
  <c r="AR258" i="8" s="1"/>
  <c r="AS258" i="8" s="1"/>
  <c r="AT258" i="8" s="1"/>
  <c r="AU258" i="8" s="1"/>
  <c r="AC258" i="4" s="1"/>
  <c r="AK258" i="8"/>
  <c r="AL258" i="8" s="1"/>
  <c r="AM258" i="8" s="1"/>
  <c r="AN258" i="8" s="1"/>
  <c r="AO258" i="8" s="1"/>
  <c r="AB258" i="4" s="1"/>
  <c r="AQ133" i="8"/>
  <c r="AR133" i="8" s="1"/>
  <c r="AS133" i="8" s="1"/>
  <c r="AT133" i="8" s="1"/>
  <c r="AU133" i="8" s="1"/>
  <c r="AC133" i="4" s="1"/>
  <c r="AK133" i="8"/>
  <c r="AL133" i="8" s="1"/>
  <c r="AM133" i="8" s="1"/>
  <c r="AN133" i="8" s="1"/>
  <c r="AO133" i="8" s="1"/>
  <c r="AB133" i="4" s="1"/>
  <c r="AK225" i="8"/>
  <c r="AL225" i="8" s="1"/>
  <c r="AM225" i="8" s="1"/>
  <c r="AN225" i="8" s="1"/>
  <c r="AO225" i="8" s="1"/>
  <c r="AB225" i="4" s="1"/>
  <c r="AQ225" i="8"/>
  <c r="AR225" i="8" s="1"/>
  <c r="AS225" i="8" s="1"/>
  <c r="AT225" i="8" s="1"/>
  <c r="AU225" i="8" s="1"/>
  <c r="AC225" i="4" s="1"/>
  <c r="AK124" i="8"/>
  <c r="AL124" i="8" s="1"/>
  <c r="AM124" i="8" s="1"/>
  <c r="AN124" i="8" s="1"/>
  <c r="AO124" i="8" s="1"/>
  <c r="AB124" i="4" s="1"/>
  <c r="AQ124" i="8"/>
  <c r="AR124" i="8" s="1"/>
  <c r="AS124" i="8" s="1"/>
  <c r="AT124" i="8" s="1"/>
  <c r="AU124" i="8" s="1"/>
  <c r="AC124" i="4" s="1"/>
  <c r="AE108" i="8"/>
  <c r="AF108" i="8" s="1"/>
  <c r="AA108" i="4" s="1"/>
  <c r="AC108" i="8"/>
  <c r="AD108" i="8" s="1"/>
  <c r="Z108" i="4" s="1"/>
  <c r="AC210" i="8"/>
  <c r="AD210" i="8" s="1"/>
  <c r="Z210" i="4" s="1"/>
  <c r="AE210" i="8"/>
  <c r="AF210" i="8" s="1"/>
  <c r="AA210" i="4" s="1"/>
  <c r="AJ249" i="8"/>
  <c r="AI249" i="8"/>
  <c r="AP249" i="8"/>
  <c r="AI96" i="8"/>
  <c r="AP96" i="8"/>
  <c r="AJ96" i="8"/>
  <c r="AI78" i="8"/>
  <c r="AP78" i="8"/>
  <c r="AJ78" i="8"/>
  <c r="Y292" i="8"/>
  <c r="Z292" i="8" s="1"/>
  <c r="AA292" i="8" s="1"/>
  <c r="AB292" i="8" s="1"/>
  <c r="V292" i="8"/>
  <c r="X292" i="8" s="1"/>
  <c r="V300" i="8"/>
  <c r="X300" i="8" s="1"/>
  <c r="Y300" i="8"/>
  <c r="AJ66" i="8"/>
  <c r="AI66" i="8"/>
  <c r="AP66" i="8"/>
  <c r="AI89" i="8"/>
  <c r="AP89" i="8"/>
  <c r="AJ89" i="8"/>
  <c r="AI129" i="8"/>
  <c r="AJ129" i="8"/>
  <c r="AP129" i="8"/>
  <c r="AI199" i="8"/>
  <c r="AP199" i="8"/>
  <c r="AJ199" i="8"/>
  <c r="AI273" i="8"/>
  <c r="AJ273" i="8"/>
  <c r="AP273" i="8"/>
  <c r="AJ243" i="8"/>
  <c r="AI243" i="8"/>
  <c r="AP243" i="8"/>
  <c r="AJ158" i="8"/>
  <c r="AI158" i="8"/>
  <c r="AP158" i="8"/>
  <c r="AI190" i="8"/>
  <c r="AJ190" i="8"/>
  <c r="AP190" i="8"/>
  <c r="AI234" i="8"/>
  <c r="AP234" i="8"/>
  <c r="AJ234" i="8"/>
  <c r="AP177" i="8"/>
  <c r="AI177" i="8"/>
  <c r="AJ177" i="8"/>
  <c r="AJ264" i="8"/>
  <c r="AP264" i="8"/>
  <c r="AI264" i="8"/>
  <c r="AI260" i="8"/>
  <c r="AJ260" i="8"/>
  <c r="AP260" i="8"/>
  <c r="AC289" i="8"/>
  <c r="AD289" i="8" s="1"/>
  <c r="Z289" i="4" s="1"/>
  <c r="AE289" i="8"/>
  <c r="AF289" i="8" s="1"/>
  <c r="AA289" i="4" s="1"/>
  <c r="AC226" i="8"/>
  <c r="AD226" i="8" s="1"/>
  <c r="Z226" i="4" s="1"/>
  <c r="AE226" i="8"/>
  <c r="AF226" i="8" s="1"/>
  <c r="AA226" i="4" s="1"/>
  <c r="AQ62" i="8"/>
  <c r="AR62" i="8" s="1"/>
  <c r="AS62" i="8" s="1"/>
  <c r="AT62" i="8" s="1"/>
  <c r="AU62" i="8" s="1"/>
  <c r="AC62" i="4" s="1"/>
  <c r="AK62" i="8"/>
  <c r="AL62" i="8" s="1"/>
  <c r="AM62" i="8" s="1"/>
  <c r="AN62" i="8" s="1"/>
  <c r="AO62" i="8" s="1"/>
  <c r="AB62" i="4" s="1"/>
  <c r="AK97" i="8"/>
  <c r="AL97" i="8" s="1"/>
  <c r="AM97" i="8" s="1"/>
  <c r="AN97" i="8" s="1"/>
  <c r="AO97" i="8" s="1"/>
  <c r="AB97" i="4" s="1"/>
  <c r="AQ97" i="8"/>
  <c r="AR97" i="8" s="1"/>
  <c r="AS97" i="8" s="1"/>
  <c r="AT97" i="8" s="1"/>
  <c r="AU97" i="8" s="1"/>
  <c r="AC97" i="4" s="1"/>
  <c r="AC190" i="8"/>
  <c r="AD190" i="8" s="1"/>
  <c r="Z190" i="4" s="1"/>
  <c r="AE190" i="8"/>
  <c r="AF190" i="8" s="1"/>
  <c r="AA190" i="4" s="1"/>
  <c r="AQ126" i="8"/>
  <c r="AR126" i="8" s="1"/>
  <c r="AS126" i="8" s="1"/>
  <c r="AT126" i="8" s="1"/>
  <c r="AU126" i="8" s="1"/>
  <c r="AC126" i="4" s="1"/>
  <c r="AK126" i="8"/>
  <c r="AL126" i="8" s="1"/>
  <c r="AM126" i="8" s="1"/>
  <c r="AN126" i="8" s="1"/>
  <c r="AO126" i="8" s="1"/>
  <c r="AB126" i="4" s="1"/>
  <c r="AQ229" i="8"/>
  <c r="AK229" i="8"/>
  <c r="AL229" i="8" s="1"/>
  <c r="AM229" i="8" s="1"/>
  <c r="AN229" i="8" s="1"/>
  <c r="AO229" i="8" s="1"/>
  <c r="AB229" i="4" s="1"/>
  <c r="AK246" i="8"/>
  <c r="AL246" i="8" s="1"/>
  <c r="AM246" i="8" s="1"/>
  <c r="AN246" i="8" s="1"/>
  <c r="AO246" i="8" s="1"/>
  <c r="AB246" i="4" s="1"/>
  <c r="AQ246" i="8"/>
  <c r="AR246" i="8" s="1"/>
  <c r="AS246" i="8" s="1"/>
  <c r="AT246" i="8" s="1"/>
  <c r="AU246" i="8" s="1"/>
  <c r="AC246" i="4" s="1"/>
  <c r="AK106" i="8"/>
  <c r="AL106" i="8" s="1"/>
  <c r="AM106" i="8" s="1"/>
  <c r="AN106" i="8" s="1"/>
  <c r="AO106" i="8" s="1"/>
  <c r="AB106" i="4" s="1"/>
  <c r="AQ106" i="8"/>
  <c r="AR106" i="8" s="1"/>
  <c r="AS106" i="8" s="1"/>
  <c r="AT106" i="8" s="1"/>
  <c r="AU106" i="8" s="1"/>
  <c r="AC106" i="4" s="1"/>
  <c r="AI77" i="8"/>
  <c r="AJ77" i="8"/>
  <c r="AP77" i="8"/>
  <c r="AP109" i="8"/>
  <c r="AJ109" i="8"/>
  <c r="AI109" i="8"/>
  <c r="AI125" i="8"/>
  <c r="AJ125" i="8"/>
  <c r="AP125" i="8"/>
  <c r="AI195" i="8"/>
  <c r="AJ195" i="8"/>
  <c r="AP195" i="8"/>
  <c r="AJ268" i="8"/>
  <c r="AP268" i="8"/>
  <c r="AI268" i="8"/>
  <c r="V275" i="8"/>
  <c r="X275" i="8" s="1"/>
  <c r="Y275" i="8"/>
  <c r="AJ309" i="8"/>
  <c r="AI309" i="8"/>
  <c r="AP309" i="8"/>
  <c r="AP226" i="8"/>
  <c r="AJ226" i="8"/>
  <c r="AI226" i="8"/>
  <c r="AP237" i="8"/>
  <c r="AJ237" i="8"/>
  <c r="AI237" i="8"/>
  <c r="AP154" i="8"/>
  <c r="AJ154" i="8"/>
  <c r="AI154" i="8"/>
  <c r="AP170" i="8"/>
  <c r="AI170" i="8"/>
  <c r="AJ170" i="8"/>
  <c r="AP186" i="8"/>
  <c r="AJ186" i="8"/>
  <c r="AI186" i="8"/>
  <c r="Y282" i="8"/>
  <c r="V282" i="8"/>
  <c r="X282" i="8" s="1"/>
  <c r="Y298" i="8"/>
  <c r="V298" i="8"/>
  <c r="X298" i="8" s="1"/>
  <c r="AI305" i="8"/>
  <c r="AP305" i="8"/>
  <c r="AJ305" i="8"/>
  <c r="AP52" i="8"/>
  <c r="AJ52" i="8"/>
  <c r="AI52" i="8"/>
  <c r="AJ102" i="8"/>
  <c r="AI102" i="8"/>
  <c r="AP102" i="8"/>
  <c r="AI215" i="8"/>
  <c r="AJ215" i="8"/>
  <c r="AP215" i="8"/>
  <c r="AI219" i="8"/>
  <c r="AJ219" i="8"/>
  <c r="AP219" i="8"/>
  <c r="AP290" i="8"/>
  <c r="AJ290" i="8"/>
  <c r="AI290" i="8"/>
  <c r="AP193" i="8"/>
  <c r="AI193" i="8"/>
  <c r="AJ193" i="8"/>
  <c r="AJ143" i="8"/>
  <c r="AI143" i="8"/>
  <c r="AP143" i="8"/>
  <c r="AJ172" i="8"/>
  <c r="AI172" i="8"/>
  <c r="AP172" i="8"/>
  <c r="AI142" i="8"/>
  <c r="AJ142" i="8"/>
  <c r="AP142" i="8"/>
  <c r="AI295" i="8"/>
  <c r="AJ295" i="8"/>
  <c r="AP295" i="8"/>
  <c r="AI147" i="8"/>
  <c r="AJ147" i="8"/>
  <c r="AP147" i="8"/>
  <c r="AP270" i="8"/>
  <c r="AJ270" i="8"/>
  <c r="AI270" i="8"/>
  <c r="AJ299" i="8"/>
  <c r="AI299" i="8"/>
  <c r="AP299" i="8"/>
  <c r="AJ68" i="8"/>
  <c r="AI68" i="8"/>
  <c r="AP68" i="8"/>
  <c r="AI131" i="8"/>
  <c r="AJ131" i="8"/>
  <c r="AP131" i="8"/>
  <c r="AJ255" i="8"/>
  <c r="AI255" i="8"/>
  <c r="AP255" i="8"/>
  <c r="AP231" i="8"/>
  <c r="AJ231" i="8"/>
  <c r="AI231" i="8"/>
  <c r="AJ73" i="8"/>
  <c r="AI73" i="8"/>
  <c r="AP73" i="8"/>
  <c r="AI259" i="8"/>
  <c r="AJ259" i="8"/>
  <c r="AP259" i="8"/>
  <c r="AI235" i="8"/>
  <c r="AJ235" i="8"/>
  <c r="AP235" i="8"/>
  <c r="AP112" i="8"/>
  <c r="AI112" i="8"/>
  <c r="AJ112" i="8"/>
  <c r="AJ202" i="8"/>
  <c r="AP202" i="8"/>
  <c r="AI202" i="8"/>
  <c r="AI85" i="8"/>
  <c r="AJ85" i="8"/>
  <c r="AP85" i="8"/>
  <c r="AJ203" i="8"/>
  <c r="AP203" i="8"/>
  <c r="AI203" i="8"/>
  <c r="AJ149" i="8"/>
  <c r="AI149" i="8"/>
  <c r="AP149" i="8"/>
  <c r="AI274" i="8"/>
  <c r="AJ274" i="8"/>
  <c r="AP274" i="8"/>
  <c r="AI197" i="8"/>
  <c r="AJ197" i="8"/>
  <c r="AP197" i="8"/>
  <c r="AJ210" i="8"/>
  <c r="AI210" i="8"/>
  <c r="AP210" i="8"/>
  <c r="AI310" i="8"/>
  <c r="AP310" i="8"/>
  <c r="AJ310" i="8"/>
  <c r="AP159" i="8"/>
  <c r="AJ159" i="8"/>
  <c r="AI159" i="8"/>
  <c r="AJ69" i="8"/>
  <c r="AI69" i="8"/>
  <c r="AP69" i="8"/>
  <c r="AI306" i="8"/>
  <c r="AJ306" i="8"/>
  <c r="AP306" i="8"/>
  <c r="AJ244" i="8"/>
  <c r="AI244" i="8"/>
  <c r="AP244" i="8"/>
  <c r="AP111" i="8"/>
  <c r="AJ111" i="8"/>
  <c r="AI111" i="8"/>
  <c r="AJ196" i="8"/>
  <c r="AP196" i="8"/>
  <c r="AI196" i="8"/>
  <c r="AJ116" i="8"/>
  <c r="AI116" i="8"/>
  <c r="AP116" i="8"/>
  <c r="AI269" i="8"/>
  <c r="AJ269" i="8"/>
  <c r="AP269" i="8"/>
  <c r="AJ187" i="8"/>
  <c r="AI187" i="8"/>
  <c r="AP187" i="8"/>
  <c r="AK84" i="8"/>
  <c r="AL84" i="8" s="1"/>
  <c r="AM84" i="8" s="1"/>
  <c r="AN84" i="8" s="1"/>
  <c r="AO84" i="8" s="1"/>
  <c r="AB84" i="4" s="1"/>
  <c r="AQ84" i="8"/>
  <c r="AR84" i="8" s="1"/>
  <c r="AS84" i="8" s="1"/>
  <c r="AT84" i="8" s="1"/>
  <c r="AU84" i="8" s="1"/>
  <c r="AC84" i="4" s="1"/>
  <c r="AC183" i="8"/>
  <c r="AD183" i="8" s="1"/>
  <c r="Z183" i="4" s="1"/>
  <c r="AE183" i="8"/>
  <c r="AF183" i="8" s="1"/>
  <c r="AA183" i="4" s="1"/>
  <c r="AC255" i="8"/>
  <c r="AD255" i="8" s="1"/>
  <c r="Z255" i="4" s="1"/>
  <c r="AE255" i="8"/>
  <c r="AF255" i="8" s="1"/>
  <c r="AA255" i="4" s="1"/>
  <c r="AP81" i="8"/>
  <c r="AJ81" i="8"/>
  <c r="AI81" i="8"/>
  <c r="AC229" i="8"/>
  <c r="AD229" i="8" s="1"/>
  <c r="Z229" i="4" s="1"/>
  <c r="AE229" i="8"/>
  <c r="AF229" i="8" s="1"/>
  <c r="AA229" i="4" s="1"/>
  <c r="AQ99" i="8"/>
  <c r="AR99" i="8" s="1"/>
  <c r="AS99" i="8" s="1"/>
  <c r="AT99" i="8" s="1"/>
  <c r="AU99" i="8" s="1"/>
  <c r="AC99" i="4" s="1"/>
  <c r="AK99" i="8"/>
  <c r="AL99" i="8" s="1"/>
  <c r="AM99" i="8" s="1"/>
  <c r="AN99" i="8" s="1"/>
  <c r="AO99" i="8" s="1"/>
  <c r="AB99" i="4" s="1"/>
  <c r="AE93" i="8"/>
  <c r="AF93" i="8" s="1"/>
  <c r="AA93" i="4" s="1"/>
  <c r="AC93" i="8"/>
  <c r="AD93" i="8" s="1"/>
  <c r="Z93" i="4" s="1"/>
  <c r="AE87" i="8"/>
  <c r="AF87" i="8" s="1"/>
  <c r="AA87" i="4" s="1"/>
  <c r="AC87" i="8"/>
  <c r="AD87" i="8" s="1"/>
  <c r="Z87" i="4" s="1"/>
  <c r="AJ93" i="8"/>
  <c r="AI93" i="8"/>
  <c r="AP93" i="8"/>
  <c r="AC144" i="8"/>
  <c r="AD144" i="8" s="1"/>
  <c r="Z144" i="4" s="1"/>
  <c r="AE144" i="8"/>
  <c r="AF144" i="8" s="1"/>
  <c r="AA144" i="4" s="1"/>
  <c r="AK287" i="8"/>
  <c r="AL287" i="8" s="1"/>
  <c r="AM287" i="8" s="1"/>
  <c r="AN287" i="8" s="1"/>
  <c r="AO287" i="8" s="1"/>
  <c r="AB287" i="4" s="1"/>
  <c r="AQ287" i="8"/>
  <c r="AR287" i="8" s="1"/>
  <c r="AS287" i="8" s="1"/>
  <c r="AT287" i="8" s="1"/>
  <c r="AU287" i="8" s="1"/>
  <c r="AC287" i="4" s="1"/>
  <c r="AP40" i="8"/>
  <c r="AJ40" i="8"/>
  <c r="AI40" i="8"/>
  <c r="AK138" i="8"/>
  <c r="AL138" i="8" s="1"/>
  <c r="AM138" i="8" s="1"/>
  <c r="AN138" i="8" s="1"/>
  <c r="AO138" i="8" s="1"/>
  <c r="AB138" i="4" s="1"/>
  <c r="AQ138" i="8"/>
  <c r="AR138" i="8" s="1"/>
  <c r="AS138" i="8" s="1"/>
  <c r="AT138" i="8" s="1"/>
  <c r="AU138" i="8" s="1"/>
  <c r="AC138" i="4" s="1"/>
  <c r="AE149" i="8"/>
  <c r="AF149" i="8" s="1"/>
  <c r="AA149" i="4" s="1"/>
  <c r="AE131" i="8"/>
  <c r="AF131" i="8" s="1"/>
  <c r="AA131" i="4" s="1"/>
  <c r="AE174" i="8"/>
  <c r="AF174" i="8" s="1"/>
  <c r="AA174" i="4" s="1"/>
  <c r="Z148" i="8"/>
  <c r="AA148" i="8" s="1"/>
  <c r="AB148" i="8" s="1"/>
  <c r="Z104" i="8"/>
  <c r="AA104" i="8" s="1"/>
  <c r="AB104" i="8" s="1"/>
  <c r="Z261" i="8"/>
  <c r="AA261" i="8" s="1"/>
  <c r="AB261" i="8" s="1"/>
  <c r="Z197" i="8"/>
  <c r="AA197" i="8" s="1"/>
  <c r="AB197" i="8" s="1"/>
  <c r="Z66" i="8"/>
  <c r="AA66" i="8" s="1"/>
  <c r="AB66" i="8" s="1"/>
  <c r="Z241" i="8"/>
  <c r="AA241" i="8" s="1"/>
  <c r="AB241" i="8" s="1"/>
  <c r="Z152" i="8"/>
  <c r="AA152" i="8" s="1"/>
  <c r="AB152" i="8" s="1"/>
  <c r="Z306" i="8"/>
  <c r="AA306" i="8" s="1"/>
  <c r="AB306" i="8" s="1"/>
  <c r="Z165" i="8"/>
  <c r="AA165" i="8" s="1"/>
  <c r="AB165" i="8" s="1"/>
  <c r="Z84" i="8"/>
  <c r="AA84" i="8" s="1"/>
  <c r="AB84" i="8" s="1"/>
  <c r="Z266" i="8"/>
  <c r="AA266" i="8" s="1"/>
  <c r="AB266" i="8" s="1"/>
  <c r="Z106" i="8"/>
  <c r="AA106" i="8" s="1"/>
  <c r="AB106" i="8" s="1"/>
  <c r="Z268" i="8"/>
  <c r="AA268" i="8" s="1"/>
  <c r="AB268" i="8" s="1"/>
  <c r="Z126" i="8"/>
  <c r="AA126" i="8" s="1"/>
  <c r="AB126" i="8" s="1"/>
  <c r="Z150" i="8"/>
  <c r="AA150" i="8" s="1"/>
  <c r="AB150" i="8" s="1"/>
  <c r="Z178" i="8"/>
  <c r="AA178" i="8" s="1"/>
  <c r="AB178" i="8" s="1"/>
  <c r="Z68" i="8"/>
  <c r="AA68" i="8" s="1"/>
  <c r="AB68" i="8" s="1"/>
  <c r="AR201" i="8"/>
  <c r="AS201" i="8" s="1"/>
  <c r="AT201" i="8" s="1"/>
  <c r="AU201" i="8" s="1"/>
  <c r="AC201" i="4" s="1"/>
  <c r="Z231" i="8"/>
  <c r="AA231" i="8" s="1"/>
  <c r="AB231" i="8" s="1"/>
  <c r="Z157" i="8"/>
  <c r="AA157" i="8" s="1"/>
  <c r="AB157" i="8" s="1"/>
  <c r="Z105" i="8"/>
  <c r="AA105" i="8" s="1"/>
  <c r="AB105" i="8" s="1"/>
  <c r="Z56" i="8"/>
  <c r="AA56" i="8" s="1"/>
  <c r="AB56" i="8" s="1"/>
  <c r="Z259" i="8"/>
  <c r="AA259" i="8" s="1"/>
  <c r="AB259" i="8" s="1"/>
  <c r="AE136" i="8"/>
  <c r="AF136" i="8" s="1"/>
  <c r="AA136" i="4" s="1"/>
  <c r="AC136" i="8"/>
  <c r="AD136" i="8" s="1"/>
  <c r="Z136" i="4" s="1"/>
  <c r="AE151" i="8"/>
  <c r="AF151" i="8" s="1"/>
  <c r="AA151" i="4" s="1"/>
  <c r="AC151" i="8"/>
  <c r="AD151" i="8" s="1"/>
  <c r="Z151" i="4" s="1"/>
  <c r="AE272" i="8"/>
  <c r="AF272" i="8" s="1"/>
  <c r="AA272" i="4" s="1"/>
  <c r="AC272" i="8"/>
  <c r="AD272" i="8" s="1"/>
  <c r="Z272" i="4" s="1"/>
  <c r="AE41" i="8"/>
  <c r="AF41" i="8" s="1"/>
  <c r="AA41" i="4" s="1"/>
  <c r="AC41" i="8"/>
  <c r="AD41" i="8" s="1"/>
  <c r="Z41" i="4" s="1"/>
  <c r="AE109" i="8"/>
  <c r="AF109" i="8" s="1"/>
  <c r="AA109" i="4" s="1"/>
  <c r="AC109" i="8"/>
  <c r="AD109" i="8" s="1"/>
  <c r="Z109" i="4" s="1"/>
  <c r="AE75" i="8"/>
  <c r="AF75" i="8" s="1"/>
  <c r="AA75" i="4" s="1"/>
  <c r="AC75" i="8"/>
  <c r="AD75" i="8" s="1"/>
  <c r="Z75" i="4" s="1"/>
  <c r="AE201" i="8"/>
  <c r="AF201" i="8" s="1"/>
  <c r="AA201" i="4" s="1"/>
  <c r="AC201" i="8"/>
  <c r="AD201" i="8" s="1"/>
  <c r="Z201" i="4" s="1"/>
  <c r="AE117" i="8"/>
  <c r="AF117" i="8" s="1"/>
  <c r="AA117" i="4" s="1"/>
  <c r="AC117" i="8"/>
  <c r="AD117" i="8" s="1"/>
  <c r="Z117" i="4" s="1"/>
  <c r="AE85" i="8"/>
  <c r="AF85" i="8" s="1"/>
  <c r="AA85" i="4" s="1"/>
  <c r="AC85" i="8"/>
  <c r="AD85" i="8" s="1"/>
  <c r="Z85" i="4" s="1"/>
  <c r="AE52" i="8"/>
  <c r="AF52" i="8" s="1"/>
  <c r="AA52" i="4" s="1"/>
  <c r="AC52" i="8"/>
  <c r="AD52" i="8" s="1"/>
  <c r="Z52" i="4" s="1"/>
  <c r="AE164" i="8"/>
  <c r="AF164" i="8" s="1"/>
  <c r="AA164" i="4" s="1"/>
  <c r="AC164" i="8"/>
  <c r="AD164" i="8" s="1"/>
  <c r="Z164" i="4" s="1"/>
  <c r="AE171" i="8"/>
  <c r="AF171" i="8" s="1"/>
  <c r="AA171" i="4" s="1"/>
  <c r="AC171" i="8"/>
  <c r="AD171" i="8" s="1"/>
  <c r="Z171" i="4" s="1"/>
  <c r="AE304" i="8"/>
  <c r="AF304" i="8" s="1"/>
  <c r="AA304" i="4" s="1"/>
  <c r="AC304" i="8"/>
  <c r="AD304" i="8" s="1"/>
  <c r="Z304" i="4" s="1"/>
  <c r="AE14" i="8"/>
  <c r="AF14" i="8" s="1"/>
  <c r="AA14" i="4" s="1"/>
  <c r="AC14" i="8"/>
  <c r="AD14" i="8" s="1"/>
  <c r="Z14" i="4" s="1"/>
  <c r="AE123" i="8"/>
  <c r="AF123" i="8" s="1"/>
  <c r="AA123" i="4" s="1"/>
  <c r="AC123" i="8"/>
  <c r="AD123" i="8" s="1"/>
  <c r="Z123" i="4" s="1"/>
  <c r="AE277" i="8"/>
  <c r="AF277" i="8" s="1"/>
  <c r="AA277" i="4" s="1"/>
  <c r="AC277" i="8"/>
  <c r="AD277" i="8" s="1"/>
  <c r="Z277" i="4" s="1"/>
  <c r="AC225" i="8"/>
  <c r="AD225" i="8" s="1"/>
  <c r="Z225" i="4" s="1"/>
  <c r="AE225" i="8"/>
  <c r="AF225" i="8" s="1"/>
  <c r="AA225" i="4" s="1"/>
  <c r="AE181" i="8"/>
  <c r="AF181" i="8" s="1"/>
  <c r="AA181" i="4" s="1"/>
  <c r="AC181" i="8"/>
  <c r="AD181" i="8" s="1"/>
  <c r="Z181" i="4" s="1"/>
  <c r="AE51" i="8"/>
  <c r="AF51" i="8" s="1"/>
  <c r="AA51" i="4" s="1"/>
  <c r="AC51" i="8"/>
  <c r="AD51" i="8" s="1"/>
  <c r="Z51" i="4" s="1"/>
  <c r="AE64" i="8"/>
  <c r="AF64" i="8" s="1"/>
  <c r="AA64" i="4" s="1"/>
  <c r="AC64" i="8"/>
  <c r="AD64" i="8" s="1"/>
  <c r="Z64" i="4" s="1"/>
  <c r="AE177" i="8"/>
  <c r="AF177" i="8" s="1"/>
  <c r="AA177" i="4" s="1"/>
  <c r="AC177" i="8"/>
  <c r="AD177" i="8" s="1"/>
  <c r="Z177" i="4" s="1"/>
  <c r="AE139" i="8"/>
  <c r="AF139" i="8" s="1"/>
  <c r="AA139" i="4" s="1"/>
  <c r="AC139" i="8"/>
  <c r="AD139" i="8" s="1"/>
  <c r="Z139" i="4" s="1"/>
  <c r="AE71" i="8"/>
  <c r="AF71" i="8" s="1"/>
  <c r="AA71" i="4" s="1"/>
  <c r="AC71" i="8"/>
  <c r="AD71" i="8" s="1"/>
  <c r="Z71" i="4" s="1"/>
  <c r="AE214" i="8"/>
  <c r="AF214" i="8" s="1"/>
  <c r="AA214" i="4" s="1"/>
  <c r="AC214" i="8"/>
  <c r="AD214" i="8" s="1"/>
  <c r="Z214" i="4" s="1"/>
  <c r="AE310" i="8"/>
  <c r="AF310" i="8" s="1"/>
  <c r="AC310" i="8"/>
  <c r="AD310" i="8" s="1"/>
  <c r="AE121" i="8"/>
  <c r="AF121" i="8" s="1"/>
  <c r="AA121" i="4" s="1"/>
  <c r="AC121" i="8"/>
  <c r="AD121" i="8" s="1"/>
  <c r="Z121" i="4" s="1"/>
  <c r="AE129" i="8"/>
  <c r="AF129" i="8" s="1"/>
  <c r="AA129" i="4" s="1"/>
  <c r="AC129" i="8"/>
  <c r="AD129" i="8" s="1"/>
  <c r="Z129" i="4" s="1"/>
  <c r="AC102" i="8"/>
  <c r="AD102" i="8" s="1"/>
  <c r="Z102" i="4" s="1"/>
  <c r="AE102" i="8"/>
  <c r="AF102" i="8" s="1"/>
  <c r="AA102" i="4" s="1"/>
  <c r="J271" i="7"/>
  <c r="K271" i="7" s="1"/>
  <c r="J286" i="7"/>
  <c r="K286" i="7" s="1"/>
  <c r="J284" i="7"/>
  <c r="K284" i="7" s="1"/>
  <c r="J300" i="7"/>
  <c r="K300" i="7" s="1"/>
  <c r="J307" i="7"/>
  <c r="K307" i="7" s="1"/>
  <c r="J275" i="7"/>
  <c r="K275" i="7" s="1"/>
  <c r="J280" i="7"/>
  <c r="K280" i="7" s="1"/>
  <c r="J296" i="7"/>
  <c r="K296" i="7" s="1"/>
  <c r="J303" i="7"/>
  <c r="K303" i="7" s="1"/>
  <c r="J278" i="7"/>
  <c r="K278" i="7" s="1"/>
  <c r="J294" i="7"/>
  <c r="K294" i="7" s="1"/>
  <c r="J302" i="7"/>
  <c r="K302" i="7" s="1"/>
  <c r="J292" i="7"/>
  <c r="K292" i="7" s="1"/>
  <c r="J272" i="7"/>
  <c r="K272" i="7" s="1"/>
  <c r="J282" i="7"/>
  <c r="K282" i="7" s="1"/>
  <c r="J298" i="7"/>
  <c r="K298" i="7" s="1"/>
  <c r="Z161" i="3"/>
  <c r="Z153" i="3"/>
  <c r="Z95" i="3"/>
  <c r="Y95" i="3"/>
  <c r="M95" i="7" s="1"/>
  <c r="Y77" i="3"/>
  <c r="M77" i="7" s="1"/>
  <c r="Y51" i="3"/>
  <c r="M51" i="7" s="1"/>
  <c r="Z51" i="3"/>
  <c r="Z289" i="3"/>
  <c r="Z305" i="3"/>
  <c r="Z273" i="3"/>
  <c r="Y302" i="3"/>
  <c r="M302" i="7" s="1"/>
  <c r="Z298" i="3"/>
  <c r="G298" i="7" s="1"/>
  <c r="N298" i="7" s="1"/>
  <c r="Y298" i="4" s="1"/>
  <c r="Y298" i="3"/>
  <c r="M298" i="7" s="1"/>
  <c r="Z294" i="3"/>
  <c r="G294" i="7" s="1"/>
  <c r="N294" i="7" s="1"/>
  <c r="Y294" i="4" s="1"/>
  <c r="Y294" i="3"/>
  <c r="M294" i="7" s="1"/>
  <c r="Z286" i="3"/>
  <c r="G286" i="7" s="1"/>
  <c r="N286" i="7" s="1"/>
  <c r="Y286" i="4" s="1"/>
  <c r="Y286" i="3"/>
  <c r="M286" i="7" s="1"/>
  <c r="Z282" i="3"/>
  <c r="G282" i="7" s="1"/>
  <c r="N282" i="7" s="1"/>
  <c r="Y282" i="4" s="1"/>
  <c r="Y282" i="3"/>
  <c r="M282" i="7" s="1"/>
  <c r="Z278" i="3"/>
  <c r="G278" i="7" s="1"/>
  <c r="N278" i="7" s="1"/>
  <c r="Y278" i="4" s="1"/>
  <c r="Y278" i="3"/>
  <c r="M278" i="7" s="1"/>
  <c r="Y309" i="3"/>
  <c r="M309" i="7" s="1"/>
  <c r="Y308" i="3"/>
  <c r="M308" i="7" s="1"/>
  <c r="Y275" i="3"/>
  <c r="M275" i="7" s="1"/>
  <c r="Y272" i="3"/>
  <c r="M272" i="7" s="1"/>
  <c r="Z271" i="3"/>
  <c r="G271" i="7" s="1"/>
  <c r="N271" i="7" s="1"/>
  <c r="Y271" i="4" s="1"/>
  <c r="Z290" i="3"/>
  <c r="Y290" i="3"/>
  <c r="M290" i="7" s="1"/>
  <c r="Z77" i="3"/>
  <c r="Z234" i="3"/>
  <c r="Y289" i="3"/>
  <c r="M289" i="7" s="1"/>
  <c r="Y305" i="3"/>
  <c r="M305" i="7" s="1"/>
  <c r="Y273" i="3"/>
  <c r="M273" i="7" s="1"/>
  <c r="Z302" i="3"/>
  <c r="G302" i="7" s="1"/>
  <c r="N302" i="7" s="1"/>
  <c r="Y302" i="4" s="1"/>
  <c r="Z309" i="3"/>
  <c r="Z308" i="3"/>
  <c r="Z275" i="3"/>
  <c r="G275" i="7" s="1"/>
  <c r="N275" i="7" s="1"/>
  <c r="Y275" i="4" s="1"/>
  <c r="Y271" i="3"/>
  <c r="M271" i="7" s="1"/>
  <c r="Z288" i="3"/>
  <c r="Y288" i="3"/>
  <c r="M288" i="7" s="1"/>
  <c r="Y304" i="3"/>
  <c r="M304" i="7" s="1"/>
  <c r="Z304" i="3"/>
  <c r="Z272" i="3"/>
  <c r="G272" i="7" s="1"/>
  <c r="N272" i="7" s="1"/>
  <c r="Y272" i="4" s="1"/>
  <c r="Y303" i="3"/>
  <c r="M303" i="7" s="1"/>
  <c r="Z280" i="3"/>
  <c r="G280" i="7" s="1"/>
  <c r="N280" i="7" s="1"/>
  <c r="Y280" i="4" s="1"/>
  <c r="Z284" i="3"/>
  <c r="G284" i="7" s="1"/>
  <c r="N284" i="7" s="1"/>
  <c r="Y284" i="4" s="1"/>
  <c r="Z292" i="3"/>
  <c r="G292" i="7" s="1"/>
  <c r="N292" i="7" s="1"/>
  <c r="Y292" i="4" s="1"/>
  <c r="Z296" i="3"/>
  <c r="G296" i="7" s="1"/>
  <c r="N296" i="7" s="1"/>
  <c r="Y296" i="4" s="1"/>
  <c r="Z300" i="3"/>
  <c r="G300" i="7" s="1"/>
  <c r="N300" i="7" s="1"/>
  <c r="Y300" i="4" s="1"/>
  <c r="Z303" i="3"/>
  <c r="G303" i="7" s="1"/>
  <c r="N303" i="7" s="1"/>
  <c r="Y303" i="4" s="1"/>
  <c r="Y280" i="3"/>
  <c r="M280" i="7" s="1"/>
  <c r="Y284" i="3"/>
  <c r="M284" i="7" s="1"/>
  <c r="Y292" i="3"/>
  <c r="M292" i="7" s="1"/>
  <c r="Y296" i="3"/>
  <c r="M296" i="7" s="1"/>
  <c r="Y300" i="3"/>
  <c r="M300" i="7" s="1"/>
  <c r="Y153" i="3"/>
  <c r="M153" i="7" s="1"/>
  <c r="Z81" i="3"/>
  <c r="Y212" i="3"/>
  <c r="M212" i="7" s="1"/>
  <c r="Z236" i="3"/>
  <c r="Z134" i="3"/>
  <c r="Y117" i="3"/>
  <c r="M117" i="7" s="1"/>
  <c r="Z215" i="3"/>
  <c r="Z206" i="3"/>
  <c r="Y310" i="3"/>
  <c r="M310" i="7" s="1"/>
  <c r="Y301" i="3"/>
  <c r="M301" i="7" s="1"/>
  <c r="Y297" i="3"/>
  <c r="M297" i="7" s="1"/>
  <c r="Y293" i="3"/>
  <c r="M293" i="7" s="1"/>
  <c r="Y287" i="3"/>
  <c r="M287" i="7" s="1"/>
  <c r="Y283" i="3"/>
  <c r="M283" i="7" s="1"/>
  <c r="Y279" i="3"/>
  <c r="M279" i="7" s="1"/>
  <c r="Y274" i="3"/>
  <c r="M274" i="7" s="1"/>
  <c r="Y242" i="3"/>
  <c r="M242" i="7" s="1"/>
  <c r="Y240" i="3"/>
  <c r="M240" i="7" s="1"/>
  <c r="Y238" i="3"/>
  <c r="M238" i="7" s="1"/>
  <c r="Y232" i="3"/>
  <c r="M232" i="7" s="1"/>
  <c r="Y229" i="3"/>
  <c r="M229" i="7" s="1"/>
  <c r="Y223" i="3"/>
  <c r="M223" i="7" s="1"/>
  <c r="Y219" i="3"/>
  <c r="M219" i="7" s="1"/>
  <c r="Y215" i="3"/>
  <c r="M215" i="7" s="1"/>
  <c r="Y213" i="3"/>
  <c r="M213" i="7" s="1"/>
  <c r="Y209" i="3"/>
  <c r="M209" i="7" s="1"/>
  <c r="Y205" i="3"/>
  <c r="M205" i="7" s="1"/>
  <c r="Y202" i="3"/>
  <c r="M202" i="7" s="1"/>
  <c r="Y200" i="3"/>
  <c r="M200" i="7" s="1"/>
  <c r="Y147" i="3"/>
  <c r="M147" i="7" s="1"/>
  <c r="Y133" i="3"/>
  <c r="M133" i="7" s="1"/>
  <c r="Y69" i="3"/>
  <c r="M69" i="7" s="1"/>
  <c r="Y306" i="3"/>
  <c r="M306" i="7" s="1"/>
  <c r="Y299" i="3"/>
  <c r="M299" i="7" s="1"/>
  <c r="Y295" i="3"/>
  <c r="M295" i="7" s="1"/>
  <c r="Y291" i="3"/>
  <c r="M291" i="7" s="1"/>
  <c r="Y285" i="3"/>
  <c r="M285" i="7" s="1"/>
  <c r="Y281" i="3"/>
  <c r="M281" i="7" s="1"/>
  <c r="Y277" i="3"/>
  <c r="M277" i="7" s="1"/>
  <c r="Y270" i="3"/>
  <c r="M270" i="7" s="1"/>
  <c r="Y241" i="3"/>
  <c r="M241" i="7" s="1"/>
  <c r="Y239" i="3"/>
  <c r="M239" i="7" s="1"/>
  <c r="Y237" i="3"/>
  <c r="M237" i="7" s="1"/>
  <c r="Y230" i="3"/>
  <c r="M230" i="7" s="1"/>
  <c r="Y226" i="3"/>
  <c r="M226" i="7" s="1"/>
  <c r="Y220" i="3"/>
  <c r="M220" i="7" s="1"/>
  <c r="Y218" i="3"/>
  <c r="M218" i="7" s="1"/>
  <c r="Y214" i="3"/>
  <c r="M214" i="7" s="1"/>
  <c r="Y210" i="3"/>
  <c r="M210" i="7" s="1"/>
  <c r="Y206" i="3"/>
  <c r="M206" i="7" s="1"/>
  <c r="Y203" i="3"/>
  <c r="M203" i="7" s="1"/>
  <c r="Y201" i="3"/>
  <c r="M201" i="7" s="1"/>
  <c r="Y199" i="3"/>
  <c r="M199" i="7" s="1"/>
  <c r="Y142" i="3"/>
  <c r="M142" i="7" s="1"/>
  <c r="Y71" i="3"/>
  <c r="M71" i="7" s="1"/>
  <c r="Y63" i="3"/>
  <c r="M63" i="7" s="1"/>
  <c r="Y34" i="3"/>
  <c r="M34" i="7" s="1"/>
  <c r="Y27" i="3"/>
  <c r="M27" i="7" s="1"/>
  <c r="Y24" i="3"/>
  <c r="M24" i="7" s="1"/>
  <c r="Z28" i="3"/>
  <c r="Y26" i="3"/>
  <c r="M26" i="7" s="1"/>
  <c r="Z23" i="3"/>
  <c r="Y23" i="3"/>
  <c r="M23" i="7" s="1"/>
  <c r="Y21" i="3"/>
  <c r="M21" i="7" s="1"/>
  <c r="Z19" i="3"/>
  <c r="Z18" i="3"/>
  <c r="Z15" i="3"/>
  <c r="Y13" i="3"/>
  <c r="M13" i="7" s="1"/>
  <c r="Y39" i="3"/>
  <c r="M39" i="7" s="1"/>
  <c r="Z40" i="3"/>
  <c r="Z41" i="3"/>
  <c r="Z50" i="3"/>
  <c r="Y52" i="3"/>
  <c r="M52" i="7" s="1"/>
  <c r="Z53" i="3"/>
  <c r="Y53" i="3"/>
  <c r="M53" i="7" s="1"/>
  <c r="Y54" i="3"/>
  <c r="M54" i="7" s="1"/>
  <c r="Z55" i="3"/>
  <c r="Y55" i="3"/>
  <c r="M55" i="7" s="1"/>
  <c r="Y56" i="3"/>
  <c r="M56" i="7" s="1"/>
  <c r="Z57" i="3"/>
  <c r="Y57" i="3"/>
  <c r="M57" i="7" s="1"/>
  <c r="Y58" i="3"/>
  <c r="M58" i="7" s="1"/>
  <c r="Z59" i="3"/>
  <c r="Y59" i="3"/>
  <c r="M59" i="7" s="1"/>
  <c r="Y60" i="3"/>
  <c r="M60" i="7" s="1"/>
  <c r="Z61" i="3"/>
  <c r="Y61" i="3"/>
  <c r="M61" i="7" s="1"/>
  <c r="Y62" i="3"/>
  <c r="M62" i="7" s="1"/>
  <c r="Z64" i="3"/>
  <c r="Z66" i="3"/>
  <c r="Z73" i="3"/>
  <c r="Y73" i="3"/>
  <c r="M73" i="7" s="1"/>
  <c r="Y74" i="3"/>
  <c r="M74" i="7" s="1"/>
  <c r="Z75" i="3"/>
  <c r="Y75" i="3"/>
  <c r="M75" i="7" s="1"/>
  <c r="Y76" i="3"/>
  <c r="M76" i="7" s="1"/>
  <c r="Y78" i="3"/>
  <c r="M78" i="7" s="1"/>
  <c r="Z79" i="3"/>
  <c r="Y79" i="3"/>
  <c r="M79" i="7" s="1"/>
  <c r="Z82" i="3"/>
  <c r="Z85" i="3"/>
  <c r="Z87" i="3"/>
  <c r="Z89" i="3"/>
  <c r="Z91" i="3"/>
  <c r="Z93" i="3"/>
  <c r="Y94" i="3"/>
  <c r="M94" i="7" s="1"/>
  <c r="Z97" i="3"/>
  <c r="Z99" i="3"/>
  <c r="Z101" i="3"/>
  <c r="Z103" i="3"/>
  <c r="Z108" i="3"/>
  <c r="Y108" i="3"/>
  <c r="M108" i="7" s="1"/>
  <c r="Z116" i="3"/>
  <c r="Y116" i="3"/>
  <c r="M116" i="7" s="1"/>
  <c r="Z124" i="3"/>
  <c r="Y124" i="3"/>
  <c r="M124" i="7" s="1"/>
  <c r="Z132" i="3"/>
  <c r="Y132" i="3"/>
  <c r="M132" i="7" s="1"/>
  <c r="Z140" i="3"/>
  <c r="Y140" i="3"/>
  <c r="M140" i="7" s="1"/>
  <c r="Y144" i="3"/>
  <c r="M144" i="7" s="1"/>
  <c r="Z148" i="3"/>
  <c r="Y152" i="3"/>
  <c r="M152" i="7" s="1"/>
  <c r="Y36" i="3"/>
  <c r="M36" i="7" s="1"/>
  <c r="Z32" i="3"/>
  <c r="Z31" i="3"/>
  <c r="Y45" i="3"/>
  <c r="M45" i="7" s="1"/>
  <c r="Z106" i="3"/>
  <c r="Y106" i="3"/>
  <c r="M106" i="7" s="1"/>
  <c r="Z114" i="3"/>
  <c r="Y114" i="3"/>
  <c r="M114" i="7" s="1"/>
  <c r="Z122" i="3"/>
  <c r="Y122" i="3"/>
  <c r="M122" i="7" s="1"/>
  <c r="Z130" i="3"/>
  <c r="Y130" i="3"/>
  <c r="M130" i="7" s="1"/>
  <c r="Z138" i="3"/>
  <c r="Y138" i="3"/>
  <c r="M138" i="7" s="1"/>
  <c r="Y146" i="3"/>
  <c r="M146" i="7" s="1"/>
  <c r="Z150" i="3"/>
  <c r="Z159" i="3"/>
  <c r="Y159" i="3"/>
  <c r="M159" i="7" s="1"/>
  <c r="Z225" i="3"/>
  <c r="Z226" i="3"/>
  <c r="Z235" i="3"/>
  <c r="Z238" i="3"/>
  <c r="Z240" i="3"/>
  <c r="Z242" i="3"/>
  <c r="Z255" i="3"/>
  <c r="Z257" i="3"/>
  <c r="Z259" i="3"/>
  <c r="Z261" i="3"/>
  <c r="Z306" i="3"/>
  <c r="Z241" i="3"/>
  <c r="Z237" i="3"/>
  <c r="Z229" i="3"/>
  <c r="Z168" i="3"/>
  <c r="Z172" i="3"/>
  <c r="Z176" i="3"/>
  <c r="Z197" i="3"/>
  <c r="Z201" i="3"/>
  <c r="Z208" i="3"/>
  <c r="Z216" i="3"/>
  <c r="Z221" i="3"/>
  <c r="Z224" i="3"/>
  <c r="Z11" i="3"/>
  <c r="Y28" i="3"/>
  <c r="M28" i="7" s="1"/>
  <c r="Z17" i="3"/>
  <c r="Y15" i="3"/>
  <c r="M15" i="7" s="1"/>
  <c r="Z13" i="3"/>
  <c r="Z39" i="3"/>
  <c r="Y41" i="3"/>
  <c r="M41" i="7" s="1"/>
  <c r="Z52" i="3"/>
  <c r="Z62" i="3"/>
  <c r="Y64" i="3"/>
  <c r="M64" i="7" s="1"/>
  <c r="Z65" i="3"/>
  <c r="Y66" i="3"/>
  <c r="M66" i="7" s="1"/>
  <c r="Z67" i="3"/>
  <c r="Z78" i="3"/>
  <c r="Y82" i="3"/>
  <c r="M82" i="7" s="1"/>
  <c r="Y84" i="3"/>
  <c r="M84" i="7" s="1"/>
  <c r="Y85" i="3"/>
  <c r="M85" i="7" s="1"/>
  <c r="Y86" i="3"/>
  <c r="M86" i="7" s="1"/>
  <c r="Y87" i="3"/>
  <c r="M87" i="7" s="1"/>
  <c r="Y88" i="3"/>
  <c r="M88" i="7" s="1"/>
  <c r="Y89" i="3"/>
  <c r="M89" i="7" s="1"/>
  <c r="Y90" i="3"/>
  <c r="M90" i="7" s="1"/>
  <c r="Z26" i="3"/>
  <c r="Z21" i="3"/>
  <c r="Y18" i="3"/>
  <c r="M18" i="7" s="1"/>
  <c r="Y17" i="3"/>
  <c r="M17" i="7" s="1"/>
  <c r="Y50" i="3"/>
  <c r="M50" i="7" s="1"/>
  <c r="Z54" i="3"/>
  <c r="Z56" i="3"/>
  <c r="Z58" i="3"/>
  <c r="Z60" i="3"/>
  <c r="Y65" i="3"/>
  <c r="M65" i="7" s="1"/>
  <c r="Y67" i="3"/>
  <c r="M67" i="7" s="1"/>
  <c r="Z74" i="3"/>
  <c r="Z76" i="3"/>
  <c r="Z84" i="3"/>
  <c r="Z86" i="3"/>
  <c r="Z88" i="3"/>
  <c r="Z90" i="3"/>
  <c r="Y93" i="3"/>
  <c r="M93" i="7" s="1"/>
  <c r="Z94" i="3"/>
  <c r="Y97" i="3"/>
  <c r="M97" i="7" s="1"/>
  <c r="Z98" i="3"/>
  <c r="Y98" i="3"/>
  <c r="M98" i="7" s="1"/>
  <c r="Y101" i="3"/>
  <c r="M101" i="7" s="1"/>
  <c r="Z102" i="3"/>
  <c r="Y102" i="3"/>
  <c r="M102" i="7" s="1"/>
  <c r="Z157" i="3"/>
  <c r="Y157" i="3"/>
  <c r="M157" i="7" s="1"/>
  <c r="Z36" i="3"/>
  <c r="Y32" i="3"/>
  <c r="M32" i="7" s="1"/>
  <c r="Y110" i="3"/>
  <c r="M110" i="7" s="1"/>
  <c r="Z118" i="3"/>
  <c r="Y118" i="3"/>
  <c r="M118" i="7" s="1"/>
  <c r="Z126" i="3"/>
  <c r="Z244" i="3"/>
  <c r="Z247" i="3"/>
  <c r="Z250" i="3"/>
  <c r="Z239" i="3"/>
  <c r="Y91" i="3"/>
  <c r="M91" i="7" s="1"/>
  <c r="Z92" i="3"/>
  <c r="Y92" i="3"/>
  <c r="M92" i="7" s="1"/>
  <c r="Z96" i="3"/>
  <c r="Y96" i="3"/>
  <c r="M96" i="7" s="1"/>
  <c r="Y99" i="3"/>
  <c r="M99" i="7" s="1"/>
  <c r="Z100" i="3"/>
  <c r="Y100" i="3"/>
  <c r="M100" i="7" s="1"/>
  <c r="Y103" i="3"/>
  <c r="M103" i="7" s="1"/>
  <c r="Z104" i="3"/>
  <c r="Y104" i="3"/>
  <c r="M104" i="7" s="1"/>
  <c r="Z112" i="3"/>
  <c r="Y112" i="3"/>
  <c r="M112" i="7" s="1"/>
  <c r="Z120" i="3"/>
  <c r="Y120" i="3"/>
  <c r="M120" i="7" s="1"/>
  <c r="Z128" i="3"/>
  <c r="Y128" i="3"/>
  <c r="M128" i="7" s="1"/>
  <c r="Z136" i="3"/>
  <c r="Y136" i="3"/>
  <c r="M136" i="7" s="1"/>
  <c r="Z144" i="3"/>
  <c r="Y148" i="3"/>
  <c r="M148" i="7" s="1"/>
  <c r="Z152" i="3"/>
  <c r="Z45" i="3"/>
  <c r="Z146" i="3"/>
  <c r="Y150" i="3"/>
  <c r="M150" i="7" s="1"/>
  <c r="Z155" i="3"/>
  <c r="Y155" i="3"/>
  <c r="M155" i="7" s="1"/>
  <c r="Z163" i="3"/>
  <c r="Y163" i="3"/>
  <c r="M163" i="7" s="1"/>
  <c r="Z228" i="3"/>
  <c r="Z230" i="3"/>
  <c r="Z231" i="3"/>
  <c r="Z232" i="3"/>
  <c r="Z268" i="3"/>
  <c r="Z270" i="3"/>
  <c r="Z274" i="3"/>
  <c r="Z243" i="3"/>
  <c r="Z227" i="3"/>
  <c r="Z310" i="3"/>
  <c r="Z180" i="3"/>
  <c r="Z184" i="3"/>
  <c r="Z203" i="3"/>
  <c r="Z110" i="3"/>
  <c r="Y126" i="3"/>
  <c r="M126" i="7" s="1"/>
  <c r="Z252" i="3"/>
  <c r="Z233" i="3"/>
  <c r="Z188" i="3"/>
  <c r="Z192" i="3"/>
  <c r="Z262" i="3"/>
  <c r="Z254" i="3"/>
  <c r="Z269" i="3"/>
  <c r="Z256" i="3"/>
  <c r="Z246" i="3"/>
  <c r="Y25" i="3"/>
  <c r="M25" i="7" s="1"/>
  <c r="Z22" i="3"/>
  <c r="Z33" i="3"/>
  <c r="Y162" i="3"/>
  <c r="M162" i="7" s="1"/>
  <c r="Y179" i="3"/>
  <c r="M179" i="7" s="1"/>
  <c r="Y196" i="3"/>
  <c r="M196" i="7" s="1"/>
  <c r="Y222" i="3"/>
  <c r="M222" i="7" s="1"/>
  <c r="Z27" i="3"/>
  <c r="Y12" i="3"/>
  <c r="M12" i="7" s="1"/>
  <c r="Y37" i="3"/>
  <c r="M37" i="7" s="1"/>
  <c r="Y30" i="3"/>
  <c r="M30" i="7" s="1"/>
  <c r="Y154" i="3"/>
  <c r="M154" i="7" s="1"/>
  <c r="Y171" i="3"/>
  <c r="M171" i="7" s="1"/>
  <c r="Y187" i="3"/>
  <c r="M187" i="7" s="1"/>
  <c r="Y211" i="3"/>
  <c r="M211" i="7" s="1"/>
  <c r="Y31" i="3"/>
  <c r="M31" i="7" s="1"/>
  <c r="Z210" i="3"/>
  <c r="Y228" i="3"/>
  <c r="M228" i="7" s="1"/>
  <c r="Y250" i="3"/>
  <c r="M250" i="7" s="1"/>
  <c r="Y259" i="3"/>
  <c r="M259" i="7" s="1"/>
  <c r="Z16" i="3"/>
  <c r="Z34" i="3"/>
  <c r="Z63" i="3"/>
  <c r="Z69" i="3"/>
  <c r="Z71" i="3"/>
  <c r="Z199" i="3"/>
  <c r="Z205" i="3"/>
  <c r="Y225" i="3"/>
  <c r="M225" i="7" s="1"/>
  <c r="Y252" i="3"/>
  <c r="M252" i="7" s="1"/>
  <c r="Y261" i="3"/>
  <c r="M261" i="7" s="1"/>
  <c r="Z279" i="3"/>
  <c r="Z283" i="3"/>
  <c r="Z287" i="3"/>
  <c r="Z293" i="3"/>
  <c r="Z297" i="3"/>
  <c r="Z301" i="3"/>
  <c r="Y249" i="3"/>
  <c r="M249" i="7" s="1"/>
  <c r="Y260" i="3"/>
  <c r="M260" i="7" s="1"/>
  <c r="Y251" i="3"/>
  <c r="M251" i="7" s="1"/>
  <c r="Y258" i="3"/>
  <c r="M258" i="7" s="1"/>
  <c r="Y158" i="3"/>
  <c r="M158" i="7" s="1"/>
  <c r="Z166" i="3"/>
  <c r="Y168" i="3"/>
  <c r="M168" i="7" s="1"/>
  <c r="Y169" i="3"/>
  <c r="M169" i="7" s="1"/>
  <c r="Y174" i="3"/>
  <c r="M174" i="7" s="1"/>
  <c r="Z177" i="3"/>
  <c r="Z182" i="3"/>
  <c r="Y184" i="3"/>
  <c r="M184" i="7" s="1"/>
  <c r="Y185" i="3"/>
  <c r="M185" i="7" s="1"/>
  <c r="Y190" i="3"/>
  <c r="M190" i="7" s="1"/>
  <c r="Z193" i="3"/>
  <c r="Z263" i="3"/>
  <c r="Y263" i="3"/>
  <c r="M263" i="7" s="1"/>
  <c r="Z265" i="3"/>
  <c r="Y265" i="3"/>
  <c r="M265" i="7" s="1"/>
  <c r="Z267" i="3"/>
  <c r="Y267" i="3"/>
  <c r="M267" i="7" s="1"/>
  <c r="Y105" i="3"/>
  <c r="M105" i="7" s="1"/>
  <c r="Z113" i="3"/>
  <c r="Y121" i="3"/>
  <c r="M121" i="7" s="1"/>
  <c r="Z129" i="3"/>
  <c r="Y137" i="3"/>
  <c r="M137" i="7" s="1"/>
  <c r="Z143" i="3"/>
  <c r="Y151" i="3"/>
  <c r="M151" i="7" s="1"/>
  <c r="Z248" i="3"/>
  <c r="Y248" i="3"/>
  <c r="M248" i="7" s="1"/>
  <c r="Y22" i="3"/>
  <c r="M22" i="7" s="1"/>
  <c r="Y68" i="3"/>
  <c r="M68" i="7" s="1"/>
  <c r="Y72" i="3"/>
  <c r="M72" i="7" s="1"/>
  <c r="Z109" i="3"/>
  <c r="Z125" i="3"/>
  <c r="Z142" i="3"/>
  <c r="Z154" i="3"/>
  <c r="Z222" i="3"/>
  <c r="Y43" i="3"/>
  <c r="M43" i="7" s="1"/>
  <c r="Y46" i="3"/>
  <c r="M46" i="7" s="1"/>
  <c r="Z47" i="3"/>
  <c r="Y47" i="3"/>
  <c r="M47" i="7" s="1"/>
  <c r="Z80" i="3"/>
  <c r="Y80" i="3"/>
  <c r="M80" i="7" s="1"/>
  <c r="Y111" i="3"/>
  <c r="M111" i="7" s="1"/>
  <c r="Z119" i="3"/>
  <c r="Y127" i="3"/>
  <c r="M127" i="7" s="1"/>
  <c r="Z135" i="3"/>
  <c r="Z149" i="3"/>
  <c r="Z156" i="3"/>
  <c r="Y164" i="3"/>
  <c r="M164" i="7" s="1"/>
  <c r="Z165" i="3"/>
  <c r="Z173" i="3"/>
  <c r="Z181" i="3"/>
  <c r="Z189" i="3"/>
  <c r="Z198" i="3"/>
  <c r="Z107" i="3"/>
  <c r="Y115" i="3"/>
  <c r="M115" i="7" s="1"/>
  <c r="Z123" i="3"/>
  <c r="Y131" i="3"/>
  <c r="M131" i="7" s="1"/>
  <c r="Z139" i="3"/>
  <c r="Z145" i="3"/>
  <c r="Z160" i="3"/>
  <c r="Z170" i="3"/>
  <c r="Z178" i="3"/>
  <c r="Z186" i="3"/>
  <c r="Z195" i="3"/>
  <c r="Z207" i="3"/>
  <c r="Z217" i="3"/>
  <c r="Z219" i="3"/>
  <c r="Y35" i="3"/>
  <c r="M35" i="7" s="1"/>
  <c r="Y29" i="3"/>
  <c r="M29" i="7" s="1"/>
  <c r="Z20" i="3"/>
  <c r="Z35" i="3"/>
  <c r="Z29" i="3"/>
  <c r="Z43" i="3"/>
  <c r="Z258" i="3"/>
  <c r="Z251" i="3"/>
  <c r="Z260" i="3"/>
  <c r="Z249" i="3"/>
  <c r="Z25" i="3"/>
  <c r="Y33" i="3"/>
  <c r="M33" i="7" s="1"/>
  <c r="Z179" i="3"/>
  <c r="Z196" i="3"/>
  <c r="Y19" i="3"/>
  <c r="M19" i="7" s="1"/>
  <c r="Z12" i="3"/>
  <c r="Z37" i="3"/>
  <c r="Z30" i="3"/>
  <c r="Z171" i="3"/>
  <c r="Z187" i="3"/>
  <c r="Z211" i="3"/>
  <c r="Y11" i="3"/>
  <c r="M11" i="7" s="1"/>
  <c r="Z223" i="3"/>
  <c r="Y244" i="3"/>
  <c r="M244" i="7" s="1"/>
  <c r="Y255" i="3"/>
  <c r="M255" i="7" s="1"/>
  <c r="Y268" i="3"/>
  <c r="M268" i="7" s="1"/>
  <c r="Z24" i="3"/>
  <c r="Z14" i="3"/>
  <c r="Y40" i="3"/>
  <c r="M40" i="7" s="1"/>
  <c r="Z68" i="3"/>
  <c r="Z70" i="3"/>
  <c r="Z72" i="3"/>
  <c r="Z200" i="3"/>
  <c r="Z209" i="3"/>
  <c r="Z213" i="3"/>
  <c r="Y231" i="3"/>
  <c r="M231" i="7" s="1"/>
  <c r="Y235" i="3"/>
  <c r="M235" i="7" s="1"/>
  <c r="Y247" i="3"/>
  <c r="M247" i="7" s="1"/>
  <c r="Y257" i="3"/>
  <c r="M257" i="7" s="1"/>
  <c r="Z277" i="3"/>
  <c r="Z281" i="3"/>
  <c r="Z285" i="3"/>
  <c r="Z291" i="3"/>
  <c r="Z295" i="3"/>
  <c r="Z299" i="3"/>
  <c r="Y246" i="3"/>
  <c r="M246" i="7" s="1"/>
  <c r="Y256" i="3"/>
  <c r="M256" i="7" s="1"/>
  <c r="Y269" i="3"/>
  <c r="M269" i="7" s="1"/>
  <c r="Y254" i="3"/>
  <c r="M254" i="7" s="1"/>
  <c r="Y262" i="3"/>
  <c r="M262" i="7" s="1"/>
  <c r="Z158" i="3"/>
  <c r="Y166" i="3"/>
  <c r="M166" i="7" s="1"/>
  <c r="Z169" i="3"/>
  <c r="Z174" i="3"/>
  <c r="Y176" i="3"/>
  <c r="M176" i="7" s="1"/>
  <c r="Y177" i="3"/>
  <c r="M177" i="7" s="1"/>
  <c r="Y182" i="3"/>
  <c r="M182" i="7" s="1"/>
  <c r="Z185" i="3"/>
  <c r="Z190" i="3"/>
  <c r="Y192" i="3"/>
  <c r="M192" i="7" s="1"/>
  <c r="Y193" i="3"/>
  <c r="M193" i="7" s="1"/>
  <c r="Y207" i="3"/>
  <c r="M207" i="7" s="1"/>
  <c r="Y216" i="3"/>
  <c r="M216" i="7" s="1"/>
  <c r="Y227" i="3"/>
  <c r="M227" i="7" s="1"/>
  <c r="Y233" i="3"/>
  <c r="M233" i="7" s="1"/>
  <c r="Y243" i="3"/>
  <c r="M243" i="7" s="1"/>
  <c r="Z264" i="3"/>
  <c r="Y264" i="3"/>
  <c r="M264" i="7" s="1"/>
  <c r="Z266" i="3"/>
  <c r="Y266" i="3"/>
  <c r="M266" i="7" s="1"/>
  <c r="Z105" i="3"/>
  <c r="Y113" i="3"/>
  <c r="M113" i="7" s="1"/>
  <c r="Z121" i="3"/>
  <c r="Y129" i="3"/>
  <c r="M129" i="7" s="1"/>
  <c r="Z137" i="3"/>
  <c r="Y143" i="3"/>
  <c r="M143" i="7" s="1"/>
  <c r="Z151" i="3"/>
  <c r="Y208" i="3"/>
  <c r="M208" i="7" s="1"/>
  <c r="Y217" i="3"/>
  <c r="M217" i="7" s="1"/>
  <c r="Y221" i="3"/>
  <c r="M221" i="7" s="1"/>
  <c r="Y224" i="3"/>
  <c r="M224" i="7" s="1"/>
  <c r="Y234" i="3"/>
  <c r="M234" i="7" s="1"/>
  <c r="Z253" i="3"/>
  <c r="Y253" i="3"/>
  <c r="M253" i="7" s="1"/>
  <c r="Y16" i="3"/>
  <c r="M16" i="7" s="1"/>
  <c r="Y42" i="3"/>
  <c r="M42" i="7" s="1"/>
  <c r="Y70" i="3"/>
  <c r="M70" i="7" s="1"/>
  <c r="Z42" i="3"/>
  <c r="Z117" i="3"/>
  <c r="Z133" i="3"/>
  <c r="Z147" i="3"/>
  <c r="Z162" i="3"/>
  <c r="Z202" i="3"/>
  <c r="Z214" i="3"/>
  <c r="Z46" i="3"/>
  <c r="Z48" i="3"/>
  <c r="Y48" i="3"/>
  <c r="M48" i="7" s="1"/>
  <c r="Z111" i="3"/>
  <c r="Y119" i="3"/>
  <c r="M119" i="7" s="1"/>
  <c r="Z127" i="3"/>
  <c r="Y135" i="3"/>
  <c r="M135" i="7" s="1"/>
  <c r="Y149" i="3"/>
  <c r="M149" i="7" s="1"/>
  <c r="Y156" i="3"/>
  <c r="M156" i="7" s="1"/>
  <c r="Z164" i="3"/>
  <c r="Y165" i="3"/>
  <c r="M165" i="7" s="1"/>
  <c r="Y172" i="3"/>
  <c r="M172" i="7" s="1"/>
  <c r="Y173" i="3"/>
  <c r="M173" i="7" s="1"/>
  <c r="Y180" i="3"/>
  <c r="M180" i="7" s="1"/>
  <c r="Y181" i="3"/>
  <c r="M181" i="7" s="1"/>
  <c r="Y188" i="3"/>
  <c r="M188" i="7" s="1"/>
  <c r="Y189" i="3"/>
  <c r="M189" i="7" s="1"/>
  <c r="Y197" i="3"/>
  <c r="M197" i="7" s="1"/>
  <c r="Y198" i="3"/>
  <c r="M198" i="7" s="1"/>
  <c r="Y107" i="3"/>
  <c r="M107" i="7" s="1"/>
  <c r="Z115" i="3"/>
  <c r="Y123" i="3"/>
  <c r="M123" i="7" s="1"/>
  <c r="Z131" i="3"/>
  <c r="Y139" i="3"/>
  <c r="M139" i="7" s="1"/>
  <c r="Y145" i="3"/>
  <c r="M145" i="7" s="1"/>
  <c r="Y160" i="3"/>
  <c r="M160" i="7" s="1"/>
  <c r="Z167" i="3"/>
  <c r="Y167" i="3"/>
  <c r="M167" i="7" s="1"/>
  <c r="Y170" i="3"/>
  <c r="M170" i="7" s="1"/>
  <c r="Z175" i="3"/>
  <c r="Y175" i="3"/>
  <c r="M175" i="7" s="1"/>
  <c r="Y178" i="3"/>
  <c r="M178" i="7" s="1"/>
  <c r="Z183" i="3"/>
  <c r="Y183" i="3"/>
  <c r="M183" i="7" s="1"/>
  <c r="Y186" i="3"/>
  <c r="M186" i="7" s="1"/>
  <c r="Z191" i="3"/>
  <c r="Y191" i="3"/>
  <c r="M191" i="7" s="1"/>
  <c r="Y195" i="3"/>
  <c r="M195" i="7" s="1"/>
  <c r="Z218" i="3"/>
  <c r="Z220" i="3"/>
  <c r="Y14" i="3"/>
  <c r="M14" i="7" s="1"/>
  <c r="Y20" i="3"/>
  <c r="M20" i="7" s="1"/>
  <c r="Y81" i="3"/>
  <c r="M81" i="7" s="1"/>
  <c r="Z212" i="3"/>
  <c r="Y236" i="3"/>
  <c r="M236" i="7" s="1"/>
  <c r="Y109" i="3"/>
  <c r="M109" i="7" s="1"/>
  <c r="Y125" i="3"/>
  <c r="M125" i="7" s="1"/>
  <c r="Y134" i="3"/>
  <c r="M134" i="7" s="1"/>
  <c r="Y161" i="3"/>
  <c r="M161" i="7" s="1"/>
  <c r="Y307" i="3"/>
  <c r="M307" i="7" s="1"/>
  <c r="X307" i="3"/>
  <c r="Z307" i="3" s="1"/>
  <c r="G307" i="7" s="1"/>
  <c r="N307" i="7" s="1"/>
  <c r="Y307" i="4" s="1"/>
  <c r="N303" i="8"/>
  <c r="I303" i="6"/>
  <c r="N280" i="8"/>
  <c r="I280" i="6"/>
  <c r="N284" i="8"/>
  <c r="I284" i="6"/>
  <c r="N292" i="8"/>
  <c r="I292" i="6"/>
  <c r="N296" i="8"/>
  <c r="I296" i="6"/>
  <c r="N300" i="8"/>
  <c r="I300" i="6"/>
  <c r="N272" i="8"/>
  <c r="I272" i="6"/>
  <c r="N271" i="8"/>
  <c r="I271" i="6"/>
  <c r="N275" i="8"/>
  <c r="I275" i="6"/>
  <c r="N278" i="8"/>
  <c r="I278" i="6"/>
  <c r="N282" i="8"/>
  <c r="I282" i="6"/>
  <c r="N286" i="8"/>
  <c r="I286" i="6"/>
  <c r="N294" i="8"/>
  <c r="I294" i="6"/>
  <c r="N298" i="8"/>
  <c r="I298" i="6"/>
  <c r="N302" i="8"/>
  <c r="I302" i="6"/>
  <c r="N307" i="8"/>
  <c r="I307" i="6"/>
  <c r="Z286" i="8" l="1"/>
  <c r="AA286" i="8" s="1"/>
  <c r="AB286" i="8" s="1"/>
  <c r="AE50" i="8"/>
  <c r="AF50" i="8" s="1"/>
  <c r="AA50" i="4" s="1"/>
  <c r="AE17" i="8"/>
  <c r="AF17" i="8" s="1"/>
  <c r="AA17" i="4" s="1"/>
  <c r="AE39" i="8"/>
  <c r="AF39" i="8" s="1"/>
  <c r="AA39" i="4" s="1"/>
  <c r="AC39" i="8"/>
  <c r="AD39" i="8" s="1"/>
  <c r="Z39" i="4" s="1"/>
  <c r="AE134" i="8"/>
  <c r="AF134" i="8" s="1"/>
  <c r="AA134" i="4" s="1"/>
  <c r="AC134" i="8"/>
  <c r="AD134" i="8" s="1"/>
  <c r="Z134" i="4" s="1"/>
  <c r="AE220" i="8"/>
  <c r="AF220" i="8" s="1"/>
  <c r="AA220" i="4" s="1"/>
  <c r="AR229" i="8"/>
  <c r="AS229" i="8" s="1"/>
  <c r="AT229" i="8" s="1"/>
  <c r="AU229" i="8" s="1"/>
  <c r="AC229" i="4" s="1"/>
  <c r="AE242" i="8"/>
  <c r="AF242" i="8" s="1"/>
  <c r="AA242" i="4" s="1"/>
  <c r="AE251" i="8"/>
  <c r="AF251" i="8" s="1"/>
  <c r="AA251" i="4" s="1"/>
  <c r="AC251" i="8"/>
  <c r="AD251" i="8" s="1"/>
  <c r="Z251" i="4" s="1"/>
  <c r="AE299" i="8"/>
  <c r="AF299" i="8" s="1"/>
  <c r="AA299" i="4" s="1"/>
  <c r="AC299" i="8"/>
  <c r="AD299" i="8" s="1"/>
  <c r="Z299" i="4" s="1"/>
  <c r="AC18" i="8"/>
  <c r="AD18" i="8" s="1"/>
  <c r="Z18" i="4" s="1"/>
  <c r="AE18" i="8"/>
  <c r="AF18" i="8" s="1"/>
  <c r="AA18" i="4" s="1"/>
  <c r="AE55" i="8"/>
  <c r="AF55" i="8" s="1"/>
  <c r="AA55" i="4" s="1"/>
  <c r="AC55" i="8"/>
  <c r="AD55" i="8" s="1"/>
  <c r="Z55" i="4" s="1"/>
  <c r="AC202" i="8"/>
  <c r="AD202" i="8" s="1"/>
  <c r="Z202" i="4" s="1"/>
  <c r="AE202" i="8"/>
  <c r="AF202" i="8" s="1"/>
  <c r="AA202" i="4" s="1"/>
  <c r="AA46" i="4"/>
  <c r="C46" i="8"/>
  <c r="G46" i="4" s="1"/>
  <c r="AW46" i="8"/>
  <c r="P46" i="4" s="1"/>
  <c r="Z46" i="4"/>
  <c r="B46" i="8"/>
  <c r="F46" i="4" s="1"/>
  <c r="AV46" i="8"/>
  <c r="O46" i="4" s="1"/>
  <c r="AE290" i="8"/>
  <c r="AF290" i="8" s="1"/>
  <c r="AA290" i="4" s="1"/>
  <c r="AC290" i="8"/>
  <c r="AD290" i="8" s="1"/>
  <c r="Z290" i="4" s="1"/>
  <c r="AC103" i="8"/>
  <c r="AD103" i="8" s="1"/>
  <c r="Z103" i="4" s="1"/>
  <c r="AE103" i="8"/>
  <c r="AF103" i="8" s="1"/>
  <c r="AA103" i="4" s="1"/>
  <c r="AE107" i="8"/>
  <c r="AF107" i="8" s="1"/>
  <c r="AA107" i="4" s="1"/>
  <c r="AE86" i="8"/>
  <c r="AF86" i="8" s="1"/>
  <c r="AA86" i="4" s="1"/>
  <c r="AE96" i="8"/>
  <c r="AF96" i="8" s="1"/>
  <c r="AA96" i="4" s="1"/>
  <c r="AC96" i="8"/>
  <c r="AD96" i="8" s="1"/>
  <c r="Z96" i="4" s="1"/>
  <c r="AC236" i="8"/>
  <c r="AD236" i="8" s="1"/>
  <c r="Z236" i="4" s="1"/>
  <c r="AE236" i="8"/>
  <c r="AF236" i="8" s="1"/>
  <c r="AA236" i="4" s="1"/>
  <c r="AE53" i="8"/>
  <c r="AF53" i="8" s="1"/>
  <c r="AA53" i="4" s="1"/>
  <c r="AC53" i="8"/>
  <c r="AD53" i="8" s="1"/>
  <c r="Z53" i="4" s="1"/>
  <c r="AE167" i="8"/>
  <c r="AF167" i="8" s="1"/>
  <c r="AA167" i="4" s="1"/>
  <c r="AC167" i="8"/>
  <c r="AD167" i="8" s="1"/>
  <c r="Z167" i="4" s="1"/>
  <c r="AC195" i="8"/>
  <c r="AD195" i="8" s="1"/>
  <c r="Z195" i="4" s="1"/>
  <c r="AE195" i="8"/>
  <c r="AF195" i="8" s="1"/>
  <c r="AA195" i="4" s="1"/>
  <c r="AE80" i="8"/>
  <c r="AF80" i="8" s="1"/>
  <c r="AA80" i="4" s="1"/>
  <c r="AC80" i="8"/>
  <c r="AD80" i="8" s="1"/>
  <c r="Z80" i="4" s="1"/>
  <c r="AC182" i="8"/>
  <c r="AD182" i="8" s="1"/>
  <c r="Z182" i="4" s="1"/>
  <c r="AE182" i="8"/>
  <c r="AF182" i="8" s="1"/>
  <c r="AA182" i="4" s="1"/>
  <c r="AC185" i="8"/>
  <c r="AD185" i="8" s="1"/>
  <c r="Z185" i="4" s="1"/>
  <c r="AE185" i="8"/>
  <c r="AF185" i="8" s="1"/>
  <c r="AA185" i="4" s="1"/>
  <c r="AQ218" i="8"/>
  <c r="AR218" i="8" s="1"/>
  <c r="AS218" i="8" s="1"/>
  <c r="AT218" i="8" s="1"/>
  <c r="AU218" i="8" s="1"/>
  <c r="AC218" i="4" s="1"/>
  <c r="AC146" i="8"/>
  <c r="AD146" i="8" s="1"/>
  <c r="Z146" i="4" s="1"/>
  <c r="AE61" i="8"/>
  <c r="AF61" i="8" s="1"/>
  <c r="AA61" i="4" s="1"/>
  <c r="AC118" i="8"/>
  <c r="AD118" i="8" s="1"/>
  <c r="Z118" i="4" s="1"/>
  <c r="AQ135" i="8"/>
  <c r="AR135" i="8" s="1"/>
  <c r="AS135" i="8" s="1"/>
  <c r="AT135" i="8" s="1"/>
  <c r="AU135" i="8" s="1"/>
  <c r="AC135" i="4" s="1"/>
  <c r="AE67" i="8"/>
  <c r="AF67" i="8" s="1"/>
  <c r="AA67" i="4" s="1"/>
  <c r="AE100" i="8"/>
  <c r="AF100" i="8" s="1"/>
  <c r="AA100" i="4" s="1"/>
  <c r="AC217" i="8"/>
  <c r="AD217" i="8" s="1"/>
  <c r="Z217" i="4" s="1"/>
  <c r="AE217" i="8"/>
  <c r="AF217" i="8" s="1"/>
  <c r="AA217" i="4" s="1"/>
  <c r="AE101" i="8"/>
  <c r="AF101" i="8" s="1"/>
  <c r="AA101" i="4" s="1"/>
  <c r="AC101" i="8"/>
  <c r="AD101" i="8" s="1"/>
  <c r="Z101" i="4" s="1"/>
  <c r="AC158" i="8"/>
  <c r="AD158" i="8" s="1"/>
  <c r="Z158" i="4" s="1"/>
  <c r="AE158" i="8"/>
  <c r="AF158" i="8" s="1"/>
  <c r="AA158" i="4" s="1"/>
  <c r="AC69" i="8"/>
  <c r="AD69" i="8" s="1"/>
  <c r="Z69" i="4" s="1"/>
  <c r="AE69" i="8"/>
  <c r="AF69" i="8" s="1"/>
  <c r="AA69" i="4" s="1"/>
  <c r="AE43" i="8"/>
  <c r="AF43" i="8" s="1"/>
  <c r="AA43" i="4" s="1"/>
  <c r="AC43" i="8"/>
  <c r="AD43" i="8" s="1"/>
  <c r="Z43" i="4" s="1"/>
  <c r="AC65" i="8"/>
  <c r="AD65" i="8" s="1"/>
  <c r="Z65" i="4" s="1"/>
  <c r="AE65" i="8"/>
  <c r="AF65" i="8" s="1"/>
  <c r="AA65" i="4" s="1"/>
  <c r="AE213" i="8"/>
  <c r="AF213" i="8" s="1"/>
  <c r="AA213" i="4" s="1"/>
  <c r="AC213" i="8"/>
  <c r="AD213" i="8" s="1"/>
  <c r="Z213" i="4" s="1"/>
  <c r="Z282" i="8"/>
  <c r="AA282" i="8" s="1"/>
  <c r="AB282" i="8" s="1"/>
  <c r="Z296" i="8"/>
  <c r="AA296" i="8" s="1"/>
  <c r="AB296" i="8" s="1"/>
  <c r="AC296" i="8" s="1"/>
  <c r="AD296" i="8" s="1"/>
  <c r="Z296" i="4" s="1"/>
  <c r="Z307" i="8"/>
  <c r="AA307" i="8" s="1"/>
  <c r="AB307" i="8" s="1"/>
  <c r="AC307" i="8" s="1"/>
  <c r="AD307" i="8" s="1"/>
  <c r="Z307" i="4" s="1"/>
  <c r="AC231" i="8"/>
  <c r="AD231" i="8" s="1"/>
  <c r="Z231" i="4" s="1"/>
  <c r="AE231" i="8"/>
  <c r="AF231" i="8" s="1"/>
  <c r="AA231" i="4" s="1"/>
  <c r="AE266" i="8"/>
  <c r="AF266" i="8" s="1"/>
  <c r="AA266" i="4" s="1"/>
  <c r="AC266" i="8"/>
  <c r="AD266" i="8" s="1"/>
  <c r="Z266" i="4" s="1"/>
  <c r="AC197" i="8"/>
  <c r="AD197" i="8" s="1"/>
  <c r="Z197" i="4" s="1"/>
  <c r="AE197" i="8"/>
  <c r="AF197" i="8" s="1"/>
  <c r="AA197" i="4" s="1"/>
  <c r="AQ111" i="8"/>
  <c r="AR111" i="8" s="1"/>
  <c r="AS111" i="8" s="1"/>
  <c r="AT111" i="8" s="1"/>
  <c r="AU111" i="8" s="1"/>
  <c r="AC111" i="4" s="1"/>
  <c r="AK111" i="8"/>
  <c r="AL111" i="8" s="1"/>
  <c r="AM111" i="8" s="1"/>
  <c r="AN111" i="8" s="1"/>
  <c r="AO111" i="8" s="1"/>
  <c r="AB111" i="4" s="1"/>
  <c r="AQ306" i="8"/>
  <c r="AR306" i="8" s="1"/>
  <c r="AS306" i="8" s="1"/>
  <c r="AT306" i="8" s="1"/>
  <c r="AU306" i="8" s="1"/>
  <c r="AC306" i="4" s="1"/>
  <c r="AK306" i="8"/>
  <c r="AL306" i="8" s="1"/>
  <c r="AM306" i="8" s="1"/>
  <c r="AN306" i="8" s="1"/>
  <c r="AO306" i="8" s="1"/>
  <c r="AB306" i="4" s="1"/>
  <c r="AK159" i="8"/>
  <c r="AL159" i="8" s="1"/>
  <c r="AM159" i="8" s="1"/>
  <c r="AN159" i="8" s="1"/>
  <c r="AO159" i="8" s="1"/>
  <c r="AB159" i="4" s="1"/>
  <c r="AQ159" i="8"/>
  <c r="AR159" i="8" s="1"/>
  <c r="AS159" i="8" s="1"/>
  <c r="AT159" i="8" s="1"/>
  <c r="AU159" i="8" s="1"/>
  <c r="AC159" i="4" s="1"/>
  <c r="AQ149" i="8"/>
  <c r="AR149" i="8" s="1"/>
  <c r="AS149" i="8" s="1"/>
  <c r="AT149" i="8" s="1"/>
  <c r="AU149" i="8" s="1"/>
  <c r="AC149" i="4" s="1"/>
  <c r="AK149" i="8"/>
  <c r="AL149" i="8" s="1"/>
  <c r="AM149" i="8" s="1"/>
  <c r="AN149" i="8" s="1"/>
  <c r="AO149" i="8" s="1"/>
  <c r="AB149" i="4" s="1"/>
  <c r="AK202" i="8"/>
  <c r="AL202" i="8" s="1"/>
  <c r="AM202" i="8" s="1"/>
  <c r="AN202" i="8" s="1"/>
  <c r="AO202" i="8" s="1"/>
  <c r="AB202" i="4" s="1"/>
  <c r="AQ202" i="8"/>
  <c r="AR202" i="8" s="1"/>
  <c r="AS202" i="8" s="1"/>
  <c r="AT202" i="8" s="1"/>
  <c r="AU202" i="8" s="1"/>
  <c r="AC202" i="4" s="1"/>
  <c r="AQ235" i="8"/>
  <c r="AR235" i="8" s="1"/>
  <c r="AS235" i="8" s="1"/>
  <c r="AT235" i="8" s="1"/>
  <c r="AU235" i="8" s="1"/>
  <c r="AC235" i="4" s="1"/>
  <c r="AK235" i="8"/>
  <c r="AL235" i="8" s="1"/>
  <c r="AM235" i="8" s="1"/>
  <c r="AN235" i="8" s="1"/>
  <c r="AO235" i="8" s="1"/>
  <c r="AB235" i="4" s="1"/>
  <c r="AQ305" i="8"/>
  <c r="AR305" i="8" s="1"/>
  <c r="AS305" i="8" s="1"/>
  <c r="AT305" i="8" s="1"/>
  <c r="AU305" i="8" s="1"/>
  <c r="AC305" i="4" s="1"/>
  <c r="AK305" i="8"/>
  <c r="AL305" i="8" s="1"/>
  <c r="AM305" i="8" s="1"/>
  <c r="AN305" i="8" s="1"/>
  <c r="AO305" i="8" s="1"/>
  <c r="AB305" i="4" s="1"/>
  <c r="AQ158" i="8"/>
  <c r="AR158" i="8" s="1"/>
  <c r="AS158" i="8" s="1"/>
  <c r="AT158" i="8" s="1"/>
  <c r="AU158" i="8" s="1"/>
  <c r="AC158" i="4" s="1"/>
  <c r="AK158" i="8"/>
  <c r="AL158" i="8" s="1"/>
  <c r="AM158" i="8" s="1"/>
  <c r="AN158" i="8" s="1"/>
  <c r="AO158" i="8" s="1"/>
  <c r="AB158" i="4" s="1"/>
  <c r="AQ89" i="8"/>
  <c r="AK89" i="8"/>
  <c r="AL89" i="8" s="1"/>
  <c r="AM89" i="8" s="1"/>
  <c r="AN89" i="8" s="1"/>
  <c r="AO89" i="8" s="1"/>
  <c r="AB89" i="4" s="1"/>
  <c r="AQ239" i="8"/>
  <c r="AR239" i="8" s="1"/>
  <c r="AS239" i="8" s="1"/>
  <c r="AT239" i="8" s="1"/>
  <c r="AU239" i="8" s="1"/>
  <c r="AC239" i="4" s="1"/>
  <c r="AK239" i="8"/>
  <c r="AL239" i="8" s="1"/>
  <c r="AM239" i="8" s="1"/>
  <c r="AN239" i="8" s="1"/>
  <c r="AO239" i="8" s="1"/>
  <c r="AB239" i="4" s="1"/>
  <c r="AQ162" i="8"/>
  <c r="AR162" i="8" s="1"/>
  <c r="AS162" i="8" s="1"/>
  <c r="AT162" i="8" s="1"/>
  <c r="AU162" i="8" s="1"/>
  <c r="AC162" i="4" s="1"/>
  <c r="AK162" i="8"/>
  <c r="AL162" i="8" s="1"/>
  <c r="AM162" i="8" s="1"/>
  <c r="AN162" i="8" s="1"/>
  <c r="AO162" i="8" s="1"/>
  <c r="AB162" i="4" s="1"/>
  <c r="AQ262" i="8"/>
  <c r="AR262" i="8" s="1"/>
  <c r="AS262" i="8" s="1"/>
  <c r="AT262" i="8" s="1"/>
  <c r="AU262" i="8" s="1"/>
  <c r="AC262" i="4" s="1"/>
  <c r="AK262" i="8"/>
  <c r="AL262" i="8" s="1"/>
  <c r="AM262" i="8" s="1"/>
  <c r="AN262" i="8" s="1"/>
  <c r="AO262" i="8" s="1"/>
  <c r="AB262" i="4" s="1"/>
  <c r="AQ128" i="8"/>
  <c r="AR128" i="8" s="1"/>
  <c r="AS128" i="8" s="1"/>
  <c r="AT128" i="8" s="1"/>
  <c r="AU128" i="8" s="1"/>
  <c r="AC128" i="4" s="1"/>
  <c r="AK128" i="8"/>
  <c r="AL128" i="8" s="1"/>
  <c r="AM128" i="8" s="1"/>
  <c r="AN128" i="8" s="1"/>
  <c r="AO128" i="8" s="1"/>
  <c r="AB128" i="4" s="1"/>
  <c r="AQ242" i="8"/>
  <c r="AR242" i="8" s="1"/>
  <c r="AS242" i="8" s="1"/>
  <c r="AT242" i="8" s="1"/>
  <c r="AU242" i="8" s="1"/>
  <c r="AC242" i="4" s="1"/>
  <c r="AK242" i="8"/>
  <c r="AL242" i="8" s="1"/>
  <c r="AM242" i="8" s="1"/>
  <c r="AN242" i="8" s="1"/>
  <c r="AO242" i="8" s="1"/>
  <c r="AB242" i="4" s="1"/>
  <c r="AK250" i="8"/>
  <c r="AL250" i="8" s="1"/>
  <c r="AM250" i="8" s="1"/>
  <c r="AN250" i="8" s="1"/>
  <c r="AO250" i="8" s="1"/>
  <c r="AB250" i="4" s="1"/>
  <c r="AQ250" i="8"/>
  <c r="AR250" i="8" s="1"/>
  <c r="AS250" i="8" s="1"/>
  <c r="AT250" i="8" s="1"/>
  <c r="AU250" i="8" s="1"/>
  <c r="AC250" i="4" s="1"/>
  <c r="AQ247" i="8"/>
  <c r="AR247" i="8" s="1"/>
  <c r="AS247" i="8" s="1"/>
  <c r="AT247" i="8" s="1"/>
  <c r="AU247" i="8" s="1"/>
  <c r="AC247" i="4" s="1"/>
  <c r="AK247" i="8"/>
  <c r="AL247" i="8" s="1"/>
  <c r="AM247" i="8" s="1"/>
  <c r="AN247" i="8" s="1"/>
  <c r="AO247" i="8" s="1"/>
  <c r="AB247" i="4" s="1"/>
  <c r="AQ288" i="8"/>
  <c r="AR288" i="8" s="1"/>
  <c r="AS288" i="8" s="1"/>
  <c r="AT288" i="8" s="1"/>
  <c r="AU288" i="8" s="1"/>
  <c r="AC288" i="4" s="1"/>
  <c r="AK288" i="8"/>
  <c r="AL288" i="8" s="1"/>
  <c r="AM288" i="8" s="1"/>
  <c r="AN288" i="8" s="1"/>
  <c r="AO288" i="8" s="1"/>
  <c r="AB288" i="4" s="1"/>
  <c r="AK74" i="8"/>
  <c r="AL74" i="8" s="1"/>
  <c r="AM74" i="8" s="1"/>
  <c r="AN74" i="8" s="1"/>
  <c r="AO74" i="8" s="1"/>
  <c r="AB74" i="4" s="1"/>
  <c r="AQ74" i="8"/>
  <c r="AR74" i="8" s="1"/>
  <c r="AS74" i="8" s="1"/>
  <c r="AT74" i="8" s="1"/>
  <c r="AU74" i="8" s="1"/>
  <c r="AC74" i="4" s="1"/>
  <c r="AQ103" i="8"/>
  <c r="AR103" i="8" s="1"/>
  <c r="AS103" i="8" s="1"/>
  <c r="AT103" i="8" s="1"/>
  <c r="AU103" i="8" s="1"/>
  <c r="AC103" i="4" s="1"/>
  <c r="AK103" i="8"/>
  <c r="AL103" i="8" s="1"/>
  <c r="AM103" i="8" s="1"/>
  <c r="AN103" i="8" s="1"/>
  <c r="AO103" i="8" s="1"/>
  <c r="AB103" i="4" s="1"/>
  <c r="AQ223" i="8"/>
  <c r="AR223" i="8" s="1"/>
  <c r="AS223" i="8" s="1"/>
  <c r="AT223" i="8" s="1"/>
  <c r="AU223" i="8" s="1"/>
  <c r="AC223" i="4" s="1"/>
  <c r="AK223" i="8"/>
  <c r="AL223" i="8" s="1"/>
  <c r="AM223" i="8" s="1"/>
  <c r="AN223" i="8" s="1"/>
  <c r="AO223" i="8" s="1"/>
  <c r="AB223" i="4" s="1"/>
  <c r="AQ113" i="8"/>
  <c r="AR113" i="8" s="1"/>
  <c r="AS113" i="8" s="1"/>
  <c r="AT113" i="8" s="1"/>
  <c r="AU113" i="8" s="1"/>
  <c r="AC113" i="4" s="1"/>
  <c r="AK113" i="8"/>
  <c r="AL113" i="8" s="1"/>
  <c r="AM113" i="8" s="1"/>
  <c r="AN113" i="8" s="1"/>
  <c r="AO113" i="8" s="1"/>
  <c r="AB113" i="4" s="1"/>
  <c r="AK200" i="8"/>
  <c r="AL200" i="8" s="1"/>
  <c r="AM200" i="8" s="1"/>
  <c r="AN200" i="8" s="1"/>
  <c r="AO200" i="8" s="1"/>
  <c r="AB200" i="4" s="1"/>
  <c r="AQ200" i="8"/>
  <c r="AR200" i="8" s="1"/>
  <c r="AS200" i="8" s="1"/>
  <c r="AT200" i="8" s="1"/>
  <c r="AU200" i="8" s="1"/>
  <c r="AC200" i="4" s="1"/>
  <c r="AQ230" i="8"/>
  <c r="AR230" i="8" s="1"/>
  <c r="AS230" i="8" s="1"/>
  <c r="AT230" i="8" s="1"/>
  <c r="AU230" i="8" s="1"/>
  <c r="AC230" i="4" s="1"/>
  <c r="AK230" i="8"/>
  <c r="AL230" i="8" s="1"/>
  <c r="AM230" i="8" s="1"/>
  <c r="AN230" i="8" s="1"/>
  <c r="AO230" i="8" s="1"/>
  <c r="AB230" i="4" s="1"/>
  <c r="AJ298" i="8"/>
  <c r="AI298" i="8"/>
  <c r="AP298" i="8"/>
  <c r="AI286" i="8"/>
  <c r="AJ286" i="8"/>
  <c r="AP286" i="8"/>
  <c r="AJ271" i="8"/>
  <c r="AI271" i="8"/>
  <c r="AP271" i="8"/>
  <c r="AI300" i="8"/>
  <c r="AJ300" i="8"/>
  <c r="AP300" i="8"/>
  <c r="AI280" i="8"/>
  <c r="AJ280" i="8"/>
  <c r="AP280" i="8"/>
  <c r="AC178" i="8"/>
  <c r="AD178" i="8" s="1"/>
  <c r="Z178" i="4" s="1"/>
  <c r="AE178" i="8"/>
  <c r="AF178" i="8" s="1"/>
  <c r="AA178" i="4" s="1"/>
  <c r="AC306" i="8"/>
  <c r="AD306" i="8" s="1"/>
  <c r="Z306" i="4" s="1"/>
  <c r="AE306" i="8"/>
  <c r="AF306" i="8" s="1"/>
  <c r="AA306" i="4" s="1"/>
  <c r="AK81" i="8"/>
  <c r="AL81" i="8" s="1"/>
  <c r="AM81" i="8" s="1"/>
  <c r="AN81" i="8" s="1"/>
  <c r="AO81" i="8" s="1"/>
  <c r="AB81" i="4" s="1"/>
  <c r="AQ81" i="8"/>
  <c r="AR81" i="8" s="1"/>
  <c r="AS81" i="8" s="1"/>
  <c r="AT81" i="8" s="1"/>
  <c r="AU81" i="8" s="1"/>
  <c r="AC81" i="4" s="1"/>
  <c r="AQ197" i="8"/>
  <c r="AR197" i="8" s="1"/>
  <c r="AS197" i="8" s="1"/>
  <c r="AT197" i="8" s="1"/>
  <c r="AU197" i="8" s="1"/>
  <c r="AC197" i="4" s="1"/>
  <c r="AK197" i="8"/>
  <c r="AL197" i="8" s="1"/>
  <c r="AM197" i="8" s="1"/>
  <c r="AN197" i="8" s="1"/>
  <c r="AO197" i="8" s="1"/>
  <c r="AB197" i="4" s="1"/>
  <c r="AQ85" i="8"/>
  <c r="AR85" i="8" s="1"/>
  <c r="AS85" i="8" s="1"/>
  <c r="AT85" i="8" s="1"/>
  <c r="AU85" i="8" s="1"/>
  <c r="AC85" i="4" s="1"/>
  <c r="AK85" i="8"/>
  <c r="AL85" i="8" s="1"/>
  <c r="AM85" i="8" s="1"/>
  <c r="AN85" i="8" s="1"/>
  <c r="AO85" i="8" s="1"/>
  <c r="AB85" i="4" s="1"/>
  <c r="AK255" i="8"/>
  <c r="AL255" i="8" s="1"/>
  <c r="AM255" i="8" s="1"/>
  <c r="AN255" i="8" s="1"/>
  <c r="AO255" i="8" s="1"/>
  <c r="AB255" i="4" s="1"/>
  <c r="AQ255" i="8"/>
  <c r="AR255" i="8" s="1"/>
  <c r="AS255" i="8" s="1"/>
  <c r="AT255" i="8" s="1"/>
  <c r="AU255" i="8" s="1"/>
  <c r="AC255" i="4" s="1"/>
  <c r="AQ172" i="8"/>
  <c r="AR172" i="8" s="1"/>
  <c r="AS172" i="8" s="1"/>
  <c r="AT172" i="8" s="1"/>
  <c r="AU172" i="8" s="1"/>
  <c r="AC172" i="4" s="1"/>
  <c r="AK172" i="8"/>
  <c r="AL172" i="8" s="1"/>
  <c r="AM172" i="8" s="1"/>
  <c r="AN172" i="8" s="1"/>
  <c r="AO172" i="8" s="1"/>
  <c r="AB172" i="4" s="1"/>
  <c r="AQ52" i="8"/>
  <c r="AR52" i="8" s="1"/>
  <c r="AS52" i="8" s="1"/>
  <c r="AT52" i="8" s="1"/>
  <c r="AU52" i="8" s="1"/>
  <c r="AC52" i="4" s="1"/>
  <c r="AK52" i="8"/>
  <c r="AL52" i="8" s="1"/>
  <c r="AM52" i="8" s="1"/>
  <c r="AN52" i="8" s="1"/>
  <c r="AO52" i="8" s="1"/>
  <c r="AB52" i="4" s="1"/>
  <c r="AQ154" i="8"/>
  <c r="AR154" i="8" s="1"/>
  <c r="AS154" i="8" s="1"/>
  <c r="AT154" i="8" s="1"/>
  <c r="AU154" i="8" s="1"/>
  <c r="AC154" i="4" s="1"/>
  <c r="AK154" i="8"/>
  <c r="AL154" i="8" s="1"/>
  <c r="AM154" i="8" s="1"/>
  <c r="AN154" i="8" s="1"/>
  <c r="AO154" i="8" s="1"/>
  <c r="AB154" i="4" s="1"/>
  <c r="AK77" i="8"/>
  <c r="AL77" i="8" s="1"/>
  <c r="AM77" i="8" s="1"/>
  <c r="AN77" i="8" s="1"/>
  <c r="AO77" i="8" s="1"/>
  <c r="AB77" i="4" s="1"/>
  <c r="AQ77" i="8"/>
  <c r="AR77" i="8" s="1"/>
  <c r="AS77" i="8" s="1"/>
  <c r="AT77" i="8" s="1"/>
  <c r="AU77" i="8" s="1"/>
  <c r="AC77" i="4" s="1"/>
  <c r="AQ264" i="8"/>
  <c r="AR264" i="8" s="1"/>
  <c r="AS264" i="8" s="1"/>
  <c r="AT264" i="8" s="1"/>
  <c r="AU264" i="8" s="1"/>
  <c r="AC264" i="4" s="1"/>
  <c r="AK264" i="8"/>
  <c r="AL264" i="8" s="1"/>
  <c r="AM264" i="8" s="1"/>
  <c r="AN264" i="8" s="1"/>
  <c r="AO264" i="8" s="1"/>
  <c r="AB264" i="4" s="1"/>
  <c r="AE292" i="8"/>
  <c r="AF292" i="8" s="1"/>
  <c r="AA292" i="4" s="1"/>
  <c r="AC292" i="8"/>
  <c r="AD292" i="8" s="1"/>
  <c r="Z292" i="4" s="1"/>
  <c r="AQ301" i="8"/>
  <c r="AR301" i="8" s="1"/>
  <c r="AS301" i="8" s="1"/>
  <c r="AT301" i="8" s="1"/>
  <c r="AU301" i="8" s="1"/>
  <c r="AC301" i="4" s="1"/>
  <c r="AK301" i="8"/>
  <c r="AL301" i="8" s="1"/>
  <c r="AM301" i="8" s="1"/>
  <c r="AN301" i="8" s="1"/>
  <c r="AO301" i="8" s="1"/>
  <c r="AB301" i="4" s="1"/>
  <c r="AQ181" i="8"/>
  <c r="AR181" i="8" s="1"/>
  <c r="AS181" i="8" s="1"/>
  <c r="AT181" i="8" s="1"/>
  <c r="AU181" i="8" s="1"/>
  <c r="AC181" i="4" s="1"/>
  <c r="AK181" i="8"/>
  <c r="AL181" i="8" s="1"/>
  <c r="AM181" i="8" s="1"/>
  <c r="AN181" i="8" s="1"/>
  <c r="AO181" i="8" s="1"/>
  <c r="AB181" i="4" s="1"/>
  <c r="AQ198" i="8"/>
  <c r="AR198" i="8" s="1"/>
  <c r="AS198" i="8" s="1"/>
  <c r="AT198" i="8" s="1"/>
  <c r="AU198" i="8" s="1"/>
  <c r="AC198" i="4" s="1"/>
  <c r="AK198" i="8"/>
  <c r="AL198" i="8" s="1"/>
  <c r="AM198" i="8" s="1"/>
  <c r="AN198" i="8" s="1"/>
  <c r="AO198" i="8" s="1"/>
  <c r="AB198" i="4" s="1"/>
  <c r="AQ267" i="8"/>
  <c r="AR267" i="8" s="1"/>
  <c r="AS267" i="8" s="1"/>
  <c r="AT267" i="8" s="1"/>
  <c r="AU267" i="8" s="1"/>
  <c r="AC267" i="4" s="1"/>
  <c r="AK267" i="8"/>
  <c r="AL267" i="8" s="1"/>
  <c r="AM267" i="8" s="1"/>
  <c r="AN267" i="8" s="1"/>
  <c r="AO267" i="8" s="1"/>
  <c r="AB267" i="4" s="1"/>
  <c r="AQ59" i="8"/>
  <c r="AR59" i="8" s="1"/>
  <c r="AS59" i="8" s="1"/>
  <c r="AT59" i="8" s="1"/>
  <c r="AU59" i="8" s="1"/>
  <c r="AC59" i="4" s="1"/>
  <c r="AK59" i="8"/>
  <c r="AL59" i="8" s="1"/>
  <c r="AM59" i="8" s="1"/>
  <c r="AN59" i="8" s="1"/>
  <c r="AO59" i="8" s="1"/>
  <c r="AB59" i="4" s="1"/>
  <c r="AQ54" i="8"/>
  <c r="AR54" i="8" s="1"/>
  <c r="AS54" i="8" s="1"/>
  <c r="AT54" i="8" s="1"/>
  <c r="AU54" i="8" s="1"/>
  <c r="AC54" i="4" s="1"/>
  <c r="AK54" i="8"/>
  <c r="AL54" i="8" s="1"/>
  <c r="AM54" i="8" s="1"/>
  <c r="AN54" i="8" s="1"/>
  <c r="AO54" i="8" s="1"/>
  <c r="AB54" i="4" s="1"/>
  <c r="AE247" i="8"/>
  <c r="AF247" i="8" s="1"/>
  <c r="AA247" i="4" s="1"/>
  <c r="AC247" i="8"/>
  <c r="AD247" i="8" s="1"/>
  <c r="Z247" i="4" s="1"/>
  <c r="AK152" i="8"/>
  <c r="AL152" i="8" s="1"/>
  <c r="AM152" i="8" s="1"/>
  <c r="AN152" i="8" s="1"/>
  <c r="AO152" i="8" s="1"/>
  <c r="AB152" i="4" s="1"/>
  <c r="AQ152" i="8"/>
  <c r="AR152" i="8" s="1"/>
  <c r="AS152" i="8" s="1"/>
  <c r="AT152" i="8" s="1"/>
  <c r="AU152" i="8" s="1"/>
  <c r="AC152" i="4" s="1"/>
  <c r="AQ171" i="8"/>
  <c r="AR171" i="8" s="1"/>
  <c r="AS171" i="8" s="1"/>
  <c r="AT171" i="8" s="1"/>
  <c r="AU171" i="8" s="1"/>
  <c r="AC171" i="4" s="1"/>
  <c r="AK171" i="8"/>
  <c r="AL171" i="8" s="1"/>
  <c r="AM171" i="8" s="1"/>
  <c r="AN171" i="8" s="1"/>
  <c r="AO171" i="8" s="1"/>
  <c r="AB171" i="4" s="1"/>
  <c r="AQ61" i="8"/>
  <c r="AR61" i="8" s="1"/>
  <c r="AS61" i="8" s="1"/>
  <c r="AT61" i="8" s="1"/>
  <c r="AU61" i="8" s="1"/>
  <c r="AC61" i="4" s="1"/>
  <c r="AK61" i="8"/>
  <c r="AL61" i="8" s="1"/>
  <c r="AM61" i="8" s="1"/>
  <c r="AN61" i="8" s="1"/>
  <c r="AO61" i="8" s="1"/>
  <c r="AB61" i="4" s="1"/>
  <c r="AQ212" i="8"/>
  <c r="AR212" i="8" s="1"/>
  <c r="AS212" i="8" s="1"/>
  <c r="AT212" i="8" s="1"/>
  <c r="AU212" i="8" s="1"/>
  <c r="AC212" i="4" s="1"/>
  <c r="AK212" i="8"/>
  <c r="AL212" i="8" s="1"/>
  <c r="AM212" i="8" s="1"/>
  <c r="AN212" i="8" s="1"/>
  <c r="AO212" i="8" s="1"/>
  <c r="AB212" i="4" s="1"/>
  <c r="AQ137" i="8"/>
  <c r="AR137" i="8" s="1"/>
  <c r="AS137" i="8" s="1"/>
  <c r="AT137" i="8" s="1"/>
  <c r="AU137" i="8" s="1"/>
  <c r="AC137" i="4" s="1"/>
  <c r="AK137" i="8"/>
  <c r="AL137" i="8" s="1"/>
  <c r="AM137" i="8" s="1"/>
  <c r="AN137" i="8" s="1"/>
  <c r="AO137" i="8" s="1"/>
  <c r="AB137" i="4" s="1"/>
  <c r="AQ58" i="8"/>
  <c r="AR58" i="8" s="1"/>
  <c r="AS58" i="8" s="1"/>
  <c r="AT58" i="8" s="1"/>
  <c r="AU58" i="8" s="1"/>
  <c r="AC58" i="4" s="1"/>
  <c r="AK58" i="8"/>
  <c r="AL58" i="8" s="1"/>
  <c r="AM58" i="8" s="1"/>
  <c r="AN58" i="8" s="1"/>
  <c r="AO58" i="8" s="1"/>
  <c r="AB58" i="4" s="1"/>
  <c r="AK110" i="8"/>
  <c r="AL110" i="8" s="1"/>
  <c r="AM110" i="8" s="1"/>
  <c r="AN110" i="8" s="1"/>
  <c r="AO110" i="8" s="1"/>
  <c r="AB110" i="4" s="1"/>
  <c r="AQ110" i="8"/>
  <c r="AR110" i="8" s="1"/>
  <c r="AS110" i="8" s="1"/>
  <c r="AT110" i="8" s="1"/>
  <c r="AU110" i="8" s="1"/>
  <c r="AC110" i="4" s="1"/>
  <c r="AQ291" i="8"/>
  <c r="AR291" i="8" s="1"/>
  <c r="AS291" i="8" s="1"/>
  <c r="AT291" i="8" s="1"/>
  <c r="AU291" i="8" s="1"/>
  <c r="AC291" i="4" s="1"/>
  <c r="AK291" i="8"/>
  <c r="AL291" i="8" s="1"/>
  <c r="AM291" i="8" s="1"/>
  <c r="AN291" i="8" s="1"/>
  <c r="AO291" i="8" s="1"/>
  <c r="AB291" i="4" s="1"/>
  <c r="AQ216" i="8"/>
  <c r="AR216" i="8" s="1"/>
  <c r="AS216" i="8" s="1"/>
  <c r="AT216" i="8" s="1"/>
  <c r="AU216" i="8" s="1"/>
  <c r="AC216" i="4" s="1"/>
  <c r="AK216" i="8"/>
  <c r="AL216" i="8" s="1"/>
  <c r="AM216" i="8" s="1"/>
  <c r="AN216" i="8" s="1"/>
  <c r="AO216" i="8" s="1"/>
  <c r="AB216" i="4" s="1"/>
  <c r="AQ168" i="8"/>
  <c r="AR168" i="8" s="1"/>
  <c r="AS168" i="8" s="1"/>
  <c r="AT168" i="8" s="1"/>
  <c r="AU168" i="8" s="1"/>
  <c r="AC168" i="4" s="1"/>
  <c r="AK168" i="8"/>
  <c r="AL168" i="8" s="1"/>
  <c r="AM168" i="8" s="1"/>
  <c r="AN168" i="8" s="1"/>
  <c r="AO168" i="8" s="1"/>
  <c r="AB168" i="4" s="1"/>
  <c r="AQ156" i="8"/>
  <c r="AR156" i="8" s="1"/>
  <c r="AS156" i="8" s="1"/>
  <c r="AT156" i="8" s="1"/>
  <c r="AU156" i="8" s="1"/>
  <c r="AC156" i="4" s="1"/>
  <c r="AK156" i="8"/>
  <c r="AL156" i="8" s="1"/>
  <c r="AM156" i="8" s="1"/>
  <c r="AN156" i="8" s="1"/>
  <c r="AO156" i="8" s="1"/>
  <c r="AB156" i="4" s="1"/>
  <c r="AQ283" i="8"/>
  <c r="AR283" i="8" s="1"/>
  <c r="AS283" i="8" s="1"/>
  <c r="AT283" i="8" s="1"/>
  <c r="AU283" i="8" s="1"/>
  <c r="AC283" i="4" s="1"/>
  <c r="AK283" i="8"/>
  <c r="AL283" i="8" s="1"/>
  <c r="AM283" i="8" s="1"/>
  <c r="AN283" i="8" s="1"/>
  <c r="AO283" i="8" s="1"/>
  <c r="AB283" i="4" s="1"/>
  <c r="AK134" i="8"/>
  <c r="AL134" i="8" s="1"/>
  <c r="AM134" i="8" s="1"/>
  <c r="AN134" i="8" s="1"/>
  <c r="AO134" i="8" s="1"/>
  <c r="AB134" i="4" s="1"/>
  <c r="AQ134" i="8"/>
  <c r="AR134" i="8" s="1"/>
  <c r="AS134" i="8" s="1"/>
  <c r="AT134" i="8" s="1"/>
  <c r="AU134" i="8" s="1"/>
  <c r="AC134" i="4" s="1"/>
  <c r="AI302" i="8"/>
  <c r="AJ302" i="8"/>
  <c r="AP302" i="8"/>
  <c r="AJ294" i="8"/>
  <c r="AI294" i="8"/>
  <c r="AP294" i="8"/>
  <c r="AP282" i="8"/>
  <c r="AJ282" i="8"/>
  <c r="AI282" i="8"/>
  <c r="AP275" i="8"/>
  <c r="AJ275" i="8"/>
  <c r="AI275" i="8"/>
  <c r="AI272" i="8"/>
  <c r="AJ272" i="8"/>
  <c r="AP272" i="8"/>
  <c r="AP296" i="8"/>
  <c r="AI296" i="8"/>
  <c r="AJ296" i="8"/>
  <c r="AI284" i="8"/>
  <c r="AJ284" i="8"/>
  <c r="AP284" i="8"/>
  <c r="AJ303" i="8"/>
  <c r="AI303" i="8"/>
  <c r="AP303" i="8"/>
  <c r="AC56" i="8"/>
  <c r="AD56" i="8" s="1"/>
  <c r="Z56" i="4" s="1"/>
  <c r="AE56" i="8"/>
  <c r="AF56" i="8" s="1"/>
  <c r="AA56" i="4" s="1"/>
  <c r="AE126" i="8"/>
  <c r="AF126" i="8" s="1"/>
  <c r="AA126" i="4" s="1"/>
  <c r="AC126" i="8"/>
  <c r="AD126" i="8" s="1"/>
  <c r="Z126" i="4" s="1"/>
  <c r="AE84" i="8"/>
  <c r="AF84" i="8" s="1"/>
  <c r="AA84" i="4" s="1"/>
  <c r="AC84" i="8"/>
  <c r="AD84" i="8" s="1"/>
  <c r="Z84" i="4" s="1"/>
  <c r="AC261" i="8"/>
  <c r="AD261" i="8" s="1"/>
  <c r="Z261" i="4" s="1"/>
  <c r="AE261" i="8"/>
  <c r="AF261" i="8" s="1"/>
  <c r="AA261" i="4" s="1"/>
  <c r="AK40" i="8"/>
  <c r="AL40" i="8" s="1"/>
  <c r="AM40" i="8" s="1"/>
  <c r="AN40" i="8" s="1"/>
  <c r="AO40" i="8" s="1"/>
  <c r="AB40" i="4" s="1"/>
  <c r="AQ40" i="8"/>
  <c r="AR40" i="8" s="1"/>
  <c r="AS40" i="8" s="1"/>
  <c r="AT40" i="8" s="1"/>
  <c r="AU40" i="8" s="1"/>
  <c r="AC40" i="4" s="1"/>
  <c r="AK93" i="8"/>
  <c r="AL93" i="8" s="1"/>
  <c r="AM93" i="8" s="1"/>
  <c r="AN93" i="8" s="1"/>
  <c r="AO93" i="8" s="1"/>
  <c r="AB93" i="4" s="1"/>
  <c r="AQ93" i="8"/>
  <c r="AR93" i="8" s="1"/>
  <c r="AS93" i="8" s="1"/>
  <c r="AT93" i="8" s="1"/>
  <c r="AU93" i="8" s="1"/>
  <c r="AC93" i="4" s="1"/>
  <c r="AK187" i="8"/>
  <c r="AL187" i="8" s="1"/>
  <c r="AM187" i="8" s="1"/>
  <c r="AN187" i="8" s="1"/>
  <c r="AO187" i="8" s="1"/>
  <c r="AB187" i="4" s="1"/>
  <c r="AQ187" i="8"/>
  <c r="AR187" i="8" s="1"/>
  <c r="AS187" i="8" s="1"/>
  <c r="AT187" i="8" s="1"/>
  <c r="AU187" i="8" s="1"/>
  <c r="AC187" i="4" s="1"/>
  <c r="AQ269" i="8"/>
  <c r="AR269" i="8" s="1"/>
  <c r="AS269" i="8" s="1"/>
  <c r="AT269" i="8" s="1"/>
  <c r="AU269" i="8" s="1"/>
  <c r="AC269" i="4" s="1"/>
  <c r="AK269" i="8"/>
  <c r="AL269" i="8" s="1"/>
  <c r="AM269" i="8" s="1"/>
  <c r="AN269" i="8" s="1"/>
  <c r="AO269" i="8" s="1"/>
  <c r="AB269" i="4" s="1"/>
  <c r="AK196" i="8"/>
  <c r="AL196" i="8" s="1"/>
  <c r="AM196" i="8" s="1"/>
  <c r="AN196" i="8" s="1"/>
  <c r="AO196" i="8" s="1"/>
  <c r="AB196" i="4" s="1"/>
  <c r="AQ196" i="8"/>
  <c r="AR196" i="8" s="1"/>
  <c r="AS196" i="8" s="1"/>
  <c r="AT196" i="8" s="1"/>
  <c r="AU196" i="8" s="1"/>
  <c r="AC196" i="4" s="1"/>
  <c r="AQ310" i="8"/>
  <c r="AR310" i="8" s="1"/>
  <c r="AS310" i="8" s="1"/>
  <c r="AT310" i="8" s="1"/>
  <c r="AU310" i="8" s="1"/>
  <c r="AK310" i="8"/>
  <c r="AL310" i="8" s="1"/>
  <c r="AM310" i="8" s="1"/>
  <c r="AN310" i="8" s="1"/>
  <c r="AO310" i="8" s="1"/>
  <c r="AQ73" i="8"/>
  <c r="AR73" i="8" s="1"/>
  <c r="AS73" i="8" s="1"/>
  <c r="AT73" i="8" s="1"/>
  <c r="AU73" i="8" s="1"/>
  <c r="AC73" i="4" s="1"/>
  <c r="AK73" i="8"/>
  <c r="AL73" i="8" s="1"/>
  <c r="AM73" i="8" s="1"/>
  <c r="AN73" i="8" s="1"/>
  <c r="AO73" i="8" s="1"/>
  <c r="AB73" i="4" s="1"/>
  <c r="AQ68" i="8"/>
  <c r="AR68" i="8" s="1"/>
  <c r="AS68" i="8" s="1"/>
  <c r="AT68" i="8" s="1"/>
  <c r="AU68" i="8" s="1"/>
  <c r="AC68" i="4" s="1"/>
  <c r="AK68" i="8"/>
  <c r="AL68" i="8" s="1"/>
  <c r="AM68" i="8" s="1"/>
  <c r="AN68" i="8" s="1"/>
  <c r="AO68" i="8" s="1"/>
  <c r="AB68" i="4" s="1"/>
  <c r="AQ142" i="8"/>
  <c r="AR142" i="8" s="1"/>
  <c r="AS142" i="8" s="1"/>
  <c r="AT142" i="8" s="1"/>
  <c r="AU142" i="8" s="1"/>
  <c r="AC142" i="4" s="1"/>
  <c r="AK142" i="8"/>
  <c r="AL142" i="8" s="1"/>
  <c r="AM142" i="8" s="1"/>
  <c r="AN142" i="8" s="1"/>
  <c r="AO142" i="8" s="1"/>
  <c r="AB142" i="4" s="1"/>
  <c r="AK193" i="8"/>
  <c r="AL193" i="8" s="1"/>
  <c r="AM193" i="8" s="1"/>
  <c r="AN193" i="8" s="1"/>
  <c r="AO193" i="8" s="1"/>
  <c r="AB193" i="4" s="1"/>
  <c r="AQ193" i="8"/>
  <c r="AR193" i="8" s="1"/>
  <c r="AS193" i="8" s="1"/>
  <c r="AT193" i="8" s="1"/>
  <c r="AU193" i="8" s="1"/>
  <c r="AC193" i="4" s="1"/>
  <c r="AQ102" i="8"/>
  <c r="AR102" i="8" s="1"/>
  <c r="AS102" i="8" s="1"/>
  <c r="AT102" i="8" s="1"/>
  <c r="AU102" i="8" s="1"/>
  <c r="AC102" i="4" s="1"/>
  <c r="AK102" i="8"/>
  <c r="AL102" i="8" s="1"/>
  <c r="AM102" i="8" s="1"/>
  <c r="AN102" i="8" s="1"/>
  <c r="AO102" i="8" s="1"/>
  <c r="AB102" i="4" s="1"/>
  <c r="AK186" i="8"/>
  <c r="AL186" i="8" s="1"/>
  <c r="AM186" i="8" s="1"/>
  <c r="AN186" i="8" s="1"/>
  <c r="AO186" i="8" s="1"/>
  <c r="AB186" i="4" s="1"/>
  <c r="AQ186" i="8"/>
  <c r="AR186" i="8" s="1"/>
  <c r="AS186" i="8" s="1"/>
  <c r="AT186" i="8" s="1"/>
  <c r="AU186" i="8" s="1"/>
  <c r="AC186" i="4" s="1"/>
  <c r="AQ170" i="8"/>
  <c r="AR170" i="8" s="1"/>
  <c r="AS170" i="8" s="1"/>
  <c r="AT170" i="8" s="1"/>
  <c r="AU170" i="8" s="1"/>
  <c r="AC170" i="4" s="1"/>
  <c r="AK170" i="8"/>
  <c r="AL170" i="8" s="1"/>
  <c r="AM170" i="8" s="1"/>
  <c r="AN170" i="8" s="1"/>
  <c r="AO170" i="8" s="1"/>
  <c r="AB170" i="4" s="1"/>
  <c r="AK226" i="8"/>
  <c r="AL226" i="8" s="1"/>
  <c r="AM226" i="8" s="1"/>
  <c r="AN226" i="8" s="1"/>
  <c r="AO226" i="8" s="1"/>
  <c r="AB226" i="4" s="1"/>
  <c r="AQ226" i="8"/>
  <c r="AR226" i="8" s="1"/>
  <c r="AS226" i="8" s="1"/>
  <c r="AT226" i="8" s="1"/>
  <c r="AU226" i="8" s="1"/>
  <c r="AC226" i="4" s="1"/>
  <c r="AQ309" i="8"/>
  <c r="AR309" i="8" s="1"/>
  <c r="AS309" i="8" s="1"/>
  <c r="AT309" i="8" s="1"/>
  <c r="AU309" i="8" s="1"/>
  <c r="AC309" i="4" s="1"/>
  <c r="AK309" i="8"/>
  <c r="AL309" i="8" s="1"/>
  <c r="AM309" i="8" s="1"/>
  <c r="AN309" i="8" s="1"/>
  <c r="AO309" i="8" s="1"/>
  <c r="AB309" i="4" s="1"/>
  <c r="AK268" i="8"/>
  <c r="AL268" i="8" s="1"/>
  <c r="AM268" i="8" s="1"/>
  <c r="AN268" i="8" s="1"/>
  <c r="AO268" i="8" s="1"/>
  <c r="AB268" i="4" s="1"/>
  <c r="AQ268" i="8"/>
  <c r="AR268" i="8" s="1"/>
  <c r="AS268" i="8" s="1"/>
  <c r="AT268" i="8" s="1"/>
  <c r="AU268" i="8" s="1"/>
  <c r="AC268" i="4" s="1"/>
  <c r="AQ125" i="8"/>
  <c r="AR125" i="8" s="1"/>
  <c r="AS125" i="8" s="1"/>
  <c r="AT125" i="8" s="1"/>
  <c r="AU125" i="8" s="1"/>
  <c r="AC125" i="4" s="1"/>
  <c r="AK125" i="8"/>
  <c r="AL125" i="8" s="1"/>
  <c r="AM125" i="8" s="1"/>
  <c r="AN125" i="8" s="1"/>
  <c r="AO125" i="8" s="1"/>
  <c r="AB125" i="4" s="1"/>
  <c r="AK129" i="8"/>
  <c r="AL129" i="8" s="1"/>
  <c r="AM129" i="8" s="1"/>
  <c r="AN129" i="8" s="1"/>
  <c r="AO129" i="8" s="1"/>
  <c r="AB129" i="4" s="1"/>
  <c r="AQ129" i="8"/>
  <c r="AR129" i="8" s="1"/>
  <c r="AS129" i="8" s="1"/>
  <c r="AT129" i="8" s="1"/>
  <c r="AU129" i="8" s="1"/>
  <c r="AC129" i="4" s="1"/>
  <c r="AK96" i="8"/>
  <c r="AL96" i="8" s="1"/>
  <c r="AM96" i="8" s="1"/>
  <c r="AN96" i="8" s="1"/>
  <c r="AO96" i="8" s="1"/>
  <c r="AB96" i="4" s="1"/>
  <c r="AQ96" i="8"/>
  <c r="AR96" i="8" s="1"/>
  <c r="AS96" i="8" s="1"/>
  <c r="AT96" i="8" s="1"/>
  <c r="AU96" i="8" s="1"/>
  <c r="AC96" i="4" s="1"/>
  <c r="AQ107" i="8"/>
  <c r="AR107" i="8" s="1"/>
  <c r="AS107" i="8" s="1"/>
  <c r="AT107" i="8" s="1"/>
  <c r="AU107" i="8" s="1"/>
  <c r="AC107" i="4" s="1"/>
  <c r="AK107" i="8"/>
  <c r="AL107" i="8" s="1"/>
  <c r="AM107" i="8" s="1"/>
  <c r="AN107" i="8" s="1"/>
  <c r="AO107" i="8" s="1"/>
  <c r="AB107" i="4" s="1"/>
  <c r="AK57" i="8"/>
  <c r="AL57" i="8" s="1"/>
  <c r="AM57" i="8" s="1"/>
  <c r="AN57" i="8" s="1"/>
  <c r="AO57" i="8" s="1"/>
  <c r="AB57" i="4" s="1"/>
  <c r="AQ57" i="8"/>
  <c r="AR57" i="8" s="1"/>
  <c r="AS57" i="8" s="1"/>
  <c r="AT57" i="8" s="1"/>
  <c r="AU57" i="8" s="1"/>
  <c r="AC57" i="4" s="1"/>
  <c r="AQ263" i="8"/>
  <c r="AR263" i="8" s="1"/>
  <c r="AS263" i="8" s="1"/>
  <c r="AT263" i="8" s="1"/>
  <c r="AU263" i="8" s="1"/>
  <c r="AC263" i="4" s="1"/>
  <c r="AK263" i="8"/>
  <c r="AL263" i="8" s="1"/>
  <c r="AM263" i="8" s="1"/>
  <c r="AN263" i="8" s="1"/>
  <c r="AO263" i="8" s="1"/>
  <c r="AB263" i="4" s="1"/>
  <c r="AK175" i="8"/>
  <c r="AL175" i="8" s="1"/>
  <c r="AM175" i="8" s="1"/>
  <c r="AN175" i="8" s="1"/>
  <c r="AO175" i="8" s="1"/>
  <c r="AB175" i="4" s="1"/>
  <c r="AQ175" i="8"/>
  <c r="AR175" i="8" s="1"/>
  <c r="AS175" i="8" s="1"/>
  <c r="AT175" i="8" s="1"/>
  <c r="AU175" i="8" s="1"/>
  <c r="AC175" i="4" s="1"/>
  <c r="AK161" i="8"/>
  <c r="AL161" i="8" s="1"/>
  <c r="AM161" i="8" s="1"/>
  <c r="AN161" i="8" s="1"/>
  <c r="AO161" i="8" s="1"/>
  <c r="AB161" i="4" s="1"/>
  <c r="AQ161" i="8"/>
  <c r="AR161" i="8" s="1"/>
  <c r="AS161" i="8" s="1"/>
  <c r="AT161" i="8" s="1"/>
  <c r="AU161" i="8" s="1"/>
  <c r="AC161" i="4" s="1"/>
  <c r="AQ117" i="8"/>
  <c r="AR117" i="8" s="1"/>
  <c r="AS117" i="8" s="1"/>
  <c r="AT117" i="8" s="1"/>
  <c r="AU117" i="8" s="1"/>
  <c r="AC117" i="4" s="1"/>
  <c r="AK117" i="8"/>
  <c r="AL117" i="8" s="1"/>
  <c r="AM117" i="8" s="1"/>
  <c r="AN117" i="8" s="1"/>
  <c r="AO117" i="8" s="1"/>
  <c r="AB117" i="4" s="1"/>
  <c r="AC253" i="8"/>
  <c r="AD253" i="8" s="1"/>
  <c r="Z253" i="4" s="1"/>
  <c r="AE253" i="8"/>
  <c r="AF253" i="8" s="1"/>
  <c r="AA253" i="4" s="1"/>
  <c r="AE221" i="8"/>
  <c r="AF221" i="8" s="1"/>
  <c r="AA221" i="4" s="1"/>
  <c r="AC221" i="8"/>
  <c r="AD221" i="8" s="1"/>
  <c r="Z221" i="4" s="1"/>
  <c r="AQ70" i="8"/>
  <c r="AR70" i="8" s="1"/>
  <c r="AS70" i="8" s="1"/>
  <c r="AT70" i="8" s="1"/>
  <c r="AU70" i="8" s="1"/>
  <c r="AC70" i="4" s="1"/>
  <c r="AK70" i="8"/>
  <c r="AL70" i="8" s="1"/>
  <c r="AM70" i="8" s="1"/>
  <c r="AN70" i="8" s="1"/>
  <c r="AO70" i="8" s="1"/>
  <c r="AB70" i="4" s="1"/>
  <c r="AQ208" i="8"/>
  <c r="AR208" i="8" s="1"/>
  <c r="AS208" i="8" s="1"/>
  <c r="AT208" i="8" s="1"/>
  <c r="AU208" i="8" s="1"/>
  <c r="AC208" i="4" s="1"/>
  <c r="AK208" i="8"/>
  <c r="AL208" i="8" s="1"/>
  <c r="AM208" i="8" s="1"/>
  <c r="AN208" i="8" s="1"/>
  <c r="AO208" i="8" s="1"/>
  <c r="AB208" i="4" s="1"/>
  <c r="AQ179" i="8"/>
  <c r="AR179" i="8" s="1"/>
  <c r="AS179" i="8" s="1"/>
  <c r="AT179" i="8" s="1"/>
  <c r="AU179" i="8" s="1"/>
  <c r="AC179" i="4" s="1"/>
  <c r="AK179" i="8"/>
  <c r="AL179" i="8" s="1"/>
  <c r="AM179" i="8" s="1"/>
  <c r="AN179" i="8" s="1"/>
  <c r="AO179" i="8" s="1"/>
  <c r="AB179" i="4" s="1"/>
  <c r="AQ222" i="8"/>
  <c r="AR222" i="8" s="1"/>
  <c r="AS222" i="8" s="1"/>
  <c r="AT222" i="8" s="1"/>
  <c r="AU222" i="8" s="1"/>
  <c r="AC222" i="4" s="1"/>
  <c r="AK222" i="8"/>
  <c r="AL222" i="8" s="1"/>
  <c r="AM222" i="8" s="1"/>
  <c r="AN222" i="8" s="1"/>
  <c r="AO222" i="8" s="1"/>
  <c r="AB222" i="4" s="1"/>
  <c r="AK265" i="8"/>
  <c r="AL265" i="8" s="1"/>
  <c r="AM265" i="8" s="1"/>
  <c r="AN265" i="8" s="1"/>
  <c r="AO265" i="8" s="1"/>
  <c r="AB265" i="4" s="1"/>
  <c r="AQ265" i="8"/>
  <c r="AR265" i="8" s="1"/>
  <c r="AS265" i="8" s="1"/>
  <c r="AT265" i="8" s="1"/>
  <c r="AU265" i="8" s="1"/>
  <c r="AC265" i="4" s="1"/>
  <c r="AQ192" i="8"/>
  <c r="AR192" i="8" s="1"/>
  <c r="AS192" i="8" s="1"/>
  <c r="AT192" i="8" s="1"/>
  <c r="AU192" i="8" s="1"/>
  <c r="AC192" i="4" s="1"/>
  <c r="AK192" i="8"/>
  <c r="AL192" i="8" s="1"/>
  <c r="AM192" i="8" s="1"/>
  <c r="AN192" i="8" s="1"/>
  <c r="AO192" i="8" s="1"/>
  <c r="AB192" i="4" s="1"/>
  <c r="AQ182" i="8"/>
  <c r="AR182" i="8" s="1"/>
  <c r="AS182" i="8" s="1"/>
  <c r="AT182" i="8" s="1"/>
  <c r="AU182" i="8" s="1"/>
  <c r="AC182" i="4" s="1"/>
  <c r="AK182" i="8"/>
  <c r="AL182" i="8" s="1"/>
  <c r="AM182" i="8" s="1"/>
  <c r="AN182" i="8" s="1"/>
  <c r="AO182" i="8" s="1"/>
  <c r="AB182" i="4" s="1"/>
  <c r="AQ241" i="8"/>
  <c r="AR241" i="8" s="1"/>
  <c r="AS241" i="8" s="1"/>
  <c r="AT241" i="8" s="1"/>
  <c r="AU241" i="8" s="1"/>
  <c r="AC241" i="4" s="1"/>
  <c r="AK241" i="8"/>
  <c r="AL241" i="8" s="1"/>
  <c r="AM241" i="8" s="1"/>
  <c r="AN241" i="8" s="1"/>
  <c r="AO241" i="8" s="1"/>
  <c r="AB241" i="4" s="1"/>
  <c r="AQ257" i="8"/>
  <c r="AR257" i="8" s="1"/>
  <c r="AS257" i="8" s="1"/>
  <c r="AT257" i="8" s="1"/>
  <c r="AU257" i="8" s="1"/>
  <c r="AC257" i="4" s="1"/>
  <c r="AK257" i="8"/>
  <c r="AL257" i="8" s="1"/>
  <c r="AM257" i="8" s="1"/>
  <c r="AN257" i="8" s="1"/>
  <c r="AO257" i="8" s="1"/>
  <c r="AB257" i="4" s="1"/>
  <c r="AK121" i="8"/>
  <c r="AL121" i="8" s="1"/>
  <c r="AM121" i="8" s="1"/>
  <c r="AN121" i="8" s="1"/>
  <c r="AO121" i="8" s="1"/>
  <c r="AB121" i="4" s="1"/>
  <c r="AQ121" i="8"/>
  <c r="AR121" i="8" s="1"/>
  <c r="AS121" i="8" s="1"/>
  <c r="AT121" i="8" s="1"/>
  <c r="AU121" i="8" s="1"/>
  <c r="AC121" i="4" s="1"/>
  <c r="AQ136" i="8"/>
  <c r="AR136" i="8" s="1"/>
  <c r="AS136" i="8" s="1"/>
  <c r="AT136" i="8" s="1"/>
  <c r="AU136" i="8" s="1"/>
  <c r="AC136" i="4" s="1"/>
  <c r="AK136" i="8"/>
  <c r="AL136" i="8" s="1"/>
  <c r="AM136" i="8" s="1"/>
  <c r="AN136" i="8" s="1"/>
  <c r="AO136" i="8" s="1"/>
  <c r="AB136" i="4" s="1"/>
  <c r="AQ82" i="8"/>
  <c r="AR82" i="8" s="1"/>
  <c r="AS82" i="8" s="1"/>
  <c r="AT82" i="8" s="1"/>
  <c r="AU82" i="8" s="1"/>
  <c r="AC82" i="4" s="1"/>
  <c r="AK82" i="8"/>
  <c r="AL82" i="8" s="1"/>
  <c r="AM82" i="8" s="1"/>
  <c r="AN82" i="8" s="1"/>
  <c r="AO82" i="8" s="1"/>
  <c r="AB82" i="4" s="1"/>
  <c r="AQ41" i="8"/>
  <c r="AR41" i="8" s="1"/>
  <c r="AS41" i="8" s="1"/>
  <c r="AT41" i="8" s="1"/>
  <c r="AU41" i="8" s="1"/>
  <c r="AC41" i="4" s="1"/>
  <c r="AK41" i="8"/>
  <c r="AL41" i="8" s="1"/>
  <c r="AM41" i="8" s="1"/>
  <c r="AN41" i="8" s="1"/>
  <c r="AO41" i="8" s="1"/>
  <c r="AB41" i="4" s="1"/>
  <c r="AQ108" i="8"/>
  <c r="AR108" i="8" s="1"/>
  <c r="AS108" i="8" s="1"/>
  <c r="AT108" i="8" s="1"/>
  <c r="AU108" i="8" s="1"/>
  <c r="AC108" i="4" s="1"/>
  <c r="AK108" i="8"/>
  <c r="AL108" i="8" s="1"/>
  <c r="AM108" i="8" s="1"/>
  <c r="AN108" i="8" s="1"/>
  <c r="AO108" i="8" s="1"/>
  <c r="AB108" i="4" s="1"/>
  <c r="AQ189" i="8"/>
  <c r="AR189" i="8" s="1"/>
  <c r="AS189" i="8" s="1"/>
  <c r="AT189" i="8" s="1"/>
  <c r="AU189" i="8" s="1"/>
  <c r="AC189" i="4" s="1"/>
  <c r="AK189" i="8"/>
  <c r="AL189" i="8" s="1"/>
  <c r="AM189" i="8" s="1"/>
  <c r="AN189" i="8" s="1"/>
  <c r="AO189" i="8" s="1"/>
  <c r="AB189" i="4" s="1"/>
  <c r="AQ174" i="8"/>
  <c r="AR174" i="8" s="1"/>
  <c r="AS174" i="8" s="1"/>
  <c r="AT174" i="8" s="1"/>
  <c r="AU174" i="8" s="1"/>
  <c r="AC174" i="4" s="1"/>
  <c r="AK174" i="8"/>
  <c r="AL174" i="8" s="1"/>
  <c r="AM174" i="8" s="1"/>
  <c r="AN174" i="8" s="1"/>
  <c r="AO174" i="8" s="1"/>
  <c r="AB174" i="4" s="1"/>
  <c r="AQ214" i="8"/>
  <c r="AR214" i="8" s="1"/>
  <c r="AS214" i="8" s="1"/>
  <c r="AT214" i="8" s="1"/>
  <c r="AU214" i="8" s="1"/>
  <c r="AC214" i="4" s="1"/>
  <c r="AK214" i="8"/>
  <c r="AL214" i="8" s="1"/>
  <c r="AM214" i="8" s="1"/>
  <c r="AN214" i="8" s="1"/>
  <c r="AO214" i="8" s="1"/>
  <c r="AB214" i="4" s="1"/>
  <c r="AK207" i="8"/>
  <c r="AL207" i="8" s="1"/>
  <c r="AM207" i="8" s="1"/>
  <c r="AN207" i="8" s="1"/>
  <c r="AO207" i="8" s="1"/>
  <c r="AB207" i="4" s="1"/>
  <c r="AQ207" i="8"/>
  <c r="AR207" i="8" s="1"/>
  <c r="AS207" i="8" s="1"/>
  <c r="AT207" i="8" s="1"/>
  <c r="AU207" i="8" s="1"/>
  <c r="AC207" i="4" s="1"/>
  <c r="AK101" i="8"/>
  <c r="AL101" i="8" s="1"/>
  <c r="AM101" i="8" s="1"/>
  <c r="AN101" i="8" s="1"/>
  <c r="AO101" i="8" s="1"/>
  <c r="AB101" i="4" s="1"/>
  <c r="AQ101" i="8"/>
  <c r="AR101" i="8" s="1"/>
  <c r="AS101" i="8" s="1"/>
  <c r="AT101" i="8" s="1"/>
  <c r="AU101" i="8" s="1"/>
  <c r="AC101" i="4" s="1"/>
  <c r="AK254" i="8"/>
  <c r="AL254" i="8" s="1"/>
  <c r="AM254" i="8" s="1"/>
  <c r="AN254" i="8" s="1"/>
  <c r="AO254" i="8" s="1"/>
  <c r="AB254" i="4" s="1"/>
  <c r="AQ254" i="8"/>
  <c r="AR254" i="8" s="1"/>
  <c r="AS254" i="8" s="1"/>
  <c r="AT254" i="8" s="1"/>
  <c r="AU254" i="8" s="1"/>
  <c r="AC254" i="4" s="1"/>
  <c r="AQ160" i="8"/>
  <c r="AR160" i="8" s="1"/>
  <c r="AS160" i="8" s="1"/>
  <c r="AT160" i="8" s="1"/>
  <c r="AU160" i="8" s="1"/>
  <c r="AC160" i="4" s="1"/>
  <c r="AK160" i="8"/>
  <c r="AL160" i="8" s="1"/>
  <c r="AM160" i="8" s="1"/>
  <c r="AN160" i="8" s="1"/>
  <c r="AO160" i="8" s="1"/>
  <c r="AB160" i="4" s="1"/>
  <c r="AK42" i="8"/>
  <c r="AL42" i="8" s="1"/>
  <c r="AM42" i="8" s="1"/>
  <c r="AN42" i="8" s="1"/>
  <c r="AO42" i="8" s="1"/>
  <c r="AB42" i="4" s="1"/>
  <c r="AQ42" i="8"/>
  <c r="AR42" i="8" s="1"/>
  <c r="AS42" i="8" s="1"/>
  <c r="AT42" i="8" s="1"/>
  <c r="AU42" i="8" s="1"/>
  <c r="AC42" i="4" s="1"/>
  <c r="AK221" i="8"/>
  <c r="AL221" i="8" s="1"/>
  <c r="AM221" i="8" s="1"/>
  <c r="AN221" i="8" s="1"/>
  <c r="AO221" i="8" s="1"/>
  <c r="AB221" i="4" s="1"/>
  <c r="AQ221" i="8"/>
  <c r="AR221" i="8" s="1"/>
  <c r="AS221" i="8" s="1"/>
  <c r="AT221" i="8" s="1"/>
  <c r="AU221" i="8" s="1"/>
  <c r="AC221" i="4" s="1"/>
  <c r="AK261" i="8"/>
  <c r="AL261" i="8" s="1"/>
  <c r="AM261" i="8" s="1"/>
  <c r="AN261" i="8" s="1"/>
  <c r="AO261" i="8" s="1"/>
  <c r="AB261" i="4" s="1"/>
  <c r="AQ261" i="8"/>
  <c r="AR261" i="8" s="1"/>
  <c r="AS261" i="8" s="1"/>
  <c r="AT261" i="8" s="1"/>
  <c r="AU261" i="8" s="1"/>
  <c r="AC261" i="4" s="1"/>
  <c r="Z300" i="8"/>
  <c r="AA300" i="8" s="1"/>
  <c r="AB300" i="8" s="1"/>
  <c r="Z278" i="8"/>
  <c r="AA278" i="8" s="1"/>
  <c r="AB278" i="8" s="1"/>
  <c r="AE259" i="8"/>
  <c r="AF259" i="8" s="1"/>
  <c r="AA259" i="4" s="1"/>
  <c r="AC259" i="8"/>
  <c r="AD259" i="8" s="1"/>
  <c r="Z259" i="4" s="1"/>
  <c r="AC150" i="8"/>
  <c r="AD150" i="8" s="1"/>
  <c r="Z150" i="4" s="1"/>
  <c r="AE150" i="8"/>
  <c r="AF150" i="8" s="1"/>
  <c r="AA150" i="4" s="1"/>
  <c r="AE152" i="8"/>
  <c r="AF152" i="8" s="1"/>
  <c r="AA152" i="4" s="1"/>
  <c r="AC152" i="8"/>
  <c r="AD152" i="8" s="1"/>
  <c r="Z152" i="4" s="1"/>
  <c r="AQ244" i="8"/>
  <c r="AR244" i="8" s="1"/>
  <c r="AS244" i="8" s="1"/>
  <c r="AT244" i="8" s="1"/>
  <c r="AU244" i="8" s="1"/>
  <c r="AC244" i="4" s="1"/>
  <c r="AK244" i="8"/>
  <c r="AL244" i="8" s="1"/>
  <c r="AM244" i="8" s="1"/>
  <c r="AN244" i="8" s="1"/>
  <c r="AO244" i="8" s="1"/>
  <c r="AB244" i="4" s="1"/>
  <c r="AQ112" i="8"/>
  <c r="AR112" i="8" s="1"/>
  <c r="AS112" i="8" s="1"/>
  <c r="AT112" i="8" s="1"/>
  <c r="AU112" i="8" s="1"/>
  <c r="AC112" i="4" s="1"/>
  <c r="AK112" i="8"/>
  <c r="AL112" i="8" s="1"/>
  <c r="AM112" i="8" s="1"/>
  <c r="AN112" i="8" s="1"/>
  <c r="AO112" i="8" s="1"/>
  <c r="AB112" i="4" s="1"/>
  <c r="AK299" i="8"/>
  <c r="AL299" i="8" s="1"/>
  <c r="AM299" i="8" s="1"/>
  <c r="AN299" i="8" s="1"/>
  <c r="AO299" i="8" s="1"/>
  <c r="AB299" i="4" s="1"/>
  <c r="AQ299" i="8"/>
  <c r="AR299" i="8" s="1"/>
  <c r="AS299" i="8" s="1"/>
  <c r="AT299" i="8" s="1"/>
  <c r="AU299" i="8" s="1"/>
  <c r="AC299" i="4" s="1"/>
  <c r="AK219" i="8"/>
  <c r="AL219" i="8" s="1"/>
  <c r="AM219" i="8" s="1"/>
  <c r="AN219" i="8" s="1"/>
  <c r="AO219" i="8" s="1"/>
  <c r="AB219" i="4" s="1"/>
  <c r="AQ219" i="8"/>
  <c r="AR219" i="8" s="1"/>
  <c r="AS219" i="8" s="1"/>
  <c r="AT219" i="8" s="1"/>
  <c r="AU219" i="8" s="1"/>
  <c r="AC219" i="4" s="1"/>
  <c r="AC282" i="8"/>
  <c r="AD282" i="8" s="1"/>
  <c r="Z282" i="4" s="1"/>
  <c r="AE282" i="8"/>
  <c r="AF282" i="8" s="1"/>
  <c r="AA282" i="4" s="1"/>
  <c r="AK188" i="8"/>
  <c r="AL188" i="8" s="1"/>
  <c r="AM188" i="8" s="1"/>
  <c r="AN188" i="8" s="1"/>
  <c r="AO188" i="8" s="1"/>
  <c r="AB188" i="4" s="1"/>
  <c r="AQ188" i="8"/>
  <c r="AR188" i="8" s="1"/>
  <c r="AS188" i="8" s="1"/>
  <c r="AT188" i="8" s="1"/>
  <c r="AU188" i="8" s="1"/>
  <c r="AC188" i="4" s="1"/>
  <c r="AQ51" i="8"/>
  <c r="AR51" i="8" s="1"/>
  <c r="AS51" i="8" s="1"/>
  <c r="AT51" i="8" s="1"/>
  <c r="AU51" i="8" s="1"/>
  <c r="AC51" i="4" s="1"/>
  <c r="AK51" i="8"/>
  <c r="AL51" i="8" s="1"/>
  <c r="AM51" i="8" s="1"/>
  <c r="AN51" i="8" s="1"/>
  <c r="AO51" i="8" s="1"/>
  <c r="AB51" i="4" s="1"/>
  <c r="AK100" i="8"/>
  <c r="AL100" i="8" s="1"/>
  <c r="AM100" i="8" s="1"/>
  <c r="AN100" i="8" s="1"/>
  <c r="AO100" i="8" s="1"/>
  <c r="AB100" i="4" s="1"/>
  <c r="AQ100" i="8"/>
  <c r="AR100" i="8" s="1"/>
  <c r="AS100" i="8" s="1"/>
  <c r="AT100" i="8" s="1"/>
  <c r="AU100" i="8" s="1"/>
  <c r="AC100" i="4" s="1"/>
  <c r="AE294" i="8"/>
  <c r="AF294" i="8" s="1"/>
  <c r="AA294" i="4" s="1"/>
  <c r="AC294" i="8"/>
  <c r="AD294" i="8" s="1"/>
  <c r="Z294" i="4" s="1"/>
  <c r="AC76" i="8"/>
  <c r="AD76" i="8" s="1"/>
  <c r="Z76" i="4" s="1"/>
  <c r="AE76" i="8"/>
  <c r="AF76" i="8" s="1"/>
  <c r="AA76" i="4" s="1"/>
  <c r="AQ185" i="8"/>
  <c r="AR185" i="8" s="1"/>
  <c r="AS185" i="8" s="1"/>
  <c r="AT185" i="8" s="1"/>
  <c r="AU185" i="8" s="1"/>
  <c r="AC185" i="4" s="1"/>
  <c r="AK185" i="8"/>
  <c r="AL185" i="8" s="1"/>
  <c r="AM185" i="8" s="1"/>
  <c r="AN185" i="8" s="1"/>
  <c r="AO185" i="8" s="1"/>
  <c r="AB185" i="4" s="1"/>
  <c r="AQ166" i="8"/>
  <c r="AR166" i="8" s="1"/>
  <c r="AS166" i="8" s="1"/>
  <c r="AT166" i="8" s="1"/>
  <c r="AU166" i="8" s="1"/>
  <c r="AC166" i="4" s="1"/>
  <c r="AK166" i="8"/>
  <c r="AL166" i="8" s="1"/>
  <c r="AM166" i="8" s="1"/>
  <c r="AN166" i="8" s="1"/>
  <c r="AO166" i="8" s="1"/>
  <c r="AB166" i="4" s="1"/>
  <c r="AQ105" i="8"/>
  <c r="AR105" i="8" s="1"/>
  <c r="AS105" i="8" s="1"/>
  <c r="AT105" i="8" s="1"/>
  <c r="AU105" i="8" s="1"/>
  <c r="AC105" i="4" s="1"/>
  <c r="AK105" i="8"/>
  <c r="AL105" i="8" s="1"/>
  <c r="AM105" i="8" s="1"/>
  <c r="AN105" i="8" s="1"/>
  <c r="AO105" i="8" s="1"/>
  <c r="AB105" i="4" s="1"/>
  <c r="AK80" i="8"/>
  <c r="AL80" i="8" s="1"/>
  <c r="AM80" i="8" s="1"/>
  <c r="AN80" i="8" s="1"/>
  <c r="AO80" i="8" s="1"/>
  <c r="AB80" i="4" s="1"/>
  <c r="AQ80" i="8"/>
  <c r="AR80" i="8" s="1"/>
  <c r="AS80" i="8" s="1"/>
  <c r="AT80" i="8" s="1"/>
  <c r="AU80" i="8" s="1"/>
  <c r="AC80" i="4" s="1"/>
  <c r="AQ56" i="8"/>
  <c r="AR56" i="8" s="1"/>
  <c r="AS56" i="8" s="1"/>
  <c r="AT56" i="8" s="1"/>
  <c r="AU56" i="8" s="1"/>
  <c r="AC56" i="4" s="1"/>
  <c r="AK56" i="8"/>
  <c r="AL56" i="8" s="1"/>
  <c r="AM56" i="8" s="1"/>
  <c r="AN56" i="8" s="1"/>
  <c r="AO56" i="8" s="1"/>
  <c r="AB56" i="4" s="1"/>
  <c r="AQ71" i="8"/>
  <c r="AR71" i="8" s="1"/>
  <c r="AS71" i="8" s="1"/>
  <c r="AT71" i="8" s="1"/>
  <c r="AU71" i="8" s="1"/>
  <c r="AC71" i="4" s="1"/>
  <c r="AK71" i="8"/>
  <c r="AL71" i="8" s="1"/>
  <c r="AM71" i="8" s="1"/>
  <c r="AN71" i="8" s="1"/>
  <c r="AO71" i="8" s="1"/>
  <c r="AB71" i="4" s="1"/>
  <c r="AC302" i="8"/>
  <c r="AD302" i="8" s="1"/>
  <c r="Z302" i="4" s="1"/>
  <c r="AE302" i="8"/>
  <c r="AF302" i="8" s="1"/>
  <c r="AA302" i="4" s="1"/>
  <c r="AI307" i="8"/>
  <c r="AJ307" i="8"/>
  <c r="AP307" i="8"/>
  <c r="AI278" i="8"/>
  <c r="AJ278" i="8"/>
  <c r="AP278" i="8"/>
  <c r="AP292" i="8"/>
  <c r="AI292" i="8"/>
  <c r="AJ292" i="8"/>
  <c r="AC157" i="8"/>
  <c r="AD157" i="8" s="1"/>
  <c r="Z157" i="4" s="1"/>
  <c r="AE157" i="8"/>
  <c r="AF157" i="8" s="1"/>
  <c r="AA157" i="4" s="1"/>
  <c r="AE106" i="8"/>
  <c r="AF106" i="8" s="1"/>
  <c r="AA106" i="4" s="1"/>
  <c r="AC106" i="8"/>
  <c r="AD106" i="8" s="1"/>
  <c r="Z106" i="4" s="1"/>
  <c r="AC66" i="8"/>
  <c r="AD66" i="8" s="1"/>
  <c r="Z66" i="4" s="1"/>
  <c r="AE66" i="8"/>
  <c r="AF66" i="8" s="1"/>
  <c r="AA66" i="4" s="1"/>
  <c r="AC148" i="8"/>
  <c r="AD148" i="8" s="1"/>
  <c r="Z148" i="4" s="1"/>
  <c r="AE148" i="8"/>
  <c r="AF148" i="8" s="1"/>
  <c r="AA148" i="4" s="1"/>
  <c r="AQ116" i="8"/>
  <c r="AR116" i="8" s="1"/>
  <c r="AS116" i="8" s="1"/>
  <c r="AT116" i="8" s="1"/>
  <c r="AU116" i="8" s="1"/>
  <c r="AC116" i="4" s="1"/>
  <c r="AK116" i="8"/>
  <c r="AL116" i="8" s="1"/>
  <c r="AM116" i="8" s="1"/>
  <c r="AN116" i="8" s="1"/>
  <c r="AO116" i="8" s="1"/>
  <c r="AB116" i="4" s="1"/>
  <c r="AQ210" i="8"/>
  <c r="AR210" i="8" s="1"/>
  <c r="AS210" i="8" s="1"/>
  <c r="AT210" i="8" s="1"/>
  <c r="AU210" i="8" s="1"/>
  <c r="AC210" i="4" s="1"/>
  <c r="AK210" i="8"/>
  <c r="AL210" i="8" s="1"/>
  <c r="AM210" i="8" s="1"/>
  <c r="AN210" i="8" s="1"/>
  <c r="AO210" i="8" s="1"/>
  <c r="AB210" i="4" s="1"/>
  <c r="AQ259" i="8"/>
  <c r="AR259" i="8" s="1"/>
  <c r="AS259" i="8" s="1"/>
  <c r="AT259" i="8" s="1"/>
  <c r="AU259" i="8" s="1"/>
  <c r="AC259" i="4" s="1"/>
  <c r="AK259" i="8"/>
  <c r="AL259" i="8" s="1"/>
  <c r="AM259" i="8" s="1"/>
  <c r="AN259" i="8" s="1"/>
  <c r="AO259" i="8" s="1"/>
  <c r="AB259" i="4" s="1"/>
  <c r="AQ231" i="8"/>
  <c r="AR231" i="8" s="1"/>
  <c r="AS231" i="8" s="1"/>
  <c r="AT231" i="8" s="1"/>
  <c r="AU231" i="8" s="1"/>
  <c r="AC231" i="4" s="1"/>
  <c r="AK231" i="8"/>
  <c r="AL231" i="8" s="1"/>
  <c r="AM231" i="8" s="1"/>
  <c r="AN231" i="8" s="1"/>
  <c r="AO231" i="8" s="1"/>
  <c r="AB231" i="4" s="1"/>
  <c r="AQ131" i="8"/>
  <c r="AR131" i="8" s="1"/>
  <c r="AS131" i="8" s="1"/>
  <c r="AT131" i="8" s="1"/>
  <c r="AU131" i="8" s="1"/>
  <c r="AC131" i="4" s="1"/>
  <c r="AK131" i="8"/>
  <c r="AL131" i="8" s="1"/>
  <c r="AM131" i="8" s="1"/>
  <c r="AN131" i="8" s="1"/>
  <c r="AO131" i="8" s="1"/>
  <c r="AB131" i="4" s="1"/>
  <c r="AK147" i="8"/>
  <c r="AL147" i="8" s="1"/>
  <c r="AM147" i="8" s="1"/>
  <c r="AN147" i="8" s="1"/>
  <c r="AO147" i="8" s="1"/>
  <c r="AB147" i="4" s="1"/>
  <c r="AQ147" i="8"/>
  <c r="AR147" i="8" s="1"/>
  <c r="AS147" i="8" s="1"/>
  <c r="AT147" i="8" s="1"/>
  <c r="AU147" i="8" s="1"/>
  <c r="AC147" i="4" s="1"/>
  <c r="AQ290" i="8"/>
  <c r="AR290" i="8" s="1"/>
  <c r="AS290" i="8" s="1"/>
  <c r="AT290" i="8" s="1"/>
  <c r="AU290" i="8" s="1"/>
  <c r="AC290" i="4" s="1"/>
  <c r="AK290" i="8"/>
  <c r="AL290" i="8" s="1"/>
  <c r="AM290" i="8" s="1"/>
  <c r="AN290" i="8" s="1"/>
  <c r="AO290" i="8" s="1"/>
  <c r="AB290" i="4" s="1"/>
  <c r="AQ215" i="8"/>
  <c r="AR215" i="8" s="1"/>
  <c r="AS215" i="8" s="1"/>
  <c r="AT215" i="8" s="1"/>
  <c r="AU215" i="8" s="1"/>
  <c r="AC215" i="4" s="1"/>
  <c r="AK215" i="8"/>
  <c r="AL215" i="8" s="1"/>
  <c r="AM215" i="8" s="1"/>
  <c r="AN215" i="8" s="1"/>
  <c r="AO215" i="8" s="1"/>
  <c r="AB215" i="4" s="1"/>
  <c r="AK177" i="8"/>
  <c r="AL177" i="8" s="1"/>
  <c r="AM177" i="8" s="1"/>
  <c r="AN177" i="8" s="1"/>
  <c r="AO177" i="8" s="1"/>
  <c r="AB177" i="4" s="1"/>
  <c r="AQ177" i="8"/>
  <c r="AR177" i="8" s="1"/>
  <c r="AS177" i="8" s="1"/>
  <c r="AT177" i="8" s="1"/>
  <c r="AU177" i="8" s="1"/>
  <c r="AC177" i="4" s="1"/>
  <c r="AQ234" i="8"/>
  <c r="AR234" i="8" s="1"/>
  <c r="AS234" i="8" s="1"/>
  <c r="AT234" i="8" s="1"/>
  <c r="AU234" i="8" s="1"/>
  <c r="AC234" i="4" s="1"/>
  <c r="AK234" i="8"/>
  <c r="AL234" i="8" s="1"/>
  <c r="AM234" i="8" s="1"/>
  <c r="AN234" i="8" s="1"/>
  <c r="AO234" i="8" s="1"/>
  <c r="AB234" i="4" s="1"/>
  <c r="AK243" i="8"/>
  <c r="AL243" i="8" s="1"/>
  <c r="AM243" i="8" s="1"/>
  <c r="AN243" i="8" s="1"/>
  <c r="AO243" i="8" s="1"/>
  <c r="AB243" i="4" s="1"/>
  <c r="AQ243" i="8"/>
  <c r="AR243" i="8" s="1"/>
  <c r="AS243" i="8" s="1"/>
  <c r="AT243" i="8" s="1"/>
  <c r="AU243" i="8" s="1"/>
  <c r="AC243" i="4" s="1"/>
  <c r="AQ273" i="8"/>
  <c r="AR273" i="8" s="1"/>
  <c r="AS273" i="8" s="1"/>
  <c r="AT273" i="8" s="1"/>
  <c r="AU273" i="8" s="1"/>
  <c r="AC273" i="4" s="1"/>
  <c r="AK273" i="8"/>
  <c r="AL273" i="8" s="1"/>
  <c r="AM273" i="8" s="1"/>
  <c r="AN273" i="8" s="1"/>
  <c r="AO273" i="8" s="1"/>
  <c r="AB273" i="4" s="1"/>
  <c r="AQ249" i="8"/>
  <c r="AR249" i="8" s="1"/>
  <c r="AS249" i="8" s="1"/>
  <c r="AT249" i="8" s="1"/>
  <c r="AU249" i="8" s="1"/>
  <c r="AC249" i="4" s="1"/>
  <c r="AK249" i="8"/>
  <c r="AL249" i="8" s="1"/>
  <c r="AM249" i="8" s="1"/>
  <c r="AN249" i="8" s="1"/>
  <c r="AO249" i="8" s="1"/>
  <c r="AB249" i="4" s="1"/>
  <c r="AK217" i="8"/>
  <c r="AL217" i="8" s="1"/>
  <c r="AM217" i="8" s="1"/>
  <c r="AN217" i="8" s="1"/>
  <c r="AO217" i="8" s="1"/>
  <c r="AB217" i="4" s="1"/>
  <c r="AQ217" i="8"/>
  <c r="AR217" i="8" s="1"/>
  <c r="AS217" i="8" s="1"/>
  <c r="AT217" i="8" s="1"/>
  <c r="AU217" i="8" s="1"/>
  <c r="AC217" i="4" s="1"/>
  <c r="AE115" i="8"/>
  <c r="AF115" i="8" s="1"/>
  <c r="AA115" i="4" s="1"/>
  <c r="AC115" i="8"/>
  <c r="AD115" i="8" s="1"/>
  <c r="Z115" i="4" s="1"/>
  <c r="AC244" i="8"/>
  <c r="AD244" i="8" s="1"/>
  <c r="Z244" i="4" s="1"/>
  <c r="AE244" i="8"/>
  <c r="AF244" i="8" s="1"/>
  <c r="AA244" i="4" s="1"/>
  <c r="AK132" i="8"/>
  <c r="AL132" i="8" s="1"/>
  <c r="AM132" i="8" s="1"/>
  <c r="AN132" i="8" s="1"/>
  <c r="AO132" i="8" s="1"/>
  <c r="AB132" i="4" s="1"/>
  <c r="AQ132" i="8"/>
  <c r="AR132" i="8" s="1"/>
  <c r="AS132" i="8" s="1"/>
  <c r="AT132" i="8" s="1"/>
  <c r="AU132" i="8" s="1"/>
  <c r="AC132" i="4" s="1"/>
  <c r="AK76" i="8"/>
  <c r="AL76" i="8" s="1"/>
  <c r="AM76" i="8" s="1"/>
  <c r="AN76" i="8" s="1"/>
  <c r="AO76" i="8" s="1"/>
  <c r="AB76" i="4" s="1"/>
  <c r="AQ76" i="8"/>
  <c r="AR76" i="8" s="1"/>
  <c r="AS76" i="8" s="1"/>
  <c r="AT76" i="8" s="1"/>
  <c r="AU76" i="8" s="1"/>
  <c r="AC76" i="4" s="1"/>
  <c r="AQ63" i="8"/>
  <c r="AR63" i="8" s="1"/>
  <c r="AS63" i="8" s="1"/>
  <c r="AT63" i="8" s="1"/>
  <c r="AU63" i="8" s="1"/>
  <c r="AC63" i="4" s="1"/>
  <c r="AK63" i="8"/>
  <c r="AL63" i="8" s="1"/>
  <c r="AM63" i="8" s="1"/>
  <c r="AN63" i="8" s="1"/>
  <c r="AO63" i="8" s="1"/>
  <c r="AB63" i="4" s="1"/>
  <c r="AQ238" i="8"/>
  <c r="AR238" i="8" s="1"/>
  <c r="AS238" i="8" s="1"/>
  <c r="AT238" i="8" s="1"/>
  <c r="AU238" i="8" s="1"/>
  <c r="AC238" i="4" s="1"/>
  <c r="AK238" i="8"/>
  <c r="AL238" i="8" s="1"/>
  <c r="AM238" i="8" s="1"/>
  <c r="AN238" i="8" s="1"/>
  <c r="AO238" i="8" s="1"/>
  <c r="AB238" i="4" s="1"/>
  <c r="AK145" i="8"/>
  <c r="AL145" i="8" s="1"/>
  <c r="AM145" i="8" s="1"/>
  <c r="AN145" i="8" s="1"/>
  <c r="AO145" i="8" s="1"/>
  <c r="AB145" i="4" s="1"/>
  <c r="AQ145" i="8"/>
  <c r="AR145" i="8" s="1"/>
  <c r="AS145" i="8" s="1"/>
  <c r="AT145" i="8" s="1"/>
  <c r="AU145" i="8" s="1"/>
  <c r="AC145" i="4" s="1"/>
  <c r="AQ150" i="8"/>
  <c r="AR150" i="8" s="1"/>
  <c r="AS150" i="8" s="1"/>
  <c r="AT150" i="8" s="1"/>
  <c r="AU150" i="8" s="1"/>
  <c r="AC150" i="4" s="1"/>
  <c r="AK150" i="8"/>
  <c r="AL150" i="8" s="1"/>
  <c r="AM150" i="8" s="1"/>
  <c r="AN150" i="8" s="1"/>
  <c r="AO150" i="8" s="1"/>
  <c r="AB150" i="4" s="1"/>
  <c r="AK67" i="8"/>
  <c r="AL67" i="8" s="1"/>
  <c r="AM67" i="8" s="1"/>
  <c r="AN67" i="8" s="1"/>
  <c r="AO67" i="8" s="1"/>
  <c r="AB67" i="4" s="1"/>
  <c r="AQ67" i="8"/>
  <c r="AR67" i="8" s="1"/>
  <c r="AS67" i="8" s="1"/>
  <c r="AT67" i="8" s="1"/>
  <c r="AU67" i="8" s="1"/>
  <c r="AC67" i="4" s="1"/>
  <c r="AQ157" i="8"/>
  <c r="AR157" i="8" s="1"/>
  <c r="AS157" i="8" s="1"/>
  <c r="AT157" i="8" s="1"/>
  <c r="AU157" i="8" s="1"/>
  <c r="AC157" i="4" s="1"/>
  <c r="AK157" i="8"/>
  <c r="AL157" i="8" s="1"/>
  <c r="AM157" i="8" s="1"/>
  <c r="AN157" i="8" s="1"/>
  <c r="AO157" i="8" s="1"/>
  <c r="AB157" i="4" s="1"/>
  <c r="AK304" i="8"/>
  <c r="AL304" i="8" s="1"/>
  <c r="AM304" i="8" s="1"/>
  <c r="AN304" i="8" s="1"/>
  <c r="AO304" i="8" s="1"/>
  <c r="AB304" i="4" s="1"/>
  <c r="AQ304" i="8"/>
  <c r="AR304" i="8" s="1"/>
  <c r="AS304" i="8" s="1"/>
  <c r="AT304" i="8" s="1"/>
  <c r="AU304" i="8" s="1"/>
  <c r="AC304" i="4" s="1"/>
  <c r="AK90" i="8"/>
  <c r="AL90" i="8" s="1"/>
  <c r="AM90" i="8" s="1"/>
  <c r="AN90" i="8" s="1"/>
  <c r="AO90" i="8" s="1"/>
  <c r="AB90" i="4" s="1"/>
  <c r="AQ90" i="8"/>
  <c r="AR90" i="8" s="1"/>
  <c r="AS90" i="8" s="1"/>
  <c r="AT90" i="8" s="1"/>
  <c r="AU90" i="8" s="1"/>
  <c r="AC90" i="4" s="1"/>
  <c r="AQ72" i="8"/>
  <c r="AR72" i="8" s="1"/>
  <c r="AS72" i="8" s="1"/>
  <c r="AT72" i="8" s="1"/>
  <c r="AU72" i="8" s="1"/>
  <c r="AC72" i="4" s="1"/>
  <c r="AK72" i="8"/>
  <c r="AL72" i="8" s="1"/>
  <c r="AM72" i="8" s="1"/>
  <c r="AN72" i="8" s="1"/>
  <c r="AO72" i="8" s="1"/>
  <c r="AB72" i="4" s="1"/>
  <c r="AQ39" i="8"/>
  <c r="AR39" i="8" s="1"/>
  <c r="AS39" i="8" s="1"/>
  <c r="AT39" i="8" s="1"/>
  <c r="AU39" i="8" s="1"/>
  <c r="AC39" i="4" s="1"/>
  <c r="AK39" i="8"/>
  <c r="AL39" i="8" s="1"/>
  <c r="AM39" i="8" s="1"/>
  <c r="AN39" i="8" s="1"/>
  <c r="AO39" i="8" s="1"/>
  <c r="AB39" i="4" s="1"/>
  <c r="AE286" i="8"/>
  <c r="AF286" i="8" s="1"/>
  <c r="AA286" i="4" s="1"/>
  <c r="AC286" i="8"/>
  <c r="AD286" i="8" s="1"/>
  <c r="Z286" i="4" s="1"/>
  <c r="AQ178" i="8"/>
  <c r="AR178" i="8" s="1"/>
  <c r="AS178" i="8" s="1"/>
  <c r="AT178" i="8" s="1"/>
  <c r="AU178" i="8" s="1"/>
  <c r="AC178" i="4" s="1"/>
  <c r="AK178" i="8"/>
  <c r="AL178" i="8" s="1"/>
  <c r="AM178" i="8" s="1"/>
  <c r="AN178" i="8" s="1"/>
  <c r="AO178" i="8" s="1"/>
  <c r="AB178" i="4" s="1"/>
  <c r="AC105" i="8"/>
  <c r="AD105" i="8" s="1"/>
  <c r="Z105" i="4" s="1"/>
  <c r="AE105" i="8"/>
  <c r="AF105" i="8" s="1"/>
  <c r="AA105" i="4" s="1"/>
  <c r="AE68" i="8"/>
  <c r="AF68" i="8" s="1"/>
  <c r="AA68" i="4" s="1"/>
  <c r="AC68" i="8"/>
  <c r="AD68" i="8" s="1"/>
  <c r="Z68" i="4" s="1"/>
  <c r="AC268" i="8"/>
  <c r="AD268" i="8" s="1"/>
  <c r="Z268" i="4" s="1"/>
  <c r="AE268" i="8"/>
  <c r="AF268" i="8" s="1"/>
  <c r="AA268" i="4" s="1"/>
  <c r="AE165" i="8"/>
  <c r="AF165" i="8" s="1"/>
  <c r="AA165" i="4" s="1"/>
  <c r="AC165" i="8"/>
  <c r="AD165" i="8" s="1"/>
  <c r="Z165" i="4" s="1"/>
  <c r="AE241" i="8"/>
  <c r="AF241" i="8" s="1"/>
  <c r="AA241" i="4" s="1"/>
  <c r="AC241" i="8"/>
  <c r="AD241" i="8" s="1"/>
  <c r="Z241" i="4" s="1"/>
  <c r="AC104" i="8"/>
  <c r="AD104" i="8" s="1"/>
  <c r="Z104" i="4" s="1"/>
  <c r="AE104" i="8"/>
  <c r="AF104" i="8" s="1"/>
  <c r="AA104" i="4" s="1"/>
  <c r="AK69" i="8"/>
  <c r="AL69" i="8" s="1"/>
  <c r="AM69" i="8" s="1"/>
  <c r="AN69" i="8" s="1"/>
  <c r="AO69" i="8" s="1"/>
  <c r="AB69" i="4" s="1"/>
  <c r="AQ69" i="8"/>
  <c r="AR69" i="8" s="1"/>
  <c r="AS69" i="8" s="1"/>
  <c r="AT69" i="8" s="1"/>
  <c r="AU69" i="8" s="1"/>
  <c r="AC69" i="4" s="1"/>
  <c r="AK274" i="8"/>
  <c r="AL274" i="8" s="1"/>
  <c r="AM274" i="8" s="1"/>
  <c r="AN274" i="8" s="1"/>
  <c r="AO274" i="8" s="1"/>
  <c r="AB274" i="4" s="1"/>
  <c r="AQ274" i="8"/>
  <c r="AR274" i="8" s="1"/>
  <c r="AS274" i="8" s="1"/>
  <c r="AT274" i="8" s="1"/>
  <c r="AU274" i="8" s="1"/>
  <c r="AC274" i="4" s="1"/>
  <c r="AQ203" i="8"/>
  <c r="AR203" i="8" s="1"/>
  <c r="AS203" i="8" s="1"/>
  <c r="AT203" i="8" s="1"/>
  <c r="AU203" i="8" s="1"/>
  <c r="AC203" i="4" s="1"/>
  <c r="AK203" i="8"/>
  <c r="AL203" i="8" s="1"/>
  <c r="AM203" i="8" s="1"/>
  <c r="AN203" i="8" s="1"/>
  <c r="AO203" i="8" s="1"/>
  <c r="AB203" i="4" s="1"/>
  <c r="AK270" i="8"/>
  <c r="AL270" i="8" s="1"/>
  <c r="AM270" i="8" s="1"/>
  <c r="AN270" i="8" s="1"/>
  <c r="AO270" i="8" s="1"/>
  <c r="AB270" i="4" s="1"/>
  <c r="AQ270" i="8"/>
  <c r="AR270" i="8" s="1"/>
  <c r="AS270" i="8" s="1"/>
  <c r="AT270" i="8" s="1"/>
  <c r="AU270" i="8" s="1"/>
  <c r="AC270" i="4" s="1"/>
  <c r="AK295" i="8"/>
  <c r="AL295" i="8" s="1"/>
  <c r="AM295" i="8" s="1"/>
  <c r="AN295" i="8" s="1"/>
  <c r="AO295" i="8" s="1"/>
  <c r="AB295" i="4" s="1"/>
  <c r="AQ295" i="8"/>
  <c r="AR295" i="8" s="1"/>
  <c r="AS295" i="8" s="1"/>
  <c r="AT295" i="8" s="1"/>
  <c r="AU295" i="8" s="1"/>
  <c r="AC295" i="4" s="1"/>
  <c r="AQ143" i="8"/>
  <c r="AR143" i="8" s="1"/>
  <c r="AS143" i="8" s="1"/>
  <c r="AT143" i="8" s="1"/>
  <c r="AU143" i="8" s="1"/>
  <c r="AC143" i="4" s="1"/>
  <c r="AK143" i="8"/>
  <c r="AL143" i="8" s="1"/>
  <c r="AM143" i="8" s="1"/>
  <c r="AN143" i="8" s="1"/>
  <c r="AO143" i="8" s="1"/>
  <c r="AB143" i="4" s="1"/>
  <c r="AK237" i="8"/>
  <c r="AL237" i="8" s="1"/>
  <c r="AM237" i="8" s="1"/>
  <c r="AN237" i="8" s="1"/>
  <c r="AO237" i="8" s="1"/>
  <c r="AB237" i="4" s="1"/>
  <c r="AQ237" i="8"/>
  <c r="AR237" i="8" s="1"/>
  <c r="AS237" i="8" s="1"/>
  <c r="AT237" i="8" s="1"/>
  <c r="AU237" i="8" s="1"/>
  <c r="AC237" i="4" s="1"/>
  <c r="AQ195" i="8"/>
  <c r="AR195" i="8" s="1"/>
  <c r="AS195" i="8" s="1"/>
  <c r="AT195" i="8" s="1"/>
  <c r="AU195" i="8" s="1"/>
  <c r="AC195" i="4" s="1"/>
  <c r="AK195" i="8"/>
  <c r="AL195" i="8" s="1"/>
  <c r="AM195" i="8" s="1"/>
  <c r="AN195" i="8" s="1"/>
  <c r="AO195" i="8" s="1"/>
  <c r="AB195" i="4" s="1"/>
  <c r="AQ109" i="8"/>
  <c r="AR109" i="8" s="1"/>
  <c r="AS109" i="8" s="1"/>
  <c r="AT109" i="8" s="1"/>
  <c r="AU109" i="8" s="1"/>
  <c r="AC109" i="4" s="1"/>
  <c r="AK109" i="8"/>
  <c r="AL109" i="8" s="1"/>
  <c r="AM109" i="8" s="1"/>
  <c r="AN109" i="8" s="1"/>
  <c r="AO109" i="8" s="1"/>
  <c r="AB109" i="4" s="1"/>
  <c r="AQ260" i="8"/>
  <c r="AR260" i="8" s="1"/>
  <c r="AS260" i="8" s="1"/>
  <c r="AT260" i="8" s="1"/>
  <c r="AU260" i="8" s="1"/>
  <c r="AC260" i="4" s="1"/>
  <c r="AK260" i="8"/>
  <c r="AL260" i="8" s="1"/>
  <c r="AM260" i="8" s="1"/>
  <c r="AN260" i="8" s="1"/>
  <c r="AO260" i="8" s="1"/>
  <c r="AB260" i="4" s="1"/>
  <c r="AQ190" i="8"/>
  <c r="AR190" i="8" s="1"/>
  <c r="AS190" i="8" s="1"/>
  <c r="AT190" i="8" s="1"/>
  <c r="AU190" i="8" s="1"/>
  <c r="AC190" i="4" s="1"/>
  <c r="AK190" i="8"/>
  <c r="AL190" i="8" s="1"/>
  <c r="AM190" i="8" s="1"/>
  <c r="AN190" i="8" s="1"/>
  <c r="AO190" i="8" s="1"/>
  <c r="AB190" i="4" s="1"/>
  <c r="AQ199" i="8"/>
  <c r="AR199" i="8" s="1"/>
  <c r="AS199" i="8" s="1"/>
  <c r="AT199" i="8" s="1"/>
  <c r="AU199" i="8" s="1"/>
  <c r="AC199" i="4" s="1"/>
  <c r="AK199" i="8"/>
  <c r="AL199" i="8" s="1"/>
  <c r="AM199" i="8" s="1"/>
  <c r="AN199" i="8" s="1"/>
  <c r="AO199" i="8" s="1"/>
  <c r="AB199" i="4" s="1"/>
  <c r="AQ66" i="8"/>
  <c r="AR66" i="8" s="1"/>
  <c r="AS66" i="8" s="1"/>
  <c r="AT66" i="8" s="1"/>
  <c r="AU66" i="8" s="1"/>
  <c r="AC66" i="4" s="1"/>
  <c r="AK66" i="8"/>
  <c r="AL66" i="8" s="1"/>
  <c r="AM66" i="8" s="1"/>
  <c r="AN66" i="8" s="1"/>
  <c r="AO66" i="8" s="1"/>
  <c r="AB66" i="4" s="1"/>
  <c r="AK78" i="8"/>
  <c r="AL78" i="8" s="1"/>
  <c r="AM78" i="8" s="1"/>
  <c r="AN78" i="8" s="1"/>
  <c r="AO78" i="8" s="1"/>
  <c r="AB78" i="4" s="1"/>
  <c r="AQ78" i="8"/>
  <c r="AR78" i="8" s="1"/>
  <c r="AS78" i="8" s="1"/>
  <c r="AT78" i="8" s="1"/>
  <c r="AU78" i="8" s="1"/>
  <c r="AC78" i="4" s="1"/>
  <c r="AK92" i="8"/>
  <c r="AL92" i="8" s="1"/>
  <c r="AM92" i="8" s="1"/>
  <c r="AN92" i="8" s="1"/>
  <c r="AO92" i="8" s="1"/>
  <c r="AB92" i="4" s="1"/>
  <c r="AQ92" i="8"/>
  <c r="AR92" i="8" s="1"/>
  <c r="AS92" i="8" s="1"/>
  <c r="AT92" i="8" s="1"/>
  <c r="AU92" i="8" s="1"/>
  <c r="AC92" i="4" s="1"/>
  <c r="AQ86" i="8"/>
  <c r="AR86" i="8" s="1"/>
  <c r="AS86" i="8" s="1"/>
  <c r="AT86" i="8" s="1"/>
  <c r="AU86" i="8" s="1"/>
  <c r="AC86" i="4" s="1"/>
  <c r="AK86" i="8"/>
  <c r="AL86" i="8" s="1"/>
  <c r="AM86" i="8" s="1"/>
  <c r="AN86" i="8" s="1"/>
  <c r="AO86" i="8" s="1"/>
  <c r="AB86" i="4" s="1"/>
  <c r="AQ165" i="8"/>
  <c r="AR165" i="8" s="1"/>
  <c r="AS165" i="8" s="1"/>
  <c r="AT165" i="8" s="1"/>
  <c r="AU165" i="8" s="1"/>
  <c r="AC165" i="4" s="1"/>
  <c r="AK165" i="8"/>
  <c r="AL165" i="8" s="1"/>
  <c r="AM165" i="8" s="1"/>
  <c r="AN165" i="8" s="1"/>
  <c r="AO165" i="8" s="1"/>
  <c r="AB165" i="4" s="1"/>
  <c r="AK289" i="8"/>
  <c r="AL289" i="8" s="1"/>
  <c r="AM289" i="8" s="1"/>
  <c r="AN289" i="8" s="1"/>
  <c r="AO289" i="8" s="1"/>
  <c r="AB289" i="4" s="1"/>
  <c r="AQ289" i="8"/>
  <c r="AR289" i="8" s="1"/>
  <c r="AS289" i="8" s="1"/>
  <c r="AT289" i="8" s="1"/>
  <c r="AU289" i="8" s="1"/>
  <c r="AC289" i="4" s="1"/>
  <c r="AE235" i="8"/>
  <c r="AF235" i="8" s="1"/>
  <c r="AA235" i="4" s="1"/>
  <c r="AC235" i="8"/>
  <c r="AD235" i="8" s="1"/>
  <c r="Z235" i="4" s="1"/>
  <c r="AC142" i="8"/>
  <c r="AD142" i="8" s="1"/>
  <c r="Z142" i="4" s="1"/>
  <c r="AE142" i="8"/>
  <c r="AF142" i="8" s="1"/>
  <c r="AA142" i="4" s="1"/>
  <c r="AC297" i="8"/>
  <c r="AD297" i="8" s="1"/>
  <c r="Z297" i="4" s="1"/>
  <c r="AE297" i="8"/>
  <c r="AF297" i="8" s="1"/>
  <c r="AA297" i="4" s="1"/>
  <c r="AK279" i="8"/>
  <c r="AL279" i="8" s="1"/>
  <c r="AM279" i="8" s="1"/>
  <c r="AN279" i="8" s="1"/>
  <c r="AO279" i="8" s="1"/>
  <c r="AB279" i="4" s="1"/>
  <c r="AQ279" i="8"/>
  <c r="AR279" i="8" s="1"/>
  <c r="AS279" i="8" s="1"/>
  <c r="AT279" i="8" s="1"/>
  <c r="AU279" i="8" s="1"/>
  <c r="AC279" i="4" s="1"/>
  <c r="AQ169" i="8"/>
  <c r="AR169" i="8" s="1"/>
  <c r="AS169" i="8" s="1"/>
  <c r="AT169" i="8" s="1"/>
  <c r="AU169" i="8" s="1"/>
  <c r="AC169" i="4" s="1"/>
  <c r="AK169" i="8"/>
  <c r="AL169" i="8" s="1"/>
  <c r="AM169" i="8" s="1"/>
  <c r="AN169" i="8" s="1"/>
  <c r="AO169" i="8" s="1"/>
  <c r="AB169" i="4" s="1"/>
  <c r="AQ98" i="8"/>
  <c r="AR98" i="8" s="1"/>
  <c r="AS98" i="8" s="1"/>
  <c r="AT98" i="8" s="1"/>
  <c r="AU98" i="8" s="1"/>
  <c r="AC98" i="4" s="1"/>
  <c r="AK98" i="8"/>
  <c r="AL98" i="8" s="1"/>
  <c r="AM98" i="8" s="1"/>
  <c r="AN98" i="8" s="1"/>
  <c r="AO98" i="8" s="1"/>
  <c r="AB98" i="4" s="1"/>
  <c r="AK94" i="8"/>
  <c r="AL94" i="8" s="1"/>
  <c r="AM94" i="8" s="1"/>
  <c r="AN94" i="8" s="1"/>
  <c r="AO94" i="8" s="1"/>
  <c r="AB94" i="4" s="1"/>
  <c r="AQ94" i="8"/>
  <c r="AR94" i="8" s="1"/>
  <c r="AS94" i="8" s="1"/>
  <c r="AT94" i="8" s="1"/>
  <c r="AU94" i="8" s="1"/>
  <c r="AC94" i="4" s="1"/>
  <c r="AQ64" i="8"/>
  <c r="AR64" i="8" s="1"/>
  <c r="AS64" i="8" s="1"/>
  <c r="AT64" i="8" s="1"/>
  <c r="AU64" i="8" s="1"/>
  <c r="AC64" i="4" s="1"/>
  <c r="AK64" i="8"/>
  <c r="AL64" i="8" s="1"/>
  <c r="AM64" i="8" s="1"/>
  <c r="AN64" i="8" s="1"/>
  <c r="AO64" i="8" s="1"/>
  <c r="AB64" i="4" s="1"/>
  <c r="AQ211" i="8"/>
  <c r="AR211" i="8" s="1"/>
  <c r="AS211" i="8" s="1"/>
  <c r="AT211" i="8" s="1"/>
  <c r="AU211" i="8" s="1"/>
  <c r="AC211" i="4" s="1"/>
  <c r="AK211" i="8"/>
  <c r="AL211" i="8" s="1"/>
  <c r="AM211" i="8" s="1"/>
  <c r="AN211" i="8" s="1"/>
  <c r="AO211" i="8" s="1"/>
  <c r="AB211" i="4" s="1"/>
  <c r="AQ153" i="8"/>
  <c r="AR153" i="8" s="1"/>
  <c r="AS153" i="8" s="1"/>
  <c r="AT153" i="8" s="1"/>
  <c r="AU153" i="8" s="1"/>
  <c r="AC153" i="4" s="1"/>
  <c r="AK153" i="8"/>
  <c r="AL153" i="8" s="1"/>
  <c r="AM153" i="8" s="1"/>
  <c r="AN153" i="8" s="1"/>
  <c r="AO153" i="8" s="1"/>
  <c r="AB153" i="4" s="1"/>
  <c r="AK253" i="8"/>
  <c r="AL253" i="8" s="1"/>
  <c r="AM253" i="8" s="1"/>
  <c r="AN253" i="8" s="1"/>
  <c r="AO253" i="8" s="1"/>
  <c r="AB253" i="4" s="1"/>
  <c r="AQ253" i="8"/>
  <c r="AR253" i="8" s="1"/>
  <c r="AS253" i="8" s="1"/>
  <c r="AT253" i="8" s="1"/>
  <c r="AU253" i="8" s="1"/>
  <c r="AC253" i="4" s="1"/>
  <c r="AK232" i="8"/>
  <c r="AL232" i="8" s="1"/>
  <c r="AM232" i="8" s="1"/>
  <c r="AN232" i="8" s="1"/>
  <c r="AO232" i="8" s="1"/>
  <c r="AB232" i="4" s="1"/>
  <c r="AQ232" i="8"/>
  <c r="AR232" i="8" s="1"/>
  <c r="AS232" i="8" s="1"/>
  <c r="AT232" i="8" s="1"/>
  <c r="AU232" i="8" s="1"/>
  <c r="AC232" i="4" s="1"/>
  <c r="AQ184" i="8"/>
  <c r="AR184" i="8" s="1"/>
  <c r="AS184" i="8" s="1"/>
  <c r="AT184" i="8" s="1"/>
  <c r="AU184" i="8" s="1"/>
  <c r="AC184" i="4" s="1"/>
  <c r="AK184" i="8"/>
  <c r="AL184" i="8" s="1"/>
  <c r="AM184" i="8" s="1"/>
  <c r="AN184" i="8" s="1"/>
  <c r="AO184" i="8" s="1"/>
  <c r="AB184" i="4" s="1"/>
  <c r="AQ163" i="8"/>
  <c r="AR163" i="8" s="1"/>
  <c r="AS163" i="8" s="1"/>
  <c r="AT163" i="8" s="1"/>
  <c r="AU163" i="8" s="1"/>
  <c r="AC163" i="4" s="1"/>
  <c r="AK163" i="8"/>
  <c r="AL163" i="8" s="1"/>
  <c r="AM163" i="8" s="1"/>
  <c r="AN163" i="8" s="1"/>
  <c r="AO163" i="8" s="1"/>
  <c r="AB163" i="4" s="1"/>
  <c r="AQ252" i="8"/>
  <c r="AR252" i="8" s="1"/>
  <c r="AS252" i="8" s="1"/>
  <c r="AT252" i="8" s="1"/>
  <c r="AU252" i="8" s="1"/>
  <c r="AC252" i="4" s="1"/>
  <c r="AK252" i="8"/>
  <c r="AL252" i="8" s="1"/>
  <c r="AM252" i="8" s="1"/>
  <c r="AN252" i="8" s="1"/>
  <c r="AO252" i="8" s="1"/>
  <c r="AB252" i="4" s="1"/>
  <c r="AK308" i="8"/>
  <c r="AL308" i="8" s="1"/>
  <c r="AM308" i="8" s="1"/>
  <c r="AN308" i="8" s="1"/>
  <c r="AO308" i="8" s="1"/>
  <c r="AB308" i="4" s="1"/>
  <c r="AQ308" i="8"/>
  <c r="AR308" i="8" s="1"/>
  <c r="AS308" i="8" s="1"/>
  <c r="AT308" i="8" s="1"/>
  <c r="AU308" i="8" s="1"/>
  <c r="AC308" i="4" s="1"/>
  <c r="AQ209" i="8"/>
  <c r="AR209" i="8" s="1"/>
  <c r="AS209" i="8" s="1"/>
  <c r="AT209" i="8" s="1"/>
  <c r="AU209" i="8" s="1"/>
  <c r="AC209" i="4" s="1"/>
  <c r="AK209" i="8"/>
  <c r="AL209" i="8" s="1"/>
  <c r="AM209" i="8" s="1"/>
  <c r="AN209" i="8" s="1"/>
  <c r="AO209" i="8" s="1"/>
  <c r="AB209" i="4" s="1"/>
  <c r="AQ50" i="8"/>
  <c r="AR50" i="8" s="1"/>
  <c r="AS50" i="8" s="1"/>
  <c r="AT50" i="8" s="1"/>
  <c r="AU50" i="8" s="1"/>
  <c r="AC50" i="4" s="1"/>
  <c r="AK50" i="8"/>
  <c r="AL50" i="8" s="1"/>
  <c r="AM50" i="8" s="1"/>
  <c r="AN50" i="8" s="1"/>
  <c r="AO50" i="8" s="1"/>
  <c r="AB50" i="4" s="1"/>
  <c r="AQ146" i="8"/>
  <c r="AR146" i="8" s="1"/>
  <c r="AS146" i="8" s="1"/>
  <c r="AT146" i="8" s="1"/>
  <c r="AU146" i="8" s="1"/>
  <c r="AC146" i="4" s="1"/>
  <c r="AK146" i="8"/>
  <c r="AL146" i="8" s="1"/>
  <c r="AM146" i="8" s="1"/>
  <c r="AN146" i="8" s="1"/>
  <c r="AO146" i="8" s="1"/>
  <c r="AB146" i="4" s="1"/>
  <c r="AQ95" i="8"/>
  <c r="AR95" i="8" s="1"/>
  <c r="AS95" i="8" s="1"/>
  <c r="AT95" i="8" s="1"/>
  <c r="AU95" i="8" s="1"/>
  <c r="AC95" i="4" s="1"/>
  <c r="AK95" i="8"/>
  <c r="AL95" i="8" s="1"/>
  <c r="AM95" i="8" s="1"/>
  <c r="AN95" i="8" s="1"/>
  <c r="AO95" i="8" s="1"/>
  <c r="AB95" i="4" s="1"/>
  <c r="Z275" i="8"/>
  <c r="AA275" i="8" s="1"/>
  <c r="AB275" i="8" s="1"/>
  <c r="AR89" i="8"/>
  <c r="AS89" i="8" s="1"/>
  <c r="AT89" i="8" s="1"/>
  <c r="AU89" i="8" s="1"/>
  <c r="AC89" i="4" s="1"/>
  <c r="Z298" i="8"/>
  <c r="AA298" i="8" s="1"/>
  <c r="AB298" i="8" s="1"/>
  <c r="Z271" i="8"/>
  <c r="AA271" i="8" s="1"/>
  <c r="AB271" i="8" s="1"/>
  <c r="Z280" i="8"/>
  <c r="AA280" i="8" s="1"/>
  <c r="AB280" i="8" s="1"/>
  <c r="Z284" i="8"/>
  <c r="AA284" i="8" s="1"/>
  <c r="AB284" i="8" s="1"/>
  <c r="AA310" i="4"/>
  <c r="AW310" i="8"/>
  <c r="P310" i="4" s="1"/>
  <c r="Z310" i="4"/>
  <c r="AV310" i="8"/>
  <c r="O310" i="4" s="1"/>
  <c r="G48" i="7"/>
  <c r="N48" i="7" s="1"/>
  <c r="Y48" i="4" s="1"/>
  <c r="L48" i="7"/>
  <c r="G35" i="7"/>
  <c r="N35" i="7" s="1"/>
  <c r="Y35" i="4" s="1"/>
  <c r="L35" i="7"/>
  <c r="G34" i="7"/>
  <c r="N34" i="7" s="1"/>
  <c r="Y34" i="4" s="1"/>
  <c r="L34" i="7"/>
  <c r="G45" i="7"/>
  <c r="N45" i="7" s="1"/>
  <c r="Y45" i="4" s="1"/>
  <c r="L45" i="7"/>
  <c r="G31" i="7"/>
  <c r="N31" i="7" s="1"/>
  <c r="Y31" i="4" s="1"/>
  <c r="L31" i="7"/>
  <c r="G18" i="7"/>
  <c r="N18" i="7" s="1"/>
  <c r="Y18" i="4" s="1"/>
  <c r="L18" i="7"/>
  <c r="G15" i="7"/>
  <c r="N15" i="7" s="1"/>
  <c r="Y15" i="4" s="1"/>
  <c r="L15" i="7"/>
  <c r="G30" i="7"/>
  <c r="N30" i="7" s="1"/>
  <c r="Y30" i="4" s="1"/>
  <c r="L30" i="7"/>
  <c r="G27" i="7"/>
  <c r="N27" i="7" s="1"/>
  <c r="Y27" i="4" s="1"/>
  <c r="L27" i="7"/>
  <c r="G21" i="7"/>
  <c r="N21" i="7" s="1"/>
  <c r="Y21" i="4" s="1"/>
  <c r="L21" i="7"/>
  <c r="G28" i="7"/>
  <c r="N28" i="7" s="1"/>
  <c r="Y28" i="4" s="1"/>
  <c r="L28" i="7"/>
  <c r="G14" i="7"/>
  <c r="N14" i="7" s="1"/>
  <c r="Y14" i="4" s="1"/>
  <c r="L14" i="7"/>
  <c r="G12" i="7"/>
  <c r="N12" i="7" s="1"/>
  <c r="Y12" i="4" s="1"/>
  <c r="L12" i="7"/>
  <c r="G22" i="7"/>
  <c r="N22" i="7" s="1"/>
  <c r="Y22" i="4" s="1"/>
  <c r="L22" i="7"/>
  <c r="G36" i="7"/>
  <c r="N36" i="7" s="1"/>
  <c r="Y36" i="4" s="1"/>
  <c r="L36" i="7"/>
  <c r="G23" i="7"/>
  <c r="N23" i="7" s="1"/>
  <c r="Y23" i="4" s="1"/>
  <c r="L23" i="7"/>
  <c r="G37" i="7"/>
  <c r="N37" i="7" s="1"/>
  <c r="Y37" i="4" s="1"/>
  <c r="L37" i="7"/>
  <c r="G29" i="7"/>
  <c r="N29" i="7" s="1"/>
  <c r="Y29" i="4" s="1"/>
  <c r="L29" i="7"/>
  <c r="G33" i="7"/>
  <c r="N33" i="7" s="1"/>
  <c r="Y33" i="4" s="1"/>
  <c r="L33" i="7"/>
  <c r="G26" i="7"/>
  <c r="N26" i="7" s="1"/>
  <c r="Y26" i="4" s="1"/>
  <c r="L26" i="7"/>
  <c r="G17" i="7"/>
  <c r="N17" i="7" s="1"/>
  <c r="Y17" i="4" s="1"/>
  <c r="L17" i="7"/>
  <c r="G46" i="7"/>
  <c r="N46" i="7" s="1"/>
  <c r="L46" i="7"/>
  <c r="G24" i="7"/>
  <c r="N24" i="7" s="1"/>
  <c r="Y24" i="4" s="1"/>
  <c r="L24" i="7"/>
  <c r="G25" i="7"/>
  <c r="N25" i="7" s="1"/>
  <c r="Y25" i="4" s="1"/>
  <c r="L25" i="7"/>
  <c r="G20" i="7"/>
  <c r="N20" i="7" s="1"/>
  <c r="Y20" i="4" s="1"/>
  <c r="L20" i="7"/>
  <c r="G47" i="7"/>
  <c r="N47" i="7" s="1"/>
  <c r="Y47" i="4" s="1"/>
  <c r="L47" i="7"/>
  <c r="G16" i="7"/>
  <c r="N16" i="7" s="1"/>
  <c r="Y16" i="4" s="1"/>
  <c r="L16" i="7"/>
  <c r="G13" i="7"/>
  <c r="N13" i="7" s="1"/>
  <c r="Y13" i="4" s="1"/>
  <c r="L13" i="7"/>
  <c r="G11" i="7"/>
  <c r="N11" i="7" s="1"/>
  <c r="Y11" i="4" s="1"/>
  <c r="L11" i="7"/>
  <c r="G32" i="7"/>
  <c r="N32" i="7" s="1"/>
  <c r="Y32" i="4" s="1"/>
  <c r="L32" i="7"/>
  <c r="G19" i="7"/>
  <c r="N19" i="7" s="1"/>
  <c r="Y19" i="4" s="1"/>
  <c r="L19" i="7"/>
  <c r="L272" i="7"/>
  <c r="G175" i="7"/>
  <c r="N175" i="7" s="1"/>
  <c r="Y175" i="4" s="1"/>
  <c r="L175" i="7"/>
  <c r="G164" i="7"/>
  <c r="N164" i="7" s="1"/>
  <c r="Y164" i="4" s="1"/>
  <c r="L164" i="7"/>
  <c r="G162" i="7"/>
  <c r="N162" i="7" s="1"/>
  <c r="Y162" i="4" s="1"/>
  <c r="L162" i="7"/>
  <c r="G42" i="7"/>
  <c r="N42" i="7" s="1"/>
  <c r="Y42" i="4" s="1"/>
  <c r="L42" i="7"/>
  <c r="G72" i="7"/>
  <c r="N72" i="7" s="1"/>
  <c r="Y72" i="4" s="1"/>
  <c r="L72" i="7"/>
  <c r="G187" i="7"/>
  <c r="N187" i="7" s="1"/>
  <c r="Y187" i="4" s="1"/>
  <c r="L187" i="7"/>
  <c r="G186" i="7"/>
  <c r="N186" i="7" s="1"/>
  <c r="Y186" i="4" s="1"/>
  <c r="L186" i="7"/>
  <c r="G145" i="7"/>
  <c r="N145" i="7" s="1"/>
  <c r="Y145" i="4" s="1"/>
  <c r="L145" i="7"/>
  <c r="G181" i="7"/>
  <c r="N181" i="7" s="1"/>
  <c r="Y181" i="4" s="1"/>
  <c r="L181" i="7"/>
  <c r="G119" i="7"/>
  <c r="N119" i="7" s="1"/>
  <c r="Y119" i="4" s="1"/>
  <c r="L119" i="7"/>
  <c r="G222" i="7"/>
  <c r="N222" i="7" s="1"/>
  <c r="Y222" i="4" s="1"/>
  <c r="L222" i="7"/>
  <c r="G109" i="7"/>
  <c r="N109" i="7" s="1"/>
  <c r="Y109" i="4" s="1"/>
  <c r="L109" i="7"/>
  <c r="G199" i="7"/>
  <c r="N199" i="7" s="1"/>
  <c r="Y199" i="4" s="1"/>
  <c r="L199" i="7"/>
  <c r="G269" i="7"/>
  <c r="N269" i="7" s="1"/>
  <c r="Y269" i="4" s="1"/>
  <c r="L269" i="7"/>
  <c r="G110" i="7"/>
  <c r="N110" i="7" s="1"/>
  <c r="Y110" i="4" s="1"/>
  <c r="L110" i="7"/>
  <c r="G270" i="7"/>
  <c r="N270" i="7" s="1"/>
  <c r="Y270" i="4" s="1"/>
  <c r="L270" i="7"/>
  <c r="G250" i="7"/>
  <c r="N250" i="7" s="1"/>
  <c r="Y250" i="4" s="1"/>
  <c r="L250" i="7"/>
  <c r="G74" i="7"/>
  <c r="N74" i="7" s="1"/>
  <c r="Y74" i="4" s="1"/>
  <c r="L74" i="7"/>
  <c r="G78" i="7"/>
  <c r="N78" i="7" s="1"/>
  <c r="Y78" i="4" s="1"/>
  <c r="L78" i="7"/>
  <c r="G39" i="7"/>
  <c r="N39" i="7" s="1"/>
  <c r="Y39" i="4" s="1"/>
  <c r="L39" i="7"/>
  <c r="G176" i="7"/>
  <c r="N176" i="7" s="1"/>
  <c r="Y176" i="4" s="1"/>
  <c r="L176" i="7"/>
  <c r="G259" i="7"/>
  <c r="N259" i="7" s="1"/>
  <c r="Y259" i="4" s="1"/>
  <c r="L259" i="7"/>
  <c r="G130" i="7"/>
  <c r="N130" i="7" s="1"/>
  <c r="Y130" i="4" s="1"/>
  <c r="L130" i="7"/>
  <c r="G148" i="7"/>
  <c r="N148" i="7" s="1"/>
  <c r="Y148" i="4" s="1"/>
  <c r="L148" i="7"/>
  <c r="G103" i="7"/>
  <c r="N103" i="7" s="1"/>
  <c r="Y103" i="4" s="1"/>
  <c r="L103" i="7"/>
  <c r="G87" i="7"/>
  <c r="N87" i="7" s="1"/>
  <c r="Y87" i="4" s="1"/>
  <c r="L87" i="7"/>
  <c r="G75" i="7"/>
  <c r="N75" i="7" s="1"/>
  <c r="Y75" i="4" s="1"/>
  <c r="L75" i="7"/>
  <c r="G61" i="7"/>
  <c r="N61" i="7" s="1"/>
  <c r="Y61" i="4" s="1"/>
  <c r="L61" i="7"/>
  <c r="G81" i="7"/>
  <c r="N81" i="7" s="1"/>
  <c r="Y81" i="4" s="1"/>
  <c r="L81" i="7"/>
  <c r="G77" i="7"/>
  <c r="N77" i="7" s="1"/>
  <c r="Y77" i="4" s="1"/>
  <c r="L77" i="7"/>
  <c r="G218" i="7"/>
  <c r="N218" i="7" s="1"/>
  <c r="Y218" i="4" s="1"/>
  <c r="L218" i="7"/>
  <c r="G131" i="7"/>
  <c r="N131" i="7" s="1"/>
  <c r="Y131" i="4" s="1"/>
  <c r="L131" i="7"/>
  <c r="G121" i="7"/>
  <c r="N121" i="7" s="1"/>
  <c r="Y121" i="4" s="1"/>
  <c r="L121" i="7"/>
  <c r="G266" i="7"/>
  <c r="N266" i="7" s="1"/>
  <c r="Y266" i="4" s="1"/>
  <c r="L266" i="7"/>
  <c r="G211" i="7"/>
  <c r="N211" i="7" s="1"/>
  <c r="Y211" i="4" s="1"/>
  <c r="L211" i="7"/>
  <c r="G260" i="7"/>
  <c r="N260" i="7" s="1"/>
  <c r="Y260" i="4" s="1"/>
  <c r="L260" i="7"/>
  <c r="G160" i="7"/>
  <c r="N160" i="7" s="1"/>
  <c r="Y160" i="4" s="1"/>
  <c r="L160" i="7"/>
  <c r="G189" i="7"/>
  <c r="N189" i="7" s="1"/>
  <c r="Y189" i="4" s="1"/>
  <c r="L189" i="7"/>
  <c r="G80" i="7"/>
  <c r="N80" i="7" s="1"/>
  <c r="Y80" i="4" s="1"/>
  <c r="L80" i="7"/>
  <c r="G125" i="7"/>
  <c r="N125" i="7" s="1"/>
  <c r="Y125" i="4" s="1"/>
  <c r="L125" i="7"/>
  <c r="G113" i="7"/>
  <c r="N113" i="7" s="1"/>
  <c r="Y113" i="4" s="1"/>
  <c r="L113" i="7"/>
  <c r="G193" i="7"/>
  <c r="N193" i="7" s="1"/>
  <c r="Y193" i="4" s="1"/>
  <c r="L193" i="7"/>
  <c r="G297" i="7"/>
  <c r="N297" i="7" s="1"/>
  <c r="Y297" i="4" s="1"/>
  <c r="L297" i="7"/>
  <c r="G205" i="7"/>
  <c r="N205" i="7" s="1"/>
  <c r="Y205" i="4" s="1"/>
  <c r="L205" i="7"/>
  <c r="G63" i="7"/>
  <c r="N63" i="7" s="1"/>
  <c r="Y63" i="4" s="1"/>
  <c r="L63" i="7"/>
  <c r="G256" i="7"/>
  <c r="N256" i="7" s="1"/>
  <c r="Y256" i="4" s="1"/>
  <c r="L256" i="7"/>
  <c r="G192" i="7"/>
  <c r="N192" i="7" s="1"/>
  <c r="Y192" i="4" s="1"/>
  <c r="L192" i="7"/>
  <c r="G180" i="7"/>
  <c r="N180" i="7" s="1"/>
  <c r="Y180" i="4" s="1"/>
  <c r="L180" i="7"/>
  <c r="G163" i="7"/>
  <c r="N163" i="7" s="1"/>
  <c r="Y163" i="4" s="1"/>
  <c r="L163" i="7"/>
  <c r="G144" i="7"/>
  <c r="N144" i="7" s="1"/>
  <c r="Y144" i="4" s="1"/>
  <c r="L144" i="7"/>
  <c r="G239" i="7"/>
  <c r="N239" i="7" s="1"/>
  <c r="Y239" i="4" s="1"/>
  <c r="L239" i="7"/>
  <c r="G126" i="7"/>
  <c r="N126" i="7" s="1"/>
  <c r="Y126" i="4" s="1"/>
  <c r="L126" i="7"/>
  <c r="G98" i="7"/>
  <c r="N98" i="7" s="1"/>
  <c r="Y98" i="4" s="1"/>
  <c r="L98" i="7"/>
  <c r="G76" i="7"/>
  <c r="N76" i="7" s="1"/>
  <c r="Y76" i="4" s="1"/>
  <c r="L76" i="7"/>
  <c r="G60" i="7"/>
  <c r="N60" i="7" s="1"/>
  <c r="Y60" i="4" s="1"/>
  <c r="L60" i="7"/>
  <c r="G197" i="7"/>
  <c r="N197" i="7" s="1"/>
  <c r="Y197" i="4" s="1"/>
  <c r="L197" i="7"/>
  <c r="G261" i="7"/>
  <c r="N261" i="7" s="1"/>
  <c r="Y261" i="4" s="1"/>
  <c r="L261" i="7"/>
  <c r="G226" i="7"/>
  <c r="N226" i="7" s="1"/>
  <c r="Y226" i="4" s="1"/>
  <c r="L226" i="7"/>
  <c r="G150" i="7"/>
  <c r="N150" i="7" s="1"/>
  <c r="Y150" i="4" s="1"/>
  <c r="L150" i="7"/>
  <c r="G140" i="7"/>
  <c r="N140" i="7" s="1"/>
  <c r="Y140" i="4" s="1"/>
  <c r="L140" i="7"/>
  <c r="G108" i="7"/>
  <c r="N108" i="7" s="1"/>
  <c r="Y108" i="4" s="1"/>
  <c r="L108" i="7"/>
  <c r="G89" i="7"/>
  <c r="N89" i="7" s="1"/>
  <c r="Y89" i="4" s="1"/>
  <c r="L89" i="7"/>
  <c r="G73" i="7"/>
  <c r="N73" i="7" s="1"/>
  <c r="Y73" i="4" s="1"/>
  <c r="L73" i="7"/>
  <c r="G59" i="7"/>
  <c r="N59" i="7" s="1"/>
  <c r="Y59" i="4" s="1"/>
  <c r="L59" i="7"/>
  <c r="G273" i="7"/>
  <c r="N273" i="7" s="1"/>
  <c r="Y273" i="4" s="1"/>
  <c r="L273" i="7"/>
  <c r="G153" i="7"/>
  <c r="N153" i="7" s="1"/>
  <c r="Y153" i="4" s="1"/>
  <c r="L153" i="7"/>
  <c r="G212" i="7"/>
  <c r="N212" i="7" s="1"/>
  <c r="Y212" i="4" s="1"/>
  <c r="L212" i="7"/>
  <c r="G111" i="7"/>
  <c r="N111" i="7" s="1"/>
  <c r="Y111" i="4" s="1"/>
  <c r="L111" i="7"/>
  <c r="G214" i="7"/>
  <c r="N214" i="7" s="1"/>
  <c r="Y214" i="4" s="1"/>
  <c r="L214" i="7"/>
  <c r="G133" i="7"/>
  <c r="N133" i="7" s="1"/>
  <c r="Y133" i="4" s="1"/>
  <c r="L133" i="7"/>
  <c r="G185" i="7"/>
  <c r="N185" i="7" s="1"/>
  <c r="Y185" i="4" s="1"/>
  <c r="L185" i="7"/>
  <c r="G174" i="7"/>
  <c r="N174" i="7" s="1"/>
  <c r="Y174" i="4" s="1"/>
  <c r="L174" i="7"/>
  <c r="G285" i="7"/>
  <c r="N285" i="7" s="1"/>
  <c r="Y285" i="4" s="1"/>
  <c r="L285" i="7"/>
  <c r="G209" i="7"/>
  <c r="N209" i="7" s="1"/>
  <c r="Y209" i="4" s="1"/>
  <c r="L209" i="7"/>
  <c r="G68" i="7"/>
  <c r="N68" i="7" s="1"/>
  <c r="Y68" i="4" s="1"/>
  <c r="L68" i="7"/>
  <c r="G196" i="7"/>
  <c r="N196" i="7" s="1"/>
  <c r="Y196" i="4" s="1"/>
  <c r="L196" i="7"/>
  <c r="G249" i="7"/>
  <c r="N249" i="7" s="1"/>
  <c r="Y249" i="4" s="1"/>
  <c r="L249" i="7"/>
  <c r="G43" i="7"/>
  <c r="N43" i="7" s="1"/>
  <c r="Y43" i="4" s="1"/>
  <c r="L43" i="7"/>
  <c r="G207" i="7"/>
  <c r="N207" i="7" s="1"/>
  <c r="Y207" i="4" s="1"/>
  <c r="L207" i="7"/>
  <c r="G170" i="7"/>
  <c r="N170" i="7" s="1"/>
  <c r="Y170" i="4" s="1"/>
  <c r="L170" i="7"/>
  <c r="G198" i="7"/>
  <c r="N198" i="7" s="1"/>
  <c r="Y198" i="4" s="1"/>
  <c r="L198" i="7"/>
  <c r="G165" i="7"/>
  <c r="N165" i="7" s="1"/>
  <c r="Y165" i="4" s="1"/>
  <c r="L165" i="7"/>
  <c r="G135" i="7"/>
  <c r="N135" i="7" s="1"/>
  <c r="Y135" i="4" s="1"/>
  <c r="L135" i="7"/>
  <c r="G142" i="7"/>
  <c r="N142" i="7" s="1"/>
  <c r="Y142" i="4" s="1"/>
  <c r="L142" i="7"/>
  <c r="G267" i="7"/>
  <c r="N267" i="7" s="1"/>
  <c r="Y267" i="4" s="1"/>
  <c r="L267" i="7"/>
  <c r="G263" i="7"/>
  <c r="N263" i="7" s="1"/>
  <c r="Y263" i="4" s="1"/>
  <c r="L263" i="7"/>
  <c r="G301" i="7"/>
  <c r="N301" i="7" s="1"/>
  <c r="Y301" i="4" s="1"/>
  <c r="L301" i="7"/>
  <c r="G283" i="7"/>
  <c r="N283" i="7" s="1"/>
  <c r="Y283" i="4" s="1"/>
  <c r="L283" i="7"/>
  <c r="G69" i="7"/>
  <c r="N69" i="7" s="1"/>
  <c r="Y69" i="4" s="1"/>
  <c r="L69" i="7"/>
  <c r="G246" i="7"/>
  <c r="N246" i="7" s="1"/>
  <c r="Y246" i="4" s="1"/>
  <c r="L246" i="7"/>
  <c r="G262" i="7"/>
  <c r="N262" i="7" s="1"/>
  <c r="Y262" i="4" s="1"/>
  <c r="L262" i="7"/>
  <c r="G252" i="7"/>
  <c r="N252" i="7" s="1"/>
  <c r="Y252" i="4" s="1"/>
  <c r="L252" i="7"/>
  <c r="G184" i="7"/>
  <c r="N184" i="7" s="1"/>
  <c r="Y184" i="4" s="1"/>
  <c r="L184" i="7"/>
  <c r="G243" i="7"/>
  <c r="N243" i="7" s="1"/>
  <c r="Y243" i="4" s="1"/>
  <c r="L243" i="7"/>
  <c r="G232" i="7"/>
  <c r="N232" i="7" s="1"/>
  <c r="Y232" i="4" s="1"/>
  <c r="L232" i="7"/>
  <c r="G244" i="7"/>
  <c r="N244" i="7" s="1"/>
  <c r="Y244" i="4" s="1"/>
  <c r="L244" i="7"/>
  <c r="G157" i="7"/>
  <c r="N157" i="7" s="1"/>
  <c r="Y157" i="4" s="1"/>
  <c r="L157" i="7"/>
  <c r="G84" i="7"/>
  <c r="N84" i="7" s="1"/>
  <c r="Y84" i="4" s="1"/>
  <c r="L84" i="7"/>
  <c r="G54" i="7"/>
  <c r="N54" i="7" s="1"/>
  <c r="Y54" i="4" s="1"/>
  <c r="L54" i="7"/>
  <c r="G52" i="7"/>
  <c r="N52" i="7" s="1"/>
  <c r="Y52" i="4" s="1"/>
  <c r="L52" i="7"/>
  <c r="G224" i="7"/>
  <c r="N224" i="7" s="1"/>
  <c r="Y224" i="4" s="1"/>
  <c r="L224" i="7"/>
  <c r="G201" i="7"/>
  <c r="N201" i="7" s="1"/>
  <c r="Y201" i="4" s="1"/>
  <c r="L201" i="7"/>
  <c r="G168" i="7"/>
  <c r="N168" i="7" s="1"/>
  <c r="Y168" i="4" s="1"/>
  <c r="L168" i="7"/>
  <c r="G306" i="7"/>
  <c r="N306" i="7" s="1"/>
  <c r="Y306" i="4" s="1"/>
  <c r="L306" i="7"/>
  <c r="G255" i="7"/>
  <c r="N255" i="7" s="1"/>
  <c r="Y255" i="4" s="1"/>
  <c r="L255" i="7"/>
  <c r="G235" i="7"/>
  <c r="N235" i="7" s="1"/>
  <c r="Y235" i="4" s="1"/>
  <c r="L235" i="7"/>
  <c r="G159" i="7"/>
  <c r="N159" i="7" s="1"/>
  <c r="Y159" i="4" s="1"/>
  <c r="L159" i="7"/>
  <c r="G138" i="7"/>
  <c r="N138" i="7" s="1"/>
  <c r="Y138" i="4" s="1"/>
  <c r="L138" i="7"/>
  <c r="G122" i="7"/>
  <c r="N122" i="7" s="1"/>
  <c r="Y122" i="4" s="1"/>
  <c r="L122" i="7"/>
  <c r="G106" i="7"/>
  <c r="N106" i="7" s="1"/>
  <c r="Y106" i="4" s="1"/>
  <c r="L106" i="7"/>
  <c r="G99" i="7"/>
  <c r="N99" i="7" s="1"/>
  <c r="Y99" i="4" s="1"/>
  <c r="L99" i="7"/>
  <c r="G91" i="7"/>
  <c r="N91" i="7" s="1"/>
  <c r="Y91" i="4" s="1"/>
  <c r="L91" i="7"/>
  <c r="G82" i="7"/>
  <c r="N82" i="7" s="1"/>
  <c r="Y82" i="4" s="1"/>
  <c r="L82" i="7"/>
  <c r="G57" i="7"/>
  <c r="N57" i="7" s="1"/>
  <c r="Y57" i="4" s="1"/>
  <c r="L57" i="7"/>
  <c r="G50" i="7"/>
  <c r="N50" i="7" s="1"/>
  <c r="Y50" i="4" s="1"/>
  <c r="L50" i="7"/>
  <c r="G206" i="7"/>
  <c r="N206" i="7" s="1"/>
  <c r="Y206" i="4" s="1"/>
  <c r="L206" i="7"/>
  <c r="G236" i="7"/>
  <c r="N236" i="7" s="1"/>
  <c r="Y236" i="4" s="1"/>
  <c r="L236" i="7"/>
  <c r="G288" i="7"/>
  <c r="N288" i="7" s="1"/>
  <c r="Y288" i="4" s="1"/>
  <c r="L288" i="7"/>
  <c r="G309" i="7"/>
  <c r="N309" i="7" s="1"/>
  <c r="Y309" i="4" s="1"/>
  <c r="L309" i="7"/>
  <c r="G290" i="7"/>
  <c r="N290" i="7" s="1"/>
  <c r="Y290" i="4" s="1"/>
  <c r="L290" i="7"/>
  <c r="G51" i="7"/>
  <c r="N51" i="7" s="1"/>
  <c r="Y51" i="4" s="1"/>
  <c r="L51" i="7"/>
  <c r="G95" i="7"/>
  <c r="N95" i="7" s="1"/>
  <c r="Y95" i="4" s="1"/>
  <c r="L95" i="7"/>
  <c r="L307" i="7"/>
  <c r="L298" i="7"/>
  <c r="L282" i="7"/>
  <c r="L292" i="7"/>
  <c r="L302" i="7"/>
  <c r="L294" i="7"/>
  <c r="L278" i="7"/>
  <c r="L296" i="7"/>
  <c r="L280" i="7"/>
  <c r="L300" i="7"/>
  <c r="L284" i="7"/>
  <c r="L286" i="7"/>
  <c r="G127" i="7"/>
  <c r="N127" i="7" s="1"/>
  <c r="Y127" i="4" s="1"/>
  <c r="L127" i="7"/>
  <c r="G295" i="7"/>
  <c r="N295" i="7" s="1"/>
  <c r="Y295" i="4" s="1"/>
  <c r="L295" i="7"/>
  <c r="G277" i="7"/>
  <c r="N277" i="7" s="1"/>
  <c r="Y277" i="4" s="1"/>
  <c r="L277" i="7"/>
  <c r="G251" i="7"/>
  <c r="N251" i="7" s="1"/>
  <c r="Y251" i="4" s="1"/>
  <c r="L251" i="7"/>
  <c r="G219" i="7"/>
  <c r="N219" i="7" s="1"/>
  <c r="Y219" i="4" s="1"/>
  <c r="L219" i="7"/>
  <c r="G156" i="7"/>
  <c r="N156" i="7" s="1"/>
  <c r="Y156" i="4" s="1"/>
  <c r="L156" i="7"/>
  <c r="G265" i="7"/>
  <c r="N265" i="7" s="1"/>
  <c r="Y265" i="4" s="1"/>
  <c r="L265" i="7"/>
  <c r="G177" i="7"/>
  <c r="N177" i="7" s="1"/>
  <c r="Y177" i="4" s="1"/>
  <c r="L177" i="7"/>
  <c r="G166" i="7"/>
  <c r="N166" i="7" s="1"/>
  <c r="Y166" i="4" s="1"/>
  <c r="L166" i="7"/>
  <c r="G293" i="7"/>
  <c r="N293" i="7" s="1"/>
  <c r="Y293" i="4" s="1"/>
  <c r="L293" i="7"/>
  <c r="G188" i="7"/>
  <c r="N188" i="7" s="1"/>
  <c r="Y188" i="4" s="1"/>
  <c r="L188" i="7"/>
  <c r="G230" i="7"/>
  <c r="N230" i="7" s="1"/>
  <c r="Y230" i="4" s="1"/>
  <c r="L230" i="7"/>
  <c r="G100" i="7"/>
  <c r="N100" i="7" s="1"/>
  <c r="Y100" i="4" s="1"/>
  <c r="L100" i="7"/>
  <c r="G102" i="7"/>
  <c r="N102" i="7" s="1"/>
  <c r="Y102" i="4" s="1"/>
  <c r="L102" i="7"/>
  <c r="G88" i="7"/>
  <c r="N88" i="7" s="1"/>
  <c r="Y88" i="4" s="1"/>
  <c r="L88" i="7"/>
  <c r="G58" i="7"/>
  <c r="N58" i="7" s="1"/>
  <c r="Y58" i="4" s="1"/>
  <c r="L58" i="7"/>
  <c r="G216" i="7"/>
  <c r="N216" i="7" s="1"/>
  <c r="Y216" i="4" s="1"/>
  <c r="L216" i="7"/>
  <c r="G237" i="7"/>
  <c r="N237" i="7" s="1"/>
  <c r="Y237" i="4" s="1"/>
  <c r="L237" i="7"/>
  <c r="G240" i="7"/>
  <c r="N240" i="7" s="1"/>
  <c r="Y240" i="4" s="1"/>
  <c r="L240" i="7"/>
  <c r="G225" i="7"/>
  <c r="N225" i="7" s="1"/>
  <c r="Y225" i="4" s="1"/>
  <c r="L225" i="7"/>
  <c r="G114" i="7"/>
  <c r="N114" i="7" s="1"/>
  <c r="Y114" i="4" s="1"/>
  <c r="L114" i="7"/>
  <c r="G79" i="7"/>
  <c r="N79" i="7" s="1"/>
  <c r="Y79" i="4" s="1"/>
  <c r="L79" i="7"/>
  <c r="G66" i="7"/>
  <c r="N66" i="7" s="1"/>
  <c r="Y66" i="4" s="1"/>
  <c r="L66" i="7"/>
  <c r="G53" i="7"/>
  <c r="N53" i="7" s="1"/>
  <c r="Y53" i="4" s="1"/>
  <c r="L53" i="7"/>
  <c r="G40" i="7"/>
  <c r="N40" i="7" s="1"/>
  <c r="Y40" i="4" s="1"/>
  <c r="L40" i="7"/>
  <c r="G305" i="7"/>
  <c r="N305" i="7" s="1"/>
  <c r="Y305" i="4" s="1"/>
  <c r="L305" i="7"/>
  <c r="G161" i="7"/>
  <c r="N161" i="7" s="1"/>
  <c r="Y161" i="4" s="1"/>
  <c r="L161" i="7"/>
  <c r="G167" i="7"/>
  <c r="N167" i="7" s="1"/>
  <c r="Y167" i="4" s="1"/>
  <c r="L167" i="7"/>
  <c r="G202" i="7"/>
  <c r="N202" i="7" s="1"/>
  <c r="Y202" i="4" s="1"/>
  <c r="L202" i="7"/>
  <c r="G117" i="7"/>
  <c r="N117" i="7" s="1"/>
  <c r="Y117" i="4" s="1"/>
  <c r="L117" i="7"/>
  <c r="G151" i="7"/>
  <c r="N151" i="7" s="1"/>
  <c r="Y151" i="4" s="1"/>
  <c r="L151" i="7"/>
  <c r="G169" i="7"/>
  <c r="N169" i="7" s="1"/>
  <c r="Y169" i="4" s="1"/>
  <c r="L169" i="7"/>
  <c r="G299" i="7"/>
  <c r="N299" i="7" s="1"/>
  <c r="Y299" i="4" s="1"/>
  <c r="L299" i="7"/>
  <c r="G281" i="7"/>
  <c r="N281" i="7" s="1"/>
  <c r="Y281" i="4" s="1"/>
  <c r="L281" i="7"/>
  <c r="G200" i="7"/>
  <c r="N200" i="7" s="1"/>
  <c r="Y200" i="4" s="1"/>
  <c r="L200" i="7"/>
  <c r="G179" i="7"/>
  <c r="N179" i="7" s="1"/>
  <c r="Y179" i="4" s="1"/>
  <c r="L179" i="7"/>
  <c r="G195" i="7"/>
  <c r="N195" i="7" s="1"/>
  <c r="Y195" i="4" s="1"/>
  <c r="L195" i="7"/>
  <c r="G123" i="7"/>
  <c r="N123" i="7" s="1"/>
  <c r="Y123" i="4" s="1"/>
  <c r="L123" i="7"/>
  <c r="G143" i="7"/>
  <c r="N143" i="7" s="1"/>
  <c r="Y143" i="4" s="1"/>
  <c r="L143" i="7"/>
  <c r="G182" i="7"/>
  <c r="N182" i="7" s="1"/>
  <c r="Y182" i="4" s="1"/>
  <c r="L182" i="7"/>
  <c r="G279" i="7"/>
  <c r="N279" i="7" s="1"/>
  <c r="Y279" i="4" s="1"/>
  <c r="L279" i="7"/>
  <c r="G274" i="7"/>
  <c r="N274" i="7" s="1"/>
  <c r="Y274" i="4" s="1"/>
  <c r="L274" i="7"/>
  <c r="G231" i="7"/>
  <c r="N231" i="7" s="1"/>
  <c r="Y231" i="4" s="1"/>
  <c r="L231" i="7"/>
  <c r="G146" i="7"/>
  <c r="N146" i="7" s="1"/>
  <c r="Y146" i="4" s="1"/>
  <c r="L146" i="7"/>
  <c r="G128" i="7"/>
  <c r="N128" i="7" s="1"/>
  <c r="Y128" i="4" s="1"/>
  <c r="L128" i="7"/>
  <c r="G112" i="7"/>
  <c r="N112" i="7" s="1"/>
  <c r="Y112" i="4" s="1"/>
  <c r="L112" i="7"/>
  <c r="G96" i="7"/>
  <c r="N96" i="7" s="1"/>
  <c r="Y96" i="4" s="1"/>
  <c r="L96" i="7"/>
  <c r="G90" i="7"/>
  <c r="N90" i="7" s="1"/>
  <c r="Y90" i="4" s="1"/>
  <c r="L90" i="7"/>
  <c r="G65" i="7"/>
  <c r="N65" i="7" s="1"/>
  <c r="Y65" i="4" s="1"/>
  <c r="L65" i="7"/>
  <c r="G221" i="7"/>
  <c r="N221" i="7" s="1"/>
  <c r="Y221" i="4" s="1"/>
  <c r="L221" i="7"/>
  <c r="G229" i="7"/>
  <c r="N229" i="7" s="1"/>
  <c r="Y229" i="4" s="1"/>
  <c r="L229" i="7"/>
  <c r="G242" i="7"/>
  <c r="N242" i="7" s="1"/>
  <c r="Y242" i="4" s="1"/>
  <c r="L242" i="7"/>
  <c r="G124" i="7"/>
  <c r="N124" i="7" s="1"/>
  <c r="Y124" i="4" s="1"/>
  <c r="L124" i="7"/>
  <c r="G97" i="7"/>
  <c r="N97" i="7" s="1"/>
  <c r="Y97" i="4" s="1"/>
  <c r="L97" i="7"/>
  <c r="G41" i="7"/>
  <c r="N41" i="7" s="1"/>
  <c r="Y41" i="4" s="1"/>
  <c r="L41" i="7"/>
  <c r="G215" i="7"/>
  <c r="N215" i="7" s="1"/>
  <c r="Y215" i="4" s="1"/>
  <c r="L215" i="7"/>
  <c r="G304" i="7"/>
  <c r="N304" i="7" s="1"/>
  <c r="Y304" i="4" s="1"/>
  <c r="L304" i="7"/>
  <c r="G234" i="7"/>
  <c r="N234" i="7" s="1"/>
  <c r="Y234" i="4" s="1"/>
  <c r="L234" i="7"/>
  <c r="G220" i="7"/>
  <c r="N220" i="7" s="1"/>
  <c r="Y220" i="4" s="1"/>
  <c r="L220" i="7"/>
  <c r="G191" i="7"/>
  <c r="N191" i="7" s="1"/>
  <c r="Y191" i="4" s="1"/>
  <c r="L191" i="7"/>
  <c r="G183" i="7"/>
  <c r="N183" i="7" s="1"/>
  <c r="Y183" i="4" s="1"/>
  <c r="L183" i="7"/>
  <c r="G115" i="7"/>
  <c r="N115" i="7" s="1"/>
  <c r="Y115" i="4" s="1"/>
  <c r="L115" i="7"/>
  <c r="G147" i="7"/>
  <c r="N147" i="7" s="1"/>
  <c r="Y147" i="4" s="1"/>
  <c r="L147" i="7"/>
  <c r="G253" i="7"/>
  <c r="N253" i="7" s="1"/>
  <c r="Y253" i="4" s="1"/>
  <c r="L253" i="7"/>
  <c r="G137" i="7"/>
  <c r="N137" i="7" s="1"/>
  <c r="Y137" i="4" s="1"/>
  <c r="L137" i="7"/>
  <c r="G105" i="7"/>
  <c r="N105" i="7" s="1"/>
  <c r="Y105" i="4" s="1"/>
  <c r="L105" i="7"/>
  <c r="G264" i="7"/>
  <c r="N264" i="7" s="1"/>
  <c r="Y264" i="4" s="1"/>
  <c r="L264" i="7"/>
  <c r="G190" i="7"/>
  <c r="N190" i="7" s="1"/>
  <c r="Y190" i="4" s="1"/>
  <c r="L190" i="7"/>
  <c r="G158" i="7"/>
  <c r="N158" i="7" s="1"/>
  <c r="Y158" i="4" s="1"/>
  <c r="L158" i="7"/>
  <c r="G291" i="7"/>
  <c r="N291" i="7" s="1"/>
  <c r="Y291" i="4" s="1"/>
  <c r="L291" i="7"/>
  <c r="G213" i="7"/>
  <c r="N213" i="7" s="1"/>
  <c r="Y213" i="4" s="1"/>
  <c r="L213" i="7"/>
  <c r="G70" i="7"/>
  <c r="N70" i="7" s="1"/>
  <c r="Y70" i="4" s="1"/>
  <c r="L70" i="7"/>
  <c r="G223" i="7"/>
  <c r="N223" i="7" s="1"/>
  <c r="Y223" i="4" s="1"/>
  <c r="L223" i="7"/>
  <c r="G171" i="7"/>
  <c r="N171" i="7" s="1"/>
  <c r="Y171" i="4" s="1"/>
  <c r="L171" i="7"/>
  <c r="G258" i="7"/>
  <c r="N258" i="7" s="1"/>
  <c r="Y258" i="4" s="1"/>
  <c r="L258" i="7"/>
  <c r="G217" i="7"/>
  <c r="N217" i="7" s="1"/>
  <c r="Y217" i="4" s="1"/>
  <c r="L217" i="7"/>
  <c r="G178" i="7"/>
  <c r="N178" i="7" s="1"/>
  <c r="Y178" i="4" s="1"/>
  <c r="L178" i="7"/>
  <c r="G139" i="7"/>
  <c r="N139" i="7" s="1"/>
  <c r="Y139" i="4" s="1"/>
  <c r="L139" i="7"/>
  <c r="G107" i="7"/>
  <c r="N107" i="7" s="1"/>
  <c r="Y107" i="4" s="1"/>
  <c r="L107" i="7"/>
  <c r="G173" i="7"/>
  <c r="N173" i="7" s="1"/>
  <c r="Y173" i="4" s="1"/>
  <c r="L173" i="7"/>
  <c r="G149" i="7"/>
  <c r="N149" i="7" s="1"/>
  <c r="Y149" i="4" s="1"/>
  <c r="L149" i="7"/>
  <c r="G154" i="7"/>
  <c r="N154" i="7" s="1"/>
  <c r="Y154" i="4" s="1"/>
  <c r="L154" i="7"/>
  <c r="G248" i="7"/>
  <c r="N248" i="7" s="1"/>
  <c r="Y248" i="4" s="1"/>
  <c r="L248" i="7"/>
  <c r="G129" i="7"/>
  <c r="N129" i="7" s="1"/>
  <c r="Y129" i="4" s="1"/>
  <c r="L129" i="7"/>
  <c r="G287" i="7"/>
  <c r="N287" i="7" s="1"/>
  <c r="Y287" i="4" s="1"/>
  <c r="L287" i="7"/>
  <c r="G71" i="7"/>
  <c r="N71" i="7" s="1"/>
  <c r="Y71" i="4" s="1"/>
  <c r="L71" i="7"/>
  <c r="G210" i="7"/>
  <c r="N210" i="7" s="1"/>
  <c r="Y210" i="4" s="1"/>
  <c r="L210" i="7"/>
  <c r="G254" i="7"/>
  <c r="N254" i="7" s="1"/>
  <c r="Y254" i="4" s="1"/>
  <c r="L254" i="7"/>
  <c r="G233" i="7"/>
  <c r="N233" i="7" s="1"/>
  <c r="Y233" i="4" s="1"/>
  <c r="L233" i="7"/>
  <c r="G203" i="7"/>
  <c r="N203" i="7" s="1"/>
  <c r="Y203" i="4" s="1"/>
  <c r="L203" i="7"/>
  <c r="G227" i="7"/>
  <c r="N227" i="7" s="1"/>
  <c r="Y227" i="4" s="1"/>
  <c r="L227" i="7"/>
  <c r="G268" i="7"/>
  <c r="N268" i="7" s="1"/>
  <c r="Y268" i="4" s="1"/>
  <c r="L268" i="7"/>
  <c r="G228" i="7"/>
  <c r="N228" i="7" s="1"/>
  <c r="Y228" i="4" s="1"/>
  <c r="L228" i="7"/>
  <c r="G155" i="7"/>
  <c r="N155" i="7" s="1"/>
  <c r="Y155" i="4" s="1"/>
  <c r="L155" i="7"/>
  <c r="G152" i="7"/>
  <c r="N152" i="7" s="1"/>
  <c r="Y152" i="4" s="1"/>
  <c r="L152" i="7"/>
  <c r="G136" i="7"/>
  <c r="N136" i="7" s="1"/>
  <c r="Y136" i="4" s="1"/>
  <c r="L136" i="7"/>
  <c r="G120" i="7"/>
  <c r="N120" i="7" s="1"/>
  <c r="Y120" i="4" s="1"/>
  <c r="L120" i="7"/>
  <c r="G104" i="7"/>
  <c r="N104" i="7" s="1"/>
  <c r="Y104" i="4" s="1"/>
  <c r="L104" i="7"/>
  <c r="G92" i="7"/>
  <c r="N92" i="7" s="1"/>
  <c r="Y92" i="4" s="1"/>
  <c r="L92" i="7"/>
  <c r="G247" i="7"/>
  <c r="N247" i="7" s="1"/>
  <c r="Y247" i="4" s="1"/>
  <c r="L247" i="7"/>
  <c r="G118" i="7"/>
  <c r="N118" i="7" s="1"/>
  <c r="Y118" i="4" s="1"/>
  <c r="L118" i="7"/>
  <c r="G94" i="7"/>
  <c r="N94" i="7" s="1"/>
  <c r="Y94" i="4" s="1"/>
  <c r="L94" i="7"/>
  <c r="G86" i="7"/>
  <c r="N86" i="7" s="1"/>
  <c r="Y86" i="4" s="1"/>
  <c r="L86" i="7"/>
  <c r="G56" i="7"/>
  <c r="N56" i="7" s="1"/>
  <c r="Y56" i="4" s="1"/>
  <c r="L56" i="7"/>
  <c r="G67" i="7"/>
  <c r="N67" i="7" s="1"/>
  <c r="Y67" i="4" s="1"/>
  <c r="L67" i="7"/>
  <c r="G62" i="7"/>
  <c r="N62" i="7" s="1"/>
  <c r="Y62" i="4" s="1"/>
  <c r="L62" i="7"/>
  <c r="G208" i="7"/>
  <c r="N208" i="7" s="1"/>
  <c r="Y208" i="4" s="1"/>
  <c r="L208" i="7"/>
  <c r="G172" i="7"/>
  <c r="N172" i="7" s="1"/>
  <c r="Y172" i="4" s="1"/>
  <c r="L172" i="7"/>
  <c r="G241" i="7"/>
  <c r="N241" i="7" s="1"/>
  <c r="Y241" i="4" s="1"/>
  <c r="L241" i="7"/>
  <c r="G257" i="7"/>
  <c r="N257" i="7" s="1"/>
  <c r="Y257" i="4" s="1"/>
  <c r="L257" i="7"/>
  <c r="G238" i="7"/>
  <c r="N238" i="7" s="1"/>
  <c r="Y238" i="4" s="1"/>
  <c r="L238" i="7"/>
  <c r="G132" i="7"/>
  <c r="N132" i="7" s="1"/>
  <c r="Y132" i="4" s="1"/>
  <c r="L132" i="7"/>
  <c r="G116" i="7"/>
  <c r="N116" i="7" s="1"/>
  <c r="Y116" i="4" s="1"/>
  <c r="L116" i="7"/>
  <c r="G101" i="7"/>
  <c r="N101" i="7" s="1"/>
  <c r="Y101" i="4" s="1"/>
  <c r="L101" i="7"/>
  <c r="G93" i="7"/>
  <c r="N93" i="7" s="1"/>
  <c r="Y93" i="4" s="1"/>
  <c r="L93" i="7"/>
  <c r="G85" i="7"/>
  <c r="N85" i="7" s="1"/>
  <c r="Y85" i="4" s="1"/>
  <c r="L85" i="7"/>
  <c r="G64" i="7"/>
  <c r="N64" i="7" s="1"/>
  <c r="Y64" i="4" s="1"/>
  <c r="L64" i="7"/>
  <c r="G55" i="7"/>
  <c r="N55" i="7" s="1"/>
  <c r="Y55" i="4" s="1"/>
  <c r="L55" i="7"/>
  <c r="G134" i="7"/>
  <c r="N134" i="7" s="1"/>
  <c r="Y134" i="4" s="1"/>
  <c r="L134" i="7"/>
  <c r="G308" i="7"/>
  <c r="N308" i="7" s="1"/>
  <c r="Y308" i="4" s="1"/>
  <c r="L308" i="7"/>
  <c r="G289" i="7"/>
  <c r="N289" i="7" s="1"/>
  <c r="Y289" i="4" s="1"/>
  <c r="L289" i="7"/>
  <c r="L275" i="7"/>
  <c r="L271" i="7"/>
  <c r="L303" i="7"/>
  <c r="G310" i="7"/>
  <c r="N310" i="7" s="1"/>
  <c r="L310" i="7"/>
  <c r="AE296" i="8" l="1"/>
  <c r="AF296" i="8" s="1"/>
  <c r="AA296" i="4" s="1"/>
  <c r="AE307" i="8"/>
  <c r="AF307" i="8" s="1"/>
  <c r="AA307" i="4" s="1"/>
  <c r="AK307" i="8"/>
  <c r="AL307" i="8" s="1"/>
  <c r="AM307" i="8" s="1"/>
  <c r="AN307" i="8" s="1"/>
  <c r="AO307" i="8" s="1"/>
  <c r="AB307" i="4" s="1"/>
  <c r="AQ307" i="8"/>
  <c r="AR307" i="8" s="1"/>
  <c r="AS307" i="8" s="1"/>
  <c r="AT307" i="8" s="1"/>
  <c r="AU307" i="8" s="1"/>
  <c r="AC307" i="4" s="1"/>
  <c r="AB310" i="4"/>
  <c r="AX310" i="8"/>
  <c r="Q310" i="4" s="1"/>
  <c r="AQ275" i="8"/>
  <c r="AR275" i="8" s="1"/>
  <c r="AS275" i="8" s="1"/>
  <c r="AT275" i="8" s="1"/>
  <c r="AU275" i="8" s="1"/>
  <c r="AC275" i="4" s="1"/>
  <c r="AK275" i="8"/>
  <c r="AL275" i="8" s="1"/>
  <c r="AM275" i="8" s="1"/>
  <c r="AN275" i="8" s="1"/>
  <c r="AO275" i="8" s="1"/>
  <c r="AB275" i="4" s="1"/>
  <c r="AE271" i="8"/>
  <c r="AF271" i="8" s="1"/>
  <c r="AA271" i="4" s="1"/>
  <c r="AC271" i="8"/>
  <c r="AD271" i="8" s="1"/>
  <c r="Z271" i="4" s="1"/>
  <c r="AE278" i="8"/>
  <c r="AF278" i="8" s="1"/>
  <c r="AA278" i="4" s="1"/>
  <c r="AC278" i="8"/>
  <c r="AD278" i="8" s="1"/>
  <c r="Z278" i="4" s="1"/>
  <c r="AQ282" i="8"/>
  <c r="AR282" i="8" s="1"/>
  <c r="AS282" i="8" s="1"/>
  <c r="AT282" i="8" s="1"/>
  <c r="AU282" i="8" s="1"/>
  <c r="AC282" i="4" s="1"/>
  <c r="AK282" i="8"/>
  <c r="AL282" i="8" s="1"/>
  <c r="AM282" i="8" s="1"/>
  <c r="AN282" i="8" s="1"/>
  <c r="AO282" i="8" s="1"/>
  <c r="AB282" i="4" s="1"/>
  <c r="AQ271" i="8"/>
  <c r="AR271" i="8" s="1"/>
  <c r="AS271" i="8" s="1"/>
  <c r="AT271" i="8" s="1"/>
  <c r="AU271" i="8" s="1"/>
  <c r="AC271" i="4" s="1"/>
  <c r="AK271" i="8"/>
  <c r="AL271" i="8" s="1"/>
  <c r="AM271" i="8" s="1"/>
  <c r="AN271" i="8" s="1"/>
  <c r="AO271" i="8" s="1"/>
  <c r="AB271" i="4" s="1"/>
  <c r="AK286" i="8"/>
  <c r="AL286" i="8" s="1"/>
  <c r="AM286" i="8" s="1"/>
  <c r="AN286" i="8" s="1"/>
  <c r="AO286" i="8" s="1"/>
  <c r="AB286" i="4" s="1"/>
  <c r="AQ286" i="8"/>
  <c r="AR286" i="8" s="1"/>
  <c r="AS286" i="8" s="1"/>
  <c r="AT286" i="8" s="1"/>
  <c r="AU286" i="8" s="1"/>
  <c r="AC286" i="4" s="1"/>
  <c r="AC298" i="8"/>
  <c r="AD298" i="8" s="1"/>
  <c r="Z298" i="4" s="1"/>
  <c r="AE298" i="8"/>
  <c r="AF298" i="8" s="1"/>
  <c r="AA298" i="4" s="1"/>
  <c r="AQ280" i="8"/>
  <c r="AR280" i="8" s="1"/>
  <c r="AS280" i="8" s="1"/>
  <c r="AT280" i="8" s="1"/>
  <c r="AU280" i="8" s="1"/>
  <c r="AC280" i="4" s="1"/>
  <c r="AK280" i="8"/>
  <c r="AL280" i="8" s="1"/>
  <c r="AM280" i="8" s="1"/>
  <c r="AN280" i="8" s="1"/>
  <c r="AO280" i="8" s="1"/>
  <c r="AB280" i="4" s="1"/>
  <c r="AC280" i="8"/>
  <c r="AD280" i="8" s="1"/>
  <c r="Z280" i="4" s="1"/>
  <c r="AE280" i="8"/>
  <c r="AF280" i="8" s="1"/>
  <c r="AA280" i="4" s="1"/>
  <c r="AC284" i="8"/>
  <c r="AD284" i="8" s="1"/>
  <c r="Z284" i="4" s="1"/>
  <c r="AE284" i="8"/>
  <c r="AF284" i="8" s="1"/>
  <c r="AA284" i="4" s="1"/>
  <c r="AC275" i="8"/>
  <c r="AD275" i="8" s="1"/>
  <c r="Z275" i="4" s="1"/>
  <c r="AE275" i="8"/>
  <c r="AF275" i="8" s="1"/>
  <c r="AA275" i="4" s="1"/>
  <c r="AK296" i="8"/>
  <c r="AL296" i="8" s="1"/>
  <c r="AM296" i="8" s="1"/>
  <c r="AN296" i="8" s="1"/>
  <c r="AO296" i="8" s="1"/>
  <c r="AB296" i="4" s="1"/>
  <c r="AQ296" i="8"/>
  <c r="AR296" i="8" s="1"/>
  <c r="AS296" i="8" s="1"/>
  <c r="AT296" i="8" s="1"/>
  <c r="AU296" i="8" s="1"/>
  <c r="AC296" i="4" s="1"/>
  <c r="AQ272" i="8"/>
  <c r="AR272" i="8" s="1"/>
  <c r="AS272" i="8" s="1"/>
  <c r="AT272" i="8" s="1"/>
  <c r="AU272" i="8" s="1"/>
  <c r="AC272" i="4" s="1"/>
  <c r="AK272" i="8"/>
  <c r="AL272" i="8" s="1"/>
  <c r="AM272" i="8" s="1"/>
  <c r="AN272" i="8" s="1"/>
  <c r="AO272" i="8" s="1"/>
  <c r="AB272" i="4" s="1"/>
  <c r="AQ294" i="8"/>
  <c r="AR294" i="8" s="1"/>
  <c r="AS294" i="8" s="1"/>
  <c r="AT294" i="8" s="1"/>
  <c r="AU294" i="8" s="1"/>
  <c r="AC294" i="4" s="1"/>
  <c r="AK294" i="8"/>
  <c r="AL294" i="8" s="1"/>
  <c r="AM294" i="8" s="1"/>
  <c r="AN294" i="8" s="1"/>
  <c r="AO294" i="8" s="1"/>
  <c r="AB294" i="4" s="1"/>
  <c r="AK302" i="8"/>
  <c r="AL302" i="8" s="1"/>
  <c r="AM302" i="8" s="1"/>
  <c r="AN302" i="8" s="1"/>
  <c r="AO302" i="8" s="1"/>
  <c r="AB302" i="4" s="1"/>
  <c r="AQ302" i="8"/>
  <c r="AR302" i="8" s="1"/>
  <c r="AS302" i="8" s="1"/>
  <c r="AT302" i="8" s="1"/>
  <c r="AU302" i="8" s="1"/>
  <c r="AC302" i="4" s="1"/>
  <c r="AQ292" i="8"/>
  <c r="AR292" i="8" s="1"/>
  <c r="AS292" i="8" s="1"/>
  <c r="AT292" i="8" s="1"/>
  <c r="AU292" i="8" s="1"/>
  <c r="AC292" i="4" s="1"/>
  <c r="AK292" i="8"/>
  <c r="AL292" i="8" s="1"/>
  <c r="AM292" i="8" s="1"/>
  <c r="AN292" i="8" s="1"/>
  <c r="AO292" i="8" s="1"/>
  <c r="AB292" i="4" s="1"/>
  <c r="AQ278" i="8"/>
  <c r="AR278" i="8" s="1"/>
  <c r="AS278" i="8" s="1"/>
  <c r="AT278" i="8" s="1"/>
  <c r="AU278" i="8" s="1"/>
  <c r="AC278" i="4" s="1"/>
  <c r="AK278" i="8"/>
  <c r="AL278" i="8" s="1"/>
  <c r="AM278" i="8" s="1"/>
  <c r="AN278" i="8" s="1"/>
  <c r="AO278" i="8" s="1"/>
  <c r="AB278" i="4" s="1"/>
  <c r="AC300" i="8"/>
  <c r="AD300" i="8" s="1"/>
  <c r="Z300" i="4" s="1"/>
  <c r="AE300" i="8"/>
  <c r="AF300" i="8" s="1"/>
  <c r="AA300" i="4" s="1"/>
  <c r="AY310" i="8"/>
  <c r="R310" i="4" s="1"/>
  <c r="AC310" i="4"/>
  <c r="AK303" i="8"/>
  <c r="AL303" i="8" s="1"/>
  <c r="AM303" i="8" s="1"/>
  <c r="AN303" i="8" s="1"/>
  <c r="AO303" i="8" s="1"/>
  <c r="AB303" i="4" s="1"/>
  <c r="AQ303" i="8"/>
  <c r="AR303" i="8" s="1"/>
  <c r="AS303" i="8" s="1"/>
  <c r="AT303" i="8" s="1"/>
  <c r="AU303" i="8" s="1"/>
  <c r="AC303" i="4" s="1"/>
  <c r="AQ284" i="8"/>
  <c r="AR284" i="8" s="1"/>
  <c r="AS284" i="8" s="1"/>
  <c r="AT284" i="8" s="1"/>
  <c r="AU284" i="8" s="1"/>
  <c r="AC284" i="4" s="1"/>
  <c r="AK284" i="8"/>
  <c r="AL284" i="8" s="1"/>
  <c r="AM284" i="8" s="1"/>
  <c r="AN284" i="8" s="1"/>
  <c r="AO284" i="8" s="1"/>
  <c r="AB284" i="4" s="1"/>
  <c r="AQ300" i="8"/>
  <c r="AR300" i="8" s="1"/>
  <c r="AS300" i="8" s="1"/>
  <c r="AT300" i="8" s="1"/>
  <c r="AU300" i="8" s="1"/>
  <c r="AC300" i="4" s="1"/>
  <c r="AK300" i="8"/>
  <c r="AL300" i="8" s="1"/>
  <c r="AM300" i="8" s="1"/>
  <c r="AN300" i="8" s="1"/>
  <c r="AO300" i="8" s="1"/>
  <c r="AB300" i="4" s="1"/>
  <c r="AQ298" i="8"/>
  <c r="AR298" i="8" s="1"/>
  <c r="AS298" i="8" s="1"/>
  <c r="AT298" i="8" s="1"/>
  <c r="AU298" i="8" s="1"/>
  <c r="AC298" i="4" s="1"/>
  <c r="AK298" i="8"/>
  <c r="AL298" i="8" s="1"/>
  <c r="AM298" i="8" s="1"/>
  <c r="AN298" i="8" s="1"/>
  <c r="AO298" i="8" s="1"/>
  <c r="AB298" i="4" s="1"/>
  <c r="Y46" i="4"/>
  <c r="O46" i="7"/>
  <c r="N46" i="4" s="1"/>
  <c r="B46" i="7"/>
  <c r="E46" i="4" s="1"/>
  <c r="Y310" i="4"/>
  <c r="O310" i="7"/>
  <c r="N310" i="4" s="1"/>
  <c r="B310" i="7"/>
  <c r="E310"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Susan Bailey</author>
    <author>Michael Brooks</author>
    <author>U4EERSEB</author>
  </authors>
  <commentList>
    <comment ref="D9" authorId="0" shapeId="0" xr:uid="{00000000-0006-0000-0100-000001000000}">
      <text>
        <r>
          <rPr>
            <sz val="8"/>
            <color indexed="81"/>
            <rFont val="Tahoma"/>
            <family val="2"/>
          </rPr>
          <t>Default TOC = 3%.</t>
        </r>
      </text>
    </comment>
    <comment ref="A12" authorId="0" shapeId="0" xr:uid="{00000000-0006-0000-0100-000002000000}">
      <text>
        <r>
          <rPr>
            <sz val="8"/>
            <color indexed="81"/>
            <rFont val="Tahoma"/>
          </rPr>
          <t>= Clay fraction + 10% of the silt fraction
= CF +0.1*(SCF - CF)</t>
        </r>
      </text>
    </comment>
    <comment ref="A13" authorId="0" shapeId="0" xr:uid="{00000000-0006-0000-0100-000003000000}">
      <text>
        <r>
          <rPr>
            <sz val="8"/>
            <color indexed="81"/>
            <rFont val="Tahoma"/>
          </rPr>
          <t xml:space="preserve">Accounts for concentration of contaminants in the effective clay fraction
</t>
        </r>
      </text>
    </comment>
    <comment ref="D13" authorId="0" shapeId="0" xr:uid="{00000000-0006-0000-0100-000004000000}">
      <text>
        <r>
          <rPr>
            <sz val="8"/>
            <color indexed="81"/>
            <rFont val="Tahoma"/>
          </rPr>
          <t>Default = 100/CF</t>
        </r>
        <r>
          <rPr>
            <vertAlign val="subscript"/>
            <sz val="8"/>
            <color indexed="81"/>
            <rFont val="Tahoma"/>
            <family val="2"/>
          </rPr>
          <t>eff</t>
        </r>
      </text>
    </comment>
    <comment ref="D14" authorId="0" shapeId="0" xr:uid="{00000000-0006-0000-0100-000005000000}">
      <text>
        <r>
          <rPr>
            <sz val="8"/>
            <color indexed="81"/>
            <rFont val="Tahoma"/>
            <family val="2"/>
          </rPr>
          <t>Default SG = 2.65.</t>
        </r>
      </text>
    </comment>
    <comment ref="D15" authorId="0" shapeId="0" xr:uid="{00000000-0006-0000-0100-000006000000}">
      <text>
        <r>
          <rPr>
            <sz val="8"/>
            <color indexed="81"/>
            <rFont val="Tahoma"/>
          </rPr>
          <t>Default DOC = 20 mg/L.</t>
        </r>
      </text>
    </comment>
    <comment ref="A16" authorId="1" shapeId="0" xr:uid="{00000000-0006-0000-0100-000007000000}">
      <text>
        <r>
          <rPr>
            <sz val="10"/>
            <color indexed="81"/>
            <rFont val="Tahoma"/>
            <family val="2"/>
          </rPr>
          <t>= Water mass/Sediment mass * 100</t>
        </r>
      </text>
    </comment>
    <comment ref="A17" authorId="1" shapeId="0" xr:uid="{00000000-0006-0000-0100-000008000000}">
      <text>
        <r>
          <rPr>
            <sz val="10"/>
            <color indexed="81"/>
            <rFont val="Tahoma"/>
            <family val="2"/>
          </rPr>
          <t>= Void Volume/Sediment Volume
= (w/100)*SG</t>
        </r>
      </text>
    </comment>
    <comment ref="A18" authorId="1" shapeId="0" xr:uid="{00000000-0006-0000-0100-000009000000}">
      <text>
        <r>
          <rPr>
            <sz val="10"/>
            <color indexed="81"/>
            <rFont val="Tahoma"/>
            <family val="2"/>
          </rPr>
          <t>= Void Volume / Total Volume
=</t>
        </r>
        <r>
          <rPr>
            <i/>
            <sz val="10"/>
            <color indexed="81"/>
            <rFont val="Tahoma"/>
            <family val="2"/>
          </rPr>
          <t>e</t>
        </r>
        <r>
          <rPr>
            <sz val="10"/>
            <color indexed="81"/>
            <rFont val="Tahoma"/>
            <family val="2"/>
          </rPr>
          <t>/(1+</t>
        </r>
        <r>
          <rPr>
            <i/>
            <sz val="10"/>
            <color indexed="81"/>
            <rFont val="Tahoma"/>
            <family val="2"/>
          </rPr>
          <t>e</t>
        </r>
        <r>
          <rPr>
            <sz val="10"/>
            <color indexed="81"/>
            <rFont val="Tahoma"/>
            <family val="2"/>
          </rPr>
          <t>)</t>
        </r>
      </text>
    </comment>
    <comment ref="A19" authorId="1" shapeId="0" xr:uid="{00000000-0006-0000-0100-00000A000000}">
      <text>
        <r>
          <rPr>
            <sz val="10"/>
            <color indexed="81"/>
            <rFont val="Tahoma"/>
            <family val="2"/>
          </rPr>
          <t>=Sediment mass / Total volume
=(1-n)*SG*</t>
        </r>
        <r>
          <rPr>
            <sz val="10"/>
            <color indexed="81"/>
            <rFont val="Symbol"/>
            <family val="1"/>
            <charset val="2"/>
          </rPr>
          <t>r</t>
        </r>
        <r>
          <rPr>
            <vertAlign val="subscript"/>
            <sz val="10"/>
            <color indexed="81"/>
            <rFont val="Tahoma"/>
            <family val="2"/>
          </rPr>
          <t>w</t>
        </r>
        <r>
          <rPr>
            <sz val="10"/>
            <color indexed="81"/>
            <rFont val="Tahoma"/>
            <family val="2"/>
          </rPr>
          <t>*1000</t>
        </r>
      </text>
    </comment>
    <comment ref="A26" authorId="1" shapeId="0" xr:uid="{00000000-0006-0000-0100-00000B000000}">
      <text>
        <r>
          <rPr>
            <sz val="10"/>
            <color indexed="81"/>
            <rFont val="Tahoma"/>
            <family val="2"/>
          </rPr>
          <t>= Ratio of dilution (background) water volume to effluent volume.</t>
        </r>
      </text>
    </comment>
    <comment ref="H27" authorId="1" shapeId="0" xr:uid="{00000000-0006-0000-0100-00000C000000}">
      <text>
        <r>
          <rPr>
            <b/>
            <sz val="10"/>
            <color indexed="81"/>
            <rFont val="Arial"/>
            <family val="2"/>
          </rPr>
          <t xml:space="preserve"> </t>
        </r>
        <r>
          <rPr>
            <sz val="10"/>
            <color indexed="81"/>
            <rFont val="Arial"/>
            <family val="2"/>
          </rPr>
          <t>= %Fines + 3*%Coarse</t>
        </r>
      </text>
    </comment>
    <comment ref="H31" authorId="1" shapeId="0" xr:uid="{00000000-0006-0000-0100-00000D000000}">
      <text>
        <r>
          <rPr>
            <sz val="10"/>
            <color indexed="81"/>
            <rFont val="Arial"/>
            <family val="2"/>
          </rPr>
          <t xml:space="preserve"> = TSS</t>
        </r>
        <r>
          <rPr>
            <vertAlign val="subscript"/>
            <sz val="10"/>
            <color indexed="81"/>
            <rFont val="Arial"/>
            <family val="2"/>
          </rPr>
          <t>sed</t>
        </r>
        <r>
          <rPr>
            <sz val="10"/>
            <color indexed="81"/>
            <rFont val="Arial"/>
            <family val="2"/>
          </rPr>
          <t xml:space="preserve"> / 5.5</t>
        </r>
      </text>
    </comment>
    <comment ref="D32" authorId="0" shapeId="0" xr:uid="{00000000-0006-0000-0100-00000E000000}">
      <text>
        <r>
          <rPr>
            <sz val="8"/>
            <color indexed="81"/>
            <rFont val="Tahoma"/>
          </rPr>
          <t>Default values:  
- Hydraulically dredged = 20 g/L
- Mechanically dredged = 5 g/L</t>
        </r>
      </text>
    </comment>
    <comment ref="A33" authorId="1" shapeId="0" xr:uid="{00000000-0006-0000-0100-00000F000000}">
      <text>
        <r>
          <rPr>
            <sz val="10"/>
            <color indexed="81"/>
            <rFont val="Tahoma"/>
            <family val="2"/>
          </rPr>
          <t>=1 - [TSS</t>
        </r>
        <r>
          <rPr>
            <vertAlign val="subscript"/>
            <sz val="10"/>
            <color indexed="81"/>
            <rFont val="Tahoma"/>
            <family val="2"/>
          </rPr>
          <t>run</t>
        </r>
        <r>
          <rPr>
            <vertAlign val="superscript"/>
            <sz val="10"/>
            <color indexed="81"/>
            <rFont val="Tahoma"/>
            <family val="2"/>
          </rPr>
          <t>unox</t>
        </r>
        <r>
          <rPr>
            <sz val="10"/>
            <color indexed="81"/>
            <rFont val="Tahoma"/>
            <family val="2"/>
          </rPr>
          <t xml:space="preserve"> / (1000*SG*</t>
        </r>
        <r>
          <rPr>
            <sz val="10"/>
            <color indexed="81"/>
            <rFont val="Symbol"/>
            <family val="1"/>
            <charset val="2"/>
          </rPr>
          <t>r</t>
        </r>
        <r>
          <rPr>
            <vertAlign val="subscript"/>
            <sz val="10"/>
            <color indexed="81"/>
            <rFont val="Tahoma"/>
            <family val="2"/>
          </rPr>
          <t>w</t>
        </r>
        <r>
          <rPr>
            <sz val="10"/>
            <color indexed="81"/>
            <rFont val="Tahoma"/>
            <family val="2"/>
          </rPr>
          <t>)]</t>
        </r>
      </text>
    </comment>
    <comment ref="D34" authorId="0" shapeId="0" xr:uid="{00000000-0006-0000-0100-000010000000}">
      <text>
        <r>
          <rPr>
            <sz val="8"/>
            <color indexed="81"/>
            <rFont val="Tahoma"/>
          </rPr>
          <t>Default values: 
- Hydraulically dredged = 2 g/L
- Mechanically dredged = 0.5 g/L
- Vegetated = 0.5 g/L</t>
        </r>
      </text>
    </comment>
    <comment ref="A35" authorId="1" shapeId="0" xr:uid="{00000000-0006-0000-0100-000011000000}">
      <text>
        <r>
          <rPr>
            <sz val="10"/>
            <color indexed="81"/>
            <rFont val="Tahoma"/>
            <family val="2"/>
          </rPr>
          <t>=1 - [TSS</t>
        </r>
        <r>
          <rPr>
            <vertAlign val="subscript"/>
            <sz val="10"/>
            <color indexed="81"/>
            <rFont val="Tahoma"/>
            <family val="2"/>
          </rPr>
          <t>run</t>
        </r>
        <r>
          <rPr>
            <vertAlign val="superscript"/>
            <sz val="10"/>
            <color indexed="81"/>
            <rFont val="Tahoma"/>
            <family val="2"/>
          </rPr>
          <t>ox</t>
        </r>
        <r>
          <rPr>
            <sz val="10"/>
            <color indexed="81"/>
            <rFont val="Tahoma"/>
            <family val="2"/>
          </rPr>
          <t xml:space="preserve"> / (1000*SG*</t>
        </r>
        <r>
          <rPr>
            <sz val="10"/>
            <color indexed="81"/>
            <rFont val="Symbol"/>
            <family val="1"/>
            <charset val="2"/>
          </rPr>
          <t>r</t>
        </r>
        <r>
          <rPr>
            <vertAlign val="subscript"/>
            <sz val="10"/>
            <color indexed="81"/>
            <rFont val="Tahoma"/>
            <family val="2"/>
          </rPr>
          <t>w</t>
        </r>
        <r>
          <rPr>
            <sz val="10"/>
            <color indexed="81"/>
            <rFont val="Tahoma"/>
            <family val="2"/>
          </rPr>
          <t>)]</t>
        </r>
      </text>
    </comment>
    <comment ref="D39" authorId="1" shapeId="0" xr:uid="{00000000-0006-0000-0100-000012000000}">
      <text>
        <r>
          <rPr>
            <sz val="10"/>
            <color indexed="81"/>
            <rFont val="Tahoma"/>
            <family val="2"/>
          </rPr>
          <t>Default value: 1440 minutes (24 hours)</t>
        </r>
      </text>
    </comment>
    <comment ref="D44" authorId="1" shapeId="0" xr:uid="{00000000-0006-0000-0100-000013000000}">
      <text>
        <r>
          <rPr>
            <sz val="10"/>
            <color indexed="81"/>
            <rFont val="Tahoma"/>
            <family val="2"/>
          </rPr>
          <t>Default value: 600 minutes (10 hours)</t>
        </r>
      </text>
    </comment>
    <comment ref="D45" authorId="1" shapeId="0" xr:uid="{00000000-0006-0000-0100-000014000000}">
      <text>
        <r>
          <rPr>
            <sz val="10"/>
            <color indexed="81"/>
            <rFont val="Tahoma"/>
            <family val="2"/>
          </rPr>
          <t>Default value: 480 minutes (8 hours)</t>
        </r>
      </text>
    </comment>
    <comment ref="D51" authorId="1" shapeId="0" xr:uid="{00000000-0006-0000-0100-000015000000}">
      <text>
        <r>
          <rPr>
            <sz val="10"/>
            <color indexed="81"/>
            <rFont val="Tahoma"/>
            <family val="2"/>
          </rPr>
          <t>Default value: 0.3 m</t>
        </r>
      </text>
    </comment>
    <comment ref="A52" authorId="0" shapeId="0" xr:uid="{00000000-0006-0000-0100-000016000000}">
      <text>
        <r>
          <rPr>
            <sz val="8"/>
            <color indexed="81"/>
            <rFont val="Tahoma"/>
          </rPr>
          <t>This is the dimension in the primary wind direction.</t>
        </r>
      </text>
    </comment>
    <comment ref="A53" authorId="0" shapeId="0" xr:uid="{00000000-0006-0000-0100-000017000000}">
      <text>
        <r>
          <rPr>
            <sz val="8"/>
            <color indexed="81"/>
            <rFont val="Tahoma"/>
          </rPr>
          <t>This is the dimension perpendicular to primary wind direction.</t>
        </r>
      </text>
    </comment>
    <comment ref="A65" authorId="0" shapeId="0" xr:uid="{00000000-0006-0000-0100-000018000000}">
      <text>
        <r>
          <rPr>
            <sz val="8"/>
            <color indexed="81"/>
            <rFont val="Tahoma"/>
          </rPr>
          <t>This is the dimension in the direction of groundwater flow.</t>
        </r>
      </text>
    </comment>
    <comment ref="A66" authorId="0" shapeId="0" xr:uid="{00000000-0006-0000-0100-000019000000}">
      <text>
        <r>
          <rPr>
            <sz val="8"/>
            <color indexed="81"/>
            <rFont val="Tahoma"/>
            <family val="2"/>
          </rPr>
          <t>This is the dimension perpendicular to groundwater flow.</t>
        </r>
      </text>
    </comment>
    <comment ref="D69" authorId="0" shapeId="0" xr:uid="{00000000-0006-0000-0100-00001A000000}">
      <text>
        <r>
          <rPr>
            <sz val="8"/>
            <color indexed="81"/>
            <rFont val="Tahoma"/>
          </rPr>
          <t>Default TOC</t>
        </r>
        <r>
          <rPr>
            <vertAlign val="subscript"/>
            <sz val="8"/>
            <color indexed="81"/>
            <rFont val="Tahoma"/>
            <family val="2"/>
          </rPr>
          <t>F</t>
        </r>
        <r>
          <rPr>
            <sz val="8"/>
            <color indexed="81"/>
            <rFont val="Tahoma"/>
          </rPr>
          <t xml:space="preserve"> = 2%</t>
        </r>
      </text>
    </comment>
    <comment ref="D70" authorId="0" shapeId="0" xr:uid="{00000000-0006-0000-0100-00001B000000}">
      <text>
        <r>
          <rPr>
            <sz val="8"/>
            <color indexed="81"/>
            <rFont val="Tahoma"/>
          </rPr>
          <t>Default SCF</t>
        </r>
        <r>
          <rPr>
            <vertAlign val="subscript"/>
            <sz val="8"/>
            <color indexed="81"/>
            <rFont val="Tahoma"/>
            <family val="2"/>
          </rPr>
          <t>F</t>
        </r>
        <r>
          <rPr>
            <sz val="8"/>
            <color indexed="81"/>
            <rFont val="Tahoma"/>
          </rPr>
          <t xml:space="preserve"> = SCF of dredged material</t>
        </r>
      </text>
    </comment>
    <comment ref="D71" authorId="0" shapeId="0" xr:uid="{00000000-0006-0000-0100-00001C000000}">
      <text>
        <r>
          <rPr>
            <sz val="8"/>
            <color indexed="81"/>
            <rFont val="Tahoma"/>
          </rPr>
          <t>Default SG</t>
        </r>
        <r>
          <rPr>
            <vertAlign val="subscript"/>
            <sz val="8"/>
            <color indexed="81"/>
            <rFont val="Tahoma"/>
            <family val="2"/>
          </rPr>
          <t>F</t>
        </r>
        <r>
          <rPr>
            <sz val="8"/>
            <color indexed="81"/>
            <rFont val="Tahoma"/>
          </rPr>
          <t xml:space="preserve"> = 2.68</t>
        </r>
      </text>
    </comment>
    <comment ref="A73" authorId="2" shapeId="0" xr:uid="{00000000-0006-0000-0100-00001D000000}">
      <text>
        <r>
          <rPr>
            <sz val="8"/>
            <color indexed="81"/>
            <rFont val="Tahoma"/>
          </rPr>
          <t>Distance from bottom of CDF to water table</t>
        </r>
      </text>
    </comment>
    <comment ref="D75" authorId="0" shapeId="0" xr:uid="{00000000-0006-0000-0100-00001E000000}">
      <text>
        <r>
          <rPr>
            <sz val="8"/>
            <color indexed="81"/>
            <rFont val="Tahoma"/>
          </rPr>
          <t>Default n</t>
        </r>
        <r>
          <rPr>
            <vertAlign val="subscript"/>
            <sz val="8"/>
            <color indexed="81"/>
            <rFont val="Tahoma"/>
            <family val="2"/>
          </rPr>
          <t>F,v</t>
        </r>
        <r>
          <rPr>
            <sz val="8"/>
            <color indexed="81"/>
            <rFont val="Tahoma"/>
          </rPr>
          <t xml:space="preserve"> = 0.4.</t>
        </r>
      </text>
    </comment>
    <comment ref="D76" authorId="0" shapeId="0" xr:uid="{00000000-0006-0000-0100-00001F000000}">
      <text>
        <r>
          <rPr>
            <sz val="8"/>
            <color indexed="81"/>
            <rFont val="Tahoma"/>
            <family val="2"/>
          </rPr>
          <t>Default n</t>
        </r>
        <r>
          <rPr>
            <vertAlign val="subscript"/>
            <sz val="8"/>
            <color indexed="81"/>
            <rFont val="Tahoma"/>
            <family val="2"/>
          </rPr>
          <t>F,a</t>
        </r>
        <r>
          <rPr>
            <sz val="8"/>
            <color indexed="81"/>
            <rFont val="Tahoma"/>
            <family val="2"/>
          </rPr>
          <t xml:space="preserve"> = 0.6.</t>
        </r>
      </text>
    </comment>
    <comment ref="D77" authorId="0" shapeId="0" xr:uid="{00000000-0006-0000-0100-000020000000}">
      <text>
        <r>
          <rPr>
            <sz val="8"/>
            <color indexed="81"/>
            <rFont val="Tahoma"/>
          </rPr>
          <t>Default K = 30,000 m/year.</t>
        </r>
      </text>
    </comment>
    <comment ref="D78" authorId="0" shapeId="0" xr:uid="{00000000-0006-0000-0100-000021000000}">
      <text>
        <r>
          <rPr>
            <sz val="8"/>
            <color indexed="81"/>
            <rFont val="Tahoma"/>
          </rPr>
          <t>Default dh/dx = 0.001.</t>
        </r>
      </text>
    </comment>
    <comment ref="A79" authorId="0" shapeId="0" xr:uid="{00000000-0006-0000-0100-000022000000}">
      <text>
        <r>
          <rPr>
            <sz val="10"/>
            <color indexed="81"/>
            <rFont val="Tahoma"/>
            <family val="2"/>
          </rPr>
          <t>=K*dh/dx</t>
        </r>
      </text>
    </comment>
    <comment ref="D81" authorId="0" shapeId="0" xr:uid="{00000000-0006-0000-0100-000023000000}">
      <text>
        <r>
          <rPr>
            <sz val="8"/>
            <color indexed="81"/>
            <rFont val="Tahoma"/>
          </rPr>
          <t>Default Vf = 0.03 m/yr.</t>
        </r>
      </text>
    </comment>
    <comment ref="D82" authorId="0" shapeId="0" xr:uid="{00000000-0006-0000-0100-000024000000}">
      <text>
        <r>
          <rPr>
            <sz val="8"/>
            <color indexed="81"/>
            <rFont val="Tahoma"/>
          </rPr>
          <t xml:space="preserve">As a default, </t>
        </r>
        <r>
          <rPr>
            <sz val="8"/>
            <color indexed="81"/>
            <rFont val="Symbol"/>
            <family val="1"/>
            <charset val="2"/>
          </rPr>
          <t>a</t>
        </r>
        <r>
          <rPr>
            <vertAlign val="subscript"/>
            <sz val="8"/>
            <color indexed="81"/>
            <rFont val="Tahoma"/>
            <family val="2"/>
          </rPr>
          <t>z</t>
        </r>
        <r>
          <rPr>
            <sz val="8"/>
            <color indexed="81"/>
            <rFont val="Tahoma"/>
          </rPr>
          <t xml:space="preserve"> is estimated as 1/10 the transverse dispersivity.</t>
        </r>
      </text>
    </comment>
    <comment ref="D83" authorId="0" shapeId="0" xr:uid="{00000000-0006-0000-0100-000025000000}">
      <text>
        <r>
          <rPr>
            <sz val="8"/>
            <color indexed="81"/>
            <rFont val="Tahoma"/>
          </rPr>
          <t xml:space="preserve">Default value is 1.5.  In heterogeneous systems, </t>
        </r>
        <r>
          <rPr>
            <sz val="8"/>
            <color indexed="81"/>
            <rFont val="Symbol"/>
            <family val="1"/>
            <charset val="2"/>
          </rPr>
          <t>a</t>
        </r>
        <r>
          <rPr>
            <vertAlign val="subscript"/>
            <sz val="8"/>
            <color indexed="81"/>
            <rFont val="Tahoma"/>
            <family val="2"/>
          </rPr>
          <t>y</t>
        </r>
        <r>
          <rPr>
            <sz val="8"/>
            <color indexed="81"/>
            <rFont val="Tahoma"/>
          </rPr>
          <t xml:space="preserve"> could be as much as 10 times that value.  In homogeneous systems </t>
        </r>
        <r>
          <rPr>
            <sz val="8"/>
            <color indexed="81"/>
            <rFont val="Symbol"/>
            <family val="1"/>
            <charset val="2"/>
          </rPr>
          <t>a</t>
        </r>
        <r>
          <rPr>
            <vertAlign val="subscript"/>
            <sz val="8"/>
            <color indexed="81"/>
            <rFont val="Tahoma"/>
            <family val="2"/>
          </rPr>
          <t>y</t>
        </r>
        <r>
          <rPr>
            <sz val="8"/>
            <color indexed="81"/>
            <rFont val="Tahoma"/>
          </rPr>
          <t xml:space="preserve"> could be 10% of that value.</t>
        </r>
      </text>
    </comment>
    <comment ref="A84" authorId="0" shapeId="0" xr:uid="{00000000-0006-0000-0100-000026000000}">
      <text>
        <r>
          <rPr>
            <sz val="10"/>
            <color indexed="81"/>
            <rFont val="Tahoma"/>
            <family val="2"/>
          </rPr>
          <t>=(2</t>
        </r>
        <r>
          <rPr>
            <sz val="10"/>
            <color indexed="81"/>
            <rFont val="Symbol"/>
            <family val="1"/>
            <charset val="2"/>
          </rPr>
          <t>a</t>
        </r>
        <r>
          <rPr>
            <vertAlign val="subscript"/>
            <sz val="10"/>
            <color indexed="81"/>
            <rFont val="Tahoma"/>
            <family val="2"/>
          </rPr>
          <t>z</t>
        </r>
        <r>
          <rPr>
            <sz val="10"/>
            <color indexed="81"/>
            <rFont val="Tahoma"/>
            <family val="2"/>
          </rPr>
          <t>L)^0.5 + B(1-EXP(-LV</t>
        </r>
        <r>
          <rPr>
            <vertAlign val="subscript"/>
            <sz val="10"/>
            <color indexed="81"/>
            <rFont val="Tahoma"/>
            <family val="2"/>
          </rPr>
          <t>f</t>
        </r>
        <r>
          <rPr>
            <sz val="10"/>
            <color indexed="81"/>
            <rFont val="Tahoma"/>
            <family val="2"/>
          </rPr>
          <t>/(Vn</t>
        </r>
        <r>
          <rPr>
            <vertAlign val="subscript"/>
            <sz val="10"/>
            <color indexed="81"/>
            <rFont val="Tahoma"/>
            <family val="2"/>
          </rPr>
          <t>F,a</t>
        </r>
        <r>
          <rPr>
            <sz val="10"/>
            <color indexed="81"/>
            <rFont val="Tahoma"/>
            <family val="2"/>
          </rPr>
          <t>B)))</t>
        </r>
      </text>
    </comment>
    <comment ref="A85" authorId="0" shapeId="0" xr:uid="{00000000-0006-0000-0100-000027000000}">
      <text>
        <r>
          <rPr>
            <sz val="10"/>
            <color indexed="81"/>
            <rFont val="Tahoma"/>
            <family val="2"/>
          </rPr>
          <t>= (2</t>
        </r>
        <r>
          <rPr>
            <sz val="10"/>
            <color indexed="81"/>
            <rFont val="Symbol"/>
            <family val="1"/>
            <charset val="2"/>
          </rPr>
          <t>a</t>
        </r>
        <r>
          <rPr>
            <vertAlign val="subscript"/>
            <sz val="10"/>
            <color indexed="81"/>
            <rFont val="Tahoma"/>
            <family val="2"/>
          </rPr>
          <t>z</t>
        </r>
        <r>
          <rPr>
            <sz val="10"/>
            <color indexed="81"/>
            <rFont val="Tahoma"/>
            <family val="2"/>
          </rPr>
          <t>(L+D</t>
        </r>
        <r>
          <rPr>
            <vertAlign val="subscript"/>
            <sz val="10"/>
            <color indexed="81"/>
            <rFont val="Tahoma"/>
            <family val="2"/>
          </rPr>
          <t>receptor</t>
        </r>
        <r>
          <rPr>
            <sz val="10"/>
            <color indexed="81"/>
            <rFont val="Tahoma"/>
            <family val="2"/>
          </rPr>
          <t>))^0.5 + B[1 - EXP( -(LV</t>
        </r>
        <r>
          <rPr>
            <vertAlign val="subscript"/>
            <sz val="10"/>
            <color indexed="81"/>
            <rFont val="Tahoma"/>
            <family val="2"/>
          </rPr>
          <t>f</t>
        </r>
        <r>
          <rPr>
            <sz val="10"/>
            <color indexed="81"/>
            <rFont val="Tahoma"/>
            <family val="2"/>
          </rPr>
          <t xml:space="preserve"> + D</t>
        </r>
        <r>
          <rPr>
            <vertAlign val="subscript"/>
            <sz val="10"/>
            <color indexed="81"/>
            <rFont val="Tahoma"/>
            <family val="2"/>
          </rPr>
          <t>receptor</t>
        </r>
        <r>
          <rPr>
            <sz val="10"/>
            <color indexed="81"/>
            <rFont val="Tahoma"/>
            <family val="2"/>
          </rPr>
          <t>V</t>
        </r>
        <r>
          <rPr>
            <vertAlign val="subscript"/>
            <sz val="10"/>
            <color indexed="81"/>
            <rFont val="Tahoma"/>
            <family val="2"/>
          </rPr>
          <t>r</t>
        </r>
        <r>
          <rPr>
            <sz val="10"/>
            <color indexed="81"/>
            <rFont val="Tahoma"/>
            <family val="2"/>
          </rPr>
          <t>)/(Vn</t>
        </r>
        <r>
          <rPr>
            <vertAlign val="subscript"/>
            <sz val="10"/>
            <color indexed="81"/>
            <rFont val="Tahoma"/>
            <family val="2"/>
          </rPr>
          <t>F,a</t>
        </r>
        <r>
          <rPr>
            <sz val="10"/>
            <color indexed="81"/>
            <rFont val="Tahoma"/>
            <family val="2"/>
          </rPr>
          <t xml:space="preserve">B) )] </t>
        </r>
      </text>
    </comment>
    <comment ref="A86" authorId="0" shapeId="0" xr:uid="{00000000-0006-0000-0100-000028000000}">
      <text>
        <r>
          <rPr>
            <sz val="10"/>
            <color indexed="81"/>
            <rFont val="Tahoma"/>
            <family val="2"/>
          </rPr>
          <t>= V</t>
        </r>
        <r>
          <rPr>
            <vertAlign val="subscript"/>
            <sz val="10"/>
            <color indexed="81"/>
            <rFont val="Tahoma"/>
            <family val="2"/>
          </rPr>
          <t>r</t>
        </r>
        <r>
          <rPr>
            <sz val="10"/>
            <color indexed="81"/>
            <rFont val="Tahoma"/>
            <family val="2"/>
          </rPr>
          <t>*D</t>
        </r>
        <r>
          <rPr>
            <vertAlign val="subscript"/>
            <sz val="10"/>
            <color indexed="81"/>
            <rFont val="Tahoma"/>
            <family val="2"/>
          </rPr>
          <t>receptor</t>
        </r>
      </text>
    </comment>
    <comment ref="A87" authorId="0" shapeId="0" xr:uid="{00000000-0006-0000-0100-000029000000}">
      <text>
        <r>
          <rPr>
            <sz val="10"/>
            <color indexed="81"/>
            <rFont val="Tahoma"/>
            <family val="2"/>
          </rPr>
          <t>= B*K*dh/dx</t>
        </r>
      </text>
    </comment>
    <comment ref="A88" authorId="0" shapeId="0" xr:uid="{00000000-0006-0000-0100-00002A000000}">
      <text>
        <r>
          <rPr>
            <sz val="10"/>
            <color indexed="81"/>
            <rFont val="Tahoma"/>
            <family val="2"/>
          </rPr>
          <t>= 1/ (0.99562 + 8.95506*(W/(D</t>
        </r>
        <r>
          <rPr>
            <vertAlign val="subscript"/>
            <sz val="10"/>
            <color indexed="81"/>
            <rFont val="Tahoma"/>
            <family val="2"/>
          </rPr>
          <t>receptor</t>
        </r>
        <r>
          <rPr>
            <sz val="10"/>
            <color indexed="81"/>
            <rFont val="Tahoma"/>
            <family val="2"/>
          </rPr>
          <t>*</t>
        </r>
        <r>
          <rPr>
            <sz val="10"/>
            <color indexed="81"/>
            <rFont val="Symbol"/>
            <family val="1"/>
            <charset val="2"/>
          </rPr>
          <t>a</t>
        </r>
        <r>
          <rPr>
            <vertAlign val="subscript"/>
            <sz val="10"/>
            <color indexed="81"/>
            <rFont val="Tahoma"/>
            <family val="2"/>
          </rPr>
          <t>y</t>
        </r>
        <r>
          <rPr>
            <sz val="10"/>
            <color indexed="81"/>
            <rFont val="Tahoma"/>
            <family val="2"/>
          </rPr>
          <t>)</t>
        </r>
        <r>
          <rPr>
            <vertAlign val="superscript"/>
            <sz val="10"/>
            <color indexed="81"/>
            <rFont val="Tahoma"/>
            <family val="2"/>
          </rPr>
          <t>1/2</t>
        </r>
        <r>
          <rPr>
            <sz val="10"/>
            <color indexed="81"/>
            <rFont val="Tahoma"/>
            <family val="2"/>
          </rPr>
          <t xml:space="preserve"> )</t>
        </r>
        <r>
          <rPr>
            <vertAlign val="superscript"/>
            <sz val="10"/>
            <color indexed="81"/>
            <rFont val="Tahoma"/>
            <family val="2"/>
          </rPr>
          <t>-1.5</t>
        </r>
        <r>
          <rPr>
            <sz val="10"/>
            <color indexed="81"/>
            <rFont val="Tahoma"/>
            <family val="2"/>
          </rPr>
          <t xml:space="preserve"> ) </t>
        </r>
      </text>
    </comment>
    <comment ref="A89" authorId="0" shapeId="0" xr:uid="{00000000-0006-0000-0100-00002B000000}">
      <text>
        <r>
          <rPr>
            <b/>
            <sz val="10"/>
            <color indexed="81"/>
            <rFont val="Tahoma"/>
            <family val="2"/>
          </rPr>
          <t>IF</t>
        </r>
        <r>
          <rPr>
            <sz val="10"/>
            <color indexed="81"/>
            <rFont val="Tahoma"/>
            <family val="2"/>
          </rPr>
          <t xml:space="preserve"> H&gt;=B, </t>
        </r>
        <r>
          <rPr>
            <b/>
            <sz val="10"/>
            <color indexed="81"/>
            <rFont val="Tahoma"/>
            <family val="2"/>
          </rPr>
          <t>THEN</t>
        </r>
        <r>
          <rPr>
            <sz val="10"/>
            <color indexed="81"/>
            <rFont val="Tahoma"/>
            <family val="2"/>
          </rPr>
          <t xml:space="preserve"> F</t>
        </r>
        <r>
          <rPr>
            <vertAlign val="subscript"/>
            <sz val="10"/>
            <color indexed="81"/>
            <rFont val="Tahoma"/>
            <family val="2"/>
          </rPr>
          <t>z</t>
        </r>
        <r>
          <rPr>
            <sz val="10"/>
            <color indexed="81"/>
            <rFont val="Tahoma"/>
            <family val="2"/>
          </rPr>
          <t xml:space="preserve"> = 1,
</t>
        </r>
        <r>
          <rPr>
            <b/>
            <sz val="10"/>
            <color indexed="81"/>
            <rFont val="Tahoma"/>
            <family val="2"/>
          </rPr>
          <t>ELSE, IF</t>
        </r>
        <r>
          <rPr>
            <sz val="10"/>
            <color indexed="81"/>
            <rFont val="Tahoma"/>
            <family val="2"/>
          </rPr>
          <t xml:space="preserve"> (H&lt;H' AND B&lt;H'), </t>
        </r>
        <r>
          <rPr>
            <b/>
            <sz val="10"/>
            <color indexed="81"/>
            <rFont val="Tahoma"/>
            <family val="2"/>
          </rPr>
          <t>THEN</t>
        </r>
        <r>
          <rPr>
            <sz val="10"/>
            <color indexed="81"/>
            <rFont val="Tahoma"/>
            <family val="2"/>
          </rPr>
          <t xml:space="preserve"> F</t>
        </r>
        <r>
          <rPr>
            <vertAlign val="subscript"/>
            <sz val="10"/>
            <color indexed="81"/>
            <rFont val="Tahoma"/>
            <family val="2"/>
          </rPr>
          <t>z</t>
        </r>
        <r>
          <rPr>
            <sz val="10"/>
            <color indexed="81"/>
            <rFont val="Tahoma"/>
            <family val="2"/>
          </rPr>
          <t xml:space="preserve"> = H/B,
</t>
        </r>
        <r>
          <rPr>
            <b/>
            <sz val="10"/>
            <color indexed="81"/>
            <rFont val="Tahoma"/>
            <family val="2"/>
          </rPr>
          <t>ELSE,</t>
        </r>
        <r>
          <rPr>
            <sz val="10"/>
            <color indexed="81"/>
            <rFont val="Tahoma"/>
            <family val="2"/>
          </rPr>
          <t xml:space="preserve"> F</t>
        </r>
        <r>
          <rPr>
            <vertAlign val="subscript"/>
            <sz val="10"/>
            <color indexed="81"/>
            <rFont val="Tahoma"/>
            <family val="2"/>
          </rPr>
          <t>z</t>
        </r>
        <r>
          <rPr>
            <sz val="10"/>
            <color indexed="81"/>
            <rFont val="Tahoma"/>
            <family val="2"/>
          </rPr>
          <t xml:space="preserve"> = (1.303*(L/(L+D</t>
        </r>
        <r>
          <rPr>
            <vertAlign val="subscript"/>
            <sz val="10"/>
            <color indexed="81"/>
            <rFont val="Tahoma"/>
            <family val="2"/>
          </rPr>
          <t>receptor</t>
        </r>
        <r>
          <rPr>
            <sz val="10"/>
            <color indexed="81"/>
            <rFont val="Tahoma"/>
            <family val="2"/>
          </rPr>
          <t>))</t>
        </r>
        <r>
          <rPr>
            <vertAlign val="superscript"/>
            <sz val="10"/>
            <color indexed="81"/>
            <rFont val="Tahoma"/>
            <family val="2"/>
          </rPr>
          <t>1/2</t>
        </r>
        <r>
          <rPr>
            <sz val="10"/>
            <color indexed="81"/>
            <rFont val="Tahoma"/>
            <family val="2"/>
          </rPr>
          <t xml:space="preserve"> - 0.1733))</t>
        </r>
      </text>
    </comment>
    <comment ref="A90" authorId="0" shapeId="0" xr:uid="{00000000-0006-0000-0100-00002C000000}">
      <text>
        <r>
          <rPr>
            <sz val="10"/>
            <color indexed="81"/>
            <rFont val="Tahoma"/>
            <family val="2"/>
          </rPr>
          <t>= 1 - 0.9877*q</t>
        </r>
        <r>
          <rPr>
            <vertAlign val="subscript"/>
            <sz val="10"/>
            <color indexed="81"/>
            <rFont val="Tahoma"/>
            <family val="2"/>
          </rPr>
          <t>r</t>
        </r>
        <r>
          <rPr>
            <sz val="10"/>
            <color indexed="81"/>
            <rFont val="Tahoma"/>
            <family val="2"/>
          </rPr>
          <t>/(q</t>
        </r>
        <r>
          <rPr>
            <vertAlign val="subscript"/>
            <sz val="10"/>
            <color indexed="81"/>
            <rFont val="Tahoma"/>
            <family val="2"/>
          </rPr>
          <t>s</t>
        </r>
        <r>
          <rPr>
            <sz val="10"/>
            <color indexed="81"/>
            <rFont val="Tahoma"/>
            <family val="2"/>
          </rPr>
          <t>*H'/B + q</t>
        </r>
        <r>
          <rPr>
            <vertAlign val="subscript"/>
            <sz val="10"/>
            <color indexed="81"/>
            <rFont val="Tahoma"/>
            <family val="2"/>
          </rPr>
          <t>r</t>
        </r>
        <r>
          <rPr>
            <sz val="10"/>
            <color indexed="81"/>
            <rFont val="Tahoma"/>
            <family val="2"/>
          </rPr>
          <t xml:space="preserve">)  </t>
        </r>
      </text>
    </comment>
    <comment ref="A91" authorId="0" shapeId="0" xr:uid="{00000000-0006-0000-0100-00002D000000}">
      <text>
        <r>
          <rPr>
            <b/>
            <sz val="10"/>
            <color indexed="81"/>
            <rFont val="Tahoma"/>
            <family val="2"/>
          </rPr>
          <t xml:space="preserve">=IF </t>
        </r>
        <r>
          <rPr>
            <sz val="10"/>
            <color indexed="81"/>
            <rFont val="Tahoma"/>
            <family val="2"/>
          </rPr>
          <t xml:space="preserve">H&gt;B, </t>
        </r>
        <r>
          <rPr>
            <b/>
            <sz val="10"/>
            <color indexed="81"/>
            <rFont val="Tahoma"/>
            <family val="2"/>
          </rPr>
          <t xml:space="preserve">THEN, </t>
        </r>
        <r>
          <rPr>
            <sz val="10"/>
            <color indexed="81"/>
            <rFont val="Tahoma"/>
            <family val="2"/>
          </rPr>
          <t>DAF = (F</t>
        </r>
        <r>
          <rPr>
            <vertAlign val="subscript"/>
            <sz val="10"/>
            <color indexed="81"/>
            <rFont val="Tahoma"/>
            <family val="2"/>
          </rPr>
          <t>y</t>
        </r>
        <r>
          <rPr>
            <sz val="10"/>
            <color indexed="81"/>
            <rFont val="Tahoma"/>
            <family val="2"/>
          </rPr>
          <t>F</t>
        </r>
        <r>
          <rPr>
            <vertAlign val="subscript"/>
            <sz val="10"/>
            <color indexed="81"/>
            <rFont val="Tahoma"/>
            <family val="2"/>
          </rPr>
          <t>z</t>
        </r>
        <r>
          <rPr>
            <sz val="10"/>
            <color indexed="81"/>
            <rFont val="Tahoma"/>
            <family val="2"/>
          </rPr>
          <t>F</t>
        </r>
        <r>
          <rPr>
            <vertAlign val="subscript"/>
            <sz val="10"/>
            <color indexed="81"/>
            <rFont val="Tahoma"/>
            <family val="2"/>
          </rPr>
          <t>r</t>
        </r>
        <r>
          <rPr>
            <sz val="10"/>
            <color indexed="81"/>
            <rFont val="Tahoma"/>
            <family val="2"/>
          </rPr>
          <t>*A</t>
        </r>
        <r>
          <rPr>
            <vertAlign val="subscript"/>
            <sz val="10"/>
            <color indexed="81"/>
            <rFont val="Tahoma"/>
            <family val="2"/>
          </rPr>
          <t>f</t>
        </r>
        <r>
          <rPr>
            <sz val="10"/>
            <color indexed="81"/>
            <rFont val="Tahoma"/>
            <family val="2"/>
          </rPr>
          <t>V</t>
        </r>
        <r>
          <rPr>
            <vertAlign val="subscript"/>
            <sz val="10"/>
            <color indexed="81"/>
            <rFont val="Tahoma"/>
            <family val="2"/>
          </rPr>
          <t>f</t>
        </r>
        <r>
          <rPr>
            <sz val="10"/>
            <color indexed="81"/>
            <rFont val="Tahoma"/>
            <family val="2"/>
          </rPr>
          <t>/(A</t>
        </r>
        <r>
          <rPr>
            <vertAlign val="subscript"/>
            <sz val="10"/>
            <color indexed="81"/>
            <rFont val="Tahoma"/>
            <family val="2"/>
          </rPr>
          <t>f</t>
        </r>
        <r>
          <rPr>
            <sz val="10"/>
            <color indexed="81"/>
            <rFont val="Tahoma"/>
            <family val="2"/>
          </rPr>
          <t>V</t>
        </r>
        <r>
          <rPr>
            <vertAlign val="subscript"/>
            <sz val="10"/>
            <color indexed="81"/>
            <rFont val="Tahoma"/>
            <family val="2"/>
          </rPr>
          <t>f</t>
        </r>
        <r>
          <rPr>
            <sz val="10"/>
            <color indexed="81"/>
            <rFont val="Tahoma"/>
            <family val="2"/>
          </rPr>
          <t>+Vn</t>
        </r>
        <r>
          <rPr>
            <vertAlign val="subscript"/>
            <sz val="10"/>
            <color indexed="81"/>
            <rFont val="Tahoma"/>
            <family val="2"/>
          </rPr>
          <t>F,a</t>
        </r>
        <r>
          <rPr>
            <sz val="10"/>
            <color indexed="81"/>
            <rFont val="Tahoma"/>
            <family val="2"/>
          </rPr>
          <t>B(W/6)*(2</t>
        </r>
        <r>
          <rPr>
            <sz val="10"/>
            <color indexed="81"/>
            <rFont val="Symbol"/>
            <family val="1"/>
            <charset val="2"/>
          </rPr>
          <t>p</t>
        </r>
        <r>
          <rPr>
            <sz val="10"/>
            <color indexed="81"/>
            <rFont val="Tahoma"/>
            <family val="2"/>
          </rPr>
          <t>)</t>
        </r>
        <r>
          <rPr>
            <vertAlign val="superscript"/>
            <sz val="10"/>
            <color indexed="81"/>
            <rFont val="Tahoma"/>
            <family val="2"/>
          </rPr>
          <t>1/2</t>
        </r>
        <r>
          <rPr>
            <sz val="10"/>
            <color indexed="81"/>
            <rFont val="Tahoma"/>
            <family val="2"/>
          </rPr>
          <t>)),</t>
        </r>
        <r>
          <rPr>
            <b/>
            <sz val="10"/>
            <color indexed="81"/>
            <rFont val="Tahoma"/>
            <family val="2"/>
          </rPr>
          <t xml:space="preserve">
ELSE, </t>
        </r>
        <r>
          <rPr>
            <sz val="10"/>
            <color indexed="81"/>
            <rFont val="Tahoma"/>
            <family val="2"/>
          </rPr>
          <t>DAF = F</t>
        </r>
        <r>
          <rPr>
            <vertAlign val="subscript"/>
            <sz val="10"/>
            <color indexed="81"/>
            <rFont val="Tahoma"/>
            <family val="2"/>
          </rPr>
          <t>y</t>
        </r>
        <r>
          <rPr>
            <sz val="10"/>
            <color indexed="81"/>
            <rFont val="Tahoma"/>
            <family val="2"/>
          </rPr>
          <t>F</t>
        </r>
        <r>
          <rPr>
            <vertAlign val="subscript"/>
            <sz val="10"/>
            <color indexed="81"/>
            <rFont val="Tahoma"/>
            <family val="2"/>
          </rPr>
          <t>z</t>
        </r>
        <r>
          <rPr>
            <sz val="10"/>
            <color indexed="81"/>
            <rFont val="Tahoma"/>
            <family val="2"/>
          </rPr>
          <t>F</t>
        </r>
        <r>
          <rPr>
            <vertAlign val="subscript"/>
            <sz val="10"/>
            <color indexed="81"/>
            <rFont val="Tahoma"/>
            <family val="2"/>
          </rPr>
          <t>r</t>
        </r>
        <r>
          <rPr>
            <sz val="10"/>
            <color indexed="81"/>
            <rFont val="Tahoma"/>
            <family val="2"/>
          </rPr>
          <t>*A</t>
        </r>
        <r>
          <rPr>
            <vertAlign val="subscript"/>
            <sz val="10"/>
            <color indexed="81"/>
            <rFont val="Tahoma"/>
            <family val="2"/>
          </rPr>
          <t>f</t>
        </r>
        <r>
          <rPr>
            <sz val="10"/>
            <color indexed="81"/>
            <rFont val="Tahoma"/>
            <family val="2"/>
          </rPr>
          <t>V</t>
        </r>
        <r>
          <rPr>
            <vertAlign val="subscript"/>
            <sz val="10"/>
            <color indexed="81"/>
            <rFont val="Tahoma"/>
            <family val="2"/>
          </rPr>
          <t>f</t>
        </r>
        <r>
          <rPr>
            <sz val="10"/>
            <color indexed="81"/>
            <rFont val="Tahoma"/>
            <family val="2"/>
          </rPr>
          <t>/(A</t>
        </r>
        <r>
          <rPr>
            <vertAlign val="subscript"/>
            <sz val="10"/>
            <color indexed="81"/>
            <rFont val="Tahoma"/>
            <family val="2"/>
          </rPr>
          <t>f</t>
        </r>
        <r>
          <rPr>
            <sz val="10"/>
            <color indexed="81"/>
            <rFont val="Tahoma"/>
            <family val="2"/>
          </rPr>
          <t>V</t>
        </r>
        <r>
          <rPr>
            <vertAlign val="subscript"/>
            <sz val="10"/>
            <color indexed="81"/>
            <rFont val="Tahoma"/>
            <family val="2"/>
          </rPr>
          <t>f</t>
        </r>
        <r>
          <rPr>
            <sz val="10"/>
            <color indexed="81"/>
            <rFont val="Tahoma"/>
            <family val="2"/>
          </rPr>
          <t>+Vn</t>
        </r>
        <r>
          <rPr>
            <vertAlign val="subscript"/>
            <sz val="10"/>
            <color indexed="81"/>
            <rFont val="Tahoma"/>
            <family val="2"/>
          </rPr>
          <t>F,a</t>
        </r>
        <r>
          <rPr>
            <sz val="10"/>
            <color indexed="81"/>
            <rFont val="Tahoma"/>
            <family val="2"/>
          </rPr>
          <t>H(W/6)*(2</t>
        </r>
        <r>
          <rPr>
            <sz val="10"/>
            <color indexed="81"/>
            <rFont val="Symbol"/>
            <family val="1"/>
            <charset val="2"/>
          </rPr>
          <t>p</t>
        </r>
        <r>
          <rPr>
            <sz val="10"/>
            <color indexed="81"/>
            <rFont val="Tahoma"/>
            <family val="2"/>
          </rPr>
          <t>)</t>
        </r>
        <r>
          <rPr>
            <vertAlign val="superscript"/>
            <sz val="10"/>
            <color indexed="81"/>
            <rFont val="Tahoma"/>
            <family val="2"/>
          </rPr>
          <t>1/2</t>
        </r>
        <r>
          <rPr>
            <sz val="10"/>
            <color indexed="81"/>
            <rFont val="Tahoma"/>
            <family val="2"/>
          </rPr>
          <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Michael Brooks</author>
    <author>Susan Bailey</author>
    <author>U4EERSEB</author>
    <author>Cheryl Lloyd</author>
  </authors>
  <commentList>
    <comment ref="F3" authorId="0" shapeId="0" xr:uid="{00000000-0006-0000-0200-000001000000}">
      <text>
        <r>
          <rPr>
            <b/>
            <sz val="8"/>
            <color indexed="81"/>
            <rFont val="Tahoma"/>
            <family val="2"/>
          </rPr>
          <t>D</t>
        </r>
        <r>
          <rPr>
            <sz val="8"/>
            <color indexed="81"/>
            <rFont val="Tahoma"/>
          </rPr>
          <t>iethylene</t>
        </r>
        <r>
          <rPr>
            <b/>
            <sz val="8"/>
            <color indexed="81"/>
            <rFont val="Tahoma"/>
            <family val="2"/>
          </rPr>
          <t>T</t>
        </r>
        <r>
          <rPr>
            <sz val="8"/>
            <color indexed="81"/>
            <rFont val="Tahoma"/>
          </rPr>
          <t>riamine-</t>
        </r>
        <r>
          <rPr>
            <b/>
            <sz val="8"/>
            <color indexed="81"/>
            <rFont val="Tahoma"/>
            <family val="2"/>
          </rPr>
          <t>P</t>
        </r>
        <r>
          <rPr>
            <sz val="8"/>
            <color indexed="81"/>
            <rFont val="Tahoma"/>
          </rPr>
          <t xml:space="preserve">entaacetic </t>
        </r>
        <r>
          <rPr>
            <b/>
            <sz val="8"/>
            <color indexed="81"/>
            <rFont val="Tahoma"/>
            <family val="2"/>
          </rPr>
          <t>A</t>
        </r>
        <r>
          <rPr>
            <sz val="8"/>
            <color indexed="81"/>
            <rFont val="Tahoma"/>
          </rPr>
          <t>cid</t>
        </r>
      </text>
    </comment>
    <comment ref="G3" authorId="0" shapeId="0" xr:uid="{00000000-0006-0000-0200-000002000000}">
      <text>
        <r>
          <rPr>
            <b/>
            <sz val="8"/>
            <color indexed="81"/>
            <rFont val="Tahoma"/>
            <family val="2"/>
          </rPr>
          <t>D</t>
        </r>
        <r>
          <rPr>
            <sz val="8"/>
            <color indexed="81"/>
            <rFont val="Tahoma"/>
          </rPr>
          <t>iethylene</t>
        </r>
        <r>
          <rPr>
            <b/>
            <sz val="8"/>
            <color indexed="81"/>
            <rFont val="Tahoma"/>
            <family val="2"/>
          </rPr>
          <t>T</t>
        </r>
        <r>
          <rPr>
            <sz val="8"/>
            <color indexed="81"/>
            <rFont val="Tahoma"/>
          </rPr>
          <t>riamine-</t>
        </r>
        <r>
          <rPr>
            <b/>
            <sz val="8"/>
            <color indexed="81"/>
            <rFont val="Tahoma"/>
            <family val="2"/>
          </rPr>
          <t>P</t>
        </r>
        <r>
          <rPr>
            <sz val="8"/>
            <color indexed="81"/>
            <rFont val="Tahoma"/>
          </rPr>
          <t xml:space="preserve">entaacetic </t>
        </r>
        <r>
          <rPr>
            <b/>
            <sz val="8"/>
            <color indexed="81"/>
            <rFont val="Tahoma"/>
            <family val="2"/>
          </rPr>
          <t>A</t>
        </r>
        <r>
          <rPr>
            <sz val="8"/>
            <color indexed="81"/>
            <rFont val="Tahoma"/>
          </rPr>
          <t>cid</t>
        </r>
      </text>
    </comment>
    <comment ref="V3" authorId="1" shapeId="0" xr:uid="{00000000-0006-0000-0200-000003000000}">
      <text>
        <r>
          <rPr>
            <b/>
            <sz val="8"/>
            <color indexed="81"/>
            <rFont val="Tahoma"/>
            <family val="2"/>
          </rPr>
          <t>Metals</t>
        </r>
        <r>
          <rPr>
            <sz val="8"/>
            <color indexed="81"/>
            <rFont val="Tahoma"/>
          </rPr>
          <t xml:space="preserve">: = Kd of dredge material
</t>
        </r>
        <r>
          <rPr>
            <b/>
            <sz val="8"/>
            <color indexed="81"/>
            <rFont val="Tahoma"/>
            <family val="2"/>
          </rPr>
          <t>Organics:</t>
        </r>
        <r>
          <rPr>
            <sz val="8"/>
            <color indexed="81"/>
            <rFont val="Tahoma"/>
          </rPr>
          <t xml:space="preserve"> If TOC</t>
        </r>
        <r>
          <rPr>
            <vertAlign val="subscript"/>
            <sz val="8"/>
            <color indexed="81"/>
            <rFont val="Tahoma"/>
            <family val="2"/>
          </rPr>
          <t>F</t>
        </r>
        <r>
          <rPr>
            <sz val="8"/>
            <color indexed="81"/>
            <rFont val="Tahoma"/>
          </rPr>
          <t xml:space="preserve"> is available, then calculate as: 
K</t>
        </r>
        <r>
          <rPr>
            <vertAlign val="subscript"/>
            <sz val="8"/>
            <color indexed="81"/>
            <rFont val="Tahoma"/>
            <family val="2"/>
          </rPr>
          <t>d,F</t>
        </r>
        <r>
          <rPr>
            <sz val="8"/>
            <color indexed="81"/>
            <rFont val="Tahoma"/>
          </rPr>
          <t xml:space="preserve"> = (0.617*K</t>
        </r>
        <r>
          <rPr>
            <vertAlign val="subscript"/>
            <sz val="8"/>
            <color indexed="81"/>
            <rFont val="Tahoma"/>
            <family val="2"/>
          </rPr>
          <t>ow</t>
        </r>
        <r>
          <rPr>
            <sz val="8"/>
            <color indexed="81"/>
            <rFont val="Tahoma"/>
          </rPr>
          <t>*TOC</t>
        </r>
        <r>
          <rPr>
            <vertAlign val="subscript"/>
            <sz val="8"/>
            <color indexed="81"/>
            <rFont val="Tahoma"/>
            <family val="2"/>
          </rPr>
          <t>F</t>
        </r>
        <r>
          <rPr>
            <sz val="8"/>
            <color indexed="81"/>
            <rFont val="Tahoma"/>
          </rPr>
          <t>/100) / (1 + DOC</t>
        </r>
        <r>
          <rPr>
            <sz val="8"/>
            <color indexed="81"/>
            <rFont val="Tahoma"/>
          </rPr>
          <t>*K</t>
        </r>
        <r>
          <rPr>
            <vertAlign val="subscript"/>
            <sz val="8"/>
            <color indexed="81"/>
            <rFont val="Tahoma"/>
            <family val="2"/>
          </rPr>
          <t>ow</t>
        </r>
        <r>
          <rPr>
            <sz val="8"/>
            <color indexed="81"/>
            <rFont val="Tahoma"/>
          </rPr>
          <t>*0.000000617). Otherwise, assume = Kd of the dredged material.</t>
        </r>
      </text>
    </comment>
    <comment ref="W3" authorId="1" shapeId="0" xr:uid="{00000000-0006-0000-0200-000004000000}">
      <text>
        <r>
          <rPr>
            <b/>
            <sz val="8"/>
            <color indexed="81"/>
            <rFont val="Tahoma"/>
            <family val="2"/>
          </rPr>
          <t>= 1 + (K</t>
        </r>
        <r>
          <rPr>
            <b/>
            <vertAlign val="subscript"/>
            <sz val="8"/>
            <color indexed="81"/>
            <rFont val="Tahoma"/>
            <family val="2"/>
          </rPr>
          <t>d,F</t>
        </r>
        <r>
          <rPr>
            <b/>
            <sz val="8"/>
            <color indexed="81"/>
            <rFont val="Tahoma"/>
            <family val="2"/>
          </rPr>
          <t>/K</t>
        </r>
        <r>
          <rPr>
            <b/>
            <vertAlign val="subscript"/>
            <sz val="8"/>
            <color indexed="81"/>
            <rFont val="Tahoma"/>
            <family val="2"/>
          </rPr>
          <t>d</t>
        </r>
        <r>
          <rPr>
            <b/>
            <sz val="8"/>
            <color indexed="81"/>
            <rFont val="Tahoma"/>
            <family val="2"/>
          </rPr>
          <t>)</t>
        </r>
        <r>
          <rPr>
            <b/>
            <vertAlign val="superscript"/>
            <sz val="8"/>
            <color indexed="81"/>
            <rFont val="Tahoma"/>
            <family val="2"/>
          </rPr>
          <t>1.5</t>
        </r>
        <r>
          <rPr>
            <b/>
            <sz val="8"/>
            <color indexed="81"/>
            <rFont val="Tahoma"/>
            <family val="2"/>
          </rPr>
          <t>*((1-n</t>
        </r>
        <r>
          <rPr>
            <b/>
            <vertAlign val="subscript"/>
            <sz val="8"/>
            <color indexed="81"/>
            <rFont val="Tahoma"/>
            <family val="2"/>
          </rPr>
          <t>F,v</t>
        </r>
        <r>
          <rPr>
            <b/>
            <sz val="8"/>
            <color indexed="81"/>
            <rFont val="Tahoma"/>
            <family val="2"/>
          </rPr>
          <t>)/(1-n</t>
        </r>
        <r>
          <rPr>
            <vertAlign val="subscript"/>
            <sz val="8"/>
            <color indexed="81"/>
            <rFont val="Tahoma"/>
            <family val="2"/>
          </rPr>
          <t>sed</t>
        </r>
        <r>
          <rPr>
            <b/>
            <sz val="8"/>
            <color indexed="81"/>
            <rFont val="Tahoma"/>
            <family val="2"/>
          </rPr>
          <t>))</t>
        </r>
        <r>
          <rPr>
            <b/>
            <vertAlign val="superscript"/>
            <sz val="8"/>
            <color indexed="81"/>
            <rFont val="Tahoma"/>
            <family val="2"/>
          </rPr>
          <t xml:space="preserve">1.5 </t>
        </r>
        <r>
          <rPr>
            <b/>
            <sz val="8"/>
            <color indexed="81"/>
            <rFont val="Tahoma"/>
            <family val="2"/>
          </rPr>
          <t>*(SG</t>
        </r>
        <r>
          <rPr>
            <b/>
            <vertAlign val="subscript"/>
            <sz val="8"/>
            <color indexed="81"/>
            <rFont val="Tahoma"/>
            <family val="2"/>
          </rPr>
          <t>F</t>
        </r>
        <r>
          <rPr>
            <b/>
            <sz val="8"/>
            <color indexed="81"/>
            <rFont val="Tahoma"/>
            <family val="2"/>
          </rPr>
          <t>/SG)</t>
        </r>
        <r>
          <rPr>
            <b/>
            <vertAlign val="superscript"/>
            <sz val="8"/>
            <color indexed="81"/>
            <rFont val="Tahoma"/>
            <family val="2"/>
          </rPr>
          <t xml:space="preserve">1.5 </t>
        </r>
        <r>
          <rPr>
            <b/>
            <sz val="8"/>
            <color indexed="81"/>
            <rFont val="Tahoma"/>
            <family val="2"/>
          </rPr>
          <t>*(T</t>
        </r>
        <r>
          <rPr>
            <b/>
            <vertAlign val="subscript"/>
            <sz val="8"/>
            <color indexed="81"/>
            <rFont val="Tahoma"/>
            <family val="2"/>
          </rPr>
          <t>F</t>
        </r>
        <r>
          <rPr>
            <b/>
            <sz val="8"/>
            <color indexed="81"/>
            <rFont val="Tahoma"/>
            <family val="2"/>
          </rPr>
          <t>/T</t>
        </r>
        <r>
          <rPr>
            <b/>
            <vertAlign val="subscript"/>
            <sz val="8"/>
            <color indexed="81"/>
            <rFont val="Tahoma"/>
            <family val="2"/>
          </rPr>
          <t>D</t>
        </r>
        <r>
          <rPr>
            <b/>
            <sz val="8"/>
            <color indexed="81"/>
            <rFont val="Tahoma"/>
            <family val="2"/>
          </rPr>
          <t>) *(1/(39.37*T</t>
        </r>
        <r>
          <rPr>
            <b/>
            <vertAlign val="subscript"/>
            <sz val="8"/>
            <color indexed="81"/>
            <rFont val="Tahoma"/>
            <family val="2"/>
          </rPr>
          <t>D</t>
        </r>
        <r>
          <rPr>
            <b/>
            <sz val="8"/>
            <color indexed="81"/>
            <rFont val="Tahoma"/>
            <family val="2"/>
          </rPr>
          <t>))</t>
        </r>
        <r>
          <rPr>
            <b/>
            <vertAlign val="superscript"/>
            <sz val="8"/>
            <color indexed="81"/>
            <rFont val="Tahoma"/>
            <family val="2"/>
          </rPr>
          <t>0.25</t>
        </r>
      </text>
    </comment>
    <comment ref="X3" authorId="1" shapeId="0" xr:uid="{00000000-0006-0000-0200-000005000000}">
      <text>
        <r>
          <rPr>
            <b/>
            <sz val="8"/>
            <color indexed="81"/>
            <rFont val="Tahoma"/>
          </rPr>
          <t>=</t>
        </r>
        <r>
          <rPr>
            <sz val="8"/>
            <color indexed="81"/>
            <rFont val="Tahoma"/>
            <family val="2"/>
          </rPr>
          <t xml:space="preserve"> </t>
        </r>
        <r>
          <rPr>
            <b/>
            <sz val="8"/>
            <color indexed="81"/>
            <rFont val="Tahoma"/>
            <family val="2"/>
          </rPr>
          <t>0.15*SG</t>
        </r>
        <r>
          <rPr>
            <b/>
            <vertAlign val="subscript"/>
            <sz val="8"/>
            <color indexed="81"/>
            <rFont val="Tahoma"/>
            <family val="2"/>
          </rPr>
          <t>F</t>
        </r>
        <r>
          <rPr>
            <b/>
            <sz val="8"/>
            <color indexed="81"/>
            <rFont val="Tahoma"/>
            <family val="2"/>
          </rPr>
          <t>*(1-n</t>
        </r>
        <r>
          <rPr>
            <b/>
            <vertAlign val="subscript"/>
            <sz val="8"/>
            <color indexed="81"/>
            <rFont val="Tahoma"/>
            <family val="2"/>
          </rPr>
          <t>F,v</t>
        </r>
        <r>
          <rPr>
            <b/>
            <sz val="8"/>
            <color indexed="81"/>
            <rFont val="Tahoma"/>
            <family val="2"/>
          </rPr>
          <t>)*K</t>
        </r>
        <r>
          <rPr>
            <b/>
            <vertAlign val="subscript"/>
            <sz val="8"/>
            <color indexed="81"/>
            <rFont val="Tahoma"/>
            <family val="2"/>
          </rPr>
          <t>d,F</t>
        </r>
        <r>
          <rPr>
            <b/>
            <sz val="8"/>
            <color indexed="81"/>
            <rFont val="Tahoma"/>
            <family val="2"/>
          </rPr>
          <t>*(13.12*T</t>
        </r>
        <r>
          <rPr>
            <b/>
            <vertAlign val="subscript"/>
            <sz val="8"/>
            <color indexed="81"/>
            <rFont val="Tahoma"/>
            <family val="2"/>
          </rPr>
          <t>F</t>
        </r>
        <r>
          <rPr>
            <b/>
            <sz val="8"/>
            <color indexed="81"/>
            <rFont val="Tahoma"/>
            <family val="2"/>
          </rPr>
          <t>)</t>
        </r>
        <r>
          <rPr>
            <b/>
            <vertAlign val="superscript"/>
            <sz val="8"/>
            <color indexed="81"/>
            <rFont val="Tahoma"/>
            <family val="2"/>
          </rPr>
          <t xml:space="preserve">a50 </t>
        </r>
        <r>
          <rPr>
            <b/>
            <sz val="8"/>
            <color indexed="81"/>
            <rFont val="Tahoma"/>
            <family val="2"/>
          </rPr>
          <t xml:space="preserve"> / (VDF*V</t>
        </r>
        <r>
          <rPr>
            <b/>
            <vertAlign val="subscript"/>
            <sz val="8"/>
            <color indexed="81"/>
            <rFont val="Tahoma"/>
            <family val="2"/>
          </rPr>
          <t>f</t>
        </r>
        <r>
          <rPr>
            <sz val="8"/>
            <color indexed="81"/>
            <rFont val="Tahoma"/>
          </rPr>
          <t xml:space="preserve">)
where, 
</t>
        </r>
        <r>
          <rPr>
            <b/>
            <sz val="8"/>
            <color indexed="81"/>
            <rFont val="Tahoma"/>
            <family val="2"/>
          </rPr>
          <t xml:space="preserve">   a</t>
        </r>
        <r>
          <rPr>
            <b/>
            <vertAlign val="subscript"/>
            <sz val="8"/>
            <color indexed="81"/>
            <rFont val="Tahoma"/>
            <family val="2"/>
          </rPr>
          <t>50</t>
        </r>
        <r>
          <rPr>
            <b/>
            <sz val="8"/>
            <color indexed="81"/>
            <rFont val="Tahoma"/>
            <family val="2"/>
          </rPr>
          <t xml:space="preserve"> = 0.112*LN[SG</t>
        </r>
        <r>
          <rPr>
            <b/>
            <vertAlign val="subscript"/>
            <sz val="8"/>
            <color indexed="81"/>
            <rFont val="Tahoma"/>
            <family val="2"/>
          </rPr>
          <t>F</t>
        </r>
        <r>
          <rPr>
            <b/>
            <sz val="8"/>
            <color indexed="81"/>
            <rFont val="Tahoma"/>
            <family val="2"/>
          </rPr>
          <t>*(1-n</t>
        </r>
        <r>
          <rPr>
            <b/>
            <vertAlign val="subscript"/>
            <sz val="8"/>
            <color indexed="81"/>
            <rFont val="Tahoma"/>
            <family val="2"/>
          </rPr>
          <t>F,v</t>
        </r>
        <r>
          <rPr>
            <b/>
            <sz val="8"/>
            <color indexed="81"/>
            <rFont val="Tahoma"/>
            <family val="2"/>
          </rPr>
          <t>)*K</t>
        </r>
        <r>
          <rPr>
            <b/>
            <vertAlign val="subscript"/>
            <sz val="8"/>
            <color indexed="81"/>
            <rFont val="Tahoma"/>
            <family val="2"/>
          </rPr>
          <t>d,F</t>
        </r>
        <r>
          <rPr>
            <b/>
            <sz val="8"/>
            <color indexed="81"/>
            <rFont val="Tahoma"/>
            <family val="2"/>
          </rPr>
          <t xml:space="preserve">] + 1.38  
</t>
        </r>
      </text>
    </comment>
    <comment ref="Y3" authorId="1" shapeId="0" xr:uid="{00000000-0006-0000-0200-000006000000}">
      <text>
        <r>
          <rPr>
            <b/>
            <sz val="8"/>
            <color indexed="81"/>
            <rFont val="Tahoma"/>
          </rPr>
          <t>=VDF * ADF</t>
        </r>
      </text>
    </comment>
    <comment ref="Z3" authorId="1" shapeId="0" xr:uid="{00000000-0006-0000-0200-000007000000}">
      <text>
        <r>
          <rPr>
            <sz val="8"/>
            <color indexed="81"/>
            <rFont val="Tahoma"/>
            <family val="2"/>
          </rPr>
          <t xml:space="preserve">IF  </t>
        </r>
        <r>
          <rPr>
            <b/>
            <sz val="8"/>
            <color indexed="81"/>
            <rFont val="Tahoma"/>
          </rPr>
          <t>t</t>
        </r>
        <r>
          <rPr>
            <b/>
            <vertAlign val="subscript"/>
            <sz val="8"/>
            <color indexed="81"/>
            <rFont val="Tahoma"/>
            <family val="2"/>
          </rPr>
          <t>i</t>
        </r>
        <r>
          <rPr>
            <b/>
            <sz val="8"/>
            <color indexed="81"/>
            <rFont val="Tahoma"/>
          </rPr>
          <t>&lt;t</t>
        </r>
        <r>
          <rPr>
            <b/>
            <vertAlign val="subscript"/>
            <sz val="8"/>
            <color indexed="81"/>
            <rFont val="Tahoma"/>
            <family val="2"/>
          </rPr>
          <t>P</t>
        </r>
        <r>
          <rPr>
            <b/>
            <sz val="8"/>
            <color indexed="81"/>
            <rFont val="Tahoma"/>
          </rPr>
          <t xml:space="preserve">,   </t>
        </r>
        <r>
          <rPr>
            <sz val="8"/>
            <color indexed="81"/>
            <rFont val="Tahoma"/>
            <family val="2"/>
          </rPr>
          <t xml:space="preserve">THEN 
   </t>
        </r>
        <r>
          <rPr>
            <b/>
            <sz val="8"/>
            <color indexed="81"/>
            <rFont val="Tahoma"/>
            <family val="2"/>
          </rPr>
          <t>DAF</t>
        </r>
        <r>
          <rPr>
            <b/>
            <vertAlign val="subscript"/>
            <sz val="8"/>
            <color indexed="81"/>
            <rFont val="Tahoma"/>
            <family val="2"/>
          </rPr>
          <t>i</t>
        </r>
        <r>
          <rPr>
            <b/>
            <sz val="8"/>
            <color indexed="81"/>
            <rFont val="Tahoma"/>
            <family val="2"/>
          </rPr>
          <t xml:space="preserve"> = VDF*ADF*(t</t>
        </r>
        <r>
          <rPr>
            <b/>
            <vertAlign val="subscript"/>
            <sz val="8"/>
            <color indexed="81"/>
            <rFont val="Tahoma"/>
            <family val="2"/>
          </rPr>
          <t>P</t>
        </r>
        <r>
          <rPr>
            <b/>
            <sz val="8"/>
            <color indexed="81"/>
            <rFont val="Tahoma"/>
            <family val="2"/>
          </rPr>
          <t>/t</t>
        </r>
        <r>
          <rPr>
            <b/>
            <vertAlign val="subscript"/>
            <sz val="8"/>
            <color indexed="81"/>
            <rFont val="Tahoma"/>
            <family val="2"/>
          </rPr>
          <t>i</t>
        </r>
        <r>
          <rPr>
            <b/>
            <sz val="8"/>
            <color indexed="81"/>
            <rFont val="Tahoma"/>
          </rPr>
          <t xml:space="preserve">)
</t>
        </r>
        <r>
          <rPr>
            <sz val="8"/>
            <color indexed="81"/>
            <rFont val="Tahoma"/>
            <family val="2"/>
          </rPr>
          <t xml:space="preserve">ELSE, </t>
        </r>
        <r>
          <rPr>
            <b/>
            <sz val="8"/>
            <color indexed="81"/>
            <rFont val="Tahoma"/>
            <family val="2"/>
          </rPr>
          <t xml:space="preserve"> DAF</t>
        </r>
        <r>
          <rPr>
            <b/>
            <vertAlign val="subscript"/>
            <sz val="8"/>
            <color indexed="81"/>
            <rFont val="Tahoma"/>
            <family val="2"/>
          </rPr>
          <t>i</t>
        </r>
        <r>
          <rPr>
            <b/>
            <sz val="8"/>
            <color indexed="81"/>
            <rFont val="Tahoma"/>
            <family val="2"/>
          </rPr>
          <t xml:space="preserve"> = VDF*ADF</t>
        </r>
      </text>
    </comment>
    <comment ref="AA3" authorId="1" shapeId="0" xr:uid="{00000000-0006-0000-0200-000008000000}">
      <text>
        <r>
          <rPr>
            <sz val="8"/>
            <color indexed="81"/>
            <rFont val="Tahoma"/>
            <family val="2"/>
          </rPr>
          <t>The user can enter a DAF here if they do not prefer to calculate the DAF based on input into the "Data" sheet.</t>
        </r>
      </text>
    </comment>
    <comment ref="AC4" authorId="1" shapeId="0" xr:uid="{00000000-0006-0000-0200-000009000000}">
      <text>
        <r>
          <rPr>
            <sz val="8"/>
            <color indexed="81"/>
            <rFont val="Tahoma"/>
            <family val="2"/>
          </rPr>
          <t>List includes National Primary Drinking Water Standards as well as Secondary Standards for Aluminum, Copper, Iron, Manganese, Silver and Zinc.</t>
        </r>
      </text>
    </comment>
    <comment ref="AH8" authorId="1" shapeId="0" xr:uid="{00000000-0006-0000-0200-00000A000000}">
      <text>
        <r>
          <rPr>
            <sz val="8"/>
            <color indexed="81"/>
            <rFont val="Tahoma"/>
          </rPr>
          <t>Includes current primary NAWQC as well as outdated NAWQC (from 1991), and Tier II Secondary Values (Suter and Tsao 1996).</t>
        </r>
      </text>
    </comment>
    <comment ref="AI8" authorId="1" shapeId="0" xr:uid="{00000000-0006-0000-0200-00000B000000}">
      <text>
        <r>
          <rPr>
            <sz val="8"/>
            <color indexed="81"/>
            <rFont val="Tahoma"/>
          </rPr>
          <t>Includes current primary NAWQC as well as outdated NAWQC (from 1991), and Tier II Secondary Values (Suter and Tsao 1996).</t>
        </r>
      </text>
    </comment>
    <comment ref="AJ8" authorId="1" shapeId="0" xr:uid="{00000000-0006-0000-0200-00000C000000}">
      <text>
        <r>
          <rPr>
            <sz val="8"/>
            <color indexed="81"/>
            <rFont val="Tahoma"/>
          </rPr>
          <t>Includes current primary NAWQC as well as outdated NAWQC from 1991.</t>
        </r>
      </text>
    </comment>
    <comment ref="AK8" authorId="1" shapeId="0" xr:uid="{00000000-0006-0000-0200-00000D000000}">
      <text>
        <r>
          <rPr>
            <sz val="8"/>
            <color indexed="81"/>
            <rFont val="Tahoma"/>
          </rPr>
          <t>Includes current primary NAWQC as well as outdated NAWQC from 1991.</t>
        </r>
      </text>
    </comment>
    <comment ref="Q11" authorId="2" shapeId="0" xr:uid="{00000000-0006-0000-0200-00000E000000}">
      <text>
        <r>
          <rPr>
            <sz val="8"/>
            <color indexed="81"/>
            <rFont val="Tahoma"/>
            <family val="2"/>
          </rPr>
          <t>The value for K</t>
        </r>
        <r>
          <rPr>
            <vertAlign val="subscript"/>
            <sz val="8"/>
            <color indexed="81"/>
            <rFont val="Tahoma"/>
            <family val="2"/>
          </rPr>
          <t>d</t>
        </r>
        <r>
          <rPr>
            <vertAlign val="superscript"/>
            <sz val="8"/>
            <color indexed="81"/>
            <rFont val="Tahoma"/>
            <family val="2"/>
          </rPr>
          <t>ox</t>
        </r>
        <r>
          <rPr>
            <sz val="8"/>
            <color indexed="81"/>
            <rFont val="Tahoma"/>
            <family val="2"/>
          </rPr>
          <t xml:space="preserve"> is used in the absence of a value for K</t>
        </r>
        <r>
          <rPr>
            <vertAlign val="subscript"/>
            <sz val="8"/>
            <color indexed="81"/>
            <rFont val="Tahoma"/>
            <family val="2"/>
          </rPr>
          <t>d</t>
        </r>
        <r>
          <rPr>
            <vertAlign val="superscript"/>
            <sz val="8"/>
            <color indexed="81"/>
            <rFont val="Tahoma"/>
            <family val="2"/>
          </rPr>
          <t>unox</t>
        </r>
        <r>
          <rPr>
            <sz val="8"/>
            <color indexed="81"/>
            <rFont val="Tahoma"/>
            <family val="2"/>
          </rPr>
          <t>, and is assumed to be conservative.</t>
        </r>
      </text>
    </comment>
    <comment ref="AC11" authorId="1" shapeId="0" xr:uid="{00000000-0006-0000-0200-00000F000000}">
      <text>
        <r>
          <rPr>
            <sz val="8"/>
            <color indexed="81"/>
            <rFont val="Tahoma"/>
          </rPr>
          <t>Secondary Standard.  Listed as 0.05 to 0.2 mg/L.</t>
        </r>
      </text>
    </comment>
    <comment ref="AD11" authorId="1" shapeId="0" xr:uid="{00000000-0006-0000-0200-000010000000}">
      <text>
        <r>
          <rPr>
            <sz val="8"/>
            <color indexed="81"/>
            <rFont val="Tahoma"/>
          </rPr>
          <t>Non Priority Pollutant, pH 6.5 - 9.0</t>
        </r>
      </text>
    </comment>
    <comment ref="AE11" authorId="1" shapeId="0" xr:uid="{00000000-0006-0000-0200-000011000000}">
      <text>
        <r>
          <rPr>
            <sz val="8"/>
            <color indexed="81"/>
            <rFont val="Tahoma"/>
          </rPr>
          <t>Non Priority Pollutant, pH 6.5 - 9.0</t>
        </r>
      </text>
    </comment>
    <comment ref="AH11" authorId="1" shapeId="0" xr:uid="{00000000-0006-0000-0200-000012000000}">
      <text>
        <r>
          <rPr>
            <sz val="8"/>
            <color indexed="81"/>
            <rFont val="Tahoma"/>
          </rPr>
          <t>Non Priority Pollutant, pH 6.5 - 9.0</t>
        </r>
      </text>
    </comment>
    <comment ref="AI11" authorId="1" shapeId="0" xr:uid="{00000000-0006-0000-0200-000013000000}">
      <text>
        <r>
          <rPr>
            <sz val="8"/>
            <color indexed="81"/>
            <rFont val="Tahoma"/>
          </rPr>
          <t>Non Priority Pollutant, pH 6.5 - 9.0</t>
        </r>
      </text>
    </comment>
    <comment ref="AH12" authorId="1" shapeId="0" xr:uid="{00000000-0006-0000-0200-000014000000}">
      <text>
        <r>
          <rPr>
            <sz val="8"/>
            <color indexed="81"/>
            <rFont val="Tahoma"/>
          </rPr>
          <t>Secondary Value</t>
        </r>
      </text>
    </comment>
    <comment ref="AI12" authorId="1" shapeId="0" xr:uid="{00000000-0006-0000-0200-000015000000}">
      <text>
        <r>
          <rPr>
            <sz val="8"/>
            <color indexed="81"/>
            <rFont val="Tahoma"/>
          </rPr>
          <t>Secondary Value</t>
        </r>
      </text>
    </comment>
    <comment ref="AH13" authorId="1" shapeId="0" xr:uid="{00000000-0006-0000-0200-000016000000}">
      <text>
        <r>
          <rPr>
            <sz val="8"/>
            <color indexed="81"/>
            <rFont val="Tahoma"/>
          </rPr>
          <t xml:space="preserve">As III:  340 ug/L
As V:  66 ug/L (secondary value) </t>
        </r>
      </text>
    </comment>
    <comment ref="AI13" authorId="1" shapeId="0" xr:uid="{00000000-0006-0000-0200-000017000000}">
      <text>
        <r>
          <rPr>
            <sz val="8"/>
            <color indexed="81"/>
            <rFont val="Tahoma"/>
          </rPr>
          <t xml:space="preserve">As III:  150 ug/L
As V:  3.1 ug/L (secondary value) </t>
        </r>
      </text>
    </comment>
    <comment ref="AL13" authorId="1" shapeId="0" xr:uid="{00000000-0006-0000-0200-000018000000}">
      <text>
        <r>
          <rPr>
            <sz val="8"/>
            <color indexed="81"/>
            <rFont val="Tahoma"/>
          </rPr>
          <t>As III</t>
        </r>
      </text>
    </comment>
    <comment ref="AM13" authorId="1" shapeId="0" xr:uid="{00000000-0006-0000-0200-000019000000}">
      <text>
        <r>
          <rPr>
            <sz val="8"/>
            <color indexed="81"/>
            <rFont val="Tahoma"/>
          </rPr>
          <t>As III</t>
        </r>
      </text>
    </comment>
    <comment ref="AN13" authorId="1" shapeId="0" xr:uid="{00000000-0006-0000-0200-00001A000000}">
      <text>
        <r>
          <rPr>
            <sz val="8"/>
            <color indexed="81"/>
            <rFont val="Tahoma"/>
          </rPr>
          <t>As III</t>
        </r>
      </text>
    </comment>
    <comment ref="AO13" authorId="1" shapeId="0" xr:uid="{00000000-0006-0000-0200-00001B000000}">
      <text>
        <r>
          <rPr>
            <sz val="8"/>
            <color indexed="81"/>
            <rFont val="Tahoma"/>
          </rPr>
          <t>As III</t>
        </r>
      </text>
    </comment>
    <comment ref="Q14" authorId="2" shapeId="0" xr:uid="{00000000-0006-0000-0200-00001C000000}">
      <text>
        <r>
          <rPr>
            <sz val="8"/>
            <color indexed="81"/>
            <rFont val="Tahoma"/>
            <family val="2"/>
          </rPr>
          <t>The value for K</t>
        </r>
        <r>
          <rPr>
            <vertAlign val="subscript"/>
            <sz val="8"/>
            <color indexed="81"/>
            <rFont val="Tahoma"/>
            <family val="2"/>
          </rPr>
          <t>d</t>
        </r>
        <r>
          <rPr>
            <vertAlign val="superscript"/>
            <sz val="8"/>
            <color indexed="81"/>
            <rFont val="Tahoma"/>
            <family val="2"/>
          </rPr>
          <t>ox</t>
        </r>
        <r>
          <rPr>
            <sz val="8"/>
            <color indexed="81"/>
            <rFont val="Tahoma"/>
            <family val="2"/>
          </rPr>
          <t xml:space="preserve"> is used in the absence of a value for K</t>
        </r>
        <r>
          <rPr>
            <vertAlign val="subscript"/>
            <sz val="8"/>
            <color indexed="81"/>
            <rFont val="Tahoma"/>
            <family val="2"/>
          </rPr>
          <t>d</t>
        </r>
        <r>
          <rPr>
            <vertAlign val="superscript"/>
            <sz val="8"/>
            <color indexed="81"/>
            <rFont val="Tahoma"/>
            <family val="2"/>
          </rPr>
          <t>unox</t>
        </r>
        <r>
          <rPr>
            <sz val="8"/>
            <color indexed="81"/>
            <rFont val="Tahoma"/>
            <family val="2"/>
          </rPr>
          <t>, and is assumed to be conservative.</t>
        </r>
      </text>
    </comment>
    <comment ref="AH14" authorId="1" shapeId="0" xr:uid="{00000000-0006-0000-0200-00001D000000}">
      <text>
        <r>
          <rPr>
            <sz val="8"/>
            <color indexed="81"/>
            <rFont val="Tahoma"/>
          </rPr>
          <t>Secondary Value</t>
        </r>
      </text>
    </comment>
    <comment ref="AI14" authorId="1" shapeId="0" xr:uid="{00000000-0006-0000-0200-00001E000000}">
      <text>
        <r>
          <rPr>
            <sz val="8"/>
            <color indexed="81"/>
            <rFont val="Tahoma"/>
          </rPr>
          <t>Secondary Value</t>
        </r>
      </text>
    </comment>
    <comment ref="AT14" authorId="1" shapeId="0" xr:uid="{00000000-0006-0000-0200-00001F000000}">
      <text>
        <r>
          <rPr>
            <sz val="8"/>
            <color indexed="81"/>
            <rFont val="Tahoma"/>
          </rPr>
          <t>Barium and compounds</t>
        </r>
      </text>
    </comment>
    <comment ref="AU14" authorId="1" shapeId="0" xr:uid="{00000000-0006-0000-0200-000020000000}">
      <text>
        <r>
          <rPr>
            <sz val="8"/>
            <color indexed="81"/>
            <rFont val="Tahoma"/>
          </rPr>
          <t>Barium and compounds</t>
        </r>
      </text>
    </comment>
    <comment ref="AH15" authorId="1" shapeId="0" xr:uid="{00000000-0006-0000-0200-000021000000}">
      <text>
        <r>
          <rPr>
            <sz val="8"/>
            <color indexed="81"/>
            <rFont val="Tahoma"/>
          </rPr>
          <t>Secondary Value</t>
        </r>
      </text>
    </comment>
    <comment ref="AI15" authorId="1" shapeId="0" xr:uid="{00000000-0006-0000-0200-000022000000}">
      <text>
        <r>
          <rPr>
            <sz val="8"/>
            <color indexed="81"/>
            <rFont val="Tahoma"/>
          </rPr>
          <t>Secondary Value</t>
        </r>
      </text>
    </comment>
    <comment ref="Q16" authorId="2" shapeId="0" xr:uid="{00000000-0006-0000-0200-000023000000}">
      <text>
        <r>
          <rPr>
            <sz val="8"/>
            <color indexed="81"/>
            <rFont val="Tahoma"/>
            <family val="2"/>
          </rPr>
          <t>The value for K</t>
        </r>
        <r>
          <rPr>
            <vertAlign val="subscript"/>
            <sz val="8"/>
            <color indexed="81"/>
            <rFont val="Tahoma"/>
            <family val="2"/>
          </rPr>
          <t>d</t>
        </r>
        <r>
          <rPr>
            <vertAlign val="superscript"/>
            <sz val="8"/>
            <color indexed="81"/>
            <rFont val="Tahoma"/>
            <family val="2"/>
          </rPr>
          <t>ox</t>
        </r>
        <r>
          <rPr>
            <sz val="8"/>
            <color indexed="81"/>
            <rFont val="Tahoma"/>
            <family val="2"/>
          </rPr>
          <t xml:space="preserve"> is used in the absence of a value for K</t>
        </r>
        <r>
          <rPr>
            <vertAlign val="subscript"/>
            <sz val="8"/>
            <color indexed="81"/>
            <rFont val="Tahoma"/>
            <family val="2"/>
          </rPr>
          <t>d</t>
        </r>
        <r>
          <rPr>
            <vertAlign val="superscript"/>
            <sz val="8"/>
            <color indexed="81"/>
            <rFont val="Tahoma"/>
            <family val="2"/>
          </rPr>
          <t>unox</t>
        </r>
        <r>
          <rPr>
            <sz val="8"/>
            <color indexed="81"/>
            <rFont val="Tahoma"/>
            <family val="2"/>
          </rPr>
          <t>, and is assumed to be conservative.</t>
        </r>
      </text>
    </comment>
    <comment ref="AH16" authorId="1" shapeId="0" xr:uid="{00000000-0006-0000-0200-000024000000}">
      <text>
        <r>
          <rPr>
            <sz val="8"/>
            <color indexed="81"/>
            <rFont val="Tahoma"/>
          </rPr>
          <t>Secondary Value</t>
        </r>
      </text>
    </comment>
    <comment ref="AI16" authorId="1" shapeId="0" xr:uid="{00000000-0006-0000-0200-000025000000}">
      <text>
        <r>
          <rPr>
            <sz val="8"/>
            <color indexed="81"/>
            <rFont val="Tahoma"/>
          </rPr>
          <t>Secondary Value</t>
        </r>
      </text>
    </comment>
    <comment ref="AT16" authorId="1" shapeId="0" xr:uid="{00000000-0006-0000-0200-000026000000}">
      <text>
        <r>
          <rPr>
            <sz val="8"/>
            <color indexed="81"/>
            <rFont val="Tahoma"/>
          </rPr>
          <t>Boron and compounds</t>
        </r>
      </text>
    </comment>
    <comment ref="AU16" authorId="1" shapeId="0" xr:uid="{00000000-0006-0000-0200-000027000000}">
      <text>
        <r>
          <rPr>
            <sz val="8"/>
            <color indexed="81"/>
            <rFont val="Tahoma"/>
          </rPr>
          <t>Boron and compounds</t>
        </r>
      </text>
    </comment>
    <comment ref="AB18" authorId="1" shapeId="0" xr:uid="{00000000-0006-0000-0200-000028000000}">
      <text>
        <r>
          <rPr>
            <sz val="8"/>
            <color indexed="81"/>
            <rFont val="Tahoma"/>
          </rPr>
          <t>(Total Cr)</t>
        </r>
      </text>
    </comment>
    <comment ref="AC18" authorId="1" shapeId="0" xr:uid="{00000000-0006-0000-0200-000029000000}">
      <text>
        <r>
          <rPr>
            <sz val="8"/>
            <color indexed="81"/>
            <rFont val="Tahoma"/>
          </rPr>
          <t>(Total Cr)</t>
        </r>
      </text>
    </comment>
    <comment ref="AB19" authorId="1" shapeId="0" xr:uid="{00000000-0006-0000-0200-00002A000000}">
      <text>
        <r>
          <rPr>
            <sz val="8"/>
            <color indexed="81"/>
            <rFont val="Tahoma"/>
          </rPr>
          <t>(Total Cr)</t>
        </r>
      </text>
    </comment>
    <comment ref="AC19" authorId="1" shapeId="0" xr:uid="{00000000-0006-0000-0200-00002B000000}">
      <text>
        <r>
          <rPr>
            <sz val="8"/>
            <color indexed="81"/>
            <rFont val="Tahoma"/>
          </rPr>
          <t>(Total Cr)</t>
        </r>
      </text>
    </comment>
    <comment ref="Q20" authorId="2" shapeId="0" xr:uid="{00000000-0006-0000-0200-00002C000000}">
      <text>
        <r>
          <rPr>
            <sz val="8"/>
            <color indexed="81"/>
            <rFont val="Tahoma"/>
            <family val="2"/>
          </rPr>
          <t>The value for K</t>
        </r>
        <r>
          <rPr>
            <vertAlign val="subscript"/>
            <sz val="8"/>
            <color indexed="81"/>
            <rFont val="Tahoma"/>
            <family val="2"/>
          </rPr>
          <t>d</t>
        </r>
        <r>
          <rPr>
            <vertAlign val="superscript"/>
            <sz val="8"/>
            <color indexed="81"/>
            <rFont val="Tahoma"/>
            <family val="2"/>
          </rPr>
          <t>ox</t>
        </r>
        <r>
          <rPr>
            <sz val="8"/>
            <color indexed="81"/>
            <rFont val="Tahoma"/>
            <family val="2"/>
          </rPr>
          <t xml:space="preserve"> is used in the absence of a value for K</t>
        </r>
        <r>
          <rPr>
            <vertAlign val="subscript"/>
            <sz val="8"/>
            <color indexed="81"/>
            <rFont val="Tahoma"/>
            <family val="2"/>
          </rPr>
          <t>d</t>
        </r>
        <r>
          <rPr>
            <vertAlign val="superscript"/>
            <sz val="8"/>
            <color indexed="81"/>
            <rFont val="Tahoma"/>
            <family val="2"/>
          </rPr>
          <t>unox</t>
        </r>
        <r>
          <rPr>
            <sz val="8"/>
            <color indexed="81"/>
            <rFont val="Tahoma"/>
            <family val="2"/>
          </rPr>
          <t>, and is assumed to be conservative.</t>
        </r>
      </text>
    </comment>
    <comment ref="AH20" authorId="1" shapeId="0" xr:uid="{00000000-0006-0000-0200-00002D000000}">
      <text>
        <r>
          <rPr>
            <sz val="8"/>
            <color indexed="81"/>
            <rFont val="Tahoma"/>
          </rPr>
          <t>Secondary Value</t>
        </r>
      </text>
    </comment>
    <comment ref="AI20" authorId="1" shapeId="0" xr:uid="{00000000-0006-0000-0200-00002E000000}">
      <text>
        <r>
          <rPr>
            <sz val="8"/>
            <color indexed="81"/>
            <rFont val="Tahoma"/>
          </rPr>
          <t>Secondary Value</t>
        </r>
      </text>
    </comment>
    <comment ref="AB21" authorId="1" shapeId="0" xr:uid="{00000000-0006-0000-0200-00002F000000}">
      <text>
        <r>
          <rPr>
            <sz val="8"/>
            <color indexed="81"/>
            <rFont val="Tahoma"/>
          </rPr>
          <t>Action Level.  If more than 0% of tap water samples exceed the action level, water systems must take additional steps.</t>
        </r>
      </text>
    </comment>
    <comment ref="AC21" authorId="1" shapeId="0" xr:uid="{00000000-0006-0000-0200-000030000000}">
      <text>
        <r>
          <rPr>
            <sz val="8"/>
            <color indexed="81"/>
            <rFont val="Tahoma"/>
          </rPr>
          <t xml:space="preserve">The </t>
        </r>
        <r>
          <rPr>
            <b/>
            <sz val="8"/>
            <color indexed="81"/>
            <rFont val="Tahoma"/>
            <family val="2"/>
          </rPr>
          <t>Primary Standard</t>
        </r>
        <r>
          <rPr>
            <sz val="8"/>
            <color indexed="81"/>
            <rFont val="Tahoma"/>
          </rPr>
          <t xml:space="preserve"> is an Action Level of </t>
        </r>
        <r>
          <rPr>
            <b/>
            <sz val="8"/>
            <color indexed="81"/>
            <rFont val="Tahoma"/>
            <family val="2"/>
          </rPr>
          <t>1300 ug/L</t>
        </r>
        <r>
          <rPr>
            <sz val="8"/>
            <color indexed="81"/>
            <rFont val="Tahoma"/>
          </rPr>
          <t xml:space="preserve">.  (If more than 0% of tap water samples exceed the action level, water systems must take additional steps.)
The </t>
        </r>
        <r>
          <rPr>
            <b/>
            <sz val="8"/>
            <color indexed="81"/>
            <rFont val="Tahoma"/>
            <family val="2"/>
          </rPr>
          <t>Secondary Standard</t>
        </r>
        <r>
          <rPr>
            <sz val="8"/>
            <color indexed="81"/>
            <rFont val="Tahoma"/>
          </rPr>
          <t xml:space="preserve"> is listed as </t>
        </r>
        <r>
          <rPr>
            <b/>
            <sz val="8"/>
            <color indexed="81"/>
            <rFont val="Tahoma"/>
            <family val="2"/>
          </rPr>
          <t>1000 ug/L</t>
        </r>
        <r>
          <rPr>
            <sz val="8"/>
            <color indexed="81"/>
            <rFont val="Tahoma"/>
          </rPr>
          <t>.</t>
        </r>
      </text>
    </comment>
    <comment ref="Q22" authorId="2" shapeId="0" xr:uid="{00000000-0006-0000-0200-000031000000}">
      <text>
        <r>
          <rPr>
            <sz val="8"/>
            <color indexed="81"/>
            <rFont val="Tahoma"/>
            <family val="2"/>
          </rPr>
          <t>The value for K</t>
        </r>
        <r>
          <rPr>
            <vertAlign val="subscript"/>
            <sz val="8"/>
            <color indexed="81"/>
            <rFont val="Tahoma"/>
            <family val="2"/>
          </rPr>
          <t>d</t>
        </r>
        <r>
          <rPr>
            <vertAlign val="superscript"/>
            <sz val="8"/>
            <color indexed="81"/>
            <rFont val="Tahoma"/>
            <family val="2"/>
          </rPr>
          <t>ox</t>
        </r>
        <r>
          <rPr>
            <sz val="8"/>
            <color indexed="81"/>
            <rFont val="Tahoma"/>
            <family val="2"/>
          </rPr>
          <t xml:space="preserve"> is used in the absence of a value for K</t>
        </r>
        <r>
          <rPr>
            <vertAlign val="subscript"/>
            <sz val="8"/>
            <color indexed="81"/>
            <rFont val="Tahoma"/>
            <family val="2"/>
          </rPr>
          <t>d</t>
        </r>
        <r>
          <rPr>
            <vertAlign val="superscript"/>
            <sz val="8"/>
            <color indexed="81"/>
            <rFont val="Tahoma"/>
            <family val="2"/>
          </rPr>
          <t>unox</t>
        </r>
        <r>
          <rPr>
            <sz val="8"/>
            <color indexed="81"/>
            <rFont val="Tahoma"/>
            <family val="2"/>
          </rPr>
          <t>, and is assumed to be conservative.</t>
        </r>
      </text>
    </comment>
    <comment ref="U22" authorId="2" shapeId="0" xr:uid="{00000000-0006-0000-0200-000032000000}">
      <text>
        <r>
          <rPr>
            <b/>
            <sz val="8"/>
            <color indexed="81"/>
            <rFont val="Tahoma"/>
          </rPr>
          <t>U4EERSEB:</t>
        </r>
        <r>
          <rPr>
            <sz val="8"/>
            <color indexed="81"/>
            <rFont val="Tahoma"/>
          </rPr>
          <t xml:space="preserve">
Risk Assessment Information System (RAIS) http://risk.lsd.ornl.gov/</t>
        </r>
      </text>
    </comment>
    <comment ref="AC22" authorId="1" shapeId="0" xr:uid="{00000000-0006-0000-0200-000033000000}">
      <text>
        <r>
          <rPr>
            <sz val="8"/>
            <color indexed="81"/>
            <rFont val="Tahoma"/>
          </rPr>
          <t>Secondary Standard</t>
        </r>
      </text>
    </comment>
    <comment ref="AE22" authorId="1" shapeId="0" xr:uid="{00000000-0006-0000-0200-000034000000}">
      <text>
        <r>
          <rPr>
            <sz val="8"/>
            <color indexed="81"/>
            <rFont val="Tahoma"/>
          </rPr>
          <t>Non Priority Pollutant</t>
        </r>
      </text>
    </comment>
    <comment ref="AI22" authorId="1" shapeId="0" xr:uid="{00000000-0006-0000-0200-000035000000}">
      <text>
        <r>
          <rPr>
            <sz val="8"/>
            <color indexed="81"/>
            <rFont val="Tahoma"/>
          </rPr>
          <t>Non Priority Pollutant</t>
        </r>
      </text>
    </comment>
    <comment ref="AB23" authorId="1" shapeId="0" xr:uid="{00000000-0006-0000-0200-000036000000}">
      <text>
        <r>
          <rPr>
            <sz val="8"/>
            <color indexed="81"/>
            <rFont val="Tahoma"/>
          </rPr>
          <t>Action Level.  If more than 0% of tap water samples exceed the action level, water systems must take additional steps.</t>
        </r>
      </text>
    </comment>
    <comment ref="AC23" authorId="1" shapeId="0" xr:uid="{00000000-0006-0000-0200-000037000000}">
      <text>
        <r>
          <rPr>
            <sz val="8"/>
            <color indexed="81"/>
            <rFont val="Tahoma"/>
          </rPr>
          <t>Action Level.  If more than 0% of tap water samples exceed the action level, water systems must take additional steps.</t>
        </r>
      </text>
    </comment>
    <comment ref="Q24" authorId="2" shapeId="0" xr:uid="{00000000-0006-0000-0200-000038000000}">
      <text>
        <r>
          <rPr>
            <sz val="8"/>
            <color indexed="81"/>
            <rFont val="Tahoma"/>
            <family val="2"/>
          </rPr>
          <t>The value for K</t>
        </r>
        <r>
          <rPr>
            <vertAlign val="subscript"/>
            <sz val="8"/>
            <color indexed="81"/>
            <rFont val="Tahoma"/>
            <family val="2"/>
          </rPr>
          <t>d</t>
        </r>
        <r>
          <rPr>
            <vertAlign val="superscript"/>
            <sz val="8"/>
            <color indexed="81"/>
            <rFont val="Tahoma"/>
            <family val="2"/>
          </rPr>
          <t>ox</t>
        </r>
        <r>
          <rPr>
            <sz val="8"/>
            <color indexed="81"/>
            <rFont val="Tahoma"/>
            <family val="2"/>
          </rPr>
          <t xml:space="preserve"> is used in the absence of a value for K</t>
        </r>
        <r>
          <rPr>
            <vertAlign val="subscript"/>
            <sz val="8"/>
            <color indexed="81"/>
            <rFont val="Tahoma"/>
            <family val="2"/>
          </rPr>
          <t>d</t>
        </r>
        <r>
          <rPr>
            <vertAlign val="superscript"/>
            <sz val="8"/>
            <color indexed="81"/>
            <rFont val="Tahoma"/>
            <family val="2"/>
          </rPr>
          <t>unox</t>
        </r>
        <r>
          <rPr>
            <sz val="8"/>
            <color indexed="81"/>
            <rFont val="Tahoma"/>
            <family val="2"/>
          </rPr>
          <t>, and is assumed to be conservative.</t>
        </r>
      </text>
    </comment>
    <comment ref="U24" authorId="2" shapeId="0" xr:uid="{00000000-0006-0000-0200-000039000000}">
      <text>
        <r>
          <rPr>
            <b/>
            <sz val="8"/>
            <color indexed="81"/>
            <rFont val="Tahoma"/>
          </rPr>
          <t>U4EERSEB:</t>
        </r>
        <r>
          <rPr>
            <sz val="8"/>
            <color indexed="81"/>
            <rFont val="Tahoma"/>
          </rPr>
          <t xml:space="preserve">
Risk Assessment Information System (RAIS) http://risk.lsd.ornl.gov/</t>
        </r>
      </text>
    </comment>
    <comment ref="AH24" authorId="1" shapeId="0" xr:uid="{00000000-0006-0000-0200-00003A000000}">
      <text>
        <r>
          <rPr>
            <sz val="8"/>
            <color indexed="81"/>
            <rFont val="Tahoma"/>
          </rPr>
          <t>Secondary Value</t>
        </r>
      </text>
    </comment>
    <comment ref="AI24" authorId="1" shapeId="0" xr:uid="{00000000-0006-0000-0200-00003B000000}">
      <text>
        <r>
          <rPr>
            <sz val="8"/>
            <color indexed="81"/>
            <rFont val="Tahoma"/>
          </rPr>
          <t>Secondary Value</t>
        </r>
      </text>
    </comment>
    <comment ref="Q25" authorId="2" shapeId="0" xr:uid="{00000000-0006-0000-0200-00003C000000}">
      <text>
        <r>
          <rPr>
            <sz val="8"/>
            <color indexed="81"/>
            <rFont val="Tahoma"/>
            <family val="2"/>
          </rPr>
          <t>The value for K</t>
        </r>
        <r>
          <rPr>
            <vertAlign val="subscript"/>
            <sz val="8"/>
            <color indexed="81"/>
            <rFont val="Tahoma"/>
            <family val="2"/>
          </rPr>
          <t>d</t>
        </r>
        <r>
          <rPr>
            <vertAlign val="superscript"/>
            <sz val="8"/>
            <color indexed="81"/>
            <rFont val="Tahoma"/>
            <family val="2"/>
          </rPr>
          <t>ox</t>
        </r>
        <r>
          <rPr>
            <sz val="8"/>
            <color indexed="81"/>
            <rFont val="Tahoma"/>
            <family val="2"/>
          </rPr>
          <t xml:space="preserve"> is used in the absence of a value for K</t>
        </r>
        <r>
          <rPr>
            <vertAlign val="subscript"/>
            <sz val="8"/>
            <color indexed="81"/>
            <rFont val="Tahoma"/>
            <family val="2"/>
          </rPr>
          <t>d</t>
        </r>
        <r>
          <rPr>
            <vertAlign val="superscript"/>
            <sz val="8"/>
            <color indexed="81"/>
            <rFont val="Tahoma"/>
            <family val="2"/>
          </rPr>
          <t>unox</t>
        </r>
        <r>
          <rPr>
            <sz val="8"/>
            <color indexed="81"/>
            <rFont val="Tahoma"/>
            <family val="2"/>
          </rPr>
          <t>, and is assumed to be conservative.</t>
        </r>
      </text>
    </comment>
    <comment ref="AC25" authorId="1" shapeId="0" xr:uid="{00000000-0006-0000-0200-00003D000000}">
      <text>
        <r>
          <rPr>
            <sz val="8"/>
            <color indexed="81"/>
            <rFont val="Tahoma"/>
          </rPr>
          <t>Secondary Standard</t>
        </r>
      </text>
    </comment>
    <comment ref="AH25" authorId="1" shapeId="0" xr:uid="{00000000-0006-0000-0200-00003E000000}">
      <text>
        <r>
          <rPr>
            <sz val="8"/>
            <color indexed="81"/>
            <rFont val="Tahoma"/>
          </rPr>
          <t>Secondary Value</t>
        </r>
      </text>
    </comment>
    <comment ref="AI25" authorId="1" shapeId="0" xr:uid="{00000000-0006-0000-0200-00003F000000}">
      <text>
        <r>
          <rPr>
            <sz val="8"/>
            <color indexed="81"/>
            <rFont val="Tahoma"/>
          </rPr>
          <t>Secondary Value</t>
        </r>
      </text>
    </comment>
    <comment ref="AB26" authorId="1" shapeId="0" xr:uid="{00000000-0006-0000-0200-000040000000}">
      <text>
        <r>
          <rPr>
            <sz val="8"/>
            <color indexed="81"/>
            <rFont val="Tahoma"/>
          </rPr>
          <t>(Inorganic)</t>
        </r>
      </text>
    </comment>
    <comment ref="AC26" authorId="1" shapeId="0" xr:uid="{00000000-0006-0000-0200-000041000000}">
      <text>
        <r>
          <rPr>
            <sz val="8"/>
            <color indexed="81"/>
            <rFont val="Tahoma"/>
          </rPr>
          <t>(Inorganic)</t>
        </r>
      </text>
    </comment>
    <comment ref="Q27" authorId="2" shapeId="0" xr:uid="{00000000-0006-0000-0200-000042000000}">
      <text>
        <r>
          <rPr>
            <sz val="8"/>
            <color indexed="81"/>
            <rFont val="Tahoma"/>
            <family val="2"/>
          </rPr>
          <t>The value for K</t>
        </r>
        <r>
          <rPr>
            <vertAlign val="subscript"/>
            <sz val="8"/>
            <color indexed="81"/>
            <rFont val="Tahoma"/>
            <family val="2"/>
          </rPr>
          <t>d</t>
        </r>
        <r>
          <rPr>
            <vertAlign val="superscript"/>
            <sz val="8"/>
            <color indexed="81"/>
            <rFont val="Tahoma"/>
            <family val="2"/>
          </rPr>
          <t>ox</t>
        </r>
        <r>
          <rPr>
            <sz val="8"/>
            <color indexed="81"/>
            <rFont val="Tahoma"/>
            <family val="2"/>
          </rPr>
          <t xml:space="preserve"> is used in the absence of a value for K</t>
        </r>
        <r>
          <rPr>
            <vertAlign val="subscript"/>
            <sz val="8"/>
            <color indexed="81"/>
            <rFont val="Tahoma"/>
            <family val="2"/>
          </rPr>
          <t>d</t>
        </r>
        <r>
          <rPr>
            <vertAlign val="superscript"/>
            <sz val="8"/>
            <color indexed="81"/>
            <rFont val="Tahoma"/>
            <family val="2"/>
          </rPr>
          <t>unox</t>
        </r>
        <r>
          <rPr>
            <sz val="8"/>
            <color indexed="81"/>
            <rFont val="Tahoma"/>
            <family val="2"/>
          </rPr>
          <t>, and is assumed to be conservative.</t>
        </r>
      </text>
    </comment>
    <comment ref="U27" authorId="2" shapeId="0" xr:uid="{00000000-0006-0000-0200-000043000000}">
      <text>
        <r>
          <rPr>
            <b/>
            <sz val="8"/>
            <color indexed="81"/>
            <rFont val="Tahoma"/>
          </rPr>
          <t>U4EERSEB:</t>
        </r>
        <r>
          <rPr>
            <sz val="8"/>
            <color indexed="81"/>
            <rFont val="Tahoma"/>
          </rPr>
          <t xml:space="preserve">
Risk Assessment Information System (RAIS) http://risk.lsd.ornl.gov/</t>
        </r>
      </text>
    </comment>
    <comment ref="AH27" authorId="1" shapeId="0" xr:uid="{00000000-0006-0000-0200-000044000000}">
      <text>
        <r>
          <rPr>
            <sz val="8"/>
            <color indexed="81"/>
            <rFont val="Tahoma"/>
          </rPr>
          <t>Secondary Value</t>
        </r>
      </text>
    </comment>
    <comment ref="AI27" authorId="1" shapeId="0" xr:uid="{00000000-0006-0000-0200-000045000000}">
      <text>
        <r>
          <rPr>
            <sz val="8"/>
            <color indexed="81"/>
            <rFont val="Tahoma"/>
          </rPr>
          <t>Secondary Value</t>
        </r>
      </text>
    </comment>
    <comment ref="AD29" authorId="1" shapeId="0" xr:uid="{00000000-0006-0000-0200-000046000000}">
      <text>
        <r>
          <rPr>
            <sz val="8"/>
            <color indexed="81"/>
            <rFont val="Tahoma"/>
          </rPr>
          <t>The CMC = 1/[(f1/CMC1) + (f2/CMC2)] where f1 and f2 are the fractions of total selenium that are treated as selenite and selenate, respectively, and CMC1 and CMC2 are 185.9 Fg/l and 12.83 Fg/l, respectively</t>
        </r>
      </text>
    </comment>
    <comment ref="AH29" authorId="1" shapeId="0" xr:uid="{00000000-0006-0000-0200-000047000000}">
      <text>
        <r>
          <rPr>
            <sz val="8"/>
            <color indexed="81"/>
            <rFont val="Tahoma"/>
          </rPr>
          <t>Outdated National Ambient Water Quality Standard</t>
        </r>
      </text>
    </comment>
    <comment ref="AL29" authorId="3" shapeId="0" xr:uid="{00000000-0006-0000-0200-000048000000}">
      <text>
        <r>
          <rPr>
            <sz val="10"/>
            <color indexed="81"/>
            <rFont val="Tahoma"/>
          </rPr>
          <t>The CMC = 1/[(f1/CMC1) + (f2/CMC2)] where f1 and f2 are the fractions of total selenium that are treated as selenite and selenate, respectively, and CMC1 and CMC2 are 185.9 Fg/l and 12.83 Fg/l, respectively</t>
        </r>
      </text>
    </comment>
    <comment ref="AC30" authorId="1" shapeId="0" xr:uid="{00000000-0006-0000-0200-000049000000}">
      <text>
        <r>
          <rPr>
            <sz val="8"/>
            <color indexed="81"/>
            <rFont val="Tahoma"/>
          </rPr>
          <t>Secondary Standard</t>
        </r>
      </text>
    </comment>
    <comment ref="AI30" authorId="1" shapeId="0" xr:uid="{00000000-0006-0000-0200-00004A000000}">
      <text>
        <r>
          <rPr>
            <sz val="8"/>
            <color indexed="81"/>
            <rFont val="Tahoma"/>
          </rPr>
          <t>Secondary Value</t>
        </r>
      </text>
    </comment>
    <comment ref="Q31" authorId="2" shapeId="0" xr:uid="{00000000-0006-0000-0200-00004B000000}">
      <text>
        <r>
          <rPr>
            <sz val="8"/>
            <color indexed="81"/>
            <rFont val="Tahoma"/>
            <family val="2"/>
          </rPr>
          <t>The value for K</t>
        </r>
        <r>
          <rPr>
            <vertAlign val="subscript"/>
            <sz val="8"/>
            <color indexed="81"/>
            <rFont val="Tahoma"/>
            <family val="2"/>
          </rPr>
          <t>d</t>
        </r>
        <r>
          <rPr>
            <vertAlign val="superscript"/>
            <sz val="8"/>
            <color indexed="81"/>
            <rFont val="Tahoma"/>
            <family val="2"/>
          </rPr>
          <t>ox</t>
        </r>
        <r>
          <rPr>
            <sz val="8"/>
            <color indexed="81"/>
            <rFont val="Tahoma"/>
            <family val="2"/>
          </rPr>
          <t xml:space="preserve"> is used in the absence of a value for K</t>
        </r>
        <r>
          <rPr>
            <vertAlign val="subscript"/>
            <sz val="8"/>
            <color indexed="81"/>
            <rFont val="Tahoma"/>
            <family val="2"/>
          </rPr>
          <t>d</t>
        </r>
        <r>
          <rPr>
            <vertAlign val="superscript"/>
            <sz val="8"/>
            <color indexed="81"/>
            <rFont val="Tahoma"/>
            <family val="2"/>
          </rPr>
          <t>unox</t>
        </r>
        <r>
          <rPr>
            <sz val="8"/>
            <color indexed="81"/>
            <rFont val="Tahoma"/>
            <family val="2"/>
          </rPr>
          <t>, and is assumed to be conservative.</t>
        </r>
      </text>
    </comment>
    <comment ref="AH31" authorId="1" shapeId="0" xr:uid="{00000000-0006-0000-0200-00004C000000}">
      <text>
        <r>
          <rPr>
            <sz val="8"/>
            <color indexed="81"/>
            <rFont val="Tahoma"/>
          </rPr>
          <t>Secondary Value</t>
        </r>
      </text>
    </comment>
    <comment ref="AI31" authorId="1" shapeId="0" xr:uid="{00000000-0006-0000-0200-00004D000000}">
      <text>
        <r>
          <rPr>
            <sz val="8"/>
            <color indexed="81"/>
            <rFont val="Tahoma"/>
          </rPr>
          <t>Secondary Value</t>
        </r>
      </text>
    </comment>
    <comment ref="AH32" authorId="1" shapeId="0" xr:uid="{00000000-0006-0000-0200-00004E000000}">
      <text>
        <r>
          <rPr>
            <sz val="8"/>
            <color indexed="81"/>
            <rFont val="Tahoma"/>
          </rPr>
          <t>Secondary Value</t>
        </r>
      </text>
    </comment>
    <comment ref="AI32" authorId="1" shapeId="0" xr:uid="{00000000-0006-0000-0200-00004F000000}">
      <text>
        <r>
          <rPr>
            <sz val="8"/>
            <color indexed="81"/>
            <rFont val="Tahoma"/>
          </rPr>
          <t>Secondary Value</t>
        </r>
      </text>
    </comment>
    <comment ref="AJ32" authorId="1" shapeId="0" xr:uid="{00000000-0006-0000-0200-000050000000}">
      <text>
        <r>
          <rPr>
            <sz val="8"/>
            <color indexed="81"/>
            <rFont val="Tahoma"/>
          </rPr>
          <t>Outdated National Ambient Water Quality Standard</t>
        </r>
      </text>
    </comment>
    <comment ref="Q33" authorId="2" shapeId="0" xr:uid="{00000000-0006-0000-0200-000051000000}">
      <text>
        <r>
          <rPr>
            <sz val="8"/>
            <color indexed="81"/>
            <rFont val="Tahoma"/>
            <family val="2"/>
          </rPr>
          <t>The value for K</t>
        </r>
        <r>
          <rPr>
            <vertAlign val="subscript"/>
            <sz val="8"/>
            <color indexed="81"/>
            <rFont val="Tahoma"/>
            <family val="2"/>
          </rPr>
          <t>d</t>
        </r>
        <r>
          <rPr>
            <vertAlign val="superscript"/>
            <sz val="8"/>
            <color indexed="81"/>
            <rFont val="Tahoma"/>
            <family val="2"/>
          </rPr>
          <t>ox</t>
        </r>
        <r>
          <rPr>
            <sz val="8"/>
            <color indexed="81"/>
            <rFont val="Tahoma"/>
            <family val="2"/>
          </rPr>
          <t xml:space="preserve"> is used in the absence of a value for K</t>
        </r>
        <r>
          <rPr>
            <vertAlign val="subscript"/>
            <sz val="8"/>
            <color indexed="81"/>
            <rFont val="Tahoma"/>
            <family val="2"/>
          </rPr>
          <t>d</t>
        </r>
        <r>
          <rPr>
            <vertAlign val="superscript"/>
            <sz val="8"/>
            <color indexed="81"/>
            <rFont val="Tahoma"/>
            <family val="2"/>
          </rPr>
          <t>unox</t>
        </r>
        <r>
          <rPr>
            <sz val="8"/>
            <color indexed="81"/>
            <rFont val="Tahoma"/>
            <family val="2"/>
          </rPr>
          <t>, and is assumed to be conservative.</t>
        </r>
      </text>
    </comment>
    <comment ref="AH33" authorId="1" shapeId="0" xr:uid="{00000000-0006-0000-0200-000052000000}">
      <text>
        <r>
          <rPr>
            <sz val="8"/>
            <color indexed="81"/>
            <rFont val="Tahoma"/>
          </rPr>
          <t>Secondary Value</t>
        </r>
      </text>
    </comment>
    <comment ref="AI33" authorId="1" shapeId="0" xr:uid="{00000000-0006-0000-0200-000053000000}">
      <text>
        <r>
          <rPr>
            <sz val="8"/>
            <color indexed="81"/>
            <rFont val="Tahoma"/>
          </rPr>
          <t>Secondary Value</t>
        </r>
      </text>
    </comment>
    <comment ref="Q34" authorId="2" shapeId="0" xr:uid="{00000000-0006-0000-0200-000054000000}">
      <text>
        <r>
          <rPr>
            <sz val="8"/>
            <color indexed="81"/>
            <rFont val="Tahoma"/>
            <family val="2"/>
          </rPr>
          <t>The value for K</t>
        </r>
        <r>
          <rPr>
            <vertAlign val="subscript"/>
            <sz val="8"/>
            <color indexed="81"/>
            <rFont val="Tahoma"/>
            <family val="2"/>
          </rPr>
          <t>d</t>
        </r>
        <r>
          <rPr>
            <vertAlign val="superscript"/>
            <sz val="8"/>
            <color indexed="81"/>
            <rFont val="Tahoma"/>
            <family val="2"/>
          </rPr>
          <t>ox</t>
        </r>
        <r>
          <rPr>
            <sz val="8"/>
            <color indexed="81"/>
            <rFont val="Tahoma"/>
            <family val="2"/>
          </rPr>
          <t xml:space="preserve"> is used in the absence of a value for K</t>
        </r>
        <r>
          <rPr>
            <vertAlign val="subscript"/>
            <sz val="8"/>
            <color indexed="81"/>
            <rFont val="Tahoma"/>
            <family val="2"/>
          </rPr>
          <t>d</t>
        </r>
        <r>
          <rPr>
            <vertAlign val="superscript"/>
            <sz val="8"/>
            <color indexed="81"/>
            <rFont val="Tahoma"/>
            <family val="2"/>
          </rPr>
          <t>unox</t>
        </r>
        <r>
          <rPr>
            <sz val="8"/>
            <color indexed="81"/>
            <rFont val="Tahoma"/>
            <family val="2"/>
          </rPr>
          <t>, and is assumed to be conservative.</t>
        </r>
      </text>
    </comment>
    <comment ref="AH34" authorId="1" shapeId="0" xr:uid="{00000000-0006-0000-0200-000055000000}">
      <text>
        <r>
          <rPr>
            <sz val="8"/>
            <color indexed="81"/>
            <rFont val="Tahoma"/>
          </rPr>
          <t>Secondary Value</t>
        </r>
      </text>
    </comment>
    <comment ref="AI34" authorId="1" shapeId="0" xr:uid="{00000000-0006-0000-0200-000056000000}">
      <text>
        <r>
          <rPr>
            <sz val="8"/>
            <color indexed="81"/>
            <rFont val="Tahoma"/>
          </rPr>
          <t>Secondary Value</t>
        </r>
      </text>
    </comment>
    <comment ref="Q35" authorId="2" shapeId="0" xr:uid="{00000000-0006-0000-0200-000057000000}">
      <text>
        <r>
          <rPr>
            <sz val="8"/>
            <color indexed="81"/>
            <rFont val="Tahoma"/>
            <family val="2"/>
          </rPr>
          <t>The value for K</t>
        </r>
        <r>
          <rPr>
            <vertAlign val="subscript"/>
            <sz val="8"/>
            <color indexed="81"/>
            <rFont val="Tahoma"/>
            <family val="2"/>
          </rPr>
          <t>d</t>
        </r>
        <r>
          <rPr>
            <vertAlign val="superscript"/>
            <sz val="8"/>
            <color indexed="81"/>
            <rFont val="Tahoma"/>
            <family val="2"/>
          </rPr>
          <t>ox</t>
        </r>
        <r>
          <rPr>
            <sz val="8"/>
            <color indexed="81"/>
            <rFont val="Tahoma"/>
            <family val="2"/>
          </rPr>
          <t xml:space="preserve"> is used in the absence of a value for K</t>
        </r>
        <r>
          <rPr>
            <vertAlign val="subscript"/>
            <sz val="8"/>
            <color indexed="81"/>
            <rFont val="Tahoma"/>
            <family val="2"/>
          </rPr>
          <t>d</t>
        </r>
        <r>
          <rPr>
            <vertAlign val="superscript"/>
            <sz val="8"/>
            <color indexed="81"/>
            <rFont val="Tahoma"/>
            <family val="2"/>
          </rPr>
          <t>unox</t>
        </r>
        <r>
          <rPr>
            <sz val="8"/>
            <color indexed="81"/>
            <rFont val="Tahoma"/>
            <family val="2"/>
          </rPr>
          <t>, and is assumed to be conservative.</t>
        </r>
      </text>
    </comment>
    <comment ref="AH35" authorId="1" shapeId="0" xr:uid="{00000000-0006-0000-0200-000058000000}">
      <text>
        <r>
          <rPr>
            <sz val="8"/>
            <color indexed="81"/>
            <rFont val="Tahoma"/>
          </rPr>
          <t>Secondary Value</t>
        </r>
      </text>
    </comment>
    <comment ref="AI35" authorId="1" shapeId="0" xr:uid="{00000000-0006-0000-0200-000059000000}">
      <text>
        <r>
          <rPr>
            <sz val="8"/>
            <color indexed="81"/>
            <rFont val="Tahoma"/>
          </rPr>
          <t>Secondary Value</t>
        </r>
      </text>
    </comment>
    <comment ref="AC36" authorId="1" shapeId="0" xr:uid="{00000000-0006-0000-0200-00005A000000}">
      <text>
        <r>
          <rPr>
            <sz val="8"/>
            <color indexed="81"/>
            <rFont val="Tahoma"/>
          </rPr>
          <t>Secondary Standard</t>
        </r>
      </text>
    </comment>
    <comment ref="Q37" authorId="2" shapeId="0" xr:uid="{00000000-0006-0000-0200-00005B000000}">
      <text>
        <r>
          <rPr>
            <sz val="8"/>
            <color indexed="81"/>
            <rFont val="Tahoma"/>
            <family val="2"/>
          </rPr>
          <t>The value for K</t>
        </r>
        <r>
          <rPr>
            <vertAlign val="subscript"/>
            <sz val="8"/>
            <color indexed="81"/>
            <rFont val="Tahoma"/>
            <family val="2"/>
          </rPr>
          <t>d</t>
        </r>
        <r>
          <rPr>
            <vertAlign val="superscript"/>
            <sz val="8"/>
            <color indexed="81"/>
            <rFont val="Tahoma"/>
            <family val="2"/>
          </rPr>
          <t>ox</t>
        </r>
        <r>
          <rPr>
            <sz val="8"/>
            <color indexed="81"/>
            <rFont val="Tahoma"/>
            <family val="2"/>
          </rPr>
          <t xml:space="preserve"> is used in the absence of a value for K</t>
        </r>
        <r>
          <rPr>
            <vertAlign val="subscript"/>
            <sz val="8"/>
            <color indexed="81"/>
            <rFont val="Tahoma"/>
            <family val="2"/>
          </rPr>
          <t>d</t>
        </r>
        <r>
          <rPr>
            <vertAlign val="superscript"/>
            <sz val="8"/>
            <color indexed="81"/>
            <rFont val="Tahoma"/>
            <family val="2"/>
          </rPr>
          <t>unox</t>
        </r>
        <r>
          <rPr>
            <sz val="8"/>
            <color indexed="81"/>
            <rFont val="Tahoma"/>
            <family val="2"/>
          </rPr>
          <t>, and is assumed to be conservative.</t>
        </r>
      </text>
    </comment>
    <comment ref="U37" authorId="2" shapeId="0" xr:uid="{00000000-0006-0000-0200-00005C000000}">
      <text>
        <r>
          <rPr>
            <b/>
            <sz val="8"/>
            <color indexed="81"/>
            <rFont val="Tahoma"/>
          </rPr>
          <t>U4EERSEB:</t>
        </r>
        <r>
          <rPr>
            <sz val="8"/>
            <color indexed="81"/>
            <rFont val="Tahoma"/>
          </rPr>
          <t xml:space="preserve">
Risk Assessment Information System (RAIS) http://risk.lsd.ornl.gov/</t>
        </r>
      </text>
    </comment>
    <comment ref="AH37" authorId="1" shapeId="0" xr:uid="{00000000-0006-0000-0200-00005D000000}">
      <text>
        <r>
          <rPr>
            <sz val="8"/>
            <color indexed="81"/>
            <rFont val="Tahoma"/>
          </rPr>
          <t>Secondary Value</t>
        </r>
      </text>
    </comment>
    <comment ref="AI37" authorId="1" shapeId="0" xr:uid="{00000000-0006-0000-0200-00005E000000}">
      <text>
        <r>
          <rPr>
            <sz val="8"/>
            <color indexed="81"/>
            <rFont val="Tahoma"/>
          </rPr>
          <t>Secondary Value</t>
        </r>
      </text>
    </comment>
    <comment ref="M39" authorId="1" shapeId="0" xr:uid="{00000000-0006-0000-0200-00005F000000}">
      <text>
        <r>
          <rPr>
            <b/>
            <sz val="8"/>
            <color indexed="81"/>
            <rFont val="Tahoma"/>
            <family val="2"/>
          </rPr>
          <t>(Bu)</t>
        </r>
        <r>
          <rPr>
            <b/>
            <vertAlign val="subscript"/>
            <sz val="8"/>
            <color indexed="81"/>
            <rFont val="Tahoma"/>
            <family val="2"/>
          </rPr>
          <t>2</t>
        </r>
        <r>
          <rPr>
            <b/>
            <sz val="8"/>
            <color indexed="81"/>
            <rFont val="Tahoma"/>
            <family val="2"/>
          </rPr>
          <t xml:space="preserve"> SnCl</t>
        </r>
        <r>
          <rPr>
            <b/>
            <vertAlign val="subscript"/>
            <sz val="8"/>
            <color indexed="81"/>
            <rFont val="Tahoma"/>
            <family val="2"/>
          </rPr>
          <t>2</t>
        </r>
        <r>
          <rPr>
            <sz val="8"/>
            <color indexed="81"/>
            <rFont val="Tahoma"/>
          </rPr>
          <t>; 
Cornelis et al. 2005; 
http://www.portofantwerp.be/tbtclean/uploaded_documents/FINAL%20REPORT%20Vito%20Study%20Ecotoxicity%20TBT%20on%20land.pdf</t>
        </r>
      </text>
    </comment>
    <comment ref="N39" authorId="1" shapeId="0" xr:uid="{00000000-0006-0000-0200-000060000000}">
      <text>
        <r>
          <rPr>
            <b/>
            <sz val="8"/>
            <color indexed="81"/>
            <rFont val="Tahoma"/>
            <family val="2"/>
          </rPr>
          <t>(Bu)</t>
        </r>
        <r>
          <rPr>
            <b/>
            <vertAlign val="subscript"/>
            <sz val="8"/>
            <color indexed="81"/>
            <rFont val="Tahoma"/>
            <family val="2"/>
          </rPr>
          <t>2</t>
        </r>
        <r>
          <rPr>
            <b/>
            <sz val="8"/>
            <color indexed="81"/>
            <rFont val="Tahoma"/>
            <family val="2"/>
          </rPr>
          <t xml:space="preserve"> SnCl</t>
        </r>
        <r>
          <rPr>
            <b/>
            <vertAlign val="subscript"/>
            <sz val="8"/>
            <color indexed="81"/>
            <rFont val="Tahoma"/>
            <family val="2"/>
          </rPr>
          <t>2</t>
        </r>
        <r>
          <rPr>
            <sz val="8"/>
            <color indexed="81"/>
            <rFont val="Tahoma"/>
          </rPr>
          <t>; 
Cornelis et al. 2005; 
http://www.portofantwerp.be/tbtclean/uploaded_documents/FINAL%20REPORT%20Vito%20Study%20Ecotoxicity%20TBT%20on%20land.pdf</t>
        </r>
      </text>
    </comment>
    <comment ref="P39" authorId="1" shapeId="0" xr:uid="{00000000-0006-0000-0200-000061000000}">
      <text>
        <r>
          <rPr>
            <b/>
            <sz val="8"/>
            <color indexed="81"/>
            <rFont val="Tahoma"/>
            <family val="2"/>
          </rPr>
          <t>(Bu)</t>
        </r>
        <r>
          <rPr>
            <b/>
            <vertAlign val="subscript"/>
            <sz val="8"/>
            <color indexed="81"/>
            <rFont val="Tahoma"/>
            <family val="2"/>
          </rPr>
          <t>2</t>
        </r>
        <r>
          <rPr>
            <b/>
            <sz val="8"/>
            <color indexed="81"/>
            <rFont val="Tahoma"/>
            <family val="2"/>
          </rPr>
          <t xml:space="preserve"> SnCl</t>
        </r>
        <r>
          <rPr>
            <b/>
            <vertAlign val="subscript"/>
            <sz val="8"/>
            <color indexed="81"/>
            <rFont val="Tahoma"/>
            <family val="2"/>
          </rPr>
          <t>2</t>
        </r>
        <r>
          <rPr>
            <sz val="8"/>
            <color indexed="81"/>
            <rFont val="Tahoma"/>
          </rPr>
          <t>; 
Cornelis et al. 2005; 
http://www.portofantwerp.be/tbtclean/uploaded_documents/FINAL%20REPORT%20Vito%20Study%20Ecotoxicity%20TBT%20on%20land.pdf</t>
        </r>
      </text>
    </comment>
    <comment ref="U39" authorId="1" shapeId="0" xr:uid="{00000000-0006-0000-0200-000062000000}">
      <text>
        <r>
          <rPr>
            <b/>
            <sz val="8"/>
            <color indexed="81"/>
            <rFont val="Tahoma"/>
            <family val="2"/>
          </rPr>
          <t>(Bu)</t>
        </r>
        <r>
          <rPr>
            <b/>
            <vertAlign val="subscript"/>
            <sz val="8"/>
            <color indexed="81"/>
            <rFont val="Tahoma"/>
            <family val="2"/>
          </rPr>
          <t>2</t>
        </r>
        <r>
          <rPr>
            <b/>
            <sz val="8"/>
            <color indexed="81"/>
            <rFont val="Tahoma"/>
            <family val="2"/>
          </rPr>
          <t xml:space="preserve"> SnCl</t>
        </r>
        <r>
          <rPr>
            <b/>
            <vertAlign val="subscript"/>
            <sz val="8"/>
            <color indexed="81"/>
            <rFont val="Tahoma"/>
            <family val="2"/>
          </rPr>
          <t>2</t>
        </r>
        <r>
          <rPr>
            <sz val="8"/>
            <color indexed="81"/>
            <rFont val="Tahoma"/>
          </rPr>
          <t>; 
Cornelis et al. 2005; 
http://www.portofantwerp.be/tbtclean/uploaded_documents/FINAL%20REPORT%20Vito%20Study%20Ecotoxicity%20TBT%20on%20land.pdf</t>
        </r>
      </text>
    </comment>
    <comment ref="M40" authorId="1" shapeId="0" xr:uid="{00000000-0006-0000-0200-000063000000}">
      <text>
        <r>
          <rPr>
            <b/>
            <sz val="8"/>
            <color indexed="81"/>
            <rFont val="Tahoma"/>
            <family val="2"/>
          </rPr>
          <t>BuSnCl</t>
        </r>
        <r>
          <rPr>
            <b/>
            <vertAlign val="subscript"/>
            <sz val="8"/>
            <color indexed="81"/>
            <rFont val="Tahoma"/>
            <family val="2"/>
          </rPr>
          <t>3</t>
        </r>
        <r>
          <rPr>
            <sz val="8"/>
            <color indexed="81"/>
            <rFont val="Tahoma"/>
          </rPr>
          <t>; 
Cornelis et al. 2005; 
http://www.portofantwerp.be/tbtclean/uploaded_documents/FINAL%20REPORT%20Vito%20Study%20Ecotoxicity%20TBT%20on%20land.pdf</t>
        </r>
      </text>
    </comment>
    <comment ref="N40" authorId="1" shapeId="0" xr:uid="{00000000-0006-0000-0200-000064000000}">
      <text>
        <r>
          <rPr>
            <b/>
            <sz val="8"/>
            <color indexed="81"/>
            <rFont val="Tahoma"/>
            <family val="2"/>
          </rPr>
          <t>BuSnCl</t>
        </r>
        <r>
          <rPr>
            <b/>
            <vertAlign val="subscript"/>
            <sz val="8"/>
            <color indexed="81"/>
            <rFont val="Tahoma"/>
            <family val="2"/>
          </rPr>
          <t>3</t>
        </r>
        <r>
          <rPr>
            <sz val="8"/>
            <color indexed="81"/>
            <rFont val="Tahoma"/>
          </rPr>
          <t>; 
WHO 2006; http://www.who.int/ipcs/publications/cicad/cicad73.pdf</t>
        </r>
      </text>
    </comment>
    <comment ref="P40" authorId="1" shapeId="0" xr:uid="{00000000-0006-0000-0200-000065000000}">
      <text>
        <r>
          <rPr>
            <b/>
            <sz val="8"/>
            <color indexed="81"/>
            <rFont val="Tahoma"/>
            <family val="2"/>
          </rPr>
          <t>BuSnCl</t>
        </r>
        <r>
          <rPr>
            <b/>
            <vertAlign val="subscript"/>
            <sz val="8"/>
            <color indexed="81"/>
            <rFont val="Tahoma"/>
            <family val="2"/>
          </rPr>
          <t>3</t>
        </r>
        <r>
          <rPr>
            <sz val="8"/>
            <color indexed="81"/>
            <rFont val="Tahoma"/>
          </rPr>
          <t>; 
Cornelis et al. 2005; 
http://www.portofantwerp.be/tbtclean/uploaded_documents/FINAL%20REPORT%20Vito%20Study%20Ecotoxicity%20TBT%20on%20land.pdf</t>
        </r>
      </text>
    </comment>
    <comment ref="U40" authorId="1" shapeId="0" xr:uid="{00000000-0006-0000-0200-000066000000}">
      <text>
        <r>
          <rPr>
            <b/>
            <sz val="8"/>
            <color indexed="81"/>
            <rFont val="Tahoma"/>
            <family val="2"/>
          </rPr>
          <t>BuSnCl</t>
        </r>
        <r>
          <rPr>
            <b/>
            <vertAlign val="subscript"/>
            <sz val="8"/>
            <color indexed="81"/>
            <rFont val="Tahoma"/>
            <family val="2"/>
          </rPr>
          <t>3</t>
        </r>
        <r>
          <rPr>
            <sz val="8"/>
            <color indexed="81"/>
            <rFont val="Tahoma"/>
          </rPr>
          <t>; 
WHO 2006; http://www.who.int/ipcs/publications/cicad/cicad73.pdf</t>
        </r>
      </text>
    </comment>
    <comment ref="M42" authorId="1" shapeId="0" xr:uid="{00000000-0006-0000-0200-000067000000}">
      <text>
        <r>
          <rPr>
            <b/>
            <sz val="8"/>
            <color indexed="81"/>
            <rFont val="Tahoma"/>
            <family val="2"/>
          </rPr>
          <t>(Bu)</t>
        </r>
        <r>
          <rPr>
            <b/>
            <vertAlign val="subscript"/>
            <sz val="8"/>
            <color indexed="81"/>
            <rFont val="Tahoma"/>
            <family val="2"/>
          </rPr>
          <t>3</t>
        </r>
        <r>
          <rPr>
            <b/>
            <sz val="8"/>
            <color indexed="81"/>
            <rFont val="Tahoma"/>
            <family val="2"/>
          </rPr>
          <t xml:space="preserve"> SnCl</t>
        </r>
        <r>
          <rPr>
            <sz val="8"/>
            <color indexed="81"/>
            <rFont val="Tahoma"/>
          </rPr>
          <t>; 
Cornelis et al. 2005; 
http://www.portofantwerp.be/tbtclean/uploaded_documents/FINAL%20REPORT%20Vito%20Study%20Ecotoxicity%20TBT%20on%20land.pdf</t>
        </r>
      </text>
    </comment>
    <comment ref="N42" authorId="1" shapeId="0" xr:uid="{00000000-0006-0000-0200-000068000000}">
      <text>
        <r>
          <rPr>
            <b/>
            <sz val="8"/>
            <color indexed="81"/>
            <rFont val="Tahoma"/>
            <family val="2"/>
          </rPr>
          <t>(Bu)</t>
        </r>
        <r>
          <rPr>
            <b/>
            <vertAlign val="subscript"/>
            <sz val="8"/>
            <color indexed="81"/>
            <rFont val="Tahoma"/>
            <family val="2"/>
          </rPr>
          <t>3</t>
        </r>
        <r>
          <rPr>
            <b/>
            <sz val="8"/>
            <color indexed="81"/>
            <rFont val="Tahoma"/>
            <family val="2"/>
          </rPr>
          <t xml:space="preserve"> SnCl</t>
        </r>
        <r>
          <rPr>
            <sz val="8"/>
            <color indexed="81"/>
            <rFont val="Tahoma"/>
          </rPr>
          <t>; 
Cornelis et al. 2005; 
http://www.portofantwerp.be/tbtclean/uploaded_documents/FINAL%20REPORT%20Vito%20Study%20Ecotoxicity%20TBT%20on%20land.pdf</t>
        </r>
      </text>
    </comment>
    <comment ref="U42" authorId="1" shapeId="0" xr:uid="{00000000-0006-0000-0200-000069000000}">
      <text>
        <r>
          <rPr>
            <b/>
            <sz val="8"/>
            <color indexed="81"/>
            <rFont val="Tahoma"/>
            <family val="2"/>
          </rPr>
          <t>(Bu)</t>
        </r>
        <r>
          <rPr>
            <b/>
            <vertAlign val="subscript"/>
            <sz val="8"/>
            <color indexed="81"/>
            <rFont val="Tahoma"/>
            <family val="2"/>
          </rPr>
          <t>3</t>
        </r>
        <r>
          <rPr>
            <b/>
            <sz val="8"/>
            <color indexed="81"/>
            <rFont val="Tahoma"/>
            <family val="2"/>
          </rPr>
          <t xml:space="preserve"> SnCl</t>
        </r>
        <r>
          <rPr>
            <sz val="8"/>
            <color indexed="81"/>
            <rFont val="Tahoma"/>
          </rPr>
          <t>; 
Cornelis et al. 2005; 
http://www.portofantwerp.be/tbtclean/uploaded_documents/FINAL%20REPORT%20Vito%20Study%20Ecotoxicity%20TBT%20on%20land.pdf</t>
        </r>
      </text>
    </comment>
    <comment ref="AD42" authorId="1" shapeId="0" xr:uid="{00000000-0006-0000-0200-00006A000000}">
      <text>
        <r>
          <rPr>
            <sz val="8"/>
            <color indexed="81"/>
            <rFont val="Tahoma"/>
          </rPr>
          <t>Non Priority Pollutant</t>
        </r>
      </text>
    </comment>
    <comment ref="AE42" authorId="1" shapeId="0" xr:uid="{00000000-0006-0000-0200-00006B000000}">
      <text>
        <r>
          <rPr>
            <sz val="8"/>
            <color indexed="81"/>
            <rFont val="Tahoma"/>
          </rPr>
          <t>Non Priority Pollutant</t>
        </r>
      </text>
    </comment>
    <comment ref="AF42" authorId="1" shapeId="0" xr:uid="{00000000-0006-0000-0200-00006C000000}">
      <text>
        <r>
          <rPr>
            <sz val="8"/>
            <color indexed="81"/>
            <rFont val="Tahoma"/>
          </rPr>
          <t>Non Priority Pollutant</t>
        </r>
      </text>
    </comment>
    <comment ref="AG42" authorId="1" shapeId="0" xr:uid="{00000000-0006-0000-0200-00006D000000}">
      <text>
        <r>
          <rPr>
            <sz val="8"/>
            <color indexed="81"/>
            <rFont val="Tahoma"/>
          </rPr>
          <t>Non Priority Pollutant</t>
        </r>
      </text>
    </comment>
    <comment ref="AH42" authorId="1" shapeId="0" xr:uid="{00000000-0006-0000-0200-00006E000000}">
      <text>
        <r>
          <rPr>
            <sz val="8"/>
            <color indexed="81"/>
            <rFont val="Tahoma"/>
          </rPr>
          <t>Non Priority Pollutant</t>
        </r>
      </text>
    </comment>
    <comment ref="AI42" authorId="1" shapeId="0" xr:uid="{00000000-0006-0000-0200-00006F000000}">
      <text>
        <r>
          <rPr>
            <sz val="8"/>
            <color indexed="81"/>
            <rFont val="Tahoma"/>
          </rPr>
          <t>Non Priority Pollutant</t>
        </r>
      </text>
    </comment>
    <comment ref="AJ42" authorId="1" shapeId="0" xr:uid="{00000000-0006-0000-0200-000070000000}">
      <text>
        <r>
          <rPr>
            <sz val="8"/>
            <color indexed="81"/>
            <rFont val="Tahoma"/>
          </rPr>
          <t>Non Priority Pollutant</t>
        </r>
      </text>
    </comment>
    <comment ref="AK42" authorId="1" shapeId="0" xr:uid="{00000000-0006-0000-0200-000071000000}">
      <text>
        <r>
          <rPr>
            <sz val="8"/>
            <color indexed="81"/>
            <rFont val="Tahoma"/>
          </rPr>
          <t>Non Priority Pollutant</t>
        </r>
      </text>
    </comment>
    <comment ref="AH43" authorId="1" shapeId="0" xr:uid="{00000000-0006-0000-0200-000072000000}">
      <text>
        <r>
          <rPr>
            <sz val="8"/>
            <color indexed="81"/>
            <rFont val="Tahoma"/>
          </rPr>
          <t>Secondary Value</t>
        </r>
      </text>
    </comment>
    <comment ref="AI43" authorId="1" shapeId="0" xr:uid="{00000000-0006-0000-0200-000073000000}">
      <text>
        <r>
          <rPr>
            <sz val="8"/>
            <color indexed="81"/>
            <rFont val="Tahoma"/>
          </rPr>
          <t>Secondary Value</t>
        </r>
      </text>
    </comment>
    <comment ref="AB45" authorId="1" shapeId="0" xr:uid="{00000000-0006-0000-0200-000074000000}">
      <text>
        <r>
          <rPr>
            <sz val="8"/>
            <color indexed="81"/>
            <rFont val="Tahoma"/>
          </rPr>
          <t>(as free cyanide)</t>
        </r>
      </text>
    </comment>
    <comment ref="AC45" authorId="1" shapeId="0" xr:uid="{00000000-0006-0000-0200-000075000000}">
      <text>
        <r>
          <rPr>
            <sz val="8"/>
            <color indexed="81"/>
            <rFont val="Tahoma"/>
          </rPr>
          <t>(as free cyanide)</t>
        </r>
      </text>
    </comment>
    <comment ref="AT45" authorId="1" shapeId="0" xr:uid="{00000000-0006-0000-0200-000076000000}">
      <text>
        <r>
          <rPr>
            <sz val="8"/>
            <color indexed="81"/>
            <rFont val="Tahoma"/>
          </rPr>
          <t>Free Cyanide</t>
        </r>
      </text>
    </comment>
    <comment ref="AU45" authorId="1" shapeId="0" xr:uid="{00000000-0006-0000-0200-000077000000}">
      <text>
        <r>
          <rPr>
            <sz val="8"/>
            <color indexed="81"/>
            <rFont val="Tahoma"/>
          </rPr>
          <t>Free Cyanide</t>
        </r>
      </text>
    </comment>
    <comment ref="AI46" authorId="1" shapeId="0" xr:uid="{00000000-0006-0000-0200-000078000000}">
      <text>
        <r>
          <rPr>
            <sz val="8"/>
            <color indexed="81"/>
            <rFont val="Tahoma"/>
          </rPr>
          <t>Lowest Chronic Value for All Organisms (Suter and Tsao 1996)</t>
        </r>
      </text>
    </comment>
    <comment ref="AE48" authorId="1" shapeId="0" xr:uid="{00000000-0006-0000-0200-000079000000}">
      <text>
        <r>
          <rPr>
            <sz val="8"/>
            <color indexed="81"/>
            <rFont val="Tahoma"/>
          </rPr>
          <t>Non Priority Pollutant
(Hydrogen Sulfide)</t>
        </r>
      </text>
    </comment>
    <comment ref="AG48" authorId="1" shapeId="0" xr:uid="{00000000-0006-0000-0200-00007A000000}">
      <text>
        <r>
          <rPr>
            <sz val="8"/>
            <color indexed="81"/>
            <rFont val="Tahoma"/>
          </rPr>
          <t>Non Priority Pollutant
(Hydrogen Sulfide)</t>
        </r>
      </text>
    </comment>
    <comment ref="AI48" authorId="1" shapeId="0" xr:uid="{00000000-0006-0000-0200-00007B000000}">
      <text>
        <r>
          <rPr>
            <sz val="8"/>
            <color indexed="81"/>
            <rFont val="Tahoma"/>
          </rPr>
          <t>Non Priority Pollutant
(Hydrogen Sulfide)</t>
        </r>
      </text>
    </comment>
    <comment ref="AK48" authorId="1" shapeId="0" xr:uid="{00000000-0006-0000-0200-00007C000000}">
      <text>
        <r>
          <rPr>
            <sz val="8"/>
            <color indexed="81"/>
            <rFont val="Tahoma"/>
          </rPr>
          <t>Non Priority Pollutant
(Hydrogen Sulfide)</t>
        </r>
      </text>
    </comment>
    <comment ref="AH50" authorId="1" shapeId="0" xr:uid="{00000000-0006-0000-0200-00007D000000}">
      <text>
        <r>
          <rPr>
            <sz val="8"/>
            <color indexed="81"/>
            <rFont val="Tahoma"/>
          </rPr>
          <t>Outdated National Ambient Water Quality Standard</t>
        </r>
      </text>
    </comment>
    <comment ref="AI50" authorId="1" shapeId="0" xr:uid="{00000000-0006-0000-0200-00007E000000}">
      <text>
        <r>
          <rPr>
            <sz val="8"/>
            <color indexed="81"/>
            <rFont val="Tahoma"/>
          </rPr>
          <t>Outdated National Ambient Water Quality Standard</t>
        </r>
      </text>
    </comment>
    <comment ref="AJ50" authorId="1" shapeId="0" xr:uid="{00000000-0006-0000-0200-00007F000000}">
      <text>
        <r>
          <rPr>
            <sz val="8"/>
            <color indexed="81"/>
            <rFont val="Tahoma"/>
          </rPr>
          <t>Outdated National Ambient Water Quality Standard</t>
        </r>
      </text>
    </comment>
    <comment ref="AK50" authorId="1" shapeId="0" xr:uid="{00000000-0006-0000-0200-000080000000}">
      <text>
        <r>
          <rPr>
            <sz val="8"/>
            <color indexed="81"/>
            <rFont val="Tahoma"/>
          </rPr>
          <t>Outdated National Ambient Water Quality Standard</t>
        </r>
      </text>
    </comment>
    <comment ref="AH52" authorId="1" shapeId="0" xr:uid="{00000000-0006-0000-0200-000081000000}">
      <text>
        <r>
          <rPr>
            <sz val="8"/>
            <color indexed="81"/>
            <rFont val="Tahoma"/>
          </rPr>
          <t>Secondary Value</t>
        </r>
      </text>
    </comment>
    <comment ref="AI52" authorId="1" shapeId="0" xr:uid="{00000000-0006-0000-0200-000082000000}">
      <text>
        <r>
          <rPr>
            <sz val="8"/>
            <color indexed="81"/>
            <rFont val="Tahoma"/>
          </rPr>
          <t>Secondary Value</t>
        </r>
      </text>
    </comment>
    <comment ref="AH53" authorId="1" shapeId="0" xr:uid="{00000000-0006-0000-0200-000083000000}">
      <text>
        <r>
          <rPr>
            <sz val="8"/>
            <color indexed="81"/>
            <rFont val="Tahoma"/>
          </rPr>
          <t>Secondary Value</t>
        </r>
      </text>
    </comment>
    <comment ref="AI53" authorId="1" shapeId="0" xr:uid="{00000000-0006-0000-0200-000084000000}">
      <text>
        <r>
          <rPr>
            <sz val="8"/>
            <color indexed="81"/>
            <rFont val="Tahoma"/>
          </rPr>
          <t>Secondary Value</t>
        </r>
      </text>
    </comment>
    <comment ref="AH57" authorId="1" shapeId="0" xr:uid="{00000000-0006-0000-0200-000085000000}">
      <text>
        <r>
          <rPr>
            <sz val="8"/>
            <color indexed="81"/>
            <rFont val="Tahoma"/>
          </rPr>
          <t>Secondary Value</t>
        </r>
      </text>
    </comment>
    <comment ref="AI57" authorId="1" shapeId="0" xr:uid="{00000000-0006-0000-0200-000086000000}">
      <text>
        <r>
          <rPr>
            <sz val="8"/>
            <color indexed="81"/>
            <rFont val="Tahoma"/>
          </rPr>
          <t>Secondary Value</t>
        </r>
      </text>
    </comment>
    <comment ref="AI59" authorId="1" shapeId="0" xr:uid="{00000000-0006-0000-0200-000087000000}">
      <text>
        <r>
          <rPr>
            <sz val="8"/>
            <color indexed="81"/>
            <rFont val="Tahoma"/>
          </rPr>
          <t>Secondary Value</t>
        </r>
      </text>
    </comment>
    <comment ref="AH64" authorId="1" shapeId="0" xr:uid="{00000000-0006-0000-0200-000088000000}">
      <text>
        <r>
          <rPr>
            <sz val="8"/>
            <color indexed="81"/>
            <rFont val="Tahoma"/>
          </rPr>
          <t>Secondary Value</t>
        </r>
      </text>
    </comment>
    <comment ref="AI64" authorId="1" shapeId="0" xr:uid="{00000000-0006-0000-0200-000089000000}">
      <text>
        <r>
          <rPr>
            <sz val="8"/>
            <color indexed="81"/>
            <rFont val="Tahoma"/>
          </rPr>
          <t>Secondary Value</t>
        </r>
      </text>
    </comment>
    <comment ref="AH73" authorId="1" shapeId="0" xr:uid="{00000000-0006-0000-0200-00008A000000}">
      <text>
        <r>
          <rPr>
            <sz val="8"/>
            <color indexed="81"/>
            <rFont val="Tahoma"/>
          </rPr>
          <t>Outdated National Ambient Water Quality Standard</t>
        </r>
      </text>
    </comment>
    <comment ref="AI73" authorId="1" shapeId="0" xr:uid="{00000000-0006-0000-0200-00008B000000}">
      <text>
        <r>
          <rPr>
            <sz val="8"/>
            <color indexed="81"/>
            <rFont val="Tahoma"/>
          </rPr>
          <t>Outdated National Ambient Water Quality Standard</t>
        </r>
      </text>
    </comment>
    <comment ref="AH74" authorId="1" shapeId="0" xr:uid="{00000000-0006-0000-0200-00008C000000}">
      <text>
        <r>
          <rPr>
            <sz val="8"/>
            <color indexed="81"/>
            <rFont val="Tahoma"/>
          </rPr>
          <t>Secondary Value</t>
        </r>
      </text>
    </comment>
    <comment ref="AI74" authorId="1" shapeId="0" xr:uid="{00000000-0006-0000-0200-00008D000000}">
      <text>
        <r>
          <rPr>
            <sz val="8"/>
            <color indexed="81"/>
            <rFont val="Tahoma"/>
          </rPr>
          <t>Secondary Value</t>
        </r>
      </text>
    </comment>
    <comment ref="AH77" authorId="1" shapeId="0" xr:uid="{00000000-0006-0000-0200-00008E000000}">
      <text>
        <r>
          <rPr>
            <sz val="8"/>
            <color indexed="81"/>
            <rFont val="Tahoma"/>
          </rPr>
          <t>Secondary Value</t>
        </r>
      </text>
    </comment>
    <comment ref="AI77" authorId="1" shapeId="0" xr:uid="{00000000-0006-0000-0200-00008F000000}">
      <text>
        <r>
          <rPr>
            <sz val="8"/>
            <color indexed="81"/>
            <rFont val="Tahoma"/>
          </rPr>
          <t>Secondary Value</t>
        </r>
      </text>
    </comment>
    <comment ref="AH79" authorId="1" shapeId="0" xr:uid="{00000000-0006-0000-0200-000090000000}">
      <text>
        <r>
          <rPr>
            <sz val="8"/>
            <color indexed="81"/>
            <rFont val="Tahoma"/>
          </rPr>
          <t>Secondary Value</t>
        </r>
      </text>
    </comment>
    <comment ref="AI79" authorId="1" shapeId="0" xr:uid="{00000000-0006-0000-0200-000091000000}">
      <text>
        <r>
          <rPr>
            <sz val="8"/>
            <color indexed="81"/>
            <rFont val="Tahoma"/>
          </rPr>
          <t>Secondary Value</t>
        </r>
      </text>
    </comment>
    <comment ref="AH81" authorId="1" shapeId="0" xr:uid="{00000000-0006-0000-0200-000092000000}">
      <text>
        <r>
          <rPr>
            <sz val="8"/>
            <color indexed="81"/>
            <rFont val="Tahoma"/>
          </rPr>
          <t>Outdated National Ambient Water Quality Standard</t>
        </r>
      </text>
    </comment>
    <comment ref="AI81" authorId="1" shapeId="0" xr:uid="{00000000-0006-0000-0200-000093000000}">
      <text>
        <r>
          <rPr>
            <sz val="8"/>
            <color indexed="81"/>
            <rFont val="Tahoma"/>
          </rPr>
          <t>Outdated National Ambient Water Quality Standard</t>
        </r>
      </text>
    </comment>
    <comment ref="AH86" authorId="1" shapeId="0" xr:uid="{00000000-0006-0000-0200-000094000000}">
      <text>
        <r>
          <rPr>
            <sz val="8"/>
            <color indexed="81"/>
            <rFont val="Tahoma"/>
          </rPr>
          <t>Secondary Value</t>
        </r>
      </text>
    </comment>
    <comment ref="AI86" authorId="1" shapeId="0" xr:uid="{00000000-0006-0000-0200-000095000000}">
      <text>
        <r>
          <rPr>
            <sz val="8"/>
            <color indexed="81"/>
            <rFont val="Tahoma"/>
          </rPr>
          <t>Secondary Value</t>
        </r>
      </text>
    </comment>
    <comment ref="AH87" authorId="1" shapeId="0" xr:uid="{00000000-0006-0000-0200-000096000000}">
      <text>
        <r>
          <rPr>
            <sz val="8"/>
            <color indexed="81"/>
            <rFont val="Tahoma"/>
          </rPr>
          <t>Secondary Value</t>
        </r>
      </text>
    </comment>
    <comment ref="AI87" authorId="1" shapeId="0" xr:uid="{00000000-0006-0000-0200-000097000000}">
      <text>
        <r>
          <rPr>
            <sz val="8"/>
            <color indexed="81"/>
            <rFont val="Tahoma"/>
          </rPr>
          <t>Secondary Value</t>
        </r>
      </text>
    </comment>
    <comment ref="AH88" authorId="1" shapeId="0" xr:uid="{00000000-0006-0000-0200-000098000000}">
      <text>
        <r>
          <rPr>
            <sz val="8"/>
            <color indexed="81"/>
            <rFont val="Tahoma"/>
          </rPr>
          <t>Secondary Value</t>
        </r>
      </text>
    </comment>
    <comment ref="AI88" authorId="1" shapeId="0" xr:uid="{00000000-0006-0000-0200-000099000000}">
      <text>
        <r>
          <rPr>
            <sz val="8"/>
            <color indexed="81"/>
            <rFont val="Tahoma"/>
          </rPr>
          <t>Secondary Value</t>
        </r>
      </text>
    </comment>
    <comment ref="AI89" authorId="1" shapeId="0" xr:uid="{00000000-0006-0000-0200-00009A000000}">
      <text>
        <r>
          <rPr>
            <sz val="8"/>
            <color indexed="81"/>
            <rFont val="Tahoma"/>
          </rPr>
          <t>Secondary Value</t>
        </r>
      </text>
    </comment>
    <comment ref="AI90" authorId="1" shapeId="0" xr:uid="{00000000-0006-0000-0200-00009B000000}">
      <text>
        <r>
          <rPr>
            <sz val="8"/>
            <color indexed="81"/>
            <rFont val="Tahoma"/>
          </rPr>
          <t>Secondary Value</t>
        </r>
      </text>
    </comment>
    <comment ref="A93" authorId="1" shapeId="0" xr:uid="{00000000-0006-0000-0200-00009C000000}">
      <text>
        <r>
          <rPr>
            <sz val="8"/>
            <color indexed="81"/>
            <rFont val="Tahoma"/>
          </rPr>
          <t>2,2'Oxybis(1-chloropropane)</t>
        </r>
      </text>
    </comment>
    <comment ref="AH94" authorId="1" shapeId="0" xr:uid="{00000000-0006-0000-0200-00009D000000}">
      <text>
        <r>
          <rPr>
            <sz val="8"/>
            <color indexed="81"/>
            <rFont val="Tahoma"/>
          </rPr>
          <t>Secondary Value</t>
        </r>
      </text>
    </comment>
    <comment ref="AI94" authorId="1" shapeId="0" xr:uid="{00000000-0006-0000-0200-00009E000000}">
      <text>
        <r>
          <rPr>
            <sz val="8"/>
            <color indexed="81"/>
            <rFont val="Tahoma"/>
          </rPr>
          <t>Secondary Value</t>
        </r>
      </text>
    </comment>
    <comment ref="AM94" authorId="1" shapeId="0" xr:uid="{00000000-0006-0000-0200-00009F000000}">
      <text>
        <r>
          <rPr>
            <sz val="8"/>
            <color indexed="81"/>
            <rFont val="Tahoma"/>
          </rPr>
          <t>&lt;0.3</t>
        </r>
      </text>
    </comment>
    <comment ref="AH96" authorId="1" shapeId="0" xr:uid="{00000000-0006-0000-0200-0000A0000000}">
      <text>
        <r>
          <rPr>
            <sz val="8"/>
            <color indexed="81"/>
            <rFont val="Tahoma"/>
          </rPr>
          <t>Outdated National Ambient Water Quality Standard</t>
        </r>
      </text>
    </comment>
    <comment ref="AH98" authorId="1" shapeId="0" xr:uid="{00000000-0006-0000-0200-0000A1000000}">
      <text>
        <r>
          <rPr>
            <sz val="8"/>
            <color indexed="81"/>
            <rFont val="Tahoma"/>
          </rPr>
          <t>Outdated National Ambient Water Quality Standard</t>
        </r>
      </text>
    </comment>
    <comment ref="AJ98" authorId="1" shapeId="0" xr:uid="{00000000-0006-0000-0200-0000A2000000}">
      <text>
        <r>
          <rPr>
            <sz val="8"/>
            <color indexed="81"/>
            <rFont val="Tahoma"/>
          </rPr>
          <t>Outdated National Ambient Water Quality Standard</t>
        </r>
      </text>
    </comment>
    <comment ref="AH99" authorId="1" shapeId="0" xr:uid="{00000000-0006-0000-0200-0000A3000000}">
      <text>
        <r>
          <rPr>
            <sz val="8"/>
            <color indexed="81"/>
            <rFont val="Tahoma"/>
          </rPr>
          <t>Outdated National Ambient Water Quality Standard</t>
        </r>
      </text>
    </comment>
    <comment ref="AH102" authorId="1" shapeId="0" xr:uid="{00000000-0006-0000-0200-0000A4000000}">
      <text>
        <r>
          <rPr>
            <sz val="8"/>
            <color indexed="81"/>
            <rFont val="Tahoma"/>
          </rPr>
          <t>Secondary Value</t>
        </r>
      </text>
    </comment>
    <comment ref="AI102" authorId="1" shapeId="0" xr:uid="{00000000-0006-0000-0200-0000A5000000}">
      <text>
        <r>
          <rPr>
            <sz val="8"/>
            <color indexed="81"/>
            <rFont val="Tahoma"/>
          </rPr>
          <t>Secondary Value</t>
        </r>
      </text>
    </comment>
    <comment ref="AI103" authorId="1" shapeId="0" xr:uid="{00000000-0006-0000-0200-0000A6000000}">
      <text>
        <r>
          <rPr>
            <sz val="8"/>
            <color indexed="81"/>
            <rFont val="Tahoma"/>
          </rPr>
          <t>Lowest Chronic Value for All Organisms (Suter and Tsao 1996)</t>
        </r>
      </text>
    </comment>
    <comment ref="AH104" authorId="1" shapeId="0" xr:uid="{00000000-0006-0000-0200-0000A7000000}">
      <text>
        <r>
          <rPr>
            <sz val="8"/>
            <color indexed="81"/>
            <rFont val="Tahoma"/>
          </rPr>
          <t>Secondary Value</t>
        </r>
      </text>
    </comment>
    <comment ref="AI104" authorId="1" shapeId="0" xr:uid="{00000000-0006-0000-0200-0000A8000000}">
      <text>
        <r>
          <rPr>
            <sz val="8"/>
            <color indexed="81"/>
            <rFont val="Tahoma"/>
          </rPr>
          <t>Secondary Value</t>
        </r>
      </text>
    </comment>
    <comment ref="AJ104" authorId="1" shapeId="0" xr:uid="{00000000-0006-0000-0200-0000A9000000}">
      <text>
        <r>
          <rPr>
            <sz val="8"/>
            <color indexed="81"/>
            <rFont val="Tahoma"/>
          </rPr>
          <t>Outdated National Ambient Water Quality Standard</t>
        </r>
      </text>
    </comment>
    <comment ref="AH105" authorId="1" shapeId="0" xr:uid="{00000000-0006-0000-0200-0000AA000000}">
      <text>
        <r>
          <rPr>
            <sz val="8"/>
            <color indexed="81"/>
            <rFont val="Tahoma"/>
          </rPr>
          <t>Secondary Value</t>
        </r>
      </text>
    </comment>
    <comment ref="AI105" authorId="1" shapeId="0" xr:uid="{00000000-0006-0000-0200-0000AB000000}">
      <text>
        <r>
          <rPr>
            <sz val="8"/>
            <color indexed="81"/>
            <rFont val="Tahoma"/>
          </rPr>
          <t>Secondary Value</t>
        </r>
      </text>
    </comment>
    <comment ref="AJ105" authorId="1" shapeId="0" xr:uid="{00000000-0006-0000-0200-0000AC000000}">
      <text>
        <r>
          <rPr>
            <sz val="8"/>
            <color indexed="81"/>
            <rFont val="Tahoma"/>
          </rPr>
          <t>Outdated National Ambient Water Quality Standard</t>
        </r>
      </text>
    </comment>
    <comment ref="AH106" authorId="1" shapeId="0" xr:uid="{00000000-0006-0000-0200-0000AD000000}">
      <text>
        <r>
          <rPr>
            <sz val="8"/>
            <color indexed="81"/>
            <rFont val="Tahoma"/>
          </rPr>
          <t>Secondary Value</t>
        </r>
      </text>
    </comment>
    <comment ref="AI106" authorId="1" shapeId="0" xr:uid="{00000000-0006-0000-0200-0000AE000000}">
      <text>
        <r>
          <rPr>
            <sz val="8"/>
            <color indexed="81"/>
            <rFont val="Tahoma"/>
          </rPr>
          <t>Secondary Value</t>
        </r>
      </text>
    </comment>
    <comment ref="AJ106" authorId="1" shapeId="0" xr:uid="{00000000-0006-0000-0200-0000AF000000}">
      <text>
        <r>
          <rPr>
            <sz val="8"/>
            <color indexed="81"/>
            <rFont val="Tahoma"/>
          </rPr>
          <t>Outdated National Ambient Water Quality Standard</t>
        </r>
      </text>
    </comment>
    <comment ref="AH108" authorId="1" shapeId="0" xr:uid="{00000000-0006-0000-0200-0000B0000000}">
      <text>
        <r>
          <rPr>
            <sz val="8"/>
            <color indexed="81"/>
            <rFont val="Tahoma"/>
          </rPr>
          <t>Outdated National Ambient Water Quality Standard</t>
        </r>
      </text>
    </comment>
    <comment ref="AI108" authorId="1" shapeId="0" xr:uid="{00000000-0006-0000-0200-0000B1000000}">
      <text>
        <r>
          <rPr>
            <sz val="8"/>
            <color indexed="81"/>
            <rFont val="Tahoma"/>
          </rPr>
          <t>Outdated National Ambient Water Quality Standard</t>
        </r>
      </text>
    </comment>
    <comment ref="AH109" authorId="1" shapeId="0" xr:uid="{00000000-0006-0000-0200-0000B2000000}">
      <text>
        <r>
          <rPr>
            <sz val="8"/>
            <color indexed="81"/>
            <rFont val="Tahoma"/>
          </rPr>
          <t>Secondary Value</t>
        </r>
      </text>
    </comment>
    <comment ref="AI109" authorId="1" shapeId="0" xr:uid="{00000000-0006-0000-0200-0000B3000000}">
      <text>
        <r>
          <rPr>
            <sz val="8"/>
            <color indexed="81"/>
            <rFont val="Tahoma"/>
          </rPr>
          <t>Secondary Value</t>
        </r>
      </text>
    </comment>
    <comment ref="AH111" authorId="1" shapeId="0" xr:uid="{00000000-0006-0000-0200-0000B4000000}">
      <text>
        <r>
          <rPr>
            <sz val="8"/>
            <color indexed="81"/>
            <rFont val="Tahoma"/>
          </rPr>
          <t>Outdated National Ambient Water Quality Standard</t>
        </r>
      </text>
    </comment>
    <comment ref="AH118" authorId="1" shapeId="0" xr:uid="{00000000-0006-0000-0200-0000B5000000}">
      <text>
        <r>
          <rPr>
            <sz val="8"/>
            <color indexed="81"/>
            <rFont val="Tahoma"/>
          </rPr>
          <t>Outdated National Ambient Water Quality Standard</t>
        </r>
      </text>
    </comment>
    <comment ref="AI118" authorId="1" shapeId="0" xr:uid="{00000000-0006-0000-0200-0000B6000000}">
      <text>
        <r>
          <rPr>
            <sz val="8"/>
            <color indexed="81"/>
            <rFont val="Tahoma"/>
          </rPr>
          <t>Outdated National Ambient Water Quality Standard</t>
        </r>
      </text>
    </comment>
    <comment ref="AJ118" authorId="1" shapeId="0" xr:uid="{00000000-0006-0000-0200-0000B7000000}">
      <text>
        <r>
          <rPr>
            <sz val="8"/>
            <color indexed="81"/>
            <rFont val="Tahoma"/>
          </rPr>
          <t>Outdated National Ambient Water Quality Standard</t>
        </r>
      </text>
    </comment>
    <comment ref="AH119" authorId="1" shapeId="0" xr:uid="{00000000-0006-0000-0200-0000B8000000}">
      <text>
        <r>
          <rPr>
            <sz val="8"/>
            <color indexed="81"/>
            <rFont val="Tahoma"/>
          </rPr>
          <t>Outdated National Ambient Water Quality Standard</t>
        </r>
      </text>
    </comment>
    <comment ref="AI119" authorId="1" shapeId="0" xr:uid="{00000000-0006-0000-0200-0000B9000000}">
      <text>
        <r>
          <rPr>
            <sz val="8"/>
            <color indexed="81"/>
            <rFont val="Tahoma"/>
          </rPr>
          <t>Outdated National Ambient Water Quality Standard</t>
        </r>
      </text>
    </comment>
    <comment ref="AJ119" authorId="1" shapeId="0" xr:uid="{00000000-0006-0000-0200-0000BA000000}">
      <text>
        <r>
          <rPr>
            <sz val="8"/>
            <color indexed="81"/>
            <rFont val="Tahoma"/>
          </rPr>
          <t>Outdated National Ambient Water Quality Standard</t>
        </r>
      </text>
    </comment>
    <comment ref="AH120" authorId="1" shapeId="0" xr:uid="{00000000-0006-0000-0200-0000BB000000}">
      <text>
        <r>
          <rPr>
            <sz val="8"/>
            <color indexed="81"/>
            <rFont val="Tahoma"/>
          </rPr>
          <t>Secondary Value</t>
        </r>
      </text>
    </comment>
    <comment ref="AI120" authorId="1" shapeId="0" xr:uid="{00000000-0006-0000-0200-0000BC000000}">
      <text>
        <r>
          <rPr>
            <sz val="8"/>
            <color indexed="81"/>
            <rFont val="Tahoma"/>
          </rPr>
          <t>Secondary Value</t>
        </r>
      </text>
    </comment>
    <comment ref="AJ120" authorId="1" shapeId="0" xr:uid="{00000000-0006-0000-0200-0000BD000000}">
      <text>
        <r>
          <rPr>
            <sz val="8"/>
            <color indexed="81"/>
            <rFont val="Tahoma"/>
          </rPr>
          <t>Outdated National Ambient Water Quality Standard</t>
        </r>
      </text>
    </comment>
    <comment ref="AH121" authorId="1" shapeId="0" xr:uid="{00000000-0006-0000-0200-0000BE000000}">
      <text>
        <r>
          <rPr>
            <sz val="8"/>
            <color indexed="81"/>
            <rFont val="Tahoma"/>
          </rPr>
          <t>Outdated National Ambient Water Quality Standard</t>
        </r>
      </text>
    </comment>
    <comment ref="AJ121" authorId="1" shapeId="0" xr:uid="{00000000-0006-0000-0200-0000BF000000}">
      <text>
        <r>
          <rPr>
            <sz val="8"/>
            <color indexed="81"/>
            <rFont val="Tahoma"/>
          </rPr>
          <t>Outdated National Ambient Water Quality Standard</t>
        </r>
      </text>
    </comment>
    <comment ref="AH129" authorId="1" shapeId="0" xr:uid="{00000000-0006-0000-0200-0000C0000000}">
      <text>
        <r>
          <rPr>
            <sz val="8"/>
            <color indexed="81"/>
            <rFont val="Tahoma"/>
          </rPr>
          <t>Outdated National Ambient Water Quality Standard</t>
        </r>
      </text>
    </comment>
    <comment ref="AI129" authorId="1" shapeId="0" xr:uid="{00000000-0006-0000-0200-0000C1000000}">
      <text>
        <r>
          <rPr>
            <sz val="8"/>
            <color indexed="81"/>
            <rFont val="Tahoma"/>
          </rPr>
          <t>Outdated National Ambient Water Quality Standard</t>
        </r>
      </text>
    </comment>
    <comment ref="AJ129" authorId="1" shapeId="0" xr:uid="{00000000-0006-0000-0200-0000C2000000}">
      <text>
        <r>
          <rPr>
            <sz val="8"/>
            <color indexed="81"/>
            <rFont val="Tahoma"/>
          </rPr>
          <t>Outdated National Ambient Water Quality Standard</t>
        </r>
      </text>
    </comment>
    <comment ref="AH130" authorId="1" shapeId="0" xr:uid="{00000000-0006-0000-0200-0000C3000000}">
      <text>
        <r>
          <rPr>
            <sz val="8"/>
            <color indexed="81"/>
            <rFont val="Tahoma"/>
          </rPr>
          <t>Secondary Value</t>
        </r>
      </text>
    </comment>
    <comment ref="AI130" authorId="1" shapeId="0" xr:uid="{00000000-0006-0000-0200-0000C4000000}">
      <text>
        <r>
          <rPr>
            <sz val="8"/>
            <color indexed="81"/>
            <rFont val="Tahoma"/>
          </rPr>
          <t>Secondary Value</t>
        </r>
      </text>
    </comment>
    <comment ref="AJ130" authorId="1" shapeId="0" xr:uid="{00000000-0006-0000-0200-0000C5000000}">
      <text>
        <r>
          <rPr>
            <sz val="8"/>
            <color indexed="81"/>
            <rFont val="Tahoma"/>
          </rPr>
          <t>Outdated National Ambient Water Quality Standard</t>
        </r>
      </text>
    </comment>
    <comment ref="AH133" authorId="1" shapeId="0" xr:uid="{00000000-0006-0000-0200-0000C6000000}">
      <text>
        <r>
          <rPr>
            <sz val="8"/>
            <color indexed="81"/>
            <rFont val="Tahoma"/>
          </rPr>
          <t>Secondary Value</t>
        </r>
      </text>
    </comment>
    <comment ref="AI133" authorId="1" shapeId="0" xr:uid="{00000000-0006-0000-0200-0000C7000000}">
      <text>
        <r>
          <rPr>
            <sz val="8"/>
            <color indexed="81"/>
            <rFont val="Tahoma"/>
          </rPr>
          <t>Secondary Value</t>
        </r>
      </text>
    </comment>
    <comment ref="AH134" authorId="1" shapeId="0" xr:uid="{00000000-0006-0000-0200-0000C8000000}">
      <text>
        <r>
          <rPr>
            <sz val="8"/>
            <color indexed="81"/>
            <rFont val="Tahoma"/>
          </rPr>
          <t>Outdated National Ambient Water Quality Standard</t>
        </r>
      </text>
    </comment>
    <comment ref="AJ134" authorId="1" shapeId="0" xr:uid="{00000000-0006-0000-0200-0000C9000000}">
      <text>
        <r>
          <rPr>
            <sz val="8"/>
            <color indexed="81"/>
            <rFont val="Tahoma"/>
          </rPr>
          <t>Outdated National Ambient Water Quality Standard</t>
        </r>
      </text>
    </comment>
    <comment ref="AH135" authorId="1" shapeId="0" xr:uid="{00000000-0006-0000-0200-0000CA000000}">
      <text>
        <r>
          <rPr>
            <sz val="8"/>
            <color indexed="81"/>
            <rFont val="Tahoma"/>
          </rPr>
          <t>Secondary Value</t>
        </r>
      </text>
    </comment>
    <comment ref="AI135" authorId="1" shapeId="0" xr:uid="{00000000-0006-0000-0200-0000CB000000}">
      <text>
        <r>
          <rPr>
            <sz val="8"/>
            <color indexed="81"/>
            <rFont val="Tahoma"/>
          </rPr>
          <t>Secondary Value</t>
        </r>
      </text>
    </comment>
    <comment ref="AH136" authorId="1" shapeId="0" xr:uid="{00000000-0006-0000-0200-0000CC000000}">
      <text>
        <r>
          <rPr>
            <sz val="8"/>
            <color indexed="81"/>
            <rFont val="Tahoma"/>
          </rPr>
          <t>Secondary Value</t>
        </r>
      </text>
    </comment>
    <comment ref="AI136" authorId="1" shapeId="0" xr:uid="{00000000-0006-0000-0200-0000CD000000}">
      <text>
        <r>
          <rPr>
            <sz val="8"/>
            <color indexed="81"/>
            <rFont val="Tahoma"/>
          </rPr>
          <t>Secondary Value</t>
        </r>
      </text>
    </comment>
    <comment ref="AL136" authorId="1" shapeId="0" xr:uid="{00000000-0006-0000-0200-0000CE000000}">
      <text>
        <r>
          <rPr>
            <sz val="9"/>
            <color indexed="81"/>
            <rFont val="Tahoma"/>
            <family val="2"/>
          </rPr>
          <t>at pH 7.8.
pH dependent criteria:
e</t>
        </r>
        <r>
          <rPr>
            <vertAlign val="superscript"/>
            <sz val="9"/>
            <color indexed="81"/>
            <rFont val="Tahoma"/>
            <family val="2"/>
          </rPr>
          <t>(1.005pH - 4.83)</t>
        </r>
      </text>
    </comment>
    <comment ref="AM136" authorId="1" shapeId="0" xr:uid="{00000000-0006-0000-0200-0000CF000000}">
      <text>
        <r>
          <rPr>
            <sz val="9"/>
            <color indexed="81"/>
            <rFont val="Tahoma"/>
            <family val="2"/>
          </rPr>
          <t>at pH 7.8.
pH dependent criteria:
e</t>
        </r>
        <r>
          <rPr>
            <vertAlign val="superscript"/>
            <sz val="9"/>
            <color indexed="81"/>
            <rFont val="Tahoma"/>
            <family val="2"/>
          </rPr>
          <t>(1.005pH - 5.29)</t>
        </r>
      </text>
    </comment>
    <comment ref="AN136" authorId="1" shapeId="0" xr:uid="{00000000-0006-0000-0200-0000D0000000}">
      <text>
        <r>
          <rPr>
            <sz val="9"/>
            <color indexed="81"/>
            <rFont val="Tahoma"/>
            <family val="2"/>
          </rPr>
          <t>at pH 7.8.
pH dependent criteria:
e</t>
        </r>
        <r>
          <rPr>
            <vertAlign val="superscript"/>
            <sz val="9"/>
            <color indexed="81"/>
            <rFont val="Tahoma"/>
            <family val="2"/>
          </rPr>
          <t>(1.005pH - 4.83)</t>
        </r>
      </text>
    </comment>
    <comment ref="AO136" authorId="1" shapeId="0" xr:uid="{00000000-0006-0000-0200-0000D1000000}">
      <text>
        <r>
          <rPr>
            <sz val="9"/>
            <color indexed="81"/>
            <rFont val="Tahoma"/>
            <family val="2"/>
          </rPr>
          <t>at pH 7.8.
pH dependent criteria:
e</t>
        </r>
        <r>
          <rPr>
            <vertAlign val="superscript"/>
            <sz val="9"/>
            <color indexed="81"/>
            <rFont val="Tahoma"/>
            <family val="2"/>
          </rPr>
          <t>(1.005pH - 5.29)</t>
        </r>
      </text>
    </comment>
    <comment ref="AH137" authorId="1" shapeId="0" xr:uid="{00000000-0006-0000-0200-0000D2000000}">
      <text>
        <r>
          <rPr>
            <sz val="8"/>
            <color indexed="81"/>
            <rFont val="Tahoma"/>
          </rPr>
          <t>Outdated National Ambient Water Quality Standard</t>
        </r>
      </text>
    </comment>
    <comment ref="AI137" authorId="1" shapeId="0" xr:uid="{00000000-0006-0000-0200-0000D3000000}">
      <text>
        <r>
          <rPr>
            <sz val="8"/>
            <color indexed="81"/>
            <rFont val="Tahoma"/>
          </rPr>
          <t>Outdated National Ambient Water Quality Standard</t>
        </r>
      </text>
    </comment>
    <comment ref="AJ137" authorId="1" shapeId="0" xr:uid="{00000000-0006-0000-0200-0000D4000000}">
      <text>
        <r>
          <rPr>
            <sz val="8"/>
            <color indexed="81"/>
            <rFont val="Tahoma"/>
          </rPr>
          <t>Outdated National Ambient Water Quality Standard</t>
        </r>
      </text>
    </comment>
    <comment ref="AH138" authorId="1" shapeId="0" xr:uid="{00000000-0006-0000-0200-0000D5000000}">
      <text>
        <r>
          <rPr>
            <sz val="8"/>
            <color indexed="81"/>
            <rFont val="Tahoma"/>
          </rPr>
          <t>Secondary Value</t>
        </r>
      </text>
    </comment>
    <comment ref="AI138" authorId="1" shapeId="0" xr:uid="{00000000-0006-0000-0200-0000D6000000}">
      <text>
        <r>
          <rPr>
            <sz val="8"/>
            <color indexed="81"/>
            <rFont val="Tahoma"/>
          </rPr>
          <t>Secondary Value</t>
        </r>
      </text>
    </comment>
    <comment ref="AI140" authorId="1" shapeId="0" xr:uid="{00000000-0006-0000-0200-0000D7000000}">
      <text>
        <r>
          <rPr>
            <sz val="8"/>
            <color indexed="81"/>
            <rFont val="Tahoma"/>
          </rPr>
          <t>Outdated National Ambient Water Quality Standard</t>
        </r>
      </text>
    </comment>
    <comment ref="AH142" authorId="1" shapeId="0" xr:uid="{00000000-0006-0000-0200-0000D8000000}">
      <text>
        <r>
          <rPr>
            <sz val="8"/>
            <color indexed="81"/>
            <rFont val="Tahoma"/>
          </rPr>
          <t>Secondary Value</t>
        </r>
      </text>
    </comment>
    <comment ref="AI142" authorId="1" shapeId="0" xr:uid="{00000000-0006-0000-0200-0000D9000000}">
      <text>
        <r>
          <rPr>
            <sz val="8"/>
            <color indexed="81"/>
            <rFont val="Tahoma"/>
          </rPr>
          <t>Secondary Value</t>
        </r>
      </text>
    </comment>
    <comment ref="AH145" authorId="1" shapeId="0" xr:uid="{00000000-0006-0000-0200-0000DA000000}">
      <text>
        <r>
          <rPr>
            <sz val="8"/>
            <color indexed="81"/>
            <rFont val="Tahoma"/>
          </rPr>
          <t>Secondary Value</t>
        </r>
      </text>
    </comment>
    <comment ref="AI145" authorId="1" shapeId="0" xr:uid="{00000000-0006-0000-0200-0000DB000000}">
      <text>
        <r>
          <rPr>
            <sz val="8"/>
            <color indexed="81"/>
            <rFont val="Tahoma"/>
          </rPr>
          <t>Secondary Value</t>
        </r>
      </text>
    </comment>
    <comment ref="AB146" authorId="1" shapeId="0" xr:uid="{00000000-0006-0000-0200-0000DC000000}">
      <text>
        <r>
          <rPr>
            <sz val="8"/>
            <color indexed="81"/>
            <rFont val="Tahoma"/>
          </rPr>
          <t>Total Trihalomthanes (Bromoform, Bromodichloromethane, Chloroform, Dibromochloromethane)</t>
        </r>
      </text>
    </comment>
    <comment ref="AC146" authorId="1" shapeId="0" xr:uid="{00000000-0006-0000-0200-0000DD000000}">
      <text>
        <r>
          <rPr>
            <sz val="8"/>
            <color indexed="81"/>
            <rFont val="Tahoma"/>
          </rPr>
          <t>Total Trihalomthanes (Bromoform, Bromodichloromethane, Chloroform, Dibromochloromethane)</t>
        </r>
      </text>
    </comment>
    <comment ref="AB147" authorId="1" shapeId="0" xr:uid="{00000000-0006-0000-0200-0000DE000000}">
      <text>
        <r>
          <rPr>
            <sz val="8"/>
            <color indexed="81"/>
            <rFont val="Tahoma"/>
          </rPr>
          <t>Total Trihalomthanes (Bromoform, Bromodichloromethane, Chloroform, Dibromochloromethane)</t>
        </r>
      </text>
    </comment>
    <comment ref="AC147" authorId="1" shapeId="0" xr:uid="{00000000-0006-0000-0200-0000DF000000}">
      <text>
        <r>
          <rPr>
            <sz val="8"/>
            <color indexed="81"/>
            <rFont val="Tahoma"/>
          </rPr>
          <t>Total Trihalomthanes (Bromoform, Bromodichloromethane, Chloroform, Dibromochloromethane)</t>
        </r>
      </text>
    </comment>
    <comment ref="AH147" authorId="1" shapeId="0" xr:uid="{00000000-0006-0000-0200-0000E0000000}">
      <text>
        <r>
          <rPr>
            <sz val="8"/>
            <color indexed="81"/>
            <rFont val="Tahoma"/>
          </rPr>
          <t>Secondary Value</t>
        </r>
      </text>
    </comment>
    <comment ref="AI147" authorId="1" shapeId="0" xr:uid="{00000000-0006-0000-0200-0000E1000000}">
      <text>
        <r>
          <rPr>
            <sz val="8"/>
            <color indexed="81"/>
            <rFont val="Tahoma"/>
          </rPr>
          <t>Secondary Value</t>
        </r>
      </text>
    </comment>
    <comment ref="AH149" authorId="1" shapeId="0" xr:uid="{00000000-0006-0000-0200-0000E2000000}">
      <text>
        <r>
          <rPr>
            <sz val="8"/>
            <color indexed="81"/>
            <rFont val="Tahoma"/>
          </rPr>
          <t>Secondary Value</t>
        </r>
      </text>
    </comment>
    <comment ref="AI149" authorId="1" shapeId="0" xr:uid="{00000000-0006-0000-0200-0000E3000000}">
      <text>
        <r>
          <rPr>
            <sz val="8"/>
            <color indexed="81"/>
            <rFont val="Tahoma"/>
          </rPr>
          <t>Secondary Value</t>
        </r>
      </text>
    </comment>
    <comment ref="AH150" authorId="1" shapeId="0" xr:uid="{00000000-0006-0000-0200-0000E4000000}">
      <text>
        <r>
          <rPr>
            <sz val="8"/>
            <color indexed="81"/>
            <rFont val="Tahoma"/>
          </rPr>
          <t>Secondary Value</t>
        </r>
      </text>
    </comment>
    <comment ref="AI150" authorId="1" shapeId="0" xr:uid="{00000000-0006-0000-0200-0000E5000000}">
      <text>
        <r>
          <rPr>
            <sz val="8"/>
            <color indexed="81"/>
            <rFont val="Tahoma"/>
          </rPr>
          <t>Secondary Value</t>
        </r>
      </text>
    </comment>
    <comment ref="AH151" authorId="1" shapeId="0" xr:uid="{00000000-0006-0000-0200-0000E6000000}">
      <text>
        <r>
          <rPr>
            <sz val="8"/>
            <color indexed="81"/>
            <rFont val="Tahoma"/>
          </rPr>
          <t>Secondary Value</t>
        </r>
      </text>
    </comment>
    <comment ref="AI151" authorId="1" shapeId="0" xr:uid="{00000000-0006-0000-0200-0000E7000000}">
      <text>
        <r>
          <rPr>
            <sz val="8"/>
            <color indexed="81"/>
            <rFont val="Tahoma"/>
          </rPr>
          <t>Secondary Value</t>
        </r>
      </text>
    </comment>
    <comment ref="AH152" authorId="1" shapeId="0" xr:uid="{00000000-0006-0000-0200-0000E8000000}">
      <text>
        <r>
          <rPr>
            <sz val="8"/>
            <color indexed="81"/>
            <rFont val="Tahoma"/>
          </rPr>
          <t>Secondary Value</t>
        </r>
      </text>
    </comment>
    <comment ref="AI152" authorId="1" shapeId="0" xr:uid="{00000000-0006-0000-0200-0000E9000000}">
      <text>
        <r>
          <rPr>
            <sz val="8"/>
            <color indexed="81"/>
            <rFont val="Tahoma"/>
          </rPr>
          <t>Secondary Value</t>
        </r>
      </text>
    </comment>
    <comment ref="AB154" authorId="1" shapeId="0" xr:uid="{00000000-0006-0000-0200-0000EA000000}">
      <text>
        <r>
          <rPr>
            <sz val="8"/>
            <color indexed="81"/>
            <rFont val="Tahoma"/>
          </rPr>
          <t>Total Trihalomthanes (Bromoform, Bromodichloromethane, Chloroform, Dibromochloromethane)</t>
        </r>
      </text>
    </comment>
    <comment ref="AC154" authorId="1" shapeId="0" xr:uid="{00000000-0006-0000-0200-0000EB000000}">
      <text>
        <r>
          <rPr>
            <sz val="8"/>
            <color indexed="81"/>
            <rFont val="Tahoma"/>
          </rPr>
          <t>Total Trihalomthanes (Bromoform, Bromodichloromethane, Chloroform, Dibromochloromethane)</t>
        </r>
      </text>
    </comment>
    <comment ref="AH154" authorId="1" shapeId="0" xr:uid="{00000000-0006-0000-0200-0000EC000000}">
      <text>
        <r>
          <rPr>
            <sz val="8"/>
            <color indexed="81"/>
            <rFont val="Tahoma"/>
          </rPr>
          <t>Secondary Value</t>
        </r>
      </text>
    </comment>
    <comment ref="AI154" authorId="1" shapeId="0" xr:uid="{00000000-0006-0000-0200-0000ED000000}">
      <text>
        <r>
          <rPr>
            <sz val="8"/>
            <color indexed="81"/>
            <rFont val="Tahoma"/>
          </rPr>
          <t>Secondary Value</t>
        </r>
      </text>
    </comment>
    <comment ref="AH156" authorId="1" shapeId="0" xr:uid="{00000000-0006-0000-0200-0000EE000000}">
      <text>
        <r>
          <rPr>
            <sz val="8"/>
            <color indexed="81"/>
            <rFont val="Tahoma"/>
          </rPr>
          <t>Secondary Value</t>
        </r>
      </text>
    </comment>
    <comment ref="AI156" authorId="1" shapeId="0" xr:uid="{00000000-0006-0000-0200-0000EF000000}">
      <text>
        <r>
          <rPr>
            <sz val="8"/>
            <color indexed="81"/>
            <rFont val="Tahoma"/>
          </rPr>
          <t>Secondary Value</t>
        </r>
      </text>
    </comment>
    <comment ref="AB157" authorId="1" shapeId="0" xr:uid="{00000000-0006-0000-0200-0000F0000000}">
      <text>
        <r>
          <rPr>
            <sz val="8"/>
            <color indexed="81"/>
            <rFont val="Tahoma"/>
          </rPr>
          <t>Total Trihalomthanes (Bromoform, Bromodichloromethane, Chloroform, Dibromochloromethane)</t>
        </r>
      </text>
    </comment>
    <comment ref="AC157" authorId="1" shapeId="0" xr:uid="{00000000-0006-0000-0200-0000F1000000}">
      <text>
        <r>
          <rPr>
            <sz val="8"/>
            <color indexed="81"/>
            <rFont val="Tahoma"/>
          </rPr>
          <t>Total Trihalomthanes (Bromoform, Bromodichloromethane, Chloroform, Dibromochloromethane)</t>
        </r>
      </text>
    </comment>
    <comment ref="AH161" authorId="1" shapeId="0" xr:uid="{00000000-0006-0000-0200-0000F2000000}">
      <text>
        <r>
          <rPr>
            <sz val="8"/>
            <color indexed="81"/>
            <rFont val="Tahoma"/>
          </rPr>
          <t>Secondary Value</t>
        </r>
      </text>
    </comment>
    <comment ref="AI161" authorId="1" shapeId="0" xr:uid="{00000000-0006-0000-0200-0000F3000000}">
      <text>
        <r>
          <rPr>
            <sz val="8"/>
            <color indexed="81"/>
            <rFont val="Tahoma"/>
          </rPr>
          <t>Secondary Value</t>
        </r>
      </text>
    </comment>
    <comment ref="AH162" authorId="1" shapeId="0" xr:uid="{00000000-0006-0000-0200-0000F4000000}">
      <text>
        <r>
          <rPr>
            <sz val="8"/>
            <color indexed="81"/>
            <rFont val="Tahoma"/>
          </rPr>
          <t>Secondary Value</t>
        </r>
      </text>
    </comment>
    <comment ref="AI162" authorId="1" shapeId="0" xr:uid="{00000000-0006-0000-0200-0000F5000000}">
      <text>
        <r>
          <rPr>
            <sz val="8"/>
            <color indexed="81"/>
            <rFont val="Tahoma"/>
          </rPr>
          <t>Secondary Value</t>
        </r>
      </text>
    </comment>
    <comment ref="AH163" authorId="1" shapeId="0" xr:uid="{00000000-0006-0000-0200-0000F6000000}">
      <text>
        <r>
          <rPr>
            <sz val="8"/>
            <color indexed="81"/>
            <rFont val="Tahoma"/>
          </rPr>
          <t>Secondary Value</t>
        </r>
      </text>
    </comment>
    <comment ref="AI163" authorId="1" shapeId="0" xr:uid="{00000000-0006-0000-0200-0000F7000000}">
      <text>
        <r>
          <rPr>
            <sz val="8"/>
            <color indexed="81"/>
            <rFont val="Tahoma"/>
          </rPr>
          <t>Secondary Value</t>
        </r>
      </text>
    </comment>
    <comment ref="AH164" authorId="1" shapeId="0" xr:uid="{00000000-0006-0000-0200-0000F8000000}">
      <text>
        <r>
          <rPr>
            <sz val="8"/>
            <color indexed="81"/>
            <rFont val="Tahoma"/>
          </rPr>
          <t>Secondary Value</t>
        </r>
      </text>
    </comment>
    <comment ref="AI164" authorId="1" shapeId="0" xr:uid="{00000000-0006-0000-0200-0000F9000000}">
      <text>
        <r>
          <rPr>
            <sz val="8"/>
            <color indexed="81"/>
            <rFont val="Tahoma"/>
          </rPr>
          <t>Secondary Value</t>
        </r>
      </text>
    </comment>
    <comment ref="AH165" authorId="1" shapeId="0" xr:uid="{00000000-0006-0000-0200-0000FA000000}">
      <text>
        <r>
          <rPr>
            <sz val="8"/>
            <color indexed="81"/>
            <rFont val="Tahoma"/>
          </rPr>
          <t>Secondary Value</t>
        </r>
      </text>
    </comment>
    <comment ref="AI165" authorId="1" shapeId="0" xr:uid="{00000000-0006-0000-0200-0000FB000000}">
      <text>
        <r>
          <rPr>
            <sz val="8"/>
            <color indexed="81"/>
            <rFont val="Tahoma"/>
          </rPr>
          <t>Secondary Value</t>
        </r>
      </text>
    </comment>
    <comment ref="AH167" authorId="1" shapeId="0" xr:uid="{00000000-0006-0000-0200-0000FC000000}">
      <text>
        <r>
          <rPr>
            <sz val="8"/>
            <color indexed="81"/>
            <rFont val="Tahoma"/>
          </rPr>
          <t>Secondary Value</t>
        </r>
      </text>
    </comment>
    <comment ref="AI167" authorId="1" shapeId="0" xr:uid="{00000000-0006-0000-0200-0000FD000000}">
      <text>
        <r>
          <rPr>
            <sz val="8"/>
            <color indexed="81"/>
            <rFont val="Tahoma"/>
          </rPr>
          <t>Secondary Value</t>
        </r>
      </text>
    </comment>
    <comment ref="AH168" authorId="1" shapeId="0" xr:uid="{00000000-0006-0000-0200-0000FE000000}">
      <text>
        <r>
          <rPr>
            <sz val="8"/>
            <color indexed="81"/>
            <rFont val="Tahoma"/>
          </rPr>
          <t>Secondary Value</t>
        </r>
      </text>
    </comment>
    <comment ref="AI168" authorId="1" shapeId="0" xr:uid="{00000000-0006-0000-0200-0000FF000000}">
      <text>
        <r>
          <rPr>
            <sz val="8"/>
            <color indexed="81"/>
            <rFont val="Tahoma"/>
          </rPr>
          <t>Secondary Value</t>
        </r>
      </text>
    </comment>
    <comment ref="AH169" authorId="1" shapeId="0" xr:uid="{00000000-0006-0000-0200-000000010000}">
      <text>
        <r>
          <rPr>
            <sz val="8"/>
            <color indexed="81"/>
            <rFont val="Tahoma"/>
          </rPr>
          <t>Secondary Value</t>
        </r>
      </text>
    </comment>
    <comment ref="AI169" authorId="1" shapeId="0" xr:uid="{00000000-0006-0000-0200-000001010000}">
      <text>
        <r>
          <rPr>
            <sz val="8"/>
            <color indexed="81"/>
            <rFont val="Tahoma"/>
          </rPr>
          <t>Secondary Value</t>
        </r>
      </text>
    </comment>
    <comment ref="AH170" authorId="1" shapeId="0" xr:uid="{00000000-0006-0000-0200-000002010000}">
      <text>
        <r>
          <rPr>
            <sz val="8"/>
            <color indexed="81"/>
            <rFont val="Tahoma"/>
          </rPr>
          <t>Secondary Value</t>
        </r>
      </text>
    </comment>
    <comment ref="AI170" authorId="1" shapeId="0" xr:uid="{00000000-0006-0000-0200-000003010000}">
      <text>
        <r>
          <rPr>
            <sz val="8"/>
            <color indexed="81"/>
            <rFont val="Tahoma"/>
          </rPr>
          <t>Secondary Value</t>
        </r>
      </text>
    </comment>
    <comment ref="AH171" authorId="1" shapeId="0" xr:uid="{00000000-0006-0000-0200-000004010000}">
      <text>
        <r>
          <rPr>
            <sz val="8"/>
            <color indexed="81"/>
            <rFont val="Tahoma"/>
          </rPr>
          <t>Secondary Value</t>
        </r>
      </text>
    </comment>
    <comment ref="AI171" authorId="1" shapeId="0" xr:uid="{00000000-0006-0000-0200-000005010000}">
      <text>
        <r>
          <rPr>
            <sz val="8"/>
            <color indexed="81"/>
            <rFont val="Tahoma"/>
          </rPr>
          <t>Secondary Value</t>
        </r>
      </text>
    </comment>
    <comment ref="AH175" authorId="1" shapeId="0" xr:uid="{00000000-0006-0000-0200-000006010000}">
      <text>
        <r>
          <rPr>
            <sz val="8"/>
            <color indexed="81"/>
            <rFont val="Tahoma"/>
          </rPr>
          <t>Secondary Value</t>
        </r>
      </text>
    </comment>
    <comment ref="AI175" authorId="1" shapeId="0" xr:uid="{00000000-0006-0000-0200-000007010000}">
      <text>
        <r>
          <rPr>
            <sz val="8"/>
            <color indexed="81"/>
            <rFont val="Tahoma"/>
          </rPr>
          <t>Secondary Value</t>
        </r>
      </text>
    </comment>
    <comment ref="AH176" authorId="1" shapeId="0" xr:uid="{00000000-0006-0000-0200-000008010000}">
      <text>
        <r>
          <rPr>
            <sz val="8"/>
            <color indexed="81"/>
            <rFont val="Tahoma"/>
          </rPr>
          <t>Secondary Value</t>
        </r>
      </text>
    </comment>
    <comment ref="AI176" authorId="1" shapeId="0" xr:uid="{00000000-0006-0000-0200-000009010000}">
      <text>
        <r>
          <rPr>
            <sz val="8"/>
            <color indexed="81"/>
            <rFont val="Tahoma"/>
          </rPr>
          <t>Secondary Value</t>
        </r>
      </text>
    </comment>
    <comment ref="AH177" authorId="1" shapeId="0" xr:uid="{00000000-0006-0000-0200-00000A010000}">
      <text>
        <r>
          <rPr>
            <sz val="8"/>
            <color indexed="81"/>
            <rFont val="Tahoma"/>
          </rPr>
          <t>Secondary Value</t>
        </r>
      </text>
    </comment>
    <comment ref="AI177" authorId="1" shapeId="0" xr:uid="{00000000-0006-0000-0200-00000B010000}">
      <text>
        <r>
          <rPr>
            <sz val="8"/>
            <color indexed="81"/>
            <rFont val="Tahoma"/>
          </rPr>
          <t>Secondary Value</t>
        </r>
      </text>
    </comment>
    <comment ref="AH178" authorId="1" shapeId="0" xr:uid="{00000000-0006-0000-0200-00000C010000}">
      <text>
        <r>
          <rPr>
            <sz val="8"/>
            <color indexed="81"/>
            <rFont val="Tahoma"/>
          </rPr>
          <t>Secondary Value</t>
        </r>
      </text>
    </comment>
    <comment ref="AI178" authorId="1" shapeId="0" xr:uid="{00000000-0006-0000-0200-00000D010000}">
      <text>
        <r>
          <rPr>
            <sz val="8"/>
            <color indexed="81"/>
            <rFont val="Tahoma"/>
          </rPr>
          <t>Secondary Value</t>
        </r>
      </text>
    </comment>
    <comment ref="AH179" authorId="1" shapeId="0" xr:uid="{00000000-0006-0000-0200-00000E010000}">
      <text>
        <r>
          <rPr>
            <sz val="8"/>
            <color indexed="81"/>
            <rFont val="Tahoma"/>
          </rPr>
          <t>Secondary Value</t>
        </r>
      </text>
    </comment>
    <comment ref="AI179" authorId="1" shapeId="0" xr:uid="{00000000-0006-0000-0200-00000F010000}">
      <text>
        <r>
          <rPr>
            <sz val="8"/>
            <color indexed="81"/>
            <rFont val="Tahoma"/>
          </rPr>
          <t>Secondary Value</t>
        </r>
      </text>
    </comment>
    <comment ref="AH181" authorId="1" shapeId="0" xr:uid="{00000000-0006-0000-0200-000010010000}">
      <text>
        <r>
          <rPr>
            <sz val="8"/>
            <color indexed="81"/>
            <rFont val="Tahoma"/>
          </rPr>
          <t>Secondary Value</t>
        </r>
      </text>
    </comment>
    <comment ref="AI181" authorId="1" shapeId="0" xr:uid="{00000000-0006-0000-0200-000011010000}">
      <text>
        <r>
          <rPr>
            <sz val="8"/>
            <color indexed="81"/>
            <rFont val="Tahoma"/>
          </rPr>
          <t>Secondary Value</t>
        </r>
      </text>
    </comment>
    <comment ref="AH182" authorId="1" shapeId="0" xr:uid="{00000000-0006-0000-0200-000012010000}">
      <text>
        <r>
          <rPr>
            <sz val="8"/>
            <color indexed="81"/>
            <rFont val="Tahoma"/>
          </rPr>
          <t>Secondary Value</t>
        </r>
      </text>
    </comment>
    <comment ref="AI182" authorId="1" shapeId="0" xr:uid="{00000000-0006-0000-0200-000013010000}">
      <text>
        <r>
          <rPr>
            <sz val="8"/>
            <color indexed="81"/>
            <rFont val="Tahoma"/>
          </rPr>
          <t>Secondary Value</t>
        </r>
      </text>
    </comment>
    <comment ref="AH183" authorId="1" shapeId="0" xr:uid="{00000000-0006-0000-0200-000014010000}">
      <text>
        <r>
          <rPr>
            <sz val="8"/>
            <color indexed="81"/>
            <rFont val="Tahoma"/>
          </rPr>
          <t>Secondary Value</t>
        </r>
      </text>
    </comment>
    <comment ref="AI183" authorId="1" shapeId="0" xr:uid="{00000000-0006-0000-0200-000015010000}">
      <text>
        <r>
          <rPr>
            <sz val="8"/>
            <color indexed="81"/>
            <rFont val="Tahoma"/>
          </rPr>
          <t>Secondary Value</t>
        </r>
      </text>
    </comment>
    <comment ref="AH184" authorId="1" shapeId="0" xr:uid="{00000000-0006-0000-0200-000016010000}">
      <text>
        <r>
          <rPr>
            <sz val="8"/>
            <color indexed="81"/>
            <rFont val="Tahoma"/>
          </rPr>
          <t>Secondary Value</t>
        </r>
      </text>
    </comment>
    <comment ref="AI184" authorId="1" shapeId="0" xr:uid="{00000000-0006-0000-0200-000017010000}">
      <text>
        <r>
          <rPr>
            <sz val="8"/>
            <color indexed="81"/>
            <rFont val="Tahoma"/>
          </rPr>
          <t>Secondary Value</t>
        </r>
      </text>
    </comment>
    <comment ref="AH185" authorId="1" shapeId="0" xr:uid="{00000000-0006-0000-0200-000018010000}">
      <text>
        <r>
          <rPr>
            <sz val="8"/>
            <color indexed="81"/>
            <rFont val="Tahoma"/>
          </rPr>
          <t>Secondary Value</t>
        </r>
      </text>
    </comment>
    <comment ref="AI185" authorId="1" shapeId="0" xr:uid="{00000000-0006-0000-0200-000019010000}">
      <text>
        <r>
          <rPr>
            <sz val="8"/>
            <color indexed="81"/>
            <rFont val="Tahoma"/>
          </rPr>
          <t>Secondary Value</t>
        </r>
      </text>
    </comment>
    <comment ref="AH187" authorId="1" shapeId="0" xr:uid="{00000000-0006-0000-0200-00001A010000}">
      <text>
        <r>
          <rPr>
            <sz val="8"/>
            <color indexed="81"/>
            <rFont val="Tahoma"/>
          </rPr>
          <t>Secondary Value</t>
        </r>
      </text>
    </comment>
    <comment ref="AI187" authorId="1" shapeId="0" xr:uid="{00000000-0006-0000-0200-00001B010000}">
      <text>
        <r>
          <rPr>
            <sz val="8"/>
            <color indexed="81"/>
            <rFont val="Tahoma"/>
          </rPr>
          <t>Secondary Value</t>
        </r>
      </text>
    </comment>
    <comment ref="AH189" authorId="1" shapeId="0" xr:uid="{00000000-0006-0000-0200-00001C010000}">
      <text>
        <r>
          <rPr>
            <sz val="8"/>
            <color indexed="81"/>
            <rFont val="Tahoma"/>
          </rPr>
          <t>Secondary Value</t>
        </r>
      </text>
    </comment>
    <comment ref="AI189" authorId="1" shapeId="0" xr:uid="{00000000-0006-0000-0200-00001D010000}">
      <text>
        <r>
          <rPr>
            <sz val="8"/>
            <color indexed="81"/>
            <rFont val="Tahoma"/>
          </rPr>
          <t>Secondary Value</t>
        </r>
      </text>
    </comment>
    <comment ref="AH191" authorId="1" shapeId="0" xr:uid="{00000000-0006-0000-0200-00001E010000}">
      <text>
        <r>
          <rPr>
            <sz val="8"/>
            <color indexed="81"/>
            <rFont val="Tahoma"/>
          </rPr>
          <t>Secondary Value</t>
        </r>
      </text>
    </comment>
    <comment ref="AI191" authorId="1" shapeId="0" xr:uid="{00000000-0006-0000-0200-00001F010000}">
      <text>
        <r>
          <rPr>
            <sz val="8"/>
            <color indexed="81"/>
            <rFont val="Tahoma"/>
          </rPr>
          <t>Secondary Value</t>
        </r>
      </text>
    </comment>
    <comment ref="AB193" authorId="1" shapeId="0" xr:uid="{00000000-0006-0000-0200-000020010000}">
      <text>
        <r>
          <rPr>
            <sz val="8"/>
            <color indexed="81"/>
            <rFont val="Tahoma"/>
          </rPr>
          <t>Total Xylenes</t>
        </r>
      </text>
    </comment>
    <comment ref="AC193" authorId="1" shapeId="0" xr:uid="{00000000-0006-0000-0200-000021010000}">
      <text>
        <r>
          <rPr>
            <sz val="8"/>
            <color indexed="81"/>
            <rFont val="Tahoma"/>
          </rPr>
          <t>Total Xylenes</t>
        </r>
      </text>
    </comment>
    <comment ref="AH193" authorId="1" shapeId="0" xr:uid="{00000000-0006-0000-0200-000022010000}">
      <text>
        <r>
          <rPr>
            <sz val="8"/>
            <color indexed="81"/>
            <rFont val="Tahoma"/>
            <family val="2"/>
          </rPr>
          <t xml:space="preserve">Secondary Values:
Xylene:  230 ug/L
</t>
        </r>
        <r>
          <rPr>
            <i/>
            <sz val="8"/>
            <color indexed="81"/>
            <rFont val="Tahoma"/>
            <family val="2"/>
          </rPr>
          <t>m</t>
        </r>
        <r>
          <rPr>
            <sz val="8"/>
            <color indexed="81"/>
            <rFont val="Tahoma"/>
            <family val="2"/>
          </rPr>
          <t>-Xylene:  32 ug/L</t>
        </r>
      </text>
    </comment>
    <comment ref="AI193" authorId="1" shapeId="0" xr:uid="{00000000-0006-0000-0200-000023010000}">
      <text>
        <r>
          <rPr>
            <sz val="8"/>
            <color indexed="81"/>
            <rFont val="Tahoma"/>
            <family val="2"/>
          </rPr>
          <t xml:space="preserve">Secondary Values:
Xylene:  13 ug/L
</t>
        </r>
        <r>
          <rPr>
            <i/>
            <sz val="8"/>
            <color indexed="81"/>
            <rFont val="Tahoma"/>
            <family val="2"/>
          </rPr>
          <t>m</t>
        </r>
        <r>
          <rPr>
            <sz val="8"/>
            <color indexed="81"/>
            <rFont val="Tahoma"/>
            <family val="2"/>
          </rPr>
          <t>-Xylene:  1.8 ug/L</t>
        </r>
      </text>
    </comment>
    <comment ref="AE195" authorId="1" shapeId="0" xr:uid="{00000000-0006-0000-0200-000024010000}">
      <text>
        <r>
          <rPr>
            <sz val="8"/>
            <color indexed="81"/>
            <rFont val="Tahoma"/>
          </rPr>
          <t>Non Priority Pollutant</t>
        </r>
      </text>
    </comment>
    <comment ref="AG195" authorId="1" shapeId="0" xr:uid="{00000000-0006-0000-0200-000025010000}">
      <text>
        <r>
          <rPr>
            <sz val="8"/>
            <color indexed="81"/>
            <rFont val="Tahoma"/>
          </rPr>
          <t>Non Priority Pollutant</t>
        </r>
      </text>
    </comment>
    <comment ref="AI195" authorId="1" shapeId="0" xr:uid="{00000000-0006-0000-0200-000026010000}">
      <text>
        <r>
          <rPr>
            <sz val="8"/>
            <color indexed="81"/>
            <rFont val="Tahoma"/>
          </rPr>
          <t>Non Priority Pollutant</t>
        </r>
      </text>
    </comment>
    <comment ref="AK195" authorId="1" shapeId="0" xr:uid="{00000000-0006-0000-0200-000027010000}">
      <text>
        <r>
          <rPr>
            <sz val="8"/>
            <color indexed="81"/>
            <rFont val="Tahoma"/>
          </rPr>
          <t>Non Priority Pollutant</t>
        </r>
      </text>
    </comment>
    <comment ref="AD196" authorId="1" shapeId="0" xr:uid="{00000000-0006-0000-0200-000028010000}">
      <text>
        <r>
          <rPr>
            <sz val="8"/>
            <color indexed="81"/>
            <rFont val="Tahoma"/>
          </rPr>
          <t>Non Priority Pollutant</t>
        </r>
      </text>
    </comment>
    <comment ref="AE196" authorId="1" shapeId="0" xr:uid="{00000000-0006-0000-0200-000029010000}">
      <text>
        <r>
          <rPr>
            <sz val="8"/>
            <color indexed="81"/>
            <rFont val="Tahoma"/>
          </rPr>
          <t>Non Priority Pollutant</t>
        </r>
      </text>
    </comment>
    <comment ref="AF196" authorId="1" shapeId="0" xr:uid="{00000000-0006-0000-0200-00002A010000}">
      <text>
        <r>
          <rPr>
            <sz val="8"/>
            <color indexed="81"/>
            <rFont val="Tahoma"/>
          </rPr>
          <t>Non Priority Pollutant</t>
        </r>
      </text>
    </comment>
    <comment ref="AG196" authorId="1" shapeId="0" xr:uid="{00000000-0006-0000-0200-00002B010000}">
      <text>
        <r>
          <rPr>
            <sz val="8"/>
            <color indexed="81"/>
            <rFont val="Tahoma"/>
          </rPr>
          <t>Non Priority Pollutant</t>
        </r>
      </text>
    </comment>
    <comment ref="AH196" authorId="1" shapeId="0" xr:uid="{00000000-0006-0000-0200-00002C010000}">
      <text>
        <r>
          <rPr>
            <sz val="8"/>
            <color indexed="81"/>
            <rFont val="Tahoma"/>
          </rPr>
          <t>Non Priority Pollutant</t>
        </r>
      </text>
    </comment>
    <comment ref="AI196" authorId="1" shapeId="0" xr:uid="{00000000-0006-0000-0200-00002D010000}">
      <text>
        <r>
          <rPr>
            <sz val="8"/>
            <color indexed="81"/>
            <rFont val="Tahoma"/>
          </rPr>
          <t>Non Priority Pollutant</t>
        </r>
      </text>
    </comment>
    <comment ref="AJ196" authorId="1" shapeId="0" xr:uid="{00000000-0006-0000-0200-00002E010000}">
      <text>
        <r>
          <rPr>
            <sz val="8"/>
            <color indexed="81"/>
            <rFont val="Tahoma"/>
          </rPr>
          <t>Non Priority Pollutant</t>
        </r>
      </text>
    </comment>
    <comment ref="AK196" authorId="1" shapeId="0" xr:uid="{00000000-0006-0000-0200-00002F010000}">
      <text>
        <r>
          <rPr>
            <sz val="8"/>
            <color indexed="81"/>
            <rFont val="Tahoma"/>
          </rPr>
          <t>Non Priority Pollutant</t>
        </r>
      </text>
    </comment>
    <comment ref="AE197" authorId="1" shapeId="0" xr:uid="{00000000-0006-0000-0200-000030010000}">
      <text>
        <r>
          <rPr>
            <sz val="8"/>
            <color indexed="81"/>
            <rFont val="Tahoma"/>
          </rPr>
          <t>Non Priority Pollutant</t>
        </r>
      </text>
    </comment>
    <comment ref="AG197" authorId="1" shapeId="0" xr:uid="{00000000-0006-0000-0200-000031010000}">
      <text>
        <r>
          <rPr>
            <sz val="8"/>
            <color indexed="81"/>
            <rFont val="Tahoma"/>
          </rPr>
          <t>Non Priority Pollutant</t>
        </r>
      </text>
    </comment>
    <comment ref="AI197" authorId="1" shapeId="0" xr:uid="{00000000-0006-0000-0200-000032010000}">
      <text>
        <r>
          <rPr>
            <sz val="8"/>
            <color indexed="81"/>
            <rFont val="Tahoma"/>
          </rPr>
          <t>Non Priority Pollutant</t>
        </r>
      </text>
    </comment>
    <comment ref="AK197" authorId="1" shapeId="0" xr:uid="{00000000-0006-0000-0200-000033010000}">
      <text>
        <r>
          <rPr>
            <sz val="8"/>
            <color indexed="81"/>
            <rFont val="Tahoma"/>
          </rPr>
          <t>Non Priority Pollutant</t>
        </r>
      </text>
    </comment>
    <comment ref="AD198" authorId="1" shapeId="0" xr:uid="{00000000-0006-0000-0200-000034010000}">
      <text>
        <r>
          <rPr>
            <sz val="8"/>
            <color indexed="81"/>
            <rFont val="Tahoma"/>
          </rPr>
          <t>Non Priority Pollutant</t>
        </r>
      </text>
    </comment>
    <comment ref="AE198" authorId="1" shapeId="0" xr:uid="{00000000-0006-0000-0200-000035010000}">
      <text>
        <r>
          <rPr>
            <sz val="8"/>
            <color indexed="81"/>
            <rFont val="Tahoma"/>
          </rPr>
          <t>Non Priority Pollutant</t>
        </r>
      </text>
    </comment>
    <comment ref="AF198" authorId="1" shapeId="0" xr:uid="{00000000-0006-0000-0200-000036010000}">
      <text>
        <r>
          <rPr>
            <sz val="8"/>
            <color indexed="81"/>
            <rFont val="Tahoma"/>
          </rPr>
          <t>Non Priority Pollutant</t>
        </r>
      </text>
    </comment>
    <comment ref="AG198" authorId="1" shapeId="0" xr:uid="{00000000-0006-0000-0200-000037010000}">
      <text>
        <r>
          <rPr>
            <sz val="8"/>
            <color indexed="81"/>
            <rFont val="Tahoma"/>
          </rPr>
          <t>Non Priority Pollutant</t>
        </r>
      </text>
    </comment>
    <comment ref="AH198" authorId="1" shapeId="0" xr:uid="{00000000-0006-0000-0200-000038010000}">
      <text>
        <r>
          <rPr>
            <sz val="8"/>
            <color indexed="81"/>
            <rFont val="Tahoma"/>
          </rPr>
          <t>Non Priority Pollutant</t>
        </r>
      </text>
    </comment>
    <comment ref="AI198" authorId="1" shapeId="0" xr:uid="{00000000-0006-0000-0200-000039010000}">
      <text>
        <r>
          <rPr>
            <sz val="8"/>
            <color indexed="81"/>
            <rFont val="Tahoma"/>
          </rPr>
          <t>Non Priority Pollutant</t>
        </r>
      </text>
    </comment>
    <comment ref="AJ198" authorId="1" shapeId="0" xr:uid="{00000000-0006-0000-0200-00003A010000}">
      <text>
        <r>
          <rPr>
            <sz val="8"/>
            <color indexed="81"/>
            <rFont val="Tahoma"/>
          </rPr>
          <t>Non Priority Pollutant</t>
        </r>
      </text>
    </comment>
    <comment ref="AK198" authorId="1" shapeId="0" xr:uid="{00000000-0006-0000-0200-00003B010000}">
      <text>
        <r>
          <rPr>
            <sz val="8"/>
            <color indexed="81"/>
            <rFont val="Tahoma"/>
          </rPr>
          <t>Non Priority Pollutant</t>
        </r>
      </text>
    </comment>
    <comment ref="AD200" authorId="1" shapeId="0" xr:uid="{00000000-0006-0000-0200-00003C010000}">
      <text>
        <r>
          <rPr>
            <sz val="8"/>
            <color indexed="81"/>
            <rFont val="Tahoma"/>
          </rPr>
          <t>Non Priority Pollutant</t>
        </r>
      </text>
    </comment>
    <comment ref="AE200" authorId="1" shapeId="0" xr:uid="{00000000-0006-0000-0200-00003D010000}">
      <text>
        <r>
          <rPr>
            <sz val="8"/>
            <color indexed="81"/>
            <rFont val="Tahoma"/>
          </rPr>
          <t>Non Priority Pollutant</t>
        </r>
      </text>
    </comment>
    <comment ref="AH200" authorId="1" shapeId="0" xr:uid="{00000000-0006-0000-0200-00003E010000}">
      <text>
        <r>
          <rPr>
            <sz val="8"/>
            <color indexed="81"/>
            <rFont val="Tahoma"/>
          </rPr>
          <t>Non Priority Pollutant</t>
        </r>
      </text>
    </comment>
    <comment ref="AI200" authorId="1" shapeId="0" xr:uid="{00000000-0006-0000-0200-00003F010000}">
      <text>
        <r>
          <rPr>
            <sz val="8"/>
            <color indexed="81"/>
            <rFont val="Tahoma"/>
          </rPr>
          <t>Non Priority Pollutant</t>
        </r>
      </text>
    </comment>
    <comment ref="AE201" authorId="1" shapeId="0" xr:uid="{00000000-0006-0000-0200-000040010000}">
      <text>
        <r>
          <rPr>
            <sz val="8"/>
            <color indexed="81"/>
            <rFont val="Tahoma"/>
          </rPr>
          <t>Non Priority Pollutant</t>
        </r>
      </text>
    </comment>
    <comment ref="AG201" authorId="1" shapeId="0" xr:uid="{00000000-0006-0000-0200-000041010000}">
      <text>
        <r>
          <rPr>
            <sz val="8"/>
            <color indexed="81"/>
            <rFont val="Tahoma"/>
          </rPr>
          <t>Non Priority Pollutant</t>
        </r>
      </text>
    </comment>
    <comment ref="AI201" authorId="1" shapeId="0" xr:uid="{00000000-0006-0000-0200-000042010000}">
      <text>
        <r>
          <rPr>
            <sz val="8"/>
            <color indexed="81"/>
            <rFont val="Tahoma"/>
          </rPr>
          <t>Non Priority Pollutant</t>
        </r>
      </text>
    </comment>
    <comment ref="AK201" authorId="1" shapeId="0" xr:uid="{00000000-0006-0000-0200-000043010000}">
      <text>
        <r>
          <rPr>
            <sz val="8"/>
            <color indexed="81"/>
            <rFont val="Tahoma"/>
          </rPr>
          <t>Non Priority Pollutant</t>
        </r>
      </text>
    </comment>
    <comment ref="AH207" authorId="1" shapeId="0" xr:uid="{00000000-0006-0000-0200-000044010000}">
      <text>
        <r>
          <rPr>
            <sz val="8"/>
            <color indexed="81"/>
            <rFont val="Tahoma"/>
          </rPr>
          <t>Secondary Value</t>
        </r>
      </text>
    </comment>
    <comment ref="AI207" authorId="1" shapeId="0" xr:uid="{00000000-0006-0000-0200-000045010000}">
      <text>
        <r>
          <rPr>
            <sz val="8"/>
            <color indexed="81"/>
            <rFont val="Tahoma"/>
          </rPr>
          <t>Secondary Value</t>
        </r>
      </text>
    </comment>
    <comment ref="AH208" authorId="1" shapeId="0" xr:uid="{00000000-0006-0000-0200-000046010000}">
      <text>
        <r>
          <rPr>
            <sz val="8"/>
            <color indexed="81"/>
            <rFont val="Tahoma"/>
          </rPr>
          <t>Secondary Value</t>
        </r>
      </text>
    </comment>
    <comment ref="AI208" authorId="1" shapeId="0" xr:uid="{00000000-0006-0000-0200-000047010000}">
      <text>
        <r>
          <rPr>
            <sz val="8"/>
            <color indexed="81"/>
            <rFont val="Tahoma"/>
          </rPr>
          <t>Secondary Value</t>
        </r>
      </text>
    </comment>
    <comment ref="AH209" authorId="1" shapeId="0" xr:uid="{00000000-0006-0000-0200-000048010000}">
      <text>
        <r>
          <rPr>
            <sz val="8"/>
            <color indexed="81"/>
            <rFont val="Tahoma"/>
          </rPr>
          <t>Secondary Value</t>
        </r>
      </text>
    </comment>
    <comment ref="AI209" authorId="1" shapeId="0" xr:uid="{00000000-0006-0000-0200-000049010000}">
      <text>
        <r>
          <rPr>
            <sz val="8"/>
            <color indexed="81"/>
            <rFont val="Tahoma"/>
          </rPr>
          <t>Secondary Value</t>
        </r>
      </text>
    </comment>
    <comment ref="AB211" authorId="1" shapeId="0" xr:uid="{00000000-0006-0000-0200-00004A010000}">
      <text>
        <r>
          <rPr>
            <sz val="8"/>
            <color indexed="81"/>
            <rFont val="Tahoma"/>
          </rPr>
          <t>listed as Chlordane</t>
        </r>
      </text>
    </comment>
    <comment ref="AC211" authorId="1" shapeId="0" xr:uid="{00000000-0006-0000-0200-00004B010000}">
      <text>
        <r>
          <rPr>
            <sz val="8"/>
            <color indexed="81"/>
            <rFont val="Tahoma"/>
          </rPr>
          <t>listed as Chlordane</t>
        </r>
      </text>
    </comment>
    <comment ref="AD211" authorId="1" shapeId="0" xr:uid="{00000000-0006-0000-0200-00004C010000}">
      <text>
        <r>
          <rPr>
            <sz val="8"/>
            <color indexed="81"/>
            <rFont val="Tahoma"/>
          </rPr>
          <t>Chlordane species not specified.</t>
        </r>
      </text>
    </comment>
    <comment ref="AE211" authorId="1" shapeId="0" xr:uid="{00000000-0006-0000-0200-00004D010000}">
      <text>
        <r>
          <rPr>
            <sz val="8"/>
            <color indexed="81"/>
            <rFont val="Tahoma"/>
            <family val="2"/>
          </rPr>
          <t>Chlordane species not specified.</t>
        </r>
      </text>
    </comment>
    <comment ref="AF211" authorId="1" shapeId="0" xr:uid="{00000000-0006-0000-0200-00004E010000}">
      <text>
        <r>
          <rPr>
            <sz val="8"/>
            <color indexed="81"/>
            <rFont val="Tahoma"/>
          </rPr>
          <t>Chlordane species not specified</t>
        </r>
      </text>
    </comment>
    <comment ref="AG211" authorId="1" shapeId="0" xr:uid="{00000000-0006-0000-0200-00004F010000}">
      <text>
        <r>
          <rPr>
            <sz val="8"/>
            <color indexed="81"/>
            <rFont val="Tahoma"/>
          </rPr>
          <t>Chlordane species not specified</t>
        </r>
      </text>
    </comment>
    <comment ref="AH211" authorId="1" shapeId="0" xr:uid="{00000000-0006-0000-0200-000050010000}">
      <text>
        <r>
          <rPr>
            <sz val="8"/>
            <color indexed="81"/>
            <rFont val="Tahoma"/>
          </rPr>
          <t>Chlordane species not specified.</t>
        </r>
      </text>
    </comment>
    <comment ref="AI211" authorId="1" shapeId="0" xr:uid="{00000000-0006-0000-0200-000051010000}">
      <text>
        <r>
          <rPr>
            <sz val="8"/>
            <color indexed="81"/>
            <rFont val="Tahoma"/>
            <family val="2"/>
          </rPr>
          <t>Chlordane species not specified.</t>
        </r>
      </text>
    </comment>
    <comment ref="AJ211" authorId="1" shapeId="0" xr:uid="{00000000-0006-0000-0200-000052010000}">
      <text>
        <r>
          <rPr>
            <sz val="8"/>
            <color indexed="81"/>
            <rFont val="Tahoma"/>
          </rPr>
          <t>Chlordane species not specified</t>
        </r>
      </text>
    </comment>
    <comment ref="AK211" authorId="1" shapeId="0" xr:uid="{00000000-0006-0000-0200-000053010000}">
      <text>
        <r>
          <rPr>
            <sz val="8"/>
            <color indexed="81"/>
            <rFont val="Tahoma"/>
          </rPr>
          <t>Chlordane species not specified</t>
        </r>
      </text>
    </comment>
    <comment ref="AL211" authorId="1" shapeId="0" xr:uid="{00000000-0006-0000-0200-000054010000}">
      <text>
        <r>
          <rPr>
            <sz val="8"/>
            <color indexed="81"/>
            <rFont val="Tahoma"/>
          </rPr>
          <t>Chlordane species not specified</t>
        </r>
      </text>
    </comment>
    <comment ref="AM211" authorId="1" shapeId="0" xr:uid="{00000000-0006-0000-0200-000055010000}">
      <text>
        <r>
          <rPr>
            <sz val="8"/>
            <color indexed="81"/>
            <rFont val="Tahoma"/>
          </rPr>
          <t>Chlordane species not specified</t>
        </r>
      </text>
    </comment>
    <comment ref="AN211" authorId="1" shapeId="0" xr:uid="{00000000-0006-0000-0200-000056010000}">
      <text>
        <r>
          <rPr>
            <sz val="8"/>
            <color indexed="81"/>
            <rFont val="Tahoma"/>
          </rPr>
          <t>Chlordane species not specified</t>
        </r>
      </text>
    </comment>
    <comment ref="AO211" authorId="1" shapeId="0" xr:uid="{00000000-0006-0000-0200-000057010000}">
      <text>
        <r>
          <rPr>
            <sz val="8"/>
            <color indexed="81"/>
            <rFont val="Tahoma"/>
          </rPr>
          <t>Chlordane species not specified</t>
        </r>
      </text>
    </comment>
    <comment ref="AB212" authorId="1" shapeId="0" xr:uid="{00000000-0006-0000-0200-000058010000}">
      <text>
        <r>
          <rPr>
            <sz val="8"/>
            <color indexed="81"/>
            <rFont val="Tahoma"/>
          </rPr>
          <t>listed as Chlordane</t>
        </r>
      </text>
    </comment>
    <comment ref="AC212" authorId="1" shapeId="0" xr:uid="{00000000-0006-0000-0200-000059010000}">
      <text>
        <r>
          <rPr>
            <sz val="8"/>
            <color indexed="81"/>
            <rFont val="Tahoma"/>
          </rPr>
          <t>listed as Chlordane</t>
        </r>
      </text>
    </comment>
    <comment ref="AD212" authorId="1" shapeId="0" xr:uid="{00000000-0006-0000-0200-00005A010000}">
      <text>
        <r>
          <rPr>
            <sz val="8"/>
            <color indexed="81"/>
            <rFont val="Tahoma"/>
          </rPr>
          <t>Chlordane species not specified.</t>
        </r>
      </text>
    </comment>
    <comment ref="AE212" authorId="1" shapeId="0" xr:uid="{00000000-0006-0000-0200-00005B010000}">
      <text>
        <r>
          <rPr>
            <sz val="8"/>
            <color indexed="81"/>
            <rFont val="Tahoma"/>
            <family val="2"/>
          </rPr>
          <t>Chlordane species not specified.</t>
        </r>
      </text>
    </comment>
    <comment ref="AF212" authorId="1" shapeId="0" xr:uid="{00000000-0006-0000-0200-00005C010000}">
      <text>
        <r>
          <rPr>
            <sz val="8"/>
            <color indexed="81"/>
            <rFont val="Tahoma"/>
          </rPr>
          <t>Chlordane species not specified</t>
        </r>
      </text>
    </comment>
    <comment ref="AG212" authorId="1" shapeId="0" xr:uid="{00000000-0006-0000-0200-00005D010000}">
      <text>
        <r>
          <rPr>
            <sz val="8"/>
            <color indexed="81"/>
            <rFont val="Tahoma"/>
          </rPr>
          <t>Chlordane species not specified</t>
        </r>
      </text>
    </comment>
    <comment ref="AH212" authorId="1" shapeId="0" xr:uid="{00000000-0006-0000-0200-00005E010000}">
      <text>
        <r>
          <rPr>
            <sz val="8"/>
            <color indexed="81"/>
            <rFont val="Tahoma"/>
          </rPr>
          <t>Chlordane species not specified.</t>
        </r>
      </text>
    </comment>
    <comment ref="AI212" authorId="1" shapeId="0" xr:uid="{00000000-0006-0000-0200-00005F010000}">
      <text>
        <r>
          <rPr>
            <sz val="8"/>
            <color indexed="81"/>
            <rFont val="Tahoma"/>
            <family val="2"/>
          </rPr>
          <t>Chlordane species not specified.</t>
        </r>
      </text>
    </comment>
    <comment ref="AJ212" authorId="1" shapeId="0" xr:uid="{00000000-0006-0000-0200-000060010000}">
      <text>
        <r>
          <rPr>
            <sz val="8"/>
            <color indexed="81"/>
            <rFont val="Tahoma"/>
          </rPr>
          <t>Chlordane species not specified</t>
        </r>
      </text>
    </comment>
    <comment ref="AK212" authorId="1" shapeId="0" xr:uid="{00000000-0006-0000-0200-000061010000}">
      <text>
        <r>
          <rPr>
            <sz val="8"/>
            <color indexed="81"/>
            <rFont val="Tahoma"/>
          </rPr>
          <t>Chlordane species not specified</t>
        </r>
      </text>
    </comment>
    <comment ref="AL212" authorId="1" shapeId="0" xr:uid="{00000000-0006-0000-0200-000062010000}">
      <text>
        <r>
          <rPr>
            <sz val="8"/>
            <color indexed="81"/>
            <rFont val="Tahoma"/>
          </rPr>
          <t>Chlordane species not specified</t>
        </r>
      </text>
    </comment>
    <comment ref="AM212" authorId="1" shapeId="0" xr:uid="{00000000-0006-0000-0200-000063010000}">
      <text>
        <r>
          <rPr>
            <sz val="8"/>
            <color indexed="81"/>
            <rFont val="Tahoma"/>
          </rPr>
          <t>Chlordane species not specified</t>
        </r>
      </text>
    </comment>
    <comment ref="AN212" authorId="1" shapeId="0" xr:uid="{00000000-0006-0000-0200-000064010000}">
      <text>
        <r>
          <rPr>
            <sz val="8"/>
            <color indexed="81"/>
            <rFont val="Tahoma"/>
          </rPr>
          <t>Chlordane species not specified</t>
        </r>
      </text>
    </comment>
    <comment ref="AO212" authorId="1" shapeId="0" xr:uid="{00000000-0006-0000-0200-000065010000}">
      <text>
        <r>
          <rPr>
            <sz val="8"/>
            <color indexed="81"/>
            <rFont val="Tahoma"/>
          </rPr>
          <t>Chlordane species not specified</t>
        </r>
      </text>
    </comment>
    <comment ref="AB213" authorId="1" shapeId="0" xr:uid="{00000000-0006-0000-0200-000066010000}">
      <text>
        <r>
          <rPr>
            <sz val="8"/>
            <color indexed="81"/>
            <rFont val="Tahoma"/>
          </rPr>
          <t>listed as Chlordane</t>
        </r>
      </text>
    </comment>
    <comment ref="AC213" authorId="1" shapeId="0" xr:uid="{00000000-0006-0000-0200-000067010000}">
      <text>
        <r>
          <rPr>
            <sz val="8"/>
            <color indexed="81"/>
            <rFont val="Tahoma"/>
          </rPr>
          <t>listed as Chlordane</t>
        </r>
      </text>
    </comment>
    <comment ref="AD213" authorId="1" shapeId="0" xr:uid="{00000000-0006-0000-0200-000068010000}">
      <text>
        <r>
          <rPr>
            <sz val="8"/>
            <color indexed="81"/>
            <rFont val="Tahoma"/>
          </rPr>
          <t>Chlordane species not specified.</t>
        </r>
      </text>
    </comment>
    <comment ref="AE213" authorId="1" shapeId="0" xr:uid="{00000000-0006-0000-0200-000069010000}">
      <text>
        <r>
          <rPr>
            <sz val="8"/>
            <color indexed="81"/>
            <rFont val="Tahoma"/>
            <family val="2"/>
          </rPr>
          <t>Chlordane species not specified.</t>
        </r>
      </text>
    </comment>
    <comment ref="AF213" authorId="1" shapeId="0" xr:uid="{00000000-0006-0000-0200-00006A010000}">
      <text>
        <r>
          <rPr>
            <sz val="8"/>
            <color indexed="81"/>
            <rFont val="Tahoma"/>
          </rPr>
          <t>Chlordane species not specified</t>
        </r>
      </text>
    </comment>
    <comment ref="AG213" authorId="1" shapeId="0" xr:uid="{00000000-0006-0000-0200-00006B010000}">
      <text>
        <r>
          <rPr>
            <sz val="8"/>
            <color indexed="81"/>
            <rFont val="Tahoma"/>
          </rPr>
          <t>Chlordane species not specified</t>
        </r>
      </text>
    </comment>
    <comment ref="AH213" authorId="1" shapeId="0" xr:uid="{00000000-0006-0000-0200-00006C010000}">
      <text>
        <r>
          <rPr>
            <sz val="8"/>
            <color indexed="81"/>
            <rFont val="Tahoma"/>
          </rPr>
          <t>Chlordane species not specified.</t>
        </r>
      </text>
    </comment>
    <comment ref="AI213" authorId="1" shapeId="0" xr:uid="{00000000-0006-0000-0200-00006D010000}">
      <text>
        <r>
          <rPr>
            <sz val="8"/>
            <color indexed="81"/>
            <rFont val="Tahoma"/>
            <family val="2"/>
          </rPr>
          <t>Chlordane species not specified.</t>
        </r>
      </text>
    </comment>
    <comment ref="AJ213" authorId="1" shapeId="0" xr:uid="{00000000-0006-0000-0200-00006E010000}">
      <text>
        <r>
          <rPr>
            <sz val="8"/>
            <color indexed="81"/>
            <rFont val="Tahoma"/>
          </rPr>
          <t>Chlordane species not specified</t>
        </r>
      </text>
    </comment>
    <comment ref="AK213" authorId="1" shapeId="0" xr:uid="{00000000-0006-0000-0200-00006F010000}">
      <text>
        <r>
          <rPr>
            <sz val="8"/>
            <color indexed="81"/>
            <rFont val="Tahoma"/>
          </rPr>
          <t>Chlordane species not specified</t>
        </r>
      </text>
    </comment>
    <comment ref="AL213" authorId="1" shapeId="0" xr:uid="{00000000-0006-0000-0200-000070010000}">
      <text>
        <r>
          <rPr>
            <sz val="8"/>
            <color indexed="81"/>
            <rFont val="Tahoma"/>
          </rPr>
          <t>Chlordane species not specified</t>
        </r>
      </text>
    </comment>
    <comment ref="AM213" authorId="1" shapeId="0" xr:uid="{00000000-0006-0000-0200-000071010000}">
      <text>
        <r>
          <rPr>
            <sz val="8"/>
            <color indexed="81"/>
            <rFont val="Tahoma"/>
          </rPr>
          <t>Chlordane species not specified</t>
        </r>
      </text>
    </comment>
    <comment ref="AN213" authorId="1" shapeId="0" xr:uid="{00000000-0006-0000-0200-000072010000}">
      <text>
        <r>
          <rPr>
            <sz val="8"/>
            <color indexed="81"/>
            <rFont val="Tahoma"/>
          </rPr>
          <t>Chlordane species not specified</t>
        </r>
      </text>
    </comment>
    <comment ref="AO213" authorId="1" shapeId="0" xr:uid="{00000000-0006-0000-0200-000073010000}">
      <text>
        <r>
          <rPr>
            <sz val="8"/>
            <color indexed="81"/>
            <rFont val="Tahoma"/>
          </rPr>
          <t>Chlordane species not specified</t>
        </r>
      </text>
    </comment>
    <comment ref="AH217" authorId="1" shapeId="0" xr:uid="{00000000-0006-0000-0200-000074010000}">
      <text>
        <r>
          <rPr>
            <sz val="8"/>
            <color indexed="81"/>
            <rFont val="Tahoma"/>
          </rPr>
          <t>Secondary Value</t>
        </r>
      </text>
    </comment>
    <comment ref="AI217" authorId="1" shapeId="0" xr:uid="{00000000-0006-0000-0200-000075010000}">
      <text>
        <r>
          <rPr>
            <sz val="8"/>
            <color indexed="81"/>
            <rFont val="Tahoma"/>
          </rPr>
          <t>Secondary Value</t>
        </r>
      </text>
    </comment>
    <comment ref="AE236" authorId="1" shapeId="0" xr:uid="{00000000-0006-0000-0200-000076010000}">
      <text>
        <r>
          <rPr>
            <sz val="8"/>
            <color indexed="81"/>
            <rFont val="Tahoma"/>
          </rPr>
          <t>Non Priority Pollutant</t>
        </r>
      </text>
    </comment>
    <comment ref="AG236" authorId="1" shapeId="0" xr:uid="{00000000-0006-0000-0200-000077010000}">
      <text>
        <r>
          <rPr>
            <sz val="8"/>
            <color indexed="81"/>
            <rFont val="Tahoma"/>
          </rPr>
          <t>Non Priority Pollutant</t>
        </r>
      </text>
    </comment>
    <comment ref="AI236" authorId="1" shapeId="0" xr:uid="{00000000-0006-0000-0200-000078010000}">
      <text>
        <r>
          <rPr>
            <sz val="8"/>
            <color indexed="81"/>
            <rFont val="Tahoma"/>
          </rPr>
          <t>Non Priority Pollutant</t>
        </r>
      </text>
    </comment>
    <comment ref="AK236" authorId="1" shapeId="0" xr:uid="{00000000-0006-0000-0200-000079010000}">
      <text>
        <r>
          <rPr>
            <sz val="8"/>
            <color indexed="81"/>
            <rFont val="Tahoma"/>
          </rPr>
          <t>Non Priority Pollutant</t>
        </r>
      </text>
    </comment>
    <comment ref="AE237" authorId="1" shapeId="0" xr:uid="{00000000-0006-0000-0200-00007A010000}">
      <text>
        <r>
          <rPr>
            <sz val="8"/>
            <color indexed="81"/>
            <rFont val="Tahoma"/>
          </rPr>
          <t>Non Priority Pollutant</t>
        </r>
      </text>
    </comment>
    <comment ref="AG237" authorId="1" shapeId="0" xr:uid="{00000000-0006-0000-0200-00007B010000}">
      <text>
        <r>
          <rPr>
            <sz val="8"/>
            <color indexed="81"/>
            <rFont val="Tahoma"/>
          </rPr>
          <t>Non Priority Pollutant</t>
        </r>
      </text>
    </comment>
    <comment ref="AI237" authorId="1" shapeId="0" xr:uid="{00000000-0006-0000-0200-00007C010000}">
      <text>
        <r>
          <rPr>
            <sz val="8"/>
            <color indexed="81"/>
            <rFont val="Tahoma"/>
          </rPr>
          <t>Non Priority Pollutant</t>
        </r>
      </text>
    </comment>
    <comment ref="AK237" authorId="1" shapeId="0" xr:uid="{00000000-0006-0000-0200-00007D010000}">
      <text>
        <r>
          <rPr>
            <sz val="8"/>
            <color indexed="81"/>
            <rFont val="Tahoma"/>
          </rPr>
          <t>Non Priority Pollutant</t>
        </r>
      </text>
    </comment>
    <comment ref="AH259" authorId="1" shapeId="0" xr:uid="{00000000-0006-0000-0200-00007E010000}">
      <text>
        <r>
          <rPr>
            <sz val="8"/>
            <color indexed="81"/>
            <rFont val="Tahoma"/>
          </rPr>
          <t>Outdated National Ambient Water Quality Standard</t>
        </r>
      </text>
    </comment>
    <comment ref="AI259" authorId="1" shapeId="0" xr:uid="{00000000-0006-0000-0200-00007F010000}">
      <text>
        <r>
          <rPr>
            <sz val="8"/>
            <color indexed="81"/>
            <rFont val="Tahoma"/>
          </rPr>
          <t>Outdated National Ambient Water Quality Standard</t>
        </r>
      </text>
    </comment>
    <comment ref="N277" authorId="1" shapeId="0" xr:uid="{00000000-0006-0000-0200-000080010000}">
      <text>
        <r>
          <rPr>
            <sz val="8"/>
            <color indexed="81"/>
            <rFont val="Tahoma"/>
          </rPr>
          <t>Brunner,S et al. (1990) as reported in ChemIDplus database</t>
        </r>
      </text>
    </comment>
    <comment ref="N279" authorId="1" shapeId="0" xr:uid="{00000000-0006-0000-0200-000081010000}">
      <text>
        <r>
          <rPr>
            <sz val="8"/>
            <color indexed="81"/>
            <rFont val="Tahoma"/>
          </rPr>
          <t>Brunner,S et al. (1990) as reported in ChemIDplus database</t>
        </r>
      </text>
    </comment>
    <comment ref="U279" authorId="1" shapeId="0" xr:uid="{00000000-0006-0000-0200-000082010000}">
      <text>
        <r>
          <rPr>
            <sz val="8"/>
            <color indexed="81"/>
            <rFont val="Tahoma"/>
          </rPr>
          <t>Chiou, CT et al. (1983) as reported in ChemIDplus database</t>
        </r>
      </text>
    </comment>
    <comment ref="N280" authorId="1" shapeId="0" xr:uid="{00000000-0006-0000-0200-000083010000}">
      <text>
        <r>
          <rPr>
            <sz val="8"/>
            <color indexed="81"/>
            <rFont val="Tahoma"/>
          </rPr>
          <t>Brunner,S et al. (1990) as reported in ChemIDplus database</t>
        </r>
      </text>
    </comment>
    <comment ref="N281" authorId="1" shapeId="0" xr:uid="{00000000-0006-0000-0200-000084010000}">
      <text>
        <r>
          <rPr>
            <sz val="8"/>
            <color indexed="81"/>
            <rFont val="Tahoma"/>
          </rPr>
          <t>Brunner,S et al. (1990) as reported in ChemIDplus database</t>
        </r>
      </text>
    </comment>
    <comment ref="U281" authorId="1" shapeId="0" xr:uid="{00000000-0006-0000-0200-000085010000}">
      <text>
        <r>
          <rPr>
            <sz val="8"/>
            <color indexed="81"/>
            <rFont val="Tahoma"/>
          </rPr>
          <t>Yalkowsky,SH &amp; Dannenfelser,RM (1992) as reported in ChemIDplus database</t>
        </r>
      </text>
    </comment>
    <comment ref="N283" authorId="1" shapeId="0" xr:uid="{00000000-0006-0000-0200-000086010000}">
      <text>
        <r>
          <rPr>
            <sz val="8"/>
            <color indexed="81"/>
            <rFont val="Tahoma"/>
          </rPr>
          <t>Brunner,S et al. (1990) as reported in ChemIDplus database</t>
        </r>
      </text>
    </comment>
    <comment ref="U284" authorId="1" shapeId="0" xr:uid="{00000000-0006-0000-0200-000087010000}">
      <text>
        <r>
          <rPr>
            <sz val="8"/>
            <color indexed="81"/>
            <rFont val="Tahoma"/>
          </rPr>
          <t>Hutsinger et al. 1974</t>
        </r>
      </text>
    </comment>
    <comment ref="U285" authorId="1" shapeId="0" xr:uid="{00000000-0006-0000-0200-000088010000}">
      <text>
        <r>
          <rPr>
            <sz val="8"/>
            <color indexed="81"/>
            <rFont val="Tahoma"/>
          </rPr>
          <t>Yalkowsky,SH &amp; Dannenfelser,RM (1992) as reported in ChemIDplus database</t>
        </r>
      </text>
    </comment>
    <comment ref="N287" authorId="1" shapeId="0" xr:uid="{00000000-0006-0000-0200-000089010000}">
      <text>
        <r>
          <rPr>
            <sz val="8"/>
            <color indexed="81"/>
            <rFont val="Tahoma"/>
          </rPr>
          <t xml:space="preserve"> as reported in ChemIDplus database</t>
        </r>
      </text>
    </comment>
    <comment ref="P287" authorId="1" shapeId="0" xr:uid="{00000000-0006-0000-0200-00008A010000}">
      <text>
        <r>
          <rPr>
            <sz val="8"/>
            <color indexed="81"/>
            <rFont val="Tahoma"/>
          </rPr>
          <t>Sangster (1994) as reported in ChemIDplus database</t>
        </r>
      </text>
    </comment>
    <comment ref="U287" authorId="1" shapeId="0" xr:uid="{00000000-0006-0000-0200-00008B010000}">
      <text>
        <r>
          <rPr>
            <sz val="8"/>
            <color indexed="81"/>
            <rFont val="Tahoma"/>
          </rPr>
          <t>Ozretich,RJ et al. (1995) 
as reported in ChemIDplus database</t>
        </r>
      </text>
    </comment>
    <comment ref="N288" authorId="1" shapeId="0" xr:uid="{00000000-0006-0000-0200-00008C010000}">
      <text>
        <r>
          <rPr>
            <sz val="8"/>
            <color indexed="81"/>
            <rFont val="Tahoma"/>
          </rPr>
          <t xml:space="preserve"> as reported in ChemIDplus database</t>
        </r>
      </text>
    </comment>
    <comment ref="P288" authorId="1" shapeId="0" xr:uid="{00000000-0006-0000-0200-00008D010000}">
      <text>
        <r>
          <rPr>
            <sz val="8"/>
            <color indexed="81"/>
            <rFont val="Tahoma"/>
          </rPr>
          <t xml:space="preserve">Predicted value from:   Hansen, B.G., A.B. Paya-Perez, H.  Rhman and B.R. Larsen, "QSARs for Kow and Koc of PCB congeners: a critical examination of data, assumptions and statistical approaches," Chemosphere, 39:13, 1999, pp. 2209-2228.
</t>
        </r>
      </text>
    </comment>
    <comment ref="U288" authorId="1" shapeId="0" xr:uid="{00000000-0006-0000-0200-00008E010000}">
      <text>
        <r>
          <rPr>
            <sz val="8"/>
            <color indexed="81"/>
            <rFont val="Tahoma"/>
          </rPr>
          <t>Yalkowsky,SH &amp; Dannenfelser,RM (1992) as reported in ChemIDplus database</t>
        </r>
      </text>
    </comment>
    <comment ref="P289" authorId="1" shapeId="0" xr:uid="{00000000-0006-0000-0200-00008F010000}">
      <text>
        <r>
          <rPr>
            <sz val="8"/>
            <color indexed="81"/>
            <rFont val="Tahoma"/>
          </rPr>
          <t xml:space="preserve">Predicted value from:   Hansen, B.G., A.B. Paya-Perez, H.  Rhman and B.R. Larsen, "QSARs for Kow and Koc of PCB congeners: a critical examination of data, assumptions and statistical approaches," Chemosphere, 39:13, 1999, pp. 2209-2228.
</t>
        </r>
      </text>
    </comment>
    <comment ref="P290" authorId="1" shapeId="0" xr:uid="{00000000-0006-0000-0200-000090010000}">
      <text>
        <r>
          <rPr>
            <sz val="8"/>
            <color indexed="81"/>
            <rFont val="Tahoma"/>
          </rPr>
          <t xml:space="preserve"> Hansch, C et al. (1995) as reported in ChemIDplus database</t>
        </r>
      </text>
    </comment>
    <comment ref="N291" authorId="1" shapeId="0" xr:uid="{00000000-0006-0000-0200-000091010000}">
      <text>
        <r>
          <rPr>
            <sz val="8"/>
            <color indexed="81"/>
            <rFont val="Tahoma"/>
          </rPr>
          <t>Brunner,S et al. (1990) as reported in ChemIDplus database</t>
        </r>
      </text>
    </comment>
    <comment ref="P291" authorId="1" shapeId="0" xr:uid="{00000000-0006-0000-0200-000092010000}">
      <text>
        <r>
          <rPr>
            <sz val="8"/>
            <color indexed="81"/>
            <rFont val="Tahoma"/>
          </rPr>
          <t xml:space="preserve">Predicted value from:   Hansen, B.G., A.B. Paya-Perez, H.  Rhman and B.R. Larsen, "QSARs for Kow and Koc of PCB congeners: a critical examination of data, assumptions and statistical approaches," Chemosphere, 39:13, 1999, pp. 2209-2228.
</t>
        </r>
      </text>
    </comment>
    <comment ref="U291" authorId="1" shapeId="0" xr:uid="{00000000-0006-0000-0200-000093010000}">
      <text>
        <r>
          <rPr>
            <sz val="8"/>
            <color indexed="81"/>
            <rFont val="Tahoma"/>
          </rPr>
          <t>Yalkowsky et al. 1983</t>
        </r>
      </text>
    </comment>
    <comment ref="N293" authorId="1" shapeId="0" xr:uid="{00000000-0006-0000-0200-000094010000}">
      <text>
        <r>
          <rPr>
            <sz val="8"/>
            <color indexed="81"/>
            <rFont val="Tahoma"/>
          </rPr>
          <t xml:space="preserve"> as reported in ChemIDplus database</t>
        </r>
      </text>
    </comment>
    <comment ref="P293" authorId="1" shapeId="0" xr:uid="{00000000-0006-0000-0200-000095010000}">
      <text>
        <r>
          <rPr>
            <sz val="8"/>
            <color indexed="81"/>
            <rFont val="Tahoma"/>
          </rPr>
          <t xml:space="preserve">Predicted value from:   Hansen, B.G., A.B. Paya-Perez, H.  Rhman and B.R. Larsen, "QSARs for Kow and Koc of PCB congeners: a critical examination of data, assumptions and statistical approaches," Chemosphere, 39:13, 1999, pp. 2209-2228.
</t>
        </r>
      </text>
    </comment>
    <comment ref="U293" authorId="1" shapeId="0" xr:uid="{00000000-0006-0000-0200-000096010000}">
      <text>
        <r>
          <rPr>
            <sz val="8"/>
            <color indexed="81"/>
            <rFont val="Tahoma"/>
          </rPr>
          <t>Yalkowsky,SH &amp; Dannenfelser,RM (1992) as reported in ChemIDplus database</t>
        </r>
      </text>
    </comment>
    <comment ref="N294" authorId="1" shapeId="0" xr:uid="{00000000-0006-0000-0200-000097010000}">
      <text>
        <r>
          <rPr>
            <sz val="8"/>
            <color indexed="81"/>
            <rFont val="Tahoma"/>
          </rPr>
          <t>Meylan, WM &amp; Howard, PH (1993) 
as reported in ChemIDplus database</t>
        </r>
      </text>
    </comment>
    <comment ref="P294" authorId="1" shapeId="0" xr:uid="{00000000-0006-0000-0200-000098010000}">
      <text>
        <r>
          <rPr>
            <sz val="8"/>
            <color indexed="81"/>
            <rFont val="Tahoma"/>
          </rPr>
          <t xml:space="preserve">Predicted value from:   Hansen, B.G., A.B. Paya-Perez, H.  Rhman and B.R. Larsen, "QSARs for Kow and Koc of PCB congeners: a critical examination of data, assumptions and statistical approaches," Chemosphere, 39:13, 1999, pp. 2209-2228.
</t>
        </r>
      </text>
    </comment>
    <comment ref="U294" authorId="1" shapeId="0" xr:uid="{00000000-0006-0000-0200-000099010000}">
      <text>
        <r>
          <rPr>
            <sz val="8"/>
            <color indexed="81"/>
            <rFont val="Tahoma"/>
          </rPr>
          <t>Patil, GS (1991) 
as reported in ChemIDplus database</t>
        </r>
      </text>
    </comment>
    <comment ref="N295" authorId="1" shapeId="0" xr:uid="{00000000-0006-0000-0200-00009A010000}">
      <text>
        <r>
          <rPr>
            <sz val="8"/>
            <color indexed="81"/>
            <rFont val="Tahoma"/>
          </rPr>
          <t>Brunner,S et al. (1990) as reported in ChemIDplus database</t>
        </r>
      </text>
    </comment>
    <comment ref="P295" authorId="1" shapeId="0" xr:uid="{00000000-0006-0000-0200-00009B010000}">
      <text>
        <r>
          <rPr>
            <sz val="8"/>
            <color indexed="81"/>
            <rFont val="Tahoma"/>
          </rPr>
          <t xml:space="preserve">Predicted value from:   Hansen, B.G., A.B. Paya-Perez, H.  Rhman and B.R. Larsen, "QSARs for Kow and Koc of PCB congeners: a critical examination of data, assumptions and statistical approaches," Chemosphere, 39:13, 1999, pp. 2209-2228.
</t>
        </r>
      </text>
    </comment>
    <comment ref="U295" authorId="1" shapeId="0" xr:uid="{00000000-0006-0000-0200-00009C010000}">
      <text>
        <r>
          <rPr>
            <sz val="8"/>
            <color indexed="81"/>
            <rFont val="Tahoma"/>
          </rPr>
          <t>Yalkowsky,SH &amp; Dannenfelser,RM (1992) as reported in ChemIDplus database</t>
        </r>
      </text>
    </comment>
    <comment ref="N296" authorId="1" shapeId="0" xr:uid="{00000000-0006-0000-0200-00009D010000}">
      <text>
        <r>
          <rPr>
            <sz val="8"/>
            <color indexed="81"/>
            <rFont val="Tahoma"/>
          </rPr>
          <t>Brunner,S et al. (1990) as reported in ChemIDplus database</t>
        </r>
      </text>
    </comment>
    <comment ref="P296" authorId="1" shapeId="0" xr:uid="{00000000-0006-0000-0200-00009E010000}">
      <text>
        <r>
          <rPr>
            <sz val="8"/>
            <color indexed="81"/>
            <rFont val="Tahoma"/>
          </rPr>
          <t xml:space="preserve">Predicted value from:   Hansen, B.G., A.B. Paya-Perez, H.  Rhman and B.R. Larsen, "QSARs for Kow and Koc of PCB congeners: a critical examination of data, assumptions and statistical approaches," Chemosphere, 39:13, 1999, pp. 2209-2228.
</t>
        </r>
      </text>
    </comment>
    <comment ref="U296" authorId="1" shapeId="0" xr:uid="{00000000-0006-0000-0200-00009F010000}">
      <text>
        <r>
          <rPr>
            <sz val="8"/>
            <color indexed="81"/>
            <rFont val="Tahoma"/>
          </rPr>
          <t>Yalkowsky,SH &amp; Dannenfelser,RM (1992) as reported in ChemIDplus database</t>
        </r>
      </text>
    </comment>
    <comment ref="N297" authorId="1" shapeId="0" xr:uid="{00000000-0006-0000-0200-0000A0010000}">
      <text>
        <r>
          <rPr>
            <sz val="8"/>
            <color indexed="81"/>
            <rFont val="Tahoma"/>
          </rPr>
          <t>Meylan, WM &amp; Howard, PH (1993) 
as reported in ChemIDplus database</t>
        </r>
      </text>
    </comment>
    <comment ref="P297" authorId="1" shapeId="0" xr:uid="{00000000-0006-0000-0200-0000A1010000}">
      <text>
        <r>
          <rPr>
            <sz val="8"/>
            <color indexed="81"/>
            <rFont val="Tahoma"/>
          </rPr>
          <t xml:space="preserve">Predicted value from:   Hansen, B.G., A.B. Paya-Perez, H.  Rhman and B.R. Larsen, "QSARs for Kow and Koc of PCB congeners: a critical examination of data, assumptions and statistical approaches," Chemosphere, 39:13, 1999, pp. 2209-2228.
</t>
        </r>
      </text>
    </comment>
    <comment ref="U297" authorId="1" shapeId="0" xr:uid="{00000000-0006-0000-0200-0000A2010000}">
      <text>
        <r>
          <rPr>
            <sz val="8"/>
            <color indexed="81"/>
            <rFont val="Tahoma"/>
          </rPr>
          <t>Yalkowsky,SH &amp; Dannenfelser,RM (1992) as reported in ChemIDplus database</t>
        </r>
      </text>
    </comment>
    <comment ref="P298" authorId="1" shapeId="0" xr:uid="{00000000-0006-0000-0200-0000A3010000}">
      <text>
        <r>
          <rPr>
            <sz val="8"/>
            <color indexed="81"/>
            <rFont val="Tahoma"/>
          </rPr>
          <t xml:space="preserve">Predicted value from:   Hansen, B.G., A.B. Paya-Perez, H.  Rhman and B.R. Larsen, "QSARs for Kow and Koc of PCB congeners: a critical examination of data, assumptions and statistical approaches," Chemosphere, 39:13, 1999, pp. 2209-2228.
</t>
        </r>
      </text>
    </comment>
    <comment ref="N299" authorId="1" shapeId="0" xr:uid="{00000000-0006-0000-0200-0000A4010000}">
      <text>
        <r>
          <rPr>
            <sz val="8"/>
            <color indexed="81"/>
            <rFont val="Tahoma"/>
          </rPr>
          <t>Meylan, WM &amp; Howard, PH (1993) 
as reported in ChemIDplus database</t>
        </r>
      </text>
    </comment>
    <comment ref="P299" authorId="1" shapeId="0" xr:uid="{00000000-0006-0000-0200-0000A5010000}">
      <text>
        <r>
          <rPr>
            <sz val="8"/>
            <color indexed="81"/>
            <rFont val="Tahoma"/>
          </rPr>
          <t xml:space="preserve">Predicted value from:   Hansen, B.G., A.B. Paya-Perez, H.  Rhman and B.R. Larsen, "QSARs for Kow and Koc of PCB congeners: a critical examination of data, assumptions and statistical approaches," Chemosphere, 39:13, 1999, pp. 2209-2228.
</t>
        </r>
      </text>
    </comment>
    <comment ref="U299" authorId="1" shapeId="0" xr:uid="{00000000-0006-0000-0200-0000A6010000}">
      <text>
        <r>
          <rPr>
            <sz val="8"/>
            <color indexed="81"/>
            <rFont val="Tahoma"/>
          </rPr>
          <t>Yalkowsky,SH &amp; Dannenfelser,RM (1992) as reported in ChemIDplus database</t>
        </r>
      </text>
    </comment>
    <comment ref="N300" authorId="1" shapeId="0" xr:uid="{00000000-0006-0000-0200-0000A7010000}">
      <text>
        <r>
          <rPr>
            <sz val="8"/>
            <color indexed="81"/>
            <rFont val="Tahoma"/>
          </rPr>
          <t>Brunner,S et al. (1990) as reported in ChemIDplus database</t>
        </r>
      </text>
    </comment>
    <comment ref="P300" authorId="1" shapeId="0" xr:uid="{00000000-0006-0000-0200-0000A8010000}">
      <text>
        <r>
          <rPr>
            <sz val="8"/>
            <color indexed="81"/>
            <rFont val="Tahoma"/>
          </rPr>
          <t xml:space="preserve">Predicted value from:   Hansen, B.G., A.B. Paya-Perez, H.  Rhman and B.R. Larsen, "QSARs for Kow and Koc of PCB congeners: a critical examination of data, assumptions and statistical approaches," Chemosphere, 39:13, 1999, pp. 2209-2228.
</t>
        </r>
      </text>
    </comment>
    <comment ref="U300" authorId="1" shapeId="0" xr:uid="{00000000-0006-0000-0200-0000A9010000}">
      <text>
        <r>
          <rPr>
            <sz val="8"/>
            <color indexed="81"/>
            <rFont val="Tahoma"/>
          </rPr>
          <t>Patil, GS (1991) 
as reported in ChemIDplus database</t>
        </r>
      </text>
    </comment>
    <comment ref="AH304" authorId="1" shapeId="0" xr:uid="{00000000-0006-0000-0200-0000AA010000}">
      <text>
        <r>
          <rPr>
            <sz val="8"/>
            <color indexed="81"/>
            <rFont val="Tahoma"/>
          </rPr>
          <t>Secondary Value</t>
        </r>
      </text>
    </comment>
    <comment ref="AI304" authorId="1" shapeId="0" xr:uid="{00000000-0006-0000-0200-0000AB010000}">
      <text>
        <r>
          <rPr>
            <sz val="8"/>
            <color indexed="81"/>
            <rFont val="Tahoma"/>
          </rPr>
          <t>Secondary Value</t>
        </r>
      </text>
    </comment>
    <comment ref="AH305" authorId="1" shapeId="0" xr:uid="{00000000-0006-0000-0200-0000AC010000}">
      <text>
        <r>
          <rPr>
            <sz val="8"/>
            <color indexed="81"/>
            <rFont val="Tahoma"/>
          </rPr>
          <t>Secondary Value</t>
        </r>
      </text>
    </comment>
    <comment ref="AI305" authorId="1" shapeId="0" xr:uid="{00000000-0006-0000-0200-0000AD010000}">
      <text>
        <r>
          <rPr>
            <sz val="8"/>
            <color indexed="81"/>
            <rFont val="Tahoma"/>
          </rPr>
          <t>Secondary Value</t>
        </r>
      </text>
    </comment>
    <comment ref="AH306" authorId="1" shapeId="0" xr:uid="{00000000-0006-0000-0200-0000AE010000}">
      <text>
        <r>
          <rPr>
            <sz val="8"/>
            <color indexed="81"/>
            <rFont val="Tahoma"/>
          </rPr>
          <t>Secondary Value</t>
        </r>
      </text>
    </comment>
    <comment ref="AI306" authorId="1" shapeId="0" xr:uid="{00000000-0006-0000-0200-0000AF010000}">
      <text>
        <r>
          <rPr>
            <sz val="8"/>
            <color indexed="81"/>
            <rFont val="Tahoma"/>
          </rPr>
          <t>Secondary Value</t>
        </r>
      </text>
    </comment>
    <comment ref="AH307" authorId="1" shapeId="0" xr:uid="{00000000-0006-0000-0200-0000B0010000}">
      <text>
        <r>
          <rPr>
            <sz val="8"/>
            <color indexed="81"/>
            <rFont val="Tahoma"/>
          </rPr>
          <t>Secondary Value</t>
        </r>
      </text>
    </comment>
    <comment ref="AI307" authorId="1" shapeId="0" xr:uid="{00000000-0006-0000-0200-0000B1010000}">
      <text>
        <r>
          <rPr>
            <sz val="8"/>
            <color indexed="81"/>
            <rFont val="Tahoma"/>
          </rPr>
          <t>Secondary Value</t>
        </r>
      </text>
    </comment>
    <comment ref="AH308" authorId="1" shapeId="0" xr:uid="{00000000-0006-0000-0200-0000B2010000}">
      <text>
        <r>
          <rPr>
            <sz val="8"/>
            <color indexed="81"/>
            <rFont val="Tahoma"/>
          </rPr>
          <t>Secondary Value</t>
        </r>
      </text>
    </comment>
    <comment ref="AI308" authorId="1" shapeId="0" xr:uid="{00000000-0006-0000-0200-0000B3010000}">
      <text>
        <r>
          <rPr>
            <sz val="8"/>
            <color indexed="81"/>
            <rFont val="Tahoma"/>
          </rPr>
          <t>Secondary Value</t>
        </r>
      </text>
    </comment>
    <comment ref="AH309" authorId="1" shapeId="0" xr:uid="{00000000-0006-0000-0200-0000B4010000}">
      <text>
        <r>
          <rPr>
            <sz val="8"/>
            <color indexed="81"/>
            <rFont val="Tahoma"/>
          </rPr>
          <t>Secondary Value</t>
        </r>
      </text>
    </comment>
    <comment ref="AI309" authorId="1" shapeId="0" xr:uid="{00000000-0006-0000-0200-0000B5010000}">
      <text>
        <r>
          <rPr>
            <sz val="8"/>
            <color indexed="81"/>
            <rFont val="Tahoma"/>
          </rPr>
          <t>Secondary Value</t>
        </r>
      </text>
    </comment>
    <comment ref="AH310" authorId="1" shapeId="0" xr:uid="{00000000-0006-0000-0200-0000B6010000}">
      <text>
        <r>
          <rPr>
            <sz val="8"/>
            <color indexed="81"/>
            <rFont val="Tahoma"/>
          </rPr>
          <t>Outdated National Ambient Water Quality Standard</t>
        </r>
      </text>
    </comment>
    <comment ref="AJ310" authorId="1" shapeId="0" xr:uid="{00000000-0006-0000-0200-0000B7010000}">
      <text>
        <r>
          <rPr>
            <sz val="8"/>
            <color indexed="81"/>
            <rFont val="Tahoma"/>
          </rPr>
          <t>Outdated National Ambient Water Quality Standard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Susan Bailey</author>
  </authors>
  <commentList>
    <comment ref="B6" authorId="0" shapeId="0" xr:uid="{00000000-0006-0000-0300-000001000000}">
      <text>
        <r>
          <rPr>
            <b/>
            <sz val="8"/>
            <color indexed="81"/>
            <rFont val="Tahoma"/>
          </rPr>
          <t xml:space="preserve">1) "Caution" </t>
        </r>
        <r>
          <rPr>
            <sz val="8"/>
            <color indexed="81"/>
            <rFont val="Tahoma"/>
            <family val="2"/>
          </rPr>
          <t xml:space="preserve">indicates CC exceeds Cwq.  </t>
        </r>
        <r>
          <rPr>
            <b/>
            <sz val="8"/>
            <color indexed="81"/>
            <rFont val="Tahoma"/>
          </rPr>
          <t xml:space="preserve">
2) "Missing Data" </t>
        </r>
        <r>
          <rPr>
            <sz val="8"/>
            <color indexed="81"/>
            <rFont val="Tahoma"/>
            <family val="2"/>
          </rPr>
          <t>indicates that q exceeds 0, but that required default values were unavailable to complete the screening calculations.</t>
        </r>
        <r>
          <rPr>
            <b/>
            <sz val="8"/>
            <color indexed="81"/>
            <rFont val="Tahoma"/>
          </rPr>
          <t xml:space="preserve">
3) "No Criteria"</t>
        </r>
        <r>
          <rPr>
            <sz val="8"/>
            <color indexed="81"/>
            <rFont val="Tahoma"/>
            <family val="2"/>
          </rPr>
          <t xml:space="preserve"> indicates sqreening criteria, Cwq, is not available.</t>
        </r>
        <r>
          <rPr>
            <b/>
            <sz val="8"/>
            <color indexed="81"/>
            <rFont val="Tahoma"/>
          </rPr>
          <t xml:space="preserve">
4) "No" </t>
        </r>
        <r>
          <rPr>
            <sz val="8"/>
            <color indexed="81"/>
            <rFont val="Tahoma"/>
            <family val="2"/>
          </rPr>
          <t>indicates CP does not exceed Cwq.</t>
        </r>
        <r>
          <rPr>
            <b/>
            <sz val="8"/>
            <color indexed="81"/>
            <rFont val="Tahoma"/>
          </rPr>
          <t xml:space="preserve">
5) "Needed" </t>
        </r>
        <r>
          <rPr>
            <sz val="8"/>
            <color indexed="81"/>
            <rFont val="Tahoma"/>
            <family val="2"/>
          </rPr>
          <t>indicates CP exceeds Cwq.</t>
        </r>
        <r>
          <rPr>
            <b/>
            <sz val="8"/>
            <color indexed="81"/>
            <rFont val="Tahoma"/>
          </rPr>
          <t xml:space="preserve">
6) "     " </t>
        </r>
        <r>
          <rPr>
            <sz val="8"/>
            <color indexed="81"/>
            <rFont val="Tahoma"/>
            <family val="2"/>
          </rPr>
          <t>indicates a value for q was not given.</t>
        </r>
        <r>
          <rPr>
            <b/>
            <sz val="8"/>
            <color indexed="81"/>
            <rFont val="Tahoma"/>
          </rPr>
          <t xml:space="preserve">
7) "---"</t>
        </r>
        <r>
          <rPr>
            <sz val="8"/>
            <color indexed="81"/>
            <rFont val="Tahoma"/>
            <family val="2"/>
          </rPr>
          <t xml:space="preserve"> indicates Tier II screening not required.</t>
        </r>
      </text>
    </comment>
    <comment ref="E7" authorId="0" shapeId="0" xr:uid="{00000000-0006-0000-0300-000002000000}">
      <text>
        <r>
          <rPr>
            <b/>
            <sz val="8"/>
            <color indexed="81"/>
            <rFont val="Tahoma"/>
          </rPr>
          <t xml:space="preserve">1) "Missing Data" </t>
        </r>
        <r>
          <rPr>
            <sz val="8"/>
            <color indexed="81"/>
            <rFont val="Tahoma"/>
            <family val="2"/>
          </rPr>
          <t>indicates that q exceeds 0, but that required default values were unavailable to complete the screening calculations.</t>
        </r>
        <r>
          <rPr>
            <b/>
            <sz val="8"/>
            <color indexed="81"/>
            <rFont val="Tahoma"/>
          </rPr>
          <t xml:space="preserve">
2) "No Criteria"</t>
        </r>
        <r>
          <rPr>
            <sz val="8"/>
            <color indexed="81"/>
            <rFont val="Tahoma"/>
            <family val="2"/>
          </rPr>
          <t xml:space="preserve"> indicates sqreening criteria, C</t>
        </r>
        <r>
          <rPr>
            <vertAlign val="subscript"/>
            <sz val="8"/>
            <color indexed="81"/>
            <rFont val="Tahoma"/>
            <family val="2"/>
          </rPr>
          <t>wq</t>
        </r>
        <r>
          <rPr>
            <sz val="8"/>
            <color indexed="81"/>
            <rFont val="Tahoma"/>
            <family val="2"/>
          </rPr>
          <t>, is not available.</t>
        </r>
        <r>
          <rPr>
            <b/>
            <sz val="8"/>
            <color indexed="81"/>
            <rFont val="Tahoma"/>
          </rPr>
          <t xml:space="preserve">
3) "No-1" </t>
        </r>
        <r>
          <rPr>
            <sz val="8"/>
            <color indexed="81"/>
            <rFont val="Tahoma"/>
            <family val="2"/>
          </rPr>
          <t>indicates C</t>
        </r>
        <r>
          <rPr>
            <vertAlign val="subscript"/>
            <sz val="8"/>
            <color indexed="81"/>
            <rFont val="Tahoma"/>
            <family val="2"/>
          </rPr>
          <t>R</t>
        </r>
        <r>
          <rPr>
            <sz val="8"/>
            <color indexed="81"/>
            <rFont val="Tahoma"/>
            <family val="2"/>
          </rPr>
          <t xml:space="preserve"> does not exceed C</t>
        </r>
        <r>
          <rPr>
            <vertAlign val="subscript"/>
            <sz val="8"/>
            <color indexed="81"/>
            <rFont val="Tahoma"/>
            <family val="2"/>
          </rPr>
          <t>wq</t>
        </r>
        <r>
          <rPr>
            <sz val="8"/>
            <color indexed="81"/>
            <rFont val="Tahoma"/>
            <family val="2"/>
          </rPr>
          <t xml:space="preserve"> and either C</t>
        </r>
        <r>
          <rPr>
            <vertAlign val="subscript"/>
            <sz val="8"/>
            <color indexed="81"/>
            <rFont val="Tahoma"/>
            <family val="2"/>
          </rPr>
          <t>sed</t>
        </r>
        <r>
          <rPr>
            <sz val="8"/>
            <color indexed="81"/>
            <rFont val="Tahoma"/>
            <family val="2"/>
          </rPr>
          <t xml:space="preserve"> &lt; C</t>
        </r>
        <r>
          <rPr>
            <vertAlign val="subscript"/>
            <sz val="8"/>
            <color indexed="81"/>
            <rFont val="Tahoma"/>
            <family val="2"/>
          </rPr>
          <t>wq</t>
        </r>
        <r>
          <rPr>
            <sz val="8"/>
            <color indexed="81"/>
            <rFont val="Tahoma"/>
            <family val="2"/>
          </rPr>
          <t xml:space="preserve"> (so C</t>
        </r>
        <r>
          <rPr>
            <vertAlign val="subscript"/>
            <sz val="8"/>
            <color indexed="81"/>
            <rFont val="Tahoma"/>
            <family val="2"/>
          </rPr>
          <t>R</t>
        </r>
        <r>
          <rPr>
            <sz val="8"/>
            <color indexed="81"/>
            <rFont val="Tahoma"/>
            <family val="2"/>
          </rPr>
          <t xml:space="preserve"> will never exceed C</t>
        </r>
        <r>
          <rPr>
            <vertAlign val="subscript"/>
            <sz val="8"/>
            <color indexed="81"/>
            <rFont val="Tahoma"/>
            <family val="2"/>
          </rPr>
          <t>wq</t>
        </r>
        <r>
          <rPr>
            <sz val="8"/>
            <color indexed="81"/>
            <rFont val="Tahoma"/>
            <family val="2"/>
          </rPr>
          <t>), or a user input DAF was used to calculate C</t>
        </r>
        <r>
          <rPr>
            <vertAlign val="subscript"/>
            <sz val="8"/>
            <color indexed="81"/>
            <rFont val="Tahoma"/>
            <family val="2"/>
          </rPr>
          <t>R</t>
        </r>
        <r>
          <rPr>
            <sz val="8"/>
            <color indexed="81"/>
            <rFont val="Tahoma"/>
            <family val="2"/>
          </rPr>
          <t xml:space="preserve"> so that predictions of C</t>
        </r>
        <r>
          <rPr>
            <vertAlign val="subscript"/>
            <sz val="8"/>
            <color indexed="81"/>
            <rFont val="Tahoma"/>
            <family val="2"/>
          </rPr>
          <t>R</t>
        </r>
        <r>
          <rPr>
            <sz val="8"/>
            <color indexed="81"/>
            <rFont val="Tahoma"/>
            <family val="2"/>
          </rPr>
          <t xml:space="preserve"> for different time intervals or subsurface conditions could not be made.
</t>
        </r>
        <r>
          <rPr>
            <b/>
            <sz val="8"/>
            <color indexed="81"/>
            <rFont val="Tahoma"/>
            <family val="2"/>
          </rPr>
          <t>4) "No-2"</t>
        </r>
        <r>
          <rPr>
            <sz val="8"/>
            <color indexed="81"/>
            <rFont val="Tahoma"/>
            <family val="2"/>
          </rPr>
          <t xml:space="preserve"> indicates that C</t>
        </r>
        <r>
          <rPr>
            <vertAlign val="subscript"/>
            <sz val="8"/>
            <color indexed="81"/>
            <rFont val="Tahoma"/>
            <family val="2"/>
          </rPr>
          <t>R</t>
        </r>
        <r>
          <rPr>
            <sz val="8"/>
            <color indexed="81"/>
            <rFont val="Tahoma"/>
            <family val="2"/>
          </rPr>
          <t xml:space="preserve"> at the time period of interest (C</t>
        </r>
        <r>
          <rPr>
            <vertAlign val="subscript"/>
            <sz val="8"/>
            <color indexed="81"/>
            <rFont val="Tahoma"/>
            <family val="2"/>
          </rPr>
          <t>R,i</t>
        </r>
        <r>
          <rPr>
            <sz val="8"/>
            <color indexed="81"/>
            <rFont val="Tahoma"/>
            <family val="2"/>
          </rPr>
          <t>) does not exceed C</t>
        </r>
        <r>
          <rPr>
            <vertAlign val="subscript"/>
            <sz val="8"/>
            <color indexed="81"/>
            <rFont val="Tahoma"/>
            <family val="2"/>
          </rPr>
          <t>wq</t>
        </r>
        <r>
          <rPr>
            <sz val="8"/>
            <color indexed="81"/>
            <rFont val="Tahoma"/>
            <family val="2"/>
          </rPr>
          <t>, and the peak C</t>
        </r>
        <r>
          <rPr>
            <vertAlign val="subscript"/>
            <sz val="8"/>
            <color indexed="81"/>
            <rFont val="Tahoma"/>
            <family val="2"/>
          </rPr>
          <t>R</t>
        </r>
        <r>
          <rPr>
            <sz val="8"/>
            <color indexed="81"/>
            <rFont val="Tahoma"/>
            <family val="2"/>
          </rPr>
          <t xml:space="preserve"> (C</t>
        </r>
        <r>
          <rPr>
            <vertAlign val="subscript"/>
            <sz val="8"/>
            <color indexed="81"/>
            <rFont val="Tahoma"/>
            <family val="2"/>
          </rPr>
          <t>R,P</t>
        </r>
        <r>
          <rPr>
            <sz val="8"/>
            <color indexed="81"/>
            <rFont val="Tahoma"/>
            <family val="2"/>
          </rPr>
          <t>) does not exceed C</t>
        </r>
        <r>
          <rPr>
            <vertAlign val="subscript"/>
            <sz val="8"/>
            <color indexed="81"/>
            <rFont val="Tahoma"/>
            <family val="2"/>
          </rPr>
          <t>wq</t>
        </r>
        <r>
          <rPr>
            <sz val="8"/>
            <color indexed="81"/>
            <rFont val="Tahoma"/>
            <family val="2"/>
          </rPr>
          <t>, but C</t>
        </r>
        <r>
          <rPr>
            <vertAlign val="subscript"/>
            <sz val="8"/>
            <color indexed="81"/>
            <rFont val="Tahoma"/>
            <family val="2"/>
          </rPr>
          <t>sed</t>
        </r>
        <r>
          <rPr>
            <sz val="8"/>
            <color indexed="81"/>
            <rFont val="Tahoma"/>
            <family val="2"/>
          </rPr>
          <t xml:space="preserve"> does exceed C</t>
        </r>
        <r>
          <rPr>
            <vertAlign val="subscript"/>
            <sz val="8"/>
            <color indexed="81"/>
            <rFont val="Tahoma"/>
            <family val="2"/>
          </rPr>
          <t>wq</t>
        </r>
        <r>
          <rPr>
            <sz val="8"/>
            <color indexed="81"/>
            <rFont val="Tahoma"/>
            <family val="2"/>
          </rPr>
          <t>, so there is potential to violate C</t>
        </r>
        <r>
          <rPr>
            <vertAlign val="subscript"/>
            <sz val="8"/>
            <color indexed="81"/>
            <rFont val="Tahoma"/>
            <family val="2"/>
          </rPr>
          <t>wq</t>
        </r>
        <r>
          <rPr>
            <sz val="8"/>
            <color indexed="81"/>
            <rFont val="Tahoma"/>
            <family val="2"/>
          </rPr>
          <t xml:space="preserve"> under a different set of foundation characteristics.
</t>
        </r>
        <r>
          <rPr>
            <b/>
            <sz val="8"/>
            <color indexed="81"/>
            <rFont val="Tahoma"/>
            <family val="2"/>
          </rPr>
          <t>5) "N0-3"</t>
        </r>
        <r>
          <rPr>
            <sz val="8"/>
            <color indexed="81"/>
            <rFont val="Tahoma"/>
            <family val="2"/>
          </rPr>
          <t xml:space="preserve"> indicates that C</t>
        </r>
        <r>
          <rPr>
            <vertAlign val="subscript"/>
            <sz val="8"/>
            <color indexed="81"/>
            <rFont val="Tahoma"/>
            <family val="2"/>
          </rPr>
          <t>R</t>
        </r>
        <r>
          <rPr>
            <sz val="8"/>
            <color indexed="81"/>
            <rFont val="Tahoma"/>
            <family val="2"/>
          </rPr>
          <t xml:space="preserve"> at the time period of interest (C</t>
        </r>
        <r>
          <rPr>
            <vertAlign val="subscript"/>
            <sz val="8"/>
            <color indexed="81"/>
            <rFont val="Tahoma"/>
            <family val="2"/>
          </rPr>
          <t>R,i</t>
        </r>
        <r>
          <rPr>
            <sz val="8"/>
            <color indexed="81"/>
            <rFont val="Tahoma"/>
            <family val="2"/>
          </rPr>
          <t>) does not exceed C</t>
        </r>
        <r>
          <rPr>
            <vertAlign val="subscript"/>
            <sz val="8"/>
            <color indexed="81"/>
            <rFont val="Tahoma"/>
            <family val="2"/>
          </rPr>
          <t>wq</t>
        </r>
        <r>
          <rPr>
            <sz val="8"/>
            <color indexed="81"/>
            <rFont val="Tahoma"/>
            <family val="2"/>
          </rPr>
          <t>, but the peak C</t>
        </r>
        <r>
          <rPr>
            <vertAlign val="subscript"/>
            <sz val="8"/>
            <color indexed="81"/>
            <rFont val="Tahoma"/>
            <family val="2"/>
          </rPr>
          <t>R</t>
        </r>
        <r>
          <rPr>
            <sz val="8"/>
            <color indexed="81"/>
            <rFont val="Tahoma"/>
            <family val="2"/>
          </rPr>
          <t xml:space="preserve"> (C</t>
        </r>
        <r>
          <rPr>
            <vertAlign val="subscript"/>
            <sz val="8"/>
            <color indexed="81"/>
            <rFont val="Tahoma"/>
            <family val="2"/>
          </rPr>
          <t>R,P</t>
        </r>
        <r>
          <rPr>
            <sz val="8"/>
            <color indexed="81"/>
            <rFont val="Tahoma"/>
            <family val="2"/>
          </rPr>
          <t>) does exceed C</t>
        </r>
        <r>
          <rPr>
            <vertAlign val="subscript"/>
            <sz val="8"/>
            <color indexed="81"/>
            <rFont val="Tahoma"/>
            <family val="2"/>
          </rPr>
          <t>wq</t>
        </r>
        <r>
          <rPr>
            <sz val="8"/>
            <color indexed="81"/>
            <rFont val="Tahoma"/>
            <family val="2"/>
          </rPr>
          <t>.</t>
        </r>
        <r>
          <rPr>
            <b/>
            <sz val="8"/>
            <color indexed="81"/>
            <rFont val="Tahoma"/>
          </rPr>
          <t xml:space="preserve">
6) "Needed" </t>
        </r>
        <r>
          <rPr>
            <sz val="8"/>
            <color indexed="81"/>
            <rFont val="Tahoma"/>
            <family val="2"/>
          </rPr>
          <t>indicates C</t>
        </r>
        <r>
          <rPr>
            <vertAlign val="subscript"/>
            <sz val="8"/>
            <color indexed="81"/>
            <rFont val="Tahoma"/>
            <family val="2"/>
          </rPr>
          <t>R</t>
        </r>
        <r>
          <rPr>
            <sz val="8"/>
            <color indexed="81"/>
            <rFont val="Tahoma"/>
            <family val="2"/>
          </rPr>
          <t xml:space="preserve"> exceeds C</t>
        </r>
        <r>
          <rPr>
            <vertAlign val="subscript"/>
            <sz val="8"/>
            <color indexed="81"/>
            <rFont val="Tahoma"/>
            <family val="2"/>
          </rPr>
          <t>wq</t>
        </r>
        <r>
          <rPr>
            <sz val="8"/>
            <color indexed="81"/>
            <rFont val="Tahoma"/>
            <family val="2"/>
          </rPr>
          <t>.</t>
        </r>
        <r>
          <rPr>
            <b/>
            <sz val="8"/>
            <color indexed="81"/>
            <rFont val="Tahoma"/>
          </rPr>
          <t xml:space="preserve">
7) "     " </t>
        </r>
        <r>
          <rPr>
            <sz val="8"/>
            <color indexed="81"/>
            <rFont val="Tahoma"/>
            <family val="2"/>
          </rPr>
          <t>indicates a value for q was not given.</t>
        </r>
        <r>
          <rPr>
            <b/>
            <sz val="8"/>
            <color indexed="81"/>
            <rFont val="Tahoma"/>
          </rPr>
          <t xml:space="preserve">
8) "---"</t>
        </r>
        <r>
          <rPr>
            <sz val="8"/>
            <color indexed="81"/>
            <rFont val="Tahoma"/>
            <family val="2"/>
          </rPr>
          <t xml:space="preserve"> indicates Tier II screening not required.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Paul Schroeder</author>
    <author>Michael Brooks</author>
  </authors>
  <commentList>
    <comment ref="B3" authorId="0" shapeId="0" xr:uid="{00000000-0006-0000-0400-000001000000}">
      <text>
        <r>
          <rPr>
            <b/>
            <sz val="8"/>
            <color indexed="81"/>
            <rFont val="Tahoma"/>
          </rPr>
          <t>1) "Caution"</t>
        </r>
        <r>
          <rPr>
            <sz val="8"/>
            <color indexed="81"/>
            <rFont val="Tahoma"/>
            <family val="2"/>
          </rPr>
          <t xml:space="preserve"> indicates C</t>
        </r>
        <r>
          <rPr>
            <vertAlign val="subscript"/>
            <sz val="8"/>
            <color indexed="81"/>
            <rFont val="Tahoma"/>
            <family val="2"/>
          </rPr>
          <t>C</t>
        </r>
        <r>
          <rPr>
            <sz val="8"/>
            <color indexed="81"/>
            <rFont val="Tahoma"/>
            <family val="2"/>
          </rPr>
          <t xml:space="preserve"> exceeds C</t>
        </r>
        <r>
          <rPr>
            <vertAlign val="subscript"/>
            <sz val="8"/>
            <color indexed="81"/>
            <rFont val="Tahoma"/>
            <family val="2"/>
          </rPr>
          <t>wq</t>
        </r>
        <r>
          <rPr>
            <sz val="8"/>
            <color indexed="81"/>
            <rFont val="Tahoma"/>
            <family val="2"/>
          </rPr>
          <t xml:space="preserve">.  </t>
        </r>
        <r>
          <rPr>
            <b/>
            <sz val="8"/>
            <color indexed="81"/>
            <rFont val="Tahoma"/>
          </rPr>
          <t xml:space="preserve">
2) "Missing Data"</t>
        </r>
        <r>
          <rPr>
            <sz val="8"/>
            <color indexed="81"/>
            <rFont val="Tahoma"/>
            <family val="2"/>
          </rPr>
          <t xml:space="preserve"> indicates that q exceeds 0, but that required default values were unavailable to complete the screening calculations.</t>
        </r>
        <r>
          <rPr>
            <b/>
            <sz val="8"/>
            <color indexed="81"/>
            <rFont val="Tahoma"/>
          </rPr>
          <t xml:space="preserve">
3) "No Criteria"</t>
        </r>
        <r>
          <rPr>
            <sz val="8"/>
            <color indexed="81"/>
            <rFont val="Tahoma"/>
            <family val="2"/>
          </rPr>
          <t xml:space="preserve"> indicates sqreening criteria, C</t>
        </r>
        <r>
          <rPr>
            <vertAlign val="subscript"/>
            <sz val="8"/>
            <color indexed="81"/>
            <rFont val="Tahoma"/>
            <family val="2"/>
          </rPr>
          <t>wq</t>
        </r>
        <r>
          <rPr>
            <sz val="8"/>
            <color indexed="81"/>
            <rFont val="Tahoma"/>
            <family val="2"/>
          </rPr>
          <t>, is not available.</t>
        </r>
        <r>
          <rPr>
            <b/>
            <sz val="8"/>
            <color indexed="81"/>
            <rFont val="Tahoma"/>
          </rPr>
          <t xml:space="preserve">
4) "No" </t>
        </r>
        <r>
          <rPr>
            <sz val="8"/>
            <color indexed="81"/>
            <rFont val="Tahoma"/>
            <family val="2"/>
          </rPr>
          <t>indicates C</t>
        </r>
        <r>
          <rPr>
            <vertAlign val="subscript"/>
            <sz val="8"/>
            <color indexed="81"/>
            <rFont val="Tahoma"/>
            <family val="2"/>
          </rPr>
          <t>P</t>
        </r>
        <r>
          <rPr>
            <sz val="8"/>
            <color indexed="81"/>
            <rFont val="Tahoma"/>
            <family val="2"/>
          </rPr>
          <t xml:space="preserve"> does not exceed C</t>
        </r>
        <r>
          <rPr>
            <vertAlign val="subscript"/>
            <sz val="8"/>
            <color indexed="81"/>
            <rFont val="Tahoma"/>
            <family val="2"/>
          </rPr>
          <t>wq</t>
        </r>
        <r>
          <rPr>
            <sz val="8"/>
            <color indexed="81"/>
            <rFont val="Tahoma"/>
            <family val="2"/>
          </rPr>
          <t xml:space="preserve">.
</t>
        </r>
        <r>
          <rPr>
            <b/>
            <sz val="8"/>
            <color indexed="81"/>
            <rFont val="Tahoma"/>
            <family val="2"/>
          </rPr>
          <t>5) "Needed"</t>
        </r>
        <r>
          <rPr>
            <sz val="8"/>
            <color indexed="81"/>
            <rFont val="Tahoma"/>
            <family val="2"/>
          </rPr>
          <t xml:space="preserve"> indicates C</t>
        </r>
        <r>
          <rPr>
            <vertAlign val="subscript"/>
            <sz val="8"/>
            <color indexed="81"/>
            <rFont val="Tahoma"/>
            <family val="2"/>
          </rPr>
          <t>P</t>
        </r>
        <r>
          <rPr>
            <sz val="8"/>
            <color indexed="81"/>
            <rFont val="Tahoma"/>
            <family val="2"/>
          </rPr>
          <t xml:space="preserve"> exceeds C</t>
        </r>
        <r>
          <rPr>
            <vertAlign val="subscript"/>
            <sz val="8"/>
            <color indexed="81"/>
            <rFont val="Tahoma"/>
            <family val="2"/>
          </rPr>
          <t>wq</t>
        </r>
        <r>
          <rPr>
            <sz val="8"/>
            <color indexed="81"/>
            <rFont val="Tahoma"/>
            <family val="2"/>
          </rPr>
          <t>.</t>
        </r>
        <r>
          <rPr>
            <b/>
            <sz val="8"/>
            <color indexed="81"/>
            <rFont val="Tahoma"/>
          </rPr>
          <t xml:space="preserve">
6) "     " </t>
        </r>
        <r>
          <rPr>
            <sz val="8"/>
            <color indexed="81"/>
            <rFont val="Tahoma"/>
            <family val="2"/>
          </rPr>
          <t>indicates a value for q was not given.</t>
        </r>
        <r>
          <rPr>
            <b/>
            <sz val="8"/>
            <color indexed="81"/>
            <rFont val="Tahoma"/>
          </rPr>
          <t xml:space="preserve">
7) "---" </t>
        </r>
        <r>
          <rPr>
            <sz val="8"/>
            <color indexed="81"/>
            <rFont val="Tahoma"/>
            <family val="2"/>
          </rPr>
          <t>indicates Tier II screening not required.</t>
        </r>
      </text>
    </comment>
    <comment ref="I4" authorId="0" shapeId="0" xr:uid="{00000000-0006-0000-0400-000002000000}">
      <text>
        <r>
          <rPr>
            <sz val="8"/>
            <color indexed="81"/>
            <rFont val="Tahoma"/>
          </rPr>
          <t xml:space="preserve">Metals: (q*LF)/(SCF/100); Organics: (q*LF)
 </t>
        </r>
      </text>
    </comment>
    <comment ref="J4" authorId="0" shapeId="0" xr:uid="{00000000-0006-0000-0400-000003000000}">
      <text>
        <r>
          <rPr>
            <sz val="8"/>
            <color indexed="81"/>
            <rFont val="Tahoma"/>
          </rPr>
          <t>(q</t>
        </r>
        <r>
          <rPr>
            <vertAlign val="superscript"/>
            <sz val="8"/>
            <color indexed="81"/>
            <rFont val="Tahoma"/>
            <family val="2"/>
          </rPr>
          <t>*</t>
        </r>
        <r>
          <rPr>
            <vertAlign val="subscript"/>
            <sz val="8"/>
            <color indexed="81"/>
            <rFont val="Tahoma"/>
            <family val="2"/>
          </rPr>
          <t>sed</t>
        </r>
        <r>
          <rPr>
            <sz val="8"/>
            <color indexed="81"/>
            <rFont val="Tahoma"/>
          </rPr>
          <t>+((TSS</t>
        </r>
        <r>
          <rPr>
            <vertAlign val="subscript"/>
            <sz val="8"/>
            <color indexed="81"/>
            <rFont val="Tahoma"/>
            <family val="2"/>
          </rPr>
          <t>sed</t>
        </r>
        <r>
          <rPr>
            <sz val="8"/>
            <color indexed="81"/>
            <rFont val="Tahoma"/>
          </rPr>
          <t>-TSS</t>
        </r>
        <r>
          <rPr>
            <vertAlign val="subscript"/>
            <sz val="8"/>
            <color indexed="81"/>
            <rFont val="Tahoma"/>
            <family val="2"/>
          </rPr>
          <t>SL</t>
        </r>
        <r>
          <rPr>
            <sz val="8"/>
            <color indexed="81"/>
            <rFont val="Tahoma"/>
          </rPr>
          <t>)/(TSS</t>
        </r>
        <r>
          <rPr>
            <vertAlign val="subscript"/>
            <sz val="8"/>
            <color indexed="81"/>
            <rFont val="Tahoma"/>
            <family val="2"/>
          </rPr>
          <t>sed</t>
        </r>
        <r>
          <rPr>
            <sz val="8"/>
            <color indexed="81"/>
            <rFont val="Tahoma"/>
          </rPr>
          <t>*TSS</t>
        </r>
        <r>
          <rPr>
            <vertAlign val="subscript"/>
            <sz val="8"/>
            <color indexed="81"/>
            <rFont val="Tahoma"/>
            <family val="2"/>
          </rPr>
          <t>SL</t>
        </r>
        <r>
          <rPr>
            <sz val="8"/>
            <color indexed="81"/>
            <rFont val="Tahoma"/>
          </rPr>
          <t>)*C</t>
        </r>
        <r>
          <rPr>
            <vertAlign val="subscript"/>
            <sz val="8"/>
            <color indexed="81"/>
            <rFont val="Tahoma"/>
            <family val="2"/>
          </rPr>
          <t>C</t>
        </r>
        <r>
          <rPr>
            <sz val="8"/>
            <color indexed="81"/>
            <rFont val="Tahoma"/>
          </rPr>
          <t xml:space="preserve">))
</t>
        </r>
      </text>
    </comment>
    <comment ref="K4" authorId="0" shapeId="0" xr:uid="{00000000-0006-0000-0400-000004000000}">
      <text>
        <r>
          <rPr>
            <sz val="8"/>
            <color indexed="81"/>
            <rFont val="Tahoma"/>
          </rPr>
          <t>(q</t>
        </r>
        <r>
          <rPr>
            <vertAlign val="superscript"/>
            <sz val="8"/>
            <color indexed="81"/>
            <rFont val="Tahoma"/>
            <family val="2"/>
          </rPr>
          <t>*</t>
        </r>
        <r>
          <rPr>
            <vertAlign val="subscript"/>
            <sz val="8"/>
            <color indexed="81"/>
            <rFont val="Tahoma"/>
            <family val="2"/>
          </rPr>
          <t xml:space="preserve">sl </t>
        </r>
        <r>
          <rPr>
            <sz val="8"/>
            <color indexed="81"/>
            <rFont val="Tahoma"/>
          </rPr>
          <t>*(1-n</t>
        </r>
        <r>
          <rPr>
            <vertAlign val="subscript"/>
            <sz val="8"/>
            <color indexed="81"/>
            <rFont val="Tahoma"/>
            <family val="2"/>
          </rPr>
          <t>sl</t>
        </r>
        <r>
          <rPr>
            <sz val="8"/>
            <color indexed="81"/>
            <rFont val="Tahoma"/>
          </rPr>
          <t>)*SG*</t>
        </r>
        <r>
          <rPr>
            <sz val="8"/>
            <color indexed="81"/>
            <rFont val="Symbol"/>
            <family val="1"/>
            <charset val="2"/>
          </rPr>
          <t>r</t>
        </r>
        <r>
          <rPr>
            <vertAlign val="subscript"/>
            <sz val="8"/>
            <color indexed="81"/>
            <rFont val="Tahoma"/>
            <family val="2"/>
          </rPr>
          <t>w</t>
        </r>
        <r>
          <rPr>
            <sz val="8"/>
            <color indexed="81"/>
            <rFont val="Tahoma"/>
          </rPr>
          <t>*1000)/(n</t>
        </r>
        <r>
          <rPr>
            <vertAlign val="subscript"/>
            <sz val="8"/>
            <color indexed="81"/>
            <rFont val="Tahoma"/>
            <family val="2"/>
          </rPr>
          <t>sl</t>
        </r>
        <r>
          <rPr>
            <sz val="8"/>
            <color indexed="81"/>
            <rFont val="Tahoma"/>
          </rPr>
          <t>+((1-n</t>
        </r>
        <r>
          <rPr>
            <vertAlign val="subscript"/>
            <sz val="8"/>
            <color indexed="81"/>
            <rFont val="Tahoma"/>
            <family val="2"/>
          </rPr>
          <t>sl</t>
        </r>
        <r>
          <rPr>
            <sz val="8"/>
            <color indexed="81"/>
            <rFont val="Tahoma"/>
          </rPr>
          <t>)*SG*</t>
        </r>
        <r>
          <rPr>
            <sz val="8"/>
            <color indexed="81"/>
            <rFont val="Symbol"/>
            <family val="1"/>
            <charset val="2"/>
          </rPr>
          <t>r</t>
        </r>
        <r>
          <rPr>
            <vertAlign val="subscript"/>
            <sz val="8"/>
            <color indexed="81"/>
            <rFont val="Tahoma"/>
            <family val="2"/>
          </rPr>
          <t>w</t>
        </r>
        <r>
          <rPr>
            <sz val="8"/>
            <color indexed="81"/>
            <rFont val="Tahoma"/>
          </rPr>
          <t>*K</t>
        </r>
        <r>
          <rPr>
            <vertAlign val="subscript"/>
            <sz val="8"/>
            <color indexed="81"/>
            <rFont val="Tahoma"/>
            <family val="2"/>
          </rPr>
          <t>d</t>
        </r>
        <r>
          <rPr>
            <sz val="8"/>
            <color indexed="81"/>
            <rFont val="Tahoma"/>
          </rPr>
          <t xml:space="preserve">))
</t>
        </r>
      </text>
    </comment>
    <comment ref="L4" authorId="0" shapeId="0" xr:uid="{00000000-0006-0000-0400-000005000000}">
      <text>
        <r>
          <rPr>
            <sz val="8"/>
            <color indexed="81"/>
            <rFont val="Tahoma"/>
          </rPr>
          <t>q*sed/((nsed+((1-nsed)*SG*</t>
        </r>
        <r>
          <rPr>
            <sz val="8"/>
            <color indexed="81"/>
            <rFont val="Symbol"/>
            <family val="1"/>
            <charset val="2"/>
          </rPr>
          <t>r</t>
        </r>
        <r>
          <rPr>
            <vertAlign val="subscript"/>
            <sz val="8"/>
            <color indexed="81"/>
            <rFont val="Tahoma"/>
            <family val="2"/>
          </rPr>
          <t>w</t>
        </r>
        <r>
          <rPr>
            <sz val="8"/>
            <color indexed="81"/>
            <rFont val="Tahoma"/>
          </rPr>
          <t>*K</t>
        </r>
        <r>
          <rPr>
            <vertAlign val="subscript"/>
            <sz val="8"/>
            <color indexed="81"/>
            <rFont val="Tahoma"/>
            <family val="2"/>
          </rPr>
          <t>d</t>
        </r>
        <r>
          <rPr>
            <sz val="8"/>
            <color indexed="81"/>
            <rFont val="Tahoma"/>
          </rPr>
          <t>))/((1-nsed)*SG*</t>
        </r>
        <r>
          <rPr>
            <sz val="8"/>
            <color indexed="81"/>
            <rFont val="Symbol"/>
            <family val="1"/>
            <charset val="2"/>
          </rPr>
          <t>r</t>
        </r>
        <r>
          <rPr>
            <vertAlign val="subscript"/>
            <sz val="8"/>
            <color indexed="81"/>
            <rFont val="Tahoma"/>
            <family val="2"/>
          </rPr>
          <t>w</t>
        </r>
        <r>
          <rPr>
            <sz val="8"/>
            <color indexed="81"/>
            <rFont val="Tahoma"/>
          </rPr>
          <t xml:space="preserve">*1000))
</t>
        </r>
      </text>
    </comment>
    <comment ref="M4" authorId="0" shapeId="0" xr:uid="{00000000-0006-0000-0400-000006000000}">
      <text>
        <r>
          <rPr>
            <sz val="8"/>
            <color indexed="81"/>
            <rFont val="Tahoma"/>
          </rPr>
          <t>(((TSS</t>
        </r>
        <r>
          <rPr>
            <vertAlign val="subscript"/>
            <sz val="8"/>
            <color indexed="81"/>
            <rFont val="Tahoma"/>
            <family val="2"/>
          </rPr>
          <t>sl</t>
        </r>
        <r>
          <rPr>
            <sz val="8"/>
            <color indexed="81"/>
            <rFont val="Tahoma"/>
          </rPr>
          <t>*n</t>
        </r>
        <r>
          <rPr>
            <vertAlign val="subscript"/>
            <sz val="8"/>
            <color indexed="81"/>
            <rFont val="Tahoma"/>
            <family val="2"/>
          </rPr>
          <t>sed</t>
        </r>
        <r>
          <rPr>
            <sz val="8"/>
            <color indexed="81"/>
            <rFont val="Tahoma"/>
          </rPr>
          <t>)*C</t>
        </r>
        <r>
          <rPr>
            <vertAlign val="subscript"/>
            <sz val="8"/>
            <color indexed="81"/>
            <rFont val="Tahoma"/>
            <family val="2"/>
          </rPr>
          <t>sed</t>
        </r>
        <r>
          <rPr>
            <sz val="8"/>
            <color indexed="81"/>
            <rFont val="Tahoma"/>
          </rPr>
          <t>)+(TSS</t>
        </r>
        <r>
          <rPr>
            <vertAlign val="subscript"/>
            <sz val="8"/>
            <color indexed="81"/>
            <rFont val="Tahoma"/>
            <family val="2"/>
          </rPr>
          <t>sed</t>
        </r>
        <r>
          <rPr>
            <sz val="8"/>
            <color indexed="81"/>
            <rFont val="Tahoma"/>
          </rPr>
          <t>-TSS</t>
        </r>
        <r>
          <rPr>
            <vertAlign val="subscript"/>
            <sz val="8"/>
            <color indexed="81"/>
            <rFont val="Tahoma"/>
            <family val="2"/>
          </rPr>
          <t>sl</t>
        </r>
        <r>
          <rPr>
            <sz val="8"/>
            <color indexed="81"/>
            <rFont val="Tahoma"/>
          </rPr>
          <t>)*C</t>
        </r>
        <r>
          <rPr>
            <vertAlign val="subscript"/>
            <sz val="8"/>
            <color indexed="81"/>
            <rFont val="Tahoma"/>
            <family val="2"/>
          </rPr>
          <t>C</t>
        </r>
        <r>
          <rPr>
            <sz val="8"/>
            <color indexed="81"/>
            <rFont val="Tahoma"/>
          </rPr>
          <t>)/((n</t>
        </r>
        <r>
          <rPr>
            <vertAlign val="subscript"/>
            <sz val="8"/>
            <color indexed="81"/>
            <rFont val="Tahoma"/>
            <family val="2"/>
          </rPr>
          <t>sed</t>
        </r>
        <r>
          <rPr>
            <sz val="8"/>
            <color indexed="81"/>
            <rFont val="Tahoma"/>
          </rPr>
          <t>*TSS</t>
        </r>
        <r>
          <rPr>
            <vertAlign val="subscript"/>
            <sz val="8"/>
            <color indexed="81"/>
            <rFont val="Tahoma"/>
            <family val="2"/>
          </rPr>
          <t>SL</t>
        </r>
        <r>
          <rPr>
            <sz val="8"/>
            <color indexed="81"/>
            <rFont val="Tahoma"/>
          </rPr>
          <t>)+TSS</t>
        </r>
        <r>
          <rPr>
            <vertAlign val="subscript"/>
            <sz val="8"/>
            <color indexed="81"/>
            <rFont val="Tahoma"/>
            <family val="2"/>
          </rPr>
          <t>sed</t>
        </r>
        <r>
          <rPr>
            <sz val="8"/>
            <color indexed="81"/>
            <rFont val="Tahoma"/>
          </rPr>
          <t>-TSS</t>
        </r>
        <r>
          <rPr>
            <vertAlign val="subscript"/>
            <sz val="8"/>
            <color indexed="81"/>
            <rFont val="Tahoma"/>
            <family val="2"/>
          </rPr>
          <t>SL</t>
        </r>
        <r>
          <rPr>
            <sz val="8"/>
            <color indexed="81"/>
            <rFont val="Tahoma"/>
          </rPr>
          <t xml:space="preserve">)
</t>
        </r>
      </text>
    </comment>
    <comment ref="N4" authorId="0" shapeId="0" xr:uid="{00000000-0006-0000-0400-000007000000}">
      <text>
        <r>
          <rPr>
            <sz val="8"/>
            <color indexed="81"/>
            <rFont val="Tahoma"/>
          </rPr>
          <t>The Greater Between C</t>
        </r>
        <r>
          <rPr>
            <vertAlign val="subscript"/>
            <sz val="8"/>
            <color indexed="81"/>
            <rFont val="Tahoma"/>
            <family val="2"/>
          </rPr>
          <t>eff1</t>
        </r>
        <r>
          <rPr>
            <sz val="8"/>
            <color indexed="81"/>
            <rFont val="Tahoma"/>
          </rPr>
          <t xml:space="preserve"> and C</t>
        </r>
        <r>
          <rPr>
            <vertAlign val="subscript"/>
            <sz val="8"/>
            <color indexed="81"/>
            <rFont val="Tahoma"/>
            <family val="2"/>
          </rPr>
          <t>eff2</t>
        </r>
        <r>
          <rPr>
            <sz val="8"/>
            <color indexed="81"/>
            <rFont val="Tahoma"/>
          </rPr>
          <t xml:space="preserve">
</t>
        </r>
      </text>
    </comment>
    <comment ref="O4" authorId="0" shapeId="0" xr:uid="{00000000-0006-0000-0400-000008000000}">
      <text>
        <r>
          <rPr>
            <sz val="8"/>
            <color indexed="81"/>
            <rFont val="Tahoma"/>
          </rPr>
          <t>(C</t>
        </r>
        <r>
          <rPr>
            <vertAlign val="subscript"/>
            <sz val="8"/>
            <color indexed="81"/>
            <rFont val="Tahoma"/>
            <family val="2"/>
          </rPr>
          <t>eff</t>
        </r>
        <r>
          <rPr>
            <sz val="8"/>
            <color indexed="81"/>
            <rFont val="Tahoma"/>
          </rPr>
          <t xml:space="preserve"> + (D*C</t>
        </r>
        <r>
          <rPr>
            <vertAlign val="subscript"/>
            <sz val="8"/>
            <color indexed="81"/>
            <rFont val="Tahoma"/>
            <family val="2"/>
          </rPr>
          <t>B</t>
        </r>
        <r>
          <rPr>
            <sz val="8"/>
            <color indexed="81"/>
            <rFont val="Tahoma"/>
          </rPr>
          <t xml:space="preserve">))/(D+1)
</t>
        </r>
      </text>
    </comment>
    <comment ref="P4" authorId="1" shapeId="0" xr:uid="{00000000-0006-0000-0400-000009000000}">
      <text>
        <r>
          <rPr>
            <sz val="9"/>
            <color indexed="81"/>
            <rFont val="Tahoma"/>
            <family val="2"/>
          </rPr>
          <t>If C</t>
        </r>
        <r>
          <rPr>
            <vertAlign val="subscript"/>
            <sz val="9"/>
            <color indexed="81"/>
            <rFont val="Tahoma"/>
            <family val="2"/>
          </rPr>
          <t>wq</t>
        </r>
        <r>
          <rPr>
            <sz val="9"/>
            <color indexed="81"/>
            <rFont val="Tahoma"/>
            <family val="2"/>
          </rPr>
          <t xml:space="preserve"> &lt; (1 + x/100) * C</t>
        </r>
        <r>
          <rPr>
            <vertAlign val="subscript"/>
            <sz val="9"/>
            <color indexed="81"/>
            <rFont val="Tahoma"/>
            <family val="2"/>
          </rPr>
          <t>B</t>
        </r>
        <r>
          <rPr>
            <sz val="9"/>
            <color indexed="81"/>
            <rFont val="Tahoma"/>
            <family val="2"/>
          </rPr>
          <t>, 
Then C</t>
        </r>
        <r>
          <rPr>
            <vertAlign val="subscript"/>
            <sz val="9"/>
            <color indexed="81"/>
            <rFont val="Tahoma"/>
            <family val="2"/>
          </rPr>
          <t>T</t>
        </r>
        <r>
          <rPr>
            <sz val="9"/>
            <color indexed="81"/>
            <rFont val="Tahoma"/>
            <family val="2"/>
          </rPr>
          <t xml:space="preserve"> =  (1 + x/100) * C</t>
        </r>
        <r>
          <rPr>
            <vertAlign val="subscript"/>
            <sz val="9"/>
            <color indexed="81"/>
            <rFont val="Tahoma"/>
            <family val="2"/>
          </rPr>
          <t>B</t>
        </r>
        <r>
          <rPr>
            <sz val="9"/>
            <color indexed="81"/>
            <rFont val="Tahoma"/>
            <family val="2"/>
          </rPr>
          <t xml:space="preserve">
Else,  C</t>
        </r>
        <r>
          <rPr>
            <vertAlign val="subscript"/>
            <sz val="9"/>
            <color indexed="81"/>
            <rFont val="Tahoma"/>
            <family val="2"/>
          </rPr>
          <t>T</t>
        </r>
        <r>
          <rPr>
            <sz val="9"/>
            <color indexed="81"/>
            <rFont val="Tahoma"/>
            <family val="2"/>
          </rPr>
          <t xml:space="preserve"> = C</t>
        </r>
        <r>
          <rPr>
            <vertAlign val="subscript"/>
            <sz val="9"/>
            <color indexed="81"/>
            <rFont val="Tahoma"/>
            <family val="2"/>
          </rPr>
          <t xml:space="preserve">wq
</t>
        </r>
        <r>
          <rPr>
            <sz val="8"/>
            <color indexed="81"/>
            <rFont val="Tahoma"/>
            <family val="2"/>
          </rPr>
          <t xml:space="preserve">
(where x is allowable background exceedence)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Susan Bailey</author>
    <author>Paul Schroeder</author>
    <author>Michael Brooks</author>
  </authors>
  <commentList>
    <comment ref="B3" authorId="0" shapeId="0" xr:uid="{00000000-0006-0000-0500-000001000000}">
      <text>
        <r>
          <rPr>
            <b/>
            <sz val="8"/>
            <color indexed="81"/>
            <rFont val="Tahoma"/>
          </rPr>
          <t>1) "Caution"</t>
        </r>
        <r>
          <rPr>
            <sz val="8"/>
            <color indexed="81"/>
            <rFont val="Tahoma"/>
            <family val="2"/>
          </rPr>
          <t xml:space="preserve"> indicates C</t>
        </r>
        <r>
          <rPr>
            <vertAlign val="subscript"/>
            <sz val="8"/>
            <color indexed="81"/>
            <rFont val="Tahoma"/>
            <family val="2"/>
          </rPr>
          <t>C</t>
        </r>
        <r>
          <rPr>
            <sz val="8"/>
            <color indexed="81"/>
            <rFont val="Tahoma"/>
            <family val="2"/>
          </rPr>
          <t xml:space="preserve"> exceeds C</t>
        </r>
        <r>
          <rPr>
            <vertAlign val="subscript"/>
            <sz val="8"/>
            <color indexed="81"/>
            <rFont val="Tahoma"/>
            <family val="2"/>
          </rPr>
          <t>wq</t>
        </r>
        <r>
          <rPr>
            <sz val="8"/>
            <color indexed="81"/>
            <rFont val="Tahoma"/>
            <family val="2"/>
          </rPr>
          <t xml:space="preserve">. </t>
        </r>
        <r>
          <rPr>
            <b/>
            <sz val="8"/>
            <color indexed="81"/>
            <rFont val="Tahoma"/>
          </rPr>
          <t xml:space="preserve"> 
2) "MissingData" </t>
        </r>
        <r>
          <rPr>
            <sz val="8"/>
            <color indexed="81"/>
            <rFont val="Tahoma"/>
            <family val="2"/>
          </rPr>
          <t>indicates that q exceeds 0, but that required default values were unavailable to complete the screening calculations.</t>
        </r>
        <r>
          <rPr>
            <b/>
            <sz val="8"/>
            <color indexed="81"/>
            <rFont val="Tahoma"/>
          </rPr>
          <t xml:space="preserve">
3) "No Criteria"</t>
        </r>
        <r>
          <rPr>
            <sz val="8"/>
            <color indexed="81"/>
            <rFont val="Tahoma"/>
            <family val="2"/>
          </rPr>
          <t xml:space="preserve"> indicates sqreening criteria, C</t>
        </r>
        <r>
          <rPr>
            <vertAlign val="subscript"/>
            <sz val="8"/>
            <color indexed="81"/>
            <rFont val="Tahoma"/>
            <family val="2"/>
          </rPr>
          <t>wq</t>
        </r>
        <r>
          <rPr>
            <sz val="8"/>
            <color indexed="81"/>
            <rFont val="Tahoma"/>
            <family val="2"/>
          </rPr>
          <t>, is not available.</t>
        </r>
        <r>
          <rPr>
            <b/>
            <sz val="8"/>
            <color indexed="81"/>
            <rFont val="Tahoma"/>
          </rPr>
          <t xml:space="preserve">
4) "No" </t>
        </r>
        <r>
          <rPr>
            <sz val="8"/>
            <color indexed="81"/>
            <rFont val="Tahoma"/>
            <family val="2"/>
          </rPr>
          <t>indicates C</t>
        </r>
        <r>
          <rPr>
            <vertAlign val="subscript"/>
            <sz val="8"/>
            <color indexed="81"/>
            <rFont val="Tahoma"/>
            <family val="2"/>
          </rPr>
          <t>P</t>
        </r>
        <r>
          <rPr>
            <sz val="8"/>
            <color indexed="81"/>
            <rFont val="Tahoma"/>
            <family val="2"/>
          </rPr>
          <t xml:space="preserve"> does not exceed C</t>
        </r>
        <r>
          <rPr>
            <vertAlign val="subscript"/>
            <sz val="8"/>
            <color indexed="81"/>
            <rFont val="Tahoma"/>
            <family val="2"/>
          </rPr>
          <t>wq</t>
        </r>
        <r>
          <rPr>
            <sz val="8"/>
            <color indexed="81"/>
            <rFont val="Tahoma"/>
            <family val="2"/>
          </rPr>
          <t>.</t>
        </r>
        <r>
          <rPr>
            <b/>
            <sz val="8"/>
            <color indexed="81"/>
            <rFont val="Tahoma"/>
          </rPr>
          <t xml:space="preserve">
5) "Needed" </t>
        </r>
        <r>
          <rPr>
            <sz val="8"/>
            <color indexed="81"/>
            <rFont val="Tahoma"/>
            <family val="2"/>
          </rPr>
          <t>indicates C</t>
        </r>
        <r>
          <rPr>
            <vertAlign val="subscript"/>
            <sz val="8"/>
            <color indexed="81"/>
            <rFont val="Tahoma"/>
            <family val="2"/>
          </rPr>
          <t>P</t>
        </r>
        <r>
          <rPr>
            <sz val="8"/>
            <color indexed="81"/>
            <rFont val="Tahoma"/>
            <family val="2"/>
          </rPr>
          <t xml:space="preserve"> exceeds C</t>
        </r>
        <r>
          <rPr>
            <vertAlign val="subscript"/>
            <sz val="8"/>
            <color indexed="81"/>
            <rFont val="Tahoma"/>
            <family val="2"/>
          </rPr>
          <t>wq</t>
        </r>
        <r>
          <rPr>
            <sz val="8"/>
            <color indexed="81"/>
            <rFont val="Tahoma"/>
            <family val="2"/>
          </rPr>
          <t xml:space="preserve">.
</t>
        </r>
        <r>
          <rPr>
            <b/>
            <sz val="8"/>
            <color indexed="81"/>
            <rFont val="Tahoma"/>
            <family val="2"/>
          </rPr>
          <t>6) "     "</t>
        </r>
        <r>
          <rPr>
            <sz val="8"/>
            <color indexed="81"/>
            <rFont val="Tahoma"/>
            <family val="2"/>
          </rPr>
          <t xml:space="preserve"> indicates a value for q was not input.</t>
        </r>
        <r>
          <rPr>
            <b/>
            <sz val="8"/>
            <color indexed="81"/>
            <rFont val="Tahoma"/>
            <family val="2"/>
          </rPr>
          <t xml:space="preserve">
7) "---"</t>
        </r>
        <r>
          <rPr>
            <sz val="8"/>
            <color indexed="81"/>
            <rFont val="Tahoma"/>
            <family val="2"/>
          </rPr>
          <t xml:space="preserve"> indicates Tier II screening not required.</t>
        </r>
      </text>
    </comment>
    <comment ref="L4" authorId="1" shapeId="0" xr:uid="{00000000-0006-0000-0500-000002000000}">
      <text>
        <r>
          <rPr>
            <sz val="8"/>
            <color indexed="81"/>
            <rFont val="Tahoma"/>
          </rPr>
          <t>(q*LF</t>
        </r>
        <r>
          <rPr>
            <vertAlign val="superscript"/>
            <sz val="8"/>
            <color indexed="81"/>
            <rFont val="Tahoma"/>
            <family val="2"/>
          </rPr>
          <t>unox</t>
        </r>
        <r>
          <rPr>
            <sz val="8"/>
            <color indexed="81"/>
            <rFont val="Tahoma"/>
          </rPr>
          <t>)/(CF</t>
        </r>
        <r>
          <rPr>
            <vertAlign val="subscript"/>
            <sz val="8"/>
            <color indexed="81"/>
            <rFont val="Tahoma"/>
            <family val="2"/>
          </rPr>
          <t>eff</t>
        </r>
        <r>
          <rPr>
            <sz val="8"/>
            <color indexed="81"/>
            <rFont val="Tahoma"/>
          </rPr>
          <t>/100)</t>
        </r>
      </text>
    </comment>
    <comment ref="M4" authorId="1" shapeId="0" xr:uid="{00000000-0006-0000-0500-000003000000}">
      <text>
        <r>
          <rPr>
            <sz val="8"/>
            <color indexed="81"/>
            <rFont val="Tahoma"/>
          </rPr>
          <t>(q*LF</t>
        </r>
        <r>
          <rPr>
            <vertAlign val="superscript"/>
            <sz val="8"/>
            <color indexed="81"/>
            <rFont val="Tahoma"/>
            <family val="2"/>
          </rPr>
          <t>OX</t>
        </r>
        <r>
          <rPr>
            <sz val="8"/>
            <color indexed="81"/>
            <rFont val="Tahoma"/>
          </rPr>
          <t>)/(CF</t>
        </r>
        <r>
          <rPr>
            <vertAlign val="subscript"/>
            <sz val="8"/>
            <color indexed="81"/>
            <rFont val="Tahoma"/>
            <family val="2"/>
          </rPr>
          <t>eff</t>
        </r>
        <r>
          <rPr>
            <sz val="8"/>
            <color indexed="81"/>
            <rFont val="Tahoma"/>
          </rPr>
          <t>/100)</t>
        </r>
      </text>
    </comment>
    <comment ref="N4" authorId="1" shapeId="0" xr:uid="{00000000-0006-0000-0500-000004000000}">
      <text>
        <r>
          <rPr>
            <sz val="8"/>
            <color indexed="81"/>
            <rFont val="Tahoma"/>
          </rPr>
          <t>Assuming rainfall conc (C</t>
        </r>
        <r>
          <rPr>
            <vertAlign val="subscript"/>
            <sz val="8"/>
            <color indexed="81"/>
            <rFont val="Tahoma"/>
            <family val="2"/>
          </rPr>
          <t>R</t>
        </r>
        <r>
          <rPr>
            <sz val="8"/>
            <color indexed="81"/>
            <rFont val="Tahoma"/>
          </rPr>
          <t>) is negligible, q*</t>
        </r>
        <r>
          <rPr>
            <vertAlign val="superscript"/>
            <sz val="8"/>
            <color indexed="81"/>
            <rFont val="Tahoma"/>
            <family val="2"/>
          </rPr>
          <t>unox</t>
        </r>
        <r>
          <rPr>
            <vertAlign val="subscript"/>
            <sz val="8"/>
            <color indexed="81"/>
            <rFont val="Tahoma"/>
            <family val="2"/>
          </rPr>
          <t>run</t>
        </r>
        <r>
          <rPr>
            <sz val="8"/>
            <color indexed="81"/>
            <rFont val="Tahoma"/>
          </rPr>
          <t xml:space="preserve"> = q*</t>
        </r>
        <r>
          <rPr>
            <vertAlign val="superscript"/>
            <sz val="8"/>
            <color indexed="81"/>
            <rFont val="Tahoma"/>
            <family val="2"/>
          </rPr>
          <t>unox</t>
        </r>
        <r>
          <rPr>
            <vertAlign val="subscript"/>
            <sz val="8"/>
            <color indexed="81"/>
            <rFont val="Tahoma"/>
            <family val="2"/>
          </rPr>
          <t xml:space="preserve">sed
</t>
        </r>
        <r>
          <rPr>
            <sz val="8"/>
            <color indexed="81"/>
            <rFont val="Tahoma"/>
            <family val="2"/>
          </rPr>
          <t>Otherwise, user can calculate as: 
=q*</t>
        </r>
        <r>
          <rPr>
            <vertAlign val="superscript"/>
            <sz val="8"/>
            <color indexed="81"/>
            <rFont val="Tahoma"/>
            <family val="2"/>
          </rPr>
          <t>unox</t>
        </r>
        <r>
          <rPr>
            <vertAlign val="subscript"/>
            <sz val="8"/>
            <color indexed="81"/>
            <rFont val="Tahoma"/>
            <family val="2"/>
          </rPr>
          <t xml:space="preserve">sed  </t>
        </r>
        <r>
          <rPr>
            <sz val="8"/>
            <color indexed="81"/>
            <rFont val="Tahoma"/>
            <family val="2"/>
          </rPr>
          <t>+ (TSS</t>
        </r>
        <r>
          <rPr>
            <vertAlign val="subscript"/>
            <sz val="8"/>
            <color indexed="81"/>
            <rFont val="Tahoma"/>
            <family val="2"/>
          </rPr>
          <t>CDF</t>
        </r>
        <r>
          <rPr>
            <vertAlign val="superscript"/>
            <sz val="8"/>
            <color indexed="81"/>
            <rFont val="Tahoma"/>
            <family val="2"/>
          </rPr>
          <t>unox</t>
        </r>
        <r>
          <rPr>
            <sz val="8"/>
            <color indexed="81"/>
            <rFont val="Tahoma"/>
            <family val="2"/>
          </rPr>
          <t xml:space="preserve"> - TSS</t>
        </r>
        <r>
          <rPr>
            <vertAlign val="subscript"/>
            <sz val="8"/>
            <color indexed="81"/>
            <rFont val="Tahoma"/>
            <family val="2"/>
          </rPr>
          <t>run</t>
        </r>
        <r>
          <rPr>
            <vertAlign val="superscript"/>
            <sz val="8"/>
            <color indexed="81"/>
            <rFont val="Tahoma"/>
            <family val="2"/>
          </rPr>
          <t>unox</t>
        </r>
        <r>
          <rPr>
            <sz val="8"/>
            <color indexed="81"/>
            <rFont val="Tahoma"/>
            <family val="2"/>
          </rPr>
          <t>)*C</t>
        </r>
        <r>
          <rPr>
            <vertAlign val="subscript"/>
            <sz val="8"/>
            <color indexed="81"/>
            <rFont val="Tahoma"/>
            <family val="2"/>
          </rPr>
          <t xml:space="preserve">R </t>
        </r>
        <r>
          <rPr>
            <sz val="8"/>
            <color indexed="81"/>
            <rFont val="Tahoma"/>
            <family val="2"/>
          </rPr>
          <t>/ (TSS</t>
        </r>
        <r>
          <rPr>
            <vertAlign val="subscript"/>
            <sz val="8"/>
            <color indexed="81"/>
            <rFont val="Tahoma"/>
            <family val="2"/>
          </rPr>
          <t>CDF</t>
        </r>
        <r>
          <rPr>
            <vertAlign val="superscript"/>
            <sz val="8"/>
            <color indexed="81"/>
            <rFont val="Tahoma"/>
            <family val="2"/>
          </rPr>
          <t xml:space="preserve">unox </t>
        </r>
        <r>
          <rPr>
            <sz val="8"/>
            <color indexed="81"/>
            <rFont val="Tahoma"/>
            <family val="2"/>
          </rPr>
          <t xml:space="preserve"> * TSS</t>
        </r>
        <r>
          <rPr>
            <vertAlign val="subscript"/>
            <sz val="8"/>
            <color indexed="81"/>
            <rFont val="Tahoma"/>
            <family val="2"/>
          </rPr>
          <t>run</t>
        </r>
        <r>
          <rPr>
            <vertAlign val="superscript"/>
            <sz val="8"/>
            <color indexed="81"/>
            <rFont val="Tahoma"/>
            <family val="2"/>
          </rPr>
          <t>unox</t>
        </r>
        <r>
          <rPr>
            <sz val="8"/>
            <color indexed="81"/>
            <rFont val="Tahoma"/>
            <family val="2"/>
          </rPr>
          <t>)</t>
        </r>
      </text>
    </comment>
    <comment ref="O4" authorId="1" shapeId="0" xr:uid="{00000000-0006-0000-0500-000005000000}">
      <text>
        <r>
          <rPr>
            <sz val="8"/>
            <color indexed="81"/>
            <rFont val="Tahoma"/>
          </rPr>
          <t>Assuming rainfall conc is negligible, q*</t>
        </r>
        <r>
          <rPr>
            <vertAlign val="superscript"/>
            <sz val="8"/>
            <color indexed="81"/>
            <rFont val="Tahoma"/>
            <family val="2"/>
          </rPr>
          <t>ox</t>
        </r>
        <r>
          <rPr>
            <vertAlign val="subscript"/>
            <sz val="8"/>
            <color indexed="81"/>
            <rFont val="Tahoma"/>
            <family val="2"/>
          </rPr>
          <t>run</t>
        </r>
        <r>
          <rPr>
            <sz val="8"/>
            <color indexed="81"/>
            <rFont val="Tahoma"/>
          </rPr>
          <t xml:space="preserve"> = q*</t>
        </r>
        <r>
          <rPr>
            <vertAlign val="superscript"/>
            <sz val="8"/>
            <color indexed="81"/>
            <rFont val="Tahoma"/>
            <family val="2"/>
          </rPr>
          <t>ox</t>
        </r>
        <r>
          <rPr>
            <vertAlign val="subscript"/>
            <sz val="8"/>
            <color indexed="81"/>
            <rFont val="Tahoma"/>
            <family val="2"/>
          </rPr>
          <t xml:space="preserve">sed
</t>
        </r>
        <r>
          <rPr>
            <sz val="8"/>
            <color indexed="81"/>
            <rFont val="Tahoma"/>
            <family val="2"/>
          </rPr>
          <t>Otherwise, user can calculate as: 
=q*</t>
        </r>
        <r>
          <rPr>
            <vertAlign val="superscript"/>
            <sz val="8"/>
            <color indexed="81"/>
            <rFont val="Tahoma"/>
            <family val="2"/>
          </rPr>
          <t>ox</t>
        </r>
        <r>
          <rPr>
            <vertAlign val="subscript"/>
            <sz val="8"/>
            <color indexed="81"/>
            <rFont val="Tahoma"/>
            <family val="2"/>
          </rPr>
          <t>sed</t>
        </r>
        <r>
          <rPr>
            <sz val="8"/>
            <color indexed="81"/>
            <rFont val="Tahoma"/>
            <family val="2"/>
          </rPr>
          <t xml:space="preserve">  + (TSS</t>
        </r>
        <r>
          <rPr>
            <vertAlign val="subscript"/>
            <sz val="8"/>
            <color indexed="81"/>
            <rFont val="Tahoma"/>
            <family val="2"/>
          </rPr>
          <t>CDF</t>
        </r>
        <r>
          <rPr>
            <vertAlign val="superscript"/>
            <sz val="8"/>
            <color indexed="81"/>
            <rFont val="Tahoma"/>
            <family val="2"/>
          </rPr>
          <t>ox</t>
        </r>
        <r>
          <rPr>
            <sz val="8"/>
            <color indexed="81"/>
            <rFont val="Tahoma"/>
            <family val="2"/>
          </rPr>
          <t xml:space="preserve"> - TSS</t>
        </r>
        <r>
          <rPr>
            <vertAlign val="subscript"/>
            <sz val="8"/>
            <color indexed="81"/>
            <rFont val="Tahoma"/>
            <family val="2"/>
          </rPr>
          <t>run</t>
        </r>
        <r>
          <rPr>
            <vertAlign val="superscript"/>
            <sz val="8"/>
            <color indexed="81"/>
            <rFont val="Tahoma"/>
            <family val="2"/>
          </rPr>
          <t>ox</t>
        </r>
        <r>
          <rPr>
            <sz val="8"/>
            <color indexed="81"/>
            <rFont val="Tahoma"/>
            <family val="2"/>
          </rPr>
          <t>)*C</t>
        </r>
        <r>
          <rPr>
            <vertAlign val="subscript"/>
            <sz val="8"/>
            <color indexed="81"/>
            <rFont val="Tahoma"/>
            <family val="2"/>
          </rPr>
          <t>R</t>
        </r>
        <r>
          <rPr>
            <sz val="8"/>
            <color indexed="81"/>
            <rFont val="Tahoma"/>
            <family val="2"/>
          </rPr>
          <t xml:space="preserve"> / (TSS</t>
        </r>
        <r>
          <rPr>
            <vertAlign val="subscript"/>
            <sz val="8"/>
            <color indexed="81"/>
            <rFont val="Tahoma"/>
            <family val="2"/>
          </rPr>
          <t>CDF</t>
        </r>
        <r>
          <rPr>
            <vertAlign val="superscript"/>
            <sz val="8"/>
            <color indexed="81"/>
            <rFont val="Tahoma"/>
            <family val="2"/>
          </rPr>
          <t xml:space="preserve">ox </t>
        </r>
        <r>
          <rPr>
            <sz val="8"/>
            <color indexed="81"/>
            <rFont val="Tahoma"/>
            <family val="2"/>
          </rPr>
          <t>* TSS</t>
        </r>
        <r>
          <rPr>
            <vertAlign val="subscript"/>
            <sz val="8"/>
            <color indexed="81"/>
            <rFont val="Tahoma"/>
            <family val="2"/>
          </rPr>
          <t>run</t>
        </r>
        <r>
          <rPr>
            <vertAlign val="superscript"/>
            <sz val="8"/>
            <color indexed="81"/>
            <rFont val="Tahoma"/>
            <family val="2"/>
          </rPr>
          <t>ox</t>
        </r>
        <r>
          <rPr>
            <sz val="8"/>
            <color indexed="81"/>
            <rFont val="Tahoma"/>
            <family val="2"/>
          </rPr>
          <t xml:space="preserve">) </t>
        </r>
      </text>
    </comment>
    <comment ref="P4" authorId="1" shapeId="0" xr:uid="{00000000-0006-0000-0500-000006000000}">
      <text>
        <r>
          <rPr>
            <sz val="10"/>
            <color indexed="81"/>
            <rFont val="Tahoma"/>
            <family val="2"/>
          </rPr>
          <t>q</t>
        </r>
        <r>
          <rPr>
            <vertAlign val="superscript"/>
            <sz val="10"/>
            <color indexed="81"/>
            <rFont val="Tahoma"/>
            <family val="2"/>
          </rPr>
          <t>* unox</t>
        </r>
        <r>
          <rPr>
            <vertAlign val="subscript"/>
            <sz val="10"/>
            <color indexed="81"/>
            <rFont val="Tahoma"/>
            <family val="2"/>
          </rPr>
          <t xml:space="preserve">run </t>
        </r>
        <r>
          <rPr>
            <sz val="10"/>
            <color indexed="81"/>
            <rFont val="Tahoma"/>
            <family val="2"/>
          </rPr>
          <t>/ [(n</t>
        </r>
        <r>
          <rPr>
            <vertAlign val="subscript"/>
            <sz val="10"/>
            <color indexed="81"/>
            <rFont val="Tahoma"/>
            <family val="2"/>
          </rPr>
          <t>run</t>
        </r>
        <r>
          <rPr>
            <vertAlign val="superscript"/>
            <sz val="10"/>
            <color indexed="81"/>
            <rFont val="Tahoma"/>
            <family val="2"/>
          </rPr>
          <t>unox</t>
        </r>
        <r>
          <rPr>
            <sz val="10"/>
            <color indexed="81"/>
            <rFont val="Tahoma"/>
            <family val="2"/>
          </rPr>
          <t>+(1-n</t>
        </r>
        <r>
          <rPr>
            <vertAlign val="subscript"/>
            <sz val="10"/>
            <color indexed="81"/>
            <rFont val="Tahoma"/>
            <family val="2"/>
          </rPr>
          <t>run</t>
        </r>
        <r>
          <rPr>
            <vertAlign val="superscript"/>
            <sz val="10"/>
            <color indexed="81"/>
            <rFont val="Tahoma"/>
            <family val="2"/>
          </rPr>
          <t>unox</t>
        </r>
        <r>
          <rPr>
            <sz val="10"/>
            <color indexed="81"/>
            <rFont val="Tahoma"/>
            <family val="2"/>
          </rPr>
          <t>)*SG*</t>
        </r>
        <r>
          <rPr>
            <sz val="10"/>
            <color indexed="81"/>
            <rFont val="Symbol"/>
            <family val="1"/>
            <charset val="2"/>
          </rPr>
          <t>r</t>
        </r>
        <r>
          <rPr>
            <vertAlign val="subscript"/>
            <sz val="10"/>
            <color indexed="81"/>
            <rFont val="Tahoma"/>
            <family val="2"/>
          </rPr>
          <t>w</t>
        </r>
        <r>
          <rPr>
            <sz val="10"/>
            <color indexed="81"/>
            <rFont val="Tahoma"/>
            <family val="2"/>
          </rPr>
          <t>*K</t>
        </r>
        <r>
          <rPr>
            <vertAlign val="superscript"/>
            <sz val="10"/>
            <color indexed="81"/>
            <rFont val="Tahoma"/>
            <family val="2"/>
          </rPr>
          <t>unox</t>
        </r>
        <r>
          <rPr>
            <vertAlign val="subscript"/>
            <sz val="10"/>
            <color indexed="81"/>
            <rFont val="Tahoma"/>
            <family val="2"/>
          </rPr>
          <t>d</t>
        </r>
        <r>
          <rPr>
            <sz val="10"/>
            <color indexed="81"/>
            <rFont val="Tahoma"/>
            <family val="2"/>
          </rPr>
          <t>) / ((1-n</t>
        </r>
        <r>
          <rPr>
            <vertAlign val="subscript"/>
            <sz val="10"/>
            <color indexed="81"/>
            <rFont val="Tahoma"/>
            <family val="2"/>
          </rPr>
          <t>run</t>
        </r>
        <r>
          <rPr>
            <vertAlign val="superscript"/>
            <sz val="10"/>
            <color indexed="81"/>
            <rFont val="Tahoma"/>
            <family val="2"/>
          </rPr>
          <t>unox</t>
        </r>
        <r>
          <rPr>
            <sz val="10"/>
            <color indexed="81"/>
            <rFont val="Tahoma"/>
            <family val="2"/>
          </rPr>
          <t>)*SG*</t>
        </r>
        <r>
          <rPr>
            <sz val="10"/>
            <color indexed="81"/>
            <rFont val="Symbol"/>
            <family val="1"/>
            <charset val="2"/>
          </rPr>
          <t>r</t>
        </r>
        <r>
          <rPr>
            <vertAlign val="subscript"/>
            <sz val="10"/>
            <color indexed="81"/>
            <rFont val="Tahoma"/>
            <family val="2"/>
          </rPr>
          <t>w</t>
        </r>
        <r>
          <rPr>
            <sz val="10"/>
            <color indexed="81"/>
            <rFont val="Tahoma"/>
            <family val="2"/>
          </rPr>
          <t>*1000)]</t>
        </r>
      </text>
    </comment>
    <comment ref="Q4" authorId="1" shapeId="0" xr:uid="{00000000-0006-0000-0500-000007000000}">
      <text>
        <r>
          <rPr>
            <sz val="9"/>
            <color indexed="81"/>
            <rFont val="Tahoma"/>
            <family val="2"/>
          </rPr>
          <t>(C</t>
        </r>
        <r>
          <rPr>
            <vertAlign val="subscript"/>
            <sz val="9"/>
            <color indexed="81"/>
            <rFont val="Tahoma"/>
            <family val="2"/>
          </rPr>
          <t>run</t>
        </r>
        <r>
          <rPr>
            <vertAlign val="superscript"/>
            <sz val="9"/>
            <color indexed="81"/>
            <rFont val="Tahoma"/>
            <family val="2"/>
          </rPr>
          <t xml:space="preserve">unox </t>
        </r>
        <r>
          <rPr>
            <sz val="9"/>
            <color indexed="81"/>
            <rFont val="Tahoma"/>
            <family val="2"/>
          </rPr>
          <t>+ D*C</t>
        </r>
        <r>
          <rPr>
            <vertAlign val="subscript"/>
            <sz val="9"/>
            <color indexed="81"/>
            <rFont val="Tahoma"/>
            <family val="2"/>
          </rPr>
          <t>B</t>
        </r>
        <r>
          <rPr>
            <sz val="9"/>
            <color indexed="81"/>
            <rFont val="Tahoma"/>
            <family val="2"/>
          </rPr>
          <t>) / (D+1)</t>
        </r>
        <r>
          <rPr>
            <sz val="8"/>
            <color indexed="81"/>
            <rFont val="Tahoma"/>
          </rPr>
          <t xml:space="preserve">
</t>
        </r>
      </text>
    </comment>
    <comment ref="R4" authorId="1" shapeId="0" xr:uid="{00000000-0006-0000-0500-000008000000}">
      <text>
        <r>
          <rPr>
            <sz val="9"/>
            <color indexed="81"/>
            <rFont val="Tahoma"/>
            <family val="2"/>
          </rPr>
          <t>q</t>
        </r>
        <r>
          <rPr>
            <vertAlign val="superscript"/>
            <sz val="9"/>
            <color indexed="81"/>
            <rFont val="Tahoma"/>
            <family val="2"/>
          </rPr>
          <t>*ox</t>
        </r>
        <r>
          <rPr>
            <vertAlign val="subscript"/>
            <sz val="9"/>
            <color indexed="81"/>
            <rFont val="Tahoma"/>
            <family val="2"/>
          </rPr>
          <t xml:space="preserve">run </t>
        </r>
        <r>
          <rPr>
            <sz val="9"/>
            <color indexed="81"/>
            <rFont val="Tahoma"/>
            <family val="2"/>
          </rPr>
          <t>/ [(n</t>
        </r>
        <r>
          <rPr>
            <vertAlign val="subscript"/>
            <sz val="9"/>
            <color indexed="81"/>
            <rFont val="Tahoma"/>
            <family val="2"/>
          </rPr>
          <t>run</t>
        </r>
        <r>
          <rPr>
            <vertAlign val="superscript"/>
            <sz val="9"/>
            <color indexed="81"/>
            <rFont val="Tahoma"/>
            <family val="2"/>
          </rPr>
          <t>ox</t>
        </r>
        <r>
          <rPr>
            <sz val="9"/>
            <color indexed="81"/>
            <rFont val="Tahoma"/>
            <family val="2"/>
          </rPr>
          <t>+((1-n</t>
        </r>
        <r>
          <rPr>
            <vertAlign val="subscript"/>
            <sz val="9"/>
            <color indexed="81"/>
            <rFont val="Tahoma"/>
            <family val="2"/>
          </rPr>
          <t>run</t>
        </r>
        <r>
          <rPr>
            <vertAlign val="superscript"/>
            <sz val="9"/>
            <color indexed="81"/>
            <rFont val="Tahoma"/>
            <family val="2"/>
          </rPr>
          <t>ox</t>
        </r>
        <r>
          <rPr>
            <sz val="9"/>
            <color indexed="81"/>
            <rFont val="Tahoma"/>
            <family val="2"/>
          </rPr>
          <t>)*SG*</t>
        </r>
        <r>
          <rPr>
            <sz val="9"/>
            <color indexed="81"/>
            <rFont val="Symbol"/>
            <family val="1"/>
            <charset val="2"/>
          </rPr>
          <t>r</t>
        </r>
        <r>
          <rPr>
            <vertAlign val="subscript"/>
            <sz val="9"/>
            <color indexed="81"/>
            <rFont val="Tahoma"/>
            <family val="2"/>
          </rPr>
          <t>w</t>
        </r>
        <r>
          <rPr>
            <sz val="9"/>
            <color indexed="81"/>
            <rFont val="Tahoma"/>
            <family val="2"/>
          </rPr>
          <t>*K</t>
        </r>
        <r>
          <rPr>
            <vertAlign val="superscript"/>
            <sz val="9"/>
            <color indexed="81"/>
            <rFont val="Tahoma"/>
            <family val="2"/>
          </rPr>
          <t>ox</t>
        </r>
        <r>
          <rPr>
            <vertAlign val="subscript"/>
            <sz val="9"/>
            <color indexed="81"/>
            <rFont val="Tahoma"/>
            <family val="2"/>
          </rPr>
          <t>d</t>
        </r>
        <r>
          <rPr>
            <sz val="9"/>
            <color indexed="81"/>
            <rFont val="Tahoma"/>
            <family val="2"/>
          </rPr>
          <t>)) / ((1-n</t>
        </r>
        <r>
          <rPr>
            <vertAlign val="subscript"/>
            <sz val="9"/>
            <color indexed="81"/>
            <rFont val="Tahoma"/>
            <family val="2"/>
          </rPr>
          <t>run</t>
        </r>
        <r>
          <rPr>
            <vertAlign val="superscript"/>
            <sz val="9"/>
            <color indexed="81"/>
            <rFont val="Tahoma"/>
            <family val="2"/>
          </rPr>
          <t>ox</t>
        </r>
        <r>
          <rPr>
            <sz val="9"/>
            <color indexed="81"/>
            <rFont val="Tahoma"/>
            <family val="2"/>
          </rPr>
          <t>)*SG*</t>
        </r>
        <r>
          <rPr>
            <sz val="9"/>
            <color indexed="81"/>
            <rFont val="Symbol"/>
            <family val="1"/>
            <charset val="2"/>
          </rPr>
          <t>r</t>
        </r>
        <r>
          <rPr>
            <vertAlign val="subscript"/>
            <sz val="9"/>
            <color indexed="81"/>
            <rFont val="Tahoma"/>
            <family val="2"/>
          </rPr>
          <t>w</t>
        </r>
        <r>
          <rPr>
            <sz val="9"/>
            <color indexed="81"/>
            <rFont val="Tahoma"/>
            <family val="2"/>
          </rPr>
          <t>*1000)]</t>
        </r>
        <r>
          <rPr>
            <sz val="9"/>
            <color indexed="81"/>
            <rFont val="Tahoma"/>
          </rPr>
          <t xml:space="preserve">
 </t>
        </r>
      </text>
    </comment>
    <comment ref="S4" authorId="1" shapeId="0" xr:uid="{00000000-0006-0000-0500-000009000000}">
      <text>
        <r>
          <rPr>
            <sz val="9"/>
            <color indexed="81"/>
            <rFont val="Tahoma"/>
            <family val="2"/>
          </rPr>
          <t>(C</t>
        </r>
        <r>
          <rPr>
            <vertAlign val="subscript"/>
            <sz val="9"/>
            <color indexed="81"/>
            <rFont val="Tahoma"/>
            <family val="2"/>
          </rPr>
          <t>run</t>
        </r>
        <r>
          <rPr>
            <vertAlign val="superscript"/>
            <sz val="9"/>
            <color indexed="81"/>
            <rFont val="Tahoma"/>
            <family val="2"/>
          </rPr>
          <t xml:space="preserve">ox </t>
        </r>
        <r>
          <rPr>
            <sz val="9"/>
            <color indexed="81"/>
            <rFont val="Tahoma"/>
            <family val="2"/>
          </rPr>
          <t>+ D*C</t>
        </r>
        <r>
          <rPr>
            <vertAlign val="subscript"/>
            <sz val="9"/>
            <color indexed="81"/>
            <rFont val="Tahoma"/>
            <family val="2"/>
          </rPr>
          <t>B</t>
        </r>
        <r>
          <rPr>
            <sz val="9"/>
            <color indexed="81"/>
            <rFont val="Tahoma"/>
            <family val="2"/>
          </rPr>
          <t>) / (D+1)</t>
        </r>
        <r>
          <rPr>
            <sz val="8"/>
            <color indexed="81"/>
            <rFont val="Tahoma"/>
          </rPr>
          <t xml:space="preserve">
</t>
        </r>
      </text>
    </comment>
    <comment ref="T4" authorId="0" shapeId="0" xr:uid="{00000000-0006-0000-0500-00000A000000}">
      <text>
        <r>
          <rPr>
            <sz val="9"/>
            <color indexed="81"/>
            <rFont val="Tahoma"/>
            <family val="2"/>
          </rPr>
          <t>C</t>
        </r>
        <r>
          <rPr>
            <vertAlign val="subscript"/>
            <sz val="9"/>
            <color indexed="81"/>
            <rFont val="Tahoma"/>
            <family val="2"/>
          </rPr>
          <t>P</t>
        </r>
        <r>
          <rPr>
            <vertAlign val="superscript"/>
            <sz val="9"/>
            <color indexed="81"/>
            <rFont val="Tahoma"/>
            <family val="2"/>
          </rPr>
          <t>unox</t>
        </r>
        <r>
          <rPr>
            <sz val="9"/>
            <color indexed="81"/>
            <rFont val="Tahoma"/>
            <family val="2"/>
          </rPr>
          <t xml:space="preserve"> / C</t>
        </r>
        <r>
          <rPr>
            <vertAlign val="subscript"/>
            <sz val="9"/>
            <color indexed="81"/>
            <rFont val="Tahoma"/>
            <family val="2"/>
          </rPr>
          <t>wq</t>
        </r>
        <r>
          <rPr>
            <sz val="8"/>
            <color indexed="81"/>
            <rFont val="Tahoma"/>
          </rPr>
          <t xml:space="preserve">
</t>
        </r>
      </text>
    </comment>
    <comment ref="U4" authorId="0" shapeId="0" xr:uid="{00000000-0006-0000-0500-00000B000000}">
      <text>
        <r>
          <rPr>
            <sz val="9"/>
            <color indexed="81"/>
            <rFont val="Tahoma"/>
            <family val="2"/>
          </rPr>
          <t>C</t>
        </r>
        <r>
          <rPr>
            <vertAlign val="subscript"/>
            <sz val="9"/>
            <color indexed="81"/>
            <rFont val="Tahoma"/>
            <family val="2"/>
          </rPr>
          <t>P</t>
        </r>
        <r>
          <rPr>
            <vertAlign val="superscript"/>
            <sz val="9"/>
            <color indexed="81"/>
            <rFont val="Tahoma"/>
            <family val="2"/>
          </rPr>
          <t>ox</t>
        </r>
        <r>
          <rPr>
            <sz val="9"/>
            <color indexed="81"/>
            <rFont val="Tahoma"/>
            <family val="2"/>
          </rPr>
          <t xml:space="preserve"> / C</t>
        </r>
        <r>
          <rPr>
            <vertAlign val="subscript"/>
            <sz val="9"/>
            <color indexed="81"/>
            <rFont val="Tahoma"/>
            <family val="2"/>
          </rPr>
          <t>wq</t>
        </r>
      </text>
    </comment>
    <comment ref="B5" authorId="2" shapeId="0" xr:uid="{00000000-0006-0000-0500-00000C000000}">
      <text>
        <r>
          <rPr>
            <b/>
            <sz val="8"/>
            <color indexed="81"/>
            <rFont val="Tahoma"/>
            <family val="2"/>
          </rPr>
          <t>S</t>
        </r>
        <r>
          <rPr>
            <sz val="8"/>
            <color indexed="81"/>
            <rFont val="Tahoma"/>
            <family val="2"/>
          </rPr>
          <t xml:space="preserve">implified </t>
        </r>
        <r>
          <rPr>
            <b/>
            <sz val="8"/>
            <color indexed="81"/>
            <rFont val="Tahoma"/>
            <family val="2"/>
          </rPr>
          <t>L</t>
        </r>
        <r>
          <rPr>
            <sz val="8"/>
            <color indexed="81"/>
            <rFont val="Tahoma"/>
            <family val="2"/>
          </rPr>
          <t xml:space="preserve">aboratory Surface </t>
        </r>
        <r>
          <rPr>
            <b/>
            <sz val="8"/>
            <color indexed="81"/>
            <rFont val="Tahoma"/>
            <family val="2"/>
          </rPr>
          <t>R</t>
        </r>
        <r>
          <rPr>
            <sz val="8"/>
            <color indexed="81"/>
            <rFont val="Tahoma"/>
            <family val="2"/>
          </rPr>
          <t xml:space="preserve">unoff </t>
        </r>
        <r>
          <rPr>
            <b/>
            <sz val="8"/>
            <color indexed="81"/>
            <rFont val="Tahoma"/>
            <family val="2"/>
          </rPr>
          <t>P</t>
        </r>
        <r>
          <rPr>
            <sz val="8"/>
            <color indexed="81"/>
            <rFont val="Tahoma"/>
            <family val="2"/>
          </rPr>
          <t>rocedure Test</t>
        </r>
      </text>
    </comment>
    <comment ref="C5" authorId="2" shapeId="0" xr:uid="{00000000-0006-0000-0500-00000D000000}">
      <text>
        <r>
          <rPr>
            <b/>
            <sz val="8"/>
            <color indexed="81"/>
            <rFont val="Tahoma"/>
            <family val="2"/>
          </rPr>
          <t>S</t>
        </r>
        <r>
          <rPr>
            <sz val="8"/>
            <color indexed="81"/>
            <rFont val="Tahoma"/>
            <family val="2"/>
          </rPr>
          <t xml:space="preserve">implified </t>
        </r>
        <r>
          <rPr>
            <b/>
            <sz val="8"/>
            <color indexed="81"/>
            <rFont val="Tahoma"/>
            <family val="2"/>
          </rPr>
          <t>L</t>
        </r>
        <r>
          <rPr>
            <sz val="8"/>
            <color indexed="81"/>
            <rFont val="Tahoma"/>
            <family val="2"/>
          </rPr>
          <t xml:space="preserve">aboratory Surface </t>
        </r>
        <r>
          <rPr>
            <b/>
            <sz val="8"/>
            <color indexed="81"/>
            <rFont val="Tahoma"/>
            <family val="2"/>
          </rPr>
          <t>R</t>
        </r>
        <r>
          <rPr>
            <sz val="8"/>
            <color indexed="81"/>
            <rFont val="Tahoma"/>
            <family val="2"/>
          </rPr>
          <t xml:space="preserve">unoff </t>
        </r>
        <r>
          <rPr>
            <b/>
            <sz val="8"/>
            <color indexed="81"/>
            <rFont val="Tahoma"/>
            <family val="2"/>
          </rPr>
          <t>P</t>
        </r>
        <r>
          <rPr>
            <sz val="8"/>
            <color indexed="81"/>
            <rFont val="Tahoma"/>
            <family val="2"/>
          </rPr>
          <t>rocedure Test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Susan Bailey</author>
    <author>Paul Schroeder</author>
  </authors>
  <commentList>
    <comment ref="J3" authorId="0" shapeId="0" xr:uid="{00000000-0006-0000-0600-000001000000}">
      <text>
        <r>
          <rPr>
            <sz val="8"/>
            <color indexed="81"/>
            <rFont val="Tahoma"/>
          </rPr>
          <t>These concentrations are determined based on the calculated ADF, VDF and DAF (from user input in "Data").</t>
        </r>
      </text>
    </comment>
    <comment ref="N3" authorId="0" shapeId="0" xr:uid="{00000000-0006-0000-0600-000002000000}">
      <text>
        <r>
          <rPr>
            <b/>
            <sz val="8"/>
            <color indexed="81"/>
            <rFont val="Tahoma"/>
            <family val="2"/>
          </rPr>
          <t>C</t>
        </r>
        <r>
          <rPr>
            <b/>
            <vertAlign val="subscript"/>
            <sz val="8"/>
            <color indexed="81"/>
            <rFont val="Tahoma"/>
            <family val="2"/>
          </rPr>
          <t>R</t>
        </r>
        <r>
          <rPr>
            <b/>
            <sz val="8"/>
            <color indexed="81"/>
            <rFont val="Tahoma"/>
            <family val="2"/>
          </rPr>
          <t xml:space="preserve"> = C</t>
        </r>
        <r>
          <rPr>
            <b/>
            <vertAlign val="subscript"/>
            <sz val="8"/>
            <color indexed="81"/>
            <rFont val="Tahoma"/>
            <family val="2"/>
          </rPr>
          <t>sed</t>
        </r>
        <r>
          <rPr>
            <b/>
            <sz val="8"/>
            <color indexed="81"/>
            <rFont val="Tahoma"/>
            <family val="2"/>
          </rPr>
          <t xml:space="preserve"> / DAF
</t>
        </r>
        <r>
          <rPr>
            <sz val="8"/>
            <color indexed="81"/>
            <rFont val="Tahoma"/>
            <family val="2"/>
          </rPr>
          <t>This is the concentration at the receptor as calculated based on either the user input DAF (if entered in "ChemData") or the DAF calculated for the time period of interest (based on user input into "Data").</t>
        </r>
      </text>
    </comment>
    <comment ref="G4" authorId="0" shapeId="0" xr:uid="{00000000-0006-0000-0600-000003000000}">
      <text>
        <r>
          <rPr>
            <sz val="8"/>
            <color indexed="81"/>
            <rFont val="Tahoma"/>
            <family val="2"/>
          </rPr>
          <t>This is the dilution attenuation factor assigned by the user (if specified on the "ChemData" sheet), or otherwise calculated from user input into the "Data" sheet.</t>
        </r>
        <r>
          <rPr>
            <sz val="8"/>
            <color indexed="81"/>
            <rFont val="Tahoma"/>
          </rPr>
          <t xml:space="preserve">
</t>
        </r>
      </text>
    </comment>
    <comment ref="H4" authorId="1" shapeId="0" xr:uid="{00000000-0006-0000-0600-000004000000}">
      <text>
        <r>
          <rPr>
            <sz val="8"/>
            <color indexed="81"/>
            <rFont val="Tahoma"/>
          </rPr>
          <t xml:space="preserve">Metals: (q*LF)/(SCF/100); Organics: (q*LF)
 </t>
        </r>
      </text>
    </comment>
    <comment ref="I4" authorId="1" shapeId="0" xr:uid="{00000000-0006-0000-0600-000005000000}">
      <text>
        <r>
          <rPr>
            <sz val="9"/>
            <color indexed="81"/>
            <rFont val="Tahoma"/>
          </rPr>
          <t>q</t>
        </r>
        <r>
          <rPr>
            <vertAlign val="superscript"/>
            <sz val="9"/>
            <color indexed="81"/>
            <rFont val="Tahoma"/>
            <family val="2"/>
          </rPr>
          <t>*</t>
        </r>
        <r>
          <rPr>
            <vertAlign val="subscript"/>
            <sz val="9"/>
            <color indexed="81"/>
            <rFont val="Tahoma"/>
            <family val="2"/>
          </rPr>
          <t>sed</t>
        </r>
        <r>
          <rPr>
            <sz val="9"/>
            <color indexed="81"/>
            <rFont val="Tahoma"/>
          </rPr>
          <t>/((n</t>
        </r>
        <r>
          <rPr>
            <vertAlign val="subscript"/>
            <sz val="9"/>
            <color indexed="81"/>
            <rFont val="Tahoma"/>
            <family val="2"/>
          </rPr>
          <t>sed</t>
        </r>
        <r>
          <rPr>
            <sz val="9"/>
            <color indexed="81"/>
            <rFont val="Tahoma"/>
          </rPr>
          <t>+((1-n</t>
        </r>
        <r>
          <rPr>
            <vertAlign val="subscript"/>
            <sz val="9"/>
            <color indexed="81"/>
            <rFont val="Tahoma"/>
            <family val="2"/>
          </rPr>
          <t>sed</t>
        </r>
        <r>
          <rPr>
            <sz val="9"/>
            <color indexed="81"/>
            <rFont val="Tahoma"/>
          </rPr>
          <t>)*SG*</t>
        </r>
        <r>
          <rPr>
            <sz val="9"/>
            <color indexed="81"/>
            <rFont val="Symbol"/>
            <family val="1"/>
            <charset val="2"/>
          </rPr>
          <t>r</t>
        </r>
        <r>
          <rPr>
            <vertAlign val="subscript"/>
            <sz val="9"/>
            <color indexed="81"/>
            <rFont val="Tahoma"/>
            <family val="2"/>
          </rPr>
          <t>w</t>
        </r>
        <r>
          <rPr>
            <sz val="9"/>
            <color indexed="81"/>
            <rFont val="Tahoma"/>
          </rPr>
          <t>*K</t>
        </r>
        <r>
          <rPr>
            <vertAlign val="subscript"/>
            <sz val="9"/>
            <color indexed="81"/>
            <rFont val="Tahoma"/>
            <family val="2"/>
          </rPr>
          <t>d</t>
        </r>
        <r>
          <rPr>
            <sz val="9"/>
            <color indexed="81"/>
            <rFont val="Tahoma"/>
          </rPr>
          <t>))/((1-n</t>
        </r>
        <r>
          <rPr>
            <vertAlign val="subscript"/>
            <sz val="9"/>
            <color indexed="81"/>
            <rFont val="Tahoma"/>
            <family val="2"/>
          </rPr>
          <t>sed</t>
        </r>
        <r>
          <rPr>
            <sz val="9"/>
            <color indexed="81"/>
            <rFont val="Tahoma"/>
          </rPr>
          <t>)*SG*</t>
        </r>
        <r>
          <rPr>
            <sz val="9"/>
            <color indexed="81"/>
            <rFont val="Symbol"/>
            <family val="1"/>
            <charset val="2"/>
          </rPr>
          <t>r</t>
        </r>
        <r>
          <rPr>
            <vertAlign val="subscript"/>
            <sz val="9"/>
            <color indexed="81"/>
            <rFont val="Tahoma"/>
            <family val="2"/>
          </rPr>
          <t>w</t>
        </r>
        <r>
          <rPr>
            <sz val="9"/>
            <color indexed="81"/>
            <rFont val="Tahoma"/>
          </rPr>
          <t>*1000))</t>
        </r>
        <r>
          <rPr>
            <sz val="8"/>
            <color indexed="81"/>
            <rFont val="Tahoma"/>
          </rPr>
          <t xml:space="preserve">
</t>
        </r>
      </text>
    </comment>
    <comment ref="J4" authorId="0" shapeId="0" xr:uid="{00000000-0006-0000-0600-000006000000}">
      <text>
        <r>
          <rPr>
            <sz val="8"/>
            <color indexed="81"/>
            <rFont val="Tahoma"/>
          </rPr>
          <t>= C</t>
        </r>
        <r>
          <rPr>
            <vertAlign val="subscript"/>
            <sz val="8"/>
            <color indexed="81"/>
            <rFont val="Tahoma"/>
            <family val="2"/>
          </rPr>
          <t>sed</t>
        </r>
        <r>
          <rPr>
            <sz val="8"/>
            <color indexed="81"/>
            <rFont val="Tahoma"/>
          </rPr>
          <t xml:space="preserve"> / VDF</t>
        </r>
      </text>
    </comment>
    <comment ref="K4" authorId="0" shapeId="0" xr:uid="{00000000-0006-0000-0600-000007000000}">
      <text>
        <r>
          <rPr>
            <sz val="8"/>
            <color indexed="81"/>
            <rFont val="Tahoma"/>
            <family val="2"/>
          </rPr>
          <t>IF t</t>
        </r>
        <r>
          <rPr>
            <vertAlign val="subscript"/>
            <sz val="8"/>
            <color indexed="81"/>
            <rFont val="Tahoma"/>
            <family val="2"/>
          </rPr>
          <t>i</t>
        </r>
        <r>
          <rPr>
            <sz val="8"/>
            <color indexed="81"/>
            <rFont val="Tahoma"/>
            <family val="2"/>
          </rPr>
          <t>&lt;t</t>
        </r>
        <r>
          <rPr>
            <vertAlign val="subscript"/>
            <sz val="8"/>
            <color indexed="81"/>
            <rFont val="Tahoma"/>
            <family val="2"/>
          </rPr>
          <t>P</t>
        </r>
        <r>
          <rPr>
            <sz val="8"/>
            <color indexed="81"/>
            <rFont val="Tahoma"/>
            <family val="2"/>
          </rPr>
          <t>, THEN C</t>
        </r>
        <r>
          <rPr>
            <vertAlign val="subscript"/>
            <sz val="8"/>
            <color indexed="81"/>
            <rFont val="Tahoma"/>
            <family val="2"/>
          </rPr>
          <t xml:space="preserve">V, i  </t>
        </r>
        <r>
          <rPr>
            <sz val="8"/>
            <color indexed="81"/>
            <rFont val="Tahoma"/>
            <family val="2"/>
          </rPr>
          <t>= C</t>
        </r>
        <r>
          <rPr>
            <vertAlign val="subscript"/>
            <sz val="8"/>
            <color indexed="81"/>
            <rFont val="Tahoma"/>
            <family val="2"/>
          </rPr>
          <t>V,P</t>
        </r>
        <r>
          <rPr>
            <sz val="8"/>
            <color indexed="81"/>
            <rFont val="Tahoma"/>
            <family val="2"/>
          </rPr>
          <t>*(t</t>
        </r>
        <r>
          <rPr>
            <vertAlign val="subscript"/>
            <sz val="8"/>
            <color indexed="81"/>
            <rFont val="Tahoma"/>
            <family val="2"/>
          </rPr>
          <t>i</t>
        </r>
        <r>
          <rPr>
            <sz val="8"/>
            <color indexed="81"/>
            <rFont val="Tahoma"/>
            <family val="2"/>
          </rPr>
          <t>/t</t>
        </r>
        <r>
          <rPr>
            <vertAlign val="subscript"/>
            <sz val="8"/>
            <color indexed="81"/>
            <rFont val="Tahoma"/>
            <family val="2"/>
          </rPr>
          <t>P</t>
        </r>
        <r>
          <rPr>
            <sz val="8"/>
            <color indexed="81"/>
            <rFont val="Tahoma"/>
            <family val="2"/>
          </rPr>
          <t>)
ELSE, C</t>
        </r>
        <r>
          <rPr>
            <vertAlign val="subscript"/>
            <sz val="8"/>
            <color indexed="81"/>
            <rFont val="Tahoma"/>
            <family val="2"/>
          </rPr>
          <t>V, i</t>
        </r>
        <r>
          <rPr>
            <sz val="8"/>
            <color indexed="81"/>
            <rFont val="Tahoma"/>
            <family val="2"/>
          </rPr>
          <t xml:space="preserve"> = C</t>
        </r>
        <r>
          <rPr>
            <vertAlign val="subscript"/>
            <sz val="8"/>
            <color indexed="81"/>
            <rFont val="Tahoma"/>
            <family val="2"/>
          </rPr>
          <t>V,P</t>
        </r>
      </text>
    </comment>
    <comment ref="L4" authorId="0" shapeId="0" xr:uid="{00000000-0006-0000-0600-000008000000}">
      <text>
        <r>
          <rPr>
            <sz val="8"/>
            <color indexed="81"/>
            <rFont val="Tahoma"/>
            <family val="2"/>
          </rPr>
          <t>C</t>
        </r>
        <r>
          <rPr>
            <vertAlign val="subscript"/>
            <sz val="8"/>
            <color indexed="81"/>
            <rFont val="Tahoma"/>
            <family val="2"/>
          </rPr>
          <t>R,i</t>
        </r>
        <r>
          <rPr>
            <sz val="8"/>
            <color indexed="81"/>
            <rFont val="Tahoma"/>
            <family val="2"/>
          </rPr>
          <t xml:space="preserve"> = C</t>
        </r>
        <r>
          <rPr>
            <vertAlign val="subscript"/>
            <sz val="8"/>
            <color indexed="81"/>
            <rFont val="Tahoma"/>
            <family val="2"/>
          </rPr>
          <t>sed</t>
        </r>
        <r>
          <rPr>
            <sz val="8"/>
            <color indexed="81"/>
            <rFont val="Tahoma"/>
            <family val="2"/>
          </rPr>
          <t xml:space="preserve"> / DAF</t>
        </r>
        <r>
          <rPr>
            <vertAlign val="subscript"/>
            <sz val="8"/>
            <color indexed="81"/>
            <rFont val="Tahoma"/>
            <family val="2"/>
          </rPr>
          <t>i</t>
        </r>
      </text>
    </comment>
    <comment ref="M4" authorId="0" shapeId="0" xr:uid="{00000000-0006-0000-0600-000009000000}">
      <text>
        <r>
          <rPr>
            <sz val="8"/>
            <color indexed="81"/>
            <rFont val="Tahoma"/>
            <family val="2"/>
          </rPr>
          <t>C</t>
        </r>
        <r>
          <rPr>
            <vertAlign val="subscript"/>
            <sz val="8"/>
            <color indexed="81"/>
            <rFont val="Tahoma"/>
            <family val="2"/>
          </rPr>
          <t>R,P</t>
        </r>
        <r>
          <rPr>
            <sz val="8"/>
            <color indexed="81"/>
            <rFont val="Tahoma"/>
            <family val="2"/>
          </rPr>
          <t xml:space="preserve"> = C</t>
        </r>
        <r>
          <rPr>
            <vertAlign val="subscript"/>
            <sz val="8"/>
            <color indexed="81"/>
            <rFont val="Tahoma"/>
            <family val="2"/>
          </rPr>
          <t>sed</t>
        </r>
        <r>
          <rPr>
            <sz val="8"/>
            <color indexed="81"/>
            <rFont val="Tahoma"/>
            <family val="2"/>
          </rPr>
          <t xml:space="preserve"> / DAF</t>
        </r>
        <r>
          <rPr>
            <vertAlign val="subscript"/>
            <sz val="8"/>
            <color indexed="81"/>
            <rFont val="Tahoma"/>
            <family val="2"/>
          </rPr>
          <t>P</t>
        </r>
      </text>
    </comment>
    <comment ref="O4" authorId="0" shapeId="0" xr:uid="{00000000-0006-0000-0600-00000A000000}">
      <text>
        <r>
          <rPr>
            <sz val="8"/>
            <color indexed="81"/>
            <rFont val="Tahoma"/>
          </rPr>
          <t>= C</t>
        </r>
        <r>
          <rPr>
            <vertAlign val="subscript"/>
            <sz val="8"/>
            <color indexed="81"/>
            <rFont val="Tahoma"/>
            <family val="2"/>
          </rPr>
          <t>R</t>
        </r>
        <r>
          <rPr>
            <sz val="8"/>
            <color indexed="81"/>
            <rFont val="Tahoma"/>
          </rPr>
          <t xml:space="preserve"> / C</t>
        </r>
        <r>
          <rPr>
            <vertAlign val="subscript"/>
            <sz val="8"/>
            <color indexed="81"/>
            <rFont val="Tahoma"/>
            <family val="2"/>
          </rPr>
          <t>wq</t>
        </r>
      </text>
    </comment>
    <comment ref="B6" authorId="0" shapeId="0" xr:uid="{00000000-0006-0000-0600-00000B000000}">
      <text>
        <r>
          <rPr>
            <b/>
            <sz val="8"/>
            <color indexed="81"/>
            <rFont val="Tahoma"/>
          </rPr>
          <t xml:space="preserve">1) "Missing Data" </t>
        </r>
        <r>
          <rPr>
            <sz val="8"/>
            <color indexed="81"/>
            <rFont val="Tahoma"/>
            <family val="2"/>
          </rPr>
          <t>indicates that q exceeds 0, but that required default values were unavailable to complete the screening calculations.</t>
        </r>
        <r>
          <rPr>
            <b/>
            <sz val="8"/>
            <color indexed="81"/>
            <rFont val="Tahoma"/>
          </rPr>
          <t xml:space="preserve">
2) "No Criteria"</t>
        </r>
        <r>
          <rPr>
            <sz val="8"/>
            <color indexed="81"/>
            <rFont val="Tahoma"/>
            <family val="2"/>
          </rPr>
          <t xml:space="preserve"> indicates sqreening criteria, C</t>
        </r>
        <r>
          <rPr>
            <vertAlign val="subscript"/>
            <sz val="8"/>
            <color indexed="81"/>
            <rFont val="Tahoma"/>
            <family val="2"/>
          </rPr>
          <t>wq</t>
        </r>
        <r>
          <rPr>
            <sz val="8"/>
            <color indexed="81"/>
            <rFont val="Tahoma"/>
            <family val="2"/>
          </rPr>
          <t>, is not available.</t>
        </r>
        <r>
          <rPr>
            <b/>
            <sz val="8"/>
            <color indexed="81"/>
            <rFont val="Tahoma"/>
          </rPr>
          <t xml:space="preserve">
3) "No-1" </t>
        </r>
        <r>
          <rPr>
            <sz val="8"/>
            <color indexed="81"/>
            <rFont val="Tahoma"/>
            <family val="2"/>
          </rPr>
          <t>indicates C</t>
        </r>
        <r>
          <rPr>
            <vertAlign val="subscript"/>
            <sz val="8"/>
            <color indexed="81"/>
            <rFont val="Tahoma"/>
            <family val="2"/>
          </rPr>
          <t>R</t>
        </r>
        <r>
          <rPr>
            <sz val="8"/>
            <color indexed="81"/>
            <rFont val="Tahoma"/>
            <family val="2"/>
          </rPr>
          <t xml:space="preserve"> does not exceed C</t>
        </r>
        <r>
          <rPr>
            <vertAlign val="subscript"/>
            <sz val="8"/>
            <color indexed="81"/>
            <rFont val="Tahoma"/>
            <family val="2"/>
          </rPr>
          <t>wq</t>
        </r>
        <r>
          <rPr>
            <sz val="8"/>
            <color indexed="81"/>
            <rFont val="Tahoma"/>
            <family val="2"/>
          </rPr>
          <t xml:space="preserve"> and either C</t>
        </r>
        <r>
          <rPr>
            <vertAlign val="subscript"/>
            <sz val="8"/>
            <color indexed="81"/>
            <rFont val="Tahoma"/>
            <family val="2"/>
          </rPr>
          <t>sed</t>
        </r>
        <r>
          <rPr>
            <sz val="8"/>
            <color indexed="81"/>
            <rFont val="Tahoma"/>
            <family val="2"/>
          </rPr>
          <t xml:space="preserve"> &lt; C</t>
        </r>
        <r>
          <rPr>
            <vertAlign val="subscript"/>
            <sz val="8"/>
            <color indexed="81"/>
            <rFont val="Tahoma"/>
            <family val="2"/>
          </rPr>
          <t>wq</t>
        </r>
        <r>
          <rPr>
            <sz val="8"/>
            <color indexed="81"/>
            <rFont val="Tahoma"/>
            <family val="2"/>
          </rPr>
          <t xml:space="preserve"> (so C</t>
        </r>
        <r>
          <rPr>
            <vertAlign val="subscript"/>
            <sz val="8"/>
            <color indexed="81"/>
            <rFont val="Tahoma"/>
            <family val="2"/>
          </rPr>
          <t>R</t>
        </r>
        <r>
          <rPr>
            <sz val="8"/>
            <color indexed="81"/>
            <rFont val="Tahoma"/>
            <family val="2"/>
          </rPr>
          <t xml:space="preserve"> will never exceed C</t>
        </r>
        <r>
          <rPr>
            <vertAlign val="subscript"/>
            <sz val="8"/>
            <color indexed="81"/>
            <rFont val="Tahoma"/>
            <family val="2"/>
          </rPr>
          <t>wq</t>
        </r>
        <r>
          <rPr>
            <sz val="8"/>
            <color indexed="81"/>
            <rFont val="Tahoma"/>
            <family val="2"/>
          </rPr>
          <t>), or a user input DAF was used to calculate C</t>
        </r>
        <r>
          <rPr>
            <vertAlign val="subscript"/>
            <sz val="8"/>
            <color indexed="81"/>
            <rFont val="Tahoma"/>
            <family val="2"/>
          </rPr>
          <t>R</t>
        </r>
        <r>
          <rPr>
            <sz val="8"/>
            <color indexed="81"/>
            <rFont val="Tahoma"/>
            <family val="2"/>
          </rPr>
          <t xml:space="preserve"> so that predictions of C</t>
        </r>
        <r>
          <rPr>
            <vertAlign val="subscript"/>
            <sz val="8"/>
            <color indexed="81"/>
            <rFont val="Tahoma"/>
            <family val="2"/>
          </rPr>
          <t>R</t>
        </r>
        <r>
          <rPr>
            <sz val="8"/>
            <color indexed="81"/>
            <rFont val="Tahoma"/>
            <family val="2"/>
          </rPr>
          <t xml:space="preserve"> for different time intervals or subsurface conditions could not be made.
</t>
        </r>
        <r>
          <rPr>
            <b/>
            <sz val="8"/>
            <color indexed="81"/>
            <rFont val="Tahoma"/>
            <family val="2"/>
          </rPr>
          <t>4) "No-2"</t>
        </r>
        <r>
          <rPr>
            <sz val="8"/>
            <color indexed="81"/>
            <rFont val="Tahoma"/>
            <family val="2"/>
          </rPr>
          <t xml:space="preserve"> indicates that C</t>
        </r>
        <r>
          <rPr>
            <vertAlign val="subscript"/>
            <sz val="8"/>
            <color indexed="81"/>
            <rFont val="Tahoma"/>
            <family val="2"/>
          </rPr>
          <t>R</t>
        </r>
        <r>
          <rPr>
            <sz val="8"/>
            <color indexed="81"/>
            <rFont val="Tahoma"/>
            <family val="2"/>
          </rPr>
          <t xml:space="preserve"> at the time period of interest (C</t>
        </r>
        <r>
          <rPr>
            <vertAlign val="subscript"/>
            <sz val="8"/>
            <color indexed="81"/>
            <rFont val="Tahoma"/>
            <family val="2"/>
          </rPr>
          <t>R,i</t>
        </r>
        <r>
          <rPr>
            <sz val="8"/>
            <color indexed="81"/>
            <rFont val="Tahoma"/>
            <family val="2"/>
          </rPr>
          <t>) does not exceed C</t>
        </r>
        <r>
          <rPr>
            <vertAlign val="subscript"/>
            <sz val="8"/>
            <color indexed="81"/>
            <rFont val="Tahoma"/>
            <family val="2"/>
          </rPr>
          <t>wq</t>
        </r>
        <r>
          <rPr>
            <sz val="8"/>
            <color indexed="81"/>
            <rFont val="Tahoma"/>
            <family val="2"/>
          </rPr>
          <t>, and the peak C</t>
        </r>
        <r>
          <rPr>
            <vertAlign val="subscript"/>
            <sz val="8"/>
            <color indexed="81"/>
            <rFont val="Tahoma"/>
            <family val="2"/>
          </rPr>
          <t>R</t>
        </r>
        <r>
          <rPr>
            <sz val="8"/>
            <color indexed="81"/>
            <rFont val="Tahoma"/>
            <family val="2"/>
          </rPr>
          <t xml:space="preserve"> (C</t>
        </r>
        <r>
          <rPr>
            <vertAlign val="subscript"/>
            <sz val="8"/>
            <color indexed="81"/>
            <rFont val="Tahoma"/>
            <family val="2"/>
          </rPr>
          <t>R,P</t>
        </r>
        <r>
          <rPr>
            <sz val="8"/>
            <color indexed="81"/>
            <rFont val="Tahoma"/>
            <family val="2"/>
          </rPr>
          <t>) does not exceed C</t>
        </r>
        <r>
          <rPr>
            <vertAlign val="subscript"/>
            <sz val="8"/>
            <color indexed="81"/>
            <rFont val="Tahoma"/>
            <family val="2"/>
          </rPr>
          <t>wq</t>
        </r>
        <r>
          <rPr>
            <sz val="8"/>
            <color indexed="81"/>
            <rFont val="Tahoma"/>
            <family val="2"/>
          </rPr>
          <t>, but C</t>
        </r>
        <r>
          <rPr>
            <vertAlign val="subscript"/>
            <sz val="8"/>
            <color indexed="81"/>
            <rFont val="Tahoma"/>
            <family val="2"/>
          </rPr>
          <t>sed</t>
        </r>
        <r>
          <rPr>
            <sz val="8"/>
            <color indexed="81"/>
            <rFont val="Tahoma"/>
            <family val="2"/>
          </rPr>
          <t xml:space="preserve"> does exceed C</t>
        </r>
        <r>
          <rPr>
            <vertAlign val="subscript"/>
            <sz val="8"/>
            <color indexed="81"/>
            <rFont val="Tahoma"/>
            <family val="2"/>
          </rPr>
          <t>wq</t>
        </r>
        <r>
          <rPr>
            <sz val="8"/>
            <color indexed="81"/>
            <rFont val="Tahoma"/>
            <family val="2"/>
          </rPr>
          <t>, so there is potential to violate C</t>
        </r>
        <r>
          <rPr>
            <vertAlign val="subscript"/>
            <sz val="8"/>
            <color indexed="81"/>
            <rFont val="Tahoma"/>
            <family val="2"/>
          </rPr>
          <t>wq</t>
        </r>
        <r>
          <rPr>
            <sz val="8"/>
            <color indexed="81"/>
            <rFont val="Tahoma"/>
            <family val="2"/>
          </rPr>
          <t xml:space="preserve"> under a different set of foundation characteristics.
</t>
        </r>
        <r>
          <rPr>
            <b/>
            <sz val="8"/>
            <color indexed="81"/>
            <rFont val="Tahoma"/>
            <family val="2"/>
          </rPr>
          <t>5) "N0-3"</t>
        </r>
        <r>
          <rPr>
            <sz val="8"/>
            <color indexed="81"/>
            <rFont val="Tahoma"/>
            <family val="2"/>
          </rPr>
          <t xml:space="preserve"> indicates that C</t>
        </r>
        <r>
          <rPr>
            <vertAlign val="subscript"/>
            <sz val="8"/>
            <color indexed="81"/>
            <rFont val="Tahoma"/>
            <family val="2"/>
          </rPr>
          <t>R</t>
        </r>
        <r>
          <rPr>
            <sz val="8"/>
            <color indexed="81"/>
            <rFont val="Tahoma"/>
            <family val="2"/>
          </rPr>
          <t xml:space="preserve"> at the time period of interest (C</t>
        </r>
        <r>
          <rPr>
            <vertAlign val="subscript"/>
            <sz val="8"/>
            <color indexed="81"/>
            <rFont val="Tahoma"/>
            <family val="2"/>
          </rPr>
          <t>R,i</t>
        </r>
        <r>
          <rPr>
            <sz val="8"/>
            <color indexed="81"/>
            <rFont val="Tahoma"/>
            <family val="2"/>
          </rPr>
          <t>) does not exceed C</t>
        </r>
        <r>
          <rPr>
            <vertAlign val="subscript"/>
            <sz val="8"/>
            <color indexed="81"/>
            <rFont val="Tahoma"/>
            <family val="2"/>
          </rPr>
          <t>wq</t>
        </r>
        <r>
          <rPr>
            <sz val="8"/>
            <color indexed="81"/>
            <rFont val="Tahoma"/>
            <family val="2"/>
          </rPr>
          <t>, but the peak C</t>
        </r>
        <r>
          <rPr>
            <vertAlign val="subscript"/>
            <sz val="8"/>
            <color indexed="81"/>
            <rFont val="Tahoma"/>
            <family val="2"/>
          </rPr>
          <t>R</t>
        </r>
        <r>
          <rPr>
            <sz val="8"/>
            <color indexed="81"/>
            <rFont val="Tahoma"/>
            <family val="2"/>
          </rPr>
          <t xml:space="preserve"> (C</t>
        </r>
        <r>
          <rPr>
            <vertAlign val="subscript"/>
            <sz val="8"/>
            <color indexed="81"/>
            <rFont val="Tahoma"/>
            <family val="2"/>
          </rPr>
          <t>R,P</t>
        </r>
        <r>
          <rPr>
            <sz val="8"/>
            <color indexed="81"/>
            <rFont val="Tahoma"/>
            <family val="2"/>
          </rPr>
          <t>) does exceed C</t>
        </r>
        <r>
          <rPr>
            <vertAlign val="subscript"/>
            <sz val="8"/>
            <color indexed="81"/>
            <rFont val="Tahoma"/>
            <family val="2"/>
          </rPr>
          <t>wq</t>
        </r>
        <r>
          <rPr>
            <sz val="8"/>
            <color indexed="81"/>
            <rFont val="Tahoma"/>
            <family val="2"/>
          </rPr>
          <t>.</t>
        </r>
        <r>
          <rPr>
            <b/>
            <sz val="8"/>
            <color indexed="81"/>
            <rFont val="Tahoma"/>
          </rPr>
          <t xml:space="preserve">
6) "Needed" </t>
        </r>
        <r>
          <rPr>
            <sz val="8"/>
            <color indexed="81"/>
            <rFont val="Tahoma"/>
            <family val="2"/>
          </rPr>
          <t>indicates C</t>
        </r>
        <r>
          <rPr>
            <vertAlign val="subscript"/>
            <sz val="8"/>
            <color indexed="81"/>
            <rFont val="Tahoma"/>
            <family val="2"/>
          </rPr>
          <t>R</t>
        </r>
        <r>
          <rPr>
            <sz val="8"/>
            <color indexed="81"/>
            <rFont val="Tahoma"/>
            <family val="2"/>
          </rPr>
          <t xml:space="preserve"> exceeds C</t>
        </r>
        <r>
          <rPr>
            <vertAlign val="subscript"/>
            <sz val="8"/>
            <color indexed="81"/>
            <rFont val="Tahoma"/>
            <family val="2"/>
          </rPr>
          <t>wq</t>
        </r>
        <r>
          <rPr>
            <sz val="8"/>
            <color indexed="81"/>
            <rFont val="Tahoma"/>
            <family val="2"/>
          </rPr>
          <t>.</t>
        </r>
        <r>
          <rPr>
            <b/>
            <sz val="8"/>
            <color indexed="81"/>
            <rFont val="Tahoma"/>
          </rPr>
          <t xml:space="preserve">
7) "     " </t>
        </r>
        <r>
          <rPr>
            <sz val="8"/>
            <color indexed="81"/>
            <rFont val="Tahoma"/>
            <family val="2"/>
          </rPr>
          <t>indicates a value for q was not given.</t>
        </r>
        <r>
          <rPr>
            <b/>
            <sz val="8"/>
            <color indexed="81"/>
            <rFont val="Tahoma"/>
          </rPr>
          <t xml:space="preserve">
8) "---"</t>
        </r>
        <r>
          <rPr>
            <sz val="8"/>
            <color indexed="81"/>
            <rFont val="Tahoma"/>
            <family val="2"/>
          </rPr>
          <t xml:space="preserve"> indicates Tier II screening not required.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Michael Brooks</author>
    <author>Paul Schroeder</author>
    <author>U4EEPPRS</author>
    <author>U4EERSEB</author>
  </authors>
  <commentList>
    <comment ref="Q4" authorId="0" shapeId="0" xr:uid="{00000000-0006-0000-0700-000001000000}">
      <text>
        <r>
          <rPr>
            <sz val="8"/>
            <color indexed="81"/>
            <rFont val="Tahoma"/>
          </rPr>
          <t>H' = H / ( R * T )
Where
R = Ideal Gas Law [atm-m</t>
        </r>
        <r>
          <rPr>
            <vertAlign val="superscript"/>
            <sz val="8"/>
            <color indexed="81"/>
            <rFont val="Tahoma"/>
            <family val="2"/>
          </rPr>
          <t>3</t>
        </r>
        <r>
          <rPr>
            <sz val="8"/>
            <color indexed="81"/>
            <rFont val="Tahoma"/>
          </rPr>
          <t>/mol-K]
T = Temperature [K]</t>
        </r>
      </text>
    </comment>
    <comment ref="R4" authorId="0" shapeId="0" xr:uid="{00000000-0006-0000-0700-000002000000}">
      <text>
        <r>
          <rPr>
            <sz val="10"/>
            <color indexed="81"/>
            <rFont val="Tahoma"/>
            <family val="2"/>
          </rPr>
          <t>K</t>
        </r>
        <r>
          <rPr>
            <vertAlign val="subscript"/>
            <sz val="10"/>
            <color indexed="81"/>
            <rFont val="Tahoma"/>
            <family val="2"/>
          </rPr>
          <t>G</t>
        </r>
        <r>
          <rPr>
            <sz val="10"/>
            <color indexed="81"/>
            <rFont val="Tahoma"/>
            <family val="2"/>
          </rPr>
          <t xml:space="preserve"> = 0.32*(v</t>
        </r>
        <r>
          <rPr>
            <vertAlign val="subscript"/>
            <sz val="10"/>
            <color indexed="81"/>
            <rFont val="Tahoma"/>
            <family val="2"/>
          </rPr>
          <t>a</t>
        </r>
        <r>
          <rPr>
            <sz val="10"/>
            <color indexed="81"/>
            <rFont val="Tahoma"/>
            <family val="2"/>
          </rPr>
          <t xml:space="preserve"> + v</t>
        </r>
        <r>
          <rPr>
            <vertAlign val="subscript"/>
            <sz val="10"/>
            <color indexed="81"/>
            <rFont val="Tahoma"/>
            <family val="2"/>
          </rPr>
          <t>w</t>
        </r>
        <r>
          <rPr>
            <sz val="10"/>
            <color indexed="81"/>
            <rFont val="Tahoma"/>
            <family val="2"/>
          </rPr>
          <t>)*(18/MW)</t>
        </r>
        <r>
          <rPr>
            <vertAlign val="superscript"/>
            <sz val="10"/>
            <color indexed="81"/>
            <rFont val="Tahoma"/>
            <family val="2"/>
          </rPr>
          <t>1/2</t>
        </r>
        <r>
          <rPr>
            <sz val="10"/>
            <color indexed="81"/>
            <rFont val="Tahoma"/>
            <family val="2"/>
          </rPr>
          <t xml:space="preserve">
</t>
        </r>
      </text>
    </comment>
    <comment ref="S4" authorId="0" shapeId="0" xr:uid="{00000000-0006-0000-0700-000003000000}">
      <text>
        <r>
          <rPr>
            <sz val="10"/>
            <color indexed="81"/>
            <rFont val="Tahoma"/>
            <family val="2"/>
          </rPr>
          <t>K</t>
        </r>
        <r>
          <rPr>
            <vertAlign val="subscript"/>
            <sz val="10"/>
            <color indexed="81"/>
            <rFont val="Tahoma"/>
            <family val="2"/>
          </rPr>
          <t>L</t>
        </r>
        <r>
          <rPr>
            <sz val="10"/>
            <color indexed="81"/>
            <rFont val="Tahoma"/>
            <family val="2"/>
          </rPr>
          <t xml:space="preserve"> = 0.0065 (v</t>
        </r>
        <r>
          <rPr>
            <vertAlign val="subscript"/>
            <sz val="10"/>
            <color indexed="81"/>
            <rFont val="Tahoma"/>
            <family val="2"/>
          </rPr>
          <t>w</t>
        </r>
        <r>
          <rPr>
            <vertAlign val="superscript"/>
            <sz val="10"/>
            <color indexed="81"/>
            <rFont val="Tahoma"/>
            <family val="2"/>
          </rPr>
          <t>0.969</t>
        </r>
        <r>
          <rPr>
            <sz val="10"/>
            <color indexed="81"/>
            <rFont val="Tahoma"/>
            <family val="2"/>
          </rPr>
          <t xml:space="preserve"> / Z</t>
        </r>
        <r>
          <rPr>
            <vertAlign val="superscript"/>
            <sz val="10"/>
            <color indexed="81"/>
            <rFont val="Tahoma"/>
            <family val="2"/>
          </rPr>
          <t>0.673</t>
        </r>
        <r>
          <rPr>
            <sz val="10"/>
            <color indexed="81"/>
            <rFont val="Tahoma"/>
            <family val="2"/>
          </rPr>
          <t>)(32/MW)</t>
        </r>
        <r>
          <rPr>
            <vertAlign val="superscript"/>
            <sz val="10"/>
            <color indexed="81"/>
            <rFont val="Tahoma"/>
            <family val="2"/>
          </rPr>
          <t>1/2</t>
        </r>
        <r>
          <rPr>
            <sz val="10"/>
            <color indexed="81"/>
            <rFont val="Tahoma"/>
            <family val="2"/>
          </rPr>
          <t>exp(0.526v</t>
        </r>
        <r>
          <rPr>
            <vertAlign val="subscript"/>
            <sz val="10"/>
            <color indexed="81"/>
            <rFont val="Tahoma"/>
            <family val="2"/>
          </rPr>
          <t>a</t>
        </r>
        <r>
          <rPr>
            <vertAlign val="superscript"/>
            <sz val="10"/>
            <color indexed="81"/>
            <rFont val="Tahoma"/>
            <family val="2"/>
          </rPr>
          <t>-1.9</t>
        </r>
        <r>
          <rPr>
            <sz val="10"/>
            <color indexed="81"/>
            <rFont val="Tahoma"/>
            <family val="2"/>
          </rPr>
          <t xml:space="preserve">)
</t>
        </r>
      </text>
    </comment>
    <comment ref="T4" authorId="0" shapeId="0" xr:uid="{00000000-0006-0000-0700-000004000000}">
      <text>
        <r>
          <rPr>
            <sz val="10"/>
            <color indexed="81"/>
            <rFont val="Tahoma"/>
            <family val="2"/>
          </rPr>
          <t>K</t>
        </r>
        <r>
          <rPr>
            <vertAlign val="subscript"/>
            <sz val="10"/>
            <color indexed="81"/>
            <rFont val="Tahoma"/>
            <family val="2"/>
          </rPr>
          <t>OL</t>
        </r>
        <r>
          <rPr>
            <sz val="10"/>
            <color indexed="81"/>
            <rFont val="Tahoma"/>
            <family val="2"/>
          </rPr>
          <t xml:space="preserve"> = {[1 / K</t>
        </r>
        <r>
          <rPr>
            <vertAlign val="subscript"/>
            <sz val="10"/>
            <color indexed="81"/>
            <rFont val="Tahoma"/>
            <family val="2"/>
          </rPr>
          <t>L</t>
        </r>
        <r>
          <rPr>
            <sz val="10"/>
            <color indexed="81"/>
            <rFont val="Tahoma"/>
            <family val="2"/>
          </rPr>
          <t>] + [1 / (H'K</t>
        </r>
        <r>
          <rPr>
            <vertAlign val="subscript"/>
            <sz val="10"/>
            <color indexed="81"/>
            <rFont val="Tahoma"/>
            <family val="2"/>
          </rPr>
          <t>G</t>
        </r>
        <r>
          <rPr>
            <sz val="10"/>
            <color indexed="81"/>
            <rFont val="Tahoma"/>
            <family val="2"/>
          </rPr>
          <t>)]}</t>
        </r>
        <r>
          <rPr>
            <vertAlign val="superscript"/>
            <sz val="10"/>
            <color indexed="81"/>
            <rFont val="Tahoma"/>
            <family val="2"/>
          </rPr>
          <t>-1</t>
        </r>
        <r>
          <rPr>
            <sz val="10"/>
            <color indexed="81"/>
            <rFont val="Tahoma"/>
            <family val="2"/>
          </rPr>
          <t xml:space="preserve">
</t>
        </r>
      </text>
    </comment>
    <comment ref="U4" authorId="1" shapeId="0" xr:uid="{00000000-0006-0000-0700-000005000000}">
      <text>
        <r>
          <rPr>
            <sz val="10"/>
            <color indexed="81"/>
            <rFont val="Tahoma"/>
            <family val="2"/>
          </rPr>
          <t xml:space="preserve">Metals:  (q*LF)/(SCF/100); Organics:  q*LF
</t>
        </r>
      </text>
    </comment>
    <comment ref="V4" authorId="1" shapeId="0" xr:uid="{00000000-0006-0000-0700-000006000000}">
      <text>
        <r>
          <rPr>
            <sz val="8"/>
            <color indexed="81"/>
            <rFont val="Tahoma"/>
          </rPr>
          <t>q</t>
        </r>
        <r>
          <rPr>
            <vertAlign val="superscript"/>
            <sz val="8"/>
            <color indexed="81"/>
            <rFont val="Tahoma"/>
          </rPr>
          <t>*</t>
        </r>
        <r>
          <rPr>
            <vertAlign val="subscript"/>
            <sz val="8"/>
            <color indexed="81"/>
            <rFont val="Tahoma"/>
          </rPr>
          <t>sed</t>
        </r>
        <r>
          <rPr>
            <sz val="8"/>
            <color indexed="81"/>
            <rFont val="Tahoma"/>
          </rPr>
          <t>/((n</t>
        </r>
        <r>
          <rPr>
            <vertAlign val="subscript"/>
            <sz val="8"/>
            <color indexed="81"/>
            <rFont val="Tahoma"/>
          </rPr>
          <t>sed</t>
        </r>
        <r>
          <rPr>
            <sz val="8"/>
            <color indexed="81"/>
            <rFont val="Tahoma"/>
          </rPr>
          <t>+(1-n</t>
        </r>
        <r>
          <rPr>
            <vertAlign val="subscript"/>
            <sz val="8"/>
            <color indexed="81"/>
            <rFont val="Tahoma"/>
          </rPr>
          <t>sed</t>
        </r>
        <r>
          <rPr>
            <sz val="8"/>
            <color indexed="81"/>
            <rFont val="Tahoma"/>
          </rPr>
          <t>)*SG*p</t>
        </r>
        <r>
          <rPr>
            <vertAlign val="subscript"/>
            <sz val="8"/>
            <color indexed="81"/>
            <rFont val="Tahoma"/>
            <family val="2"/>
          </rPr>
          <t>w</t>
        </r>
        <r>
          <rPr>
            <sz val="8"/>
            <color indexed="81"/>
            <rFont val="Tahoma"/>
          </rPr>
          <t>*K</t>
        </r>
        <r>
          <rPr>
            <vertAlign val="subscript"/>
            <sz val="8"/>
            <color indexed="81"/>
            <rFont val="Tahoma"/>
          </rPr>
          <t>d</t>
        </r>
        <r>
          <rPr>
            <vertAlign val="superscript"/>
            <sz val="8"/>
            <color indexed="81"/>
            <rFont val="Tahoma"/>
            <family val="2"/>
          </rPr>
          <t>Unox</t>
        </r>
        <r>
          <rPr>
            <sz val="8"/>
            <color indexed="81"/>
            <rFont val="Tahoma"/>
          </rPr>
          <t>)/((1-n</t>
        </r>
        <r>
          <rPr>
            <vertAlign val="subscript"/>
            <sz val="8"/>
            <color indexed="81"/>
            <rFont val="Tahoma"/>
          </rPr>
          <t>sed</t>
        </r>
        <r>
          <rPr>
            <sz val="8"/>
            <color indexed="81"/>
            <rFont val="Tahoma"/>
          </rPr>
          <t>)*SG*p</t>
        </r>
        <r>
          <rPr>
            <vertAlign val="subscript"/>
            <sz val="8"/>
            <color indexed="81"/>
            <rFont val="Tahoma"/>
            <family val="2"/>
          </rPr>
          <t>w</t>
        </r>
        <r>
          <rPr>
            <sz val="8"/>
            <color indexed="81"/>
            <rFont val="Tahoma"/>
          </rPr>
          <t xml:space="preserve">*1000))
</t>
        </r>
      </text>
    </comment>
    <comment ref="W4" authorId="1" shapeId="0" xr:uid="{00000000-0006-0000-0700-000007000000}">
      <text>
        <r>
          <rPr>
            <sz val="8"/>
            <color indexed="81"/>
            <rFont val="Tahoma"/>
          </rPr>
          <t>q</t>
        </r>
        <r>
          <rPr>
            <vertAlign val="superscript"/>
            <sz val="8"/>
            <color indexed="81"/>
            <rFont val="Tahoma"/>
            <family val="2"/>
          </rPr>
          <t>*</t>
        </r>
        <r>
          <rPr>
            <vertAlign val="subscript"/>
            <sz val="8"/>
            <color indexed="81"/>
            <rFont val="Tahoma"/>
            <family val="2"/>
          </rPr>
          <t>sed</t>
        </r>
        <r>
          <rPr>
            <sz val="8"/>
            <color indexed="81"/>
            <rFont val="Tahoma"/>
          </rPr>
          <t>+(C</t>
        </r>
        <r>
          <rPr>
            <vertAlign val="subscript"/>
            <sz val="8"/>
            <color indexed="81"/>
            <rFont val="Tahoma"/>
            <family val="2"/>
          </rPr>
          <t>c</t>
        </r>
        <r>
          <rPr>
            <sz val="8"/>
            <color indexed="81"/>
            <rFont val="Tahoma"/>
          </rPr>
          <t>*(TSS</t>
        </r>
        <r>
          <rPr>
            <vertAlign val="subscript"/>
            <sz val="8"/>
            <color indexed="81"/>
            <rFont val="Tahoma"/>
            <family val="2"/>
          </rPr>
          <t>sed</t>
        </r>
        <r>
          <rPr>
            <sz val="8"/>
            <color indexed="81"/>
            <rFont val="Tahoma"/>
          </rPr>
          <t>-TSS</t>
        </r>
        <r>
          <rPr>
            <vertAlign val="subscript"/>
            <sz val="8"/>
            <color indexed="81"/>
            <rFont val="Tahoma"/>
            <family val="2"/>
          </rPr>
          <t>sl)</t>
        </r>
        <r>
          <rPr>
            <sz val="8"/>
            <color indexed="81"/>
            <rFont val="Tahoma"/>
            <family val="2"/>
          </rPr>
          <t>)/</t>
        </r>
        <r>
          <rPr>
            <sz val="8"/>
            <color indexed="81"/>
            <rFont val="Tahoma"/>
          </rPr>
          <t>(TSS</t>
        </r>
        <r>
          <rPr>
            <vertAlign val="subscript"/>
            <sz val="8"/>
            <color indexed="81"/>
            <rFont val="Tahoma"/>
            <family val="2"/>
          </rPr>
          <t>sed</t>
        </r>
        <r>
          <rPr>
            <sz val="8"/>
            <color indexed="81"/>
            <rFont val="Tahoma"/>
          </rPr>
          <t>*TSS</t>
        </r>
        <r>
          <rPr>
            <vertAlign val="subscript"/>
            <sz val="8"/>
            <color indexed="81"/>
            <rFont val="Tahoma"/>
            <family val="2"/>
          </rPr>
          <t>sl</t>
        </r>
        <r>
          <rPr>
            <sz val="8"/>
            <color indexed="81"/>
            <rFont val="Tahoma"/>
          </rPr>
          <t xml:space="preserve">))
</t>
        </r>
      </text>
    </comment>
    <comment ref="X4" authorId="1" shapeId="0" xr:uid="{00000000-0006-0000-0700-000008000000}">
      <text>
        <r>
          <rPr>
            <sz val="8"/>
            <color indexed="81"/>
            <rFont val="Tahoma"/>
          </rPr>
          <t>((TSS</t>
        </r>
        <r>
          <rPr>
            <vertAlign val="subscript"/>
            <sz val="8"/>
            <color indexed="81"/>
            <rFont val="Tahoma"/>
            <family val="2"/>
          </rPr>
          <t>SL</t>
        </r>
        <r>
          <rPr>
            <sz val="8"/>
            <color indexed="81"/>
            <rFont val="Tahoma"/>
          </rPr>
          <t>*n</t>
        </r>
        <r>
          <rPr>
            <vertAlign val="subscript"/>
            <sz val="8"/>
            <color indexed="81"/>
            <rFont val="Tahoma"/>
            <family val="2"/>
          </rPr>
          <t>sed</t>
        </r>
        <r>
          <rPr>
            <sz val="8"/>
            <color indexed="81"/>
            <rFont val="Tahoma"/>
          </rPr>
          <t>*C</t>
        </r>
        <r>
          <rPr>
            <vertAlign val="subscript"/>
            <sz val="8"/>
            <color indexed="81"/>
            <rFont val="Tahoma"/>
            <family val="2"/>
          </rPr>
          <t>sed</t>
        </r>
        <r>
          <rPr>
            <sz val="8"/>
            <color indexed="81"/>
            <rFont val="Tahoma"/>
          </rPr>
          <t>)+(TSS</t>
        </r>
        <r>
          <rPr>
            <vertAlign val="subscript"/>
            <sz val="8"/>
            <color indexed="81"/>
            <rFont val="Tahoma"/>
            <family val="2"/>
          </rPr>
          <t>sed</t>
        </r>
        <r>
          <rPr>
            <sz val="8"/>
            <color indexed="81"/>
            <rFont val="Tahoma"/>
          </rPr>
          <t>-TSS</t>
        </r>
        <r>
          <rPr>
            <vertAlign val="subscript"/>
            <sz val="8"/>
            <color indexed="81"/>
            <rFont val="Tahoma"/>
            <family val="2"/>
          </rPr>
          <t>sl</t>
        </r>
        <r>
          <rPr>
            <sz val="8"/>
            <color indexed="81"/>
            <rFont val="Tahoma"/>
          </rPr>
          <t>)*C</t>
        </r>
        <r>
          <rPr>
            <vertAlign val="subscript"/>
            <sz val="8"/>
            <color indexed="81"/>
            <rFont val="Tahoma"/>
            <family val="2"/>
          </rPr>
          <t>c</t>
        </r>
        <r>
          <rPr>
            <sz val="8"/>
            <color indexed="81"/>
            <rFont val="Tahoma"/>
          </rPr>
          <t>)/((TSS</t>
        </r>
        <r>
          <rPr>
            <vertAlign val="subscript"/>
            <sz val="8"/>
            <color indexed="81"/>
            <rFont val="Tahoma"/>
            <family val="2"/>
          </rPr>
          <t>SL</t>
        </r>
        <r>
          <rPr>
            <sz val="8"/>
            <color indexed="81"/>
            <rFont val="Tahoma"/>
          </rPr>
          <t>*n</t>
        </r>
        <r>
          <rPr>
            <vertAlign val="subscript"/>
            <sz val="8"/>
            <color indexed="81"/>
            <rFont val="Tahoma"/>
            <family val="2"/>
          </rPr>
          <t>sed</t>
        </r>
        <r>
          <rPr>
            <sz val="8"/>
            <color indexed="81"/>
            <rFont val="Tahoma"/>
          </rPr>
          <t>)+TSS</t>
        </r>
        <r>
          <rPr>
            <vertAlign val="subscript"/>
            <sz val="8"/>
            <color indexed="81"/>
            <rFont val="Tahoma"/>
            <family val="2"/>
          </rPr>
          <t>sed</t>
        </r>
        <r>
          <rPr>
            <sz val="8"/>
            <color indexed="81"/>
            <rFont val="Tahoma"/>
          </rPr>
          <t>-TSS</t>
        </r>
        <r>
          <rPr>
            <vertAlign val="subscript"/>
            <sz val="8"/>
            <color indexed="81"/>
            <rFont val="Tahoma"/>
            <family val="2"/>
          </rPr>
          <t>SL</t>
        </r>
        <r>
          <rPr>
            <sz val="8"/>
            <color indexed="81"/>
            <rFont val="Tahoma"/>
          </rPr>
          <t xml:space="preserve">)
</t>
        </r>
      </text>
    </comment>
    <comment ref="Y4" authorId="1" shapeId="0" xr:uid="{00000000-0006-0000-0700-000009000000}">
      <text>
        <r>
          <rPr>
            <sz val="8"/>
            <color indexed="81"/>
            <rFont val="Tahoma"/>
          </rPr>
          <t>q*</t>
        </r>
        <r>
          <rPr>
            <vertAlign val="subscript"/>
            <sz val="8"/>
            <color indexed="81"/>
            <rFont val="Tahoma"/>
            <family val="2"/>
          </rPr>
          <t>sl</t>
        </r>
        <r>
          <rPr>
            <sz val="8"/>
            <color indexed="81"/>
            <rFont val="Tahoma"/>
          </rPr>
          <t>/((n</t>
        </r>
        <r>
          <rPr>
            <vertAlign val="subscript"/>
            <sz val="8"/>
            <color indexed="81"/>
            <rFont val="Tahoma"/>
            <family val="2"/>
          </rPr>
          <t>sl</t>
        </r>
        <r>
          <rPr>
            <sz val="8"/>
            <color indexed="81"/>
            <rFont val="Tahoma"/>
          </rPr>
          <t>+((1-n</t>
        </r>
        <r>
          <rPr>
            <vertAlign val="subscript"/>
            <sz val="8"/>
            <color indexed="81"/>
            <rFont val="Tahoma"/>
            <family val="2"/>
          </rPr>
          <t>sl</t>
        </r>
        <r>
          <rPr>
            <sz val="8"/>
            <color indexed="81"/>
            <rFont val="Tahoma"/>
          </rPr>
          <t>)*SG*p</t>
        </r>
        <r>
          <rPr>
            <vertAlign val="subscript"/>
            <sz val="8"/>
            <color indexed="81"/>
            <rFont val="Tahoma"/>
            <family val="2"/>
          </rPr>
          <t>w</t>
        </r>
        <r>
          <rPr>
            <sz val="8"/>
            <color indexed="81"/>
            <rFont val="Tahoma"/>
          </rPr>
          <t>*K</t>
        </r>
        <r>
          <rPr>
            <vertAlign val="subscript"/>
            <sz val="8"/>
            <color indexed="81"/>
            <rFont val="Tahoma"/>
            <family val="2"/>
          </rPr>
          <t>d</t>
        </r>
        <r>
          <rPr>
            <sz val="8"/>
            <color indexed="81"/>
            <rFont val="Tahoma"/>
          </rPr>
          <t>))/((1-n</t>
        </r>
        <r>
          <rPr>
            <vertAlign val="subscript"/>
            <sz val="8"/>
            <color indexed="81"/>
            <rFont val="Tahoma"/>
            <family val="2"/>
          </rPr>
          <t>sl</t>
        </r>
        <r>
          <rPr>
            <sz val="8"/>
            <color indexed="81"/>
            <rFont val="Tahoma"/>
          </rPr>
          <t>)*SG*p</t>
        </r>
        <r>
          <rPr>
            <vertAlign val="subscript"/>
            <sz val="8"/>
            <color indexed="81"/>
            <rFont val="Tahoma"/>
            <family val="2"/>
          </rPr>
          <t>w</t>
        </r>
        <r>
          <rPr>
            <sz val="8"/>
            <color indexed="81"/>
            <rFont val="Tahoma"/>
          </rPr>
          <t xml:space="preserve">*1000))
</t>
        </r>
      </text>
    </comment>
    <comment ref="Z4" authorId="1" shapeId="0" xr:uid="{00000000-0006-0000-0700-00000A000000}">
      <text>
        <r>
          <rPr>
            <b/>
            <sz val="8"/>
            <color indexed="81"/>
            <rFont val="Tahoma"/>
          </rPr>
          <t>The Greater Value between C</t>
        </r>
        <r>
          <rPr>
            <b/>
            <vertAlign val="subscript"/>
            <sz val="8"/>
            <color indexed="81"/>
            <rFont val="Tahoma"/>
            <family val="2"/>
          </rPr>
          <t>w1</t>
        </r>
        <r>
          <rPr>
            <b/>
            <sz val="8"/>
            <color indexed="81"/>
            <rFont val="Tahoma"/>
          </rPr>
          <t xml:space="preserve"> and C</t>
        </r>
        <r>
          <rPr>
            <b/>
            <vertAlign val="subscript"/>
            <sz val="8"/>
            <color indexed="81"/>
            <rFont val="Tahoma"/>
            <family val="2"/>
          </rPr>
          <t>w2</t>
        </r>
        <r>
          <rPr>
            <b/>
            <sz val="8"/>
            <color indexed="81"/>
            <rFont val="Tahoma"/>
          </rPr>
          <t xml:space="preserve">
</t>
        </r>
        <r>
          <rPr>
            <sz val="8"/>
            <color indexed="81"/>
            <rFont val="Tahoma"/>
          </rPr>
          <t xml:space="preserve">
</t>
        </r>
      </text>
    </comment>
    <comment ref="AA5" authorId="1" shapeId="0" xr:uid="{00000000-0006-0000-0700-00000B000000}">
      <text>
        <r>
          <rPr>
            <sz val="8"/>
            <color indexed="81"/>
            <rFont val="Tahoma"/>
          </rPr>
          <t>C</t>
        </r>
        <r>
          <rPr>
            <vertAlign val="subscript"/>
            <sz val="8"/>
            <color indexed="81"/>
            <rFont val="Tahoma"/>
            <family val="2"/>
          </rPr>
          <t>woff</t>
        </r>
        <r>
          <rPr>
            <sz val="8"/>
            <color indexed="81"/>
            <rFont val="Tahoma"/>
          </rPr>
          <t>*K</t>
        </r>
        <r>
          <rPr>
            <vertAlign val="subscript"/>
            <sz val="8"/>
            <color indexed="81"/>
            <rFont val="Tahoma"/>
            <family val="2"/>
          </rPr>
          <t>OL</t>
        </r>
        <r>
          <rPr>
            <sz val="8"/>
            <color indexed="81"/>
            <rFont val="Tahoma"/>
          </rPr>
          <t xml:space="preserve">/1,000,000,000
</t>
        </r>
      </text>
    </comment>
    <comment ref="AB5" authorId="1" shapeId="0" xr:uid="{00000000-0006-0000-0700-00000C000000}">
      <text>
        <r>
          <rPr>
            <sz val="8"/>
            <color indexed="81"/>
            <rFont val="Tahoma"/>
          </rPr>
          <t>N</t>
        </r>
        <r>
          <rPr>
            <vertAlign val="subscript"/>
            <sz val="8"/>
            <color indexed="81"/>
            <rFont val="Tahoma"/>
            <family val="2"/>
          </rPr>
          <t>off</t>
        </r>
        <r>
          <rPr>
            <sz val="8"/>
            <color indexed="81"/>
            <rFont val="Tahoma"/>
          </rPr>
          <t xml:space="preserve"> *L*W*10,000
</t>
        </r>
      </text>
    </comment>
    <comment ref="AC5" authorId="1" shapeId="0" xr:uid="{00000000-0006-0000-0700-00000D000000}">
      <text>
        <r>
          <rPr>
            <sz val="8"/>
            <color indexed="81"/>
            <rFont val="Tahoma"/>
          </rPr>
          <t>E</t>
        </r>
        <r>
          <rPr>
            <vertAlign val="subscript"/>
            <sz val="8"/>
            <color indexed="81"/>
            <rFont val="Tahoma"/>
            <family val="2"/>
          </rPr>
          <t>off</t>
        </r>
        <r>
          <rPr>
            <sz val="8"/>
            <color indexed="81"/>
            <rFont val="Tahoma"/>
          </rPr>
          <t xml:space="preserve">*U
</t>
        </r>
      </text>
    </comment>
    <comment ref="AD5" authorId="2" shapeId="0" xr:uid="{00000000-0006-0000-0700-00000E000000}">
      <text>
        <r>
          <rPr>
            <sz val="10"/>
            <color indexed="81"/>
            <rFont val="Tahoma"/>
          </rPr>
          <t>C</t>
        </r>
        <r>
          <rPr>
            <vertAlign val="subscript"/>
            <sz val="10"/>
            <color indexed="81"/>
            <rFont val="Tahoma"/>
            <family val="2"/>
          </rPr>
          <t>a,off</t>
        </r>
        <r>
          <rPr>
            <sz val="10"/>
            <color indexed="81"/>
            <rFont val="Tahoma"/>
          </rPr>
          <t xml:space="preserve">*Breathing rate of off-site child
</t>
        </r>
      </text>
    </comment>
    <comment ref="AE5" authorId="1" shapeId="0" xr:uid="{00000000-0006-0000-0700-00000F000000}">
      <text>
        <r>
          <rPr>
            <sz val="8"/>
            <color indexed="81"/>
            <rFont val="Tahoma"/>
          </rPr>
          <t>E</t>
        </r>
        <r>
          <rPr>
            <vertAlign val="subscript"/>
            <sz val="8"/>
            <color indexed="81"/>
            <rFont val="Tahoma"/>
            <family val="2"/>
          </rPr>
          <t>on</t>
        </r>
        <r>
          <rPr>
            <sz val="8"/>
            <color indexed="81"/>
            <rFont val="Tahoma"/>
            <family val="2"/>
          </rPr>
          <t>*1000</t>
        </r>
        <r>
          <rPr>
            <sz val="8"/>
            <color indexed="81"/>
            <rFont val="Tahoma"/>
          </rPr>
          <t>/(W*3*V</t>
        </r>
        <r>
          <rPr>
            <vertAlign val="subscript"/>
            <sz val="8"/>
            <color indexed="81"/>
            <rFont val="Tahoma"/>
            <family val="2"/>
          </rPr>
          <t>a</t>
        </r>
        <r>
          <rPr>
            <sz val="8"/>
            <color indexed="81"/>
            <rFont val="Tahoma"/>
            <family val="2"/>
          </rPr>
          <t>)</t>
        </r>
        <r>
          <rPr>
            <sz val="8"/>
            <color indexed="81"/>
            <rFont val="Tahoma"/>
          </rPr>
          <t xml:space="preserve">
</t>
        </r>
      </text>
    </comment>
    <comment ref="AF5" authorId="2" shapeId="0" xr:uid="{00000000-0006-0000-0700-000010000000}">
      <text>
        <r>
          <rPr>
            <sz val="10"/>
            <color indexed="81"/>
            <rFont val="Tahoma"/>
          </rPr>
          <t>C</t>
        </r>
        <r>
          <rPr>
            <vertAlign val="subscript"/>
            <sz val="10"/>
            <color indexed="81"/>
            <rFont val="Tahoma"/>
            <family val="2"/>
          </rPr>
          <t>a,on</t>
        </r>
        <r>
          <rPr>
            <sz val="10"/>
            <color indexed="81"/>
            <rFont val="Tahoma"/>
          </rPr>
          <t xml:space="preserve">*Ponded breathing rate of on-site adult
</t>
        </r>
      </text>
    </comment>
    <comment ref="AG5" authorId="2" shapeId="0" xr:uid="{00000000-0006-0000-0700-000011000000}">
      <text>
        <r>
          <rPr>
            <sz val="10"/>
            <color indexed="81"/>
            <rFont val="Tahoma"/>
          </rPr>
          <t>D</t>
        </r>
        <r>
          <rPr>
            <vertAlign val="subscript"/>
            <sz val="10"/>
            <color indexed="81"/>
            <rFont val="Tahoma"/>
            <family val="2"/>
          </rPr>
          <t>A1</t>
        </r>
        <r>
          <rPr>
            <sz val="10"/>
            <color indexed="81"/>
            <rFont val="Tahoma"/>
          </rPr>
          <t>*(n</t>
        </r>
        <r>
          <rPr>
            <vertAlign val="subscript"/>
            <sz val="10"/>
            <color indexed="81"/>
            <rFont val="Tahoma"/>
            <family val="2"/>
          </rPr>
          <t>a</t>
        </r>
        <r>
          <rPr>
            <vertAlign val="superscript"/>
            <sz val="10"/>
            <color indexed="81"/>
            <rFont val="Tahoma"/>
            <family val="2"/>
          </rPr>
          <t>^3.33</t>
        </r>
        <r>
          <rPr>
            <sz val="10"/>
            <color indexed="81"/>
            <rFont val="Tahoma"/>
          </rPr>
          <t>/n</t>
        </r>
        <r>
          <rPr>
            <vertAlign val="subscript"/>
            <sz val="10"/>
            <color indexed="81"/>
            <rFont val="Tahoma"/>
            <family val="2"/>
          </rPr>
          <t>sed</t>
        </r>
        <r>
          <rPr>
            <vertAlign val="superscript"/>
            <sz val="10"/>
            <color indexed="81"/>
            <rFont val="Tahoma"/>
            <family val="2"/>
          </rPr>
          <t>^2</t>
        </r>
        <r>
          <rPr>
            <sz val="10"/>
            <color indexed="81"/>
            <rFont val="Tahoma"/>
          </rPr>
          <t xml:space="preserve">)
</t>
        </r>
      </text>
    </comment>
    <comment ref="AH5" authorId="3" shapeId="0" xr:uid="{00000000-0006-0000-0700-000012000000}">
      <text>
        <r>
          <rPr>
            <sz val="8"/>
            <color indexed="81"/>
            <rFont val="Tahoma"/>
          </rPr>
          <t>(q*LF)/(CF</t>
        </r>
        <r>
          <rPr>
            <vertAlign val="subscript"/>
            <sz val="8"/>
            <color indexed="81"/>
            <rFont val="Tahoma"/>
            <family val="2"/>
          </rPr>
          <t>eff</t>
        </r>
        <r>
          <rPr>
            <sz val="8"/>
            <color indexed="81"/>
            <rFont val="Tahoma"/>
          </rPr>
          <t>/100)</t>
        </r>
      </text>
    </comment>
    <comment ref="AI5" authorId="1" shapeId="0" xr:uid="{00000000-0006-0000-0700-000013000000}">
      <text>
        <r>
          <rPr>
            <sz val="8"/>
            <color indexed="81"/>
            <rFont val="Tahoma"/>
            <family val="2"/>
          </rPr>
          <t>1000*K</t>
        </r>
        <r>
          <rPr>
            <vertAlign val="subscript"/>
            <sz val="8"/>
            <color indexed="81"/>
            <rFont val="Tahoma"/>
            <family val="2"/>
          </rPr>
          <t>d</t>
        </r>
        <r>
          <rPr>
            <sz val="8"/>
            <color indexed="81"/>
            <rFont val="Tahoma"/>
            <family val="2"/>
          </rPr>
          <t xml:space="preserve">/H'
</t>
        </r>
      </text>
    </comment>
    <comment ref="AJ5" authorId="1" shapeId="0" xr:uid="{00000000-0006-0000-0700-000014000000}">
      <text>
        <r>
          <rPr>
            <sz val="8"/>
            <color indexed="81"/>
            <rFont val="Tahoma"/>
          </rPr>
          <t>(3.1416*T</t>
        </r>
        <r>
          <rPr>
            <vertAlign val="subscript"/>
            <sz val="8"/>
            <color indexed="81"/>
            <rFont val="Tahoma"/>
            <family val="2"/>
          </rPr>
          <t>c, off</t>
        </r>
        <r>
          <rPr>
            <sz val="8"/>
            <color indexed="81"/>
            <rFont val="Tahoma"/>
          </rPr>
          <t>*86400/(D</t>
        </r>
        <r>
          <rPr>
            <vertAlign val="subscript"/>
            <sz val="8"/>
            <color indexed="81"/>
            <rFont val="Tahoma"/>
            <family val="2"/>
          </rPr>
          <t>A3</t>
        </r>
        <r>
          <rPr>
            <sz val="8"/>
            <color indexed="81"/>
            <rFont val="Tahoma"/>
          </rPr>
          <t>*(n</t>
        </r>
        <r>
          <rPr>
            <vertAlign val="subscript"/>
            <sz val="8"/>
            <color indexed="81"/>
            <rFont val="Tahoma"/>
            <family val="2"/>
          </rPr>
          <t>a</t>
        </r>
        <r>
          <rPr>
            <sz val="8"/>
            <color indexed="81"/>
            <rFont val="Tahoma"/>
          </rPr>
          <t>+(K</t>
        </r>
        <r>
          <rPr>
            <vertAlign val="subscript"/>
            <sz val="8"/>
            <color indexed="81"/>
            <rFont val="Tahoma"/>
            <family val="2"/>
          </rPr>
          <t>d</t>
        </r>
        <r>
          <rPr>
            <vertAlign val="superscript"/>
            <sz val="8"/>
            <color indexed="81"/>
            <rFont val="Tahoma"/>
            <family val="2"/>
          </rPr>
          <t>ox</t>
        </r>
        <r>
          <rPr>
            <sz val="8"/>
            <color indexed="81"/>
            <rFont val="Tahoma"/>
          </rPr>
          <t>*TSS</t>
        </r>
        <r>
          <rPr>
            <vertAlign val="subscript"/>
            <sz val="8"/>
            <color indexed="81"/>
            <rFont val="Tahoma"/>
            <family val="2"/>
          </rPr>
          <t>SED</t>
        </r>
        <r>
          <rPr>
            <sz val="8"/>
            <color indexed="81"/>
            <rFont val="Tahoma"/>
          </rPr>
          <t xml:space="preserve">/(H'*1000)))))^0.5
</t>
        </r>
      </text>
    </comment>
    <comment ref="AK5" authorId="1" shapeId="0" xr:uid="{00000000-0006-0000-0700-000015000000}">
      <text>
        <r>
          <rPr>
            <b/>
            <sz val="8"/>
            <color indexed="81"/>
            <rFont val="Tahoma"/>
          </rPr>
          <t>q*</t>
        </r>
        <r>
          <rPr>
            <b/>
            <vertAlign val="superscript"/>
            <sz val="8"/>
            <color indexed="81"/>
            <rFont val="Tahoma"/>
            <family val="2"/>
          </rPr>
          <t>d</t>
        </r>
        <r>
          <rPr>
            <b/>
            <vertAlign val="subscript"/>
            <sz val="8"/>
            <color indexed="81"/>
            <rFont val="Tahoma"/>
            <family val="2"/>
          </rPr>
          <t>sed</t>
        </r>
        <r>
          <rPr>
            <b/>
            <sz val="8"/>
            <color indexed="81"/>
            <rFont val="Tahoma"/>
          </rPr>
          <t>/Part A</t>
        </r>
        <r>
          <rPr>
            <sz val="8"/>
            <color indexed="81"/>
            <rFont val="Tahoma"/>
          </rPr>
          <t xml:space="preserve">
</t>
        </r>
      </text>
    </comment>
    <comment ref="AL5" authorId="1" shapeId="0" xr:uid="{00000000-0006-0000-0700-000016000000}">
      <text>
        <r>
          <rPr>
            <b/>
            <sz val="8"/>
            <color indexed="81"/>
            <rFont val="Tahoma"/>
          </rPr>
          <t>(2*Part C)/(1000*(1/KG+Part B))</t>
        </r>
      </text>
    </comment>
    <comment ref="AM5" authorId="1" shapeId="0" xr:uid="{00000000-0006-0000-0700-000017000000}">
      <text>
        <r>
          <rPr>
            <b/>
            <sz val="8"/>
            <color indexed="81"/>
            <rFont val="Tahoma"/>
          </rPr>
          <t>N</t>
        </r>
        <r>
          <rPr>
            <b/>
            <vertAlign val="superscript"/>
            <sz val="8"/>
            <color indexed="81"/>
            <rFont val="Tahoma"/>
            <family val="2"/>
          </rPr>
          <t>d</t>
        </r>
        <r>
          <rPr>
            <b/>
            <vertAlign val="subscript"/>
            <sz val="8"/>
            <color indexed="81"/>
            <rFont val="Tahoma"/>
            <family val="2"/>
          </rPr>
          <t>off</t>
        </r>
        <r>
          <rPr>
            <b/>
            <sz val="8"/>
            <color indexed="81"/>
            <rFont val="Tahoma"/>
          </rPr>
          <t>*(L*W*10,000)</t>
        </r>
        <r>
          <rPr>
            <sz val="8"/>
            <color indexed="81"/>
            <rFont val="Tahoma"/>
          </rPr>
          <t xml:space="preserve">
</t>
        </r>
      </text>
    </comment>
    <comment ref="AN5" authorId="1" shapeId="0" xr:uid="{00000000-0006-0000-0700-000018000000}">
      <text>
        <r>
          <rPr>
            <b/>
            <sz val="8"/>
            <color indexed="81"/>
            <rFont val="Tahoma"/>
          </rPr>
          <t>E</t>
        </r>
        <r>
          <rPr>
            <b/>
            <vertAlign val="superscript"/>
            <sz val="8"/>
            <color indexed="81"/>
            <rFont val="Tahoma"/>
            <family val="2"/>
          </rPr>
          <t>d</t>
        </r>
        <r>
          <rPr>
            <b/>
            <vertAlign val="subscript"/>
            <sz val="8"/>
            <color indexed="81"/>
            <rFont val="Tahoma"/>
            <family val="2"/>
          </rPr>
          <t>off</t>
        </r>
        <r>
          <rPr>
            <b/>
            <sz val="8"/>
            <color indexed="81"/>
            <rFont val="Tahoma"/>
          </rPr>
          <t>*U</t>
        </r>
        <r>
          <rPr>
            <sz val="8"/>
            <color indexed="81"/>
            <rFont val="Tahoma"/>
          </rPr>
          <t xml:space="preserve">
</t>
        </r>
      </text>
    </comment>
    <comment ref="AO5" authorId="2" shapeId="0" xr:uid="{00000000-0006-0000-0700-000019000000}">
      <text>
        <r>
          <rPr>
            <sz val="10"/>
            <color indexed="81"/>
            <rFont val="Tahoma"/>
          </rPr>
          <t>C</t>
        </r>
        <r>
          <rPr>
            <vertAlign val="subscript"/>
            <sz val="10"/>
            <color indexed="81"/>
            <rFont val="Tahoma"/>
            <family val="2"/>
          </rPr>
          <t>a,off</t>
        </r>
        <r>
          <rPr>
            <sz val="10"/>
            <color indexed="81"/>
            <rFont val="Tahoma"/>
          </rPr>
          <t xml:space="preserve">*Breathing rate of off-site child
</t>
        </r>
      </text>
    </comment>
    <comment ref="AP5" authorId="1" shapeId="0" xr:uid="{00000000-0006-0000-0700-00001A000000}">
      <text>
        <r>
          <rPr>
            <sz val="8"/>
            <color indexed="81"/>
            <rFont val="Tahoma"/>
          </rPr>
          <t>(3.1416*</t>
        </r>
        <r>
          <rPr>
            <sz val="8"/>
            <color indexed="81"/>
            <rFont val="Tahoma"/>
            <family val="2"/>
          </rPr>
          <t>T</t>
        </r>
        <r>
          <rPr>
            <vertAlign val="subscript"/>
            <sz val="8"/>
            <color indexed="81"/>
            <rFont val="Tahoma"/>
            <family val="2"/>
          </rPr>
          <t xml:space="preserve">c, on </t>
        </r>
        <r>
          <rPr>
            <sz val="8"/>
            <color indexed="81"/>
            <rFont val="Tahoma"/>
          </rPr>
          <t>*86400/(D</t>
        </r>
        <r>
          <rPr>
            <vertAlign val="subscript"/>
            <sz val="8"/>
            <color indexed="81"/>
            <rFont val="Tahoma"/>
            <family val="2"/>
          </rPr>
          <t>A3</t>
        </r>
        <r>
          <rPr>
            <sz val="8"/>
            <color indexed="81"/>
            <rFont val="Tahoma"/>
          </rPr>
          <t>*(n</t>
        </r>
        <r>
          <rPr>
            <vertAlign val="subscript"/>
            <sz val="8"/>
            <color indexed="81"/>
            <rFont val="Tahoma"/>
            <family val="2"/>
          </rPr>
          <t>a</t>
        </r>
        <r>
          <rPr>
            <sz val="8"/>
            <color indexed="81"/>
            <rFont val="Tahoma"/>
          </rPr>
          <t>+(K</t>
        </r>
        <r>
          <rPr>
            <vertAlign val="subscript"/>
            <sz val="8"/>
            <color indexed="81"/>
            <rFont val="Tahoma"/>
            <family val="2"/>
          </rPr>
          <t>d</t>
        </r>
        <r>
          <rPr>
            <vertAlign val="superscript"/>
            <sz val="8"/>
            <color indexed="81"/>
            <rFont val="Tahoma"/>
            <family val="2"/>
          </rPr>
          <t>ox</t>
        </r>
        <r>
          <rPr>
            <sz val="8"/>
            <color indexed="81"/>
            <rFont val="Tahoma"/>
          </rPr>
          <t>*TSS</t>
        </r>
        <r>
          <rPr>
            <vertAlign val="subscript"/>
            <sz val="8"/>
            <color indexed="81"/>
            <rFont val="Tahoma"/>
            <family val="2"/>
          </rPr>
          <t>sed</t>
        </r>
        <r>
          <rPr>
            <sz val="8"/>
            <color indexed="81"/>
            <rFont val="Tahoma"/>
          </rPr>
          <t xml:space="preserve">/(H'*1000)))))^0.5
</t>
        </r>
      </text>
    </comment>
    <comment ref="AQ5" authorId="1" shapeId="0" xr:uid="{00000000-0006-0000-0700-00001B000000}">
      <text>
        <r>
          <rPr>
            <b/>
            <sz val="8"/>
            <color indexed="81"/>
            <rFont val="Tahoma"/>
          </rPr>
          <t>q*</t>
        </r>
        <r>
          <rPr>
            <b/>
            <vertAlign val="superscript"/>
            <sz val="8"/>
            <color indexed="81"/>
            <rFont val="Tahoma"/>
            <family val="2"/>
          </rPr>
          <t>d</t>
        </r>
        <r>
          <rPr>
            <b/>
            <vertAlign val="subscript"/>
            <sz val="8"/>
            <color indexed="81"/>
            <rFont val="Tahoma"/>
            <family val="2"/>
          </rPr>
          <t>sed</t>
        </r>
        <r>
          <rPr>
            <b/>
            <sz val="8"/>
            <color indexed="81"/>
            <rFont val="Tahoma"/>
          </rPr>
          <t>/Part A</t>
        </r>
        <r>
          <rPr>
            <sz val="8"/>
            <color indexed="81"/>
            <rFont val="Tahoma"/>
          </rPr>
          <t xml:space="preserve">
</t>
        </r>
      </text>
    </comment>
    <comment ref="AR5" authorId="1" shapeId="0" xr:uid="{00000000-0006-0000-0700-00001C000000}">
      <text>
        <r>
          <rPr>
            <sz val="8"/>
            <color indexed="81"/>
            <rFont val="Tahoma"/>
          </rPr>
          <t>(2*Part C)/(1000*(1/K</t>
        </r>
        <r>
          <rPr>
            <vertAlign val="subscript"/>
            <sz val="8"/>
            <color indexed="81"/>
            <rFont val="Tahoma"/>
            <family val="2"/>
          </rPr>
          <t>G</t>
        </r>
        <r>
          <rPr>
            <sz val="8"/>
            <color indexed="81"/>
            <rFont val="Tahoma"/>
          </rPr>
          <t xml:space="preserve">+Part B))
</t>
        </r>
      </text>
    </comment>
    <comment ref="AS5" authorId="1" shapeId="0" xr:uid="{00000000-0006-0000-0700-00001D000000}">
      <text>
        <r>
          <rPr>
            <sz val="8"/>
            <color indexed="81"/>
            <rFont val="Tahoma"/>
          </rPr>
          <t>N</t>
        </r>
        <r>
          <rPr>
            <vertAlign val="superscript"/>
            <sz val="8"/>
            <color indexed="81"/>
            <rFont val="Tahoma"/>
            <family val="2"/>
          </rPr>
          <t>d</t>
        </r>
        <r>
          <rPr>
            <vertAlign val="subscript"/>
            <sz val="8"/>
            <color indexed="81"/>
            <rFont val="Tahoma"/>
            <family val="2"/>
          </rPr>
          <t>on</t>
        </r>
        <r>
          <rPr>
            <sz val="8"/>
            <color indexed="81"/>
            <rFont val="Tahoma"/>
          </rPr>
          <t xml:space="preserve">*(L*W*10,000)
</t>
        </r>
      </text>
    </comment>
    <comment ref="AT5" authorId="1" shapeId="0" xr:uid="{00000000-0006-0000-0700-00001E000000}">
      <text>
        <r>
          <rPr>
            <sz val="8"/>
            <color indexed="81"/>
            <rFont val="Tahoma"/>
          </rPr>
          <t>(E</t>
        </r>
        <r>
          <rPr>
            <vertAlign val="superscript"/>
            <sz val="8"/>
            <color indexed="81"/>
            <rFont val="Tahoma"/>
            <family val="2"/>
          </rPr>
          <t>d</t>
        </r>
        <r>
          <rPr>
            <vertAlign val="subscript"/>
            <sz val="8"/>
            <color indexed="81"/>
            <rFont val="Tahoma"/>
            <family val="2"/>
          </rPr>
          <t>on</t>
        </r>
        <r>
          <rPr>
            <sz val="8"/>
            <color indexed="81"/>
            <rFont val="Tahoma"/>
          </rPr>
          <t>*1000)/(V</t>
        </r>
        <r>
          <rPr>
            <vertAlign val="subscript"/>
            <sz val="8"/>
            <color indexed="81"/>
            <rFont val="Tahoma"/>
            <family val="2"/>
          </rPr>
          <t>a</t>
        </r>
        <r>
          <rPr>
            <sz val="8"/>
            <color indexed="81"/>
            <rFont val="Tahoma"/>
          </rPr>
          <t xml:space="preserve">*3*W)
</t>
        </r>
      </text>
    </comment>
    <comment ref="AU5" authorId="2" shapeId="0" xr:uid="{00000000-0006-0000-0700-00001F000000}">
      <text>
        <r>
          <rPr>
            <sz val="10"/>
            <color indexed="81"/>
            <rFont val="Tahoma"/>
          </rPr>
          <t>C</t>
        </r>
        <r>
          <rPr>
            <vertAlign val="superscript"/>
            <sz val="10"/>
            <color indexed="81"/>
            <rFont val="Tahoma"/>
            <family val="2"/>
          </rPr>
          <t>d</t>
        </r>
        <r>
          <rPr>
            <vertAlign val="subscript"/>
            <sz val="10"/>
            <color indexed="81"/>
            <rFont val="Tahoma"/>
            <family val="2"/>
          </rPr>
          <t>a,on</t>
        </r>
        <r>
          <rPr>
            <sz val="10"/>
            <color indexed="81"/>
            <rFont val="Tahoma"/>
          </rPr>
          <t>*Drying breathing rate of on-site adult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Susan Bailey</author>
    <author>Michael Brooks</author>
  </authors>
  <commentList>
    <comment ref="B4" authorId="0" shapeId="0" xr:uid="{00000000-0006-0000-0800-000001000000}">
      <text>
        <r>
          <rPr>
            <b/>
            <sz val="8"/>
            <color indexed="81"/>
            <rFont val="Tahoma"/>
          </rPr>
          <t xml:space="preserve">1) "Missing Data" </t>
        </r>
        <r>
          <rPr>
            <sz val="8"/>
            <color indexed="81"/>
            <rFont val="Tahoma"/>
            <family val="2"/>
          </rPr>
          <t>indicates that a value for q was not input.</t>
        </r>
        <r>
          <rPr>
            <b/>
            <sz val="8"/>
            <color indexed="81"/>
            <rFont val="Tahoma"/>
          </rPr>
          <t xml:space="preserve">
2) "No Criteria"</t>
        </r>
        <r>
          <rPr>
            <sz val="8"/>
            <color indexed="81"/>
            <rFont val="Tahoma"/>
            <family val="2"/>
          </rPr>
          <t xml:space="preserve"> indicates sqreening criteria, q</t>
        </r>
        <r>
          <rPr>
            <vertAlign val="subscript"/>
            <sz val="8"/>
            <color indexed="81"/>
            <rFont val="Tahoma"/>
            <family val="2"/>
          </rPr>
          <t>sc</t>
        </r>
        <r>
          <rPr>
            <sz val="8"/>
            <color indexed="81"/>
            <rFont val="Tahoma"/>
            <family val="2"/>
          </rPr>
          <t>, is not available.</t>
        </r>
        <r>
          <rPr>
            <b/>
            <sz val="8"/>
            <color indexed="81"/>
            <rFont val="Tahoma"/>
          </rPr>
          <t xml:space="preserve">
3) "No"</t>
        </r>
        <r>
          <rPr>
            <sz val="8"/>
            <color indexed="81"/>
            <rFont val="Tahoma"/>
            <family val="2"/>
          </rPr>
          <t xml:space="preserve"> indicates q</t>
        </r>
        <r>
          <rPr>
            <vertAlign val="subscript"/>
            <sz val="8"/>
            <color indexed="81"/>
            <rFont val="Tahoma"/>
            <family val="2"/>
          </rPr>
          <t>DTPA</t>
        </r>
        <r>
          <rPr>
            <sz val="8"/>
            <color indexed="81"/>
            <rFont val="Tahoma"/>
            <family val="2"/>
          </rPr>
          <t xml:space="preserve"> does not exceed q</t>
        </r>
        <r>
          <rPr>
            <vertAlign val="superscript"/>
            <sz val="8"/>
            <color indexed="81"/>
            <rFont val="Tahoma"/>
            <family val="2"/>
          </rPr>
          <t>R</t>
        </r>
        <r>
          <rPr>
            <vertAlign val="subscript"/>
            <sz val="8"/>
            <color indexed="81"/>
            <rFont val="Tahoma"/>
            <family val="2"/>
          </rPr>
          <t>DTPA</t>
        </r>
        <r>
          <rPr>
            <sz val="8"/>
            <color indexed="81"/>
            <rFont val="Tahoma"/>
            <family val="2"/>
          </rPr>
          <t>, or q/SCF/100 does not exceed q</t>
        </r>
        <r>
          <rPr>
            <vertAlign val="subscript"/>
            <sz val="8"/>
            <color indexed="81"/>
            <rFont val="Tahoma"/>
            <family val="2"/>
          </rPr>
          <t>RM</t>
        </r>
        <r>
          <rPr>
            <sz val="8"/>
            <color indexed="81"/>
            <rFont val="Tahoma"/>
            <family val="2"/>
          </rPr>
          <t>/SCF</t>
        </r>
        <r>
          <rPr>
            <vertAlign val="subscript"/>
            <sz val="8"/>
            <color indexed="81"/>
            <rFont val="Tahoma"/>
            <family val="2"/>
          </rPr>
          <t>ref</t>
        </r>
        <r>
          <rPr>
            <sz val="8"/>
            <color indexed="81"/>
            <rFont val="Tahoma"/>
            <family val="2"/>
          </rPr>
          <t>/100 or q</t>
        </r>
        <r>
          <rPr>
            <vertAlign val="subscript"/>
            <sz val="8"/>
            <color indexed="81"/>
            <rFont val="Tahoma"/>
            <family val="2"/>
          </rPr>
          <t>SC</t>
        </r>
        <r>
          <rPr>
            <sz val="8"/>
            <color indexed="81"/>
            <rFont val="Tahoma"/>
            <family val="2"/>
          </rPr>
          <t>.</t>
        </r>
        <r>
          <rPr>
            <b/>
            <sz val="8"/>
            <color indexed="81"/>
            <rFont val="Tahoma"/>
          </rPr>
          <t xml:space="preserve">
4) "Needed"</t>
        </r>
        <r>
          <rPr>
            <sz val="8"/>
            <color indexed="81"/>
            <rFont val="Tahoma"/>
            <family val="2"/>
          </rPr>
          <t xml:space="preserve"> indicates the screen comparison was exceeded (q/SCF/100 &gt; q</t>
        </r>
        <r>
          <rPr>
            <vertAlign val="subscript"/>
            <sz val="8"/>
            <color indexed="81"/>
            <rFont val="Tahoma"/>
            <family val="2"/>
          </rPr>
          <t>SC</t>
        </r>
        <r>
          <rPr>
            <sz val="8"/>
            <color indexed="81"/>
            <rFont val="Tahoma"/>
            <family val="2"/>
          </rPr>
          <t>) and the DTPA and Reference comparisons were also exceeded or had insuficient information.</t>
        </r>
        <r>
          <rPr>
            <b/>
            <sz val="8"/>
            <color indexed="81"/>
            <rFont val="Tahoma"/>
          </rPr>
          <t xml:space="preserve">
5) "     "</t>
        </r>
        <r>
          <rPr>
            <sz val="8"/>
            <color indexed="81"/>
            <rFont val="Tahoma"/>
            <family val="2"/>
          </rPr>
          <t xml:space="preserve"> indicates values for q and q</t>
        </r>
        <r>
          <rPr>
            <vertAlign val="subscript"/>
            <sz val="8"/>
            <color indexed="81"/>
            <rFont val="Tahoma"/>
            <family val="2"/>
          </rPr>
          <t>DTPA</t>
        </r>
        <r>
          <rPr>
            <sz val="8"/>
            <color indexed="81"/>
            <rFont val="Tahoma"/>
            <family val="2"/>
          </rPr>
          <t xml:space="preserve"> were not input.
</t>
        </r>
        <r>
          <rPr>
            <b/>
            <sz val="8"/>
            <color indexed="81"/>
            <rFont val="Tahoma"/>
            <family val="2"/>
          </rPr>
          <t>6) "---"</t>
        </r>
        <r>
          <rPr>
            <sz val="8"/>
            <color indexed="81"/>
            <rFont val="Tahoma"/>
            <family val="2"/>
          </rPr>
          <t xml:space="preserve"> indicates Tier II screening not required.</t>
        </r>
        <r>
          <rPr>
            <sz val="8"/>
            <color indexed="81"/>
            <rFont val="Tahoma"/>
          </rPr>
          <t xml:space="preserve">
</t>
        </r>
      </text>
    </comment>
    <comment ref="D5" authorId="1" shapeId="0" xr:uid="{00000000-0006-0000-0800-000002000000}">
      <text>
        <r>
          <rPr>
            <b/>
            <sz val="8"/>
            <color indexed="81"/>
            <rFont val="Tahoma"/>
            <family val="2"/>
          </rPr>
          <t>D</t>
        </r>
        <r>
          <rPr>
            <sz val="8"/>
            <color indexed="81"/>
            <rFont val="Tahoma"/>
          </rPr>
          <t>iethylene</t>
        </r>
        <r>
          <rPr>
            <b/>
            <sz val="8"/>
            <color indexed="81"/>
            <rFont val="Tahoma"/>
            <family val="2"/>
          </rPr>
          <t>T</t>
        </r>
        <r>
          <rPr>
            <sz val="8"/>
            <color indexed="81"/>
            <rFont val="Tahoma"/>
          </rPr>
          <t>riamine-</t>
        </r>
        <r>
          <rPr>
            <b/>
            <sz val="8"/>
            <color indexed="81"/>
            <rFont val="Tahoma"/>
            <family val="2"/>
          </rPr>
          <t>P</t>
        </r>
        <r>
          <rPr>
            <sz val="8"/>
            <color indexed="81"/>
            <rFont val="Tahoma"/>
          </rPr>
          <t xml:space="preserve">entaacetic </t>
        </r>
        <r>
          <rPr>
            <b/>
            <sz val="8"/>
            <color indexed="81"/>
            <rFont val="Tahoma"/>
            <family val="2"/>
          </rPr>
          <t>A</t>
        </r>
        <r>
          <rPr>
            <sz val="8"/>
            <color indexed="81"/>
            <rFont val="Tahoma"/>
          </rPr>
          <t>cid</t>
        </r>
      </text>
    </comment>
    <comment ref="E5" authorId="1" shapeId="0" xr:uid="{00000000-0006-0000-0800-000003000000}">
      <text>
        <r>
          <rPr>
            <b/>
            <sz val="8"/>
            <color indexed="81"/>
            <rFont val="Tahoma"/>
            <family val="2"/>
          </rPr>
          <t>D</t>
        </r>
        <r>
          <rPr>
            <sz val="8"/>
            <color indexed="81"/>
            <rFont val="Tahoma"/>
          </rPr>
          <t>iethylene</t>
        </r>
        <r>
          <rPr>
            <b/>
            <sz val="8"/>
            <color indexed="81"/>
            <rFont val="Tahoma"/>
            <family val="2"/>
          </rPr>
          <t>T</t>
        </r>
        <r>
          <rPr>
            <sz val="8"/>
            <color indexed="81"/>
            <rFont val="Tahoma"/>
          </rPr>
          <t>riamine-</t>
        </r>
        <r>
          <rPr>
            <b/>
            <sz val="8"/>
            <color indexed="81"/>
            <rFont val="Tahoma"/>
            <family val="2"/>
          </rPr>
          <t>P</t>
        </r>
        <r>
          <rPr>
            <sz val="8"/>
            <color indexed="81"/>
            <rFont val="Tahoma"/>
          </rPr>
          <t xml:space="preserve">entaacetic </t>
        </r>
        <r>
          <rPr>
            <b/>
            <sz val="8"/>
            <color indexed="81"/>
            <rFont val="Tahoma"/>
            <family val="2"/>
          </rPr>
          <t>A</t>
        </r>
        <r>
          <rPr>
            <sz val="8"/>
            <color indexed="81"/>
            <rFont val="Tahoma"/>
          </rPr>
          <t>cid</t>
        </r>
      </text>
    </comment>
    <comment ref="H5" authorId="1" shapeId="0" xr:uid="{00000000-0006-0000-0800-000004000000}">
      <text>
        <r>
          <rPr>
            <sz val="8"/>
            <color indexed="81"/>
            <rFont val="Tahoma"/>
            <family val="2"/>
          </rPr>
          <t>If (q</t>
        </r>
        <r>
          <rPr>
            <vertAlign val="subscript"/>
            <sz val="8"/>
            <color indexed="81"/>
            <rFont val="Tahoma"/>
            <family val="2"/>
          </rPr>
          <t>DTPA</t>
        </r>
        <r>
          <rPr>
            <sz val="8"/>
            <color indexed="81"/>
            <rFont val="Tahoma"/>
            <family val="2"/>
          </rPr>
          <t>)(100/SCF) &gt; (q</t>
        </r>
        <r>
          <rPr>
            <vertAlign val="superscript"/>
            <sz val="8"/>
            <color indexed="81"/>
            <rFont val="Tahoma"/>
            <family val="2"/>
          </rPr>
          <t>R</t>
        </r>
        <r>
          <rPr>
            <vertAlign val="subscript"/>
            <sz val="8"/>
            <color indexed="81"/>
            <rFont val="Tahoma"/>
            <family val="2"/>
          </rPr>
          <t>DTPA</t>
        </r>
        <r>
          <rPr>
            <sz val="8"/>
            <color indexed="81"/>
            <rFont val="Tahoma"/>
            <family val="2"/>
          </rPr>
          <t>)(100/SCF</t>
        </r>
        <r>
          <rPr>
            <vertAlign val="superscript"/>
            <sz val="8"/>
            <color indexed="81"/>
            <rFont val="Tahoma"/>
            <family val="2"/>
          </rPr>
          <t>R</t>
        </r>
        <r>
          <rPr>
            <vertAlign val="subscript"/>
            <sz val="8"/>
            <color indexed="81"/>
            <rFont val="Tahoma"/>
            <family val="2"/>
          </rPr>
          <t>DTPA</t>
        </r>
        <r>
          <rPr>
            <sz val="8"/>
            <color indexed="81"/>
            <rFont val="Tahoma"/>
            <family val="2"/>
          </rPr>
          <t>), 
Then "Exceeded", 
Otherwise "OK"</t>
        </r>
      </text>
    </comment>
    <comment ref="I5" authorId="1" shapeId="0" xr:uid="{00000000-0006-0000-0800-000005000000}">
      <text>
        <r>
          <rPr>
            <sz val="8"/>
            <color indexed="81"/>
            <rFont val="Tahoma"/>
            <family val="2"/>
          </rPr>
          <t>If (q)(100/SCF) &gt; (q</t>
        </r>
        <r>
          <rPr>
            <vertAlign val="subscript"/>
            <sz val="8"/>
            <color indexed="81"/>
            <rFont val="Tahoma"/>
            <family val="2"/>
          </rPr>
          <t>RM</t>
        </r>
        <r>
          <rPr>
            <sz val="8"/>
            <color indexed="81"/>
            <rFont val="Tahoma"/>
            <family val="2"/>
          </rPr>
          <t>)(100/SCF</t>
        </r>
        <r>
          <rPr>
            <vertAlign val="subscript"/>
            <sz val="8"/>
            <color indexed="81"/>
            <rFont val="Tahoma"/>
            <family val="2"/>
          </rPr>
          <t>RM</t>
        </r>
        <r>
          <rPr>
            <sz val="8"/>
            <color indexed="81"/>
            <rFont val="Tahoma"/>
            <family val="2"/>
          </rPr>
          <t>), 
Then "Exceeded", 
Otherwise "OK"</t>
        </r>
      </text>
    </comment>
    <comment ref="J5" authorId="1" shapeId="0" xr:uid="{00000000-0006-0000-0800-000006000000}">
      <text>
        <r>
          <rPr>
            <sz val="8"/>
            <color indexed="81"/>
            <rFont val="Tahoma"/>
            <family val="2"/>
          </rPr>
          <t>If q &gt; (q</t>
        </r>
        <r>
          <rPr>
            <vertAlign val="subscript"/>
            <sz val="8"/>
            <color indexed="81"/>
            <rFont val="Tahoma"/>
            <family val="2"/>
          </rPr>
          <t>SC</t>
        </r>
        <r>
          <rPr>
            <sz val="8"/>
            <color indexed="81"/>
            <rFont val="Tahoma"/>
            <family val="2"/>
          </rPr>
          <t>)(SCF/100), 
Then "Exceeded", 
Otherwise "OK"</t>
        </r>
      </text>
    </comment>
  </commentList>
</comments>
</file>

<file path=xl/sharedStrings.xml><?xml version="1.0" encoding="utf-8"?>
<sst xmlns="http://schemas.openxmlformats.org/spreadsheetml/2006/main" count="7134" uniqueCount="856">
  <si>
    <t>INSTRUCTIONS:  Complete steps 1 through 4 located on</t>
  </si>
  <si>
    <t>sheets "Start", "Data", and "ChemData".</t>
  </si>
  <si>
    <t>Note: User input required only in areas with yellow shading.</t>
  </si>
  <si>
    <r>
      <t>Step 1</t>
    </r>
    <r>
      <rPr>
        <b/>
        <sz val="10"/>
        <rFont val="Arial"/>
        <family val="2"/>
      </rPr>
      <t>.  Enter "x" in the column below to indicate those pathways</t>
    </r>
  </si>
  <si>
    <t>where Tier I results indicated further screening was required.</t>
  </si>
  <si>
    <r>
      <t>6</t>
    </r>
    <r>
      <rPr>
        <sz val="10"/>
        <color indexed="10"/>
        <rFont val="Arial"/>
        <family val="2"/>
      </rPr>
      <t xml:space="preserve">  </t>
    </r>
    <r>
      <rPr>
        <sz val="12"/>
        <color indexed="10"/>
        <rFont val="Arial"/>
        <family val="2"/>
      </rPr>
      <t xml:space="preserve"> Enter</t>
    </r>
  </si>
  <si>
    <t>Effluent</t>
  </si>
  <si>
    <t>Runoff</t>
  </si>
  <si>
    <t>Leachate</t>
  </si>
  <si>
    <t>x</t>
  </si>
  <si>
    <t>Volatilization</t>
  </si>
  <si>
    <t>Plant &amp; Animal</t>
  </si>
  <si>
    <r>
      <t>STEP 2.</t>
    </r>
    <r>
      <rPr>
        <b/>
        <sz val="10"/>
        <rFont val="Arial"/>
        <family val="2"/>
      </rPr>
      <t xml:space="preserve">  Enter the data requested below for sediment properties and contaminant</t>
    </r>
  </si>
  <si>
    <t xml:space="preserve"> pathway parameters.  Data must be entered with the units as shown.</t>
  </si>
  <si>
    <t>In Situ Sediment Properties</t>
  </si>
  <si>
    <t>Symbol</t>
  </si>
  <si>
    <t>Units</t>
  </si>
  <si>
    <t>Value</t>
  </si>
  <si>
    <t>Total Organic Carbon</t>
  </si>
  <si>
    <t>TOC</t>
  </si>
  <si>
    <t>%</t>
  </si>
  <si>
    <r>
      <t xml:space="preserve">3 </t>
    </r>
    <r>
      <rPr>
        <b/>
        <sz val="10"/>
        <color indexed="10"/>
        <rFont val="Arial"/>
        <family val="2"/>
      </rPr>
      <t>Enter</t>
    </r>
  </si>
  <si>
    <t>Side Bar</t>
  </si>
  <si>
    <t>Silt &amp; Clay Fraction</t>
  </si>
  <si>
    <t>SCF</t>
  </si>
  <si>
    <t>Selection of Enrichment Factor (EF)</t>
  </si>
  <si>
    <t>Clay Fraction</t>
  </si>
  <si>
    <t>CF</t>
  </si>
  <si>
    <t xml:space="preserve">Hydraulically placed dredged material, </t>
  </si>
  <si>
    <t>Effective Clay Fraction</t>
  </si>
  <si>
    <r>
      <t>CF</t>
    </r>
    <r>
      <rPr>
        <vertAlign val="subscript"/>
        <sz val="10"/>
        <rFont val="Arial"/>
        <family val="2"/>
      </rPr>
      <t>eff</t>
    </r>
  </si>
  <si>
    <r>
      <t xml:space="preserve">           EF   =   100/C</t>
    </r>
    <r>
      <rPr>
        <vertAlign val="subscript"/>
        <sz val="10"/>
        <rFont val="Arial"/>
        <family val="2"/>
      </rPr>
      <t>eff</t>
    </r>
    <r>
      <rPr>
        <sz val="10"/>
        <rFont val="Arial"/>
        <family val="2"/>
      </rPr>
      <t xml:space="preserve">  = </t>
    </r>
  </si>
  <si>
    <t>Enrichment Factor</t>
  </si>
  <si>
    <t>EF</t>
  </si>
  <si>
    <t>-</t>
  </si>
  <si>
    <t xml:space="preserve">Mechanically placed dredged material, EF = </t>
  </si>
  <si>
    <t>Specific Gravity</t>
  </si>
  <si>
    <t>SG</t>
  </si>
  <si>
    <t>Dissolved Organic Carbon</t>
  </si>
  <si>
    <t>DOC</t>
  </si>
  <si>
    <t>mg/L</t>
  </si>
  <si>
    <t>Water Content</t>
  </si>
  <si>
    <t>w</t>
  </si>
  <si>
    <t>Alternative formulations to calculate w</t>
  </si>
  <si>
    <t xml:space="preserve">Void Ratio </t>
  </si>
  <si>
    <t>e</t>
  </si>
  <si>
    <t xml:space="preserve">Given e = </t>
  </si>
  <si>
    <t>,  then w =</t>
  </si>
  <si>
    <t>Porosity</t>
  </si>
  <si>
    <r>
      <t>n</t>
    </r>
    <r>
      <rPr>
        <vertAlign val="subscript"/>
        <sz val="10"/>
        <rFont val="Arial"/>
        <family val="2"/>
      </rPr>
      <t>sed</t>
    </r>
  </si>
  <si>
    <r>
      <t>Given n</t>
    </r>
    <r>
      <rPr>
        <vertAlign val="subscript"/>
        <sz val="10"/>
        <rFont val="Arial"/>
        <family val="2"/>
      </rPr>
      <t>sed</t>
    </r>
    <r>
      <rPr>
        <sz val="10"/>
        <rFont val="Arial"/>
        <family val="2"/>
      </rPr>
      <t xml:space="preserve"> =</t>
    </r>
  </si>
  <si>
    <t>Solids Concentration</t>
  </si>
  <si>
    <r>
      <t>TSS</t>
    </r>
    <r>
      <rPr>
        <vertAlign val="subscript"/>
        <sz val="10"/>
        <rFont val="Arial"/>
        <family val="2"/>
      </rPr>
      <t>sed</t>
    </r>
  </si>
  <si>
    <t>g/L</t>
  </si>
  <si>
    <r>
      <t>Given TSS</t>
    </r>
    <r>
      <rPr>
        <vertAlign val="subscript"/>
        <sz val="10"/>
        <rFont val="Arial"/>
        <family val="2"/>
      </rPr>
      <t>sed</t>
    </r>
    <r>
      <rPr>
        <sz val="10"/>
        <rFont val="Arial"/>
        <family val="2"/>
      </rPr>
      <t xml:space="preserve"> =</t>
    </r>
  </si>
  <si>
    <r>
      <t>,  then w</t>
    </r>
    <r>
      <rPr>
        <sz val="10"/>
        <rFont val="Arial"/>
        <family val="2"/>
      </rPr>
      <t xml:space="preserve"> =</t>
    </r>
  </si>
  <si>
    <t>Hydraulic Dredging Operational Parameters</t>
  </si>
  <si>
    <t>Influent Slurry Solids Concentration</t>
  </si>
  <si>
    <r>
      <t>TSS</t>
    </r>
    <r>
      <rPr>
        <vertAlign val="subscript"/>
        <sz val="10"/>
        <rFont val="Arial"/>
        <family val="2"/>
      </rPr>
      <t>sl</t>
    </r>
  </si>
  <si>
    <t>Influent Slurry Porosity</t>
  </si>
  <si>
    <r>
      <t>n</t>
    </r>
    <r>
      <rPr>
        <vertAlign val="subscript"/>
        <sz val="10"/>
        <rFont val="Arial"/>
        <family val="2"/>
      </rPr>
      <t>sl</t>
    </r>
  </si>
  <si>
    <r>
      <t>TSS</t>
    </r>
    <r>
      <rPr>
        <vertAlign val="subscript"/>
        <sz val="10"/>
        <rFont val="Arial"/>
        <family val="2"/>
      </rPr>
      <t>sl</t>
    </r>
    <r>
      <rPr>
        <sz val="10"/>
        <rFont val="Arial"/>
        <family val="2"/>
      </rPr>
      <t xml:space="preserve"> can be estimated from the sediment</t>
    </r>
  </si>
  <si>
    <t>grain-size distribution, if available.</t>
  </si>
  <si>
    <t>Effluent Parameters</t>
  </si>
  <si>
    <t>%Fines</t>
  </si>
  <si>
    <t>Dilution within Mixing Zone</t>
  </si>
  <si>
    <t>D</t>
  </si>
  <si>
    <t>%Coarse</t>
  </si>
  <si>
    <t>Background Exceedance</t>
  </si>
  <si>
    <r>
      <t>TSS</t>
    </r>
    <r>
      <rPr>
        <vertAlign val="subscript"/>
        <sz val="10"/>
        <rFont val="Arial"/>
        <family val="2"/>
      </rPr>
      <t>sl</t>
    </r>
    <r>
      <rPr>
        <sz val="10"/>
        <rFont val="Arial"/>
        <family val="2"/>
      </rPr>
      <t xml:space="preserve">  =</t>
    </r>
  </si>
  <si>
    <t xml:space="preserve">Or, assuming 1 part sediment sample </t>
  </si>
  <si>
    <t>Runoff Parameters</t>
  </si>
  <si>
    <t xml:space="preserve">is diluted with 4.5 parts carrier water </t>
  </si>
  <si>
    <t>(neglecting solids in the carrier water):</t>
  </si>
  <si>
    <t>Unoxidized Runoff Solids Conc.</t>
  </si>
  <si>
    <r>
      <t>TSS</t>
    </r>
    <r>
      <rPr>
        <vertAlign val="subscript"/>
        <sz val="10"/>
        <rFont val="Arial"/>
        <family val="2"/>
      </rPr>
      <t>run</t>
    </r>
    <r>
      <rPr>
        <vertAlign val="superscript"/>
        <sz val="10"/>
        <rFont val="Arial"/>
        <family val="2"/>
      </rPr>
      <t>unox</t>
    </r>
  </si>
  <si>
    <t>Unoxidized Runoff-Sediment Slurry Porosity</t>
  </si>
  <si>
    <r>
      <t>n</t>
    </r>
    <r>
      <rPr>
        <vertAlign val="subscript"/>
        <sz val="10"/>
        <rFont val="Arial"/>
        <family val="2"/>
      </rPr>
      <t>run</t>
    </r>
    <r>
      <rPr>
        <vertAlign val="superscript"/>
        <sz val="10"/>
        <rFont val="Arial"/>
        <family val="2"/>
      </rPr>
      <t>unox</t>
    </r>
  </si>
  <si>
    <t>Oxidized Runoff Solids Conc.</t>
  </si>
  <si>
    <r>
      <t>TSS</t>
    </r>
    <r>
      <rPr>
        <vertAlign val="subscript"/>
        <sz val="10"/>
        <rFont val="Arial"/>
        <family val="2"/>
      </rPr>
      <t>run</t>
    </r>
    <r>
      <rPr>
        <vertAlign val="superscript"/>
        <sz val="10"/>
        <rFont val="Arial"/>
        <family val="2"/>
      </rPr>
      <t>ox</t>
    </r>
  </si>
  <si>
    <t>Oxidized Runoff-Sediment Slurry Porosity</t>
  </si>
  <si>
    <r>
      <t>n</t>
    </r>
    <r>
      <rPr>
        <vertAlign val="subscript"/>
        <sz val="10"/>
        <rFont val="Arial"/>
        <family val="2"/>
      </rPr>
      <t>run</t>
    </r>
    <r>
      <rPr>
        <vertAlign val="superscript"/>
        <sz val="10"/>
        <rFont val="Arial"/>
        <family val="2"/>
      </rPr>
      <t>ox</t>
    </r>
  </si>
  <si>
    <t>Volatilization Exposure Parameters</t>
  </si>
  <si>
    <t>Average Weight of Off-site Child</t>
  </si>
  <si>
    <r>
      <t>Wt</t>
    </r>
    <r>
      <rPr>
        <vertAlign val="subscript"/>
        <sz val="10"/>
        <rFont val="Arial"/>
        <family val="2"/>
      </rPr>
      <t>child</t>
    </r>
  </si>
  <si>
    <t>kg</t>
  </si>
  <si>
    <t>Off-Site Exposure Period</t>
  </si>
  <si>
    <r>
      <t>T</t>
    </r>
    <r>
      <rPr>
        <vertAlign val="subscript"/>
        <sz val="10"/>
        <rFont val="Arial"/>
        <family val="2"/>
      </rPr>
      <t>exp,off</t>
    </r>
  </si>
  <si>
    <t>min/day</t>
  </si>
  <si>
    <t>Respiration Rate of Off-site Child</t>
  </si>
  <si>
    <r>
      <t>RR</t>
    </r>
    <r>
      <rPr>
        <vertAlign val="subscript"/>
        <sz val="10"/>
        <rFont val="Arial"/>
        <family val="2"/>
      </rPr>
      <t>child</t>
    </r>
  </si>
  <si>
    <t>L/min</t>
  </si>
  <si>
    <t>Breathing Rate of Off-site Child</t>
  </si>
  <si>
    <r>
      <t>BR</t>
    </r>
    <r>
      <rPr>
        <vertAlign val="subscript"/>
        <sz val="10"/>
        <rFont val="Arial"/>
        <family val="2"/>
      </rPr>
      <t>child</t>
    </r>
  </si>
  <si>
    <r>
      <t>m</t>
    </r>
    <r>
      <rPr>
        <vertAlign val="superscript"/>
        <sz val="10"/>
        <rFont val="Arial"/>
        <family val="2"/>
      </rPr>
      <t>3</t>
    </r>
    <r>
      <rPr>
        <sz val="10"/>
        <rFont val="Arial"/>
        <family val="2"/>
      </rPr>
      <t>/day/kg</t>
    </r>
  </si>
  <si>
    <t>Average Weight of On-site Adult</t>
  </si>
  <si>
    <r>
      <t>Wt</t>
    </r>
    <r>
      <rPr>
        <vertAlign val="subscript"/>
        <sz val="10"/>
        <rFont val="Arial"/>
        <family val="2"/>
      </rPr>
      <t>adult</t>
    </r>
  </si>
  <si>
    <t>Respiration Rate of On-site Adult</t>
  </si>
  <si>
    <t>RR</t>
  </si>
  <si>
    <t>On-Site Ponded Exposure Period</t>
  </si>
  <si>
    <r>
      <t>T</t>
    </r>
    <r>
      <rPr>
        <vertAlign val="superscript"/>
        <sz val="10"/>
        <rFont val="Arial"/>
        <family val="2"/>
      </rPr>
      <t>P</t>
    </r>
    <r>
      <rPr>
        <vertAlign val="subscript"/>
        <sz val="10"/>
        <rFont val="Arial"/>
        <family val="2"/>
      </rPr>
      <t>exp,on</t>
    </r>
  </si>
  <si>
    <t>On-Site Drying Exposure Period</t>
  </si>
  <si>
    <r>
      <t>T</t>
    </r>
    <r>
      <rPr>
        <vertAlign val="superscript"/>
        <sz val="10"/>
        <rFont val="Arial"/>
        <family val="2"/>
      </rPr>
      <t>D</t>
    </r>
    <r>
      <rPr>
        <vertAlign val="subscript"/>
        <sz val="10"/>
        <rFont val="Arial"/>
        <family val="2"/>
      </rPr>
      <t>exp,on</t>
    </r>
  </si>
  <si>
    <t>Ponded Breathing Rate of On-site Adult</t>
  </si>
  <si>
    <r>
      <t>BR</t>
    </r>
    <r>
      <rPr>
        <vertAlign val="superscript"/>
        <sz val="10"/>
        <rFont val="Arial"/>
        <family val="2"/>
      </rPr>
      <t>P</t>
    </r>
    <r>
      <rPr>
        <vertAlign val="subscript"/>
        <sz val="10"/>
        <rFont val="Arial"/>
        <family val="2"/>
      </rPr>
      <t>adult</t>
    </r>
  </si>
  <si>
    <t>Off Site</t>
  </si>
  <si>
    <t>Air Concentration</t>
  </si>
  <si>
    <t>Drying Breathing Rate of On-site Adult</t>
  </si>
  <si>
    <r>
      <t>BR</t>
    </r>
    <r>
      <rPr>
        <vertAlign val="superscript"/>
        <sz val="10"/>
        <rFont val="Arial"/>
        <family val="2"/>
      </rPr>
      <t>D</t>
    </r>
    <r>
      <rPr>
        <vertAlign val="subscript"/>
        <sz val="10"/>
        <rFont val="Arial"/>
        <family val="2"/>
      </rPr>
      <t>adult</t>
    </r>
  </si>
  <si>
    <t>Distance</t>
  </si>
  <si>
    <r>
      <t>mg/m</t>
    </r>
    <r>
      <rPr>
        <vertAlign val="superscript"/>
        <sz val="10"/>
        <rFont val="Arial"/>
        <family val="2"/>
      </rPr>
      <t>3</t>
    </r>
    <r>
      <rPr>
        <sz val="10"/>
        <rFont val="Arial"/>
        <family val="2"/>
      </rPr>
      <t xml:space="preserve"> per</t>
    </r>
  </si>
  <si>
    <t>Wind Speed</t>
  </si>
  <si>
    <r>
      <t>v</t>
    </r>
    <r>
      <rPr>
        <vertAlign val="subscript"/>
        <sz val="10"/>
        <rFont val="Arial"/>
        <family val="2"/>
      </rPr>
      <t>a</t>
    </r>
  </si>
  <si>
    <t>m/s</t>
  </si>
  <si>
    <t>(m)</t>
  </si>
  <si>
    <r>
      <t>1 g/</t>
    </r>
    <r>
      <rPr>
        <sz val="10"/>
        <rFont val="Arial"/>
        <family val="2"/>
      </rPr>
      <t>s emitted</t>
    </r>
  </si>
  <si>
    <t>Wind-driven Water Velocity</t>
  </si>
  <si>
    <r>
      <t>v</t>
    </r>
    <r>
      <rPr>
        <vertAlign val="subscript"/>
        <sz val="10"/>
        <rFont val="Arial"/>
        <family val="2"/>
      </rPr>
      <t>w</t>
    </r>
  </si>
  <si>
    <t>Temperature of Ponded Water</t>
  </si>
  <si>
    <t>T</t>
  </si>
  <si>
    <t>deg K</t>
  </si>
  <si>
    <t>Water Depth</t>
  </si>
  <si>
    <t>Z</t>
  </si>
  <si>
    <t>m</t>
  </si>
  <si>
    <t>Length of CDF Cell</t>
  </si>
  <si>
    <t>L</t>
  </si>
  <si>
    <t>Width of CDF Cell</t>
  </si>
  <si>
    <t>W</t>
  </si>
  <si>
    <t>Unit Air Conc Factor</t>
  </si>
  <si>
    <t>U</t>
  </si>
  <si>
    <r>
      <t>(mg/m</t>
    </r>
    <r>
      <rPr>
        <vertAlign val="superscript"/>
        <sz val="10"/>
        <rFont val="Arial"/>
        <family val="2"/>
      </rPr>
      <t>3</t>
    </r>
    <r>
      <rPr>
        <sz val="10"/>
        <rFont val="Arial"/>
        <family val="2"/>
      </rPr>
      <t>)/(g/s)</t>
    </r>
  </si>
  <si>
    <t>Air-filled Porosity during Drying</t>
  </si>
  <si>
    <r>
      <t>n</t>
    </r>
    <r>
      <rPr>
        <vertAlign val="subscript"/>
        <sz val="10"/>
        <rFont val="Arial"/>
        <family val="2"/>
      </rPr>
      <t>a</t>
    </r>
  </si>
  <si>
    <t>Linear Interpolation:</t>
  </si>
  <si>
    <t>Critical On-site Exposure Period during Drying</t>
  </si>
  <si>
    <r>
      <t>T</t>
    </r>
    <r>
      <rPr>
        <vertAlign val="subscript"/>
        <sz val="10"/>
        <rFont val="Arial"/>
        <family val="2"/>
      </rPr>
      <t>c, on</t>
    </r>
  </si>
  <si>
    <t>day</t>
  </si>
  <si>
    <t>Enter off-site distance (between</t>
  </si>
  <si>
    <t>Critical Off-site Exposure Period during Drying</t>
  </si>
  <si>
    <r>
      <t>T</t>
    </r>
    <r>
      <rPr>
        <vertAlign val="subscript"/>
        <sz val="10"/>
        <rFont val="Arial"/>
        <family val="2"/>
      </rPr>
      <t>c, off</t>
    </r>
  </si>
  <si>
    <t>20 and 1000 m) in cell G58</t>
  </si>
  <si>
    <t>Plant and Animal Uptake Parameters</t>
  </si>
  <si>
    <t>Silt &amp; Clay Fraction for Reference Soil</t>
  </si>
  <si>
    <r>
      <t>SCF</t>
    </r>
    <r>
      <rPr>
        <vertAlign val="subscript"/>
        <sz val="10"/>
        <rFont val="Arial"/>
        <family val="2"/>
      </rPr>
      <t>ref</t>
    </r>
  </si>
  <si>
    <t>Total Organic Carbon of Reference Soil</t>
  </si>
  <si>
    <r>
      <t>TOC</t>
    </r>
    <r>
      <rPr>
        <vertAlign val="subscript"/>
        <sz val="10"/>
        <rFont val="Arial"/>
      </rPr>
      <t>ref</t>
    </r>
  </si>
  <si>
    <t>Leachate Parameters</t>
  </si>
  <si>
    <t>Distance from Edge of CDF to Receptor</t>
  </si>
  <si>
    <r>
      <t>D</t>
    </r>
    <r>
      <rPr>
        <vertAlign val="subscript"/>
        <sz val="10"/>
        <rFont val="Arial"/>
        <family val="2"/>
      </rPr>
      <t>receptor</t>
    </r>
  </si>
  <si>
    <t>Area of CDF Cell</t>
  </si>
  <si>
    <r>
      <t>A</t>
    </r>
    <r>
      <rPr>
        <vertAlign val="subscript"/>
        <sz val="10"/>
        <rFont val="Arial"/>
        <family val="2"/>
      </rPr>
      <t>f</t>
    </r>
  </si>
  <si>
    <r>
      <t>m</t>
    </r>
    <r>
      <rPr>
        <vertAlign val="superscript"/>
        <sz val="10"/>
        <rFont val="Arial"/>
        <family val="2"/>
      </rPr>
      <t>2</t>
    </r>
  </si>
  <si>
    <t>Time Period of Interest</t>
  </si>
  <si>
    <r>
      <t>t</t>
    </r>
    <r>
      <rPr>
        <vertAlign val="subscript"/>
        <sz val="10"/>
        <rFont val="Arial"/>
        <family val="2"/>
      </rPr>
      <t>i</t>
    </r>
  </si>
  <si>
    <t>years</t>
  </si>
  <si>
    <t xml:space="preserve">Foundation Soil Total Organic Carbon </t>
  </si>
  <si>
    <r>
      <t>TOC</t>
    </r>
    <r>
      <rPr>
        <vertAlign val="subscript"/>
        <sz val="10"/>
        <rFont val="Arial"/>
        <family val="2"/>
      </rPr>
      <t>F</t>
    </r>
  </si>
  <si>
    <t>Foundation Soil Silt &amp; Clay Fraction</t>
  </si>
  <si>
    <r>
      <t>SCF</t>
    </r>
    <r>
      <rPr>
        <vertAlign val="subscript"/>
        <sz val="10"/>
        <rFont val="Arial"/>
        <family val="2"/>
      </rPr>
      <t>F</t>
    </r>
  </si>
  <si>
    <t>Specific Gravity of Foundation Soil</t>
  </si>
  <si>
    <r>
      <t>SG</t>
    </r>
    <r>
      <rPr>
        <vertAlign val="subscript"/>
        <sz val="10"/>
        <rFont val="Arial"/>
        <family val="2"/>
      </rPr>
      <t>F</t>
    </r>
  </si>
  <si>
    <t>Thickness of Dredged Material in the CDF</t>
  </si>
  <si>
    <r>
      <t>T</t>
    </r>
    <r>
      <rPr>
        <vertAlign val="subscript"/>
        <sz val="10"/>
        <rFont val="Arial"/>
        <family val="2"/>
      </rPr>
      <t>D</t>
    </r>
  </si>
  <si>
    <t>Thickness of the Foundation Soil (Vadose Zone)</t>
  </si>
  <si>
    <r>
      <t>T</t>
    </r>
    <r>
      <rPr>
        <vertAlign val="subscript"/>
        <sz val="10"/>
        <rFont val="Arial"/>
        <family val="2"/>
      </rPr>
      <t>F</t>
    </r>
  </si>
  <si>
    <t>Thickness of the Saturated Zone</t>
  </si>
  <si>
    <t>B</t>
  </si>
  <si>
    <t>Effective Porosity of Foundation (Vadose Zone)</t>
  </si>
  <si>
    <r>
      <t>n</t>
    </r>
    <r>
      <rPr>
        <vertAlign val="subscript"/>
        <sz val="10"/>
        <rFont val="Arial"/>
        <family val="2"/>
      </rPr>
      <t>F,v</t>
    </r>
  </si>
  <si>
    <t>Effective Porosity of Foundation (Aquifer)</t>
  </si>
  <si>
    <r>
      <t>n</t>
    </r>
    <r>
      <rPr>
        <vertAlign val="subscript"/>
        <sz val="10"/>
        <rFont val="Arial"/>
        <family val="2"/>
      </rPr>
      <t>F,a</t>
    </r>
  </si>
  <si>
    <r>
      <t xml:space="preserve">4 </t>
    </r>
    <r>
      <rPr>
        <b/>
        <sz val="10"/>
        <color indexed="10"/>
        <rFont val="Arial"/>
        <family val="2"/>
      </rPr>
      <t>Enter</t>
    </r>
  </si>
  <si>
    <t>Hydraulic Conductivity</t>
  </si>
  <si>
    <t>K</t>
  </si>
  <si>
    <t>m/year</t>
  </si>
  <si>
    <t>Slope of the Water Table</t>
  </si>
  <si>
    <t>dh/dx</t>
  </si>
  <si>
    <t>Uniform GW Velocity in X-direction</t>
  </si>
  <si>
    <t>V</t>
  </si>
  <si>
    <t>Net Recharge Percolating into Plume</t>
  </si>
  <si>
    <r>
      <t>V</t>
    </r>
    <r>
      <rPr>
        <vertAlign val="subscript"/>
        <sz val="10"/>
        <rFont val="Arial"/>
        <family val="2"/>
      </rPr>
      <t>r</t>
    </r>
  </si>
  <si>
    <t>Percolation Rate from Facility (CDF)</t>
  </si>
  <si>
    <r>
      <t>V</t>
    </r>
    <r>
      <rPr>
        <vertAlign val="subscript"/>
        <sz val="10"/>
        <rFont val="Arial"/>
        <family val="2"/>
      </rPr>
      <t>f</t>
    </r>
  </si>
  <si>
    <r>
      <t>Net recharge (V</t>
    </r>
    <r>
      <rPr>
        <vertAlign val="subscript"/>
        <sz val="10"/>
        <rFont val="Arial"/>
        <family val="2"/>
      </rPr>
      <t>r</t>
    </r>
    <r>
      <rPr>
        <sz val="10"/>
        <rFont val="Arial"/>
        <family val="2"/>
      </rPr>
      <t>) can be estimated</t>
    </r>
  </si>
  <si>
    <t>Vertical Dispersivity</t>
  </si>
  <si>
    <r>
      <t>a</t>
    </r>
    <r>
      <rPr>
        <vertAlign val="subscript"/>
        <sz val="10"/>
        <rFont val="Arial"/>
        <family val="2"/>
      </rPr>
      <t>z</t>
    </r>
  </si>
  <si>
    <t>as 10% of annual precipitation:</t>
  </si>
  <si>
    <t>Transverse Dispersivity</t>
  </si>
  <si>
    <r>
      <t>a</t>
    </r>
    <r>
      <rPr>
        <vertAlign val="subscript"/>
        <sz val="10"/>
        <rFont val="Arial"/>
        <family val="2"/>
      </rPr>
      <t>y</t>
    </r>
  </si>
  <si>
    <t>Annual</t>
  </si>
  <si>
    <t>Net Recharge</t>
  </si>
  <si>
    <t>Maximum Depth of Mixing at Edge of Facility</t>
  </si>
  <si>
    <t>H</t>
  </si>
  <si>
    <t>Precipitation</t>
  </si>
  <si>
    <t>Thickness of the Plume at the Receptor</t>
  </si>
  <si>
    <t>H'</t>
  </si>
  <si>
    <t>(m/year)</t>
  </si>
  <si>
    <t>GW Recharge Rate per Unit Width of Aquifer</t>
  </si>
  <si>
    <r>
      <t>q</t>
    </r>
    <r>
      <rPr>
        <vertAlign val="subscript"/>
        <sz val="10"/>
        <rFont val="Arial"/>
        <family val="2"/>
      </rPr>
      <t>r</t>
    </r>
  </si>
  <si>
    <r>
      <t>m</t>
    </r>
    <r>
      <rPr>
        <vertAlign val="superscript"/>
        <sz val="10"/>
        <rFont val="Arial"/>
        <family val="2"/>
      </rPr>
      <t>2</t>
    </r>
    <r>
      <rPr>
        <sz val="10"/>
        <rFont val="Arial"/>
        <family val="2"/>
      </rPr>
      <t>/year</t>
    </r>
  </si>
  <si>
    <t>GW Flow per Unit Width of Aquifer</t>
  </si>
  <si>
    <r>
      <t>q</t>
    </r>
    <r>
      <rPr>
        <vertAlign val="subscript"/>
        <sz val="10"/>
        <rFont val="Arial"/>
        <family val="2"/>
      </rPr>
      <t>s</t>
    </r>
  </si>
  <si>
    <t>Lateral Dispersion Factor</t>
  </si>
  <si>
    <r>
      <t>F</t>
    </r>
    <r>
      <rPr>
        <vertAlign val="subscript"/>
        <sz val="10"/>
        <rFont val="Arial"/>
        <family val="2"/>
      </rPr>
      <t>y</t>
    </r>
  </si>
  <si>
    <t>Vertical Dispersion Factor</t>
  </si>
  <si>
    <r>
      <t>F</t>
    </r>
    <r>
      <rPr>
        <vertAlign val="subscript"/>
        <sz val="10"/>
        <rFont val="Arial"/>
        <family val="2"/>
      </rPr>
      <t>z</t>
    </r>
  </si>
  <si>
    <t>Recharge Attenuation Factor</t>
  </si>
  <si>
    <r>
      <t>F</t>
    </r>
    <r>
      <rPr>
        <vertAlign val="subscript"/>
        <sz val="10"/>
        <rFont val="Arial"/>
        <family val="2"/>
      </rPr>
      <t>r</t>
    </r>
  </si>
  <si>
    <t>Aquifer Dilution Factor</t>
  </si>
  <si>
    <t>ADF</t>
  </si>
  <si>
    <t>Note:  If desired, a user-defined Dilution Attenuation Factor can be specified for each contaminant in Sheet "ChemData", Column AA.</t>
  </si>
  <si>
    <t>Actual</t>
  </si>
  <si>
    <t>Sediment</t>
  </si>
  <si>
    <t>Reference</t>
  </si>
  <si>
    <t>SCREENING CRITERIA</t>
  </si>
  <si>
    <t>CHEMICAL CONSTANTS</t>
  </si>
  <si>
    <t>LEACHATE PARAMETERS</t>
  </si>
  <si>
    <t>STANDARDS</t>
  </si>
  <si>
    <t>Bulk</t>
  </si>
  <si>
    <t xml:space="preserve">Carrier </t>
  </si>
  <si>
    <t>Back-</t>
  </si>
  <si>
    <t>DTPA</t>
  </si>
  <si>
    <t>Soil DTPA</t>
  </si>
  <si>
    <r>
      <t>Step 4</t>
    </r>
    <r>
      <rPr>
        <b/>
        <sz val="8"/>
        <rFont val="Arial"/>
        <family val="2"/>
      </rPr>
      <t>.  Enter the appropriate number (in Row 3) from the Standards</t>
    </r>
  </si>
  <si>
    <t>Foundation</t>
  </si>
  <si>
    <t>Vadose</t>
  </si>
  <si>
    <t>Time to</t>
  </si>
  <si>
    <t>Peak</t>
  </si>
  <si>
    <r>
      <t>at time t</t>
    </r>
    <r>
      <rPr>
        <vertAlign val="subscript"/>
        <sz val="8"/>
        <rFont val="Arial"/>
        <family val="2"/>
      </rPr>
      <t>i</t>
    </r>
  </si>
  <si>
    <t>Optional</t>
  </si>
  <si>
    <t>Water</t>
  </si>
  <si>
    <t xml:space="preserve"> ground</t>
  </si>
  <si>
    <t>Soil</t>
  </si>
  <si>
    <t>Extract Conc</t>
  </si>
  <si>
    <t>section (beginning with Column AB) to select the pathway screening criteria.</t>
  </si>
  <si>
    <t>Octanol</t>
  </si>
  <si>
    <t>Unoxidized</t>
  </si>
  <si>
    <t>Zone</t>
  </si>
  <si>
    <t>Reach Peak</t>
  </si>
  <si>
    <t>Dilution</t>
  </si>
  <si>
    <t>User Input</t>
  </si>
  <si>
    <t xml:space="preserve">Federal </t>
  </si>
  <si>
    <t>Fresh</t>
  </si>
  <si>
    <t>Marine</t>
  </si>
  <si>
    <t>US EPA Region 4 Water Quality Screening Values for Hazardous Waste Sites</t>
  </si>
  <si>
    <t>Plant &amp;</t>
  </si>
  <si>
    <t>EPA Part 503</t>
  </si>
  <si>
    <t>Pennsylvania, Safe</t>
  </si>
  <si>
    <t>Conc</t>
  </si>
  <si>
    <t>Conc.</t>
  </si>
  <si>
    <r>
      <t>q</t>
    </r>
    <r>
      <rPr>
        <vertAlign val="subscript"/>
        <sz val="8"/>
        <rFont val="Arial"/>
        <family val="2"/>
      </rPr>
      <t>DTPA</t>
    </r>
  </si>
  <si>
    <r>
      <t>q</t>
    </r>
    <r>
      <rPr>
        <vertAlign val="superscript"/>
        <sz val="8"/>
        <rFont val="Arial"/>
        <family val="2"/>
      </rPr>
      <t>R</t>
    </r>
    <r>
      <rPr>
        <vertAlign val="subscript"/>
        <sz val="8"/>
        <rFont val="Arial"/>
        <family val="2"/>
      </rPr>
      <t>DTPA</t>
    </r>
  </si>
  <si>
    <t>Enter</t>
  </si>
  <si>
    <t>Henry's</t>
  </si>
  <si>
    <t>Oxidized</t>
  </si>
  <si>
    <t>Aqueous</t>
  </si>
  <si>
    <t>Distribution</t>
  </si>
  <si>
    <t>Diffusion</t>
  </si>
  <si>
    <t>Contam</t>
  </si>
  <si>
    <t xml:space="preserve">Attenuation </t>
  </si>
  <si>
    <t>Drinking</t>
  </si>
  <si>
    <t>Inhalation</t>
  </si>
  <si>
    <t>Animal</t>
  </si>
  <si>
    <t>Biosolids Rule</t>
  </si>
  <si>
    <t>Fill Numeric Values</t>
  </si>
  <si>
    <t>User</t>
  </si>
  <si>
    <t>q</t>
  </si>
  <si>
    <r>
      <t>C</t>
    </r>
    <r>
      <rPr>
        <vertAlign val="subscript"/>
        <sz val="8"/>
        <rFont val="Arial"/>
        <family val="2"/>
      </rPr>
      <t>C</t>
    </r>
  </si>
  <si>
    <r>
      <t>C</t>
    </r>
    <r>
      <rPr>
        <vertAlign val="subscript"/>
        <sz val="8"/>
        <rFont val="Arial"/>
        <family val="2"/>
      </rPr>
      <t>B</t>
    </r>
  </si>
  <si>
    <r>
      <t>q</t>
    </r>
    <r>
      <rPr>
        <vertAlign val="subscript"/>
        <sz val="8"/>
        <rFont val="Arial"/>
        <family val="2"/>
      </rPr>
      <t>RM</t>
    </r>
  </si>
  <si>
    <t>-Metals only-</t>
  </si>
  <si>
    <t>Molecular</t>
  </si>
  <si>
    <t>Law</t>
  </si>
  <si>
    <t>Diffusivity</t>
  </si>
  <si>
    <t>Partitioning</t>
  </si>
  <si>
    <t>Leachable</t>
  </si>
  <si>
    <t>Solubility</t>
  </si>
  <si>
    <t>Coefficient</t>
  </si>
  <si>
    <t>Factor</t>
  </si>
  <si>
    <t>Acute Toxicity</t>
  </si>
  <si>
    <t>Chronic Toxicity</t>
  </si>
  <si>
    <t>Fresh Water</t>
  </si>
  <si>
    <t>Marine Water</t>
  </si>
  <si>
    <t>Applicable</t>
  </si>
  <si>
    <t>Defined</t>
  </si>
  <si>
    <t>(mg/kg)</t>
  </si>
  <si>
    <t>(ug/l)</t>
  </si>
  <si>
    <t>(ug/L)</t>
  </si>
  <si>
    <t>Weight</t>
  </si>
  <si>
    <t>Constant</t>
  </si>
  <si>
    <t>in Air</t>
  </si>
  <si>
    <t>Material</t>
  </si>
  <si>
    <t>Fraction</t>
  </si>
  <si>
    <r>
      <t>K</t>
    </r>
    <r>
      <rPr>
        <vertAlign val="subscript"/>
        <sz val="8"/>
        <rFont val="Arial"/>
        <family val="2"/>
      </rPr>
      <t>d,F</t>
    </r>
  </si>
  <si>
    <t>VDF</t>
  </si>
  <si>
    <r>
      <t>t</t>
    </r>
    <r>
      <rPr>
        <vertAlign val="subscript"/>
        <sz val="8"/>
        <rFont val="Arial"/>
        <family val="2"/>
      </rPr>
      <t>P</t>
    </r>
  </si>
  <si>
    <r>
      <t>DAF</t>
    </r>
    <r>
      <rPr>
        <vertAlign val="subscript"/>
        <sz val="8"/>
        <rFont val="Arial"/>
        <family val="2"/>
      </rPr>
      <t>P</t>
    </r>
  </si>
  <si>
    <r>
      <t>DAF</t>
    </r>
    <r>
      <rPr>
        <vertAlign val="subscript"/>
        <sz val="8"/>
        <rFont val="Arial"/>
        <family val="2"/>
      </rPr>
      <t>i</t>
    </r>
  </si>
  <si>
    <t>Standards</t>
  </si>
  <si>
    <t>Dose</t>
  </si>
  <si>
    <t>Screening</t>
  </si>
  <si>
    <t>Land</t>
  </si>
  <si>
    <t>Surface</t>
  </si>
  <si>
    <t>Regulated Fill</t>
  </si>
  <si>
    <t>MW</t>
  </si>
  <si>
    <r>
      <t>D</t>
    </r>
    <r>
      <rPr>
        <vertAlign val="subscript"/>
        <sz val="8"/>
        <rFont val="Arial"/>
        <family val="2"/>
      </rPr>
      <t>A1</t>
    </r>
  </si>
  <si>
    <r>
      <t>K</t>
    </r>
    <r>
      <rPr>
        <vertAlign val="subscript"/>
        <sz val="8"/>
        <rFont val="Arial"/>
        <family val="2"/>
      </rPr>
      <t>ow</t>
    </r>
  </si>
  <si>
    <r>
      <t>K</t>
    </r>
    <r>
      <rPr>
        <vertAlign val="subscript"/>
        <sz val="8"/>
        <rFont val="Arial"/>
        <family val="2"/>
      </rPr>
      <t>d</t>
    </r>
    <r>
      <rPr>
        <vertAlign val="superscript"/>
        <sz val="8"/>
        <rFont val="Arial"/>
        <family val="2"/>
      </rPr>
      <t>unox</t>
    </r>
  </si>
  <si>
    <r>
      <t>K</t>
    </r>
    <r>
      <rPr>
        <vertAlign val="subscript"/>
        <sz val="8"/>
        <rFont val="Arial"/>
        <family val="2"/>
      </rPr>
      <t>d</t>
    </r>
    <r>
      <rPr>
        <vertAlign val="superscript"/>
        <sz val="8"/>
        <rFont val="Arial"/>
        <family val="2"/>
      </rPr>
      <t>ox</t>
    </r>
  </si>
  <si>
    <r>
      <t>LF</t>
    </r>
    <r>
      <rPr>
        <vertAlign val="superscript"/>
        <sz val="8"/>
        <rFont val="Arial"/>
        <family val="2"/>
      </rPr>
      <t>unox</t>
    </r>
  </si>
  <si>
    <r>
      <t>LF</t>
    </r>
    <r>
      <rPr>
        <vertAlign val="superscript"/>
        <sz val="8"/>
        <rFont val="Arial"/>
        <family val="2"/>
      </rPr>
      <t>ox</t>
    </r>
  </si>
  <si>
    <r>
      <t>DAF</t>
    </r>
    <r>
      <rPr>
        <vertAlign val="subscript"/>
        <sz val="8"/>
        <rFont val="Arial"/>
        <family val="2"/>
      </rPr>
      <t>U</t>
    </r>
  </si>
  <si>
    <r>
      <t>1</t>
    </r>
    <r>
      <rPr>
        <b/>
        <vertAlign val="superscript"/>
        <sz val="8"/>
        <rFont val="Arial"/>
        <family val="2"/>
      </rPr>
      <t>o</t>
    </r>
    <r>
      <rPr>
        <b/>
        <sz val="8"/>
        <rFont val="Arial"/>
        <family val="2"/>
      </rPr>
      <t xml:space="preserve"> and 2</t>
    </r>
    <r>
      <rPr>
        <b/>
        <vertAlign val="superscript"/>
        <sz val="8"/>
        <rFont val="Arial"/>
        <family val="2"/>
      </rPr>
      <t>o</t>
    </r>
  </si>
  <si>
    <t>IRD</t>
  </si>
  <si>
    <t>Criteria</t>
  </si>
  <si>
    <t>Application</t>
  </si>
  <si>
    <t>Disposal</t>
  </si>
  <si>
    <t>Residential</t>
  </si>
  <si>
    <t>Non-Res.</t>
  </si>
  <si>
    <t>Contaminants</t>
  </si>
  <si>
    <t>(mg/kg/day)</t>
  </si>
  <si>
    <t>(g/g-mole)</t>
  </si>
  <si>
    <r>
      <t>(atm-m</t>
    </r>
    <r>
      <rPr>
        <vertAlign val="superscript"/>
        <sz val="8"/>
        <rFont val="Arial"/>
        <family val="2"/>
      </rPr>
      <t>3</t>
    </r>
    <r>
      <rPr>
        <sz val="8"/>
        <rFont val="Arial"/>
        <family val="2"/>
      </rPr>
      <t>/g-mole)</t>
    </r>
  </si>
  <si>
    <r>
      <t>[cm</t>
    </r>
    <r>
      <rPr>
        <vertAlign val="superscript"/>
        <sz val="8"/>
        <rFont val="Arial"/>
        <family val="2"/>
      </rPr>
      <t>2</t>
    </r>
    <r>
      <rPr>
        <sz val="8"/>
        <rFont val="Arial"/>
        <family val="2"/>
      </rPr>
      <t>/s]</t>
    </r>
  </si>
  <si>
    <t>(L/kg)</t>
  </si>
  <si>
    <t>(years)</t>
  </si>
  <si>
    <t>Metals</t>
  </si>
  <si>
    <t>Aluminum</t>
  </si>
  <si>
    <t>--</t>
  </si>
  <si>
    <t>NA</t>
  </si>
  <si>
    <t>Antimony</t>
  </si>
  <si>
    <t>Arsenic</t>
  </si>
  <si>
    <t>Barium</t>
  </si>
  <si>
    <t>Beryllium</t>
  </si>
  <si>
    <t>Boron</t>
  </si>
  <si>
    <t>Cadmium</t>
  </si>
  <si>
    <t>Chromium III</t>
  </si>
  <si>
    <t>Chromium VI</t>
  </si>
  <si>
    <t>Cobalt</t>
  </si>
  <si>
    <t>Copper</t>
  </si>
  <si>
    <t>Iron</t>
  </si>
  <si>
    <t>Lead</t>
  </si>
  <si>
    <t>Lithium</t>
  </si>
  <si>
    <t>Manganese</t>
  </si>
  <si>
    <t>Mercury</t>
  </si>
  <si>
    <t>Molybdenum</t>
  </si>
  <si>
    <t>Nickel</t>
  </si>
  <si>
    <t>Selenium</t>
  </si>
  <si>
    <t>Silver</t>
  </si>
  <si>
    <t>Strontium</t>
  </si>
  <si>
    <t>Thallium</t>
  </si>
  <si>
    <t>Tin</t>
  </si>
  <si>
    <t>Uranium</t>
  </si>
  <si>
    <t>Vanadium</t>
  </si>
  <si>
    <t>Zinc</t>
  </si>
  <si>
    <t>Zirconium</t>
  </si>
  <si>
    <t>Organometals</t>
  </si>
  <si>
    <t>Dibutyltin</t>
  </si>
  <si>
    <t>Monobutyltin</t>
  </si>
  <si>
    <t>Tetrabutyltin</t>
  </si>
  <si>
    <t>Tributyltin</t>
  </si>
  <si>
    <t>Methylmercury</t>
  </si>
  <si>
    <t>Inorganic/General Chemistry</t>
  </si>
  <si>
    <t xml:space="preserve">Cyanide </t>
  </si>
  <si>
    <t>Ammonia-N</t>
  </si>
  <si>
    <t>Nitrogen, Total Kjeldahl</t>
  </si>
  <si>
    <t>Sulfide</t>
  </si>
  <si>
    <t>PAH's</t>
  </si>
  <si>
    <t>Acenaphthene</t>
  </si>
  <si>
    <t>Acenaphthylene</t>
  </si>
  <si>
    <t>Anthracene</t>
  </si>
  <si>
    <t>Benzo(a)anthracene</t>
  </si>
  <si>
    <t>Benzo(b)fluoranthene</t>
  </si>
  <si>
    <t>Benzo(k)fluoranthene</t>
  </si>
  <si>
    <t>Benzo(g,h,i)perylene</t>
  </si>
  <si>
    <t>Benzo(a)pyrene</t>
  </si>
  <si>
    <t>Benzo(e)pyrene</t>
  </si>
  <si>
    <t>Biphenyl</t>
  </si>
  <si>
    <t>Carbazol</t>
  </si>
  <si>
    <t>Chrysene</t>
  </si>
  <si>
    <t>Dibenzo(a,h)anthracene</t>
  </si>
  <si>
    <t>Dibenzo-p-dioxin</t>
  </si>
  <si>
    <t>Dibenzofuran</t>
  </si>
  <si>
    <t>Dibenzo(a,e)pyrene</t>
  </si>
  <si>
    <t>Dibenzothiophene</t>
  </si>
  <si>
    <t>7,12 Dimethyl-benz(a)anthracene</t>
  </si>
  <si>
    <t>1,2 Dimethyl-naphthalene</t>
  </si>
  <si>
    <t>1,4 Dimethyl-naphthalene</t>
  </si>
  <si>
    <t>2,6 Dimethyl-naphthalene</t>
  </si>
  <si>
    <t>2,7 Dimethyl-naphthalene</t>
  </si>
  <si>
    <t>3,6-Dimethyl-phenanthrene</t>
  </si>
  <si>
    <t>Fluoranthene</t>
  </si>
  <si>
    <t>Fluorene</t>
  </si>
  <si>
    <t>Indeno(1,2,3-c,d)pyrene</t>
  </si>
  <si>
    <t>3-Methylcholanthrene</t>
  </si>
  <si>
    <t>1-Methylnaphthalene</t>
  </si>
  <si>
    <t>2-Methylnaphthalene</t>
  </si>
  <si>
    <t>Naphthalene</t>
  </si>
  <si>
    <t>Perylene</t>
  </si>
  <si>
    <t>Phenanthrene</t>
  </si>
  <si>
    <t>Pyrene</t>
  </si>
  <si>
    <t>Semi-Volatile Organic Compounds</t>
  </si>
  <si>
    <t xml:space="preserve">Acetophenone    </t>
  </si>
  <si>
    <t xml:space="preserve">Benzaldehyde   </t>
  </si>
  <si>
    <t>Benzidine</t>
  </si>
  <si>
    <t>Benzoic acid</t>
  </si>
  <si>
    <t>Benzyl alcohol</t>
  </si>
  <si>
    <t>Benzyl butyl phthalate</t>
  </si>
  <si>
    <t>4-Bromophenyl phenyl ether</t>
  </si>
  <si>
    <t>Bis(2-chloroethoxy) methane</t>
  </si>
  <si>
    <t>Bis(2-chloroethyl) ether</t>
  </si>
  <si>
    <t xml:space="preserve">Bis(2-chloroisopropyl) ether   </t>
  </si>
  <si>
    <t>Bis(2-ethylhexyl) phthalate</t>
  </si>
  <si>
    <t xml:space="preserve">Caprolactam   </t>
  </si>
  <si>
    <t>4-Chloro-3-methylphenol (p-Chloro-m-cresol)</t>
  </si>
  <si>
    <t xml:space="preserve">4-Chloroaniline   </t>
  </si>
  <si>
    <t>2-Chloronaphthalene</t>
  </si>
  <si>
    <t>2-Chlorophenol</t>
  </si>
  <si>
    <t>4-Chlorophenyl phenyl ether</t>
  </si>
  <si>
    <t>Cyclohexane</t>
  </si>
  <si>
    <t>Di-n-butyl phthalate</t>
  </si>
  <si>
    <t>Di-n-octyl phthalate</t>
  </si>
  <si>
    <t>1,2-Dichlorobenzene</t>
  </si>
  <si>
    <t>1,3-Dichlorobenzene</t>
  </si>
  <si>
    <t>1,4-Dichlorobenzene</t>
  </si>
  <si>
    <t>3,3'-Dichlorobenzidine</t>
  </si>
  <si>
    <t>2,4-Dichlorophenol</t>
  </si>
  <si>
    <t>Diethyl phthalate</t>
  </si>
  <si>
    <t>Dimethyl phthalate</t>
  </si>
  <si>
    <t>2,4-Dimethylphenol</t>
  </si>
  <si>
    <t xml:space="preserve">4,6-Dinitro-2-methylphenol   </t>
  </si>
  <si>
    <t>2,4-Dinitrophenol</t>
  </si>
  <si>
    <t>2,4-Dinitrotoluene</t>
  </si>
  <si>
    <t>2,6-Dinitrotoluene</t>
  </si>
  <si>
    <t>1,2-Diphenylhydrazine</t>
  </si>
  <si>
    <t>Hexachlorobenzene</t>
  </si>
  <si>
    <t>Hexachlorobutadiene</t>
  </si>
  <si>
    <t>Hexachlorocyclopentadiene</t>
  </si>
  <si>
    <t>Hexachloroethane</t>
  </si>
  <si>
    <t>Isophorone</t>
  </si>
  <si>
    <t>Methylcyclohexane</t>
  </si>
  <si>
    <t>2-Methyl-4,6-dinitrophenol</t>
  </si>
  <si>
    <t>2-Methylphenol  (o-Cresol)</t>
  </si>
  <si>
    <t>4-Methylphenol  (p-Cresol)</t>
  </si>
  <si>
    <t xml:space="preserve">2-Nitroaniline   </t>
  </si>
  <si>
    <t xml:space="preserve">3-Nitroaniline   </t>
  </si>
  <si>
    <t xml:space="preserve">4-Nitroaniline  </t>
  </si>
  <si>
    <t>2-Nitrophenol</t>
  </si>
  <si>
    <t>4-Nitrophenol</t>
  </si>
  <si>
    <t>N-Nitrosodi-n-propylamine</t>
  </si>
  <si>
    <t>N-Nitrosodimethylamine</t>
  </si>
  <si>
    <t>N-Nitrosodiphenylamine</t>
  </si>
  <si>
    <t>Nitrobenzene</t>
  </si>
  <si>
    <t xml:space="preserve">Pentachlorobenzene   </t>
  </si>
  <si>
    <t>Pentachlorophenol</t>
  </si>
  <si>
    <t>Phenol</t>
  </si>
  <si>
    <t>1,2,4-Trichlorobenzene</t>
  </si>
  <si>
    <t xml:space="preserve">2,4,5-Trichlorophenol    </t>
  </si>
  <si>
    <t>2,4,6-Trichlorophenol</t>
  </si>
  <si>
    <t>Volatile Organic Compounds</t>
  </si>
  <si>
    <t>Acetone</t>
  </si>
  <si>
    <t>Acrolein</t>
  </si>
  <si>
    <t>Acrylonitrile</t>
  </si>
  <si>
    <t>Benzene</t>
  </si>
  <si>
    <t>Bromodichloromethane</t>
  </si>
  <si>
    <t>Bromoform</t>
  </si>
  <si>
    <t>Bromomethane</t>
  </si>
  <si>
    <t>2-Butanone (methyl ethyl ketone)</t>
  </si>
  <si>
    <t>Carbon disulfide</t>
  </si>
  <si>
    <t>Carbon tetrachloride</t>
  </si>
  <si>
    <t>Chlorobenzene</t>
  </si>
  <si>
    <t>Chloroethane</t>
  </si>
  <si>
    <t>Chloroform</t>
  </si>
  <si>
    <t>Chloromethane (methyl chloride)</t>
  </si>
  <si>
    <t>Decane</t>
  </si>
  <si>
    <t>Dibromochloromethane</t>
  </si>
  <si>
    <t>1,2-Dibromo-3-chloropropane</t>
  </si>
  <si>
    <t>1,2-Dibromoethane (Ethylene dibromide)</t>
  </si>
  <si>
    <t>Dichlorodifluoromethane (Freon 12)</t>
  </si>
  <si>
    <t>1,1-Dichloroethane</t>
  </si>
  <si>
    <t>1,2-Dichloroethane</t>
  </si>
  <si>
    <t>1,1-Dichloroethylene</t>
  </si>
  <si>
    <t>cis-1,2-Dichloroethylene</t>
  </si>
  <si>
    <t>trans-1,2-Dichloroethylene</t>
  </si>
  <si>
    <t>1,2-Dichloropropane</t>
  </si>
  <si>
    <t>cis-1,3-Dichloropropene</t>
  </si>
  <si>
    <t>trans-1,3-Dichloropropene</t>
  </si>
  <si>
    <t>Ethylbenzene</t>
  </si>
  <si>
    <t>Hexane</t>
  </si>
  <si>
    <t>2-Hexanone (Methyl butyl ketone)</t>
  </si>
  <si>
    <t>Isopropylbenzene (Cumene)</t>
  </si>
  <si>
    <t>Methyl acetate</t>
  </si>
  <si>
    <t>Methyl tert-butyl ether (MTBE)</t>
  </si>
  <si>
    <t>4-Methyl-2-pentanone(Methyl isobutyl ketone)</t>
  </si>
  <si>
    <t>Methylene chloride (Dichloromethane)</t>
  </si>
  <si>
    <t>2-Octanone (methyl hexyl ketone)</t>
  </si>
  <si>
    <t>1-Pentanol</t>
  </si>
  <si>
    <t>2-Propanol</t>
  </si>
  <si>
    <t>Styrene</t>
  </si>
  <si>
    <t>1,1,2,2-Tetrachloroethane</t>
  </si>
  <si>
    <t>Tetrachloroethene (PCE)</t>
  </si>
  <si>
    <t>Toluene</t>
  </si>
  <si>
    <t>1,1,1-Trichloroethane</t>
  </si>
  <si>
    <t>1,1,2-Trichloroethane</t>
  </si>
  <si>
    <t>1,1,2-Trichlor-1,2,2-trifluoroethane</t>
  </si>
  <si>
    <t>Trichloroethene (TCE)</t>
  </si>
  <si>
    <t>Trichlorofluoromethane (Freon11)</t>
  </si>
  <si>
    <t>Vinyl acetate</t>
  </si>
  <si>
    <t>Vinyl chloride</t>
  </si>
  <si>
    <t>m,p-Xylene</t>
  </si>
  <si>
    <t>o-Xylene</t>
  </si>
  <si>
    <t>Xylenes, Total</t>
  </si>
  <si>
    <t>Organophosphorus Pesticides</t>
  </si>
  <si>
    <t>Azinphos methyl (Guthion)</t>
  </si>
  <si>
    <t>Chloropyrifos</t>
  </si>
  <si>
    <t>Demeton, Total</t>
  </si>
  <si>
    <t>Diazinon</t>
  </si>
  <si>
    <t>Dimethoate</t>
  </si>
  <si>
    <t>Ethyl parathion  (Parathion)</t>
  </si>
  <si>
    <t>Malathion</t>
  </si>
  <si>
    <t>Methyl parathion</t>
  </si>
  <si>
    <t>Phorate</t>
  </si>
  <si>
    <t>Chlorinated Pesticides</t>
  </si>
  <si>
    <t>Aldrin</t>
  </si>
  <si>
    <t xml:space="preserve">Atrazine   </t>
  </si>
  <si>
    <t>alpha-BHC</t>
  </si>
  <si>
    <t>beta-BHC</t>
  </si>
  <si>
    <t>delta-BHC</t>
  </si>
  <si>
    <t>gamma-BHC (Lindane)</t>
  </si>
  <si>
    <t>alpha-Chlordane</t>
  </si>
  <si>
    <t>gamma-Chlordane</t>
  </si>
  <si>
    <t>Chlordane, Techincal</t>
  </si>
  <si>
    <t>Chlorbenside</t>
  </si>
  <si>
    <t xml:space="preserve">Chlorothalonil  </t>
  </si>
  <si>
    <t>2,4'-DDD</t>
  </si>
  <si>
    <t>4,4'-DDD</t>
  </si>
  <si>
    <t>o,p'-DDE (2,4')</t>
  </si>
  <si>
    <t>p,p'-DDE (4,4')</t>
  </si>
  <si>
    <t>2,4'-DDT</t>
  </si>
  <si>
    <t>p,p'-DDT (4,4')</t>
  </si>
  <si>
    <t>Dacthal (DCPA)</t>
  </si>
  <si>
    <t>Dichlorophenoxy acetic acid (2,4-D)</t>
  </si>
  <si>
    <t xml:space="preserve">Dicofol    </t>
  </si>
  <si>
    <t>Dieldrin</t>
  </si>
  <si>
    <t>Endosulfan I</t>
  </si>
  <si>
    <t>Endosulfan II</t>
  </si>
  <si>
    <t>Endosulfan sulfate</t>
  </si>
  <si>
    <t>Endrin</t>
  </si>
  <si>
    <t>Endrin aldehyde</t>
  </si>
  <si>
    <t>Endrin ketone</t>
  </si>
  <si>
    <t>Heptachlor</t>
  </si>
  <si>
    <t>Heptachlor epoxide</t>
  </si>
  <si>
    <t xml:space="preserve">Isodrin    </t>
  </si>
  <si>
    <t>Kepone</t>
  </si>
  <si>
    <t>Methoxychlor</t>
  </si>
  <si>
    <t>Mirex</t>
  </si>
  <si>
    <t>cis-Nonachlor</t>
  </si>
  <si>
    <t>trans-Nonachlor</t>
  </si>
  <si>
    <t>Oxychlordane</t>
  </si>
  <si>
    <t>cis-Permethrin</t>
  </si>
  <si>
    <t>trans-Permethrin</t>
  </si>
  <si>
    <t>Silvex (2,4,5-TP)</t>
  </si>
  <si>
    <t>Toxaphene</t>
  </si>
  <si>
    <t>Dioxins</t>
  </si>
  <si>
    <t>1,2,3,4,6,7,8-HPCDD</t>
  </si>
  <si>
    <t>1,2,3,4,6,7,8-HPCDF</t>
  </si>
  <si>
    <t>1,2,3,4,7,8,9-HPCDF</t>
  </si>
  <si>
    <t>1,2,3,4,7,8-HXCDD</t>
  </si>
  <si>
    <t>1,2,3,4,7,8-HXCDF</t>
  </si>
  <si>
    <t>1,2,3,6,7,8-HXCDD</t>
  </si>
  <si>
    <t>1,2,3,6,7,8-HXCDF</t>
  </si>
  <si>
    <t>1,2,3,7,8,9-HXCDD</t>
  </si>
  <si>
    <t>1,2,3,7,8,9-HXCDF</t>
  </si>
  <si>
    <t>1,2,3,7,8-PECDD</t>
  </si>
  <si>
    <t>1,2,3,7,8-PECDF</t>
  </si>
  <si>
    <t>2,3,4,6,7,8-HXCDF</t>
  </si>
  <si>
    <t>2,3,4,7,8-PECDF</t>
  </si>
  <si>
    <t>2,3,7,8-TCDD</t>
  </si>
  <si>
    <t>2,3,7,8-TCDF</t>
  </si>
  <si>
    <t>OCDD</t>
  </si>
  <si>
    <t>OCDF</t>
  </si>
  <si>
    <t>PCDD/FS</t>
  </si>
  <si>
    <t>TEQ(ND=0)</t>
  </si>
  <si>
    <t>TEQ(ND=1/2)</t>
  </si>
  <si>
    <t>TEQ EMPC(ND=0)</t>
  </si>
  <si>
    <t>TEQ EMPC(ND=1/2)</t>
  </si>
  <si>
    <t>Total HPCDDS</t>
  </si>
  <si>
    <t>Total HPCDFS</t>
  </si>
  <si>
    <t>Total HXCDDS</t>
  </si>
  <si>
    <t>Total HXCDFS</t>
  </si>
  <si>
    <t>Total PECDDS</t>
  </si>
  <si>
    <t>Total PECDFS</t>
  </si>
  <si>
    <t>Total TCDDS</t>
  </si>
  <si>
    <t>Total TCDFS</t>
  </si>
  <si>
    <t>PCB Congeners</t>
  </si>
  <si>
    <t>BZ# 008</t>
  </si>
  <si>
    <t>BZ# 018</t>
  </si>
  <si>
    <t>BZ# 028</t>
  </si>
  <si>
    <t>BZ# 044</t>
  </si>
  <si>
    <t>BZ# 049</t>
  </si>
  <si>
    <t>BZ# 052</t>
  </si>
  <si>
    <t>BZ# 066</t>
  </si>
  <si>
    <t>BZ# 077</t>
  </si>
  <si>
    <t>BZ# 087</t>
  </si>
  <si>
    <t>BZ# 101</t>
  </si>
  <si>
    <t>BZ# 105</t>
  </si>
  <si>
    <t>BZ# 118</t>
  </si>
  <si>
    <t>BZ# 126</t>
  </si>
  <si>
    <t>BZ# 128</t>
  </si>
  <si>
    <t>BZ# 138</t>
  </si>
  <si>
    <t>BZ# 153</t>
  </si>
  <si>
    <t>BZ# 156</t>
  </si>
  <si>
    <t>BZ# 169</t>
  </si>
  <si>
    <t>BZ# 170</t>
  </si>
  <si>
    <t>BZ# 180</t>
  </si>
  <si>
    <t>BZ# 183</t>
  </si>
  <si>
    <t>BZ# 184</t>
  </si>
  <si>
    <t>BZ# 187</t>
  </si>
  <si>
    <t>BZ# 195</t>
  </si>
  <si>
    <t>BZ# 206</t>
  </si>
  <si>
    <t>BZ# 209</t>
  </si>
  <si>
    <t>PCB(Aroclor-1016)</t>
  </si>
  <si>
    <t>PCB(Aroclor-1221)</t>
  </si>
  <si>
    <t>PCB(Aroclor-1232)</t>
  </si>
  <si>
    <t>PCB(Aroclor-1242)</t>
  </si>
  <si>
    <t>PCB(Aroclor-1248)</t>
  </si>
  <si>
    <t>PCB(Aroclor-1254)</t>
  </si>
  <si>
    <t>PCB(Aroclor-1260)</t>
  </si>
  <si>
    <t>PCB Total</t>
  </si>
  <si>
    <t>Unless otherwise specified, PCB congener data from Mackay, D., W. Y. Shiu, and K. C. Ma. 1992.  Illustrated Handbook of Physical-Chemical Properties and Environmental Fate for Organic Chemicals Volume I. Lewis Publishers, Inc., Chelsea, MI.</t>
  </si>
  <si>
    <t>REFERENCES:</t>
  </si>
  <si>
    <t>1.  MultiMedia-Modeling Envinronmental DataBase (Version 1.0), Copyrighted 1994, Battelle Memorial Inst.</t>
  </si>
  <si>
    <t>2.  Recovery (Version 3.0), Copyright 1999.</t>
  </si>
  <si>
    <t>3.  Water Quality Criteria Summary - US EPA May 1, 1991</t>
  </si>
  <si>
    <t>4.  Water Quality Criteria Summary Concentrations Database</t>
  </si>
  <si>
    <t>5.  Suter, G. W. II and C. L. Tsao. 1996. Toxicological Benchmarks for Screening Potential Contaminants
of Concern for Effects on Aquatic Biota: 1996 Revision, ES/ER/TM-96/R2, Oak Ridge National
Laboratory, Oak Ridge, Tennessee.</t>
  </si>
  <si>
    <t xml:space="preserve"> TESTING OR EVALUATION REQUIREMENTS</t>
  </si>
  <si>
    <t>RATIOS</t>
  </si>
  <si>
    <t xml:space="preserve">    Exposure Results</t>
  </si>
  <si>
    <t>At the</t>
  </si>
  <si>
    <t xml:space="preserve">At the Mixing </t>
  </si>
  <si>
    <t>Predicted</t>
  </si>
  <si>
    <t>Ponded Conditions</t>
  </si>
  <si>
    <t>Drying Conditions</t>
  </si>
  <si>
    <t>Mixing Zone</t>
  </si>
  <si>
    <t>Zone Boundary</t>
  </si>
  <si>
    <t>Water Conc.</t>
  </si>
  <si>
    <t xml:space="preserve">Inhalation Dose </t>
  </si>
  <si>
    <t>DPTA Extract</t>
  </si>
  <si>
    <t>to Selected</t>
  </si>
  <si>
    <t>to Runoff</t>
  </si>
  <si>
    <t>at Receptor</t>
  </si>
  <si>
    <t>to Volatilization</t>
  </si>
  <si>
    <t>Sediment to</t>
  </si>
  <si>
    <t xml:space="preserve">Sediment to </t>
  </si>
  <si>
    <t>to Leachate</t>
  </si>
  <si>
    <t>Reference Soil</t>
  </si>
  <si>
    <t>offsite</t>
  </si>
  <si>
    <t>onsite</t>
  </si>
  <si>
    <t>Off site</t>
  </si>
  <si>
    <t>On site</t>
  </si>
  <si>
    <t>On Site</t>
  </si>
  <si>
    <t>-Metals Only-</t>
  </si>
  <si>
    <t>ug/L</t>
  </si>
  <si>
    <t>mg/kg/day</t>
  </si>
  <si>
    <t>Dibutylin</t>
  </si>
  <si>
    <t>4-Chloro-3-methylphenol</t>
  </si>
  <si>
    <t>2-Methylphenol</t>
  </si>
  <si>
    <t>4-Methylphenol</t>
  </si>
  <si>
    <t>Volatile Organics Compounds</t>
  </si>
  <si>
    <t>2-Butanone</t>
  </si>
  <si>
    <t>Chloromethane</t>
  </si>
  <si>
    <t>1,2-Dibromoethane</t>
  </si>
  <si>
    <t>Dichlorodifluoromethane</t>
  </si>
  <si>
    <t>2-Hexanone</t>
  </si>
  <si>
    <t>Isopropylbenzene</t>
  </si>
  <si>
    <t>Methyl tert-butyl ether</t>
  </si>
  <si>
    <t>4-Methyl-2-pentanone</t>
  </si>
  <si>
    <t>Methylene chloride</t>
  </si>
  <si>
    <t>2-Octanone</t>
  </si>
  <si>
    <t>Tetrachloroethene</t>
  </si>
  <si>
    <t>Trichloroethene</t>
  </si>
  <si>
    <t>Trichlorofluoromethane</t>
  </si>
  <si>
    <t>Chlorpyrifos</t>
  </si>
  <si>
    <t>Dimethioate</t>
  </si>
  <si>
    <t>Ethyl parathion</t>
  </si>
  <si>
    <t>o,p'-DDE (2,4)</t>
  </si>
  <si>
    <t>p,p'-DDE (4,4)</t>
  </si>
  <si>
    <t>p,p'-DDT (4,4)</t>
  </si>
  <si>
    <t>Dacthal</t>
  </si>
  <si>
    <t>Silvex</t>
  </si>
  <si>
    <t>Entered by user on sheet "ChemData"</t>
  </si>
  <si>
    <t>Input Values from sheet "ChemData"</t>
  </si>
  <si>
    <t>Effluent Computations</t>
  </si>
  <si>
    <t xml:space="preserve"> Ratio</t>
  </si>
  <si>
    <t>Selected</t>
  </si>
  <si>
    <t>Target Screening</t>
  </si>
  <si>
    <t>Carrier</t>
  </si>
  <si>
    <t>Slurry Conc</t>
  </si>
  <si>
    <t xml:space="preserve">Conc at the </t>
  </si>
  <si>
    <t>Conc at the</t>
  </si>
  <si>
    <t>Criteria at the</t>
  </si>
  <si>
    <t>at the</t>
  </si>
  <si>
    <t>including</t>
  </si>
  <si>
    <t>point of CDF</t>
  </si>
  <si>
    <t>Pore Water</t>
  </si>
  <si>
    <t>carrier water</t>
  </si>
  <si>
    <t>Discharge</t>
  </si>
  <si>
    <t>Boundary</t>
  </si>
  <si>
    <t>to Target</t>
  </si>
  <si>
    <r>
      <t>C</t>
    </r>
    <r>
      <rPr>
        <vertAlign val="subscript"/>
        <sz val="10"/>
        <rFont val="Arial"/>
        <family val="2"/>
      </rPr>
      <t>c</t>
    </r>
  </si>
  <si>
    <r>
      <t>C</t>
    </r>
    <r>
      <rPr>
        <vertAlign val="subscript"/>
        <sz val="10"/>
        <rFont val="Arial"/>
        <family val="2"/>
      </rPr>
      <t>B</t>
    </r>
  </si>
  <si>
    <r>
      <t>C</t>
    </r>
    <r>
      <rPr>
        <vertAlign val="subscript"/>
        <sz val="10"/>
        <rFont val="Arial"/>
        <family val="2"/>
      </rPr>
      <t>wq</t>
    </r>
  </si>
  <si>
    <r>
      <t>K</t>
    </r>
    <r>
      <rPr>
        <vertAlign val="subscript"/>
        <sz val="10"/>
        <rFont val="Arial"/>
        <family val="2"/>
      </rPr>
      <t>d</t>
    </r>
  </si>
  <si>
    <r>
      <t>LF</t>
    </r>
    <r>
      <rPr>
        <vertAlign val="superscript"/>
        <sz val="10"/>
        <rFont val="Arial"/>
        <family val="2"/>
      </rPr>
      <t>unox</t>
    </r>
  </si>
  <si>
    <r>
      <t>q*</t>
    </r>
    <r>
      <rPr>
        <vertAlign val="subscript"/>
        <sz val="10"/>
        <rFont val="Arial"/>
        <family val="2"/>
      </rPr>
      <t>sed</t>
    </r>
  </si>
  <si>
    <r>
      <t>q*</t>
    </r>
    <r>
      <rPr>
        <vertAlign val="subscript"/>
        <sz val="10"/>
        <rFont val="Arial"/>
        <family val="2"/>
      </rPr>
      <t xml:space="preserve">sl  </t>
    </r>
  </si>
  <si>
    <r>
      <t>C</t>
    </r>
    <r>
      <rPr>
        <vertAlign val="subscript"/>
        <sz val="10"/>
        <rFont val="Arial"/>
        <family val="2"/>
      </rPr>
      <t xml:space="preserve"> eff 1</t>
    </r>
  </si>
  <si>
    <r>
      <t>C</t>
    </r>
    <r>
      <rPr>
        <vertAlign val="subscript"/>
        <sz val="10"/>
        <rFont val="Arial"/>
        <family val="2"/>
      </rPr>
      <t xml:space="preserve"> sed</t>
    </r>
  </si>
  <si>
    <r>
      <t>C</t>
    </r>
    <r>
      <rPr>
        <vertAlign val="subscript"/>
        <sz val="10"/>
        <rFont val="Arial"/>
        <family val="2"/>
      </rPr>
      <t xml:space="preserve"> eff 2</t>
    </r>
  </si>
  <si>
    <r>
      <t>C</t>
    </r>
    <r>
      <rPr>
        <vertAlign val="subscript"/>
        <sz val="10"/>
        <rFont val="Arial"/>
        <family val="2"/>
      </rPr>
      <t xml:space="preserve"> eff </t>
    </r>
  </si>
  <si>
    <r>
      <t>C</t>
    </r>
    <r>
      <rPr>
        <vertAlign val="subscript"/>
        <sz val="10"/>
        <rFont val="Arial"/>
        <family val="2"/>
      </rPr>
      <t>P</t>
    </r>
  </si>
  <si>
    <r>
      <t>C</t>
    </r>
    <r>
      <rPr>
        <vertAlign val="subscript"/>
        <sz val="10"/>
        <rFont val="Arial"/>
        <family val="2"/>
      </rPr>
      <t>T</t>
    </r>
  </si>
  <si>
    <t>Contaminant</t>
  </si>
  <si>
    <r>
      <t xml:space="preserve">  </t>
    </r>
    <r>
      <rPr>
        <sz val="8"/>
        <rFont val="Arial"/>
        <family val="2"/>
      </rPr>
      <t>(mg/kg)</t>
    </r>
  </si>
  <si>
    <t>Values from sheet "ChemData"</t>
  </si>
  <si>
    <t xml:space="preserve"> Ratios</t>
  </si>
  <si>
    <t>Normalized</t>
  </si>
  <si>
    <t>Runoff at</t>
  </si>
  <si>
    <t>Actual Bulk</t>
  </si>
  <si>
    <t>Background</t>
  </si>
  <si>
    <t>point of runoff</t>
  </si>
  <si>
    <t>Sediment Conc</t>
  </si>
  <si>
    <t>Runoff Conc</t>
  </si>
  <si>
    <t>discharge</t>
  </si>
  <si>
    <r>
      <t>K</t>
    </r>
    <r>
      <rPr>
        <vertAlign val="subscript"/>
        <sz val="10"/>
        <rFont val="Arial"/>
        <family val="2"/>
      </rPr>
      <t>d</t>
    </r>
    <r>
      <rPr>
        <vertAlign val="superscript"/>
        <sz val="10"/>
        <rFont val="Arial"/>
        <family val="2"/>
      </rPr>
      <t>unox</t>
    </r>
  </si>
  <si>
    <r>
      <t>K</t>
    </r>
    <r>
      <rPr>
        <vertAlign val="subscript"/>
        <sz val="10"/>
        <rFont val="Arial"/>
        <family val="2"/>
      </rPr>
      <t>d</t>
    </r>
    <r>
      <rPr>
        <vertAlign val="superscript"/>
        <sz val="10"/>
        <rFont val="Arial"/>
        <family val="2"/>
      </rPr>
      <t>ox</t>
    </r>
  </si>
  <si>
    <r>
      <t>LF</t>
    </r>
    <r>
      <rPr>
        <vertAlign val="superscript"/>
        <sz val="10"/>
        <rFont val="Arial"/>
        <family val="2"/>
      </rPr>
      <t>ox</t>
    </r>
  </si>
  <si>
    <r>
      <t>q</t>
    </r>
    <r>
      <rPr>
        <vertAlign val="superscript"/>
        <sz val="10"/>
        <rFont val="Arial"/>
        <family val="2"/>
      </rPr>
      <t>*unox</t>
    </r>
    <r>
      <rPr>
        <vertAlign val="subscript"/>
        <sz val="10"/>
        <rFont val="Arial"/>
        <family val="2"/>
      </rPr>
      <t>sed</t>
    </r>
  </si>
  <si>
    <r>
      <t>q*</t>
    </r>
    <r>
      <rPr>
        <vertAlign val="superscript"/>
        <sz val="10"/>
        <rFont val="Arial"/>
        <family val="2"/>
      </rPr>
      <t xml:space="preserve"> ox</t>
    </r>
    <r>
      <rPr>
        <vertAlign val="subscript"/>
        <sz val="10"/>
        <rFont val="Arial"/>
        <family val="2"/>
      </rPr>
      <t>sed</t>
    </r>
  </si>
  <si>
    <r>
      <t>q*</t>
    </r>
    <r>
      <rPr>
        <vertAlign val="superscript"/>
        <sz val="10"/>
        <rFont val="Arial"/>
        <family val="2"/>
      </rPr>
      <t xml:space="preserve"> unox</t>
    </r>
    <r>
      <rPr>
        <vertAlign val="subscript"/>
        <sz val="10"/>
        <rFont val="Arial"/>
        <family val="2"/>
      </rPr>
      <t>run</t>
    </r>
  </si>
  <si>
    <r>
      <t>q*</t>
    </r>
    <r>
      <rPr>
        <vertAlign val="superscript"/>
        <sz val="10"/>
        <rFont val="Arial"/>
        <family val="2"/>
      </rPr>
      <t xml:space="preserve"> ox</t>
    </r>
    <r>
      <rPr>
        <vertAlign val="subscript"/>
        <sz val="10"/>
        <rFont val="Arial"/>
        <family val="2"/>
      </rPr>
      <t>run</t>
    </r>
  </si>
  <si>
    <r>
      <t>C</t>
    </r>
    <r>
      <rPr>
        <vertAlign val="subscript"/>
        <sz val="10"/>
        <rFont val="Arial"/>
        <family val="2"/>
      </rPr>
      <t xml:space="preserve"> run</t>
    </r>
    <r>
      <rPr>
        <vertAlign val="superscript"/>
        <sz val="10"/>
        <rFont val="Arial"/>
        <family val="2"/>
      </rPr>
      <t>unox</t>
    </r>
  </si>
  <si>
    <r>
      <t>C</t>
    </r>
    <r>
      <rPr>
        <vertAlign val="subscript"/>
        <sz val="10"/>
        <rFont val="Arial"/>
        <family val="2"/>
      </rPr>
      <t>P</t>
    </r>
    <r>
      <rPr>
        <vertAlign val="superscript"/>
        <sz val="10"/>
        <rFont val="Arial"/>
        <family val="2"/>
      </rPr>
      <t>unox</t>
    </r>
  </si>
  <si>
    <r>
      <t>C</t>
    </r>
    <r>
      <rPr>
        <vertAlign val="subscript"/>
        <sz val="10"/>
        <rFont val="Arial"/>
        <family val="2"/>
      </rPr>
      <t xml:space="preserve"> run</t>
    </r>
    <r>
      <rPr>
        <vertAlign val="superscript"/>
        <sz val="10"/>
        <rFont val="Arial"/>
        <family val="2"/>
      </rPr>
      <t>ox</t>
    </r>
  </si>
  <si>
    <r>
      <t>C</t>
    </r>
    <r>
      <rPr>
        <vertAlign val="subscript"/>
        <sz val="10"/>
        <rFont val="Arial"/>
        <family val="2"/>
      </rPr>
      <t>P</t>
    </r>
    <r>
      <rPr>
        <vertAlign val="superscript"/>
        <sz val="10"/>
        <rFont val="Arial"/>
        <family val="2"/>
      </rPr>
      <t>ox</t>
    </r>
  </si>
  <si>
    <t>Using Calculated ADF, VDF and DAF</t>
  </si>
  <si>
    <t>Applied</t>
  </si>
  <si>
    <t>Contam Conc</t>
  </si>
  <si>
    <t>Groundwater</t>
  </si>
  <si>
    <t>Bulk CDF</t>
  </si>
  <si>
    <t>Reaching</t>
  </si>
  <si>
    <t>Water Table</t>
  </si>
  <si>
    <t>Conc. at</t>
  </si>
  <si>
    <r>
      <t>at time, t</t>
    </r>
    <r>
      <rPr>
        <vertAlign val="subscript"/>
        <sz val="8"/>
        <rFont val="Arial"/>
        <family val="2"/>
      </rPr>
      <t>i</t>
    </r>
  </si>
  <si>
    <t>(Applied)</t>
  </si>
  <si>
    <t>Receptor to</t>
  </si>
  <si>
    <r>
      <t>C</t>
    </r>
    <r>
      <rPr>
        <vertAlign val="subscript"/>
        <sz val="8"/>
        <rFont val="Arial"/>
      </rPr>
      <t>wq</t>
    </r>
  </si>
  <si>
    <r>
      <t>K</t>
    </r>
    <r>
      <rPr>
        <vertAlign val="subscript"/>
        <sz val="8"/>
        <rFont val="Arial"/>
      </rPr>
      <t>d</t>
    </r>
  </si>
  <si>
    <t>DAF</t>
  </si>
  <si>
    <r>
      <t>q</t>
    </r>
    <r>
      <rPr>
        <vertAlign val="superscript"/>
        <sz val="8"/>
        <rFont val="Arial"/>
      </rPr>
      <t>*</t>
    </r>
    <r>
      <rPr>
        <vertAlign val="subscript"/>
        <sz val="8"/>
        <rFont val="Arial"/>
      </rPr>
      <t xml:space="preserve"> sed</t>
    </r>
  </si>
  <si>
    <r>
      <t>C</t>
    </r>
    <r>
      <rPr>
        <vertAlign val="subscript"/>
        <sz val="8"/>
        <rFont val="Arial"/>
      </rPr>
      <t>sed</t>
    </r>
  </si>
  <si>
    <r>
      <t>C</t>
    </r>
    <r>
      <rPr>
        <vertAlign val="subscript"/>
        <sz val="8"/>
        <rFont val="Arial"/>
        <family val="2"/>
      </rPr>
      <t>V,P</t>
    </r>
  </si>
  <si>
    <r>
      <t>C</t>
    </r>
    <r>
      <rPr>
        <vertAlign val="subscript"/>
        <sz val="8"/>
        <rFont val="Arial"/>
        <family val="2"/>
      </rPr>
      <t>V, i</t>
    </r>
  </si>
  <si>
    <r>
      <t>C</t>
    </r>
    <r>
      <rPr>
        <vertAlign val="subscript"/>
        <sz val="8"/>
        <rFont val="Arial"/>
        <family val="2"/>
      </rPr>
      <t>R, i</t>
    </r>
  </si>
  <si>
    <r>
      <t>C</t>
    </r>
    <r>
      <rPr>
        <vertAlign val="subscript"/>
        <sz val="8"/>
        <rFont val="Arial"/>
        <family val="2"/>
      </rPr>
      <t>R,P</t>
    </r>
  </si>
  <si>
    <r>
      <t>C</t>
    </r>
    <r>
      <rPr>
        <vertAlign val="subscript"/>
        <sz val="8"/>
        <rFont val="Arial"/>
        <family val="2"/>
      </rPr>
      <t>R</t>
    </r>
  </si>
  <si>
    <r>
      <t xml:space="preserve">  </t>
    </r>
    <r>
      <rPr>
        <sz val="8"/>
        <rFont val="Arial"/>
      </rPr>
      <t>(mg/kg)</t>
    </r>
  </si>
  <si>
    <t>Enter by user on sheet "ChemData"</t>
  </si>
  <si>
    <t>Volatilization Computations for Ponded Conditions</t>
  </si>
  <si>
    <t>Volatilization Computations for Drying Conditions</t>
  </si>
  <si>
    <t>Ratios</t>
  </si>
  <si>
    <t>Dimensionless</t>
  </si>
  <si>
    <t>Gas-side</t>
  </si>
  <si>
    <t>Liquid-side</t>
  </si>
  <si>
    <t>Overall</t>
  </si>
  <si>
    <t>Off-site, Ponded</t>
  </si>
  <si>
    <t>On-site, Ponded</t>
  </si>
  <si>
    <t>Off-Site</t>
  </si>
  <si>
    <t>On-site</t>
  </si>
  <si>
    <t>Mass</t>
  </si>
  <si>
    <t>Ponded</t>
  </si>
  <si>
    <t>Effective</t>
  </si>
  <si>
    <t>Volatile</t>
  </si>
  <si>
    <t xml:space="preserve">Inhalation </t>
  </si>
  <si>
    <t>Transfer</t>
  </si>
  <si>
    <t xml:space="preserve">Sediment </t>
  </si>
  <si>
    <t>Water Conc</t>
  </si>
  <si>
    <t>Flux for</t>
  </si>
  <si>
    <t>Emission</t>
  </si>
  <si>
    <t>Air</t>
  </si>
  <si>
    <t>Dose to</t>
  </si>
  <si>
    <t>(Mixing BC)</t>
  </si>
  <si>
    <t>(Equilibrium BC)</t>
  </si>
  <si>
    <r>
      <t>C</t>
    </r>
    <r>
      <rPr>
        <vertAlign val="subscript"/>
        <sz val="8"/>
        <rFont val="Arial"/>
      </rPr>
      <t>w</t>
    </r>
  </si>
  <si>
    <t>for N</t>
  </si>
  <si>
    <t>Equation</t>
  </si>
  <si>
    <t>Air Conc</t>
  </si>
  <si>
    <r>
      <t>for N</t>
    </r>
    <r>
      <rPr>
        <vertAlign val="superscript"/>
        <sz val="8"/>
        <rFont val="Arial"/>
        <family val="2"/>
      </rPr>
      <t>d</t>
    </r>
    <r>
      <rPr>
        <vertAlign val="subscript"/>
        <sz val="8"/>
        <rFont val="Arial"/>
        <family val="2"/>
      </rPr>
      <t>off</t>
    </r>
  </si>
  <si>
    <r>
      <t>for N</t>
    </r>
    <r>
      <rPr>
        <vertAlign val="superscript"/>
        <sz val="8"/>
        <rFont val="Arial"/>
        <family val="2"/>
      </rPr>
      <t>d</t>
    </r>
    <r>
      <rPr>
        <vertAlign val="subscript"/>
        <sz val="8"/>
        <rFont val="Arial"/>
        <family val="2"/>
      </rPr>
      <t>on</t>
    </r>
  </si>
  <si>
    <t xml:space="preserve"> Volatilization</t>
  </si>
  <si>
    <r>
      <t>C</t>
    </r>
    <r>
      <rPr>
        <vertAlign val="subscript"/>
        <sz val="8"/>
        <rFont val="Arial"/>
      </rPr>
      <t>C</t>
    </r>
  </si>
  <si>
    <r>
      <t>C</t>
    </r>
    <r>
      <rPr>
        <vertAlign val="subscript"/>
        <sz val="8"/>
        <rFont val="Arial"/>
      </rPr>
      <t>B</t>
    </r>
  </si>
  <si>
    <r>
      <t>C</t>
    </r>
    <r>
      <rPr>
        <vertAlign val="subscript"/>
        <sz val="8"/>
        <rFont val="Arial"/>
      </rPr>
      <t>Dose</t>
    </r>
  </si>
  <si>
    <r>
      <t>D</t>
    </r>
    <r>
      <rPr>
        <vertAlign val="subscript"/>
        <sz val="8"/>
        <rFont val="Arial"/>
      </rPr>
      <t>A1</t>
    </r>
  </si>
  <si>
    <r>
      <t>K</t>
    </r>
    <r>
      <rPr>
        <vertAlign val="subscript"/>
        <sz val="8"/>
        <rFont val="Arial"/>
      </rPr>
      <t>G</t>
    </r>
  </si>
  <si>
    <r>
      <t>K</t>
    </r>
    <r>
      <rPr>
        <vertAlign val="subscript"/>
        <sz val="8"/>
        <rFont val="Arial"/>
      </rPr>
      <t>L</t>
    </r>
  </si>
  <si>
    <r>
      <t>K</t>
    </r>
    <r>
      <rPr>
        <vertAlign val="subscript"/>
        <sz val="8"/>
        <rFont val="Arial"/>
      </rPr>
      <t>OL</t>
    </r>
  </si>
  <si>
    <r>
      <t>q*</t>
    </r>
    <r>
      <rPr>
        <vertAlign val="subscript"/>
        <sz val="8"/>
        <rFont val="Arial"/>
      </rPr>
      <t>sed</t>
    </r>
  </si>
  <si>
    <r>
      <t>C</t>
    </r>
    <r>
      <rPr>
        <vertAlign val="subscript"/>
        <sz val="8"/>
        <rFont val="Arial"/>
      </rPr>
      <t xml:space="preserve"> sed</t>
    </r>
  </si>
  <si>
    <r>
      <t>q*</t>
    </r>
    <r>
      <rPr>
        <vertAlign val="subscript"/>
        <sz val="8"/>
        <rFont val="Arial"/>
      </rPr>
      <t xml:space="preserve">sl  </t>
    </r>
  </si>
  <si>
    <r>
      <t>C</t>
    </r>
    <r>
      <rPr>
        <vertAlign val="subscript"/>
        <sz val="8"/>
        <rFont val="Arial"/>
      </rPr>
      <t>w1</t>
    </r>
  </si>
  <si>
    <r>
      <t>C</t>
    </r>
    <r>
      <rPr>
        <vertAlign val="subscript"/>
        <sz val="8"/>
        <rFont val="Arial"/>
      </rPr>
      <t>w2</t>
    </r>
  </si>
  <si>
    <r>
      <t>C</t>
    </r>
    <r>
      <rPr>
        <vertAlign val="subscript"/>
        <sz val="8"/>
        <rFont val="Arial"/>
      </rPr>
      <t>w</t>
    </r>
    <r>
      <rPr>
        <sz val="10"/>
        <rFont val="Arial"/>
      </rPr>
      <t/>
    </r>
  </si>
  <si>
    <t>N</t>
  </si>
  <si>
    <t>E</t>
  </si>
  <si>
    <r>
      <t>C</t>
    </r>
    <r>
      <rPr>
        <vertAlign val="subscript"/>
        <sz val="8"/>
        <rFont val="Arial"/>
      </rPr>
      <t>a, off</t>
    </r>
  </si>
  <si>
    <r>
      <t>ID</t>
    </r>
    <r>
      <rPr>
        <vertAlign val="superscript"/>
        <sz val="8"/>
        <rFont val="Arial"/>
        <family val="2"/>
      </rPr>
      <t>p</t>
    </r>
    <r>
      <rPr>
        <vertAlign val="subscript"/>
        <sz val="8"/>
        <rFont val="Arial"/>
        <family val="2"/>
      </rPr>
      <t>P, off</t>
    </r>
  </si>
  <si>
    <r>
      <t>C</t>
    </r>
    <r>
      <rPr>
        <vertAlign val="subscript"/>
        <sz val="8"/>
        <rFont val="Arial"/>
      </rPr>
      <t>a, on</t>
    </r>
  </si>
  <si>
    <r>
      <t>D</t>
    </r>
    <r>
      <rPr>
        <vertAlign val="subscript"/>
        <sz val="8"/>
        <rFont val="Arial"/>
      </rPr>
      <t>A3</t>
    </r>
  </si>
  <si>
    <r>
      <t>q*</t>
    </r>
    <r>
      <rPr>
        <vertAlign val="superscript"/>
        <sz val="8"/>
        <rFont val="Arial"/>
      </rPr>
      <t>d</t>
    </r>
    <r>
      <rPr>
        <vertAlign val="subscript"/>
        <sz val="8"/>
        <rFont val="Arial"/>
      </rPr>
      <t xml:space="preserve"> sed</t>
    </r>
  </si>
  <si>
    <t>Part A</t>
  </si>
  <si>
    <r>
      <t>Part B</t>
    </r>
    <r>
      <rPr>
        <vertAlign val="subscript"/>
        <sz val="8"/>
        <rFont val="Arial"/>
        <family val="2"/>
      </rPr>
      <t>off</t>
    </r>
  </si>
  <si>
    <t>Part C</t>
  </si>
  <si>
    <r>
      <t>N</t>
    </r>
    <r>
      <rPr>
        <vertAlign val="superscript"/>
        <sz val="8"/>
        <rFont val="Arial"/>
      </rPr>
      <t>d</t>
    </r>
    <r>
      <rPr>
        <vertAlign val="subscript"/>
        <sz val="8"/>
        <rFont val="Arial"/>
      </rPr>
      <t>off</t>
    </r>
  </si>
  <si>
    <r>
      <t>E</t>
    </r>
    <r>
      <rPr>
        <vertAlign val="superscript"/>
        <sz val="8"/>
        <rFont val="Arial"/>
      </rPr>
      <t>d</t>
    </r>
    <r>
      <rPr>
        <vertAlign val="subscript"/>
        <sz val="8"/>
        <rFont val="Arial"/>
      </rPr>
      <t>off</t>
    </r>
  </si>
  <si>
    <r>
      <t>C</t>
    </r>
    <r>
      <rPr>
        <vertAlign val="superscript"/>
        <sz val="8"/>
        <rFont val="Arial"/>
      </rPr>
      <t>d</t>
    </r>
    <r>
      <rPr>
        <vertAlign val="subscript"/>
        <sz val="8"/>
        <rFont val="Arial"/>
      </rPr>
      <t>a, off</t>
    </r>
  </si>
  <si>
    <r>
      <t>ID</t>
    </r>
    <r>
      <rPr>
        <vertAlign val="superscript"/>
        <sz val="8"/>
        <rFont val="Arial"/>
        <family val="2"/>
      </rPr>
      <t>d</t>
    </r>
    <r>
      <rPr>
        <vertAlign val="subscript"/>
        <sz val="8"/>
        <rFont val="Arial"/>
        <family val="2"/>
      </rPr>
      <t>P, off</t>
    </r>
  </si>
  <si>
    <r>
      <t>Part B</t>
    </r>
    <r>
      <rPr>
        <vertAlign val="subscript"/>
        <sz val="8"/>
        <rFont val="Arial"/>
        <family val="2"/>
      </rPr>
      <t>on</t>
    </r>
  </si>
  <si>
    <r>
      <t>N</t>
    </r>
    <r>
      <rPr>
        <vertAlign val="superscript"/>
        <sz val="8"/>
        <rFont val="Arial"/>
      </rPr>
      <t>d</t>
    </r>
    <r>
      <rPr>
        <vertAlign val="subscript"/>
        <sz val="8"/>
        <rFont val="Arial"/>
      </rPr>
      <t>on</t>
    </r>
  </si>
  <si>
    <r>
      <t>E</t>
    </r>
    <r>
      <rPr>
        <vertAlign val="superscript"/>
        <sz val="8"/>
        <rFont val="Arial"/>
      </rPr>
      <t>d</t>
    </r>
    <r>
      <rPr>
        <vertAlign val="subscript"/>
        <sz val="8"/>
        <rFont val="Arial"/>
      </rPr>
      <t>on</t>
    </r>
  </si>
  <si>
    <r>
      <t>C</t>
    </r>
    <r>
      <rPr>
        <vertAlign val="superscript"/>
        <sz val="8"/>
        <rFont val="Arial"/>
      </rPr>
      <t>d</t>
    </r>
    <r>
      <rPr>
        <vertAlign val="subscript"/>
        <sz val="8"/>
        <rFont val="Arial"/>
      </rPr>
      <t>a, on</t>
    </r>
  </si>
  <si>
    <r>
      <t>ID</t>
    </r>
    <r>
      <rPr>
        <vertAlign val="superscript"/>
        <sz val="8"/>
        <rFont val="Arial"/>
        <family val="2"/>
      </rPr>
      <t>d</t>
    </r>
    <r>
      <rPr>
        <vertAlign val="subscript"/>
        <sz val="8"/>
        <rFont val="Arial"/>
        <family val="2"/>
      </rPr>
      <t>P, on</t>
    </r>
  </si>
  <si>
    <r>
      <t>(atm-m</t>
    </r>
    <r>
      <rPr>
        <vertAlign val="superscript"/>
        <sz val="8"/>
        <rFont val="Arial"/>
      </rPr>
      <t>3</t>
    </r>
    <r>
      <rPr>
        <sz val="8"/>
        <rFont val="Arial"/>
      </rPr>
      <t>/g-mole)</t>
    </r>
  </si>
  <si>
    <r>
      <t>[cm</t>
    </r>
    <r>
      <rPr>
        <vertAlign val="superscript"/>
        <sz val="8"/>
        <rFont val="Arial"/>
      </rPr>
      <t>2</t>
    </r>
    <r>
      <rPr>
        <sz val="8"/>
        <rFont val="Arial"/>
      </rPr>
      <t>/s]</t>
    </r>
  </si>
  <si>
    <t>cm/s</t>
  </si>
  <si>
    <r>
      <t>(g cm</t>
    </r>
    <r>
      <rPr>
        <vertAlign val="superscript"/>
        <sz val="8"/>
        <rFont val="Arial"/>
      </rPr>
      <t xml:space="preserve">-2 </t>
    </r>
    <r>
      <rPr>
        <sz val="8"/>
        <rFont val="Arial"/>
      </rPr>
      <t>s</t>
    </r>
    <r>
      <rPr>
        <vertAlign val="superscript"/>
        <sz val="8"/>
        <rFont val="Arial"/>
      </rPr>
      <t>-1</t>
    </r>
    <r>
      <rPr>
        <sz val="8"/>
        <rFont val="Arial"/>
      </rPr>
      <t>)</t>
    </r>
  </si>
  <si>
    <t>(g/sec)</t>
  </si>
  <si>
    <r>
      <t>(mg/m</t>
    </r>
    <r>
      <rPr>
        <vertAlign val="superscript"/>
        <sz val="8"/>
        <rFont val="Arial"/>
      </rPr>
      <t>3</t>
    </r>
    <r>
      <rPr>
        <sz val="8"/>
        <rFont val="Arial"/>
      </rPr>
      <t>)</t>
    </r>
  </si>
  <si>
    <r>
      <t>(cm</t>
    </r>
    <r>
      <rPr>
        <vertAlign val="superscript"/>
        <sz val="8"/>
        <rFont val="Arial"/>
        <family val="2"/>
      </rPr>
      <t>3</t>
    </r>
    <r>
      <rPr>
        <sz val="8"/>
        <rFont val="Arial"/>
      </rPr>
      <t>/kg)</t>
    </r>
  </si>
  <si>
    <t>(sec/cm)</t>
  </si>
  <si>
    <r>
      <t>(mg/cm</t>
    </r>
    <r>
      <rPr>
        <vertAlign val="superscript"/>
        <sz val="8"/>
        <rFont val="Arial"/>
      </rPr>
      <t>3</t>
    </r>
    <r>
      <rPr>
        <sz val="8"/>
        <rFont val="Arial"/>
      </rPr>
      <t>)</t>
    </r>
  </si>
  <si>
    <r>
      <t>(g/cm</t>
    </r>
    <r>
      <rPr>
        <vertAlign val="superscript"/>
        <sz val="8"/>
        <rFont val="Arial"/>
      </rPr>
      <t>2</t>
    </r>
    <r>
      <rPr>
        <sz val="8"/>
        <rFont val="Arial"/>
      </rPr>
      <t>/sec)</t>
    </r>
  </si>
  <si>
    <t>Plant and Animal Uptake Calculations</t>
  </si>
  <si>
    <t>Screen</t>
  </si>
  <si>
    <t>Comparison</t>
  </si>
  <si>
    <r>
      <t>q</t>
    </r>
    <r>
      <rPr>
        <vertAlign val="subscript"/>
        <sz val="8"/>
        <rFont val="Arial"/>
      </rPr>
      <t>DTPA</t>
    </r>
  </si>
  <si>
    <r>
      <t>q</t>
    </r>
    <r>
      <rPr>
        <vertAlign val="superscript"/>
        <sz val="8"/>
        <rFont val="Arial"/>
      </rPr>
      <t>R</t>
    </r>
    <r>
      <rPr>
        <vertAlign val="subscript"/>
        <sz val="8"/>
        <rFont val="Arial"/>
      </rPr>
      <t>DTPA</t>
    </r>
  </si>
  <si>
    <r>
      <t>q</t>
    </r>
    <r>
      <rPr>
        <vertAlign val="subscript"/>
        <sz val="8"/>
        <rFont val="Arial"/>
      </rPr>
      <t>RM</t>
    </r>
  </si>
  <si>
    <r>
      <t>q</t>
    </r>
    <r>
      <rPr>
        <vertAlign val="subscript"/>
        <sz val="8"/>
        <rFont val="Arial"/>
      </rPr>
      <t>SC</t>
    </r>
  </si>
  <si>
    <t xml:space="preserve">to </t>
  </si>
  <si>
    <t>Vandium</t>
  </si>
  <si>
    <t/>
  </si>
  <si>
    <t>PONDED CONDITIONS</t>
  </si>
  <si>
    <t>DRYING CONDITIONS</t>
  </si>
  <si>
    <t>mg/kg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</si>
</sst>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
    <numFmt numFmtId="165" formatCode="0.0"/>
    <numFmt numFmtId="166" formatCode="0.0000"/>
    <numFmt numFmtId="167" formatCode="0.00000"/>
    <numFmt numFmtId="168" formatCode="0.000000"/>
    <numFmt numFmtId="169" formatCode="0.00000000"/>
    <numFmt numFmtId="170" formatCode="dd\-mmm\-yy"/>
    <numFmt numFmtId="171" formatCode="0.0000000"/>
  </numFmts>
  <fonts count="87" x14ac:knownFonts="1">
    <font>
      <sz val="10"/>
      <name val="Arial"/>
    </font>
    <font>
      <sz val="10"/>
      <name val="Arial"/>
    </font>
    <font>
      <sz val="8"/>
      <name val="Arial"/>
    </font>
    <font>
      <b/>
      <sz val="8"/>
      <name val="Arial"/>
      <family val="2"/>
    </font>
    <font>
      <sz val="8"/>
      <name val="Arial"/>
      <family val="2"/>
    </font>
    <font>
      <vertAlign val="subscript"/>
      <sz val="8"/>
      <name val="Arial"/>
      <family val="2"/>
    </font>
    <font>
      <vertAlign val="superscript"/>
      <sz val="8"/>
      <name val="Arial"/>
      <family val="2"/>
    </font>
    <font>
      <sz val="8"/>
      <color indexed="10"/>
      <name val="Arial"/>
      <family val="2"/>
    </font>
    <font>
      <sz val="8"/>
      <color indexed="62"/>
      <name val="Arial"/>
      <family val="2"/>
    </font>
    <font>
      <sz val="10"/>
      <color indexed="10"/>
      <name val="Arial"/>
      <family val="2"/>
    </font>
    <font>
      <b/>
      <u/>
      <sz val="8"/>
      <name val="Arial"/>
      <family val="2"/>
    </font>
    <font>
      <b/>
      <sz val="10"/>
      <name val="Arial"/>
      <family val="2"/>
    </font>
    <font>
      <b/>
      <sz val="14"/>
      <name val="Arial"/>
      <family val="2"/>
    </font>
    <font>
      <sz val="14"/>
      <name val="Arial"/>
      <family val="2"/>
    </font>
    <font>
      <b/>
      <sz val="8"/>
      <color indexed="10"/>
      <name val="Arial"/>
      <family val="2"/>
    </font>
    <font>
      <b/>
      <sz val="8"/>
      <color indexed="10"/>
      <name val="Webdings"/>
      <family val="1"/>
      <charset val="2"/>
    </font>
    <font>
      <sz val="10"/>
      <name val="Arial"/>
      <family val="2"/>
    </font>
    <font>
      <b/>
      <sz val="10"/>
      <color indexed="62"/>
      <name val="Arial"/>
      <family val="2"/>
    </font>
    <font>
      <b/>
      <sz val="8"/>
      <color indexed="81"/>
      <name val="Tahoma"/>
    </font>
    <font>
      <sz val="8"/>
      <color indexed="81"/>
      <name val="Tahoma"/>
    </font>
    <font>
      <sz val="10"/>
      <color indexed="62"/>
      <name val="Arial"/>
      <family val="2"/>
    </font>
    <font>
      <vertAlign val="subscript"/>
      <sz val="8"/>
      <color indexed="62"/>
      <name val="Arial"/>
      <family val="2"/>
    </font>
    <font>
      <sz val="10"/>
      <name val="Arial"/>
    </font>
    <font>
      <sz val="12"/>
      <name val="Arial"/>
      <family val="2"/>
    </font>
    <font>
      <sz val="8"/>
      <color indexed="81"/>
      <name val="Tahoma"/>
      <family val="2"/>
    </font>
    <font>
      <sz val="10"/>
      <color indexed="81"/>
      <name val="Tahoma"/>
      <family val="2"/>
    </font>
    <font>
      <vertAlign val="subscript"/>
      <sz val="10"/>
      <color indexed="81"/>
      <name val="Tahoma"/>
      <family val="2"/>
    </font>
    <font>
      <vertAlign val="superscript"/>
      <sz val="10"/>
      <color indexed="81"/>
      <name val="Tahoma"/>
      <family val="2"/>
    </font>
    <font>
      <sz val="10"/>
      <color indexed="81"/>
      <name val="Symbol"/>
      <family val="1"/>
      <charset val="2"/>
    </font>
    <font>
      <b/>
      <u/>
      <sz val="10"/>
      <name val="Arial"/>
      <family val="2"/>
    </font>
    <font>
      <i/>
      <sz val="10"/>
      <name val="Arial"/>
      <family val="2"/>
    </font>
    <font>
      <u/>
      <sz val="10"/>
      <name val="Arial"/>
      <family val="2"/>
    </font>
    <font>
      <vertAlign val="superscript"/>
      <sz val="8"/>
      <color indexed="81"/>
      <name val="Tahoma"/>
      <family val="2"/>
    </font>
    <font>
      <vertAlign val="superscript"/>
      <sz val="10"/>
      <name val="Arial"/>
      <family val="2"/>
    </font>
    <font>
      <vertAlign val="subscript"/>
      <sz val="10"/>
      <name val="Arial"/>
      <family val="2"/>
    </font>
    <font>
      <i/>
      <sz val="10"/>
      <color indexed="81"/>
      <name val="Tahoma"/>
      <family val="2"/>
    </font>
    <font>
      <i/>
      <sz val="10"/>
      <color indexed="10"/>
      <name val="Arial"/>
      <family val="2"/>
    </font>
    <font>
      <sz val="12"/>
      <name val="Arial"/>
    </font>
    <font>
      <sz val="12"/>
      <color indexed="18"/>
      <name val="Arial"/>
      <family val="2"/>
    </font>
    <font>
      <sz val="14"/>
      <name val="Webdings"/>
      <family val="1"/>
      <charset val="2"/>
    </font>
    <font>
      <sz val="10"/>
      <color indexed="81"/>
      <name val="Arial"/>
      <family val="2"/>
    </font>
    <font>
      <vertAlign val="subscript"/>
      <sz val="10"/>
      <color indexed="81"/>
      <name val="Arial"/>
      <family val="2"/>
    </font>
    <font>
      <b/>
      <sz val="10"/>
      <color indexed="10"/>
      <name val="Arial"/>
      <family val="2"/>
    </font>
    <font>
      <sz val="10"/>
      <name val="Symbol"/>
      <family val="1"/>
      <charset val="2"/>
    </font>
    <font>
      <sz val="14"/>
      <color indexed="10"/>
      <name val="Webdings"/>
      <family val="1"/>
      <charset val="2"/>
    </font>
    <font>
      <sz val="12"/>
      <color indexed="10"/>
      <name val="Arial"/>
      <family val="2"/>
    </font>
    <font>
      <i/>
      <sz val="8"/>
      <name val="Arial"/>
      <family val="2"/>
    </font>
    <font>
      <b/>
      <sz val="8"/>
      <color indexed="81"/>
      <name val="Tahoma"/>
      <family val="2"/>
    </font>
    <font>
      <i/>
      <sz val="12"/>
      <name val="Arial"/>
      <family val="2"/>
    </font>
    <font>
      <i/>
      <sz val="14"/>
      <color indexed="10"/>
      <name val="Arial"/>
      <family val="2"/>
    </font>
    <font>
      <i/>
      <u/>
      <sz val="10"/>
      <name val="Arial"/>
      <family val="2"/>
    </font>
    <font>
      <b/>
      <sz val="8"/>
      <color indexed="62"/>
      <name val="Arial"/>
      <family val="2"/>
    </font>
    <font>
      <i/>
      <sz val="12"/>
      <color indexed="10"/>
      <name val="Arial"/>
      <family val="2"/>
    </font>
    <font>
      <i/>
      <sz val="8"/>
      <color indexed="10"/>
      <name val="Arial"/>
      <family val="2"/>
    </font>
    <font>
      <b/>
      <sz val="10"/>
      <color indexed="10"/>
      <name val="Webdings"/>
      <family val="1"/>
      <charset val="2"/>
    </font>
    <font>
      <b/>
      <sz val="10"/>
      <color indexed="81"/>
      <name val="Arial"/>
      <family val="2"/>
    </font>
    <font>
      <b/>
      <i/>
      <sz val="10"/>
      <name val="Arial"/>
      <family val="2"/>
    </font>
    <font>
      <sz val="10"/>
      <color indexed="18"/>
      <name val="Arial"/>
      <family val="2"/>
    </font>
    <font>
      <i/>
      <sz val="8"/>
      <color indexed="62"/>
      <name val="Arial"/>
      <family val="2"/>
    </font>
    <font>
      <vertAlign val="subscript"/>
      <sz val="8"/>
      <color indexed="81"/>
      <name val="Tahoma"/>
      <family val="2"/>
    </font>
    <font>
      <vertAlign val="subscript"/>
      <sz val="8"/>
      <color indexed="81"/>
      <name val="Tahoma"/>
    </font>
    <font>
      <vertAlign val="superscript"/>
      <sz val="8"/>
      <color indexed="81"/>
      <name val="Tahoma"/>
    </font>
    <font>
      <b/>
      <vertAlign val="subscript"/>
      <sz val="8"/>
      <color indexed="81"/>
      <name val="Tahoma"/>
      <family val="2"/>
    </font>
    <font>
      <b/>
      <vertAlign val="superscript"/>
      <sz val="8"/>
      <color indexed="81"/>
      <name val="Tahoma"/>
      <family val="2"/>
    </font>
    <font>
      <sz val="10"/>
      <color indexed="81"/>
      <name val="Tahoma"/>
    </font>
    <font>
      <i/>
      <sz val="8"/>
      <color indexed="62"/>
      <name val="Arial"/>
    </font>
    <font>
      <b/>
      <sz val="8"/>
      <name val="Arial"/>
    </font>
    <font>
      <i/>
      <sz val="8"/>
      <name val="Arial"/>
    </font>
    <font>
      <b/>
      <sz val="8"/>
      <color indexed="62"/>
      <name val="Arial"/>
    </font>
    <font>
      <vertAlign val="subscript"/>
      <sz val="10"/>
      <name val="Arial"/>
    </font>
    <font>
      <sz val="8"/>
      <color indexed="10"/>
      <name val="Webdings"/>
      <family val="1"/>
      <charset val="2"/>
    </font>
    <font>
      <sz val="8"/>
      <color indexed="23"/>
      <name val="Arial"/>
    </font>
    <font>
      <b/>
      <u/>
      <sz val="8"/>
      <name val="Arial"/>
    </font>
    <font>
      <vertAlign val="subscript"/>
      <sz val="8"/>
      <name val="Arial"/>
    </font>
    <font>
      <vertAlign val="superscript"/>
      <sz val="8"/>
      <name val="Arial"/>
    </font>
    <font>
      <sz val="8"/>
      <color indexed="9"/>
      <name val="Arial"/>
    </font>
    <font>
      <u/>
      <sz val="8"/>
      <name val="Arial"/>
      <family val="2"/>
    </font>
    <font>
      <b/>
      <vertAlign val="superscript"/>
      <sz val="8"/>
      <name val="Arial"/>
      <family val="2"/>
    </font>
    <font>
      <sz val="8"/>
      <color indexed="81"/>
      <name val="Symbol"/>
      <family val="1"/>
      <charset val="2"/>
    </font>
    <font>
      <sz val="9"/>
      <color indexed="81"/>
      <name val="Tahoma"/>
      <family val="2"/>
    </font>
    <font>
      <vertAlign val="subscript"/>
      <sz val="9"/>
      <color indexed="81"/>
      <name val="Tahoma"/>
      <family val="2"/>
    </font>
    <font>
      <b/>
      <sz val="10"/>
      <color indexed="81"/>
      <name val="Tahoma"/>
      <family val="2"/>
    </font>
    <font>
      <vertAlign val="superscript"/>
      <sz val="9"/>
      <color indexed="81"/>
      <name val="Tahoma"/>
      <family val="2"/>
    </font>
    <font>
      <sz val="9"/>
      <color indexed="81"/>
      <name val="Symbol"/>
      <family val="1"/>
      <charset val="2"/>
    </font>
    <font>
      <sz val="9"/>
      <color indexed="81"/>
      <name val="Tahoma"/>
    </font>
    <font>
      <sz val="8"/>
      <color indexed="55"/>
      <name val="Arial"/>
    </font>
    <font>
      <i/>
      <sz val="8"/>
      <color indexed="81"/>
      <name val="Tahoma"/>
      <family val="2"/>
    </font>
  </fonts>
  <fills count="30">
    <fill>
      <patternFill patternType="none"/>
    </fill>
    <fill>
      <patternFill patternType="gray125"/>
    </fill>
    <fill>
      <patternFill patternType="solid">
        <fgColor indexed="47"/>
        <bgColor indexed="44"/>
      </patternFill>
    </fill>
    <fill>
      <patternFill patternType="solid">
        <fgColor indexed="47"/>
        <bgColor indexed="64"/>
      </patternFill>
    </fill>
    <fill>
      <patternFill patternType="solid">
        <fgColor indexed="44"/>
        <bgColor indexed="64"/>
      </patternFill>
    </fill>
    <fill>
      <patternFill patternType="solid">
        <fgColor indexed="26"/>
        <bgColor indexed="64"/>
      </patternFill>
    </fill>
    <fill>
      <patternFill patternType="solid">
        <fgColor indexed="26"/>
        <bgColor indexed="44"/>
      </patternFill>
    </fill>
    <fill>
      <patternFill patternType="solid">
        <fgColor indexed="42"/>
        <bgColor indexed="64"/>
      </patternFill>
    </fill>
    <fill>
      <patternFill patternType="lightTrellis">
        <fgColor indexed="47"/>
      </patternFill>
    </fill>
    <fill>
      <patternFill patternType="solid">
        <fgColor indexed="31"/>
        <bgColor indexed="64"/>
      </patternFill>
    </fill>
    <fill>
      <patternFill patternType="solid">
        <fgColor indexed="47"/>
        <bgColor indexed="51"/>
      </patternFill>
    </fill>
    <fill>
      <patternFill patternType="lightTrellis">
        <fgColor indexed="47"/>
        <bgColor indexed="47"/>
      </patternFill>
    </fill>
    <fill>
      <patternFill patternType="solid">
        <fgColor indexed="47"/>
        <bgColor indexed="10"/>
      </patternFill>
    </fill>
    <fill>
      <patternFill patternType="lightTrellis">
        <fgColor indexed="47"/>
        <bgColor indexed="9"/>
      </patternFill>
    </fill>
    <fill>
      <patternFill patternType="solid">
        <fgColor indexed="44"/>
        <bgColor indexed="47"/>
      </patternFill>
    </fill>
    <fill>
      <patternFill patternType="lightUp">
        <fgColor indexed="26"/>
        <bgColor indexed="22"/>
      </patternFill>
    </fill>
    <fill>
      <patternFill patternType="solid">
        <fgColor indexed="26"/>
        <bgColor indexed="10"/>
      </patternFill>
    </fill>
    <fill>
      <patternFill patternType="solid">
        <fgColor indexed="26"/>
        <bgColor indexed="47"/>
      </patternFill>
    </fill>
    <fill>
      <patternFill patternType="lightUp">
        <fgColor indexed="26"/>
        <bgColor indexed="26"/>
      </patternFill>
    </fill>
    <fill>
      <patternFill patternType="solid">
        <fgColor indexed="26"/>
        <bgColor indexed="51"/>
      </patternFill>
    </fill>
    <fill>
      <patternFill patternType="lightUp">
        <fgColor indexed="8"/>
        <bgColor indexed="47"/>
      </patternFill>
    </fill>
    <fill>
      <patternFill patternType="lightUp">
        <fgColor indexed="8"/>
      </patternFill>
    </fill>
    <fill>
      <patternFill patternType="lightUp">
        <fgColor indexed="8"/>
        <bgColor indexed="44"/>
      </patternFill>
    </fill>
    <fill>
      <patternFill patternType="lightUp">
        <fgColor indexed="8"/>
        <bgColor indexed="42"/>
      </patternFill>
    </fill>
    <fill>
      <patternFill patternType="solid">
        <fgColor indexed="47"/>
        <bgColor indexed="8"/>
      </patternFill>
    </fill>
    <fill>
      <patternFill patternType="solid">
        <fgColor indexed="44"/>
        <bgColor indexed="8"/>
      </patternFill>
    </fill>
    <fill>
      <patternFill patternType="solid">
        <fgColor indexed="42"/>
        <bgColor indexed="8"/>
      </patternFill>
    </fill>
    <fill>
      <patternFill patternType="lightUp">
        <fgColor indexed="8"/>
        <bgColor indexed="9"/>
      </patternFill>
    </fill>
    <fill>
      <patternFill patternType="lightUp">
        <bgColor indexed="47"/>
      </patternFill>
    </fill>
    <fill>
      <patternFill patternType="solid">
        <fgColor rgb="FFFFFF00"/>
        <bgColor indexed="64"/>
      </patternFill>
    </fill>
  </fills>
  <borders count="144">
    <border>
      <left/>
      <right/>
      <top/>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top/>
      <bottom style="medium">
        <color indexed="64"/>
      </bottom>
      <diagonal/>
    </border>
    <border>
      <left style="medium">
        <color indexed="23"/>
      </left>
      <right/>
      <top/>
      <bottom/>
      <diagonal/>
    </border>
    <border>
      <left style="medium">
        <color indexed="23"/>
      </left>
      <right/>
      <top style="thin">
        <color indexed="64"/>
      </top>
      <bottom/>
      <diagonal/>
    </border>
    <border>
      <left/>
      <right style="medium">
        <color indexed="23"/>
      </right>
      <top/>
      <bottom/>
      <diagonal/>
    </border>
    <border>
      <left style="medium">
        <color indexed="23"/>
      </left>
      <right/>
      <top/>
      <bottom style="medium">
        <color indexed="23"/>
      </bottom>
      <diagonal/>
    </border>
    <border>
      <left/>
      <right/>
      <top/>
      <bottom style="medium">
        <color indexed="23"/>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22"/>
      </top>
      <bottom style="thin">
        <color indexed="22"/>
      </bottom>
      <diagonal/>
    </border>
    <border>
      <left style="medium">
        <color indexed="64"/>
      </left>
      <right style="medium">
        <color indexed="64"/>
      </right>
      <top/>
      <bottom style="thin">
        <color indexed="22"/>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22"/>
      </top>
      <bottom style="thin">
        <color indexed="22"/>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thin">
        <color indexed="22"/>
      </left>
      <right style="thin">
        <color indexed="22"/>
      </right>
      <top/>
      <bottom style="thin">
        <color indexed="22"/>
      </bottom>
      <diagonal/>
    </border>
    <border>
      <left/>
      <right style="medium">
        <color indexed="64"/>
      </right>
      <top/>
      <bottom style="thin">
        <color indexed="22"/>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diagonal/>
    </border>
    <border>
      <left style="medium">
        <color indexed="23"/>
      </left>
      <right/>
      <top style="medium">
        <color indexed="23"/>
      </top>
      <bottom style="thin">
        <color indexed="64"/>
      </bottom>
      <diagonal/>
    </border>
    <border>
      <left style="medium">
        <color indexed="23"/>
      </left>
      <right/>
      <top/>
      <bottom style="thin">
        <color indexed="55"/>
      </bottom>
      <diagonal/>
    </border>
    <border>
      <left style="thin">
        <color indexed="55"/>
      </left>
      <right/>
      <top/>
      <bottom style="thin">
        <color indexed="55"/>
      </bottom>
      <diagonal/>
    </border>
    <border>
      <left style="thin">
        <color indexed="55"/>
      </left>
      <right/>
      <top/>
      <bottom/>
      <diagonal/>
    </border>
    <border>
      <left/>
      <right/>
      <top style="medium">
        <color indexed="23"/>
      </top>
      <bottom style="thin">
        <color indexed="64"/>
      </bottom>
      <diagonal/>
    </border>
    <border>
      <left style="thin">
        <color indexed="55"/>
      </left>
      <right/>
      <top style="thin">
        <color indexed="64"/>
      </top>
      <bottom/>
      <diagonal/>
    </border>
    <border>
      <left style="medium">
        <color indexed="55"/>
      </left>
      <right/>
      <top/>
      <bottom/>
      <diagonal/>
    </border>
    <border>
      <left style="medium">
        <color indexed="23"/>
      </left>
      <right style="thin">
        <color indexed="23"/>
      </right>
      <top/>
      <bottom/>
      <diagonal/>
    </border>
    <border>
      <left style="medium">
        <color indexed="23"/>
      </left>
      <right style="thin">
        <color indexed="23"/>
      </right>
      <top/>
      <bottom style="medium">
        <color indexed="23"/>
      </bottom>
      <diagonal/>
    </border>
    <border>
      <left style="thin">
        <color indexed="23"/>
      </left>
      <right style="medium">
        <color indexed="23"/>
      </right>
      <top/>
      <bottom style="medium">
        <color indexed="23"/>
      </bottom>
      <diagonal/>
    </border>
    <border>
      <left/>
      <right style="medium">
        <color indexed="23"/>
      </right>
      <top style="medium">
        <color indexed="23"/>
      </top>
      <bottom style="thin">
        <color indexed="64"/>
      </bottom>
      <diagonal/>
    </border>
    <border>
      <left/>
      <right style="medium">
        <color indexed="23"/>
      </right>
      <top style="thin">
        <color indexed="64"/>
      </top>
      <bottom/>
      <diagonal/>
    </border>
    <border>
      <left/>
      <right/>
      <top/>
      <bottom style="hair">
        <color indexed="55"/>
      </bottom>
      <diagonal/>
    </border>
    <border>
      <left/>
      <right/>
      <top style="hair">
        <color indexed="55"/>
      </top>
      <bottom style="hair">
        <color indexed="55"/>
      </bottom>
      <diagonal/>
    </border>
    <border>
      <left/>
      <right style="medium">
        <color indexed="23"/>
      </right>
      <top/>
      <bottom style="medium">
        <color indexed="23"/>
      </bottom>
      <diagonal/>
    </border>
    <border>
      <left style="medium">
        <color indexed="55"/>
      </left>
      <right style="thin">
        <color indexed="23"/>
      </right>
      <top/>
      <bottom style="hair">
        <color indexed="55"/>
      </bottom>
      <diagonal/>
    </border>
    <border>
      <left style="thin">
        <color indexed="23"/>
      </left>
      <right style="medium">
        <color indexed="23"/>
      </right>
      <top/>
      <bottom/>
      <diagonal/>
    </border>
    <border>
      <left style="medium">
        <color indexed="23"/>
      </left>
      <right/>
      <top/>
      <bottom style="thin">
        <color indexed="23"/>
      </bottom>
      <diagonal/>
    </border>
    <border>
      <left style="thin">
        <color indexed="55"/>
      </left>
      <right style="medium">
        <color indexed="23"/>
      </right>
      <top/>
      <bottom style="thin">
        <color indexed="23"/>
      </bottom>
      <diagonal/>
    </border>
    <border>
      <left style="medium">
        <color indexed="23"/>
      </left>
      <right/>
      <top style="hair">
        <color indexed="55"/>
      </top>
      <bottom style="hair">
        <color indexed="55"/>
      </bottom>
      <diagonal/>
    </border>
    <border>
      <left/>
      <right style="medium">
        <color indexed="23"/>
      </right>
      <top style="hair">
        <color indexed="55"/>
      </top>
      <bottom style="hair">
        <color indexed="55"/>
      </bottom>
      <diagonal/>
    </border>
    <border>
      <left style="medium">
        <color indexed="64"/>
      </left>
      <right style="medium">
        <color indexed="64"/>
      </right>
      <top/>
      <bottom/>
      <diagonal/>
    </border>
    <border>
      <left style="medium">
        <color indexed="64"/>
      </left>
      <right/>
      <top/>
      <bottom/>
      <diagonal/>
    </border>
    <border>
      <left/>
      <right/>
      <top/>
      <bottom style="thin">
        <color indexed="22"/>
      </bottom>
      <diagonal/>
    </border>
    <border>
      <left/>
      <right/>
      <top style="thin">
        <color indexed="22"/>
      </top>
      <bottom/>
      <diagonal/>
    </border>
    <border>
      <left/>
      <right/>
      <top style="thin">
        <color indexed="22"/>
      </top>
      <bottom style="thin">
        <color indexed="2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22"/>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22"/>
      </right>
      <top style="thin">
        <color indexed="22"/>
      </top>
      <bottom style="thin">
        <color indexed="22"/>
      </bottom>
      <diagonal/>
    </border>
    <border>
      <left style="thin">
        <color indexed="22"/>
      </left>
      <right style="medium">
        <color indexed="64"/>
      </right>
      <top style="thin">
        <color indexed="22"/>
      </top>
      <bottom style="thin">
        <color indexed="22"/>
      </bottom>
      <diagonal/>
    </border>
    <border>
      <left/>
      <right style="thin">
        <color indexed="22"/>
      </right>
      <top style="thin">
        <color indexed="22"/>
      </top>
      <bottom style="thin">
        <color indexed="22"/>
      </bottom>
      <diagonal/>
    </border>
    <border>
      <left style="medium">
        <color indexed="64"/>
      </left>
      <right style="thin">
        <color indexed="22"/>
      </right>
      <top style="thin">
        <color indexed="22"/>
      </top>
      <bottom style="medium">
        <color indexed="55"/>
      </bottom>
      <diagonal/>
    </border>
    <border>
      <left style="thin">
        <color indexed="22"/>
      </left>
      <right style="thin">
        <color indexed="22"/>
      </right>
      <top style="thin">
        <color indexed="22"/>
      </top>
      <bottom style="medium">
        <color indexed="55"/>
      </bottom>
      <diagonal/>
    </border>
    <border>
      <left style="thin">
        <color indexed="22"/>
      </left>
      <right style="medium">
        <color indexed="64"/>
      </right>
      <top style="thin">
        <color indexed="22"/>
      </top>
      <bottom style="medium">
        <color indexed="55"/>
      </bottom>
      <diagonal/>
    </border>
    <border>
      <left style="medium">
        <color indexed="64"/>
      </left>
      <right style="thin">
        <color indexed="22"/>
      </right>
      <top style="thin">
        <color indexed="22"/>
      </top>
      <bottom style="medium">
        <color indexed="64"/>
      </bottom>
      <diagonal/>
    </border>
    <border>
      <left style="thin">
        <color indexed="22"/>
      </left>
      <right style="thin">
        <color indexed="22"/>
      </right>
      <top style="thin">
        <color indexed="22"/>
      </top>
      <bottom style="medium">
        <color indexed="64"/>
      </bottom>
      <diagonal/>
    </border>
    <border>
      <left style="thin">
        <color indexed="22"/>
      </left>
      <right style="medium">
        <color indexed="64"/>
      </right>
      <top style="thin">
        <color indexed="22"/>
      </top>
      <bottom style="medium">
        <color indexed="64"/>
      </bottom>
      <diagonal/>
    </border>
    <border>
      <left style="medium">
        <color indexed="64"/>
      </left>
      <right style="medium">
        <color indexed="64"/>
      </right>
      <top style="thin">
        <color indexed="22"/>
      </top>
      <bottom/>
      <diagonal/>
    </border>
    <border>
      <left style="thin">
        <color indexed="22"/>
      </left>
      <right/>
      <top/>
      <bottom/>
      <diagonal/>
    </border>
    <border>
      <left/>
      <right style="thin">
        <color indexed="22"/>
      </right>
      <top/>
      <bottom/>
      <diagonal/>
    </border>
    <border>
      <left/>
      <right style="thin">
        <color indexed="22"/>
      </right>
      <top/>
      <bottom style="medium">
        <color indexed="64"/>
      </bottom>
      <diagonal/>
    </border>
    <border>
      <left style="thin">
        <color indexed="22"/>
      </left>
      <right/>
      <top style="thin">
        <color indexed="22"/>
      </top>
      <bottom style="thin">
        <color indexed="22"/>
      </bottom>
      <diagonal/>
    </border>
    <border>
      <left style="medium">
        <color indexed="64"/>
      </left>
      <right style="medium">
        <color indexed="64"/>
      </right>
      <top/>
      <bottom style="medium">
        <color indexed="55"/>
      </bottom>
      <diagonal/>
    </border>
    <border>
      <left style="medium">
        <color indexed="64"/>
      </left>
      <right style="medium">
        <color indexed="64"/>
      </right>
      <top style="thin">
        <color indexed="22"/>
      </top>
      <bottom style="medium">
        <color indexed="55"/>
      </bottom>
      <diagonal/>
    </border>
    <border>
      <left style="medium">
        <color indexed="64"/>
      </left>
      <right style="medium">
        <color indexed="64"/>
      </right>
      <top style="medium">
        <color indexed="55"/>
      </top>
      <bottom/>
      <diagonal/>
    </border>
    <border>
      <left style="medium">
        <color indexed="64"/>
      </left>
      <right/>
      <top style="medium">
        <color indexed="55"/>
      </top>
      <bottom style="thin">
        <color indexed="22"/>
      </bottom>
      <diagonal/>
    </border>
    <border>
      <left/>
      <right/>
      <top style="medium">
        <color indexed="55"/>
      </top>
      <bottom style="thin">
        <color indexed="22"/>
      </bottom>
      <diagonal/>
    </border>
    <border>
      <left/>
      <right style="medium">
        <color indexed="64"/>
      </right>
      <top style="medium">
        <color indexed="55"/>
      </top>
      <bottom style="thin">
        <color indexed="22"/>
      </bottom>
      <diagonal/>
    </border>
    <border>
      <left style="medium">
        <color indexed="64"/>
      </left>
      <right style="medium">
        <color indexed="64"/>
      </right>
      <top style="medium">
        <color indexed="55"/>
      </top>
      <bottom style="thin">
        <color indexed="22"/>
      </bottom>
      <diagonal/>
    </border>
    <border>
      <left style="medium">
        <color indexed="64"/>
      </left>
      <right style="thin">
        <color indexed="22"/>
      </right>
      <top style="thin">
        <color indexed="22"/>
      </top>
      <bottom/>
      <diagonal/>
    </border>
    <border>
      <left style="thin">
        <color indexed="22"/>
      </left>
      <right style="thin">
        <color indexed="22"/>
      </right>
      <top style="thin">
        <color indexed="22"/>
      </top>
      <bottom/>
      <diagonal/>
    </border>
    <border>
      <left/>
      <right/>
      <top style="thin">
        <color indexed="22"/>
      </top>
      <bottom style="medium">
        <color indexed="64"/>
      </bottom>
      <diagonal/>
    </border>
    <border>
      <left/>
      <right style="medium">
        <color indexed="64"/>
      </right>
      <top style="thin">
        <color indexed="22"/>
      </top>
      <bottom style="medium">
        <color indexed="64"/>
      </bottom>
      <diagonal/>
    </border>
    <border>
      <left style="medium">
        <color indexed="64"/>
      </left>
      <right/>
      <top style="medium">
        <color indexed="55"/>
      </top>
      <bottom/>
      <diagonal/>
    </border>
    <border>
      <left/>
      <right style="medium">
        <color indexed="64"/>
      </right>
      <top style="medium">
        <color indexed="55"/>
      </top>
      <bottom/>
      <diagonal/>
    </border>
    <border>
      <left/>
      <right style="thin">
        <color indexed="22"/>
      </right>
      <top style="thin">
        <color indexed="22"/>
      </top>
      <bottom style="medium">
        <color indexed="64"/>
      </bottom>
      <diagonal/>
    </border>
    <border>
      <left style="thin">
        <color indexed="22"/>
      </left>
      <right/>
      <top style="thin">
        <color indexed="22"/>
      </top>
      <bottom style="medium">
        <color indexed="64"/>
      </bottom>
      <diagonal/>
    </border>
    <border>
      <left style="medium">
        <color indexed="64"/>
      </left>
      <right/>
      <top style="medium">
        <color indexed="64"/>
      </top>
      <bottom style="thin">
        <color indexed="55"/>
      </bottom>
      <diagonal/>
    </border>
    <border>
      <left/>
      <right style="medium">
        <color indexed="64"/>
      </right>
      <top style="medium">
        <color indexed="64"/>
      </top>
      <bottom style="thin">
        <color indexed="55"/>
      </bottom>
      <diagonal/>
    </border>
    <border>
      <left style="medium">
        <color indexed="64"/>
      </left>
      <right/>
      <top style="thin">
        <color indexed="55"/>
      </top>
      <bottom style="thin">
        <color indexed="55"/>
      </bottom>
      <diagonal/>
    </border>
    <border>
      <left/>
      <right style="medium">
        <color indexed="64"/>
      </right>
      <top style="thin">
        <color indexed="55"/>
      </top>
      <bottom style="thin">
        <color indexed="55"/>
      </bottom>
      <diagonal/>
    </border>
    <border>
      <left style="medium">
        <color indexed="64"/>
      </left>
      <right/>
      <top style="thin">
        <color indexed="55"/>
      </top>
      <bottom style="medium">
        <color indexed="64"/>
      </bottom>
      <diagonal/>
    </border>
    <border>
      <left/>
      <right style="medium">
        <color indexed="64"/>
      </right>
      <top style="thin">
        <color indexed="55"/>
      </top>
      <bottom style="medium">
        <color indexed="64"/>
      </bottom>
      <diagonal/>
    </border>
    <border>
      <left style="medium">
        <color indexed="64"/>
      </left>
      <right style="medium">
        <color indexed="64"/>
      </right>
      <top style="medium">
        <color indexed="64"/>
      </top>
      <bottom style="thin">
        <color indexed="55"/>
      </bottom>
      <diagonal/>
    </border>
    <border>
      <left style="medium">
        <color indexed="64"/>
      </left>
      <right style="medium">
        <color indexed="64"/>
      </right>
      <top style="thin">
        <color indexed="55"/>
      </top>
      <bottom style="thin">
        <color indexed="55"/>
      </bottom>
      <diagonal/>
    </border>
    <border>
      <left style="medium">
        <color indexed="64"/>
      </left>
      <right style="medium">
        <color indexed="64"/>
      </right>
      <top style="thin">
        <color indexed="55"/>
      </top>
      <bottom style="medium">
        <color indexed="64"/>
      </bottom>
      <diagonal/>
    </border>
    <border>
      <left style="medium">
        <color indexed="64"/>
      </left>
      <right style="medium">
        <color indexed="64"/>
      </right>
      <top/>
      <bottom style="thin">
        <color indexed="55"/>
      </bottom>
      <diagonal/>
    </border>
    <border>
      <left style="medium">
        <color indexed="10"/>
      </left>
      <right/>
      <top style="medium">
        <color indexed="10"/>
      </top>
      <bottom/>
      <diagonal/>
    </border>
    <border>
      <left/>
      <right/>
      <top style="medium">
        <color indexed="10"/>
      </top>
      <bottom/>
      <diagonal/>
    </border>
    <border>
      <left/>
      <right style="medium">
        <color indexed="10"/>
      </right>
      <top style="medium">
        <color indexed="10"/>
      </top>
      <bottom/>
      <diagonal/>
    </border>
    <border>
      <left style="medium">
        <color indexed="10"/>
      </left>
      <right/>
      <top/>
      <bottom/>
      <diagonal/>
    </border>
    <border>
      <left/>
      <right style="medium">
        <color indexed="10"/>
      </right>
      <top/>
      <bottom/>
      <diagonal/>
    </border>
    <border>
      <left style="thin">
        <color indexed="22"/>
      </left>
      <right style="medium">
        <color indexed="64"/>
      </right>
      <top style="thin">
        <color indexed="22"/>
      </top>
      <bottom/>
      <diagonal/>
    </border>
    <border>
      <left style="medium">
        <color indexed="64"/>
      </left>
      <right/>
      <top style="thin">
        <color indexed="22"/>
      </top>
      <bottom style="medium">
        <color indexed="64"/>
      </bottom>
      <diagonal/>
    </border>
    <border>
      <left style="medium">
        <color indexed="64"/>
      </left>
      <right/>
      <top style="medium">
        <color indexed="64"/>
      </top>
      <bottom style="thin">
        <color indexed="22"/>
      </bottom>
      <diagonal/>
    </border>
    <border>
      <left style="thin">
        <color indexed="22"/>
      </left>
      <right/>
      <top style="thin">
        <color indexed="22"/>
      </top>
      <bottom style="medium">
        <color indexed="55"/>
      </bottom>
      <diagonal/>
    </border>
    <border>
      <left/>
      <right style="medium">
        <color indexed="64"/>
      </right>
      <top style="medium">
        <color indexed="64"/>
      </top>
      <bottom style="thin">
        <color indexed="22"/>
      </bottom>
      <diagonal/>
    </border>
    <border>
      <left style="medium">
        <color indexed="64"/>
      </left>
      <right style="medium">
        <color indexed="64"/>
      </right>
      <top style="thin">
        <color indexed="22"/>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right/>
      <top/>
      <bottom style="thin">
        <color indexed="64"/>
      </bottom>
      <diagonal/>
    </border>
    <border>
      <left style="medium">
        <color indexed="64"/>
      </left>
      <right/>
      <top style="thin">
        <color indexed="22"/>
      </top>
      <bottom style="medium">
        <color indexed="55"/>
      </bottom>
      <diagonal/>
    </border>
    <border>
      <left/>
      <right/>
      <top style="medium">
        <color indexed="64"/>
      </top>
      <bottom style="thin">
        <color indexed="22"/>
      </bottom>
      <diagonal/>
    </border>
    <border>
      <left style="medium">
        <color indexed="23"/>
      </left>
      <right/>
      <top style="medium">
        <color indexed="23"/>
      </top>
      <bottom style="thin">
        <color indexed="8"/>
      </bottom>
      <diagonal/>
    </border>
    <border>
      <left/>
      <right style="medium">
        <color indexed="23"/>
      </right>
      <top style="medium">
        <color indexed="23"/>
      </top>
      <bottom style="thin">
        <color indexed="8"/>
      </bottom>
      <diagonal/>
    </border>
    <border>
      <left style="medium">
        <color indexed="23"/>
      </left>
      <right style="thin">
        <color indexed="23"/>
      </right>
      <top/>
      <bottom style="thin">
        <color indexed="23"/>
      </bottom>
      <diagonal/>
    </border>
    <border>
      <left/>
      <right style="medium">
        <color indexed="23"/>
      </right>
      <top/>
      <bottom style="thin">
        <color indexed="23"/>
      </bottom>
      <diagonal/>
    </border>
    <border>
      <left style="medium">
        <color indexed="23"/>
      </left>
      <right style="thin">
        <color indexed="23"/>
      </right>
      <top style="thin">
        <color indexed="8"/>
      </top>
      <bottom/>
      <diagonal/>
    </border>
    <border>
      <left/>
      <right style="medium">
        <color indexed="23"/>
      </right>
      <top style="thin">
        <color indexed="8"/>
      </top>
      <bottom/>
      <diagonal/>
    </border>
    <border>
      <left/>
      <right style="thin">
        <color indexed="22"/>
      </right>
      <top style="thin">
        <color indexed="22"/>
      </top>
      <bottom/>
      <diagonal/>
    </border>
    <border>
      <left style="medium">
        <color indexed="64"/>
      </left>
      <right/>
      <top style="thin">
        <color indexed="22"/>
      </top>
      <bottom/>
      <diagonal/>
    </border>
    <border>
      <left style="thin">
        <color indexed="22"/>
      </left>
      <right/>
      <top style="thin">
        <color indexed="22"/>
      </top>
      <bottom/>
      <diagonal/>
    </border>
    <border>
      <left style="thin">
        <color indexed="22"/>
      </left>
      <right style="medium">
        <color indexed="64"/>
      </right>
      <top style="thin">
        <color indexed="22"/>
      </top>
      <bottom style="thin">
        <color indexed="64"/>
      </bottom>
      <diagonal/>
    </border>
    <border>
      <left style="medium">
        <color indexed="64"/>
      </left>
      <right style="thin">
        <color indexed="22"/>
      </right>
      <top/>
      <bottom style="thin">
        <color indexed="22"/>
      </bottom>
      <diagonal/>
    </border>
    <border>
      <left style="thin">
        <color indexed="22"/>
      </left>
      <right/>
      <top style="thin">
        <color indexed="22"/>
      </top>
      <bottom style="thin">
        <color indexed="64"/>
      </bottom>
      <diagonal/>
    </border>
    <border>
      <left style="thin">
        <color indexed="22"/>
      </left>
      <right/>
      <top/>
      <bottom style="thin">
        <color indexed="22"/>
      </bottom>
      <diagonal/>
    </border>
    <border>
      <left style="medium">
        <color indexed="64"/>
      </left>
      <right style="medium">
        <color indexed="64"/>
      </right>
      <top style="medium">
        <color indexed="64"/>
      </top>
      <bottom style="thin">
        <color indexed="22"/>
      </bottom>
      <diagonal/>
    </border>
    <border>
      <left/>
      <right style="medium">
        <color indexed="64"/>
      </right>
      <top style="thin">
        <color indexed="22"/>
      </top>
      <bottom/>
      <diagonal/>
    </border>
    <border>
      <left/>
      <right style="medium">
        <color indexed="64"/>
      </right>
      <top style="thin">
        <color indexed="22"/>
      </top>
      <bottom style="medium">
        <color indexed="55"/>
      </bottom>
      <diagonal/>
    </border>
    <border>
      <left/>
      <right style="medium">
        <color indexed="64"/>
      </right>
      <top style="thin">
        <color indexed="22"/>
      </top>
      <bottom style="thin">
        <color indexed="64"/>
      </bottom>
      <diagonal/>
    </border>
    <border>
      <left style="thin">
        <color indexed="22"/>
      </left>
      <right style="medium">
        <color indexed="64"/>
      </right>
      <top/>
      <bottom style="thin">
        <color indexed="22"/>
      </bottom>
      <diagonal/>
    </border>
    <border>
      <left style="thin">
        <color indexed="22"/>
      </left>
      <right style="thin">
        <color indexed="22"/>
      </right>
      <top/>
      <bottom/>
      <diagonal/>
    </border>
    <border>
      <left style="thin">
        <color indexed="22"/>
      </left>
      <right style="thin">
        <color indexed="22"/>
      </right>
      <top/>
      <bottom style="thin">
        <color indexed="64"/>
      </bottom>
      <diagonal/>
    </border>
    <border>
      <left style="medium">
        <color indexed="23"/>
      </left>
      <right/>
      <top style="hair">
        <color indexed="23"/>
      </top>
      <bottom/>
      <diagonal/>
    </border>
    <border>
      <left/>
      <right/>
      <top style="hair">
        <color indexed="23"/>
      </top>
      <bottom/>
      <diagonal/>
    </border>
    <border>
      <left/>
      <right style="medium">
        <color indexed="23"/>
      </right>
      <top style="hair">
        <color indexed="23"/>
      </top>
      <bottom/>
      <diagonal/>
    </border>
    <border>
      <left style="medium">
        <color indexed="23"/>
      </left>
      <right/>
      <top/>
      <bottom style="hair">
        <color indexed="23"/>
      </bottom>
      <diagonal/>
    </border>
    <border>
      <left/>
      <right/>
      <top/>
      <bottom style="hair">
        <color indexed="23"/>
      </bottom>
      <diagonal/>
    </border>
    <border>
      <left/>
      <right style="medium">
        <color indexed="23"/>
      </right>
      <top/>
      <bottom style="hair">
        <color indexed="23"/>
      </bottom>
      <diagonal/>
    </border>
    <border>
      <left style="medium">
        <color indexed="10"/>
      </left>
      <right/>
      <top/>
      <bottom style="medium">
        <color indexed="10"/>
      </bottom>
      <diagonal/>
    </border>
    <border>
      <left/>
      <right/>
      <top/>
      <bottom style="medium">
        <color indexed="10"/>
      </bottom>
      <diagonal/>
    </border>
    <border>
      <left/>
      <right style="medium">
        <color indexed="10"/>
      </right>
      <top/>
      <bottom style="medium">
        <color indexed="10"/>
      </bottom>
      <diagonal/>
    </border>
  </borders>
  <cellStyleXfs count="1">
    <xf numFmtId="0" fontId="0" fillId="0" borderId="0" applyNumberFormat="0" applyBorder="0" applyAlignment="0"/>
  </cellStyleXfs>
  <cellXfs count="1202">
    <xf numFmtId="0" fontId="0" fillId="0" borderId="0" xfId="0"/>
    <xf numFmtId="164" fontId="2" fillId="0" borderId="0" xfId="0" applyNumberFormat="1" applyFont="1"/>
    <xf numFmtId="0" fontId="2" fillId="0" borderId="0" xfId="0" applyNumberFormat="1" applyFont="1"/>
    <xf numFmtId="0" fontId="0" fillId="0" borderId="0" xfId="0" applyNumberFormat="1"/>
    <xf numFmtId="0" fontId="4" fillId="0" borderId="0" xfId="0" applyFont="1"/>
    <xf numFmtId="0" fontId="0" fillId="0" borderId="0" xfId="0" applyAlignment="1">
      <alignment horizontal="center"/>
    </xf>
    <xf numFmtId="0" fontId="0" fillId="0" borderId="2" xfId="0" applyBorder="1"/>
    <xf numFmtId="0" fontId="4" fillId="0" borderId="0" xfId="0" applyFont="1" applyBorder="1" applyAlignment="1">
      <alignment horizontal="right"/>
    </xf>
    <xf numFmtId="0" fontId="0" fillId="0" borderId="0" xfId="0" applyBorder="1"/>
    <xf numFmtId="0" fontId="4" fillId="0" borderId="0" xfId="0" applyFont="1" applyFill="1" applyBorder="1" applyAlignment="1">
      <alignment horizontal="center"/>
    </xf>
    <xf numFmtId="0" fontId="0" fillId="0" borderId="0" xfId="0" applyFill="1"/>
    <xf numFmtId="164" fontId="0" fillId="0" borderId="0" xfId="0" applyNumberFormat="1" applyFill="1"/>
    <xf numFmtId="0" fontId="13" fillId="0" borderId="0" xfId="0" applyNumberFormat="1" applyFont="1"/>
    <xf numFmtId="0" fontId="4" fillId="0" borderId="0" xfId="0" applyFont="1" applyAlignment="1">
      <alignment horizontal="center"/>
    </xf>
    <xf numFmtId="0" fontId="12" fillId="0" borderId="0" xfId="0" applyFont="1"/>
    <xf numFmtId="0" fontId="16" fillId="0" borderId="0" xfId="0" applyFont="1"/>
    <xf numFmtId="0" fontId="4" fillId="0" borderId="0" xfId="0" applyFont="1" applyFill="1" applyBorder="1"/>
    <xf numFmtId="0" fontId="16" fillId="0" borderId="0" xfId="0" applyFont="1" applyFill="1"/>
    <xf numFmtId="164" fontId="4" fillId="0" borderId="0" xfId="0" applyNumberFormat="1" applyFont="1" applyFill="1" applyBorder="1" applyAlignment="1">
      <alignment horizontal="right"/>
    </xf>
    <xf numFmtId="0" fontId="2" fillId="0" borderId="0" xfId="0" applyNumberFormat="1" applyFont="1" applyBorder="1" applyAlignment="1">
      <alignment horizontal="right"/>
    </xf>
    <xf numFmtId="0" fontId="2" fillId="0" borderId="0" xfId="0" applyNumberFormat="1" applyFont="1" applyBorder="1"/>
    <xf numFmtId="0" fontId="0" fillId="0" borderId="0" xfId="0" applyNumberFormat="1" applyBorder="1"/>
    <xf numFmtId="165" fontId="2" fillId="0" borderId="0" xfId="0" applyNumberFormat="1" applyFont="1" applyBorder="1"/>
    <xf numFmtId="0" fontId="0" fillId="0" borderId="0" xfId="0" applyFill="1" applyBorder="1"/>
    <xf numFmtId="0" fontId="4" fillId="0" borderId="3" xfId="0" applyFont="1" applyBorder="1"/>
    <xf numFmtId="164" fontId="14" fillId="0" borderId="0" xfId="0" applyNumberFormat="1" applyFont="1" applyFill="1" applyBorder="1" applyAlignment="1">
      <alignment horizontal="left"/>
    </xf>
    <xf numFmtId="0" fontId="22" fillId="0" borderId="0" xfId="0" applyFont="1"/>
    <xf numFmtId="0" fontId="13" fillId="0" borderId="0" xfId="0" applyFont="1" applyBorder="1"/>
    <xf numFmtId="0" fontId="16" fillId="0" borderId="0" xfId="0" applyFont="1" applyFill="1" applyBorder="1"/>
    <xf numFmtId="0" fontId="12" fillId="0" borderId="0" xfId="0" applyFont="1" applyAlignment="1">
      <alignment horizontal="center"/>
    </xf>
    <xf numFmtId="0" fontId="0" fillId="0" borderId="0" xfId="0" applyFill="1" applyBorder="1" applyAlignment="1">
      <alignment horizontal="left"/>
    </xf>
    <xf numFmtId="0" fontId="16" fillId="0" borderId="0" xfId="0" applyFont="1" applyBorder="1"/>
    <xf numFmtId="0" fontId="4" fillId="0" borderId="3" xfId="0" applyFont="1" applyBorder="1" applyAlignment="1">
      <alignment horizontal="center"/>
    </xf>
    <xf numFmtId="0" fontId="16" fillId="0" borderId="0" xfId="0" applyFont="1" applyAlignment="1">
      <alignment horizontal="center"/>
    </xf>
    <xf numFmtId="0" fontId="16" fillId="0" borderId="0" xfId="0" applyFont="1" applyFill="1" applyAlignment="1">
      <alignment horizontal="center"/>
    </xf>
    <xf numFmtId="0" fontId="4" fillId="0" borderId="0" xfId="0" applyFont="1" applyFill="1" applyBorder="1" applyAlignment="1">
      <alignment horizontal="right"/>
    </xf>
    <xf numFmtId="0" fontId="23" fillId="0" borderId="0" xfId="0" applyFont="1" applyAlignment="1"/>
    <xf numFmtId="0" fontId="36" fillId="0" borderId="0" xfId="0" applyNumberFormat="1" applyFont="1"/>
    <xf numFmtId="0" fontId="0" fillId="0" borderId="4" xfId="0" applyFill="1" applyBorder="1"/>
    <xf numFmtId="0" fontId="37" fillId="0" borderId="4" xfId="0" applyFont="1" applyFill="1" applyBorder="1"/>
    <xf numFmtId="0" fontId="39" fillId="0" borderId="0" xfId="0" applyFont="1" applyAlignment="1">
      <alignment horizontal="center"/>
    </xf>
    <xf numFmtId="164" fontId="13" fillId="0" borderId="0" xfId="0" applyNumberFormat="1" applyFont="1" applyBorder="1"/>
    <xf numFmtId="0" fontId="13" fillId="0" borderId="0" xfId="0" applyNumberFormat="1" applyFont="1" applyBorder="1"/>
    <xf numFmtId="0" fontId="36" fillId="0" borderId="0" xfId="0" applyFont="1"/>
    <xf numFmtId="0" fontId="16" fillId="2" borderId="5" xfId="0" applyFont="1" applyFill="1" applyBorder="1"/>
    <xf numFmtId="0" fontId="16" fillId="2" borderId="4" xfId="0" applyFont="1" applyFill="1" applyBorder="1"/>
    <xf numFmtId="0" fontId="16" fillId="2" borderId="0" xfId="0" applyFont="1" applyFill="1" applyBorder="1"/>
    <xf numFmtId="0" fontId="16" fillId="2" borderId="6" xfId="0" applyFont="1" applyFill="1" applyBorder="1"/>
    <xf numFmtId="0" fontId="16" fillId="2" borderId="7" xfId="0" applyFont="1" applyFill="1" applyBorder="1"/>
    <xf numFmtId="0" fontId="16" fillId="2" borderId="8" xfId="0" applyFont="1" applyFill="1" applyBorder="1"/>
    <xf numFmtId="1" fontId="16" fillId="2" borderId="8" xfId="0" applyNumberFormat="1" applyFont="1" applyFill="1" applyBorder="1"/>
    <xf numFmtId="0" fontId="2" fillId="0" borderId="0" xfId="0" applyNumberFormat="1" applyFont="1" applyFill="1" applyBorder="1"/>
    <xf numFmtId="0" fontId="16" fillId="0" borderId="0" xfId="0" applyFont="1" applyAlignment="1">
      <alignment horizontal="right"/>
    </xf>
    <xf numFmtId="0" fontId="1" fillId="0" borderId="0" xfId="0" applyFont="1"/>
    <xf numFmtId="0" fontId="11" fillId="3" borderId="9" xfId="0" applyFont="1" applyFill="1" applyBorder="1" applyAlignment="1">
      <alignment horizontal="center"/>
    </xf>
    <xf numFmtId="0" fontId="22" fillId="0" borderId="0" xfId="0" applyFont="1" applyFill="1"/>
    <xf numFmtId="0" fontId="4" fillId="3" borderId="10" xfId="0" applyFont="1" applyFill="1" applyBorder="1"/>
    <xf numFmtId="0" fontId="4" fillId="3" borderId="11" xfId="0" applyFont="1" applyFill="1" applyBorder="1"/>
    <xf numFmtId="0" fontId="29" fillId="0" borderId="0" xfId="0" applyFont="1"/>
    <xf numFmtId="164" fontId="8" fillId="0" borderId="0" xfId="0" applyNumberFormat="1" applyFont="1" applyFill="1" applyBorder="1"/>
    <xf numFmtId="0" fontId="4" fillId="3" borderId="10" xfId="0" applyFont="1" applyFill="1" applyBorder="1" applyAlignment="1">
      <alignment horizontal="left"/>
    </xf>
    <xf numFmtId="0" fontId="4" fillId="0" borderId="0" xfId="0" applyFont="1" applyAlignment="1">
      <alignment horizontal="left"/>
    </xf>
    <xf numFmtId="0" fontId="52" fillId="0" borderId="0" xfId="0" applyFont="1" applyAlignment="1">
      <alignment horizontal="left"/>
    </xf>
    <xf numFmtId="0" fontId="49" fillId="0" borderId="0" xfId="0" applyFont="1" applyFill="1" applyBorder="1"/>
    <xf numFmtId="0" fontId="16" fillId="0" borderId="0" xfId="0" applyFont="1" applyFill="1" applyBorder="1" applyAlignment="1">
      <alignment horizontal="right"/>
    </xf>
    <xf numFmtId="164" fontId="11" fillId="0" borderId="0" xfId="0" applyNumberFormat="1" applyFont="1" applyFill="1" applyBorder="1"/>
    <xf numFmtId="164" fontId="17" fillId="0" borderId="0" xfId="0" applyNumberFormat="1" applyFont="1" applyFill="1" applyBorder="1" applyAlignment="1">
      <alignment horizontal="center"/>
    </xf>
    <xf numFmtId="0" fontId="17" fillId="0" borderId="0" xfId="0" applyNumberFormat="1" applyFont="1" applyFill="1" applyBorder="1"/>
    <xf numFmtId="164" fontId="20" fillId="0" borderId="0" xfId="0" applyNumberFormat="1" applyFont="1" applyFill="1" applyBorder="1" applyAlignment="1">
      <alignment horizontal="center"/>
    </xf>
    <xf numFmtId="0" fontId="20" fillId="0" borderId="0" xfId="0" applyNumberFormat="1" applyFont="1" applyFill="1" applyBorder="1" applyAlignment="1">
      <alignment horizontal="center"/>
    </xf>
    <xf numFmtId="0" fontId="16" fillId="0" borderId="0" xfId="0" applyNumberFormat="1" applyFont="1" applyFill="1" applyBorder="1" applyAlignment="1">
      <alignment horizontal="center"/>
    </xf>
    <xf numFmtId="0" fontId="16" fillId="0" borderId="0" xfId="0" applyFont="1" applyFill="1" applyBorder="1" applyAlignment="1">
      <alignment horizontal="center"/>
    </xf>
    <xf numFmtId="164" fontId="16" fillId="0" borderId="0" xfId="0" applyNumberFormat="1" applyFont="1" applyFill="1" applyBorder="1" applyAlignment="1">
      <alignment horizontal="center"/>
    </xf>
    <xf numFmtId="0" fontId="9" fillId="0" borderId="0" xfId="0" applyFont="1" applyFill="1" applyBorder="1" applyAlignment="1">
      <alignment horizontal="center"/>
    </xf>
    <xf numFmtId="164" fontId="16" fillId="0" borderId="0" xfId="0" applyNumberFormat="1" applyFont="1" applyFill="1" applyBorder="1" applyAlignment="1">
      <alignment horizontal="right"/>
    </xf>
    <xf numFmtId="0" fontId="16" fillId="0" borderId="0" xfId="0" applyNumberFormat="1" applyFont="1" applyFill="1" applyBorder="1" applyAlignment="1">
      <alignment horizontal="right"/>
    </xf>
    <xf numFmtId="11" fontId="16" fillId="0" borderId="0" xfId="0" applyNumberFormat="1" applyFont="1" applyFill="1" applyBorder="1" applyAlignment="1">
      <alignment horizontal="right"/>
    </xf>
    <xf numFmtId="0" fontId="31" fillId="0" borderId="0" xfId="0" applyFont="1" applyFill="1" applyBorder="1" applyAlignment="1">
      <alignment horizontal="center"/>
    </xf>
    <xf numFmtId="166" fontId="16" fillId="0" borderId="0" xfId="0" applyNumberFormat="1" applyFont="1" applyFill="1" applyBorder="1" applyAlignment="1">
      <alignment horizontal="right"/>
    </xf>
    <xf numFmtId="2" fontId="16" fillId="0" borderId="0" xfId="0" applyNumberFormat="1" applyFont="1" applyFill="1" applyBorder="1" applyAlignment="1">
      <alignment horizontal="right"/>
    </xf>
    <xf numFmtId="0" fontId="9" fillId="0" borderId="0" xfId="0" applyFont="1" applyFill="1" applyBorder="1"/>
    <xf numFmtId="0" fontId="11" fillId="0" borderId="0" xfId="0" applyFont="1"/>
    <xf numFmtId="0" fontId="23" fillId="4" borderId="12" xfId="0" applyFont="1" applyFill="1" applyBorder="1" applyAlignment="1">
      <alignment horizontal="left"/>
    </xf>
    <xf numFmtId="0" fontId="23" fillId="4" borderId="3" xfId="0" applyFont="1" applyFill="1" applyBorder="1" applyAlignment="1">
      <alignment horizontal="left"/>
    </xf>
    <xf numFmtId="0" fontId="23" fillId="4" borderId="13" xfId="0" applyFont="1" applyFill="1" applyBorder="1" applyAlignment="1">
      <alignment horizontal="left"/>
    </xf>
    <xf numFmtId="0" fontId="23" fillId="4" borderId="14" xfId="0" applyFont="1" applyFill="1" applyBorder="1" applyAlignment="1">
      <alignment horizontal="left"/>
    </xf>
    <xf numFmtId="0" fontId="23" fillId="4" borderId="15" xfId="0" applyFont="1" applyFill="1" applyBorder="1" applyAlignment="1">
      <alignment horizontal="left"/>
    </xf>
    <xf numFmtId="0" fontId="23" fillId="0" borderId="0" xfId="0" applyFont="1" applyFill="1" applyAlignment="1"/>
    <xf numFmtId="0" fontId="23" fillId="4" borderId="16" xfId="0" applyFont="1" applyFill="1" applyBorder="1" applyAlignment="1">
      <alignment horizontal="left"/>
    </xf>
    <xf numFmtId="0" fontId="23" fillId="5" borderId="17" xfId="0" applyFont="1" applyFill="1" applyBorder="1" applyAlignment="1" applyProtection="1">
      <alignment horizontal="center"/>
      <protection locked="0"/>
    </xf>
    <xf numFmtId="0" fontId="23" fillId="4" borderId="18" xfId="0" applyFont="1" applyFill="1" applyBorder="1" applyAlignment="1">
      <alignment horizontal="left"/>
    </xf>
    <xf numFmtId="0" fontId="44" fillId="4" borderId="19" xfId="0" applyFont="1" applyFill="1" applyBorder="1" applyAlignment="1" applyProtection="1">
      <alignment horizontal="left"/>
    </xf>
    <xf numFmtId="0" fontId="23" fillId="4" borderId="20" xfId="0" applyFont="1" applyFill="1" applyBorder="1" applyAlignment="1">
      <alignment horizontal="left"/>
    </xf>
    <xf numFmtId="0" fontId="23" fillId="4" borderId="21" xfId="0" applyFont="1" applyFill="1" applyBorder="1" applyAlignment="1">
      <alignment horizontal="left"/>
    </xf>
    <xf numFmtId="0" fontId="3" fillId="0" borderId="22" xfId="0" applyFont="1" applyBorder="1" applyAlignment="1">
      <alignment horizontal="center"/>
    </xf>
    <xf numFmtId="0" fontId="11" fillId="0" borderId="3" xfId="0" applyFont="1" applyBorder="1" applyAlignment="1">
      <alignment horizontal="center"/>
    </xf>
    <xf numFmtId="0" fontId="4" fillId="0" borderId="0" xfId="0" quotePrefix="1" applyFont="1" applyFill="1" applyBorder="1"/>
    <xf numFmtId="0" fontId="52" fillId="0" borderId="0" xfId="0" applyFont="1"/>
    <xf numFmtId="0" fontId="36" fillId="0" borderId="0" xfId="0" applyNumberFormat="1" applyFont="1" applyFill="1" applyBorder="1"/>
    <xf numFmtId="0" fontId="11" fillId="2" borderId="23" xfId="0" applyFont="1" applyFill="1" applyBorder="1"/>
    <xf numFmtId="0" fontId="16" fillId="3" borderId="4" xfId="0" applyNumberFormat="1" applyFont="1" applyFill="1" applyBorder="1" applyAlignment="1">
      <alignment horizontal="center"/>
    </xf>
    <xf numFmtId="0" fontId="0" fillId="3" borderId="0" xfId="0" applyFill="1" applyBorder="1"/>
    <xf numFmtId="0" fontId="16" fillId="3" borderId="5" xfId="0" applyNumberFormat="1" applyFont="1" applyFill="1" applyBorder="1" applyAlignment="1">
      <alignment horizontal="center"/>
    </xf>
    <xf numFmtId="0" fontId="16" fillId="3" borderId="24" xfId="0" applyFont="1" applyFill="1" applyBorder="1" applyAlignment="1">
      <alignment horizontal="center"/>
    </xf>
    <xf numFmtId="0" fontId="0" fillId="3" borderId="4" xfId="0" applyFill="1" applyBorder="1" applyAlignment="1">
      <alignment horizontal="center"/>
    </xf>
    <xf numFmtId="11" fontId="16" fillId="3" borderId="25" xfId="0" applyNumberFormat="1" applyFont="1" applyFill="1" applyBorder="1" applyAlignment="1">
      <alignment horizontal="center"/>
    </xf>
    <xf numFmtId="0" fontId="16" fillId="3" borderId="26" xfId="0" applyNumberFormat="1" applyFont="1" applyFill="1" applyBorder="1" applyAlignment="1">
      <alignment horizontal="center"/>
    </xf>
    <xf numFmtId="0" fontId="16" fillId="2" borderId="27" xfId="0" applyNumberFormat="1" applyFont="1" applyFill="1" applyBorder="1"/>
    <xf numFmtId="11" fontId="16" fillId="3" borderId="28" xfId="0" applyNumberFormat="1" applyFont="1" applyFill="1" applyBorder="1" applyAlignment="1">
      <alignment horizontal="center"/>
    </xf>
    <xf numFmtId="11" fontId="16" fillId="3" borderId="26" xfId="0" applyNumberFormat="1" applyFont="1" applyFill="1" applyBorder="1" applyAlignment="1">
      <alignment horizontal="center"/>
    </xf>
    <xf numFmtId="0" fontId="16" fillId="0" borderId="4" xfId="0" applyNumberFormat="1" applyFont="1" applyFill="1" applyBorder="1"/>
    <xf numFmtId="0" fontId="16" fillId="0" borderId="4" xfId="0" applyFont="1" applyFill="1" applyBorder="1"/>
    <xf numFmtId="0" fontId="0" fillId="0" borderId="4" xfId="0" applyFill="1" applyBorder="1" applyAlignment="1">
      <alignment horizontal="center"/>
    </xf>
    <xf numFmtId="1" fontId="42" fillId="0" borderId="6" xfId="0" applyNumberFormat="1" applyFont="1" applyFill="1" applyBorder="1" applyAlignment="1">
      <alignment horizontal="right"/>
    </xf>
    <xf numFmtId="164" fontId="42" fillId="0" borderId="0" xfId="0" applyNumberFormat="1" applyFont="1" applyFill="1" applyBorder="1" applyAlignment="1">
      <alignment horizontal="right"/>
    </xf>
    <xf numFmtId="0" fontId="0" fillId="3" borderId="0" xfId="0" applyFill="1"/>
    <xf numFmtId="0" fontId="0" fillId="3" borderId="29" xfId="0" applyFill="1" applyBorder="1"/>
    <xf numFmtId="0" fontId="16" fillId="3" borderId="30" xfId="0" applyFont="1" applyFill="1" applyBorder="1" applyAlignment="1">
      <alignment horizontal="center"/>
    </xf>
    <xf numFmtId="0" fontId="16" fillId="3" borderId="31" xfId="0" applyFont="1" applyFill="1" applyBorder="1" applyAlignment="1">
      <alignment horizontal="center"/>
    </xf>
    <xf numFmtId="0" fontId="16" fillId="3" borderId="0" xfId="0" applyFont="1" applyFill="1" applyBorder="1" applyAlignment="1">
      <alignment horizontal="center"/>
    </xf>
    <xf numFmtId="0" fontId="16" fillId="3" borderId="32" xfId="0" applyFont="1" applyFill="1" applyBorder="1" applyAlignment="1">
      <alignment horizontal="center"/>
    </xf>
    <xf numFmtId="0" fontId="50" fillId="3" borderId="4" xfId="0" applyFont="1" applyFill="1" applyBorder="1"/>
    <xf numFmtId="0" fontId="1" fillId="2" borderId="27" xfId="0" applyNumberFormat="1" applyFont="1" applyFill="1" applyBorder="1"/>
    <xf numFmtId="0" fontId="1" fillId="2" borderId="33" xfId="0" applyFont="1" applyFill="1" applyBorder="1"/>
    <xf numFmtId="0" fontId="1" fillId="2" borderId="19" xfId="0" applyNumberFormat="1" applyFont="1" applyFill="1" applyBorder="1"/>
    <xf numFmtId="0" fontId="1" fillId="2" borderId="34" xfId="0" applyFont="1" applyFill="1" applyBorder="1"/>
    <xf numFmtId="0" fontId="1" fillId="2" borderId="0" xfId="0" applyFont="1" applyFill="1" applyBorder="1"/>
    <xf numFmtId="0" fontId="1" fillId="2" borderId="6" xfId="0" applyFont="1" applyFill="1" applyBorder="1"/>
    <xf numFmtId="0" fontId="1" fillId="2" borderId="4" xfId="0" applyFont="1" applyFill="1" applyBorder="1"/>
    <xf numFmtId="0" fontId="1" fillId="2" borderId="35" xfId="0" applyNumberFormat="1" applyFont="1" applyFill="1" applyBorder="1"/>
    <xf numFmtId="1" fontId="54" fillId="2" borderId="6" xfId="0" applyNumberFormat="1" applyFont="1" applyFill="1" applyBorder="1" applyAlignment="1">
      <alignment horizontal="left"/>
    </xf>
    <xf numFmtId="0" fontId="1" fillId="2" borderId="36" xfId="0" applyNumberFormat="1" applyFont="1" applyFill="1" applyBorder="1"/>
    <xf numFmtId="0" fontId="1" fillId="2" borderId="4" xfId="0" applyNumberFormat="1" applyFont="1" applyFill="1" applyBorder="1"/>
    <xf numFmtId="0" fontId="1" fillId="2" borderId="0" xfId="0" applyFont="1" applyFill="1" applyBorder="1" applyAlignment="1">
      <alignment horizontal="left"/>
    </xf>
    <xf numFmtId="0" fontId="1" fillId="2" borderId="37" xfId="0" applyFont="1" applyFill="1" applyBorder="1"/>
    <xf numFmtId="0" fontId="1" fillId="6" borderId="38" xfId="0" applyFont="1" applyFill="1" applyBorder="1" applyAlignment="1">
      <alignment horizontal="center"/>
    </xf>
    <xf numFmtId="164" fontId="29" fillId="3" borderId="39" xfId="0" applyNumberFormat="1" applyFont="1" applyFill="1" applyBorder="1" applyAlignment="1">
      <alignment horizontal="center"/>
    </xf>
    <xf numFmtId="0" fontId="0" fillId="3" borderId="40" xfId="0" applyFill="1" applyBorder="1" applyAlignment="1">
      <alignment horizontal="center"/>
    </xf>
    <xf numFmtId="0" fontId="16" fillId="3" borderId="41" xfId="0" applyNumberFormat="1" applyFont="1" applyFill="1" applyBorder="1" applyAlignment="1">
      <alignment horizontal="center"/>
    </xf>
    <xf numFmtId="0" fontId="53" fillId="0" borderId="0" xfId="0" applyFont="1" applyAlignment="1">
      <alignment horizontal="left"/>
    </xf>
    <xf numFmtId="0" fontId="16" fillId="3" borderId="0" xfId="0" applyFont="1" applyFill="1" applyBorder="1" applyAlignment="1">
      <alignment horizontal="left"/>
    </xf>
    <xf numFmtId="0" fontId="16" fillId="3" borderId="36" xfId="0" applyFont="1" applyFill="1" applyBorder="1" applyAlignment="1">
      <alignment horizontal="left"/>
    </xf>
    <xf numFmtId="0" fontId="2" fillId="3" borderId="27" xfId="0" applyNumberFormat="1" applyFont="1" applyFill="1" applyBorder="1"/>
    <xf numFmtId="0" fontId="0" fillId="3" borderId="33" xfId="0" applyFill="1" applyBorder="1"/>
    <xf numFmtId="0" fontId="0" fillId="3" borderId="6" xfId="0" applyFill="1" applyBorder="1"/>
    <xf numFmtId="0" fontId="16" fillId="3" borderId="42" xfId="0" applyFont="1" applyFill="1" applyBorder="1" applyAlignment="1">
      <alignment horizontal="left"/>
    </xf>
    <xf numFmtId="0" fontId="16" fillId="3" borderId="7" xfId="0" applyFont="1" applyFill="1" applyBorder="1" applyAlignment="1">
      <alignment horizontal="left"/>
    </xf>
    <xf numFmtId="0" fontId="16" fillId="3" borderId="8" xfId="0" applyFont="1" applyFill="1" applyBorder="1" applyAlignment="1">
      <alignment horizontal="left"/>
    </xf>
    <xf numFmtId="0" fontId="0" fillId="3" borderId="4" xfId="0" applyNumberFormat="1" applyFill="1" applyBorder="1"/>
    <xf numFmtId="0" fontId="0" fillId="3" borderId="19" xfId="0" applyFill="1" applyBorder="1"/>
    <xf numFmtId="0" fontId="0" fillId="3" borderId="34" xfId="0" applyFill="1" applyBorder="1"/>
    <xf numFmtId="0" fontId="30" fillId="3" borderId="5" xfId="0" applyFont="1" applyFill="1" applyBorder="1"/>
    <xf numFmtId="0" fontId="57" fillId="5" borderId="8" xfId="0" applyFont="1" applyFill="1" applyBorder="1" applyAlignment="1">
      <alignment horizontal="right"/>
    </xf>
    <xf numFmtId="0" fontId="57" fillId="5" borderId="0" xfId="0" applyFont="1" applyFill="1" applyBorder="1" applyAlignment="1">
      <alignment horizontal="right"/>
    </xf>
    <xf numFmtId="0" fontId="57" fillId="5" borderId="36" xfId="0" applyFont="1" applyFill="1" applyBorder="1" applyAlignment="1">
      <alignment horizontal="right"/>
    </xf>
    <xf numFmtId="1" fontId="0" fillId="3" borderId="43" xfId="0" applyNumberFormat="1" applyFill="1" applyBorder="1"/>
    <xf numFmtId="1" fontId="0" fillId="3" borderId="37" xfId="0" applyNumberFormat="1" applyFill="1" applyBorder="1"/>
    <xf numFmtId="0" fontId="8" fillId="0" borderId="3" xfId="0" applyFont="1" applyBorder="1" applyAlignment="1">
      <alignment horizontal="left"/>
    </xf>
    <xf numFmtId="0" fontId="0" fillId="7" borderId="0" xfId="0" applyFill="1"/>
    <xf numFmtId="0" fontId="0" fillId="0" borderId="3" xfId="0" applyFill="1" applyBorder="1"/>
    <xf numFmtId="0" fontId="4" fillId="0" borderId="44" xfId="0" applyFont="1" applyBorder="1"/>
    <xf numFmtId="0" fontId="36" fillId="0" borderId="0" xfId="0" applyFont="1" applyBorder="1"/>
    <xf numFmtId="0" fontId="0" fillId="0" borderId="3" xfId="0" applyBorder="1"/>
    <xf numFmtId="164" fontId="2" fillId="0" borderId="0" xfId="0" applyNumberFormat="1" applyFont="1" applyFill="1" applyBorder="1" applyAlignment="1">
      <alignment horizontal="right"/>
    </xf>
    <xf numFmtId="0" fontId="0" fillId="0" borderId="2" xfId="0" applyFill="1" applyBorder="1"/>
    <xf numFmtId="0" fontId="36" fillId="0" borderId="0" xfId="0" applyFont="1" applyFill="1" applyBorder="1"/>
    <xf numFmtId="0" fontId="30" fillId="0" borderId="0" xfId="0" applyFont="1" applyFill="1" applyBorder="1"/>
    <xf numFmtId="0" fontId="29" fillId="0" borderId="0" xfId="0" applyFont="1" applyFill="1" applyBorder="1"/>
    <xf numFmtId="0" fontId="30" fillId="0" borderId="0" xfId="0" applyFont="1" applyFill="1" applyBorder="1" applyAlignment="1">
      <alignment horizontal="center"/>
    </xf>
    <xf numFmtId="164" fontId="17" fillId="0" borderId="0" xfId="0" applyNumberFormat="1" applyFont="1" applyFill="1" applyBorder="1"/>
    <xf numFmtId="164" fontId="20" fillId="0" borderId="0" xfId="0" applyNumberFormat="1" applyFont="1" applyFill="1" applyBorder="1"/>
    <xf numFmtId="0" fontId="8" fillId="0" borderId="0" xfId="0" applyNumberFormat="1" applyFont="1" applyFill="1" applyBorder="1" applyAlignment="1">
      <alignment horizontal="right"/>
    </xf>
    <xf numFmtId="0" fontId="8" fillId="0" borderId="0" xfId="0" applyNumberFormat="1" applyFont="1" applyFill="1" applyBorder="1" applyAlignment="1">
      <alignment horizontal="center"/>
    </xf>
    <xf numFmtId="164" fontId="8" fillId="0" borderId="0" xfId="0" applyNumberFormat="1" applyFont="1" applyFill="1" applyBorder="1" applyAlignment="1">
      <alignment horizontal="center"/>
    </xf>
    <xf numFmtId="164" fontId="21" fillId="0" borderId="0" xfId="0" applyNumberFormat="1" applyFont="1" applyFill="1" applyBorder="1" applyAlignment="1">
      <alignment horizontal="center"/>
    </xf>
    <xf numFmtId="1" fontId="2" fillId="0" borderId="0" xfId="0" applyNumberFormat="1" applyFont="1" applyFill="1" applyBorder="1" applyAlignment="1">
      <alignment horizontal="right"/>
    </xf>
    <xf numFmtId="0" fontId="0" fillId="0" borderId="45" xfId="0" applyBorder="1"/>
    <xf numFmtId="0" fontId="0" fillId="0" borderId="22" xfId="0" applyBorder="1"/>
    <xf numFmtId="0" fontId="0" fillId="0" borderId="2" xfId="0" applyBorder="1" applyAlignment="1">
      <alignment horizontal="center"/>
    </xf>
    <xf numFmtId="0" fontId="36" fillId="0" borderId="0" xfId="0" applyFont="1" applyAlignment="1">
      <alignment horizontal="center"/>
    </xf>
    <xf numFmtId="0" fontId="8" fillId="0" borderId="0" xfId="0" applyFont="1" applyAlignment="1">
      <alignment horizontal="center"/>
    </xf>
    <xf numFmtId="0" fontId="0" fillId="0" borderId="46" xfId="0" applyFill="1" applyBorder="1"/>
    <xf numFmtId="0" fontId="0" fillId="0" borderId="47" xfId="0" applyFill="1" applyBorder="1"/>
    <xf numFmtId="0" fontId="0" fillId="0" borderId="48" xfId="0" applyFill="1" applyBorder="1"/>
    <xf numFmtId="11" fontId="0" fillId="0" borderId="0" xfId="0" applyNumberFormat="1"/>
    <xf numFmtId="0" fontId="29" fillId="0" borderId="0" xfId="0" applyFont="1" applyFill="1" applyAlignment="1"/>
    <xf numFmtId="0" fontId="29" fillId="4" borderId="49" xfId="0" applyFont="1" applyFill="1" applyBorder="1"/>
    <xf numFmtId="0" fontId="11" fillId="4" borderId="2" xfId="0" applyFont="1" applyFill="1" applyBorder="1"/>
    <xf numFmtId="0" fontId="11" fillId="4" borderId="50" xfId="0" applyFont="1" applyFill="1" applyBorder="1"/>
    <xf numFmtId="0" fontId="11" fillId="4" borderId="45" xfId="0" applyFont="1" applyFill="1" applyBorder="1"/>
    <xf numFmtId="0" fontId="11" fillId="4" borderId="0" xfId="0" applyFont="1" applyFill="1" applyBorder="1"/>
    <xf numFmtId="0" fontId="11" fillId="4" borderId="22" xfId="0" applyFont="1" applyFill="1" applyBorder="1"/>
    <xf numFmtId="164" fontId="11" fillId="0" borderId="0" xfId="0" applyNumberFormat="1" applyFont="1"/>
    <xf numFmtId="0" fontId="11" fillId="0" borderId="0" xfId="0" applyNumberFormat="1" applyFont="1"/>
    <xf numFmtId="0" fontId="11" fillId="0" borderId="0" xfId="0" applyFont="1" applyFill="1" applyAlignment="1"/>
    <xf numFmtId="0" fontId="4" fillId="3" borderId="51" xfId="0" applyFont="1" applyFill="1" applyBorder="1"/>
    <xf numFmtId="0" fontId="0" fillId="0" borderId="0" xfId="0" applyBorder="1" applyAlignment="1">
      <alignment horizontal="center"/>
    </xf>
    <xf numFmtId="170" fontId="0" fillId="0" borderId="3" xfId="0" applyNumberFormat="1" applyBorder="1" applyAlignment="1">
      <alignment horizontal="center"/>
    </xf>
    <xf numFmtId="0" fontId="0" fillId="0" borderId="3" xfId="0" applyBorder="1" applyAlignment="1">
      <alignment horizontal="center"/>
    </xf>
    <xf numFmtId="0" fontId="4" fillId="0" borderId="2" xfId="0" applyFont="1" applyBorder="1"/>
    <xf numFmtId="0" fontId="0" fillId="0" borderId="0" xfId="0" applyFill="1" applyBorder="1" applyAlignment="1">
      <alignment horizontal="center"/>
    </xf>
    <xf numFmtId="164" fontId="2" fillId="0" borderId="45" xfId="0" applyNumberFormat="1" applyFont="1" applyFill="1" applyBorder="1" applyAlignment="1">
      <alignment horizontal="right"/>
    </xf>
    <xf numFmtId="0" fontId="53" fillId="0" borderId="0" xfId="0" applyFont="1"/>
    <xf numFmtId="0" fontId="23" fillId="0" borderId="0" xfId="0" applyFont="1" applyBorder="1" applyAlignment="1">
      <alignment horizontal="center"/>
    </xf>
    <xf numFmtId="0" fontId="4" fillId="0" borderId="0" xfId="0" applyFont="1" applyBorder="1"/>
    <xf numFmtId="0" fontId="2" fillId="0" borderId="0" xfId="0" applyFont="1" applyFill="1" applyBorder="1"/>
    <xf numFmtId="0" fontId="11" fillId="0" borderId="3" xfId="0" applyFont="1" applyFill="1" applyBorder="1" applyAlignment="1">
      <alignment horizontal="center"/>
    </xf>
    <xf numFmtId="0" fontId="12" fillId="0" borderId="0" xfId="0" applyFont="1" applyFill="1" applyBorder="1"/>
    <xf numFmtId="0" fontId="0" fillId="0" borderId="45" xfId="0" applyFill="1" applyBorder="1"/>
    <xf numFmtId="11" fontId="2" fillId="0" borderId="45" xfId="0" applyNumberFormat="1" applyFont="1" applyFill="1" applyBorder="1" applyAlignment="1">
      <alignment horizontal="center"/>
    </xf>
    <xf numFmtId="0" fontId="3" fillId="3" borderId="52" xfId="0" applyFont="1" applyFill="1" applyBorder="1" applyAlignment="1">
      <alignment horizontal="center" vertical="center"/>
    </xf>
    <xf numFmtId="0" fontId="4" fillId="4" borderId="44" xfId="0" applyNumberFormat="1" applyFont="1" applyFill="1" applyBorder="1" applyAlignment="1">
      <alignment horizontal="center" vertical="center"/>
    </xf>
    <xf numFmtId="164" fontId="4" fillId="3" borderId="53" xfId="0" applyNumberFormat="1" applyFont="1" applyFill="1" applyBorder="1" applyAlignment="1">
      <alignment horizontal="center" vertical="center"/>
    </xf>
    <xf numFmtId="164" fontId="4" fillId="8" borderId="22" xfId="0" applyNumberFormat="1" applyFont="1" applyFill="1" applyBorder="1" applyAlignment="1">
      <alignment horizontal="center" vertical="center"/>
    </xf>
    <xf numFmtId="11" fontId="4" fillId="4" borderId="44" xfId="0" applyNumberFormat="1" applyFont="1" applyFill="1" applyBorder="1" applyAlignment="1">
      <alignment horizontal="center" vertical="center"/>
    </xf>
    <xf numFmtId="164" fontId="4" fillId="4" borderId="44" xfId="0" applyNumberFormat="1" applyFont="1" applyFill="1" applyBorder="1" applyAlignment="1">
      <alignment horizontal="center" vertical="center"/>
    </xf>
    <xf numFmtId="164" fontId="4" fillId="7" borderId="44" xfId="0" applyNumberFormat="1" applyFont="1" applyFill="1" applyBorder="1" applyAlignment="1">
      <alignment horizontal="center" vertical="center"/>
    </xf>
    <xf numFmtId="164" fontId="4" fillId="3" borderId="44" xfId="0" applyNumberFormat="1" applyFont="1" applyFill="1" applyBorder="1" applyAlignment="1">
      <alignment horizontal="center" vertical="center"/>
    </xf>
    <xf numFmtId="164" fontId="16" fillId="8" borderId="22" xfId="0" applyNumberFormat="1" applyFont="1" applyFill="1" applyBorder="1" applyAlignment="1">
      <alignment horizontal="center" vertical="center"/>
    </xf>
    <xf numFmtId="0" fontId="16" fillId="4" borderId="44" xfId="0" applyNumberFormat="1" applyFont="1" applyFill="1" applyBorder="1" applyAlignment="1">
      <alignment horizontal="center" vertical="center"/>
    </xf>
    <xf numFmtId="11" fontId="16" fillId="4" borderId="44" xfId="0" applyNumberFormat="1" applyFont="1" applyFill="1" applyBorder="1" applyAlignment="1">
      <alignment horizontal="center" vertical="center"/>
    </xf>
    <xf numFmtId="164" fontId="16" fillId="4" borderId="44" xfId="0" applyNumberFormat="1" applyFont="1" applyFill="1" applyBorder="1" applyAlignment="1">
      <alignment horizontal="center" vertical="center"/>
    </xf>
    <xf numFmtId="164" fontId="16" fillId="7" borderId="44" xfId="0" applyNumberFormat="1" applyFont="1" applyFill="1" applyBorder="1" applyAlignment="1">
      <alignment horizontal="center" vertical="center"/>
    </xf>
    <xf numFmtId="164" fontId="16" fillId="7" borderId="45" xfId="0" applyNumberFormat="1" applyFont="1" applyFill="1" applyBorder="1" applyAlignment="1">
      <alignment horizontal="center" vertical="center"/>
    </xf>
    <xf numFmtId="0" fontId="2" fillId="3" borderId="9" xfId="0" applyFont="1" applyFill="1" applyBorder="1" applyAlignment="1">
      <alignment horizontal="center" vertical="center" wrapText="1"/>
    </xf>
    <xf numFmtId="164" fontId="4" fillId="8" borderId="13" xfId="0" applyNumberFormat="1" applyFont="1" applyFill="1" applyBorder="1" applyAlignment="1">
      <alignment horizontal="center" vertical="center"/>
    </xf>
    <xf numFmtId="0" fontId="4" fillId="4" borderId="9" xfId="0" applyNumberFormat="1" applyFont="1" applyFill="1" applyBorder="1" applyAlignment="1">
      <alignment horizontal="center" vertical="center"/>
    </xf>
    <xf numFmtId="11" fontId="4" fillId="4" borderId="9" xfId="0" applyNumberFormat="1" applyFont="1" applyFill="1" applyBorder="1" applyAlignment="1">
      <alignment horizontal="center" vertical="center"/>
    </xf>
    <xf numFmtId="164" fontId="5" fillId="7" borderId="9" xfId="0" applyNumberFormat="1" applyFont="1" applyFill="1" applyBorder="1" applyAlignment="1">
      <alignment horizontal="center" vertical="center"/>
    </xf>
    <xf numFmtId="164" fontId="4" fillId="7" borderId="12" xfId="0" applyNumberFormat="1" applyFont="1" applyFill="1" applyBorder="1" applyAlignment="1">
      <alignment horizontal="center" vertical="center"/>
    </xf>
    <xf numFmtId="164" fontId="4" fillId="3" borderId="9" xfId="0" applyNumberFormat="1" applyFont="1" applyFill="1" applyBorder="1" applyAlignment="1">
      <alignment horizontal="center" vertical="center"/>
    </xf>
    <xf numFmtId="0" fontId="36" fillId="0" borderId="0" xfId="0" applyNumberFormat="1" applyFont="1" applyAlignment="1">
      <alignment horizontal="center" vertical="center"/>
    </xf>
    <xf numFmtId="165" fontId="2" fillId="0" borderId="0" xfId="0" applyNumberFormat="1" applyFont="1" applyBorder="1" applyAlignment="1">
      <alignment horizontal="center" vertical="center"/>
    </xf>
    <xf numFmtId="0" fontId="0" fillId="0" borderId="0" xfId="0" applyNumberFormat="1" applyAlignment="1">
      <alignment horizontal="center" vertical="center"/>
    </xf>
    <xf numFmtId="0" fontId="2" fillId="0" borderId="0" xfId="0" applyFont="1" applyBorder="1" applyAlignment="1">
      <alignment horizontal="center" vertical="center"/>
    </xf>
    <xf numFmtId="0" fontId="7" fillId="0" borderId="0" xfId="0" applyFont="1" applyFill="1" applyBorder="1" applyAlignment="1">
      <alignment horizontal="center" vertical="center"/>
    </xf>
    <xf numFmtId="1" fontId="15" fillId="0" borderId="0" xfId="0" applyNumberFormat="1" applyFont="1" applyFill="1" applyBorder="1" applyAlignment="1">
      <alignment horizontal="center" vertical="center"/>
    </xf>
    <xf numFmtId="164" fontId="14" fillId="0" borderId="0" xfId="0" applyNumberFormat="1" applyFont="1" applyFill="1" applyBorder="1" applyAlignment="1">
      <alignment horizontal="center" vertical="center"/>
    </xf>
    <xf numFmtId="0" fontId="2" fillId="0" borderId="54" xfId="0" applyFont="1" applyFill="1" applyBorder="1" applyAlignment="1">
      <alignment horizontal="center" vertical="center"/>
    </xf>
    <xf numFmtId="0" fontId="2" fillId="0" borderId="0" xfId="0" applyFont="1" applyFill="1" applyBorder="1" applyAlignment="1">
      <alignment horizontal="center" vertical="center"/>
    </xf>
    <xf numFmtId="0" fontId="0" fillId="0" borderId="0" xfId="0" applyFill="1" applyBorder="1" applyAlignment="1">
      <alignment horizontal="center" vertical="center"/>
    </xf>
    <xf numFmtId="0" fontId="23"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4" fillId="3" borderId="53" xfId="0" applyNumberFormat="1" applyFont="1" applyFill="1" applyBorder="1" applyAlignment="1">
      <alignment horizontal="center" vertical="center"/>
    </xf>
    <xf numFmtId="0" fontId="4" fillId="3" borderId="49" xfId="0" applyNumberFormat="1" applyFont="1" applyFill="1" applyBorder="1" applyAlignment="1">
      <alignment horizontal="center" vertical="center"/>
    </xf>
    <xf numFmtId="164" fontId="17" fillId="4" borderId="55" xfId="0" applyNumberFormat="1" applyFont="1" applyFill="1" applyBorder="1" applyAlignment="1">
      <alignment horizontal="center" vertical="center"/>
    </xf>
    <xf numFmtId="0" fontId="1" fillId="4" borderId="55" xfId="0" applyFont="1" applyFill="1" applyBorder="1" applyAlignment="1">
      <alignment horizontal="center" vertical="center"/>
    </xf>
    <xf numFmtId="0" fontId="4" fillId="3" borderId="44" xfId="0" applyNumberFormat="1" applyFont="1" applyFill="1" applyBorder="1" applyAlignment="1">
      <alignment horizontal="center" vertical="center"/>
    </xf>
    <xf numFmtId="0" fontId="4" fillId="3" borderId="45" xfId="0" applyNumberFormat="1" applyFont="1" applyFill="1" applyBorder="1" applyAlignment="1">
      <alignment horizontal="center" vertical="center"/>
    </xf>
    <xf numFmtId="0" fontId="3" fillId="9" borderId="22" xfId="0" applyNumberFormat="1" applyFont="1" applyFill="1" applyBorder="1" applyAlignment="1">
      <alignment horizontal="center" vertical="center"/>
    </xf>
    <xf numFmtId="164" fontId="51" fillId="4" borderId="22" xfId="0" applyNumberFormat="1" applyFont="1" applyFill="1" applyBorder="1" applyAlignment="1">
      <alignment horizontal="center" vertical="center"/>
    </xf>
    <xf numFmtId="0" fontId="51" fillId="4" borderId="0" xfId="0" applyFont="1" applyFill="1" applyBorder="1" applyAlignment="1">
      <alignment horizontal="center" vertical="center"/>
    </xf>
    <xf numFmtId="0" fontId="4" fillId="4" borderId="0" xfId="0" applyFont="1" applyFill="1" applyAlignment="1">
      <alignment horizontal="center" vertical="center"/>
    </xf>
    <xf numFmtId="0" fontId="4" fillId="4" borderId="53" xfId="0" applyFont="1" applyFill="1" applyBorder="1" applyAlignment="1">
      <alignment horizontal="center" vertical="center"/>
    </xf>
    <xf numFmtId="0" fontId="3" fillId="9" borderId="49" xfId="0" applyFont="1" applyFill="1" applyBorder="1" applyAlignment="1">
      <alignment horizontal="center" vertical="center"/>
    </xf>
    <xf numFmtId="0" fontId="3" fillId="9" borderId="53" xfId="0" applyFont="1" applyFill="1" applyBorder="1" applyAlignment="1">
      <alignment horizontal="center" vertical="center"/>
    </xf>
    <xf numFmtId="0" fontId="3" fillId="9" borderId="22" xfId="0" applyFont="1" applyFill="1" applyBorder="1" applyAlignment="1">
      <alignment horizontal="center" vertical="center"/>
    </xf>
    <xf numFmtId="0" fontId="4" fillId="4" borderId="22" xfId="0" applyFont="1" applyFill="1" applyBorder="1" applyAlignment="1">
      <alignment horizontal="center" vertical="center"/>
    </xf>
    <xf numFmtId="0" fontId="4" fillId="4" borderId="0" xfId="0" applyNumberFormat="1" applyFont="1" applyFill="1" applyBorder="1" applyAlignment="1">
      <alignment horizontal="center" vertical="center"/>
    </xf>
    <xf numFmtId="0" fontId="4" fillId="9" borderId="44" xfId="0" applyFont="1" applyFill="1" applyBorder="1" applyAlignment="1">
      <alignment horizontal="center" vertical="center"/>
    </xf>
    <xf numFmtId="0" fontId="4" fillId="9" borderId="44" xfId="0" applyNumberFormat="1" applyFont="1" applyFill="1" applyBorder="1" applyAlignment="1">
      <alignment horizontal="center" vertical="center"/>
    </xf>
    <xf numFmtId="0" fontId="4" fillId="9" borderId="0" xfId="0" applyFont="1" applyFill="1" applyAlignment="1">
      <alignment horizontal="center" vertical="center"/>
    </xf>
    <xf numFmtId="164" fontId="14" fillId="9" borderId="45" xfId="0" applyNumberFormat="1" applyFont="1" applyFill="1" applyBorder="1" applyAlignment="1">
      <alignment horizontal="center" vertical="center"/>
    </xf>
    <xf numFmtId="164" fontId="14" fillId="9" borderId="0" xfId="0" applyNumberFormat="1" applyFont="1" applyFill="1" applyBorder="1" applyAlignment="1">
      <alignment horizontal="center" vertical="center"/>
    </xf>
    <xf numFmtId="164" fontId="14" fillId="9" borderId="22" xfId="0" applyNumberFormat="1" applyFont="1" applyFill="1" applyBorder="1" applyAlignment="1">
      <alignment horizontal="center" vertical="center"/>
    </xf>
    <xf numFmtId="0" fontId="4" fillId="3" borderId="45" xfId="0" quotePrefix="1" applyNumberFormat="1" applyFont="1" applyFill="1" applyBorder="1" applyAlignment="1">
      <alignment horizontal="center" vertical="center"/>
    </xf>
    <xf numFmtId="0" fontId="46" fillId="3" borderId="45" xfId="0" quotePrefix="1" applyNumberFormat="1" applyFont="1" applyFill="1" applyBorder="1" applyAlignment="1">
      <alignment horizontal="center" vertical="center"/>
    </xf>
    <xf numFmtId="0" fontId="70" fillId="9" borderId="45" xfId="0" applyNumberFormat="1" applyFont="1" applyFill="1" applyBorder="1" applyAlignment="1">
      <alignment horizontal="center" vertical="center"/>
    </xf>
    <xf numFmtId="0" fontId="70" fillId="9" borderId="0" xfId="0" applyNumberFormat="1" applyFont="1" applyFill="1" applyBorder="1" applyAlignment="1">
      <alignment horizontal="center" vertical="center"/>
    </xf>
    <xf numFmtId="0" fontId="70" fillId="9" borderId="22" xfId="0" applyNumberFormat="1" applyFont="1" applyFill="1" applyBorder="1" applyAlignment="1">
      <alignment horizontal="center" vertical="center"/>
    </xf>
    <xf numFmtId="0" fontId="4" fillId="5" borderId="52" xfId="0" applyFont="1" applyFill="1" applyBorder="1" applyAlignment="1">
      <alignment horizontal="center" vertical="center"/>
    </xf>
    <xf numFmtId="164" fontId="14" fillId="3" borderId="45" xfId="0" applyNumberFormat="1" applyFont="1" applyFill="1" applyBorder="1" applyAlignment="1">
      <alignment horizontal="center" vertical="center"/>
    </xf>
    <xf numFmtId="164" fontId="14" fillId="3" borderId="44" xfId="0" applyNumberFormat="1" applyFont="1" applyFill="1" applyBorder="1" applyAlignment="1">
      <alignment horizontal="center" vertical="center"/>
    </xf>
    <xf numFmtId="164" fontId="14" fillId="3" borderId="22" xfId="0" applyNumberFormat="1" applyFont="1" applyFill="1" applyBorder="1" applyAlignment="1">
      <alignment horizontal="center" vertical="center"/>
    </xf>
    <xf numFmtId="0" fontId="3" fillId="9" borderId="44" xfId="0" applyNumberFormat="1" applyFont="1" applyFill="1" applyBorder="1" applyAlignment="1">
      <alignment horizontal="center" vertical="center"/>
    </xf>
    <xf numFmtId="0" fontId="3" fillId="9" borderId="44" xfId="0" applyFont="1" applyFill="1" applyBorder="1" applyAlignment="1">
      <alignment horizontal="center" vertical="center"/>
    </xf>
    <xf numFmtId="164" fontId="4" fillId="4" borderId="22" xfId="0" applyNumberFormat="1" applyFont="1" applyFill="1" applyBorder="1" applyAlignment="1">
      <alignment horizontal="center" vertical="center"/>
    </xf>
    <xf numFmtId="0" fontId="4" fillId="9" borderId="13" xfId="0" applyNumberFormat="1" applyFont="1" applyFill="1" applyBorder="1" applyAlignment="1">
      <alignment horizontal="center" vertical="center"/>
    </xf>
    <xf numFmtId="0" fontId="4" fillId="9" borderId="9" xfId="0" applyNumberFormat="1" applyFont="1" applyFill="1" applyBorder="1" applyAlignment="1">
      <alignment horizontal="center" vertical="center"/>
    </xf>
    <xf numFmtId="0" fontId="4" fillId="9" borderId="9" xfId="0" applyFont="1" applyFill="1" applyBorder="1" applyAlignment="1">
      <alignment horizontal="center" vertical="center"/>
    </xf>
    <xf numFmtId="0" fontId="4" fillId="4" borderId="13" xfId="0" applyNumberFormat="1" applyFont="1" applyFill="1" applyBorder="1" applyAlignment="1">
      <alignment horizontal="center" vertical="center"/>
    </xf>
    <xf numFmtId="164" fontId="4" fillId="4" borderId="12" xfId="0" applyNumberFormat="1" applyFont="1" applyFill="1" applyBorder="1" applyAlignment="1">
      <alignment horizontal="center" vertical="center"/>
    </xf>
    <xf numFmtId="164" fontId="4" fillId="4" borderId="9" xfId="0" applyNumberFormat="1" applyFont="1" applyFill="1" applyBorder="1" applyAlignment="1">
      <alignment horizontal="center" vertical="center"/>
    </xf>
    <xf numFmtId="164" fontId="2" fillId="3" borderId="58" xfId="0" applyNumberFormat="1" applyFont="1" applyFill="1" applyBorder="1" applyAlignment="1">
      <alignment horizontal="center" vertical="center"/>
    </xf>
    <xf numFmtId="164" fontId="2" fillId="3" borderId="1" xfId="0" applyNumberFormat="1" applyFont="1" applyFill="1" applyBorder="1" applyAlignment="1">
      <alignment horizontal="center" vertical="center"/>
    </xf>
    <xf numFmtId="164" fontId="2" fillId="3" borderId="59" xfId="0" applyNumberFormat="1" applyFont="1" applyFill="1" applyBorder="1" applyAlignment="1">
      <alignment horizontal="center" vertical="center"/>
    </xf>
    <xf numFmtId="164" fontId="2" fillId="3" borderId="60" xfId="0" applyNumberFormat="1" applyFont="1" applyFill="1" applyBorder="1" applyAlignment="1">
      <alignment horizontal="center" vertical="center"/>
    </xf>
    <xf numFmtId="164" fontId="2" fillId="9" borderId="1" xfId="0" applyNumberFormat="1" applyFont="1" applyFill="1" applyBorder="1" applyAlignment="1">
      <alignment horizontal="center" vertical="center"/>
    </xf>
    <xf numFmtId="164" fontId="2" fillId="9" borderId="59" xfId="0" applyNumberFormat="1" applyFont="1" applyFill="1" applyBorder="1" applyAlignment="1">
      <alignment horizontal="center" vertical="center"/>
    </xf>
    <xf numFmtId="164" fontId="2" fillId="4" borderId="58" xfId="0" applyNumberFormat="1" applyFont="1" applyFill="1" applyBorder="1" applyAlignment="1">
      <alignment horizontal="center" vertical="center"/>
    </xf>
    <xf numFmtId="164" fontId="2" fillId="4" borderId="1" xfId="0" applyNumberFormat="1" applyFont="1" applyFill="1" applyBorder="1" applyAlignment="1">
      <alignment horizontal="center" vertical="center"/>
    </xf>
    <xf numFmtId="164" fontId="2" fillId="4" borderId="59" xfId="0" applyNumberFormat="1" applyFont="1" applyFill="1" applyBorder="1" applyAlignment="1">
      <alignment horizontal="center" vertical="center"/>
    </xf>
    <xf numFmtId="164" fontId="2" fillId="9" borderId="58" xfId="0" applyNumberFormat="1" applyFont="1" applyFill="1" applyBorder="1" applyAlignment="1">
      <alignment horizontal="center" vertical="center"/>
    </xf>
    <xf numFmtId="164" fontId="2" fillId="9" borderId="61" xfId="0" applyNumberFormat="1" applyFont="1" applyFill="1" applyBorder="1" applyAlignment="1">
      <alignment horizontal="center" vertical="center"/>
    </xf>
    <xf numFmtId="164" fontId="2" fillId="9" borderId="62" xfId="0" applyNumberFormat="1" applyFont="1" applyFill="1" applyBorder="1" applyAlignment="1">
      <alignment horizontal="center" vertical="center"/>
    </xf>
    <xf numFmtId="164" fontId="2" fillId="9" borderId="63" xfId="0" applyNumberFormat="1" applyFont="1" applyFill="1" applyBorder="1" applyAlignment="1">
      <alignment horizontal="center" vertical="center"/>
    </xf>
    <xf numFmtId="164" fontId="2" fillId="4" borderId="61" xfId="0" applyNumberFormat="1" applyFont="1" applyFill="1" applyBorder="1" applyAlignment="1">
      <alignment horizontal="center" vertical="center"/>
    </xf>
    <xf numFmtId="164" fontId="2" fillId="4" borderId="62" xfId="0" applyNumberFormat="1" applyFont="1" applyFill="1" applyBorder="1" applyAlignment="1">
      <alignment horizontal="center" vertical="center"/>
    </xf>
    <xf numFmtId="164" fontId="2" fillId="3" borderId="64" xfId="0" applyNumberFormat="1" applyFont="1" applyFill="1" applyBorder="1" applyAlignment="1">
      <alignment horizontal="center" vertical="center"/>
    </xf>
    <xf numFmtId="164" fontId="2" fillId="3" borderId="65" xfId="0" applyNumberFormat="1" applyFont="1" applyFill="1" applyBorder="1" applyAlignment="1">
      <alignment horizontal="center" vertical="center"/>
    </xf>
    <xf numFmtId="164" fontId="2" fillId="3" borderId="66" xfId="0" applyNumberFormat="1" applyFont="1" applyFill="1" applyBorder="1" applyAlignment="1">
      <alignment horizontal="center" vertical="center"/>
    </xf>
    <xf numFmtId="164" fontId="2" fillId="9" borderId="64" xfId="0" applyNumberFormat="1" applyFont="1" applyFill="1" applyBorder="1" applyAlignment="1">
      <alignment horizontal="center" vertical="center"/>
    </xf>
    <xf numFmtId="164" fontId="2" fillId="9" borderId="65" xfId="0" applyNumberFormat="1" applyFont="1" applyFill="1" applyBorder="1" applyAlignment="1">
      <alignment horizontal="center" vertical="center"/>
    </xf>
    <xf numFmtId="164" fontId="2" fillId="4" borderId="64" xfId="0" applyNumberFormat="1" applyFont="1" applyFill="1" applyBorder="1" applyAlignment="1">
      <alignment horizontal="center" vertical="center"/>
    </xf>
    <xf numFmtId="164" fontId="2" fillId="4" borderId="65" xfId="0" applyNumberFormat="1" applyFont="1" applyFill="1" applyBorder="1" applyAlignment="1">
      <alignment horizontal="center" vertical="center"/>
    </xf>
    <xf numFmtId="164" fontId="2" fillId="4" borderId="66" xfId="0" applyNumberFormat="1" applyFont="1" applyFill="1" applyBorder="1" applyAlignment="1">
      <alignment horizontal="center" vertical="center"/>
    </xf>
    <xf numFmtId="0" fontId="4" fillId="3" borderId="11" xfId="0" applyFont="1" applyFill="1" applyBorder="1" applyAlignment="1">
      <alignment vertical="center"/>
    </xf>
    <xf numFmtId="0" fontId="4" fillId="3" borderId="10" xfId="0" applyFont="1" applyFill="1" applyBorder="1" applyAlignment="1">
      <alignment vertical="center"/>
    </xf>
    <xf numFmtId="0" fontId="4" fillId="3" borderId="67" xfId="0" applyFont="1" applyFill="1" applyBorder="1" applyAlignment="1">
      <alignment vertical="center"/>
    </xf>
    <xf numFmtId="0" fontId="4" fillId="3" borderId="51" xfId="0" applyFont="1" applyFill="1" applyBorder="1" applyAlignment="1">
      <alignment vertical="center"/>
    </xf>
    <xf numFmtId="0" fontId="4" fillId="10" borderId="45" xfId="0" applyNumberFormat="1" applyFont="1" applyFill="1" applyBorder="1" applyAlignment="1">
      <alignment horizontal="center" vertical="center"/>
    </xf>
    <xf numFmtId="0" fontId="4" fillId="10" borderId="0" xfId="0" applyNumberFormat="1" applyFont="1" applyFill="1" applyBorder="1" applyAlignment="1">
      <alignment horizontal="center" vertical="center"/>
    </xf>
    <xf numFmtId="0" fontId="4" fillId="10" borderId="0" xfId="0" applyFont="1" applyFill="1" applyBorder="1" applyAlignment="1">
      <alignment horizontal="center" vertical="center"/>
    </xf>
    <xf numFmtId="0" fontId="51" fillId="3" borderId="9" xfId="0" applyNumberFormat="1" applyFont="1" applyFill="1" applyBorder="1" applyAlignment="1">
      <alignment horizontal="center" vertical="center"/>
    </xf>
    <xf numFmtId="0" fontId="51" fillId="10" borderId="52" xfId="0" applyNumberFormat="1" applyFont="1" applyFill="1" applyBorder="1" applyAlignment="1">
      <alignment horizontal="center" vertical="center"/>
    </xf>
    <xf numFmtId="0" fontId="51" fillId="10" borderId="52" xfId="0" applyFont="1" applyFill="1" applyBorder="1" applyAlignment="1">
      <alignment horizontal="center" vertical="center"/>
    </xf>
    <xf numFmtId="0" fontId="51" fillId="10" borderId="53" xfId="0" applyFont="1" applyFill="1" applyBorder="1" applyAlignment="1">
      <alignment horizontal="center" vertical="center"/>
    </xf>
    <xf numFmtId="164" fontId="8" fillId="3" borderId="44" xfId="0" applyNumberFormat="1" applyFont="1" applyFill="1" applyBorder="1" applyAlignment="1">
      <alignment horizontal="center" vertical="center"/>
    </xf>
    <xf numFmtId="164" fontId="8" fillId="3" borderId="68" xfId="0" applyNumberFormat="1" applyFont="1" applyFill="1" applyBorder="1" applyAlignment="1">
      <alignment horizontal="center" vertical="center"/>
    </xf>
    <xf numFmtId="164" fontId="8" fillId="3" borderId="53" xfId="0" applyNumberFormat="1" applyFont="1" applyFill="1" applyBorder="1" applyAlignment="1">
      <alignment horizontal="center" vertical="center"/>
    </xf>
    <xf numFmtId="164" fontId="8" fillId="3" borderId="0" xfId="0" applyNumberFormat="1" applyFont="1" applyFill="1" applyBorder="1" applyAlignment="1">
      <alignment horizontal="center" vertical="center"/>
    </xf>
    <xf numFmtId="0" fontId="51" fillId="3" borderId="53" xfId="0" applyFont="1" applyFill="1" applyBorder="1" applyAlignment="1">
      <alignment horizontal="center" vertical="center"/>
    </xf>
    <xf numFmtId="0" fontId="51" fillId="3" borderId="0" xfId="0" applyFont="1" applyFill="1" applyBorder="1" applyAlignment="1">
      <alignment horizontal="center" vertical="center"/>
    </xf>
    <xf numFmtId="0" fontId="8" fillId="10" borderId="53" xfId="0" applyFont="1" applyFill="1" applyBorder="1" applyAlignment="1">
      <alignment horizontal="center" vertical="center"/>
    </xf>
    <xf numFmtId="0" fontId="51" fillId="10" borderId="9" xfId="0" applyFont="1" applyFill="1" applyBorder="1" applyAlignment="1">
      <alignment horizontal="center" vertical="center"/>
    </xf>
    <xf numFmtId="0" fontId="8" fillId="3" borderId="44" xfId="0" applyFont="1" applyFill="1" applyBorder="1" applyAlignment="1">
      <alignment horizontal="center" vertical="center"/>
    </xf>
    <xf numFmtId="0" fontId="8" fillId="10" borderId="44" xfId="0" applyFont="1" applyFill="1" applyBorder="1" applyAlignment="1">
      <alignment horizontal="center" vertical="center"/>
    </xf>
    <xf numFmtId="0" fontId="8" fillId="10" borderId="69" xfId="0" applyFont="1" applyFill="1" applyBorder="1" applyAlignment="1">
      <alignment horizontal="center" vertical="center"/>
    </xf>
    <xf numFmtId="0" fontId="8" fillId="10" borderId="9" xfId="0" applyFont="1" applyFill="1" applyBorder="1" applyAlignment="1">
      <alignment horizontal="center" vertical="center"/>
    </xf>
    <xf numFmtId="0" fontId="65" fillId="10" borderId="9" xfId="0" applyFont="1" applyFill="1" applyBorder="1" applyAlignment="1">
      <alignment horizontal="center" vertical="center"/>
    </xf>
    <xf numFmtId="0" fontId="8" fillId="10" borderId="70" xfId="0" applyFont="1" applyFill="1" applyBorder="1" applyAlignment="1">
      <alignment horizontal="center" vertical="center"/>
    </xf>
    <xf numFmtId="164" fontId="8" fillId="3" borderId="9" xfId="0" applyNumberFormat="1" applyFont="1" applyFill="1" applyBorder="1" applyAlignment="1">
      <alignment horizontal="center" vertical="center"/>
    </xf>
    <xf numFmtId="164" fontId="65" fillId="3" borderId="12" xfId="0" applyNumberFormat="1" applyFont="1" applyFill="1" applyBorder="1" applyAlignment="1">
      <alignment horizontal="center" vertical="center"/>
    </xf>
    <xf numFmtId="164" fontId="65" fillId="3" borderId="9" xfId="0" applyNumberFormat="1" applyFont="1" applyFill="1" applyBorder="1" applyAlignment="1">
      <alignment horizontal="center" vertical="center"/>
    </xf>
    <xf numFmtId="164" fontId="8" fillId="3" borderId="3" xfId="0" applyNumberFormat="1" applyFont="1" applyFill="1" applyBorder="1" applyAlignment="1">
      <alignment horizontal="center" vertical="center"/>
    </xf>
    <xf numFmtId="0" fontId="8" fillId="3" borderId="9" xfId="0" applyFont="1" applyFill="1" applyBorder="1" applyAlignment="1">
      <alignment horizontal="center" vertical="center"/>
    </xf>
    <xf numFmtId="164" fontId="71" fillId="10" borderId="15" xfId="0" applyNumberFormat="1" applyFont="1" applyFill="1" applyBorder="1" applyAlignment="1">
      <alignment horizontal="center" vertical="center"/>
    </xf>
    <xf numFmtId="164" fontId="71" fillId="10" borderId="58" xfId="0" quotePrefix="1" applyNumberFormat="1" applyFont="1" applyFill="1" applyBorder="1" applyAlignment="1">
      <alignment horizontal="center" vertical="center"/>
    </xf>
    <xf numFmtId="164" fontId="71" fillId="10" borderId="59" xfId="0" quotePrefix="1" applyNumberFormat="1" applyFont="1" applyFill="1" applyBorder="1" applyAlignment="1">
      <alignment horizontal="center" vertical="center"/>
    </xf>
    <xf numFmtId="164" fontId="71" fillId="10" borderId="10" xfId="0" applyNumberFormat="1" applyFont="1" applyFill="1" applyBorder="1" applyAlignment="1">
      <alignment horizontal="center" vertical="center"/>
    </xf>
    <xf numFmtId="164" fontId="71" fillId="10" borderId="58" xfId="0" applyNumberFormat="1" applyFont="1" applyFill="1" applyBorder="1" applyAlignment="1">
      <alignment horizontal="center" vertical="center"/>
    </xf>
    <xf numFmtId="164" fontId="71" fillId="10" borderId="1" xfId="0" applyNumberFormat="1" applyFont="1" applyFill="1" applyBorder="1" applyAlignment="1">
      <alignment horizontal="center" vertical="center"/>
    </xf>
    <xf numFmtId="164" fontId="71" fillId="10" borderId="59" xfId="0" applyNumberFormat="1" applyFont="1" applyFill="1" applyBorder="1" applyAlignment="1">
      <alignment horizontal="center" vertical="center"/>
    </xf>
    <xf numFmtId="164" fontId="2" fillId="3" borderId="10" xfId="0" applyNumberFormat="1" applyFont="1" applyFill="1" applyBorder="1" applyAlignment="1">
      <alignment horizontal="center" vertical="center"/>
    </xf>
    <xf numFmtId="164" fontId="2" fillId="3" borderId="71" xfId="0" applyNumberFormat="1" applyFont="1" applyFill="1" applyBorder="1" applyAlignment="1">
      <alignment horizontal="center" vertical="center"/>
    </xf>
    <xf numFmtId="164" fontId="2" fillId="3" borderId="1" xfId="0" quotePrefix="1" applyNumberFormat="1" applyFont="1" applyFill="1" applyBorder="1" applyAlignment="1">
      <alignment horizontal="center" vertical="center"/>
    </xf>
    <xf numFmtId="164" fontId="2" fillId="3" borderId="59" xfId="0" quotePrefix="1" applyNumberFormat="1" applyFont="1" applyFill="1" applyBorder="1" applyAlignment="1">
      <alignment horizontal="center" vertical="center"/>
    </xf>
    <xf numFmtId="164" fontId="71" fillId="3" borderId="10" xfId="0" applyNumberFormat="1" applyFont="1" applyFill="1" applyBorder="1" applyAlignment="1">
      <alignment horizontal="center" vertical="center"/>
    </xf>
    <xf numFmtId="164" fontId="71" fillId="3" borderId="58" xfId="0" applyNumberFormat="1" applyFont="1" applyFill="1" applyBorder="1" applyAlignment="1">
      <alignment horizontal="center" vertical="center"/>
    </xf>
    <xf numFmtId="164" fontId="2" fillId="3" borderId="45" xfId="0" applyNumberFormat="1" applyFont="1" applyFill="1" applyBorder="1" applyAlignment="1">
      <alignment horizontal="center" vertical="center"/>
    </xf>
    <xf numFmtId="164" fontId="71" fillId="3" borderId="59" xfId="0" applyNumberFormat="1" applyFont="1" applyFill="1" applyBorder="1" applyAlignment="1">
      <alignment horizontal="center" vertical="center"/>
    </xf>
    <xf numFmtId="164" fontId="66" fillId="8" borderId="55" xfId="0" applyNumberFormat="1" applyFont="1" applyFill="1" applyBorder="1" applyAlignment="1">
      <alignment horizontal="center" vertical="center"/>
    </xf>
    <xf numFmtId="0" fontId="66" fillId="8" borderId="55" xfId="0" applyNumberFormat="1" applyFont="1" applyFill="1" applyBorder="1" applyAlignment="1">
      <alignment horizontal="center" vertical="center"/>
    </xf>
    <xf numFmtId="164" fontId="4" fillId="8" borderId="50" xfId="0" applyNumberFormat="1" applyFont="1" applyFill="1" applyBorder="1" applyAlignment="1">
      <alignment horizontal="center" vertical="center"/>
    </xf>
    <xf numFmtId="0" fontId="4" fillId="8" borderId="53" xfId="0" applyNumberFormat="1" applyFont="1" applyFill="1" applyBorder="1" applyAlignment="1">
      <alignment horizontal="center" vertical="center"/>
    </xf>
    <xf numFmtId="0" fontId="4" fillId="8" borderId="49" xfId="0" applyNumberFormat="1" applyFont="1" applyFill="1" applyBorder="1" applyAlignment="1">
      <alignment horizontal="center" vertical="center"/>
    </xf>
    <xf numFmtId="164" fontId="4" fillId="7" borderId="22" xfId="0" applyNumberFormat="1" applyFont="1" applyFill="1" applyBorder="1" applyAlignment="1">
      <alignment horizontal="center" vertical="center"/>
    </xf>
    <xf numFmtId="0" fontId="4" fillId="7" borderId="22" xfId="0" applyNumberFormat="1" applyFont="1" applyFill="1" applyBorder="1" applyAlignment="1">
      <alignment horizontal="center" vertical="center"/>
    </xf>
    <xf numFmtId="0" fontId="4" fillId="11" borderId="44" xfId="0" applyFont="1" applyFill="1" applyBorder="1" applyAlignment="1">
      <alignment horizontal="center" vertical="center"/>
    </xf>
    <xf numFmtId="0" fontId="4" fillId="8" borderId="44" xfId="0" applyNumberFormat="1" applyFont="1" applyFill="1" applyBorder="1" applyAlignment="1">
      <alignment horizontal="center" vertical="center"/>
    </xf>
    <xf numFmtId="0" fontId="4" fillId="8" borderId="45" xfId="0" applyNumberFormat="1" applyFont="1" applyFill="1" applyBorder="1" applyAlignment="1">
      <alignment horizontal="center" vertical="center"/>
    </xf>
    <xf numFmtId="0" fontId="16" fillId="8" borderId="44" xfId="0" applyNumberFormat="1" applyFont="1" applyFill="1" applyBorder="1" applyAlignment="1">
      <alignment horizontal="center" vertical="center"/>
    </xf>
    <xf numFmtId="0" fontId="16" fillId="8" borderId="45" xfId="0" applyNumberFormat="1" applyFont="1" applyFill="1" applyBorder="1" applyAlignment="1">
      <alignment horizontal="center" vertical="center"/>
    </xf>
    <xf numFmtId="164" fontId="16" fillId="7" borderId="22" xfId="0" applyNumberFormat="1" applyFont="1" applyFill="1" applyBorder="1" applyAlignment="1">
      <alignment horizontal="center" vertical="center"/>
    </xf>
    <xf numFmtId="0" fontId="16" fillId="7" borderId="22" xfId="0" applyNumberFormat="1" applyFont="1" applyFill="1" applyBorder="1" applyAlignment="1">
      <alignment horizontal="center" vertical="center"/>
    </xf>
    <xf numFmtId="0" fontId="4" fillId="11" borderId="9" xfId="0" applyFont="1" applyFill="1" applyBorder="1" applyAlignment="1">
      <alignment horizontal="center" vertical="center"/>
    </xf>
    <xf numFmtId="0" fontId="4" fillId="8" borderId="9" xfId="0" applyNumberFormat="1" applyFont="1" applyFill="1" applyBorder="1" applyAlignment="1">
      <alignment horizontal="center" vertical="center"/>
    </xf>
    <xf numFmtId="0" fontId="4" fillId="8" borderId="12" xfId="0" applyNumberFormat="1" applyFont="1" applyFill="1" applyBorder="1" applyAlignment="1">
      <alignment horizontal="center" vertical="center"/>
    </xf>
    <xf numFmtId="164" fontId="4" fillId="7" borderId="3" xfId="0" applyNumberFormat="1" applyFont="1" applyFill="1" applyBorder="1" applyAlignment="1">
      <alignment horizontal="center" vertical="center"/>
    </xf>
    <xf numFmtId="164" fontId="4" fillId="7" borderId="9" xfId="0" applyNumberFormat="1" applyFont="1" applyFill="1" applyBorder="1" applyAlignment="1">
      <alignment horizontal="center" vertical="center"/>
    </xf>
    <xf numFmtId="0" fontId="4" fillId="7" borderId="13" xfId="0" applyNumberFormat="1" applyFont="1" applyFill="1" applyBorder="1" applyAlignment="1">
      <alignment horizontal="center" vertical="center"/>
    </xf>
    <xf numFmtId="164" fontId="71" fillId="12" borderId="10" xfId="0" applyNumberFormat="1" applyFont="1" applyFill="1" applyBorder="1" applyAlignment="1">
      <alignment horizontal="center" vertical="center"/>
    </xf>
    <xf numFmtId="164" fontId="2" fillId="8" borderId="58" xfId="0" applyNumberFormat="1" applyFont="1" applyFill="1" applyBorder="1" applyAlignment="1">
      <alignment horizontal="center" vertical="center"/>
    </xf>
    <xf numFmtId="164" fontId="2" fillId="8" borderId="1" xfId="0" applyNumberFormat="1" applyFont="1" applyFill="1" applyBorder="1" applyAlignment="1">
      <alignment horizontal="center" vertical="center"/>
    </xf>
    <xf numFmtId="164" fontId="2" fillId="8" borderId="59" xfId="0" applyNumberFormat="1" applyFont="1" applyFill="1" applyBorder="1" applyAlignment="1">
      <alignment horizontal="center" vertical="center"/>
    </xf>
    <xf numFmtId="164" fontId="2" fillId="7" borderId="58" xfId="0" applyNumberFormat="1" applyFont="1" applyFill="1" applyBorder="1" applyAlignment="1">
      <alignment horizontal="center" vertical="center"/>
    </xf>
    <xf numFmtId="164" fontId="2" fillId="7" borderId="1" xfId="0" applyNumberFormat="1" applyFont="1" applyFill="1" applyBorder="1" applyAlignment="1">
      <alignment horizontal="center" vertical="center"/>
    </xf>
    <xf numFmtId="164" fontId="2" fillId="7" borderId="59" xfId="0" applyNumberFormat="1" applyFont="1" applyFill="1" applyBorder="1" applyAlignment="1">
      <alignment horizontal="center" vertical="center"/>
    </xf>
    <xf numFmtId="164" fontId="2" fillId="7" borderId="45" xfId="0" applyNumberFormat="1" applyFont="1" applyFill="1" applyBorder="1" applyAlignment="1">
      <alignment horizontal="center" vertical="center"/>
    </xf>
    <xf numFmtId="0" fontId="4" fillId="3" borderId="44" xfId="0" applyFont="1" applyFill="1" applyBorder="1" applyAlignment="1">
      <alignment vertical="center"/>
    </xf>
    <xf numFmtId="0" fontId="4" fillId="3" borderId="9" xfId="0" applyFont="1" applyFill="1" applyBorder="1" applyAlignment="1">
      <alignment vertical="center"/>
    </xf>
    <xf numFmtId="164" fontId="68" fillId="8" borderId="55" xfId="0" applyNumberFormat="1" applyFont="1" applyFill="1" applyBorder="1" applyAlignment="1">
      <alignment horizontal="center" vertical="center"/>
    </xf>
    <xf numFmtId="0" fontId="68" fillId="8" borderId="57" xfId="0" applyNumberFormat="1" applyFont="1" applyFill="1" applyBorder="1" applyAlignment="1">
      <alignment horizontal="center" vertical="center"/>
    </xf>
    <xf numFmtId="0" fontId="3" fillId="4" borderId="56" xfId="0" applyNumberFormat="1" applyFont="1" applyFill="1" applyBorder="1" applyAlignment="1">
      <alignment horizontal="center" vertical="center"/>
    </xf>
    <xf numFmtId="0" fontId="3" fillId="4" borderId="55" xfId="0" applyNumberFormat="1" applyFont="1" applyFill="1" applyBorder="1" applyAlignment="1">
      <alignment horizontal="center" vertical="center"/>
    </xf>
    <xf numFmtId="164" fontId="11" fillId="4" borderId="55" xfId="0" applyNumberFormat="1" applyFont="1" applyFill="1" applyBorder="1" applyAlignment="1">
      <alignment horizontal="center" vertical="center"/>
    </xf>
    <xf numFmtId="0" fontId="3" fillId="4" borderId="57" xfId="0" applyNumberFormat="1" applyFont="1" applyFill="1" applyBorder="1" applyAlignment="1">
      <alignment horizontal="center" vertical="center"/>
    </xf>
    <xf numFmtId="0" fontId="4" fillId="3" borderId="44" xfId="0" applyFont="1" applyFill="1" applyBorder="1" applyAlignment="1">
      <alignment horizontal="center" vertical="center"/>
    </xf>
    <xf numFmtId="0" fontId="2" fillId="4" borderId="44" xfId="0" applyNumberFormat="1" applyFont="1" applyFill="1" applyBorder="1" applyAlignment="1">
      <alignment horizontal="center" vertical="center"/>
    </xf>
    <xf numFmtId="164" fontId="16" fillId="4" borderId="45" xfId="0" applyNumberFormat="1" applyFont="1" applyFill="1" applyBorder="1" applyAlignment="1">
      <alignment horizontal="center" vertical="center"/>
    </xf>
    <xf numFmtId="0" fontId="4" fillId="7" borderId="44" xfId="0" applyNumberFormat="1" applyFont="1" applyFill="1" applyBorder="1" applyAlignment="1">
      <alignment horizontal="center" vertical="center"/>
    </xf>
    <xf numFmtId="0" fontId="4" fillId="3" borderId="22" xfId="0" applyFont="1" applyFill="1" applyBorder="1" applyAlignment="1">
      <alignment horizontal="center" vertical="center"/>
    </xf>
    <xf numFmtId="0" fontId="67" fillId="3" borderId="44" xfId="0" applyFont="1" applyFill="1" applyBorder="1" applyAlignment="1">
      <alignment horizontal="center" vertical="center"/>
    </xf>
    <xf numFmtId="0" fontId="67" fillId="3" borderId="22" xfId="0" applyFont="1" applyFill="1" applyBorder="1" applyAlignment="1">
      <alignment horizontal="center" vertical="center"/>
    </xf>
    <xf numFmtId="0" fontId="16" fillId="7" borderId="44" xfId="0" applyNumberFormat="1" applyFont="1" applyFill="1" applyBorder="1" applyAlignment="1">
      <alignment horizontal="center" vertical="center"/>
    </xf>
    <xf numFmtId="0" fontId="4" fillId="3" borderId="9" xfId="0" applyFont="1" applyFill="1" applyBorder="1" applyAlignment="1">
      <alignment horizontal="center" vertical="center"/>
    </xf>
    <xf numFmtId="0" fontId="4" fillId="3" borderId="13" xfId="0" applyFont="1" applyFill="1" applyBorder="1" applyAlignment="1">
      <alignment horizontal="center" vertical="center"/>
    </xf>
    <xf numFmtId="0" fontId="2" fillId="4" borderId="9" xfId="0" applyNumberFormat="1" applyFont="1" applyFill="1" applyBorder="1" applyAlignment="1">
      <alignment horizontal="center" vertical="center"/>
    </xf>
    <xf numFmtId="11" fontId="16" fillId="4" borderId="9" xfId="0" applyNumberFormat="1" applyFont="1" applyFill="1" applyBorder="1" applyAlignment="1">
      <alignment horizontal="center" vertical="center"/>
    </xf>
    <xf numFmtId="0" fontId="4" fillId="7" borderId="9" xfId="0" applyNumberFormat="1" applyFont="1" applyFill="1" applyBorder="1" applyAlignment="1">
      <alignment horizontal="center" vertical="center"/>
    </xf>
    <xf numFmtId="164" fontId="46" fillId="3" borderId="9" xfId="0" applyNumberFormat="1" applyFont="1" applyFill="1" applyBorder="1" applyAlignment="1">
      <alignment horizontal="center" vertical="center"/>
    </xf>
    <xf numFmtId="164" fontId="71" fillId="3" borderId="14" xfId="0" applyNumberFormat="1" applyFont="1" applyFill="1" applyBorder="1" applyAlignment="1">
      <alignment horizontal="center" vertical="center"/>
    </xf>
    <xf numFmtId="164" fontId="2" fillId="8" borderId="14" xfId="0" applyNumberFormat="1" applyFont="1" applyFill="1" applyBorder="1" applyAlignment="1">
      <alignment horizontal="center" vertical="center"/>
    </xf>
    <xf numFmtId="0" fontId="4" fillId="3" borderId="72" xfId="0" applyFont="1" applyFill="1" applyBorder="1" applyAlignment="1">
      <alignment vertical="center"/>
    </xf>
    <xf numFmtId="0" fontId="2" fillId="3" borderId="11" xfId="0" applyFont="1" applyFill="1" applyBorder="1" applyAlignment="1">
      <alignment vertical="center"/>
    </xf>
    <xf numFmtId="0" fontId="2" fillId="3" borderId="10" xfId="0" applyFont="1" applyFill="1" applyBorder="1" applyAlignment="1">
      <alignment vertical="center"/>
    </xf>
    <xf numFmtId="0" fontId="2" fillId="3" borderId="73" xfId="0" applyFont="1" applyFill="1" applyBorder="1" applyAlignment="1">
      <alignment vertical="center"/>
    </xf>
    <xf numFmtId="0" fontId="2" fillId="3" borderId="44" xfId="0" applyFont="1" applyFill="1" applyBorder="1" applyAlignment="1">
      <alignment vertical="center"/>
    </xf>
    <xf numFmtId="0" fontId="2" fillId="3" borderId="9" xfId="0" applyFont="1" applyFill="1" applyBorder="1" applyAlignment="1">
      <alignment vertical="center"/>
    </xf>
    <xf numFmtId="0" fontId="66" fillId="3" borderId="52" xfId="0" applyFont="1" applyFill="1" applyBorder="1" applyAlignment="1">
      <alignment horizontal="center" vertical="center"/>
    </xf>
    <xf numFmtId="0" fontId="2" fillId="4" borderId="45" xfId="0" applyNumberFormat="1" applyFont="1" applyFill="1" applyBorder="1" applyAlignment="1">
      <alignment horizontal="center" vertical="center"/>
    </xf>
    <xf numFmtId="164" fontId="2" fillId="3" borderId="53" xfId="0" applyNumberFormat="1" applyFont="1" applyFill="1" applyBorder="1" applyAlignment="1">
      <alignment horizontal="center" vertical="center"/>
    </xf>
    <xf numFmtId="0" fontId="2" fillId="3" borderId="44" xfId="0" applyFont="1" applyFill="1" applyBorder="1" applyAlignment="1">
      <alignment horizontal="center" vertical="center" wrapText="1"/>
    </xf>
    <xf numFmtId="164" fontId="2" fillId="8" borderId="22" xfId="0" applyNumberFormat="1" applyFont="1" applyFill="1" applyBorder="1" applyAlignment="1">
      <alignment horizontal="center" vertical="center"/>
    </xf>
    <xf numFmtId="11" fontId="2" fillId="4" borderId="44" xfId="0" applyNumberFormat="1" applyFont="1" applyFill="1" applyBorder="1" applyAlignment="1">
      <alignment horizontal="center" vertical="center"/>
    </xf>
    <xf numFmtId="164" fontId="2" fillId="4" borderId="44" xfId="0" applyNumberFormat="1" applyFont="1" applyFill="1" applyBorder="1" applyAlignment="1">
      <alignment horizontal="center" vertical="center"/>
    </xf>
    <xf numFmtId="164" fontId="2" fillId="7" borderId="44" xfId="0" applyNumberFormat="1" applyFont="1" applyFill="1" applyBorder="1" applyAlignment="1">
      <alignment horizontal="center" vertical="center"/>
    </xf>
    <xf numFmtId="164" fontId="2" fillId="3" borderId="44" xfId="0" applyNumberFormat="1" applyFont="1" applyFill="1" applyBorder="1" applyAlignment="1">
      <alignment horizontal="center" vertical="center"/>
    </xf>
    <xf numFmtId="164" fontId="2" fillId="8" borderId="13" xfId="0" applyNumberFormat="1" applyFont="1" applyFill="1" applyBorder="1" applyAlignment="1">
      <alignment horizontal="center" vertical="center"/>
    </xf>
    <xf numFmtId="11" fontId="2" fillId="4" borderId="9" xfId="0" applyNumberFormat="1" applyFont="1" applyFill="1" applyBorder="1" applyAlignment="1">
      <alignment horizontal="center" vertical="center"/>
    </xf>
    <xf numFmtId="164" fontId="2" fillId="4" borderId="9" xfId="0" applyNumberFormat="1" applyFont="1" applyFill="1" applyBorder="1" applyAlignment="1">
      <alignment horizontal="center" vertical="center"/>
    </xf>
    <xf numFmtId="0" fontId="2" fillId="4" borderId="12" xfId="0" applyNumberFormat="1" applyFont="1" applyFill="1" applyBorder="1" applyAlignment="1">
      <alignment horizontal="center" vertical="center"/>
    </xf>
    <xf numFmtId="164" fontId="73" fillId="7" borderId="9" xfId="0" applyNumberFormat="1" applyFont="1" applyFill="1" applyBorder="1" applyAlignment="1">
      <alignment horizontal="center" vertical="center"/>
    </xf>
    <xf numFmtId="164" fontId="2" fillId="7" borderId="12" xfId="0" applyNumberFormat="1" applyFont="1" applyFill="1" applyBorder="1" applyAlignment="1">
      <alignment horizontal="center" vertical="center"/>
    </xf>
    <xf numFmtId="164" fontId="2" fillId="3" borderId="9" xfId="0" applyNumberFormat="1" applyFont="1" applyFill="1" applyBorder="1" applyAlignment="1">
      <alignment horizontal="center" vertical="center"/>
    </xf>
    <xf numFmtId="0" fontId="2" fillId="3" borderId="44" xfId="0" applyFont="1" applyFill="1" applyBorder="1" applyAlignment="1">
      <alignment horizontal="center" vertical="center"/>
    </xf>
    <xf numFmtId="0" fontId="2" fillId="8" borderId="46" xfId="0" applyNumberFormat="1" applyFont="1" applyFill="1" applyBorder="1" applyAlignment="1">
      <alignment horizontal="center" vertical="center"/>
    </xf>
    <xf numFmtId="164" fontId="68" fillId="13" borderId="52" xfId="0" applyNumberFormat="1" applyFont="1" applyFill="1" applyBorder="1" applyAlignment="1">
      <alignment horizontal="center" vertical="center"/>
    </xf>
    <xf numFmtId="0" fontId="66" fillId="13" borderId="55" xfId="0" applyNumberFormat="1" applyFont="1" applyFill="1" applyBorder="1" applyAlignment="1">
      <alignment horizontal="center" vertical="center"/>
    </xf>
    <xf numFmtId="0" fontId="68" fillId="13" borderId="57" xfId="0" applyNumberFormat="1" applyFont="1" applyFill="1" applyBorder="1" applyAlignment="1">
      <alignment horizontal="center" vertical="center"/>
    </xf>
    <xf numFmtId="0" fontId="67" fillId="3" borderId="45" xfId="0" applyFont="1" applyFill="1" applyBorder="1" applyAlignment="1">
      <alignment horizontal="center" vertical="center"/>
    </xf>
    <xf numFmtId="164" fontId="2" fillId="13" borderId="58" xfId="0" applyNumberFormat="1" applyFont="1" applyFill="1" applyBorder="1" applyAlignment="1">
      <alignment horizontal="center" vertical="center"/>
    </xf>
    <xf numFmtId="164" fontId="2" fillId="13" borderId="1" xfId="0" applyNumberFormat="1" applyFont="1" applyFill="1" applyBorder="1" applyAlignment="1">
      <alignment horizontal="center" vertical="center"/>
    </xf>
    <xf numFmtId="164" fontId="2" fillId="13" borderId="59" xfId="0" applyNumberFormat="1" applyFont="1" applyFill="1" applyBorder="1" applyAlignment="1">
      <alignment horizontal="center" vertical="center"/>
    </xf>
    <xf numFmtId="164" fontId="2" fillId="13" borderId="44" xfId="0" applyNumberFormat="1" applyFont="1" applyFill="1" applyBorder="1" applyAlignment="1">
      <alignment horizontal="center" vertical="center"/>
    </xf>
    <xf numFmtId="0" fontId="2" fillId="13" borderId="53" xfId="0" applyNumberFormat="1" applyFont="1" applyFill="1" applyBorder="1" applyAlignment="1">
      <alignment horizontal="center" vertical="center"/>
    </xf>
    <xf numFmtId="0" fontId="2" fillId="4" borderId="53" xfId="0" applyFont="1" applyFill="1" applyBorder="1" applyAlignment="1">
      <alignment horizontal="center" vertical="center"/>
    </xf>
    <xf numFmtId="11" fontId="2" fillId="4" borderId="53" xfId="0" applyNumberFormat="1" applyFont="1" applyFill="1" applyBorder="1" applyAlignment="1">
      <alignment horizontal="center" vertical="center"/>
    </xf>
    <xf numFmtId="0" fontId="2" fillId="4" borderId="44" xfId="0" applyFont="1" applyFill="1" applyBorder="1" applyAlignment="1">
      <alignment horizontal="center" vertical="center"/>
    </xf>
    <xf numFmtId="11" fontId="2" fillId="7" borderId="53" xfId="0" applyNumberFormat="1" applyFont="1" applyFill="1" applyBorder="1" applyAlignment="1">
      <alignment horizontal="center" vertical="center"/>
    </xf>
    <xf numFmtId="0" fontId="2" fillId="7" borderId="53" xfId="0" applyFont="1" applyFill="1" applyBorder="1" applyAlignment="1">
      <alignment horizontal="center" vertical="center"/>
    </xf>
    <xf numFmtId="164" fontId="2" fillId="7" borderId="53" xfId="0" applyNumberFormat="1" applyFont="1" applyFill="1" applyBorder="1" applyAlignment="1">
      <alignment horizontal="center" vertical="center"/>
    </xf>
    <xf numFmtId="0" fontId="2" fillId="7" borderId="49" xfId="0" applyFont="1" applyFill="1" applyBorder="1" applyAlignment="1">
      <alignment horizontal="center" vertical="center"/>
    </xf>
    <xf numFmtId="0" fontId="2" fillId="3" borderId="45" xfId="0" applyFont="1" applyFill="1" applyBorder="1" applyAlignment="1">
      <alignment horizontal="center" vertical="center"/>
    </xf>
    <xf numFmtId="0" fontId="2" fillId="13" borderId="44" xfId="0" applyNumberFormat="1" applyFont="1" applyFill="1" applyBorder="1" applyAlignment="1">
      <alignment horizontal="center" vertical="center"/>
    </xf>
    <xf numFmtId="11" fontId="2" fillId="7" borderId="44" xfId="0" applyNumberFormat="1" applyFont="1" applyFill="1" applyBorder="1" applyAlignment="1">
      <alignment horizontal="center" vertical="center"/>
    </xf>
    <xf numFmtId="0" fontId="2" fillId="7" borderId="44" xfId="0" applyFont="1" applyFill="1" applyBorder="1" applyAlignment="1">
      <alignment horizontal="center" vertical="center"/>
    </xf>
    <xf numFmtId="0" fontId="2" fillId="7" borderId="45" xfId="0" applyFont="1" applyFill="1" applyBorder="1" applyAlignment="1">
      <alignment horizontal="center" vertical="center"/>
    </xf>
    <xf numFmtId="164" fontId="2" fillId="3" borderId="49" xfId="0" applyNumberFormat="1" applyFont="1" applyFill="1" applyBorder="1" applyAlignment="1">
      <alignment horizontal="center" vertical="center"/>
    </xf>
    <xf numFmtId="164" fontId="2" fillId="13" borderId="9" xfId="0" applyNumberFormat="1" applyFont="1" applyFill="1" applyBorder="1" applyAlignment="1">
      <alignment horizontal="center" vertical="center"/>
    </xf>
    <xf numFmtId="0" fontId="2" fillId="13" borderId="9" xfId="0" applyNumberFormat="1" applyFont="1" applyFill="1" applyBorder="1" applyAlignment="1">
      <alignment horizontal="center" vertical="center"/>
    </xf>
    <xf numFmtId="0" fontId="2" fillId="7" borderId="9" xfId="0" applyFont="1" applyFill="1" applyBorder="1" applyAlignment="1">
      <alignment horizontal="center" vertical="center"/>
    </xf>
    <xf numFmtId="0" fontId="2" fillId="7" borderId="12" xfId="0" applyFont="1" applyFill="1" applyBorder="1" applyAlignment="1">
      <alignment horizontal="center" vertical="center"/>
    </xf>
    <xf numFmtId="0" fontId="2" fillId="7" borderId="9" xfId="0" applyFont="1" applyFill="1" applyBorder="1" applyAlignment="1" applyProtection="1">
      <alignment horizontal="center" vertical="center"/>
    </xf>
    <xf numFmtId="164" fontId="67" fillId="3" borderId="9" xfId="0" applyNumberFormat="1" applyFont="1" applyFill="1" applyBorder="1" applyAlignment="1">
      <alignment horizontal="center" vertical="center"/>
    </xf>
    <xf numFmtId="164" fontId="67" fillId="3" borderId="12" xfId="0" applyNumberFormat="1" applyFont="1" applyFill="1" applyBorder="1" applyAlignment="1">
      <alignment horizontal="center" vertical="center"/>
    </xf>
    <xf numFmtId="164" fontId="71" fillId="3" borderId="48" xfId="0" applyNumberFormat="1" applyFont="1" applyFill="1" applyBorder="1" applyAlignment="1">
      <alignment horizontal="center" vertical="center"/>
    </xf>
    <xf numFmtId="164" fontId="2" fillId="8" borderId="10" xfId="0" applyNumberFormat="1" applyFont="1" applyFill="1" applyBorder="1" applyAlignment="1">
      <alignment horizontal="center" vertical="center"/>
    </xf>
    <xf numFmtId="164" fontId="2" fillId="14" borderId="10" xfId="0" applyNumberFormat="1" applyFont="1" applyFill="1" applyBorder="1" applyAlignment="1">
      <alignment horizontal="center" vertical="center"/>
    </xf>
    <xf numFmtId="164" fontId="2" fillId="4" borderId="60" xfId="0" applyNumberFormat="1" applyFont="1" applyFill="1" applyBorder="1" applyAlignment="1">
      <alignment horizontal="center" vertical="center"/>
    </xf>
    <xf numFmtId="164" fontId="2" fillId="7" borderId="10" xfId="0" applyNumberFormat="1" applyFont="1" applyFill="1" applyBorder="1" applyAlignment="1">
      <alignment horizontal="center" vertical="center"/>
    </xf>
    <xf numFmtId="164" fontId="2" fillId="7" borderId="60" xfId="0" applyNumberFormat="1" applyFont="1" applyFill="1" applyBorder="1" applyAlignment="1">
      <alignment horizontal="center" vertical="center"/>
    </xf>
    <xf numFmtId="164" fontId="2" fillId="15" borderId="44" xfId="0" applyNumberFormat="1" applyFont="1" applyFill="1" applyBorder="1" applyAlignment="1">
      <alignment horizontal="center" vertical="center"/>
    </xf>
    <xf numFmtId="164" fontId="2" fillId="8" borderId="72" xfId="0" applyNumberFormat="1" applyFont="1" applyFill="1" applyBorder="1" applyAlignment="1">
      <alignment horizontal="center" vertical="center"/>
    </xf>
    <xf numFmtId="164" fontId="2" fillId="8" borderId="73" xfId="0" applyNumberFormat="1" applyFont="1" applyFill="1" applyBorder="1" applyAlignment="1">
      <alignment horizontal="center" vertical="center"/>
    </xf>
    <xf numFmtId="164" fontId="2" fillId="8" borderId="51" xfId="0" applyNumberFormat="1" applyFont="1" applyFill="1" applyBorder="1" applyAlignment="1">
      <alignment horizontal="center" vertical="center"/>
    </xf>
    <xf numFmtId="0" fontId="75" fillId="3" borderId="2" xfId="0" applyFont="1" applyFill="1" applyBorder="1" applyAlignment="1">
      <alignment horizontal="center" vertical="center"/>
    </xf>
    <xf numFmtId="0" fontId="2" fillId="8" borderId="53" xfId="0" applyFont="1" applyFill="1" applyBorder="1" applyAlignment="1">
      <alignment horizontal="center" vertical="center"/>
    </xf>
    <xf numFmtId="0" fontId="2" fillId="8" borderId="50" xfId="0" applyFont="1" applyFill="1" applyBorder="1" applyAlignment="1">
      <alignment horizontal="center" vertical="center"/>
    </xf>
    <xf numFmtId="0" fontId="2" fillId="14" borderId="50" xfId="0" applyFont="1" applyFill="1" applyBorder="1" applyAlignment="1">
      <alignment horizontal="center" vertical="center"/>
    </xf>
    <xf numFmtId="0" fontId="2" fillId="4" borderId="50" xfId="0" applyFont="1" applyFill="1" applyBorder="1" applyAlignment="1">
      <alignment horizontal="center" vertical="center"/>
    </xf>
    <xf numFmtId="0" fontId="2" fillId="3" borderId="56" xfId="0" applyFont="1" applyFill="1" applyBorder="1" applyAlignment="1">
      <alignment horizontal="center" vertical="center"/>
    </xf>
    <xf numFmtId="0" fontId="66" fillId="3" borderId="55" xfId="0" applyFont="1" applyFill="1" applyBorder="1" applyAlignment="1">
      <alignment horizontal="center" vertical="center"/>
    </xf>
    <xf numFmtId="0" fontId="2" fillId="3" borderId="57" xfId="0" applyFont="1" applyFill="1" applyBorder="1" applyAlignment="1">
      <alignment horizontal="center" vertical="center"/>
    </xf>
    <xf numFmtId="0" fontId="2" fillId="8" borderId="44" xfId="0" applyFont="1" applyFill="1" applyBorder="1" applyAlignment="1">
      <alignment horizontal="center" vertical="center"/>
    </xf>
    <xf numFmtId="0" fontId="2" fillId="8" borderId="22" xfId="0" applyFont="1" applyFill="1" applyBorder="1" applyAlignment="1">
      <alignment horizontal="center" vertical="center"/>
    </xf>
    <xf numFmtId="0" fontId="2" fillId="14" borderId="22" xfId="0" applyFont="1" applyFill="1" applyBorder="1" applyAlignment="1">
      <alignment horizontal="center" vertical="center"/>
    </xf>
    <xf numFmtId="0" fontId="2" fillId="4" borderId="22" xfId="0" applyFont="1" applyFill="1" applyBorder="1" applyAlignment="1">
      <alignment horizontal="center" vertical="center"/>
    </xf>
    <xf numFmtId="0" fontId="2" fillId="8" borderId="22" xfId="0" quotePrefix="1" applyFont="1" applyFill="1" applyBorder="1" applyAlignment="1">
      <alignment horizontal="center" vertical="center"/>
    </xf>
    <xf numFmtId="0" fontId="67" fillId="7" borderId="44" xfId="0" applyFont="1" applyFill="1" applyBorder="1" applyAlignment="1">
      <alignment horizontal="center" vertical="center"/>
    </xf>
    <xf numFmtId="0" fontId="67" fillId="8" borderId="22" xfId="0" quotePrefix="1" applyFont="1" applyFill="1" applyBorder="1" applyAlignment="1">
      <alignment horizontal="center" vertical="center"/>
    </xf>
    <xf numFmtId="0" fontId="67" fillId="14" borderId="22" xfId="0" applyFont="1" applyFill="1" applyBorder="1" applyAlignment="1">
      <alignment horizontal="center" vertical="center"/>
    </xf>
    <xf numFmtId="0" fontId="75" fillId="3" borderId="12" xfId="0" applyFont="1" applyFill="1" applyBorder="1" applyAlignment="1">
      <alignment horizontal="center" vertical="center"/>
    </xf>
    <xf numFmtId="0" fontId="2" fillId="8" borderId="9" xfId="0" applyFont="1" applyFill="1" applyBorder="1" applyAlignment="1">
      <alignment horizontal="center" vertical="center"/>
    </xf>
    <xf numFmtId="0" fontId="2" fillId="4" borderId="9"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10" xfId="0" applyFont="1" applyFill="1" applyBorder="1" applyAlignment="1">
      <alignment horizontal="left" vertical="center"/>
    </xf>
    <xf numFmtId="0" fontId="2" fillId="3" borderId="67" xfId="0" applyFont="1" applyFill="1" applyBorder="1" applyAlignment="1">
      <alignment vertical="center"/>
    </xf>
    <xf numFmtId="0" fontId="2" fillId="3" borderId="51" xfId="0" applyFont="1" applyFill="1" applyBorder="1" applyAlignment="1">
      <alignment vertical="center"/>
    </xf>
    <xf numFmtId="11" fontId="2" fillId="7" borderId="1" xfId="0" applyNumberFormat="1" applyFont="1" applyFill="1" applyBorder="1" applyAlignment="1">
      <alignment horizontal="center" vertical="center"/>
    </xf>
    <xf numFmtId="171" fontId="16" fillId="0" borderId="0" xfId="0" applyNumberFormat="1" applyFont="1"/>
    <xf numFmtId="171" fontId="2" fillId="4" borderId="50" xfId="0" applyNumberFormat="1" applyFont="1" applyFill="1" applyBorder="1" applyAlignment="1">
      <alignment horizontal="center" vertical="center"/>
    </xf>
    <xf numFmtId="171" fontId="2" fillId="4" borderId="22" xfId="0" applyNumberFormat="1" applyFont="1" applyFill="1" applyBorder="1" applyAlignment="1">
      <alignment horizontal="center" vertical="center"/>
    </xf>
    <xf numFmtId="171" fontId="2" fillId="4" borderId="13" xfId="0" applyNumberFormat="1" applyFont="1" applyFill="1" applyBorder="1" applyAlignment="1">
      <alignment horizontal="center" vertical="center"/>
    </xf>
    <xf numFmtId="171" fontId="36" fillId="0" borderId="0" xfId="0" applyNumberFormat="1" applyFont="1" applyAlignment="1">
      <alignment horizontal="center"/>
    </xf>
    <xf numFmtId="171" fontId="16" fillId="0" borderId="0" xfId="0" applyNumberFormat="1" applyFont="1" applyAlignment="1">
      <alignment horizontal="center"/>
    </xf>
    <xf numFmtId="171" fontId="2" fillId="7" borderId="44" xfId="0" applyNumberFormat="1" applyFont="1" applyFill="1" applyBorder="1" applyAlignment="1">
      <alignment horizontal="center" vertical="center"/>
    </xf>
    <xf numFmtId="171" fontId="2" fillId="7" borderId="9" xfId="0" applyNumberFormat="1" applyFont="1" applyFill="1" applyBorder="1" applyAlignment="1">
      <alignment horizontal="center" vertical="center"/>
    </xf>
    <xf numFmtId="171" fontId="2" fillId="7" borderId="59" xfId="0" applyNumberFormat="1" applyFont="1" applyFill="1" applyBorder="1" applyAlignment="1">
      <alignment horizontal="center" vertical="center"/>
    </xf>
    <xf numFmtId="171" fontId="0" fillId="0" borderId="0" xfId="0" applyNumberFormat="1" applyAlignment="1">
      <alignment horizontal="center"/>
    </xf>
    <xf numFmtId="171" fontId="0" fillId="0" borderId="0" xfId="0" applyNumberFormat="1" applyFill="1"/>
    <xf numFmtId="164" fontId="71" fillId="3" borderId="10" xfId="0" applyNumberFormat="1" applyFont="1" applyFill="1" applyBorder="1" applyAlignment="1">
      <alignment horizontal="center" vertical="center" wrapText="1"/>
    </xf>
    <xf numFmtId="164" fontId="2" fillId="15" borderId="45" xfId="0" applyNumberFormat="1" applyFont="1" applyFill="1" applyBorder="1" applyAlignment="1">
      <alignment horizontal="center" vertical="center"/>
    </xf>
    <xf numFmtId="164" fontId="2" fillId="15" borderId="22" xfId="0" applyNumberFormat="1" applyFont="1" applyFill="1" applyBorder="1" applyAlignment="1">
      <alignment horizontal="center" vertical="center"/>
    </xf>
    <xf numFmtId="164" fontId="4" fillId="4" borderId="1" xfId="0" applyNumberFormat="1" applyFont="1" applyFill="1" applyBorder="1" applyAlignment="1">
      <alignment horizontal="center" vertical="center"/>
    </xf>
    <xf numFmtId="0" fontId="72" fillId="5" borderId="74" xfId="0" applyFont="1" applyFill="1" applyBorder="1" applyAlignment="1">
      <alignment horizontal="center" vertical="center"/>
    </xf>
    <xf numFmtId="164" fontId="71" fillId="16" borderId="11" xfId="0" applyNumberFormat="1" applyFont="1" applyFill="1" applyBorder="1" applyAlignment="1">
      <alignment horizontal="center" vertical="center"/>
    </xf>
    <xf numFmtId="164" fontId="2" fillId="5" borderId="11" xfId="0" applyNumberFormat="1" applyFont="1" applyFill="1" applyBorder="1" applyAlignment="1">
      <alignment horizontal="center" vertical="center"/>
    </xf>
    <xf numFmtId="164" fontId="2" fillId="17" borderId="75" xfId="0" applyNumberFormat="1" applyFont="1" applyFill="1" applyBorder="1" applyAlignment="1">
      <alignment horizontal="center" vertical="center"/>
    </xf>
    <xf numFmtId="164" fontId="2" fillId="17" borderId="76" xfId="0" applyNumberFormat="1" applyFont="1" applyFill="1" applyBorder="1" applyAlignment="1">
      <alignment horizontal="center" vertical="center"/>
    </xf>
    <xf numFmtId="164" fontId="2" fillId="17" borderId="77" xfId="0" applyNumberFormat="1" applyFont="1" applyFill="1" applyBorder="1" applyAlignment="1">
      <alignment horizontal="center" vertical="center"/>
    </xf>
    <xf numFmtId="164" fontId="2" fillId="5" borderId="75" xfId="0" applyNumberFormat="1" applyFont="1" applyFill="1" applyBorder="1" applyAlignment="1">
      <alignment horizontal="center" vertical="center"/>
    </xf>
    <xf numFmtId="164" fontId="2" fillId="5" borderId="76" xfId="0" applyNumberFormat="1" applyFont="1" applyFill="1" applyBorder="1" applyAlignment="1">
      <alignment horizontal="center" vertical="center"/>
    </xf>
    <xf numFmtId="164" fontId="2" fillId="5" borderId="77" xfId="0" applyNumberFormat="1" applyFont="1" applyFill="1" applyBorder="1" applyAlignment="1">
      <alignment horizontal="center" vertical="center"/>
    </xf>
    <xf numFmtId="164" fontId="71" fillId="16" borderId="78" xfId="0" applyNumberFormat="1" applyFont="1" applyFill="1" applyBorder="1" applyAlignment="1">
      <alignment horizontal="center" vertical="center"/>
    </xf>
    <xf numFmtId="164" fontId="2" fillId="7" borderId="64" xfId="0" applyNumberFormat="1" applyFont="1" applyFill="1" applyBorder="1" applyAlignment="1">
      <alignment horizontal="center" vertical="center"/>
    </xf>
    <xf numFmtId="164" fontId="2" fillId="7" borderId="65" xfId="0" applyNumberFormat="1" applyFont="1" applyFill="1" applyBorder="1" applyAlignment="1">
      <alignment horizontal="center" vertical="center"/>
    </xf>
    <xf numFmtId="164" fontId="2" fillId="7" borderId="66" xfId="0" applyNumberFormat="1" applyFont="1" applyFill="1" applyBorder="1" applyAlignment="1">
      <alignment horizontal="center" vertical="center"/>
    </xf>
    <xf numFmtId="164" fontId="2" fillId="3" borderId="51" xfId="0" applyNumberFormat="1" applyFont="1" applyFill="1" applyBorder="1" applyAlignment="1">
      <alignment horizontal="center" vertical="center"/>
    </xf>
    <xf numFmtId="164" fontId="2" fillId="8" borderId="64" xfId="0" applyNumberFormat="1" applyFont="1" applyFill="1" applyBorder="1" applyAlignment="1">
      <alignment horizontal="center" vertical="center"/>
    </xf>
    <xf numFmtId="164" fontId="2" fillId="8" borderId="65" xfId="0" applyNumberFormat="1" applyFont="1" applyFill="1" applyBorder="1" applyAlignment="1">
      <alignment horizontal="center" vertical="center"/>
    </xf>
    <xf numFmtId="164" fontId="2" fillId="8" borderId="66" xfId="0" applyNumberFormat="1" applyFont="1" applyFill="1" applyBorder="1" applyAlignment="1">
      <alignment horizontal="center" vertical="center"/>
    </xf>
    <xf numFmtId="164" fontId="2" fillId="4" borderId="79" xfId="0" applyNumberFormat="1" applyFont="1" applyFill="1" applyBorder="1" applyAlignment="1">
      <alignment horizontal="center" vertical="center"/>
    </xf>
    <xf numFmtId="164" fontId="2" fillId="4" borderId="80" xfId="0" applyNumberFormat="1" applyFont="1" applyFill="1" applyBorder="1" applyAlignment="1">
      <alignment horizontal="center" vertical="center"/>
    </xf>
    <xf numFmtId="0" fontId="72" fillId="5" borderId="44" xfId="0" applyFont="1" applyFill="1" applyBorder="1" applyAlignment="1">
      <alignment horizontal="center" vertical="center"/>
    </xf>
    <xf numFmtId="164" fontId="71" fillId="5" borderId="75" xfId="0" applyNumberFormat="1" applyFont="1" applyFill="1" applyBorder="1" applyAlignment="1">
      <alignment horizontal="center" vertical="center"/>
    </xf>
    <xf numFmtId="164" fontId="71" fillId="5" borderId="77" xfId="0" applyNumberFormat="1" applyFont="1" applyFill="1" applyBorder="1" applyAlignment="1">
      <alignment horizontal="center" vertical="center"/>
    </xf>
    <xf numFmtId="164" fontId="2" fillId="5" borderId="78" xfId="0" applyNumberFormat="1" applyFont="1" applyFill="1" applyBorder="1" applyAlignment="1">
      <alignment horizontal="center" vertical="center"/>
    </xf>
    <xf numFmtId="0" fontId="2" fillId="17" borderId="76" xfId="0" applyNumberFormat="1" applyFont="1" applyFill="1" applyBorder="1" applyAlignment="1">
      <alignment horizontal="center" vertical="center"/>
    </xf>
    <xf numFmtId="0" fontId="2" fillId="8" borderId="81" xfId="0" applyNumberFormat="1" applyFont="1" applyFill="1" applyBorder="1" applyAlignment="1">
      <alignment horizontal="center" vertical="center"/>
    </xf>
    <xf numFmtId="164" fontId="71" fillId="5" borderId="78" xfId="0" applyNumberFormat="1" applyFont="1" applyFill="1" applyBorder="1" applyAlignment="1">
      <alignment horizontal="center" vertical="center"/>
    </xf>
    <xf numFmtId="164" fontId="71" fillId="5" borderId="78" xfId="0" applyNumberFormat="1" applyFont="1" applyFill="1" applyBorder="1" applyAlignment="1">
      <alignment horizontal="center" vertical="center" wrapText="1"/>
    </xf>
    <xf numFmtId="171" fontId="2" fillId="5" borderId="75" xfId="0" applyNumberFormat="1" applyFont="1" applyFill="1" applyBorder="1" applyAlignment="1">
      <alignment horizontal="center" vertical="center"/>
    </xf>
    <xf numFmtId="171" fontId="2" fillId="5" borderId="77" xfId="0" applyNumberFormat="1" applyFont="1" applyFill="1" applyBorder="1" applyAlignment="1">
      <alignment horizontal="center" vertical="center"/>
    </xf>
    <xf numFmtId="11" fontId="2" fillId="5" borderId="76" xfId="0" applyNumberFormat="1" applyFont="1" applyFill="1" applyBorder="1" applyAlignment="1">
      <alignment horizontal="center" vertical="center"/>
    </xf>
    <xf numFmtId="164" fontId="71" fillId="3" borderId="51" xfId="0" applyNumberFormat="1" applyFont="1" applyFill="1" applyBorder="1" applyAlignment="1">
      <alignment horizontal="center" vertical="center"/>
    </xf>
    <xf numFmtId="164" fontId="71" fillId="3" borderId="51" xfId="0" applyNumberFormat="1" applyFont="1" applyFill="1" applyBorder="1" applyAlignment="1">
      <alignment horizontal="center" vertical="center" wrapText="1"/>
    </xf>
    <xf numFmtId="164" fontId="71" fillId="3" borderId="82" xfId="0" applyNumberFormat="1" applyFont="1" applyFill="1" applyBorder="1" applyAlignment="1">
      <alignment horizontal="center" vertical="center"/>
    </xf>
    <xf numFmtId="164" fontId="2" fillId="13" borderId="64" xfId="0" applyNumberFormat="1" applyFont="1" applyFill="1" applyBorder="1" applyAlignment="1">
      <alignment horizontal="center" vertical="center"/>
    </xf>
    <xf numFmtId="164" fontId="2" fillId="13" borderId="65" xfId="0" applyNumberFormat="1" applyFont="1" applyFill="1" applyBorder="1" applyAlignment="1">
      <alignment horizontal="center" vertical="center"/>
    </xf>
    <xf numFmtId="164" fontId="2" fillId="13" borderId="66" xfId="0" applyNumberFormat="1" applyFont="1" applyFill="1" applyBorder="1" applyAlignment="1">
      <alignment horizontal="center" vertical="center"/>
    </xf>
    <xf numFmtId="171" fontId="2" fillId="7" borderId="66" xfId="0" applyNumberFormat="1" applyFont="1" applyFill="1" applyBorder="1" applyAlignment="1">
      <alignment horizontal="center" vertical="center"/>
    </xf>
    <xf numFmtId="11" fontId="2" fillId="7" borderId="65" xfId="0" applyNumberFormat="1" applyFont="1" applyFill="1" applyBorder="1" applyAlignment="1">
      <alignment horizontal="center" vertical="center"/>
    </xf>
    <xf numFmtId="164" fontId="2" fillId="18" borderId="74" xfId="0" applyNumberFormat="1" applyFont="1" applyFill="1" applyBorder="1" applyAlignment="1">
      <alignment horizontal="center" vertical="center"/>
    </xf>
    <xf numFmtId="164" fontId="2" fillId="18" borderId="44" xfId="0" applyNumberFormat="1" applyFont="1" applyFill="1" applyBorder="1" applyAlignment="1">
      <alignment horizontal="center" vertical="center"/>
    </xf>
    <xf numFmtId="164" fontId="2" fillId="17" borderId="74" xfId="0" applyNumberFormat="1" applyFont="1" applyFill="1" applyBorder="1" applyAlignment="1">
      <alignment horizontal="center" vertical="center"/>
    </xf>
    <xf numFmtId="164" fontId="71" fillId="5" borderId="76" xfId="0" applyNumberFormat="1" applyFont="1" applyFill="1" applyBorder="1" applyAlignment="1">
      <alignment horizontal="center" vertical="center"/>
    </xf>
    <xf numFmtId="164" fontId="2" fillId="18" borderId="83" xfId="0" applyNumberFormat="1" applyFont="1" applyFill="1" applyBorder="1" applyAlignment="1">
      <alignment horizontal="center" vertical="center"/>
    </xf>
    <xf numFmtId="164" fontId="2" fillId="18" borderId="84" xfId="0" applyNumberFormat="1" applyFont="1" applyFill="1" applyBorder="1" applyAlignment="1">
      <alignment horizontal="center" vertical="center"/>
    </xf>
    <xf numFmtId="164" fontId="2" fillId="15" borderId="12" xfId="0" applyNumberFormat="1" applyFont="1" applyFill="1" applyBorder="1" applyAlignment="1">
      <alignment horizontal="center" vertical="center"/>
    </xf>
    <xf numFmtId="164" fontId="2" fillId="15" borderId="13" xfId="0" applyNumberFormat="1" applyFont="1" applyFill="1" applyBorder="1" applyAlignment="1">
      <alignment horizontal="center" vertical="center"/>
    </xf>
    <xf numFmtId="164" fontId="2" fillId="15" borderId="9" xfId="0" applyNumberFormat="1" applyFont="1" applyFill="1" applyBorder="1" applyAlignment="1">
      <alignment horizontal="center" vertical="center"/>
    </xf>
    <xf numFmtId="164" fontId="2" fillId="7" borderId="85" xfId="0" applyNumberFormat="1" applyFont="1" applyFill="1" applyBorder="1" applyAlignment="1">
      <alignment horizontal="center" vertical="center"/>
    </xf>
    <xf numFmtId="164" fontId="2" fillId="3" borderId="85" xfId="0" applyNumberFormat="1" applyFont="1" applyFill="1" applyBorder="1" applyAlignment="1">
      <alignment horizontal="center" vertical="center"/>
    </xf>
    <xf numFmtId="0" fontId="10" fillId="5" borderId="74" xfId="0" applyFont="1" applyFill="1" applyBorder="1" applyAlignment="1">
      <alignment horizontal="center"/>
    </xf>
    <xf numFmtId="164" fontId="71" fillId="19" borderId="16" xfId="0" applyNumberFormat="1" applyFont="1" applyFill="1" applyBorder="1" applyAlignment="1">
      <alignment horizontal="center" vertical="center"/>
    </xf>
    <xf numFmtId="164" fontId="71" fillId="19" borderId="75" xfId="0" quotePrefix="1" applyNumberFormat="1" applyFont="1" applyFill="1" applyBorder="1" applyAlignment="1">
      <alignment horizontal="center" vertical="center"/>
    </xf>
    <xf numFmtId="164" fontId="71" fillId="19" borderId="77" xfId="0" quotePrefix="1" applyNumberFormat="1" applyFont="1" applyFill="1" applyBorder="1" applyAlignment="1">
      <alignment horizontal="center" vertical="center"/>
    </xf>
    <xf numFmtId="164" fontId="71" fillId="19" borderId="11" xfId="0" applyNumberFormat="1" applyFont="1" applyFill="1" applyBorder="1" applyAlignment="1">
      <alignment horizontal="center" vertical="center"/>
    </xf>
    <xf numFmtId="164" fontId="71" fillId="19" borderId="75" xfId="0" applyNumberFormat="1" applyFont="1" applyFill="1" applyBorder="1" applyAlignment="1">
      <alignment horizontal="center" vertical="center"/>
    </xf>
    <xf numFmtId="164" fontId="71" fillId="19" borderId="76" xfId="0" applyNumberFormat="1" applyFont="1" applyFill="1" applyBorder="1" applyAlignment="1">
      <alignment horizontal="center" vertical="center"/>
    </xf>
    <xf numFmtId="164" fontId="71" fillId="19" borderId="77" xfId="0" applyNumberFormat="1" applyFont="1" applyFill="1" applyBorder="1" applyAlignment="1">
      <alignment horizontal="center" vertical="center"/>
    </xf>
    <xf numFmtId="164" fontId="2" fillId="5" borderId="75" xfId="0" quotePrefix="1" applyNumberFormat="1" applyFont="1" applyFill="1" applyBorder="1" applyAlignment="1">
      <alignment horizontal="center" vertical="center"/>
    </xf>
    <xf numFmtId="164" fontId="2" fillId="5" borderId="77" xfId="0" quotePrefix="1" applyNumberFormat="1" applyFont="1" applyFill="1" applyBorder="1" applyAlignment="1">
      <alignment horizontal="center" vertical="center"/>
    </xf>
    <xf numFmtId="164" fontId="71" fillId="10" borderId="64" xfId="0" quotePrefix="1" applyNumberFormat="1" applyFont="1" applyFill="1" applyBorder="1" applyAlignment="1">
      <alignment horizontal="center" vertical="center"/>
    </xf>
    <xf numFmtId="164" fontId="71" fillId="10" borderId="66" xfId="0" quotePrefix="1" applyNumberFormat="1" applyFont="1" applyFill="1" applyBorder="1" applyAlignment="1">
      <alignment horizontal="center" vertical="center"/>
    </xf>
    <xf numFmtId="164" fontId="71" fillId="10" borderId="51" xfId="0" applyNumberFormat="1" applyFont="1" applyFill="1" applyBorder="1" applyAlignment="1">
      <alignment horizontal="center" vertical="center"/>
    </xf>
    <xf numFmtId="164" fontId="71" fillId="10" borderId="64" xfId="0" applyNumberFormat="1" applyFont="1" applyFill="1" applyBorder="1" applyAlignment="1">
      <alignment horizontal="center" vertical="center"/>
    </xf>
    <xf numFmtId="164" fontId="71" fillId="10" borderId="65" xfId="0" applyNumberFormat="1" applyFont="1" applyFill="1" applyBorder="1" applyAlignment="1">
      <alignment horizontal="center" vertical="center"/>
    </xf>
    <xf numFmtId="164" fontId="71" fillId="10" borderId="66" xfId="0" applyNumberFormat="1" applyFont="1" applyFill="1" applyBorder="1" applyAlignment="1">
      <alignment horizontal="center" vertical="center"/>
    </xf>
    <xf numFmtId="164" fontId="2" fillId="3" borderId="86" xfId="0" applyNumberFormat="1" applyFont="1" applyFill="1" applyBorder="1" applyAlignment="1">
      <alignment horizontal="center" vertical="center"/>
    </xf>
    <xf numFmtId="164" fontId="2" fillId="3" borderId="66" xfId="0" quotePrefix="1" applyNumberFormat="1" applyFont="1" applyFill="1" applyBorder="1" applyAlignment="1">
      <alignment horizontal="center" vertical="center"/>
    </xf>
    <xf numFmtId="164" fontId="71" fillId="19" borderId="78" xfId="0" applyNumberFormat="1" applyFont="1" applyFill="1" applyBorder="1" applyAlignment="1">
      <alignment horizontal="center" vertical="center"/>
    </xf>
    <xf numFmtId="0" fontId="10" fillId="5" borderId="74" xfId="0" applyFont="1" applyFill="1" applyBorder="1" applyAlignment="1">
      <alignment horizontal="center" vertical="center"/>
    </xf>
    <xf numFmtId="164" fontId="11" fillId="15" borderId="52" xfId="0" applyNumberFormat="1" applyFont="1" applyFill="1" applyBorder="1" applyAlignment="1">
      <alignment horizontal="center" vertical="center"/>
    </xf>
    <xf numFmtId="0" fontId="16" fillId="4" borderId="87" xfId="0" applyFont="1" applyFill="1" applyBorder="1" applyAlignment="1">
      <alignment horizontal="center" vertical="center"/>
    </xf>
    <xf numFmtId="1" fontId="54" fillId="4" borderId="88" xfId="0" applyNumberFormat="1" applyFont="1" applyFill="1" applyBorder="1" applyAlignment="1">
      <alignment horizontal="center" vertical="center"/>
    </xf>
    <xf numFmtId="0" fontId="16" fillId="4" borderId="89" xfId="0" applyFont="1" applyFill="1" applyBorder="1" applyAlignment="1">
      <alignment horizontal="center" vertical="center"/>
    </xf>
    <xf numFmtId="1" fontId="54" fillId="4" borderId="90" xfId="0" applyNumberFormat="1" applyFont="1" applyFill="1" applyBorder="1" applyAlignment="1">
      <alignment horizontal="center" vertical="center"/>
    </xf>
    <xf numFmtId="0" fontId="16" fillId="4" borderId="89" xfId="0" applyNumberFormat="1" applyFont="1" applyFill="1" applyBorder="1" applyAlignment="1">
      <alignment horizontal="center" vertical="center"/>
    </xf>
    <xf numFmtId="0" fontId="30" fillId="4" borderId="90" xfId="0" applyNumberFormat="1" applyFont="1" applyFill="1" applyBorder="1" applyAlignment="1">
      <alignment horizontal="center" vertical="center"/>
    </xf>
    <xf numFmtId="49" fontId="16" fillId="4" borderId="89" xfId="0" applyNumberFormat="1" applyFont="1" applyFill="1" applyBorder="1" applyAlignment="1">
      <alignment horizontal="center" vertical="center"/>
    </xf>
    <xf numFmtId="0" fontId="16" fillId="4" borderId="91" xfId="0" applyNumberFormat="1" applyFont="1" applyFill="1" applyBorder="1" applyAlignment="1">
      <alignment horizontal="center" vertical="center"/>
    </xf>
    <xf numFmtId="0" fontId="30" fillId="4" borderId="92" xfId="0" applyNumberFormat="1" applyFont="1" applyFill="1" applyBorder="1" applyAlignment="1">
      <alignment horizontal="center" vertical="center"/>
    </xf>
    <xf numFmtId="0" fontId="16" fillId="4" borderId="93" xfId="0" applyFont="1" applyFill="1" applyBorder="1" applyAlignment="1">
      <alignment horizontal="center" vertical="center"/>
    </xf>
    <xf numFmtId="0" fontId="16" fillId="4" borderId="94" xfId="0" applyFont="1" applyFill="1" applyBorder="1" applyAlignment="1">
      <alignment horizontal="center" vertical="center"/>
    </xf>
    <xf numFmtId="0" fontId="30" fillId="4" borderId="94" xfId="0" applyFont="1" applyFill="1" applyBorder="1" applyAlignment="1">
      <alignment horizontal="center" vertical="center"/>
    </xf>
    <xf numFmtId="0" fontId="16" fillId="4" borderId="95" xfId="0" applyFont="1" applyFill="1" applyBorder="1" applyAlignment="1">
      <alignment horizontal="center" vertical="center"/>
    </xf>
    <xf numFmtId="0" fontId="16" fillId="4" borderId="93" xfId="0" applyNumberFormat="1" applyFont="1" applyFill="1" applyBorder="1" applyAlignment="1">
      <alignment horizontal="center" vertical="center"/>
    </xf>
    <xf numFmtId="0" fontId="16" fillId="4" borderId="94" xfId="0" applyNumberFormat="1" applyFont="1" applyFill="1" applyBorder="1" applyAlignment="1">
      <alignment horizontal="center" vertical="center"/>
    </xf>
    <xf numFmtId="0" fontId="16" fillId="4" borderId="94" xfId="0" quotePrefix="1" applyNumberFormat="1" applyFont="1" applyFill="1" applyBorder="1" applyAlignment="1">
      <alignment horizontal="center" vertical="center"/>
    </xf>
    <xf numFmtId="0" fontId="16" fillId="4" borderId="95" xfId="0" applyNumberFormat="1" applyFont="1" applyFill="1" applyBorder="1" applyAlignment="1">
      <alignment horizontal="center" vertical="center"/>
    </xf>
    <xf numFmtId="0" fontId="38" fillId="5" borderId="93" xfId="0" applyFont="1" applyFill="1" applyBorder="1" applyAlignment="1">
      <alignment horizontal="center" vertical="center"/>
    </xf>
    <xf numFmtId="0" fontId="38" fillId="5" borderId="94" xfId="0" applyFont="1" applyFill="1" applyBorder="1" applyAlignment="1">
      <alignment horizontal="center" vertical="center"/>
    </xf>
    <xf numFmtId="166" fontId="16" fillId="4" borderId="94" xfId="0" applyNumberFormat="1" applyFont="1" applyFill="1" applyBorder="1" applyAlignment="1">
      <alignment horizontal="center" vertical="center"/>
    </xf>
    <xf numFmtId="166" fontId="16" fillId="4" borderId="9" xfId="0" applyNumberFormat="1" applyFont="1" applyFill="1" applyBorder="1" applyAlignment="1">
      <alignment horizontal="center" vertical="center"/>
    </xf>
    <xf numFmtId="0" fontId="16" fillId="4" borderId="91" xfId="0" applyFont="1" applyFill="1" applyBorder="1" applyAlignment="1">
      <alignment horizontal="center" vertical="center"/>
    </xf>
    <xf numFmtId="166" fontId="16" fillId="4" borderId="95" xfId="0" applyNumberFormat="1" applyFont="1" applyFill="1" applyBorder="1" applyAlignment="1">
      <alignment horizontal="center" vertical="center"/>
    </xf>
    <xf numFmtId="0" fontId="38" fillId="5" borderId="95" xfId="0" applyFont="1" applyFill="1" applyBorder="1" applyAlignment="1">
      <alignment horizontal="center" vertical="center"/>
    </xf>
    <xf numFmtId="1" fontId="54" fillId="4" borderId="93" xfId="0" applyNumberFormat="1" applyFont="1" applyFill="1" applyBorder="1" applyAlignment="1">
      <alignment horizontal="center" vertical="center"/>
    </xf>
    <xf numFmtId="1" fontId="54" fillId="4" borderId="95" xfId="0" applyNumberFormat="1" applyFont="1" applyFill="1" applyBorder="1" applyAlignment="1">
      <alignment horizontal="center" vertical="center"/>
    </xf>
    <xf numFmtId="1" fontId="54" fillId="4" borderId="94" xfId="0" applyNumberFormat="1" applyFont="1" applyFill="1" applyBorder="1" applyAlignment="1">
      <alignment horizontal="center" vertical="center"/>
    </xf>
    <xf numFmtId="0" fontId="48" fillId="4" borderId="94" xfId="0" applyNumberFormat="1" applyFont="1" applyFill="1" applyBorder="1" applyAlignment="1">
      <alignment horizontal="center" vertical="center"/>
    </xf>
    <xf numFmtId="0" fontId="48" fillId="4" borderId="95" xfId="0" applyNumberFormat="1" applyFont="1" applyFill="1" applyBorder="1" applyAlignment="1">
      <alignment horizontal="center" vertical="center"/>
    </xf>
    <xf numFmtId="11" fontId="16" fillId="4" borderId="93" xfId="0" applyNumberFormat="1" applyFont="1" applyFill="1" applyBorder="1" applyAlignment="1">
      <alignment horizontal="center" vertical="center"/>
    </xf>
    <xf numFmtId="11" fontId="16" fillId="4" borderId="94" xfId="0" applyNumberFormat="1" applyFont="1" applyFill="1" applyBorder="1" applyAlignment="1">
      <alignment horizontal="center" vertical="center"/>
    </xf>
    <xf numFmtId="164" fontId="16" fillId="4" borderId="94" xfId="0" applyNumberFormat="1" applyFont="1" applyFill="1" applyBorder="1" applyAlignment="1">
      <alignment horizontal="center" vertical="center"/>
    </xf>
    <xf numFmtId="164" fontId="16" fillId="4" borderId="95" xfId="0" applyNumberFormat="1" applyFont="1" applyFill="1" applyBorder="1" applyAlignment="1">
      <alignment horizontal="center" vertical="center"/>
    </xf>
    <xf numFmtId="0" fontId="16" fillId="4" borderId="96" xfId="0" applyFont="1" applyFill="1" applyBorder="1" applyAlignment="1">
      <alignment horizontal="center" vertical="center"/>
    </xf>
    <xf numFmtId="164" fontId="16" fillId="4" borderId="94" xfId="0" quotePrefix="1" applyNumberFormat="1" applyFont="1" applyFill="1" applyBorder="1" applyAlignment="1">
      <alignment horizontal="center" vertical="center"/>
    </xf>
    <xf numFmtId="0" fontId="38" fillId="5" borderId="96" xfId="0" applyFont="1" applyFill="1" applyBorder="1" applyAlignment="1">
      <alignment horizontal="center" vertical="center"/>
    </xf>
    <xf numFmtId="0" fontId="0" fillId="4" borderId="93" xfId="0" applyNumberFormat="1" applyFill="1" applyBorder="1" applyAlignment="1">
      <alignment horizontal="center" vertical="center"/>
    </xf>
    <xf numFmtId="0" fontId="0" fillId="4" borderId="94" xfId="0" applyNumberFormat="1" applyFill="1" applyBorder="1" applyAlignment="1">
      <alignment horizontal="center" vertical="center"/>
    </xf>
    <xf numFmtId="11" fontId="16" fillId="4" borderId="95" xfId="0" applyNumberFormat="1" applyFont="1" applyFill="1" applyBorder="1" applyAlignment="1">
      <alignment horizontal="center" vertical="center"/>
    </xf>
    <xf numFmtId="164" fontId="3" fillId="4" borderId="55" xfId="0" applyNumberFormat="1" applyFont="1" applyFill="1" applyBorder="1" applyAlignment="1">
      <alignment horizontal="center" vertical="center"/>
    </xf>
    <xf numFmtId="164" fontId="4" fillId="5" borderId="76" xfId="0" applyNumberFormat="1" applyFont="1" applyFill="1" applyBorder="1" applyAlignment="1">
      <alignment horizontal="right"/>
    </xf>
    <xf numFmtId="0" fontId="0" fillId="5" borderId="76" xfId="0" applyFill="1" applyBorder="1"/>
    <xf numFmtId="2" fontId="4" fillId="5" borderId="77" xfId="0" applyNumberFormat="1" applyFont="1" applyFill="1" applyBorder="1" applyAlignment="1">
      <alignment horizontal="center"/>
    </xf>
    <xf numFmtId="0" fontId="58" fillId="3" borderId="44" xfId="0" applyNumberFormat="1" applyFont="1" applyFill="1" applyBorder="1" applyAlignment="1">
      <alignment horizontal="center" vertical="center"/>
    </xf>
    <xf numFmtId="0" fontId="8" fillId="3" borderId="9" xfId="0" applyNumberFormat="1" applyFont="1" applyFill="1" applyBorder="1" applyAlignment="1">
      <alignment horizontal="center" vertical="center"/>
    </xf>
    <xf numFmtId="165" fontId="1" fillId="0" borderId="0" xfId="0" applyNumberFormat="1" applyFont="1"/>
    <xf numFmtId="165" fontId="1" fillId="4" borderId="2" xfId="0" applyNumberFormat="1" applyFont="1" applyFill="1" applyBorder="1" applyAlignment="1">
      <alignment horizontal="center" vertical="center"/>
    </xf>
    <xf numFmtId="165" fontId="4" fillId="4" borderId="0" xfId="0" applyNumberFormat="1" applyFont="1" applyFill="1" applyAlignment="1">
      <alignment horizontal="center" vertical="center"/>
    </xf>
    <xf numFmtId="165" fontId="4" fillId="4" borderId="53" xfId="0" applyNumberFormat="1" applyFont="1" applyFill="1" applyBorder="1" applyAlignment="1">
      <alignment horizontal="center" vertical="center"/>
    </xf>
    <xf numFmtId="165" fontId="4" fillId="4" borderId="44" xfId="0" applyNumberFormat="1" applyFont="1" applyFill="1" applyBorder="1" applyAlignment="1">
      <alignment horizontal="center" vertical="center"/>
    </xf>
    <xf numFmtId="165" fontId="4" fillId="4" borderId="0" xfId="0" applyNumberFormat="1" applyFont="1" applyFill="1" applyBorder="1" applyAlignment="1">
      <alignment horizontal="center" vertical="center"/>
    </xf>
    <xf numFmtId="165" fontId="4" fillId="4" borderId="45" xfId="0" applyNumberFormat="1" applyFont="1" applyFill="1" applyBorder="1" applyAlignment="1">
      <alignment horizontal="center" vertical="center"/>
    </xf>
    <xf numFmtId="165" fontId="4" fillId="4" borderId="9" xfId="0" applyNumberFormat="1" applyFont="1" applyFill="1" applyBorder="1" applyAlignment="1">
      <alignment horizontal="center" vertical="center"/>
    </xf>
    <xf numFmtId="165" fontId="4" fillId="4" borderId="12" xfId="0" applyNumberFormat="1" applyFont="1" applyFill="1" applyBorder="1" applyAlignment="1">
      <alignment horizontal="center" vertical="center"/>
    </xf>
    <xf numFmtId="165" fontId="2" fillId="4" borderId="1" xfId="0" applyNumberFormat="1" applyFont="1" applyFill="1" applyBorder="1" applyAlignment="1">
      <alignment horizontal="center" vertical="center"/>
    </xf>
    <xf numFmtId="165" fontId="2" fillId="4" borderId="62" xfId="0" applyNumberFormat="1" applyFont="1" applyFill="1" applyBorder="1" applyAlignment="1">
      <alignment horizontal="center" vertical="center"/>
    </xf>
    <xf numFmtId="165" fontId="2" fillId="5" borderId="76" xfId="0" applyNumberFormat="1" applyFont="1" applyFill="1" applyBorder="1" applyAlignment="1">
      <alignment horizontal="center" vertical="center"/>
    </xf>
    <xf numFmtId="165" fontId="2" fillId="4" borderId="65" xfId="0" applyNumberFormat="1" applyFont="1" applyFill="1" applyBorder="1" applyAlignment="1">
      <alignment horizontal="center" vertical="center"/>
    </xf>
    <xf numFmtId="165" fontId="16" fillId="0" borderId="0" xfId="0" applyNumberFormat="1" applyFont="1"/>
    <xf numFmtId="1" fontId="1" fillId="0" borderId="0" xfId="0" applyNumberFormat="1" applyFont="1"/>
    <xf numFmtId="1" fontId="1" fillId="4" borderId="55" xfId="0" applyNumberFormat="1" applyFont="1" applyFill="1" applyBorder="1" applyAlignment="1">
      <alignment horizontal="center" vertical="center"/>
    </xf>
    <xf numFmtId="1" fontId="4" fillId="4" borderId="44" xfId="0" applyNumberFormat="1" applyFont="1" applyFill="1" applyBorder="1" applyAlignment="1">
      <alignment horizontal="center" vertical="center"/>
    </xf>
    <xf numFmtId="1" fontId="2" fillId="4" borderId="1" xfId="0" applyNumberFormat="1" applyFont="1" applyFill="1" applyBorder="1" applyAlignment="1">
      <alignment horizontal="center" vertical="center"/>
    </xf>
    <xf numFmtId="1" fontId="2" fillId="4" borderId="62" xfId="0" applyNumberFormat="1" applyFont="1" applyFill="1" applyBorder="1" applyAlignment="1">
      <alignment horizontal="center" vertical="center"/>
    </xf>
    <xf numFmtId="1" fontId="2" fillId="5" borderId="76" xfId="0" applyNumberFormat="1" applyFont="1" applyFill="1" applyBorder="1" applyAlignment="1">
      <alignment horizontal="center" vertical="center"/>
    </xf>
    <xf numFmtId="1" fontId="2" fillId="4" borderId="65" xfId="0" applyNumberFormat="1" applyFont="1" applyFill="1" applyBorder="1" applyAlignment="1">
      <alignment horizontal="center" vertical="center"/>
    </xf>
    <xf numFmtId="1" fontId="16" fillId="0" borderId="0" xfId="0" applyNumberFormat="1" applyFont="1"/>
    <xf numFmtId="11" fontId="1" fillId="0" borderId="0" xfId="0" applyNumberFormat="1" applyFont="1"/>
    <xf numFmtId="11" fontId="1" fillId="4" borderId="55" xfId="0" applyNumberFormat="1" applyFont="1" applyFill="1" applyBorder="1" applyAlignment="1">
      <alignment horizontal="center" vertical="center"/>
    </xf>
    <xf numFmtId="11" fontId="4" fillId="4" borderId="53" xfId="0" applyNumberFormat="1" applyFont="1" applyFill="1" applyBorder="1" applyAlignment="1">
      <alignment horizontal="center" vertical="center"/>
    </xf>
    <xf numFmtId="11" fontId="2" fillId="4" borderId="1" xfId="0" applyNumberFormat="1" applyFont="1" applyFill="1" applyBorder="1" applyAlignment="1">
      <alignment horizontal="center" vertical="center"/>
    </xf>
    <xf numFmtId="11" fontId="2" fillId="4" borderId="62" xfId="0" applyNumberFormat="1" applyFont="1" applyFill="1" applyBorder="1" applyAlignment="1">
      <alignment horizontal="center" vertical="center"/>
    </xf>
    <xf numFmtId="11" fontId="2" fillId="4" borderId="65" xfId="0" applyNumberFormat="1" applyFont="1" applyFill="1" applyBorder="1" applyAlignment="1">
      <alignment horizontal="center" vertical="center"/>
    </xf>
    <xf numFmtId="11" fontId="16" fillId="0" borderId="0" xfId="0" applyNumberFormat="1" applyFont="1"/>
    <xf numFmtId="0" fontId="4" fillId="9" borderId="48" xfId="0" applyFont="1" applyFill="1" applyBorder="1" applyAlignment="1">
      <alignment horizontal="center"/>
    </xf>
    <xf numFmtId="0" fontId="4" fillId="0" borderId="0" xfId="0" applyFont="1" applyFill="1"/>
    <xf numFmtId="11" fontId="4" fillId="9" borderId="48" xfId="0" applyNumberFormat="1" applyFont="1" applyFill="1" applyBorder="1" applyAlignment="1">
      <alignment horizontal="center"/>
    </xf>
    <xf numFmtId="11" fontId="4" fillId="0" borderId="0" xfId="0" applyNumberFormat="1" applyFont="1" applyFill="1" applyAlignment="1">
      <alignment horizontal="right"/>
    </xf>
    <xf numFmtId="1" fontId="4" fillId="0" borderId="0" xfId="0" applyNumberFormat="1" applyFont="1"/>
    <xf numFmtId="165" fontId="4" fillId="0" borderId="0" xfId="0" applyNumberFormat="1" applyFont="1"/>
    <xf numFmtId="11" fontId="4" fillId="0" borderId="0" xfId="0" applyNumberFormat="1" applyFont="1"/>
    <xf numFmtId="0" fontId="7" fillId="0" borderId="0" xfId="0" applyFont="1"/>
    <xf numFmtId="0" fontId="76" fillId="0" borderId="0" xfId="0" applyFont="1" applyAlignment="1">
      <alignment horizontal="right"/>
    </xf>
    <xf numFmtId="0" fontId="76" fillId="0" borderId="97" xfId="0" applyFont="1" applyBorder="1" applyAlignment="1">
      <alignment horizontal="left"/>
    </xf>
    <xf numFmtId="0" fontId="4" fillId="0" borderId="98" xfId="0" applyFont="1" applyBorder="1"/>
    <xf numFmtId="0" fontId="4" fillId="0" borderId="99" xfId="0" applyFont="1" applyBorder="1"/>
    <xf numFmtId="0" fontId="4" fillId="0" borderId="100" xfId="0" applyFont="1" applyBorder="1"/>
    <xf numFmtId="0" fontId="4" fillId="0" borderId="101" xfId="0" applyFont="1" applyBorder="1"/>
    <xf numFmtId="0" fontId="4" fillId="5" borderId="1" xfId="0" applyNumberFormat="1" applyFont="1" applyFill="1" applyBorder="1" applyAlignment="1">
      <alignment horizontal="center"/>
    </xf>
    <xf numFmtId="0" fontId="4" fillId="5" borderId="59" xfId="0" applyNumberFormat="1" applyFont="1" applyFill="1" applyBorder="1" applyAlignment="1">
      <alignment horizontal="center"/>
    </xf>
    <xf numFmtId="164" fontId="2" fillId="9" borderId="80" xfId="0" applyNumberFormat="1" applyFont="1" applyFill="1" applyBorder="1" applyAlignment="1">
      <alignment horizontal="center" vertical="center"/>
    </xf>
    <xf numFmtId="1" fontId="2" fillId="4" borderId="80" xfId="0" applyNumberFormat="1" applyFont="1" applyFill="1" applyBorder="1" applyAlignment="1">
      <alignment horizontal="center" vertical="center"/>
    </xf>
    <xf numFmtId="11" fontId="2" fillId="4" borderId="80" xfId="0" applyNumberFormat="1" applyFont="1" applyFill="1" applyBorder="1" applyAlignment="1">
      <alignment horizontal="center" vertical="center"/>
    </xf>
    <xf numFmtId="0" fontId="4" fillId="5" borderId="80" xfId="0" applyNumberFormat="1" applyFont="1" applyFill="1" applyBorder="1" applyAlignment="1">
      <alignment horizontal="center"/>
    </xf>
    <xf numFmtId="0" fontId="4" fillId="5" borderId="102" xfId="0" applyNumberFormat="1" applyFont="1" applyFill="1" applyBorder="1" applyAlignment="1">
      <alignment horizontal="center"/>
    </xf>
    <xf numFmtId="164" fontId="2" fillId="5" borderId="46" xfId="0" applyNumberFormat="1" applyFont="1" applyFill="1" applyBorder="1" applyAlignment="1">
      <alignment horizontal="center" vertical="center"/>
    </xf>
    <xf numFmtId="164" fontId="2" fillId="5" borderId="16" xfId="0" applyNumberFormat="1" applyFont="1" applyFill="1" applyBorder="1" applyAlignment="1">
      <alignment horizontal="center" vertical="center"/>
    </xf>
    <xf numFmtId="164" fontId="2" fillId="5" borderId="18" xfId="0" applyNumberFormat="1" applyFont="1" applyFill="1" applyBorder="1" applyAlignment="1">
      <alignment horizontal="center" vertical="center"/>
    </xf>
    <xf numFmtId="171" fontId="2" fillId="5" borderId="18" xfId="0" applyNumberFormat="1" applyFont="1" applyFill="1" applyBorder="1" applyAlignment="1">
      <alignment horizontal="center" vertical="center"/>
    </xf>
    <xf numFmtId="164" fontId="2" fillId="18" borderId="45" xfId="0" applyNumberFormat="1" applyFont="1" applyFill="1" applyBorder="1" applyAlignment="1">
      <alignment horizontal="center" vertical="center"/>
    </xf>
    <xf numFmtId="164" fontId="2" fillId="18" borderId="22" xfId="0" applyNumberFormat="1" applyFont="1" applyFill="1" applyBorder="1" applyAlignment="1">
      <alignment horizontal="center" vertical="center"/>
    </xf>
    <xf numFmtId="0" fontId="4" fillId="3" borderId="67" xfId="0" applyFont="1" applyFill="1" applyBorder="1"/>
    <xf numFmtId="0" fontId="46" fillId="3" borderId="44" xfId="0" quotePrefix="1" applyNumberFormat="1" applyFont="1" applyFill="1" applyBorder="1" applyAlignment="1">
      <alignment horizontal="center" vertical="center"/>
    </xf>
    <xf numFmtId="0" fontId="70" fillId="3" borderId="12" xfId="0" applyNumberFormat="1" applyFont="1" applyFill="1" applyBorder="1" applyAlignment="1">
      <alignment horizontal="center" vertical="center"/>
    </xf>
    <xf numFmtId="0" fontId="70" fillId="3" borderId="9" xfId="0" applyNumberFormat="1" applyFont="1" applyFill="1" applyBorder="1" applyAlignment="1">
      <alignment horizontal="center" vertical="center"/>
    </xf>
    <xf numFmtId="0" fontId="70" fillId="3" borderId="13" xfId="0" applyNumberFormat="1" applyFont="1" applyFill="1" applyBorder="1" applyAlignment="1">
      <alignment horizontal="center" vertical="center"/>
    </xf>
    <xf numFmtId="11" fontId="2" fillId="7" borderId="9" xfId="0" applyNumberFormat="1" applyFont="1" applyFill="1" applyBorder="1" applyAlignment="1">
      <alignment horizontal="center" vertical="center"/>
    </xf>
    <xf numFmtId="164" fontId="2" fillId="7" borderId="9" xfId="0" applyNumberFormat="1" applyFont="1" applyFill="1" applyBorder="1" applyAlignment="1">
      <alignment horizontal="center" vertical="center"/>
    </xf>
    <xf numFmtId="171" fontId="2" fillId="7" borderId="53" xfId="0" applyNumberFormat="1" applyFont="1" applyFill="1" applyBorder="1" applyAlignment="1">
      <alignment horizontal="center" vertical="center"/>
    </xf>
    <xf numFmtId="0" fontId="58" fillId="3" borderId="9" xfId="0" applyFont="1" applyFill="1" applyBorder="1" applyAlignment="1">
      <alignment horizontal="center" vertical="center"/>
    </xf>
    <xf numFmtId="164" fontId="2" fillId="7" borderId="15" xfId="0" applyNumberFormat="1" applyFont="1" applyFill="1" applyBorder="1" applyAlignment="1">
      <alignment horizontal="center" vertical="center"/>
    </xf>
    <xf numFmtId="164" fontId="2" fillId="7" borderId="103" xfId="0" applyNumberFormat="1" applyFont="1" applyFill="1" applyBorder="1" applyAlignment="1">
      <alignment horizontal="center" vertical="center"/>
    </xf>
    <xf numFmtId="164" fontId="2" fillId="5" borderId="104" xfId="0" applyNumberFormat="1" applyFont="1" applyFill="1" applyBorder="1" applyAlignment="1">
      <alignment horizontal="center" vertical="center"/>
    </xf>
    <xf numFmtId="0" fontId="4" fillId="9" borderId="0" xfId="0" applyFont="1" applyFill="1" applyBorder="1" applyAlignment="1">
      <alignment horizontal="center" vertical="center"/>
    </xf>
    <xf numFmtId="164" fontId="2" fillId="9" borderId="71" xfId="0" applyNumberFormat="1" applyFont="1" applyFill="1" applyBorder="1" applyAlignment="1">
      <alignment horizontal="center" vertical="center"/>
    </xf>
    <xf numFmtId="164" fontId="2" fillId="9" borderId="105" xfId="0" applyNumberFormat="1" applyFont="1" applyFill="1" applyBorder="1" applyAlignment="1">
      <alignment horizontal="center" vertical="center"/>
    </xf>
    <xf numFmtId="164" fontId="2" fillId="9" borderId="86" xfId="0" applyNumberFormat="1" applyFont="1" applyFill="1" applyBorder="1" applyAlignment="1">
      <alignment horizontal="center" vertical="center"/>
    </xf>
    <xf numFmtId="164" fontId="2" fillId="5" borderId="106" xfId="0" applyNumberFormat="1" applyFont="1" applyFill="1" applyBorder="1" applyAlignment="1">
      <alignment horizontal="center" vertical="center"/>
    </xf>
    <xf numFmtId="11" fontId="4" fillId="9" borderId="15" xfId="0" applyNumberFormat="1" applyFont="1" applyFill="1" applyBorder="1" applyAlignment="1">
      <alignment horizontal="center"/>
    </xf>
    <xf numFmtId="166" fontId="2" fillId="9" borderId="1" xfId="0" applyNumberFormat="1" applyFont="1" applyFill="1" applyBorder="1" applyAlignment="1">
      <alignment horizontal="center" vertical="center"/>
    </xf>
    <xf numFmtId="166" fontId="2" fillId="9" borderId="59" xfId="0" applyNumberFormat="1" applyFont="1" applyFill="1" applyBorder="1" applyAlignment="1">
      <alignment horizontal="center" vertical="center"/>
    </xf>
    <xf numFmtId="164" fontId="4" fillId="9" borderId="58" xfId="0" applyNumberFormat="1" applyFont="1" applyFill="1" applyBorder="1" applyAlignment="1">
      <alignment horizontal="center" vertical="center"/>
    </xf>
    <xf numFmtId="0" fontId="3" fillId="9" borderId="50" xfId="0" applyFont="1" applyFill="1" applyBorder="1" applyAlignment="1">
      <alignment horizontal="center" vertical="center"/>
    </xf>
    <xf numFmtId="1" fontId="4" fillId="9" borderId="58" xfId="0" applyNumberFormat="1" applyFont="1" applyFill="1" applyBorder="1" applyAlignment="1">
      <alignment horizontal="center" vertical="center"/>
    </xf>
    <xf numFmtId="165" fontId="2" fillId="4" borderId="80" xfId="0" applyNumberFormat="1" applyFont="1" applyFill="1" applyBorder="1" applyAlignment="1">
      <alignment horizontal="center" vertical="center"/>
    </xf>
    <xf numFmtId="164" fontId="2" fillId="4" borderId="102" xfId="0" applyNumberFormat="1" applyFont="1" applyFill="1" applyBorder="1" applyAlignment="1">
      <alignment horizontal="center" vertical="center"/>
    </xf>
    <xf numFmtId="0" fontId="4" fillId="3" borderId="107" xfId="0" applyFont="1" applyFill="1" applyBorder="1" applyAlignment="1">
      <alignment vertical="center"/>
    </xf>
    <xf numFmtId="164" fontId="2" fillId="15" borderId="108" xfId="0" applyNumberFormat="1" applyFont="1" applyFill="1" applyBorder="1" applyAlignment="1">
      <alignment horizontal="center" vertical="center"/>
    </xf>
    <xf numFmtId="164" fontId="2" fillId="15" borderId="109" xfId="0" applyNumberFormat="1" applyFont="1" applyFill="1" applyBorder="1" applyAlignment="1">
      <alignment horizontal="center" vertical="center"/>
    </xf>
    <xf numFmtId="164" fontId="2" fillId="4" borderId="110" xfId="0" applyNumberFormat="1" applyFont="1" applyFill="1" applyBorder="1" applyAlignment="1">
      <alignment horizontal="center" vertical="center"/>
    </xf>
    <xf numFmtId="164" fontId="2" fillId="4" borderId="111" xfId="0" applyNumberFormat="1" applyFont="1" applyFill="1" applyBorder="1" applyAlignment="1">
      <alignment horizontal="center" vertical="center"/>
    </xf>
    <xf numFmtId="1" fontId="2" fillId="4" borderId="111" xfId="0" applyNumberFormat="1" applyFont="1" applyFill="1" applyBorder="1" applyAlignment="1">
      <alignment horizontal="center" vertical="center"/>
    </xf>
    <xf numFmtId="165" fontId="2" fillId="4" borderId="111" xfId="0" applyNumberFormat="1" applyFont="1" applyFill="1" applyBorder="1" applyAlignment="1">
      <alignment horizontal="center" vertical="center"/>
    </xf>
    <xf numFmtId="11" fontId="2" fillId="4" borderId="111" xfId="0" applyNumberFormat="1" applyFont="1" applyFill="1" applyBorder="1" applyAlignment="1">
      <alignment horizontal="center" vertical="center"/>
    </xf>
    <xf numFmtId="0" fontId="4" fillId="0" borderId="112" xfId="0" applyFont="1" applyFill="1" applyBorder="1"/>
    <xf numFmtId="164" fontId="2" fillId="9" borderId="10" xfId="0" applyNumberFormat="1" applyFont="1" applyFill="1" applyBorder="1" applyAlignment="1">
      <alignment horizontal="center" vertical="center"/>
    </xf>
    <xf numFmtId="164" fontId="2" fillId="9" borderId="73" xfId="0" applyNumberFormat="1" applyFont="1" applyFill="1" applyBorder="1" applyAlignment="1">
      <alignment horizontal="center" vertical="center"/>
    </xf>
    <xf numFmtId="0" fontId="4" fillId="9" borderId="10" xfId="0" applyFont="1" applyFill="1" applyBorder="1" applyAlignment="1">
      <alignment horizontal="center"/>
    </xf>
    <xf numFmtId="0" fontId="4" fillId="9" borderId="67" xfId="0" applyFont="1" applyFill="1" applyBorder="1" applyAlignment="1">
      <alignment horizontal="center"/>
    </xf>
    <xf numFmtId="0" fontId="4" fillId="9" borderId="107" xfId="0" applyFont="1" applyFill="1" applyBorder="1" applyAlignment="1">
      <alignment horizontal="center"/>
    </xf>
    <xf numFmtId="167" fontId="2" fillId="9" borderId="10" xfId="0" applyNumberFormat="1" applyFont="1" applyFill="1" applyBorder="1" applyAlignment="1">
      <alignment horizontal="center" vertical="center"/>
    </xf>
    <xf numFmtId="1" fontId="2" fillId="9" borderId="73" xfId="0" applyNumberFormat="1" applyFont="1" applyFill="1" applyBorder="1" applyAlignment="1">
      <alignment horizontal="center" vertical="center"/>
    </xf>
    <xf numFmtId="165" fontId="2" fillId="9" borderId="10" xfId="0" applyNumberFormat="1" applyFont="1" applyFill="1" applyBorder="1" applyAlignment="1">
      <alignment horizontal="center" vertical="center"/>
    </xf>
    <xf numFmtId="1" fontId="2" fillId="9" borderId="10" xfId="0" applyNumberFormat="1" applyFont="1" applyFill="1" applyBorder="1" applyAlignment="1">
      <alignment horizontal="center" vertical="center"/>
    </xf>
    <xf numFmtId="1" fontId="4" fillId="9" borderId="10" xfId="0" applyNumberFormat="1" applyFont="1" applyFill="1" applyBorder="1" applyAlignment="1">
      <alignment horizontal="center"/>
    </xf>
    <xf numFmtId="0" fontId="4" fillId="9" borderId="12" xfId="0" applyFont="1" applyFill="1" applyBorder="1" applyAlignment="1">
      <alignment horizontal="center" vertical="center"/>
    </xf>
    <xf numFmtId="0" fontId="3" fillId="9" borderId="56" xfId="0" applyFont="1" applyFill="1" applyBorder="1" applyAlignment="1">
      <alignment horizontal="center"/>
    </xf>
    <xf numFmtId="0" fontId="3" fillId="9" borderId="52" xfId="0" applyFont="1" applyFill="1" applyBorder="1" applyAlignment="1">
      <alignment horizontal="center"/>
    </xf>
    <xf numFmtId="0" fontId="4" fillId="9" borderId="49" xfId="0" applyFont="1" applyFill="1" applyBorder="1" applyAlignment="1">
      <alignment horizontal="center" vertical="center"/>
    </xf>
    <xf numFmtId="0" fontId="4" fillId="9" borderId="53" xfId="0" applyFont="1" applyFill="1" applyBorder="1" applyAlignment="1">
      <alignment horizontal="center" vertical="center"/>
    </xf>
    <xf numFmtId="0" fontId="4" fillId="7" borderId="22" xfId="0" applyNumberFormat="1" applyFont="1" applyFill="1" applyBorder="1" applyAlignment="1">
      <alignment horizontal="center"/>
    </xf>
    <xf numFmtId="0" fontId="16" fillId="7" borderId="22" xfId="0" applyNumberFormat="1" applyFont="1" applyFill="1" applyBorder="1" applyAlignment="1">
      <alignment horizontal="center"/>
    </xf>
    <xf numFmtId="0" fontId="4" fillId="7" borderId="13" xfId="0" applyNumberFormat="1" applyFont="1" applyFill="1" applyBorder="1" applyAlignment="1">
      <alignment horizontal="center"/>
    </xf>
    <xf numFmtId="164" fontId="2" fillId="0" borderId="0" xfId="0" quotePrefix="1" applyNumberFormat="1" applyFont="1" applyFill="1" applyBorder="1" applyAlignment="1">
      <alignment horizontal="left"/>
    </xf>
    <xf numFmtId="164" fontId="2" fillId="0" borderId="0" xfId="0" applyNumberFormat="1" applyFont="1" applyFill="1" applyBorder="1" applyAlignment="1">
      <alignment horizontal="left"/>
    </xf>
    <xf numFmtId="164" fontId="2" fillId="7" borderId="16" xfId="0" applyNumberFormat="1" applyFont="1" applyFill="1" applyBorder="1" applyAlignment="1">
      <alignment horizontal="center"/>
    </xf>
    <xf numFmtId="164" fontId="2" fillId="7" borderId="113" xfId="0" applyNumberFormat="1" applyFont="1" applyFill="1" applyBorder="1" applyAlignment="1">
      <alignment horizontal="center"/>
    </xf>
    <xf numFmtId="164" fontId="2" fillId="7" borderId="51" xfId="0" applyNumberFormat="1" applyFont="1" applyFill="1" applyBorder="1" applyAlignment="1">
      <alignment horizontal="center"/>
    </xf>
    <xf numFmtId="166" fontId="2" fillId="4" borderId="1" xfId="0" applyNumberFormat="1" applyFont="1" applyFill="1" applyBorder="1" applyAlignment="1">
      <alignment horizontal="center" vertical="center"/>
    </xf>
    <xf numFmtId="2" fontId="2" fillId="4" borderId="80" xfId="0" applyNumberFormat="1" applyFont="1" applyFill="1" applyBorder="1" applyAlignment="1">
      <alignment horizontal="center" vertical="center"/>
    </xf>
    <xf numFmtId="166" fontId="2" fillId="4" borderId="80" xfId="0" applyNumberFormat="1" applyFont="1" applyFill="1" applyBorder="1" applyAlignment="1">
      <alignment horizontal="center" vertical="center"/>
    </xf>
    <xf numFmtId="0" fontId="2" fillId="7" borderId="53" xfId="0" applyNumberFormat="1" applyFont="1" applyFill="1" applyBorder="1" applyAlignment="1">
      <alignment horizontal="center" vertical="center"/>
    </xf>
    <xf numFmtId="0" fontId="2" fillId="7" borderId="44" xfId="0" applyNumberFormat="1" applyFont="1" applyFill="1" applyBorder="1" applyAlignment="1">
      <alignment horizontal="center" vertical="center"/>
    </xf>
    <xf numFmtId="0" fontId="2" fillId="7" borderId="49" xfId="0" applyNumberFormat="1" applyFont="1" applyFill="1" applyBorder="1" applyAlignment="1">
      <alignment horizontal="center" vertical="center"/>
    </xf>
    <xf numFmtId="0" fontId="43" fillId="4" borderId="94" xfId="0" applyFont="1" applyFill="1" applyBorder="1" applyAlignment="1">
      <alignment horizontal="center" vertical="center"/>
    </xf>
    <xf numFmtId="0" fontId="2" fillId="4" borderId="53" xfId="0" applyNumberFormat="1" applyFont="1" applyFill="1" applyBorder="1" applyAlignment="1">
      <alignment horizontal="center" vertical="center"/>
    </xf>
    <xf numFmtId="164" fontId="2" fillId="5" borderId="114" xfId="0" applyNumberFormat="1" applyFont="1" applyFill="1" applyBorder="1" applyAlignment="1">
      <alignment horizontal="center" vertical="center"/>
    </xf>
    <xf numFmtId="1" fontId="42" fillId="0" borderId="0" xfId="0" applyNumberFormat="1" applyFont="1" applyFill="1" applyBorder="1" applyAlignment="1">
      <alignment horizontal="right"/>
    </xf>
    <xf numFmtId="0" fontId="16" fillId="2" borderId="6" xfId="0" applyFont="1" applyFill="1" applyBorder="1" applyAlignment="1">
      <alignment horizontal="center"/>
    </xf>
    <xf numFmtId="0" fontId="16" fillId="2" borderId="30" xfId="0" applyFont="1" applyFill="1" applyBorder="1" applyAlignment="1">
      <alignment horizontal="center"/>
    </xf>
    <xf numFmtId="0" fontId="11" fillId="2" borderId="115" xfId="0" applyFont="1" applyFill="1" applyBorder="1"/>
    <xf numFmtId="0" fontId="16" fillId="2" borderId="116" xfId="0" applyNumberFormat="1" applyFont="1" applyFill="1" applyBorder="1"/>
    <xf numFmtId="0" fontId="16" fillId="5" borderId="31" xfId="0" applyFont="1" applyFill="1" applyBorder="1" applyAlignment="1">
      <alignment horizontal="center" vertical="center"/>
    </xf>
    <xf numFmtId="0" fontId="16" fillId="2" borderId="117" xfId="0" applyFont="1" applyFill="1" applyBorder="1" applyAlignment="1">
      <alignment horizontal="center"/>
    </xf>
    <xf numFmtId="0" fontId="16" fillId="2" borderId="118" xfId="0" applyFont="1" applyFill="1" applyBorder="1" applyAlignment="1">
      <alignment horizontal="center"/>
    </xf>
    <xf numFmtId="0" fontId="16" fillId="2" borderId="119" xfId="0" applyFont="1" applyFill="1" applyBorder="1" applyAlignment="1">
      <alignment horizontal="left"/>
    </xf>
    <xf numFmtId="0" fontId="16" fillId="2" borderId="120" xfId="0" applyFont="1" applyFill="1" applyBorder="1" applyAlignment="1">
      <alignment horizontal="center"/>
    </xf>
    <xf numFmtId="0" fontId="16" fillId="2" borderId="117" xfId="0" applyFont="1" applyFill="1" applyBorder="1" applyAlignment="1">
      <alignment horizontal="left"/>
    </xf>
    <xf numFmtId="0" fontId="11" fillId="2" borderId="37" xfId="0" applyNumberFormat="1" applyFont="1" applyFill="1" applyBorder="1" applyAlignment="1">
      <alignment horizontal="center"/>
    </xf>
    <xf numFmtId="164" fontId="16" fillId="0" borderId="45" xfId="0" applyNumberFormat="1" applyFont="1" applyFill="1" applyBorder="1" applyAlignment="1">
      <alignment horizontal="center" vertical="center"/>
    </xf>
    <xf numFmtId="3" fontId="38" fillId="5" borderId="94" xfId="0" applyNumberFormat="1" applyFont="1" applyFill="1" applyBorder="1" applyAlignment="1">
      <alignment horizontal="center" vertical="center"/>
    </xf>
    <xf numFmtId="2" fontId="16" fillId="4" borderId="94" xfId="0" applyNumberFormat="1" applyFont="1" applyFill="1" applyBorder="1" applyAlignment="1">
      <alignment horizontal="center" vertical="center"/>
    </xf>
    <xf numFmtId="1" fontId="16" fillId="4" borderId="94" xfId="0" applyNumberFormat="1" applyFont="1" applyFill="1" applyBorder="1" applyAlignment="1">
      <alignment horizontal="center" vertical="center"/>
    </xf>
    <xf numFmtId="3" fontId="16" fillId="4" borderId="94" xfId="0" applyNumberFormat="1" applyFont="1" applyFill="1" applyBorder="1" applyAlignment="1">
      <alignment horizontal="center" vertical="center"/>
    </xf>
    <xf numFmtId="166" fontId="30" fillId="4" borderId="92" xfId="0" applyNumberFormat="1" applyFont="1" applyFill="1" applyBorder="1" applyAlignment="1">
      <alignment horizontal="center" vertical="center"/>
    </xf>
    <xf numFmtId="164" fontId="16" fillId="7" borderId="0" xfId="0" applyNumberFormat="1" applyFont="1" applyFill="1" applyBorder="1" applyAlignment="1">
      <alignment horizontal="center" vertical="center"/>
    </xf>
    <xf numFmtId="0" fontId="4" fillId="3" borderId="44" xfId="0" applyFont="1" applyFill="1" applyBorder="1"/>
    <xf numFmtId="164" fontId="2" fillId="3" borderId="67" xfId="0" applyNumberFormat="1" applyFont="1" applyFill="1" applyBorder="1" applyAlignment="1">
      <alignment horizontal="center" vertical="center"/>
    </xf>
    <xf numFmtId="1" fontId="4" fillId="4" borderId="9" xfId="0" applyNumberFormat="1" applyFont="1" applyFill="1" applyBorder="1" applyAlignment="1">
      <alignment horizontal="center" vertical="center"/>
    </xf>
    <xf numFmtId="164" fontId="71" fillId="3" borderId="47" xfId="0" applyNumberFormat="1" applyFont="1" applyFill="1" applyBorder="1" applyAlignment="1">
      <alignment horizontal="center" vertical="center"/>
    </xf>
    <xf numFmtId="164" fontId="2" fillId="8" borderId="67" xfId="0" applyNumberFormat="1" applyFont="1" applyFill="1" applyBorder="1" applyAlignment="1">
      <alignment horizontal="center" vertical="center"/>
    </xf>
    <xf numFmtId="164" fontId="2" fillId="7" borderId="121" xfId="0" applyNumberFormat="1" applyFont="1" applyFill="1" applyBorder="1" applyAlignment="1">
      <alignment horizontal="center" vertical="center"/>
    </xf>
    <xf numFmtId="164" fontId="2" fillId="7" borderId="102" xfId="0" applyNumberFormat="1" applyFont="1" applyFill="1" applyBorder="1" applyAlignment="1">
      <alignment horizontal="center" vertical="center"/>
    </xf>
    <xf numFmtId="164" fontId="2" fillId="3" borderId="121" xfId="0" applyNumberFormat="1" applyFont="1" applyFill="1" applyBorder="1" applyAlignment="1">
      <alignment horizontal="center" vertical="center"/>
    </xf>
    <xf numFmtId="164" fontId="2" fillId="3" borderId="102" xfId="0" applyNumberFormat="1" applyFont="1" applyFill="1" applyBorder="1" applyAlignment="1">
      <alignment horizontal="center" vertical="center"/>
    </xf>
    <xf numFmtId="1" fontId="4" fillId="9" borderId="11" xfId="0" applyNumberFormat="1" applyFont="1" applyFill="1" applyBorder="1" applyAlignment="1">
      <alignment horizontal="center"/>
    </xf>
    <xf numFmtId="165" fontId="2" fillId="9" borderId="51" xfId="0" applyNumberFormat="1" applyFont="1" applyFill="1" applyBorder="1" applyAlignment="1">
      <alignment horizontal="center" vertical="center"/>
    </xf>
    <xf numFmtId="164" fontId="71" fillId="10" borderId="122" xfId="0" applyNumberFormat="1" applyFont="1" applyFill="1" applyBorder="1" applyAlignment="1">
      <alignment horizontal="center" vertical="center"/>
    </xf>
    <xf numFmtId="164" fontId="71" fillId="10" borderId="79" xfId="0" quotePrefix="1" applyNumberFormat="1" applyFont="1" applyFill="1" applyBorder="1" applyAlignment="1">
      <alignment horizontal="center" vertical="center"/>
    </xf>
    <xf numFmtId="164" fontId="71" fillId="10" borderId="102" xfId="0" quotePrefix="1" applyNumberFormat="1" applyFont="1" applyFill="1" applyBorder="1" applyAlignment="1">
      <alignment horizontal="center" vertical="center"/>
    </xf>
    <xf numFmtId="164" fontId="71" fillId="10" borderId="67" xfId="0" applyNumberFormat="1" applyFont="1" applyFill="1" applyBorder="1" applyAlignment="1">
      <alignment horizontal="center" vertical="center"/>
    </xf>
    <xf numFmtId="164" fontId="71" fillId="10" borderId="79" xfId="0" applyNumberFormat="1" applyFont="1" applyFill="1" applyBorder="1" applyAlignment="1">
      <alignment horizontal="center" vertical="center"/>
    </xf>
    <xf numFmtId="164" fontId="71" fillId="10" borderId="80" xfId="0" applyNumberFormat="1" applyFont="1" applyFill="1" applyBorder="1" applyAlignment="1">
      <alignment horizontal="center" vertical="center"/>
    </xf>
    <xf numFmtId="164" fontId="71" fillId="10" borderId="102" xfId="0" applyNumberFormat="1" applyFont="1" applyFill="1" applyBorder="1" applyAlignment="1">
      <alignment horizontal="center" vertical="center"/>
    </xf>
    <xf numFmtId="164" fontId="2" fillId="3" borderId="123" xfId="0" applyNumberFormat="1" applyFont="1" applyFill="1" applyBorder="1" applyAlignment="1">
      <alignment horizontal="center" vertical="center"/>
    </xf>
    <xf numFmtId="164" fontId="2" fillId="3" borderId="79" xfId="0" applyNumberFormat="1" applyFont="1" applyFill="1" applyBorder="1" applyAlignment="1">
      <alignment horizontal="center" vertical="center"/>
    </xf>
    <xf numFmtId="164" fontId="2" fillId="3" borderId="80" xfId="0" applyNumberFormat="1" applyFont="1" applyFill="1" applyBorder="1" applyAlignment="1">
      <alignment horizontal="center" vertical="center"/>
    </xf>
    <xf numFmtId="164" fontId="2" fillId="3" borderId="80" xfId="0" quotePrefix="1" applyNumberFormat="1" applyFont="1" applyFill="1" applyBorder="1" applyAlignment="1">
      <alignment horizontal="center" vertical="center"/>
    </xf>
    <xf numFmtId="164" fontId="2" fillId="3" borderId="102" xfId="0" quotePrefix="1" applyNumberFormat="1" applyFont="1" applyFill="1" applyBorder="1" applyAlignment="1">
      <alignment horizontal="center" vertical="center"/>
    </xf>
    <xf numFmtId="2" fontId="2" fillId="9" borderId="58" xfId="0" applyNumberFormat="1" applyFont="1" applyFill="1" applyBorder="1" applyAlignment="1">
      <alignment horizontal="center" vertical="center"/>
    </xf>
    <xf numFmtId="165" fontId="2" fillId="9" borderId="58" xfId="0" applyNumberFormat="1" applyFont="1" applyFill="1" applyBorder="1" applyAlignment="1">
      <alignment horizontal="center" vertical="center"/>
    </xf>
    <xf numFmtId="1" fontId="2" fillId="9" borderId="58" xfId="0" applyNumberFormat="1" applyFont="1" applyFill="1" applyBorder="1" applyAlignment="1">
      <alignment horizontal="center" vertical="center"/>
    </xf>
    <xf numFmtId="0" fontId="1" fillId="2" borderId="35" xfId="0" applyFont="1" applyFill="1" applyBorder="1"/>
    <xf numFmtId="0" fontId="1" fillId="2" borderId="36" xfId="0" applyFont="1" applyFill="1" applyBorder="1"/>
    <xf numFmtId="11" fontId="2" fillId="4" borderId="1" xfId="0" applyNumberFormat="1" applyFont="1" applyFill="1" applyBorder="1" applyAlignment="1">
      <alignment horizontal="center" vertical="center" wrapText="1"/>
    </xf>
    <xf numFmtId="165" fontId="16" fillId="4" borderId="94" xfId="0" applyNumberFormat="1" applyFont="1" applyFill="1" applyBorder="1" applyAlignment="1">
      <alignment horizontal="center" vertical="center"/>
    </xf>
    <xf numFmtId="1" fontId="16" fillId="4" borderId="95" xfId="0" applyNumberFormat="1" applyFont="1" applyFill="1" applyBorder="1" applyAlignment="1">
      <alignment horizontal="center" vertical="center"/>
    </xf>
    <xf numFmtId="2" fontId="16" fillId="4" borderId="93" xfId="0" applyNumberFormat="1" applyFont="1" applyFill="1" applyBorder="1" applyAlignment="1">
      <alignment horizontal="center" vertical="center"/>
    </xf>
    <xf numFmtId="164" fontId="2" fillId="3" borderId="64" xfId="0" quotePrefix="1" applyNumberFormat="1" applyFont="1" applyFill="1" applyBorder="1" applyAlignment="1">
      <alignment horizontal="center" vertical="center"/>
    </xf>
    <xf numFmtId="11" fontId="2" fillId="3" borderId="10" xfId="0" applyNumberFormat="1" applyFont="1" applyFill="1" applyBorder="1" applyAlignment="1">
      <alignment horizontal="center" vertical="center"/>
    </xf>
    <xf numFmtId="11" fontId="2" fillId="3" borderId="51" xfId="0" applyNumberFormat="1" applyFont="1" applyFill="1" applyBorder="1" applyAlignment="1">
      <alignment horizontal="center" vertical="center"/>
    </xf>
    <xf numFmtId="11" fontId="2" fillId="3" borderId="67" xfId="0" applyNumberFormat="1" applyFont="1" applyFill="1" applyBorder="1" applyAlignment="1">
      <alignment horizontal="center" vertical="center"/>
    </xf>
    <xf numFmtId="11" fontId="2" fillId="3" borderId="58" xfId="0" applyNumberFormat="1" applyFont="1" applyFill="1" applyBorder="1" applyAlignment="1">
      <alignment horizontal="center" vertical="center"/>
    </xf>
    <xf numFmtId="11" fontId="2" fillId="3" borderId="1" xfId="0" applyNumberFormat="1" applyFont="1" applyFill="1" applyBorder="1" applyAlignment="1">
      <alignment horizontal="center" vertical="center"/>
    </xf>
    <xf numFmtId="11" fontId="2" fillId="3" borderId="59" xfId="0" applyNumberFormat="1" applyFont="1" applyFill="1" applyBorder="1" applyAlignment="1">
      <alignment horizontal="center" vertical="center"/>
    </xf>
    <xf numFmtId="11" fontId="2" fillId="5" borderId="75" xfId="0" applyNumberFormat="1" applyFont="1" applyFill="1" applyBorder="1" applyAlignment="1">
      <alignment horizontal="center" vertical="center"/>
    </xf>
    <xf numFmtId="11" fontId="4" fillId="5" borderId="76" xfId="0" applyNumberFormat="1" applyFont="1" applyFill="1" applyBorder="1" applyAlignment="1">
      <alignment horizontal="right"/>
    </xf>
    <xf numFmtId="11" fontId="0" fillId="5" borderId="76" xfId="0" applyNumberFormat="1" applyFill="1" applyBorder="1"/>
    <xf numFmtId="11" fontId="4" fillId="5" borderId="77" xfId="0" applyNumberFormat="1" applyFont="1" applyFill="1" applyBorder="1" applyAlignment="1">
      <alignment horizontal="center"/>
    </xf>
    <xf numFmtId="11" fontId="2" fillId="3" borderId="64" xfId="0" applyNumberFormat="1" applyFont="1" applyFill="1" applyBorder="1" applyAlignment="1">
      <alignment horizontal="center" vertical="center"/>
    </xf>
    <xf numFmtId="11" fontId="2" fillId="3" borderId="65" xfId="0" applyNumberFormat="1" applyFont="1" applyFill="1" applyBorder="1" applyAlignment="1">
      <alignment horizontal="center" vertical="center"/>
    </xf>
    <xf numFmtId="11" fontId="2" fillId="3" borderId="66" xfId="0" applyNumberFormat="1" applyFont="1" applyFill="1" applyBorder="1" applyAlignment="1">
      <alignment horizontal="center" vertical="center"/>
    </xf>
    <xf numFmtId="11" fontId="2" fillId="5" borderId="78" xfId="0" applyNumberFormat="1" applyFont="1" applyFill="1" applyBorder="1" applyAlignment="1">
      <alignment horizontal="center" vertical="center"/>
    </xf>
    <xf numFmtId="11" fontId="2" fillId="5" borderId="77" xfId="0" applyNumberFormat="1" applyFont="1" applyFill="1" applyBorder="1" applyAlignment="1">
      <alignment horizontal="center" vertical="center"/>
    </xf>
    <xf numFmtId="11" fontId="2" fillId="3" borderId="79" xfId="0" applyNumberFormat="1" applyFont="1" applyFill="1" applyBorder="1" applyAlignment="1">
      <alignment horizontal="center" vertical="center"/>
    </xf>
    <xf numFmtId="11" fontId="2" fillId="3" borderId="102" xfId="0" applyNumberFormat="1" applyFont="1" applyFill="1" applyBorder="1" applyAlignment="1">
      <alignment horizontal="center" vertical="center"/>
    </xf>
    <xf numFmtId="2" fontId="2" fillId="9" borderId="1" xfId="0" applyNumberFormat="1" applyFont="1" applyFill="1" applyBorder="1" applyAlignment="1">
      <alignment horizontal="center" vertical="center"/>
    </xf>
    <xf numFmtId="2" fontId="2" fillId="9" borderId="59" xfId="0" applyNumberFormat="1" applyFont="1" applyFill="1" applyBorder="1" applyAlignment="1">
      <alignment horizontal="center" vertical="center"/>
    </xf>
    <xf numFmtId="165" fontId="2" fillId="9" borderId="1" xfId="0" applyNumberFormat="1" applyFont="1" applyFill="1" applyBorder="1" applyAlignment="1">
      <alignment horizontal="center" vertical="center"/>
    </xf>
    <xf numFmtId="165" fontId="2" fillId="9" borderId="59" xfId="0" applyNumberFormat="1" applyFont="1" applyFill="1" applyBorder="1" applyAlignment="1">
      <alignment horizontal="center" vertical="center"/>
    </xf>
    <xf numFmtId="1" fontId="2" fillId="9" borderId="1" xfId="0" applyNumberFormat="1" applyFont="1" applyFill="1" applyBorder="1" applyAlignment="1">
      <alignment horizontal="center" vertical="center"/>
    </xf>
    <xf numFmtId="1" fontId="2" fillId="9" borderId="59" xfId="0" applyNumberFormat="1" applyFont="1" applyFill="1" applyBorder="1" applyAlignment="1">
      <alignment horizontal="center" vertical="center"/>
    </xf>
    <xf numFmtId="1" fontId="2" fillId="9" borderId="79" xfId="0" applyNumberFormat="1" applyFont="1" applyFill="1" applyBorder="1" applyAlignment="1">
      <alignment horizontal="center" vertical="center"/>
    </xf>
    <xf numFmtId="1" fontId="2" fillId="9" borderId="80" xfId="0" applyNumberFormat="1" applyFont="1" applyFill="1" applyBorder="1" applyAlignment="1">
      <alignment horizontal="center" vertical="center"/>
    </xf>
    <xf numFmtId="1" fontId="2" fillId="9" borderId="102" xfId="0" applyNumberFormat="1" applyFont="1" applyFill="1" applyBorder="1" applyAlignment="1">
      <alignment horizontal="center" vertical="center"/>
    </xf>
    <xf numFmtId="2" fontId="2" fillId="9" borderId="66" xfId="0" applyNumberFormat="1" applyFont="1" applyFill="1" applyBorder="1" applyAlignment="1">
      <alignment horizontal="center" vertical="center"/>
    </xf>
    <xf numFmtId="166" fontId="2" fillId="9" borderId="111" xfId="0" applyNumberFormat="1" applyFont="1" applyFill="1" applyBorder="1" applyAlignment="1">
      <alignment horizontal="center" vertical="center"/>
    </xf>
    <xf numFmtId="166" fontId="2" fillId="9" borderId="124" xfId="0" applyNumberFormat="1" applyFont="1" applyFill="1" applyBorder="1" applyAlignment="1">
      <alignment horizontal="center" vertical="center"/>
    </xf>
    <xf numFmtId="2" fontId="2" fillId="9" borderId="111" xfId="0" applyNumberFormat="1" applyFont="1" applyFill="1" applyBorder="1" applyAlignment="1">
      <alignment horizontal="center" vertical="center"/>
    </xf>
    <xf numFmtId="2" fontId="2" fillId="9" borderId="110" xfId="0" applyNumberFormat="1" applyFont="1" applyFill="1" applyBorder="1" applyAlignment="1">
      <alignment horizontal="center" vertical="center"/>
    </xf>
    <xf numFmtId="167" fontId="2" fillId="9" borderId="1" xfId="0" applyNumberFormat="1" applyFont="1" applyFill="1" applyBorder="1" applyAlignment="1">
      <alignment horizontal="center" vertical="center"/>
    </xf>
    <xf numFmtId="168" fontId="2" fillId="9" borderId="1" xfId="0" applyNumberFormat="1" applyFont="1" applyFill="1" applyBorder="1" applyAlignment="1">
      <alignment horizontal="center" vertical="center"/>
    </xf>
    <xf numFmtId="165" fontId="2" fillId="9" borderId="71" xfId="0" applyNumberFormat="1" applyFont="1" applyFill="1" applyBorder="1" applyAlignment="1">
      <alignment horizontal="center" vertical="center"/>
    </xf>
    <xf numFmtId="1" fontId="2" fillId="9" borderId="71" xfId="0" applyNumberFormat="1" applyFont="1" applyFill="1" applyBorder="1" applyAlignment="1">
      <alignment horizontal="center" vertical="center"/>
    </xf>
    <xf numFmtId="169" fontId="2" fillId="9" borderId="1" xfId="0" applyNumberFormat="1" applyFont="1" applyFill="1" applyBorder="1" applyAlignment="1">
      <alignment horizontal="center" vertical="center"/>
    </xf>
    <xf numFmtId="167" fontId="2" fillId="9" borderId="71" xfId="0" applyNumberFormat="1" applyFont="1" applyFill="1" applyBorder="1" applyAlignment="1">
      <alignment horizontal="center" vertical="center"/>
    </xf>
    <xf numFmtId="168" fontId="2" fillId="9" borderId="71" xfId="0" applyNumberFormat="1" applyFont="1" applyFill="1" applyBorder="1" applyAlignment="1">
      <alignment horizontal="center" vertical="center"/>
    </xf>
    <xf numFmtId="171" fontId="2" fillId="9" borderId="71" xfId="0" applyNumberFormat="1" applyFont="1" applyFill="1" applyBorder="1" applyAlignment="1">
      <alignment horizontal="center" vertical="center"/>
    </xf>
    <xf numFmtId="2" fontId="2" fillId="9" borderId="62" xfId="0" applyNumberFormat="1" applyFont="1" applyFill="1" applyBorder="1" applyAlignment="1">
      <alignment horizontal="center" vertical="center"/>
    </xf>
    <xf numFmtId="11" fontId="2" fillId="3" borderId="80" xfId="0" applyNumberFormat="1" applyFont="1" applyFill="1" applyBorder="1" applyAlignment="1">
      <alignment horizontal="center" vertical="center"/>
    </xf>
    <xf numFmtId="165" fontId="4" fillId="9" borderId="58" xfId="0" applyNumberFormat="1" applyFont="1" applyFill="1" applyBorder="1" applyAlignment="1">
      <alignment horizontal="center" vertical="center"/>
    </xf>
    <xf numFmtId="1" fontId="2" fillId="9" borderId="125" xfId="0" applyNumberFormat="1" applyFont="1" applyFill="1" applyBorder="1" applyAlignment="1">
      <alignment horizontal="center" vertical="center"/>
    </xf>
    <xf numFmtId="1" fontId="2" fillId="9" borderId="61" xfId="0" applyNumberFormat="1" applyFont="1" applyFill="1" applyBorder="1" applyAlignment="1">
      <alignment horizontal="center" vertical="center"/>
    </xf>
    <xf numFmtId="1" fontId="4" fillId="9" borderId="15" xfId="0" applyNumberFormat="1" applyFont="1" applyFill="1" applyBorder="1" applyAlignment="1">
      <alignment horizontal="center" vertical="center"/>
    </xf>
    <xf numFmtId="1" fontId="4" fillId="9" borderId="79" xfId="0" applyNumberFormat="1" applyFont="1" applyFill="1" applyBorder="1" applyAlignment="1">
      <alignment horizontal="center"/>
    </xf>
    <xf numFmtId="11" fontId="4" fillId="9" borderId="58" xfId="0" applyNumberFormat="1" applyFont="1" applyFill="1" applyBorder="1" applyAlignment="1">
      <alignment horizontal="center"/>
    </xf>
    <xf numFmtId="1" fontId="4" fillId="9" borderId="58" xfId="0" applyNumberFormat="1" applyFont="1" applyFill="1" applyBorder="1" applyAlignment="1">
      <alignment horizontal="center"/>
    </xf>
    <xf numFmtId="0" fontId="4" fillId="9" borderId="58" xfId="0" applyNumberFormat="1" applyFont="1" applyFill="1" applyBorder="1" applyAlignment="1">
      <alignment horizontal="center"/>
    </xf>
    <xf numFmtId="0" fontId="4" fillId="9" borderId="61" xfId="0" applyNumberFormat="1" applyFont="1" applyFill="1" applyBorder="1" applyAlignment="1">
      <alignment horizontal="center"/>
    </xf>
    <xf numFmtId="1" fontId="4" fillId="9" borderId="64" xfId="0" applyNumberFormat="1" applyFont="1" applyFill="1" applyBorder="1" applyAlignment="1">
      <alignment horizontal="center" vertical="center"/>
    </xf>
    <xf numFmtId="165" fontId="2" fillId="9" borderId="62" xfId="0" applyNumberFormat="1" applyFont="1" applyFill="1" applyBorder="1" applyAlignment="1">
      <alignment horizontal="center" vertical="center"/>
    </xf>
    <xf numFmtId="165" fontId="2" fillId="9" borderId="63" xfId="0" applyNumberFormat="1" applyFont="1" applyFill="1" applyBorder="1" applyAlignment="1">
      <alignment horizontal="center" vertical="center"/>
    </xf>
    <xf numFmtId="11" fontId="2" fillId="4" borderId="71" xfId="0" applyNumberFormat="1" applyFont="1" applyFill="1" applyBorder="1" applyAlignment="1">
      <alignment horizontal="center" vertical="center"/>
    </xf>
    <xf numFmtId="11" fontId="2" fillId="4" borderId="123" xfId="0" applyNumberFormat="1" applyFont="1" applyFill="1" applyBorder="1" applyAlignment="1">
      <alignment horizontal="center" vertical="center"/>
    </xf>
    <xf numFmtId="11" fontId="2" fillId="4" borderId="105" xfId="0" applyNumberFormat="1" applyFont="1" applyFill="1" applyBorder="1" applyAlignment="1">
      <alignment horizontal="center" vertical="center"/>
    </xf>
    <xf numFmtId="1" fontId="2" fillId="4" borderId="71" xfId="0" applyNumberFormat="1" applyFont="1" applyFill="1" applyBorder="1" applyAlignment="1">
      <alignment horizontal="center" vertical="center"/>
    </xf>
    <xf numFmtId="11" fontId="2" fillId="4" borderId="126" xfId="0" applyNumberFormat="1" applyFont="1" applyFill="1" applyBorder="1" applyAlignment="1">
      <alignment horizontal="center" vertical="center"/>
    </xf>
    <xf numFmtId="11" fontId="2" fillId="4" borderId="86" xfId="0" applyNumberFormat="1" applyFont="1" applyFill="1" applyBorder="1" applyAlignment="1">
      <alignment horizontal="center" vertical="center"/>
    </xf>
    <xf numFmtId="0" fontId="57" fillId="5" borderId="59" xfId="0" applyFont="1" applyFill="1" applyBorder="1" applyAlignment="1">
      <alignment horizontal="center" vertical="center"/>
    </xf>
    <xf numFmtId="0" fontId="57" fillId="5" borderId="66" xfId="0" applyFont="1" applyFill="1" applyBorder="1" applyAlignment="1">
      <alignment horizontal="center" vertical="center"/>
    </xf>
    <xf numFmtId="0" fontId="57" fillId="5" borderId="102" xfId="0" applyFont="1" applyFill="1" applyBorder="1" applyAlignment="1">
      <alignment horizontal="center" vertical="center"/>
    </xf>
    <xf numFmtId="11" fontId="2" fillId="5" borderId="104" xfId="0" applyNumberFormat="1" applyFont="1" applyFill="1" applyBorder="1" applyAlignment="1">
      <alignment horizontal="center" vertical="center"/>
    </xf>
    <xf numFmtId="11" fontId="2" fillId="5" borderId="114" xfId="0" applyNumberFormat="1" applyFont="1" applyFill="1" applyBorder="1" applyAlignment="1">
      <alignment horizontal="center" vertical="center"/>
    </xf>
    <xf numFmtId="11" fontId="2" fillId="5" borderId="2" xfId="0" applyNumberFormat="1" applyFont="1" applyFill="1" applyBorder="1" applyAlignment="1">
      <alignment horizontal="center" vertical="center"/>
    </xf>
    <xf numFmtId="164" fontId="2" fillId="5" borderId="50" xfId="0" applyNumberFormat="1" applyFont="1" applyFill="1" applyBorder="1" applyAlignment="1">
      <alignment horizontal="center" vertical="center"/>
    </xf>
    <xf numFmtId="11" fontId="2" fillId="4" borderId="15" xfId="0" applyNumberFormat="1" applyFont="1" applyFill="1" applyBorder="1" applyAlignment="1">
      <alignment horizontal="center" vertical="center"/>
    </xf>
    <xf numFmtId="11" fontId="2" fillId="4" borderId="122" xfId="0" applyNumberFormat="1" applyFont="1" applyFill="1" applyBorder="1" applyAlignment="1">
      <alignment horizontal="center" vertical="center"/>
    </xf>
    <xf numFmtId="165" fontId="2" fillId="4" borderId="15" xfId="0" applyNumberFormat="1" applyFont="1" applyFill="1" applyBorder="1" applyAlignment="1">
      <alignment horizontal="center" vertical="center"/>
    </xf>
    <xf numFmtId="11" fontId="2" fillId="4" borderId="64" xfId="0" applyNumberFormat="1" applyFont="1" applyFill="1" applyBorder="1" applyAlignment="1">
      <alignment horizontal="center" vertical="center"/>
    </xf>
    <xf numFmtId="11" fontId="4" fillId="5" borderId="76" xfId="0" quotePrefix="1" applyNumberFormat="1" applyFont="1" applyFill="1" applyBorder="1" applyAlignment="1">
      <alignment horizontal="center" vertical="center"/>
    </xf>
    <xf numFmtId="11" fontId="2" fillId="4" borderId="59" xfId="0" applyNumberFormat="1" applyFont="1" applyFill="1" applyBorder="1" applyAlignment="1">
      <alignment horizontal="center" vertical="center"/>
    </xf>
    <xf numFmtId="11" fontId="2" fillId="4" borderId="66" xfId="0" applyNumberFormat="1" applyFont="1" applyFill="1" applyBorder="1" applyAlignment="1">
      <alignment horizontal="center" vertical="center"/>
    </xf>
    <xf numFmtId="11" fontId="57" fillId="5" borderId="59" xfId="0" applyNumberFormat="1" applyFont="1" applyFill="1" applyBorder="1" applyAlignment="1">
      <alignment horizontal="center" vertical="center"/>
    </xf>
    <xf numFmtId="164" fontId="85" fillId="3" borderId="10" xfId="0" applyNumberFormat="1" applyFont="1" applyFill="1" applyBorder="1" applyAlignment="1">
      <alignment horizontal="center" vertical="center"/>
    </xf>
    <xf numFmtId="164" fontId="85" fillId="3" borderId="51" xfId="0" applyNumberFormat="1" applyFont="1" applyFill="1" applyBorder="1" applyAlignment="1">
      <alignment horizontal="center" vertical="center"/>
    </xf>
    <xf numFmtId="11" fontId="2" fillId="7" borderId="48" xfId="0" applyNumberFormat="1" applyFont="1" applyFill="1" applyBorder="1" applyAlignment="1">
      <alignment horizontal="center" vertical="center"/>
    </xf>
    <xf numFmtId="11" fontId="2" fillId="7" borderId="81" xfId="0" applyNumberFormat="1" applyFont="1" applyFill="1" applyBorder="1" applyAlignment="1">
      <alignment horizontal="center" vertical="center"/>
    </xf>
    <xf numFmtId="164" fontId="71" fillId="3" borderId="73" xfId="0" applyNumberFormat="1" applyFont="1" applyFill="1" applyBorder="1" applyAlignment="1">
      <alignment horizontal="center" vertical="center"/>
    </xf>
    <xf numFmtId="2" fontId="2" fillId="4" borderId="1" xfId="0" applyNumberFormat="1" applyFont="1" applyFill="1" applyBorder="1" applyAlignment="1">
      <alignment horizontal="center" vertical="center"/>
    </xf>
    <xf numFmtId="0" fontId="4" fillId="5" borderId="58" xfId="0" applyFont="1" applyFill="1" applyBorder="1" applyAlignment="1">
      <alignment horizontal="center"/>
    </xf>
    <xf numFmtId="0" fontId="4" fillId="5" borderId="79" xfId="0" applyFont="1" applyFill="1" applyBorder="1" applyAlignment="1">
      <alignment horizontal="center"/>
    </xf>
    <xf numFmtId="0" fontId="4" fillId="5" borderId="64" xfId="0" applyFont="1" applyFill="1" applyBorder="1" applyAlignment="1">
      <alignment horizontal="center"/>
    </xf>
    <xf numFmtId="0" fontId="4" fillId="5" borderId="65" xfId="0" applyNumberFormat="1" applyFont="1" applyFill="1" applyBorder="1" applyAlignment="1">
      <alignment horizontal="center"/>
    </xf>
    <xf numFmtId="0" fontId="4" fillId="5" borderId="66" xfId="0" applyNumberFormat="1" applyFont="1" applyFill="1" applyBorder="1" applyAlignment="1">
      <alignment horizontal="center"/>
    </xf>
    <xf numFmtId="1" fontId="2" fillId="9" borderId="123" xfId="0" applyNumberFormat="1" applyFont="1" applyFill="1" applyBorder="1" applyAlignment="1">
      <alignment horizontal="center" vertical="center"/>
    </xf>
    <xf numFmtId="165" fontId="4" fillId="9" borderId="71" xfId="0" applyNumberFormat="1" applyFont="1" applyFill="1" applyBorder="1" applyAlignment="1">
      <alignment horizontal="center" vertical="center"/>
    </xf>
    <xf numFmtId="165" fontId="2" fillId="9" borderId="127" xfId="0" applyNumberFormat="1" applyFont="1" applyFill="1" applyBorder="1" applyAlignment="1">
      <alignment horizontal="center" vertical="center"/>
    </xf>
    <xf numFmtId="2" fontId="2" fillId="9" borderId="127" xfId="0" applyNumberFormat="1" applyFont="1" applyFill="1" applyBorder="1" applyAlignment="1">
      <alignment horizontal="center" vertical="center"/>
    </xf>
    <xf numFmtId="1" fontId="2" fillId="9" borderId="127" xfId="0" applyNumberFormat="1" applyFont="1" applyFill="1" applyBorder="1" applyAlignment="1">
      <alignment horizontal="center" vertical="center"/>
    </xf>
    <xf numFmtId="2" fontId="2" fillId="9" borderId="71" xfId="0" applyNumberFormat="1" applyFont="1" applyFill="1" applyBorder="1" applyAlignment="1">
      <alignment horizontal="center" vertical="center"/>
    </xf>
    <xf numFmtId="166" fontId="2" fillId="9" borderId="71" xfId="0" applyNumberFormat="1" applyFont="1" applyFill="1" applyBorder="1" applyAlignment="1">
      <alignment horizontal="center" vertical="center"/>
    </xf>
    <xf numFmtId="2" fontId="4" fillId="9" borderId="71" xfId="0" applyNumberFormat="1" applyFont="1" applyFill="1" applyBorder="1" applyAlignment="1">
      <alignment horizontal="center" vertical="center"/>
    </xf>
    <xf numFmtId="1" fontId="4" fillId="9" borderId="71" xfId="0" applyNumberFormat="1" applyFont="1" applyFill="1" applyBorder="1" applyAlignment="1">
      <alignment horizontal="center" vertical="center"/>
    </xf>
    <xf numFmtId="1" fontId="4" fillId="9" borderId="105" xfId="0" applyNumberFormat="1" applyFont="1" applyFill="1" applyBorder="1" applyAlignment="1">
      <alignment horizontal="center" vertical="center"/>
    </xf>
    <xf numFmtId="165" fontId="2" fillId="9" borderId="105" xfId="0" applyNumberFormat="1" applyFont="1" applyFill="1" applyBorder="1" applyAlignment="1">
      <alignment horizontal="center" vertical="center"/>
    </xf>
    <xf numFmtId="165" fontId="4" fillId="9" borderId="47" xfId="0" applyNumberFormat="1" applyFont="1" applyFill="1" applyBorder="1" applyAlignment="1">
      <alignment horizontal="center"/>
    </xf>
    <xf numFmtId="11" fontId="4" fillId="9" borderId="46" xfId="0" applyNumberFormat="1" applyFont="1" applyFill="1" applyBorder="1" applyAlignment="1">
      <alignment horizontal="center"/>
    </xf>
    <xf numFmtId="1" fontId="4" fillId="9" borderId="0" xfId="0" applyNumberFormat="1" applyFont="1" applyFill="1" applyBorder="1" applyAlignment="1">
      <alignment horizontal="center"/>
    </xf>
    <xf numFmtId="1" fontId="4" fillId="9" borderId="48" xfId="0" applyNumberFormat="1" applyFont="1" applyFill="1" applyBorder="1" applyAlignment="1">
      <alignment horizontal="center"/>
    </xf>
    <xf numFmtId="2" fontId="4" fillId="9" borderId="48" xfId="0" applyNumberFormat="1" applyFont="1" applyFill="1" applyBorder="1" applyAlignment="1">
      <alignment horizontal="center"/>
    </xf>
    <xf numFmtId="165" fontId="4" fillId="9" borderId="48" xfId="0" applyNumberFormat="1" applyFont="1" applyFill="1" applyBorder="1" applyAlignment="1">
      <alignment horizontal="center"/>
    </xf>
    <xf numFmtId="1" fontId="4" fillId="9" borderId="47" xfId="0" applyNumberFormat="1" applyFont="1" applyFill="1" applyBorder="1" applyAlignment="1">
      <alignment horizontal="center"/>
    </xf>
    <xf numFmtId="0" fontId="4" fillId="9" borderId="48" xfId="0" applyNumberFormat="1" applyFont="1" applyFill="1" applyBorder="1" applyAlignment="1">
      <alignment horizontal="center"/>
    </xf>
    <xf numFmtId="2" fontId="4" fillId="9" borderId="47" xfId="0" applyNumberFormat="1" applyFont="1" applyFill="1" applyBorder="1" applyAlignment="1">
      <alignment horizontal="center"/>
    </xf>
    <xf numFmtId="166" fontId="2" fillId="9" borderId="105" xfId="0" applyNumberFormat="1" applyFont="1" applyFill="1" applyBorder="1" applyAlignment="1">
      <alignment horizontal="center" vertical="center"/>
    </xf>
    <xf numFmtId="164" fontId="4" fillId="9" borderId="71" xfId="0" applyNumberFormat="1" applyFont="1" applyFill="1" applyBorder="1" applyAlignment="1">
      <alignment horizontal="center" vertical="center"/>
    </xf>
    <xf numFmtId="164" fontId="2" fillId="5" borderId="128" xfId="0" applyNumberFormat="1" applyFont="1" applyFill="1" applyBorder="1" applyAlignment="1">
      <alignment horizontal="center" vertical="center"/>
    </xf>
    <xf numFmtId="164" fontId="71" fillId="12" borderId="67" xfId="0" applyNumberFormat="1" applyFont="1" applyFill="1" applyBorder="1" applyAlignment="1">
      <alignment horizontal="center" vertical="center"/>
    </xf>
    <xf numFmtId="164" fontId="2" fillId="8" borderId="79" xfId="0" applyNumberFormat="1" applyFont="1" applyFill="1" applyBorder="1" applyAlignment="1">
      <alignment horizontal="center" vertical="center"/>
    </xf>
    <xf numFmtId="164" fontId="2" fillId="8" borderId="80" xfId="0" applyNumberFormat="1" applyFont="1" applyFill="1" applyBorder="1" applyAlignment="1">
      <alignment horizontal="center" vertical="center"/>
    </xf>
    <xf numFmtId="164" fontId="2" fillId="8" borderId="102" xfId="0" applyNumberFormat="1" applyFont="1" applyFill="1" applyBorder="1" applyAlignment="1">
      <alignment horizontal="center" vertical="center"/>
    </xf>
    <xf numFmtId="164" fontId="2" fillId="7" borderId="79" xfId="0" applyNumberFormat="1" applyFont="1" applyFill="1" applyBorder="1" applyAlignment="1">
      <alignment horizontal="center" vertical="center"/>
    </xf>
    <xf numFmtId="164" fontId="2" fillId="7" borderId="80" xfId="0" applyNumberFormat="1" applyFont="1" applyFill="1" applyBorder="1" applyAlignment="1">
      <alignment horizontal="center" vertical="center"/>
    </xf>
    <xf numFmtId="164" fontId="2" fillId="7" borderId="45" xfId="0" applyNumberFormat="1" applyFont="1" applyFill="1" applyBorder="1" applyAlignment="1">
      <alignment horizontal="center"/>
    </xf>
    <xf numFmtId="164" fontId="71" fillId="3" borderId="79" xfId="0" applyNumberFormat="1" applyFont="1" applyFill="1" applyBorder="1" applyAlignment="1">
      <alignment horizontal="center" vertical="center"/>
    </xf>
    <xf numFmtId="164" fontId="71" fillId="3" borderId="102" xfId="0" applyNumberFormat="1" applyFont="1" applyFill="1" applyBorder="1" applyAlignment="1">
      <alignment horizontal="center" vertical="center"/>
    </xf>
    <xf numFmtId="164" fontId="71" fillId="3" borderId="67" xfId="0" applyNumberFormat="1" applyFont="1" applyFill="1" applyBorder="1" applyAlignment="1">
      <alignment horizontal="center" vertical="center"/>
    </xf>
    <xf numFmtId="164" fontId="71" fillId="3" borderId="67" xfId="0" applyNumberFormat="1" applyFont="1" applyFill="1" applyBorder="1" applyAlignment="1">
      <alignment horizontal="center" vertical="center" wrapText="1"/>
    </xf>
    <xf numFmtId="164" fontId="71" fillId="3" borderId="129" xfId="0" applyNumberFormat="1" applyFont="1" applyFill="1" applyBorder="1" applyAlignment="1">
      <alignment horizontal="center" vertical="center"/>
    </xf>
    <xf numFmtId="164" fontId="2" fillId="13" borderId="79" xfId="0" applyNumberFormat="1" applyFont="1" applyFill="1" applyBorder="1" applyAlignment="1">
      <alignment horizontal="center" vertical="center"/>
    </xf>
    <xf numFmtId="164" fontId="2" fillId="13" borderId="80" xfId="0" applyNumberFormat="1" applyFont="1" applyFill="1" applyBorder="1" applyAlignment="1">
      <alignment horizontal="center" vertical="center"/>
    </xf>
    <xf numFmtId="164" fontId="2" fillId="13" borderId="102" xfId="0" applyNumberFormat="1" applyFont="1" applyFill="1" applyBorder="1" applyAlignment="1">
      <alignment horizontal="center" vertical="center"/>
    </xf>
    <xf numFmtId="171" fontId="2" fillId="7" borderId="102" xfId="0" applyNumberFormat="1" applyFont="1" applyFill="1" applyBorder="1" applyAlignment="1">
      <alignment horizontal="center" vertical="center"/>
    </xf>
    <xf numFmtId="11" fontId="2" fillId="7" borderId="80" xfId="0" applyNumberFormat="1" applyFont="1" applyFill="1" applyBorder="1" applyAlignment="1">
      <alignment horizontal="center" vertical="center"/>
    </xf>
    <xf numFmtId="11" fontId="2" fillId="4" borderId="58" xfId="0" applyNumberFormat="1" applyFont="1" applyFill="1" applyBorder="1" applyAlignment="1">
      <alignment horizontal="center" vertical="center"/>
    </xf>
    <xf numFmtId="11" fontId="2" fillId="4" borderId="79" xfId="0" applyNumberFormat="1" applyFont="1" applyFill="1" applyBorder="1" applyAlignment="1">
      <alignment horizontal="center" vertical="center"/>
    </xf>
    <xf numFmtId="166" fontId="2" fillId="4" borderId="58" xfId="0" applyNumberFormat="1" applyFont="1" applyFill="1" applyBorder="1" applyAlignment="1">
      <alignment horizontal="center" vertical="center"/>
    </xf>
    <xf numFmtId="0" fontId="4" fillId="9" borderId="58" xfId="0" applyFont="1" applyFill="1" applyBorder="1" applyAlignment="1">
      <alignment horizontal="center"/>
    </xf>
    <xf numFmtId="0" fontId="4" fillId="9" borderId="59" xfId="0" applyFont="1" applyFill="1" applyBorder="1" applyAlignment="1">
      <alignment horizontal="center"/>
    </xf>
    <xf numFmtId="0" fontId="4" fillId="9" borderId="64" xfId="0" applyFont="1" applyFill="1" applyBorder="1" applyAlignment="1">
      <alignment horizontal="center"/>
    </xf>
    <xf numFmtId="0" fontId="4" fillId="9" borderId="66" xfId="0" applyFont="1" applyFill="1" applyBorder="1" applyAlignment="1">
      <alignment horizontal="center"/>
    </xf>
    <xf numFmtId="1" fontId="2" fillId="9" borderId="14" xfId="0" applyNumberFormat="1" applyFont="1" applyFill="1" applyBorder="1" applyAlignment="1">
      <alignment horizontal="center" vertical="center"/>
    </xf>
    <xf numFmtId="165" fontId="2" fillId="9" borderId="14" xfId="0" applyNumberFormat="1" applyFont="1" applyFill="1" applyBorder="1" applyAlignment="1">
      <alignment horizontal="center" vertical="center"/>
    </xf>
    <xf numFmtId="1" fontId="2" fillId="9" borderId="129" xfId="0" applyNumberFormat="1" applyFont="1" applyFill="1" applyBorder="1" applyAlignment="1">
      <alignment horizontal="center" vertical="center"/>
    </xf>
    <xf numFmtId="164" fontId="2" fillId="9" borderId="130" xfId="0" applyNumberFormat="1" applyFont="1" applyFill="1" applyBorder="1" applyAlignment="1">
      <alignment horizontal="center" vertical="center"/>
    </xf>
    <xf numFmtId="164" fontId="2" fillId="9" borderId="14" xfId="0" applyNumberFormat="1" applyFont="1" applyFill="1" applyBorder="1" applyAlignment="1">
      <alignment horizontal="center" vertical="center"/>
    </xf>
    <xf numFmtId="1" fontId="2" fillId="9" borderId="130" xfId="0" applyNumberFormat="1" applyFont="1" applyFill="1" applyBorder="1" applyAlignment="1">
      <alignment horizontal="center" vertical="center"/>
    </xf>
    <xf numFmtId="0" fontId="4" fillId="9" borderId="14" xfId="0" applyFont="1" applyFill="1" applyBorder="1" applyAlignment="1">
      <alignment horizontal="center"/>
    </xf>
    <xf numFmtId="2" fontId="2" fillId="9" borderId="14" xfId="0" applyNumberFormat="1" applyFont="1" applyFill="1" applyBorder="1" applyAlignment="1">
      <alignment horizontal="center" vertical="center"/>
    </xf>
    <xf numFmtId="167" fontId="2" fillId="9" borderId="14" xfId="0" applyNumberFormat="1" applyFont="1" applyFill="1" applyBorder="1" applyAlignment="1">
      <alignment horizontal="center" vertical="center"/>
    </xf>
    <xf numFmtId="0" fontId="4" fillId="9" borderId="18" xfId="0" applyFont="1" applyFill="1" applyBorder="1" applyAlignment="1">
      <alignment horizontal="center"/>
    </xf>
    <xf numFmtId="0" fontId="4" fillId="9" borderId="129" xfId="0" applyFont="1" applyFill="1" applyBorder="1" applyAlignment="1">
      <alignment horizontal="center"/>
    </xf>
    <xf numFmtId="0" fontId="4" fillId="9" borderId="131" xfId="0" applyFont="1" applyFill="1" applyBorder="1" applyAlignment="1">
      <alignment horizontal="center"/>
    </xf>
    <xf numFmtId="164" fontId="2" fillId="9" borderId="82" xfId="0" applyNumberFormat="1" applyFont="1" applyFill="1" applyBorder="1" applyAlignment="1">
      <alignment horizontal="center" vertical="center"/>
    </xf>
    <xf numFmtId="168" fontId="2" fillId="9" borderId="58" xfId="0" applyNumberFormat="1" applyFont="1" applyFill="1" applyBorder="1" applyAlignment="1">
      <alignment horizontal="center" vertical="center"/>
    </xf>
    <xf numFmtId="0" fontId="4" fillId="9" borderId="125" xfId="0" applyFont="1" applyFill="1" applyBorder="1" applyAlignment="1">
      <alignment horizontal="center"/>
    </xf>
    <xf numFmtId="0" fontId="4" fillId="9" borderId="79" xfId="0" applyFont="1" applyFill="1" applyBorder="1" applyAlignment="1">
      <alignment horizontal="center"/>
    </xf>
    <xf numFmtId="0" fontId="4" fillId="9" borderId="110" xfId="0" applyFont="1" applyFill="1" applyBorder="1" applyAlignment="1">
      <alignment horizontal="center"/>
    </xf>
    <xf numFmtId="167" fontId="2" fillId="9" borderId="58" xfId="0" applyNumberFormat="1" applyFont="1" applyFill="1" applyBorder="1" applyAlignment="1">
      <alignment horizontal="center" vertical="center"/>
    </xf>
    <xf numFmtId="0" fontId="4" fillId="5" borderId="61" xfId="0" applyFont="1" applyFill="1" applyBorder="1" applyAlignment="1">
      <alignment horizontal="center"/>
    </xf>
    <xf numFmtId="0" fontId="4" fillId="5" borderId="62" xfId="0" applyNumberFormat="1" applyFont="1" applyFill="1" applyBorder="1" applyAlignment="1">
      <alignment horizontal="center"/>
    </xf>
    <xf numFmtId="0" fontId="4" fillId="5" borderId="63" xfId="0" applyNumberFormat="1" applyFont="1" applyFill="1" applyBorder="1" applyAlignment="1">
      <alignment horizontal="center"/>
    </xf>
    <xf numFmtId="0" fontId="2" fillId="20" borderId="10" xfId="0" applyFont="1" applyFill="1" applyBorder="1" applyAlignment="1">
      <alignment vertical="center"/>
    </xf>
    <xf numFmtId="164" fontId="71" fillId="20" borderId="10" xfId="0" applyNumberFormat="1" applyFont="1" applyFill="1" applyBorder="1" applyAlignment="1">
      <alignment horizontal="center" vertical="center"/>
    </xf>
    <xf numFmtId="164" fontId="2" fillId="21" borderId="58" xfId="0" applyNumberFormat="1" applyFont="1" applyFill="1" applyBorder="1" applyAlignment="1">
      <alignment horizontal="center" vertical="center"/>
    </xf>
    <xf numFmtId="164" fontId="2" fillId="21" borderId="1" xfId="0" applyNumberFormat="1" applyFont="1" applyFill="1" applyBorder="1" applyAlignment="1">
      <alignment horizontal="center" vertical="center"/>
    </xf>
    <xf numFmtId="164" fontId="2" fillId="21" borderId="59" xfId="0" applyNumberFormat="1" applyFont="1" applyFill="1" applyBorder="1" applyAlignment="1">
      <alignment horizontal="center" vertical="center"/>
    </xf>
    <xf numFmtId="164" fontId="2" fillId="22" borderId="58" xfId="0" applyNumberFormat="1" applyFont="1" applyFill="1" applyBorder="1" applyAlignment="1">
      <alignment horizontal="center" vertical="center"/>
    </xf>
    <xf numFmtId="164" fontId="2" fillId="22" borderId="1" xfId="0" applyNumberFormat="1" applyFont="1" applyFill="1" applyBorder="1" applyAlignment="1">
      <alignment horizontal="center" vertical="center"/>
    </xf>
    <xf numFmtId="164" fontId="2" fillId="22" borderId="59" xfId="0" applyNumberFormat="1" applyFont="1" applyFill="1" applyBorder="1" applyAlignment="1">
      <alignment horizontal="center" vertical="center"/>
    </xf>
    <xf numFmtId="164" fontId="2" fillId="23" borderId="58" xfId="0" applyNumberFormat="1" applyFont="1" applyFill="1" applyBorder="1" applyAlignment="1">
      <alignment horizontal="center" vertical="center"/>
    </xf>
    <xf numFmtId="164" fontId="2" fillId="23" borderId="1" xfId="0" applyNumberFormat="1" applyFont="1" applyFill="1" applyBorder="1" applyAlignment="1">
      <alignment horizontal="center" vertical="center"/>
    </xf>
    <xf numFmtId="164" fontId="2" fillId="23" borderId="59" xfId="0" applyNumberFormat="1" applyFont="1" applyFill="1" applyBorder="1" applyAlignment="1">
      <alignment horizontal="center" vertical="center"/>
    </xf>
    <xf numFmtId="164" fontId="2" fillId="23" borderId="16" xfId="0" applyNumberFormat="1" applyFont="1" applyFill="1" applyBorder="1" applyAlignment="1">
      <alignment horizontal="center"/>
    </xf>
    <xf numFmtId="164" fontId="2" fillId="20" borderId="10" xfId="0" applyNumberFormat="1" applyFont="1" applyFill="1" applyBorder="1" applyAlignment="1">
      <alignment horizontal="center" vertical="center"/>
    </xf>
    <xf numFmtId="164" fontId="2" fillId="23" borderId="60" xfId="0" applyNumberFormat="1" applyFont="1" applyFill="1" applyBorder="1" applyAlignment="1">
      <alignment horizontal="center" vertical="center"/>
    </xf>
    <xf numFmtId="164" fontId="85" fillId="20" borderId="10" xfId="0" applyNumberFormat="1" applyFont="1" applyFill="1" applyBorder="1" applyAlignment="1">
      <alignment horizontal="center" vertical="center"/>
    </xf>
    <xf numFmtId="0" fontId="2" fillId="21" borderId="46" xfId="0" applyNumberFormat="1" applyFont="1" applyFill="1" applyBorder="1" applyAlignment="1">
      <alignment horizontal="center" vertical="center"/>
    </xf>
    <xf numFmtId="11" fontId="2" fillId="22" borderId="59" xfId="0" applyNumberFormat="1" applyFont="1" applyFill="1" applyBorder="1" applyAlignment="1">
      <alignment horizontal="center" vertical="center"/>
    </xf>
    <xf numFmtId="164" fontId="2" fillId="23" borderId="15" xfId="0" applyNumberFormat="1" applyFont="1" applyFill="1" applyBorder="1" applyAlignment="1">
      <alignment horizontal="center" vertical="center"/>
    </xf>
    <xf numFmtId="11" fontId="2" fillId="23" borderId="48" xfId="0" applyNumberFormat="1" applyFont="1" applyFill="1" applyBorder="1" applyAlignment="1">
      <alignment horizontal="center" vertical="center"/>
    </xf>
    <xf numFmtId="11" fontId="2" fillId="20" borderId="10" xfId="0" applyNumberFormat="1" applyFont="1" applyFill="1" applyBorder="1" applyAlignment="1">
      <alignment horizontal="center" vertical="center"/>
    </xf>
    <xf numFmtId="0" fontId="2" fillId="24" borderId="10" xfId="0" applyFont="1" applyFill="1" applyBorder="1" applyAlignment="1">
      <alignment vertical="center"/>
    </xf>
    <xf numFmtId="164" fontId="71" fillId="24" borderId="10" xfId="0" applyNumberFormat="1" applyFont="1" applyFill="1" applyBorder="1" applyAlignment="1">
      <alignment horizontal="center" vertical="center"/>
    </xf>
    <xf numFmtId="164" fontId="2" fillId="25" borderId="58" xfId="0" applyNumberFormat="1" applyFont="1" applyFill="1" applyBorder="1" applyAlignment="1">
      <alignment horizontal="center" vertical="center"/>
    </xf>
    <xf numFmtId="164" fontId="2" fillId="25" borderId="1" xfId="0" applyNumberFormat="1" applyFont="1" applyFill="1" applyBorder="1" applyAlignment="1">
      <alignment horizontal="center" vertical="center"/>
    </xf>
    <xf numFmtId="164" fontId="2" fillId="25" borderId="59" xfId="0" applyNumberFormat="1" applyFont="1" applyFill="1" applyBorder="1" applyAlignment="1">
      <alignment horizontal="center" vertical="center"/>
    </xf>
    <xf numFmtId="164" fontId="2" fillId="26" borderId="58" xfId="0" applyNumberFormat="1" applyFont="1" applyFill="1" applyBorder="1" applyAlignment="1">
      <alignment horizontal="center" vertical="center"/>
    </xf>
    <xf numFmtId="164" fontId="2" fillId="26" borderId="1" xfId="0" applyNumberFormat="1" applyFont="1" applyFill="1" applyBorder="1" applyAlignment="1">
      <alignment horizontal="center" vertical="center"/>
    </xf>
    <xf numFmtId="164" fontId="2" fillId="26" borderId="59" xfId="0" applyNumberFormat="1" applyFont="1" applyFill="1" applyBorder="1" applyAlignment="1">
      <alignment horizontal="center" vertical="center"/>
    </xf>
    <xf numFmtId="164" fontId="2" fillId="26" borderId="16" xfId="0" applyNumberFormat="1" applyFont="1" applyFill="1" applyBorder="1" applyAlignment="1">
      <alignment horizontal="center"/>
    </xf>
    <xf numFmtId="164" fontId="2" fillId="24" borderId="10" xfId="0" applyNumberFormat="1" applyFont="1" applyFill="1" applyBorder="1" applyAlignment="1">
      <alignment horizontal="center" vertical="center"/>
    </xf>
    <xf numFmtId="164" fontId="71" fillId="20" borderId="10" xfId="0" applyNumberFormat="1" applyFont="1" applyFill="1" applyBorder="1" applyAlignment="1">
      <alignment horizontal="center" vertical="center" wrapText="1"/>
    </xf>
    <xf numFmtId="164" fontId="71" fillId="20" borderId="14" xfId="0" applyNumberFormat="1" applyFont="1" applyFill="1" applyBorder="1" applyAlignment="1">
      <alignment horizontal="center" vertical="center"/>
    </xf>
    <xf numFmtId="164" fontId="2" fillId="27" borderId="58" xfId="0" applyNumberFormat="1" applyFont="1" applyFill="1" applyBorder="1" applyAlignment="1">
      <alignment horizontal="center" vertical="center"/>
    </xf>
    <xf numFmtId="164" fontId="2" fillId="27" borderId="1" xfId="0" applyNumberFormat="1" applyFont="1" applyFill="1" applyBorder="1" applyAlignment="1">
      <alignment horizontal="center" vertical="center"/>
    </xf>
    <xf numFmtId="164" fontId="2" fillId="27" borderId="59" xfId="0" applyNumberFormat="1" applyFont="1" applyFill="1" applyBorder="1" applyAlignment="1">
      <alignment horizontal="center" vertical="center"/>
    </xf>
    <xf numFmtId="11" fontId="2" fillId="22" borderId="58" xfId="0" applyNumberFormat="1" applyFont="1" applyFill="1" applyBorder="1" applyAlignment="1">
      <alignment horizontal="center" vertical="center"/>
    </xf>
    <xf numFmtId="171" fontId="2" fillId="23" borderId="59" xfId="0" applyNumberFormat="1" applyFont="1" applyFill="1" applyBorder="1" applyAlignment="1">
      <alignment horizontal="center" vertical="center"/>
    </xf>
    <xf numFmtId="11" fontId="2" fillId="23" borderId="1" xfId="0" applyNumberFormat="1" applyFont="1" applyFill="1" applyBorder="1" applyAlignment="1">
      <alignment horizontal="center" vertical="center"/>
    </xf>
    <xf numFmtId="164" fontId="2" fillId="20" borderId="58" xfId="0" applyNumberFormat="1" applyFont="1" applyFill="1" applyBorder="1" applyAlignment="1">
      <alignment horizontal="center" vertical="center"/>
    </xf>
    <xf numFmtId="164" fontId="2" fillId="20" borderId="1" xfId="0" applyNumberFormat="1" applyFont="1" applyFill="1" applyBorder="1" applyAlignment="1">
      <alignment horizontal="center" vertical="center"/>
    </xf>
    <xf numFmtId="164" fontId="2" fillId="20" borderId="71" xfId="0" applyNumberFormat="1" applyFont="1" applyFill="1" applyBorder="1" applyAlignment="1">
      <alignment horizontal="center" vertical="center"/>
    </xf>
    <xf numFmtId="164" fontId="71" fillId="20" borderId="48" xfId="0" applyNumberFormat="1" applyFont="1" applyFill="1" applyBorder="1" applyAlignment="1">
      <alignment horizontal="center" vertical="center"/>
    </xf>
    <xf numFmtId="164" fontId="2" fillId="21" borderId="10" xfId="0" applyNumberFormat="1" applyFont="1" applyFill="1" applyBorder="1" applyAlignment="1">
      <alignment horizontal="center" vertical="center"/>
    </xf>
    <xf numFmtId="164" fontId="2" fillId="21" borderId="14" xfId="0" applyNumberFormat="1" applyFont="1" applyFill="1" applyBorder="1" applyAlignment="1">
      <alignment horizontal="center" vertical="center"/>
    </xf>
    <xf numFmtId="164" fontId="2" fillId="22" borderId="10" xfId="0" applyNumberFormat="1" applyFont="1" applyFill="1" applyBorder="1" applyAlignment="1">
      <alignment horizontal="center" vertical="center"/>
    </xf>
    <xf numFmtId="164" fontId="2" fillId="22" borderId="60" xfId="0" applyNumberFormat="1" applyFont="1" applyFill="1" applyBorder="1" applyAlignment="1">
      <alignment horizontal="center" vertical="center"/>
    </xf>
    <xf numFmtId="164" fontId="2" fillId="23" borderId="10" xfId="0" applyNumberFormat="1" applyFont="1" applyFill="1" applyBorder="1" applyAlignment="1">
      <alignment horizontal="center" vertical="center"/>
    </xf>
    <xf numFmtId="164" fontId="2" fillId="20" borderId="60" xfId="0" applyNumberFormat="1" applyFont="1" applyFill="1" applyBorder="1" applyAlignment="1">
      <alignment horizontal="center" vertical="center"/>
    </xf>
    <xf numFmtId="164" fontId="2" fillId="20" borderId="59" xfId="0" applyNumberFormat="1" applyFont="1" applyFill="1" applyBorder="1" applyAlignment="1">
      <alignment horizontal="center" vertical="center"/>
    </xf>
    <xf numFmtId="0" fontId="4" fillId="24" borderId="10" xfId="0" applyFont="1" applyFill="1" applyBorder="1" applyAlignment="1">
      <alignment vertical="center"/>
    </xf>
    <xf numFmtId="164" fontId="71" fillId="24" borderId="58" xfId="0" applyNumberFormat="1" applyFont="1" applyFill="1" applyBorder="1" applyAlignment="1">
      <alignment horizontal="center" vertical="center"/>
    </xf>
    <xf numFmtId="164" fontId="71" fillId="24" borderId="59" xfId="0" applyNumberFormat="1" applyFont="1" applyFill="1" applyBorder="1" applyAlignment="1">
      <alignment horizontal="center" vertical="center"/>
    </xf>
    <xf numFmtId="164" fontId="2" fillId="26" borderId="60" xfId="0" applyNumberFormat="1" applyFont="1" applyFill="1" applyBorder="1" applyAlignment="1">
      <alignment horizontal="center" vertical="center"/>
    </xf>
    <xf numFmtId="164" fontId="71" fillId="28" borderId="15" xfId="0" applyNumberFormat="1" applyFont="1" applyFill="1" applyBorder="1" applyAlignment="1">
      <alignment horizontal="center" vertical="center"/>
    </xf>
    <xf numFmtId="164" fontId="71" fillId="28" borderId="58" xfId="0" applyNumberFormat="1" applyFont="1" applyFill="1" applyBorder="1" applyAlignment="1">
      <alignment horizontal="center" vertical="center"/>
    </xf>
    <xf numFmtId="164" fontId="71" fillId="28" borderId="1" xfId="0" applyNumberFormat="1" applyFont="1" applyFill="1" applyBorder="1" applyAlignment="1">
      <alignment horizontal="center" vertical="center"/>
    </xf>
    <xf numFmtId="164" fontId="71" fillId="28" borderId="59" xfId="0" applyNumberFormat="1" applyFont="1" applyFill="1" applyBorder="1" applyAlignment="1">
      <alignment horizontal="center" vertical="center"/>
    </xf>
    <xf numFmtId="164" fontId="71" fillId="28" borderId="10" xfId="0" applyNumberFormat="1" applyFont="1" applyFill="1" applyBorder="1" applyAlignment="1">
      <alignment horizontal="center" vertical="center"/>
    </xf>
    <xf numFmtId="164" fontId="2" fillId="28" borderId="10" xfId="0" applyNumberFormat="1" applyFont="1" applyFill="1" applyBorder="1" applyAlignment="1">
      <alignment horizontal="center" vertical="center"/>
    </xf>
    <xf numFmtId="164" fontId="2" fillId="28" borderId="58" xfId="0" applyNumberFormat="1" applyFont="1" applyFill="1" applyBorder="1" applyAlignment="1">
      <alignment horizontal="center" vertical="center"/>
    </xf>
    <xf numFmtId="164" fontId="2" fillId="28" borderId="1" xfId="0" applyNumberFormat="1" applyFont="1" applyFill="1" applyBorder="1" applyAlignment="1">
      <alignment horizontal="center" vertical="center"/>
    </xf>
    <xf numFmtId="164" fontId="2" fillId="28" borderId="59" xfId="0" applyNumberFormat="1" applyFont="1" applyFill="1" applyBorder="1" applyAlignment="1">
      <alignment horizontal="center" vertical="center"/>
    </xf>
    <xf numFmtId="164" fontId="2" fillId="28" borderId="1" xfId="0" quotePrefix="1" applyNumberFormat="1" applyFont="1" applyFill="1" applyBorder="1" applyAlignment="1">
      <alignment horizontal="center" vertical="center"/>
    </xf>
    <xf numFmtId="164" fontId="2" fillId="28" borderId="59" xfId="0" quotePrefix="1" applyNumberFormat="1" applyFont="1" applyFill="1" applyBorder="1" applyAlignment="1">
      <alignment horizontal="center" vertical="center"/>
    </xf>
    <xf numFmtId="11" fontId="2" fillId="28" borderId="10" xfId="0" applyNumberFormat="1" applyFont="1" applyFill="1" applyBorder="1" applyAlignment="1">
      <alignment horizontal="center" vertical="center"/>
    </xf>
    <xf numFmtId="11" fontId="2" fillId="28" borderId="58" xfId="0" applyNumberFormat="1" applyFont="1" applyFill="1" applyBorder="1" applyAlignment="1">
      <alignment horizontal="center" vertical="center"/>
    </xf>
    <xf numFmtId="11" fontId="2" fillId="28" borderId="1" xfId="0" applyNumberFormat="1" applyFont="1" applyFill="1" applyBorder="1" applyAlignment="1">
      <alignment horizontal="center" vertical="center"/>
    </xf>
    <xf numFmtId="11" fontId="2" fillId="28" borderId="59" xfId="0" applyNumberFormat="1" applyFont="1" applyFill="1" applyBorder="1" applyAlignment="1">
      <alignment horizontal="center" vertical="center"/>
    </xf>
    <xf numFmtId="164" fontId="85" fillId="28" borderId="10" xfId="0" applyNumberFormat="1" applyFont="1" applyFill="1" applyBorder="1" applyAlignment="1">
      <alignment horizontal="center" vertical="center"/>
    </xf>
    <xf numFmtId="11" fontId="2" fillId="4" borderId="1" xfId="0" quotePrefix="1" applyNumberFormat="1" applyFont="1" applyFill="1" applyBorder="1" applyAlignment="1">
      <alignment horizontal="center" vertical="center"/>
    </xf>
    <xf numFmtId="0" fontId="4" fillId="5" borderId="59" xfId="0" applyFont="1" applyFill="1" applyBorder="1" applyAlignment="1">
      <alignment horizontal="center"/>
    </xf>
    <xf numFmtId="0" fontId="4" fillId="5" borderId="58" xfId="0" quotePrefix="1" applyNumberFormat="1" applyFont="1" applyFill="1" applyBorder="1" applyAlignment="1">
      <alignment horizontal="center"/>
    </xf>
    <xf numFmtId="0" fontId="4" fillId="5" borderId="17" xfId="0" applyFont="1" applyFill="1" applyBorder="1" applyAlignment="1">
      <alignment horizontal="center"/>
    </xf>
    <xf numFmtId="0" fontId="4" fillId="5" borderId="1" xfId="0" quotePrefix="1" applyNumberFormat="1" applyFont="1" applyFill="1" applyBorder="1" applyAlignment="1">
      <alignment horizontal="center"/>
    </xf>
    <xf numFmtId="0" fontId="4" fillId="5" borderId="132" xfId="0" applyFont="1" applyFill="1" applyBorder="1" applyAlignment="1">
      <alignment horizontal="center"/>
    </xf>
    <xf numFmtId="0" fontId="4" fillId="5" borderId="17" xfId="0" quotePrefix="1" applyNumberFormat="1" applyFont="1" applyFill="1" applyBorder="1" applyAlignment="1">
      <alignment horizontal="center"/>
    </xf>
    <xf numFmtId="0" fontId="4" fillId="5" borderId="60" xfId="0" quotePrefix="1" applyNumberFormat="1" applyFont="1" applyFill="1" applyBorder="1" applyAlignment="1">
      <alignment horizontal="center"/>
    </xf>
    <xf numFmtId="0" fontId="4" fillId="5" borderId="127" xfId="0" applyFont="1" applyFill="1" applyBorder="1" applyAlignment="1">
      <alignment horizontal="center"/>
    </xf>
    <xf numFmtId="0" fontId="4" fillId="5" borderId="1" xfId="0" applyFont="1" applyFill="1" applyBorder="1" applyAlignment="1">
      <alignment horizontal="center"/>
    </xf>
    <xf numFmtId="0" fontId="4" fillId="5" borderId="79" xfId="0" quotePrefix="1" applyNumberFormat="1" applyFont="1" applyFill="1" applyBorder="1" applyAlignment="1">
      <alignment horizontal="center"/>
    </xf>
    <xf numFmtId="0" fontId="4" fillId="5" borderId="133" xfId="0" applyFont="1" applyFill="1" applyBorder="1" applyAlignment="1">
      <alignment horizontal="center"/>
    </xf>
    <xf numFmtId="0" fontId="4" fillId="5" borderId="80" xfId="0" quotePrefix="1" applyNumberFormat="1" applyFont="1" applyFill="1" applyBorder="1" applyAlignment="1">
      <alignment horizontal="center"/>
    </xf>
    <xf numFmtId="0" fontId="4" fillId="5" borderId="80" xfId="0" applyFont="1" applyFill="1" applyBorder="1" applyAlignment="1">
      <alignment horizontal="center"/>
    </xf>
    <xf numFmtId="0" fontId="4" fillId="5" borderId="111" xfId="0" quotePrefix="1" applyNumberFormat="1" applyFont="1" applyFill="1" applyBorder="1" applyAlignment="1">
      <alignment horizontal="center"/>
    </xf>
    <xf numFmtId="0" fontId="4" fillId="5" borderId="134" xfId="0" applyFont="1" applyFill="1" applyBorder="1" applyAlignment="1">
      <alignment horizontal="center"/>
    </xf>
    <xf numFmtId="0" fontId="4" fillId="5" borderId="111" xfId="0" applyFont="1" applyFill="1" applyBorder="1" applyAlignment="1">
      <alignment horizontal="center"/>
    </xf>
    <xf numFmtId="0" fontId="4" fillId="5" borderId="64" xfId="0" quotePrefix="1" applyNumberFormat="1" applyFont="1" applyFill="1" applyBorder="1" applyAlignment="1">
      <alignment horizontal="center"/>
    </xf>
    <xf numFmtId="0" fontId="4" fillId="5" borderId="65" xfId="0" applyFont="1" applyFill="1" applyBorder="1" applyAlignment="1">
      <alignment horizontal="center"/>
    </xf>
    <xf numFmtId="0" fontId="4" fillId="5" borderId="66" xfId="0" applyFont="1" applyFill="1" applyBorder="1" applyAlignment="1">
      <alignment horizontal="center"/>
    </xf>
    <xf numFmtId="165" fontId="2" fillId="9" borderId="123" xfId="0" applyNumberFormat="1" applyFont="1" applyFill="1" applyBorder="1" applyAlignment="1">
      <alignment horizontal="center" vertical="center"/>
    </xf>
    <xf numFmtId="0" fontId="2" fillId="9" borderId="1" xfId="0" applyNumberFormat="1" applyFont="1" applyFill="1" applyBorder="1" applyAlignment="1">
      <alignment horizontal="center" vertical="center"/>
    </xf>
    <xf numFmtId="166" fontId="2" fillId="5" borderId="76" xfId="0" applyNumberFormat="1" applyFont="1" applyFill="1" applyBorder="1" applyAlignment="1">
      <alignment horizontal="center" vertical="center"/>
    </xf>
    <xf numFmtId="167" fontId="2" fillId="9" borderId="105" xfId="0" applyNumberFormat="1" applyFont="1" applyFill="1" applyBorder="1" applyAlignment="1">
      <alignment horizontal="center" vertical="center"/>
    </xf>
    <xf numFmtId="11" fontId="2" fillId="9" borderId="58" xfId="0" applyNumberFormat="1" applyFont="1" applyFill="1" applyBorder="1" applyAlignment="1">
      <alignment horizontal="center" vertical="center"/>
    </xf>
    <xf numFmtId="11" fontId="2" fillId="9" borderId="1" xfId="0" applyNumberFormat="1" applyFont="1" applyFill="1" applyBorder="1" applyAlignment="1">
      <alignment horizontal="center" vertical="center"/>
    </xf>
    <xf numFmtId="11" fontId="2" fillId="9" borderId="59" xfId="0" applyNumberFormat="1" applyFont="1" applyFill="1" applyBorder="1" applyAlignment="1">
      <alignment horizontal="center" vertical="center"/>
    </xf>
    <xf numFmtId="11" fontId="2" fillId="9" borderId="64" xfId="0" applyNumberFormat="1" applyFont="1" applyFill="1" applyBorder="1" applyAlignment="1">
      <alignment horizontal="center" vertical="center"/>
    </xf>
    <xf numFmtId="11" fontId="2" fillId="9" borderId="65" xfId="0" applyNumberFormat="1" applyFont="1" applyFill="1" applyBorder="1" applyAlignment="1">
      <alignment horizontal="center" vertical="center"/>
    </xf>
    <xf numFmtId="11" fontId="2" fillId="9" borderId="66" xfId="0" applyNumberFormat="1" applyFont="1" applyFill="1" applyBorder="1" applyAlignment="1">
      <alignment horizontal="center" vertical="center"/>
    </xf>
    <xf numFmtId="2" fontId="2" fillId="9" borderId="60" xfId="0" applyNumberFormat="1" applyFont="1" applyFill="1" applyBorder="1" applyAlignment="1">
      <alignment horizontal="center" vertical="center"/>
    </xf>
    <xf numFmtId="0" fontId="3" fillId="9" borderId="52" xfId="0" applyFont="1" applyFill="1" applyBorder="1" applyAlignment="1">
      <alignment horizontal="center" vertical="center"/>
    </xf>
    <xf numFmtId="1" fontId="2" fillId="9" borderId="64" xfId="0" applyNumberFormat="1" applyFont="1" applyFill="1" applyBorder="1" applyAlignment="1">
      <alignment horizontal="center" vertical="center"/>
    </xf>
    <xf numFmtId="0" fontId="2" fillId="9" borderId="59" xfId="0" applyNumberFormat="1" applyFont="1" applyFill="1" applyBorder="1" applyAlignment="1">
      <alignment horizontal="center" vertical="center"/>
    </xf>
    <xf numFmtId="0" fontId="2" fillId="5" borderId="76" xfId="0" applyNumberFormat="1" applyFont="1" applyFill="1" applyBorder="1" applyAlignment="1">
      <alignment horizontal="center" vertical="center"/>
    </xf>
    <xf numFmtId="0" fontId="2" fillId="5" borderId="77" xfId="0" applyNumberFormat="1" applyFont="1" applyFill="1" applyBorder="1" applyAlignment="1">
      <alignment horizontal="center" vertical="center"/>
    </xf>
    <xf numFmtId="1" fontId="4" fillId="9" borderId="59" xfId="0" applyNumberFormat="1" applyFont="1" applyFill="1" applyBorder="1" applyAlignment="1">
      <alignment horizontal="center" vertical="center"/>
    </xf>
    <xf numFmtId="167" fontId="4" fillId="9" borderId="71" xfId="0" applyNumberFormat="1" applyFont="1" applyFill="1" applyBorder="1" applyAlignment="1">
      <alignment horizontal="center" vertical="center"/>
    </xf>
    <xf numFmtId="1" fontId="4" fillId="9" borderId="65" xfId="0" applyNumberFormat="1" applyFont="1" applyFill="1" applyBorder="1" applyAlignment="1">
      <alignment horizontal="center" vertical="center"/>
    </xf>
    <xf numFmtId="11" fontId="17" fillId="4" borderId="55" xfId="0" applyNumberFormat="1" applyFont="1" applyFill="1" applyBorder="1" applyAlignment="1">
      <alignment horizontal="center" vertical="center"/>
    </xf>
    <xf numFmtId="11" fontId="51" fillId="4" borderId="45" xfId="0" applyNumberFormat="1" applyFont="1" applyFill="1" applyBorder="1" applyAlignment="1">
      <alignment horizontal="center" vertical="center"/>
    </xf>
    <xf numFmtId="164" fontId="2" fillId="7" borderId="71" xfId="0" applyNumberFormat="1" applyFont="1" applyFill="1" applyBorder="1" applyAlignment="1">
      <alignment horizontal="center" vertical="center"/>
    </xf>
    <xf numFmtId="164" fontId="2" fillId="23" borderId="71" xfId="0" applyNumberFormat="1" applyFont="1" applyFill="1" applyBorder="1" applyAlignment="1">
      <alignment horizontal="center" vertical="center"/>
    </xf>
    <xf numFmtId="164" fontId="2" fillId="7" borderId="123" xfId="0" applyNumberFormat="1" applyFont="1" applyFill="1" applyBorder="1" applyAlignment="1">
      <alignment horizontal="center" vertical="center"/>
    </xf>
    <xf numFmtId="164" fontId="2" fillId="7" borderId="86" xfId="0" applyNumberFormat="1" applyFont="1" applyFill="1" applyBorder="1" applyAlignment="1">
      <alignment horizontal="center" vertical="center"/>
    </xf>
    <xf numFmtId="164" fontId="2" fillId="7" borderId="62" xfId="0" applyNumberFormat="1" applyFont="1" applyFill="1" applyBorder="1" applyAlignment="1">
      <alignment horizontal="center" vertical="center"/>
    </xf>
    <xf numFmtId="0" fontId="66" fillId="7" borderId="53" xfId="0" applyFont="1" applyFill="1" applyBorder="1" applyAlignment="1">
      <alignment horizontal="center" vertical="center"/>
    </xf>
    <xf numFmtId="0" fontId="0" fillId="3" borderId="135" xfId="0" applyNumberFormat="1" applyFill="1" applyBorder="1"/>
    <xf numFmtId="0" fontId="16" fillId="3" borderId="136" xfId="0" applyFont="1" applyFill="1" applyBorder="1" applyAlignment="1">
      <alignment horizontal="left"/>
    </xf>
    <xf numFmtId="0" fontId="0" fillId="3" borderId="137" xfId="0" applyFill="1" applyBorder="1"/>
    <xf numFmtId="0" fontId="0" fillId="3" borderId="138" xfId="0" applyNumberFormat="1" applyFill="1" applyBorder="1"/>
    <xf numFmtId="0" fontId="16" fillId="3" borderId="139" xfId="0" applyFont="1" applyFill="1" applyBorder="1" applyAlignment="1">
      <alignment horizontal="left"/>
    </xf>
    <xf numFmtId="0" fontId="16" fillId="3" borderId="139" xfId="0" applyFont="1" applyFill="1" applyBorder="1" applyAlignment="1">
      <alignment horizontal="right"/>
    </xf>
    <xf numFmtId="1" fontId="0" fillId="3" borderId="140" xfId="0" applyNumberFormat="1" applyFill="1" applyBorder="1"/>
    <xf numFmtId="164" fontId="2" fillId="4" borderId="15" xfId="0" applyNumberFormat="1" applyFont="1" applyFill="1" applyBorder="1" applyAlignment="1">
      <alignment horizontal="center" vertical="center"/>
    </xf>
    <xf numFmtId="0" fontId="4" fillId="29" borderId="10" xfId="0" applyFont="1" applyFill="1" applyBorder="1" applyAlignment="1">
      <alignment vertical="center"/>
    </xf>
    <xf numFmtId="0" fontId="4" fillId="29" borderId="67" xfId="0" applyFont="1" applyFill="1" applyBorder="1" applyAlignment="1">
      <alignment vertical="center"/>
    </xf>
    <xf numFmtId="0" fontId="4" fillId="9" borderId="45" xfId="0" applyFont="1" applyFill="1" applyBorder="1" applyAlignment="1">
      <alignment horizontal="center" vertical="center"/>
    </xf>
    <xf numFmtId="0" fontId="4" fillId="9" borderId="22" xfId="0" applyFont="1" applyFill="1" applyBorder="1" applyAlignment="1">
      <alignment horizontal="center" vertical="center"/>
    </xf>
    <xf numFmtId="164" fontId="11" fillId="9" borderId="55" xfId="0" applyNumberFormat="1" applyFont="1" applyFill="1" applyBorder="1" applyAlignment="1">
      <alignment horizontal="center" vertical="center"/>
    </xf>
    <xf numFmtId="165" fontId="17" fillId="4" borderId="55" xfId="0" applyNumberFormat="1" applyFont="1" applyFill="1" applyBorder="1" applyAlignment="1">
      <alignment horizontal="center" vertical="center"/>
    </xf>
    <xf numFmtId="0" fontId="51" fillId="3" borderId="44" xfId="0" applyNumberFormat="1" applyFont="1" applyFill="1" applyBorder="1" applyAlignment="1">
      <alignment horizontal="center" vertical="center"/>
    </xf>
    <xf numFmtId="0" fontId="3" fillId="7" borderId="57" xfId="0" applyNumberFormat="1" applyFont="1" applyFill="1" applyBorder="1" applyAlignment="1">
      <alignment horizontal="center" vertical="center"/>
    </xf>
    <xf numFmtId="164" fontId="30" fillId="7" borderId="56" xfId="0" applyNumberFormat="1" applyFont="1" applyFill="1" applyBorder="1" applyAlignment="1">
      <alignment horizontal="center" vertical="center"/>
    </xf>
    <xf numFmtId="164" fontId="30" fillId="7" borderId="57" xfId="0" applyNumberFormat="1" applyFont="1" applyFill="1" applyBorder="1" applyAlignment="1">
      <alignment horizontal="center" vertical="center"/>
    </xf>
    <xf numFmtId="0" fontId="1" fillId="0" borderId="0" xfId="0" applyFont="1" applyAlignment="1">
      <alignment horizontal="center" vertical="center"/>
    </xf>
    <xf numFmtId="0" fontId="1" fillId="0" borderId="0" xfId="0" applyFont="1" applyFill="1" applyBorder="1" applyAlignment="1">
      <alignment horizontal="center" vertical="center"/>
    </xf>
    <xf numFmtId="0" fontId="1" fillId="0" borderId="0" xfId="0" applyFont="1" applyFill="1" applyBorder="1"/>
    <xf numFmtId="0" fontId="1" fillId="0" borderId="0" xfId="0" applyFont="1" applyFill="1" applyBorder="1" applyAlignment="1">
      <alignment horizontal="center"/>
    </xf>
    <xf numFmtId="0" fontId="1" fillId="0" borderId="0" xfId="0" applyNumberFormat="1" applyFont="1" applyFill="1" applyBorder="1" applyAlignment="1">
      <alignment horizontal="center"/>
    </xf>
    <xf numFmtId="0" fontId="1" fillId="9" borderId="56" xfId="0" applyFont="1" applyFill="1" applyBorder="1" applyAlignment="1">
      <alignment horizontal="center" vertical="center"/>
    </xf>
    <xf numFmtId="0" fontId="1" fillId="9" borderId="55" xfId="0" applyFont="1" applyFill="1" applyBorder="1" applyAlignment="1">
      <alignment horizontal="center" vertical="center"/>
    </xf>
    <xf numFmtId="0" fontId="1" fillId="9" borderId="2" xfId="0" applyFont="1" applyFill="1" applyBorder="1" applyAlignment="1">
      <alignment horizontal="center" vertical="center"/>
    </xf>
    <xf numFmtId="0" fontId="1" fillId="9" borderId="57" xfId="0" applyFont="1" applyFill="1" applyBorder="1" applyAlignment="1">
      <alignment horizontal="center" vertical="center"/>
    </xf>
    <xf numFmtId="0" fontId="1" fillId="9" borderId="45" xfId="0" applyFont="1" applyFill="1" applyBorder="1" applyAlignment="1">
      <alignment horizontal="center"/>
    </xf>
    <xf numFmtId="0" fontId="1" fillId="9" borderId="22" xfId="0" applyFont="1" applyFill="1" applyBorder="1" applyAlignment="1">
      <alignment horizontal="center"/>
    </xf>
    <xf numFmtId="0" fontId="1" fillId="0" borderId="13" xfId="0" applyFont="1" applyFill="1" applyBorder="1"/>
    <xf numFmtId="0" fontId="1" fillId="0" borderId="0" xfId="0" applyFont="1" applyFill="1"/>
    <xf numFmtId="164" fontId="11" fillId="0" borderId="2" xfId="0" applyNumberFormat="1" applyFont="1" applyFill="1" applyBorder="1" applyAlignment="1">
      <alignment horizontal="left" vertical="center" wrapText="1"/>
    </xf>
    <xf numFmtId="0" fontId="11" fillId="0" borderId="2" xfId="0" applyFont="1" applyBorder="1" applyAlignment="1">
      <alignment wrapText="1"/>
    </xf>
    <xf numFmtId="0" fontId="11" fillId="0" borderId="0" xfId="0" applyFont="1" applyAlignment="1">
      <alignment wrapText="1"/>
    </xf>
    <xf numFmtId="0" fontId="4" fillId="0" borderId="100" xfId="0" applyFont="1" applyBorder="1" applyAlignment="1">
      <alignment wrapText="1"/>
    </xf>
    <xf numFmtId="0" fontId="0" fillId="0" borderId="0" xfId="0" applyBorder="1" applyAlignment="1">
      <alignment wrapText="1"/>
    </xf>
    <xf numFmtId="0" fontId="0" fillId="0" borderId="101" xfId="0" applyBorder="1" applyAlignment="1">
      <alignment wrapText="1"/>
    </xf>
    <xf numFmtId="0" fontId="0" fillId="0" borderId="141" xfId="0" applyBorder="1" applyAlignment="1">
      <alignment wrapText="1"/>
    </xf>
    <xf numFmtId="0" fontId="0" fillId="0" borderId="142" xfId="0" applyBorder="1" applyAlignment="1">
      <alignment wrapText="1"/>
    </xf>
    <xf numFmtId="0" fontId="0" fillId="0" borderId="143" xfId="0" applyBorder="1" applyAlignment="1">
      <alignment wrapText="1"/>
    </xf>
    <xf numFmtId="0" fontId="4" fillId="9" borderId="45" xfId="0" applyFont="1" applyFill="1" applyBorder="1" applyAlignment="1">
      <alignment horizontal="center" vertical="center"/>
    </xf>
    <xf numFmtId="0" fontId="4" fillId="9" borderId="22" xfId="0" applyFont="1" applyFill="1" applyBorder="1" applyAlignment="1">
      <alignment horizontal="center" vertical="center"/>
    </xf>
    <xf numFmtId="0" fontId="4" fillId="9" borderId="45" xfId="0" applyFont="1" applyFill="1" applyBorder="1" applyAlignment="1">
      <alignment horizontal="center"/>
    </xf>
    <xf numFmtId="0" fontId="4" fillId="9" borderId="22" xfId="0" applyFont="1" applyFill="1" applyBorder="1" applyAlignment="1">
      <alignment horizontal="center"/>
    </xf>
    <xf numFmtId="0" fontId="4" fillId="9" borderId="56" xfId="0" applyFont="1" applyFill="1" applyBorder="1" applyAlignment="1">
      <alignment horizontal="center" vertical="center"/>
    </xf>
    <xf numFmtId="0" fontId="0" fillId="0" borderId="57" xfId="0" applyBorder="1" applyAlignment="1">
      <alignment horizontal="center" vertical="center"/>
    </xf>
    <xf numFmtId="164" fontId="11" fillId="9" borderId="56" xfId="0" applyNumberFormat="1" applyFont="1" applyFill="1" applyBorder="1" applyAlignment="1">
      <alignment horizontal="center" vertical="center"/>
    </xf>
    <xf numFmtId="164" fontId="11" fillId="9" borderId="55" xfId="0" applyNumberFormat="1" applyFont="1" applyFill="1" applyBorder="1" applyAlignment="1">
      <alignment horizontal="center" vertical="center"/>
    </xf>
    <xf numFmtId="164" fontId="11" fillId="9" borderId="57" xfId="0" applyNumberFormat="1" applyFont="1" applyFill="1" applyBorder="1" applyAlignment="1">
      <alignment horizontal="center" vertical="center"/>
    </xf>
    <xf numFmtId="0" fontId="10" fillId="9" borderId="49" xfId="0" applyFont="1" applyFill="1" applyBorder="1" applyAlignment="1">
      <alignment horizontal="left" vertical="center"/>
    </xf>
    <xf numFmtId="0" fontId="10" fillId="9" borderId="2" xfId="0" applyFont="1" applyFill="1" applyBorder="1" applyAlignment="1">
      <alignment horizontal="left" vertical="center"/>
    </xf>
    <xf numFmtId="0" fontId="10" fillId="9" borderId="50" xfId="0" applyFont="1" applyFill="1" applyBorder="1" applyAlignment="1">
      <alignment horizontal="left" vertical="center"/>
    </xf>
    <xf numFmtId="0" fontId="3" fillId="9" borderId="45" xfId="0" applyFont="1" applyFill="1" applyBorder="1" applyAlignment="1">
      <alignment horizontal="left" vertical="center"/>
    </xf>
    <xf numFmtId="0" fontId="3" fillId="9" borderId="0" xfId="0" applyFont="1" applyFill="1" applyBorder="1" applyAlignment="1">
      <alignment horizontal="left" vertical="center"/>
    </xf>
    <xf numFmtId="0" fontId="3" fillId="9" borderId="22" xfId="0" applyFont="1" applyFill="1" applyBorder="1" applyAlignment="1">
      <alignment horizontal="left" vertical="center"/>
    </xf>
    <xf numFmtId="0" fontId="0" fillId="9" borderId="22" xfId="0" applyFill="1" applyBorder="1" applyAlignment="1">
      <alignment horizontal="center"/>
    </xf>
    <xf numFmtId="0" fontId="4" fillId="9" borderId="49" xfId="0" applyFont="1" applyFill="1" applyBorder="1" applyAlignment="1">
      <alignment horizontal="center"/>
    </xf>
    <xf numFmtId="0" fontId="4" fillId="9" borderId="50" xfId="0" applyFont="1" applyFill="1" applyBorder="1" applyAlignment="1">
      <alignment horizontal="center"/>
    </xf>
    <xf numFmtId="165" fontId="17" fillId="4" borderId="56" xfId="0" applyNumberFormat="1" applyFont="1" applyFill="1" applyBorder="1" applyAlignment="1">
      <alignment horizontal="center" vertical="center"/>
    </xf>
    <xf numFmtId="165" fontId="17" fillId="4" borderId="55" xfId="0" applyNumberFormat="1" applyFont="1" applyFill="1" applyBorder="1" applyAlignment="1">
      <alignment horizontal="center" vertical="center"/>
    </xf>
    <xf numFmtId="165" fontId="17" fillId="4" borderId="57" xfId="0" applyNumberFormat="1" applyFont="1" applyFill="1" applyBorder="1" applyAlignment="1">
      <alignment horizontal="center" vertical="center"/>
    </xf>
    <xf numFmtId="0" fontId="4" fillId="9" borderId="49" xfId="0" applyFont="1" applyFill="1" applyBorder="1" applyAlignment="1">
      <alignment horizontal="center" vertical="center" wrapText="1"/>
    </xf>
    <xf numFmtId="0" fontId="0" fillId="0" borderId="2" xfId="0" applyBorder="1" applyAlignment="1">
      <alignment horizontal="center" vertical="center" wrapText="1"/>
    </xf>
    <xf numFmtId="0" fontId="0" fillId="0" borderId="50" xfId="0" applyBorder="1" applyAlignment="1">
      <alignment horizontal="center" vertical="center" wrapText="1"/>
    </xf>
    <xf numFmtId="0" fontId="0" fillId="0" borderId="12" xfId="0" applyBorder="1" applyAlignment="1">
      <alignment horizontal="center" vertical="center" wrapText="1"/>
    </xf>
    <xf numFmtId="0" fontId="0" fillId="0" borderId="3" xfId="0" applyBorder="1" applyAlignment="1">
      <alignment horizontal="center" vertical="center" wrapText="1"/>
    </xf>
    <xf numFmtId="0" fontId="0" fillId="0" borderId="13" xfId="0" applyBorder="1" applyAlignment="1">
      <alignment horizontal="center" vertical="center" wrapText="1"/>
    </xf>
    <xf numFmtId="0" fontId="51" fillId="10" borderId="56" xfId="0" applyNumberFormat="1" applyFont="1" applyFill="1" applyBorder="1" applyAlignment="1">
      <alignment horizontal="center" vertical="center"/>
    </xf>
    <xf numFmtId="0" fontId="51" fillId="10" borderId="57" xfId="0" applyNumberFormat="1" applyFont="1" applyFill="1" applyBorder="1" applyAlignment="1">
      <alignment horizontal="center" vertical="center"/>
    </xf>
    <xf numFmtId="0" fontId="51" fillId="3" borderId="56" xfId="0" applyFont="1" applyFill="1" applyBorder="1" applyAlignment="1">
      <alignment horizontal="center" vertical="center"/>
    </xf>
    <xf numFmtId="0" fontId="51" fillId="3" borderId="55" xfId="0" applyFont="1" applyFill="1" applyBorder="1" applyAlignment="1">
      <alignment horizontal="center" vertical="center"/>
    </xf>
    <xf numFmtId="0" fontId="51" fillId="3" borderId="57" xfId="0" applyFont="1" applyFill="1" applyBorder="1" applyAlignment="1">
      <alignment horizontal="center" vertical="center"/>
    </xf>
    <xf numFmtId="0" fontId="51" fillId="3" borderId="49" xfId="0" applyFont="1" applyFill="1" applyBorder="1" applyAlignment="1">
      <alignment horizontal="center" vertical="center"/>
    </xf>
    <xf numFmtId="0" fontId="51" fillId="3" borderId="2" xfId="0" applyFont="1" applyFill="1" applyBorder="1" applyAlignment="1">
      <alignment horizontal="center" vertical="center"/>
    </xf>
    <xf numFmtId="0" fontId="51" fillId="3" borderId="50" xfId="0" applyFont="1" applyFill="1" applyBorder="1" applyAlignment="1">
      <alignment horizontal="center" vertical="center"/>
    </xf>
    <xf numFmtId="0" fontId="51" fillId="3" borderId="12" xfId="0" applyFont="1" applyFill="1" applyBorder="1" applyAlignment="1">
      <alignment horizontal="center" vertical="center"/>
    </xf>
    <xf numFmtId="0" fontId="51" fillId="3" borderId="3" xfId="0" applyFont="1" applyFill="1" applyBorder="1" applyAlignment="1">
      <alignment horizontal="center" vertical="center"/>
    </xf>
    <xf numFmtId="0" fontId="51" fillId="3" borderId="13" xfId="0" applyFont="1" applyFill="1" applyBorder="1" applyAlignment="1">
      <alignment horizontal="center" vertical="center"/>
    </xf>
    <xf numFmtId="0" fontId="51" fillId="3" borderId="53" xfId="0" applyNumberFormat="1" applyFont="1" applyFill="1" applyBorder="1" applyAlignment="1">
      <alignment horizontal="center" vertical="center"/>
    </xf>
    <xf numFmtId="0" fontId="51" fillId="3" borderId="44" xfId="0" applyNumberFormat="1" applyFont="1" applyFill="1" applyBorder="1" applyAlignment="1">
      <alignment horizontal="center" vertical="center"/>
    </xf>
    <xf numFmtId="0" fontId="8" fillId="10" borderId="56" xfId="0" applyFont="1" applyFill="1" applyBorder="1" applyAlignment="1">
      <alignment horizontal="center" vertical="center"/>
    </xf>
    <xf numFmtId="0" fontId="8" fillId="10" borderId="57" xfId="0" applyFont="1" applyFill="1" applyBorder="1" applyAlignment="1">
      <alignment horizontal="center" vertical="center"/>
    </xf>
    <xf numFmtId="164" fontId="8" fillId="3" borderId="56" xfId="0" applyNumberFormat="1" applyFont="1" applyFill="1" applyBorder="1" applyAlignment="1">
      <alignment horizontal="center" vertical="center"/>
    </xf>
    <xf numFmtId="164" fontId="8" fillId="3" borderId="57" xfId="0" applyNumberFormat="1" applyFont="1" applyFill="1" applyBorder="1" applyAlignment="1">
      <alignment horizontal="center" vertical="center"/>
    </xf>
    <xf numFmtId="0" fontId="51" fillId="3" borderId="12" xfId="0" applyNumberFormat="1" applyFont="1" applyFill="1" applyBorder="1" applyAlignment="1">
      <alignment horizontal="center" vertical="center"/>
    </xf>
    <xf numFmtId="0" fontId="51" fillId="3" borderId="3" xfId="0" applyNumberFormat="1" applyFont="1" applyFill="1" applyBorder="1" applyAlignment="1">
      <alignment horizontal="center" vertical="center"/>
    </xf>
    <xf numFmtId="0" fontId="51" fillId="3" borderId="13" xfId="0" applyNumberFormat="1" applyFont="1" applyFill="1" applyBorder="1" applyAlignment="1">
      <alignment horizontal="center" vertical="center"/>
    </xf>
    <xf numFmtId="0" fontId="51" fillId="10" borderId="56" xfId="0" applyFont="1" applyFill="1" applyBorder="1" applyAlignment="1">
      <alignment horizontal="center" vertical="center"/>
    </xf>
    <xf numFmtId="0" fontId="51" fillId="10" borderId="55" xfId="0" applyFont="1" applyFill="1" applyBorder="1" applyAlignment="1">
      <alignment horizontal="center" vertical="center"/>
    </xf>
    <xf numFmtId="0" fontId="51" fillId="10" borderId="57" xfId="0" applyFont="1" applyFill="1" applyBorder="1" applyAlignment="1">
      <alignment horizontal="center" vertical="center"/>
    </xf>
    <xf numFmtId="0" fontId="51" fillId="3" borderId="22" xfId="0" applyNumberFormat="1" applyFont="1" applyFill="1" applyBorder="1" applyAlignment="1">
      <alignment horizontal="center" vertical="center"/>
    </xf>
    <xf numFmtId="0" fontId="51" fillId="3" borderId="49" xfId="0" applyNumberFormat="1" applyFont="1" applyFill="1" applyBorder="1" applyAlignment="1">
      <alignment horizontal="center" vertical="center"/>
    </xf>
    <xf numFmtId="0" fontId="51" fillId="3" borderId="2" xfId="0" applyNumberFormat="1" applyFont="1" applyFill="1" applyBorder="1" applyAlignment="1">
      <alignment horizontal="center" vertical="center"/>
    </xf>
    <xf numFmtId="0" fontId="51" fillId="3" borderId="50" xfId="0" applyNumberFormat="1" applyFont="1" applyFill="1" applyBorder="1" applyAlignment="1">
      <alignment horizontal="center" vertical="center"/>
    </xf>
    <xf numFmtId="0" fontId="51" fillId="3" borderId="56" xfId="0" applyNumberFormat="1" applyFont="1" applyFill="1" applyBorder="1" applyAlignment="1">
      <alignment horizontal="center" vertical="center"/>
    </xf>
    <xf numFmtId="0" fontId="51" fillId="3" borderId="57" xfId="0" applyNumberFormat="1" applyFont="1" applyFill="1" applyBorder="1" applyAlignment="1">
      <alignment horizontal="center" vertical="center"/>
    </xf>
    <xf numFmtId="164" fontId="58" fillId="3" borderId="53" xfId="0" applyNumberFormat="1" applyFont="1" applyFill="1" applyBorder="1" applyAlignment="1">
      <alignment horizontal="center" vertical="center"/>
    </xf>
    <xf numFmtId="164" fontId="58" fillId="3" borderId="44" xfId="0" applyNumberFormat="1" applyFont="1" applyFill="1" applyBorder="1" applyAlignment="1">
      <alignment horizontal="center" vertical="center"/>
    </xf>
    <xf numFmtId="0" fontId="4" fillId="11" borderId="53" xfId="0" applyNumberFormat="1" applyFont="1" applyFill="1" applyBorder="1" applyAlignment="1">
      <alignment horizontal="center" vertical="center"/>
    </xf>
    <xf numFmtId="0" fontId="4" fillId="11" borderId="44" xfId="0" applyNumberFormat="1" applyFont="1" applyFill="1" applyBorder="1" applyAlignment="1">
      <alignment horizontal="center" vertical="center"/>
    </xf>
    <xf numFmtId="0" fontId="3" fillId="7" borderId="56" xfId="0" applyNumberFormat="1" applyFont="1" applyFill="1" applyBorder="1" applyAlignment="1">
      <alignment horizontal="center" vertical="center"/>
    </xf>
    <xf numFmtId="0" fontId="3" fillId="7" borderId="55" xfId="0" applyNumberFormat="1" applyFont="1" applyFill="1" applyBorder="1" applyAlignment="1">
      <alignment horizontal="center" vertical="center"/>
    </xf>
    <xf numFmtId="0" fontId="3" fillId="7" borderId="57" xfId="0" applyNumberFormat="1" applyFont="1" applyFill="1" applyBorder="1" applyAlignment="1">
      <alignment horizontal="center" vertical="center"/>
    </xf>
    <xf numFmtId="0" fontId="3" fillId="3" borderId="56" xfId="0" applyNumberFormat="1" applyFont="1" applyFill="1" applyBorder="1" applyAlignment="1">
      <alignment horizontal="center" vertical="center"/>
    </xf>
    <xf numFmtId="0" fontId="3" fillId="3" borderId="57" xfId="0" applyNumberFormat="1" applyFont="1" applyFill="1" applyBorder="1" applyAlignment="1">
      <alignment horizontal="center" vertical="center"/>
    </xf>
    <xf numFmtId="164" fontId="56" fillId="7" borderId="56" xfId="0" applyNumberFormat="1" applyFont="1" applyFill="1" applyBorder="1" applyAlignment="1">
      <alignment horizontal="center" vertical="center"/>
    </xf>
    <xf numFmtId="0" fontId="56" fillId="0" borderId="57" xfId="0" applyFont="1" applyBorder="1" applyAlignment="1">
      <alignment horizontal="center" vertical="center"/>
    </xf>
    <xf numFmtId="164" fontId="56" fillId="7" borderId="55" xfId="0" applyNumberFormat="1" applyFont="1" applyFill="1" applyBorder="1" applyAlignment="1">
      <alignment horizontal="center" vertical="center"/>
    </xf>
    <xf numFmtId="0" fontId="3" fillId="3" borderId="56" xfId="0" applyFont="1" applyFill="1" applyBorder="1" applyAlignment="1">
      <alignment horizontal="center" vertical="center"/>
    </xf>
    <xf numFmtId="0" fontId="3" fillId="3" borderId="57" xfId="0" applyFont="1" applyFill="1" applyBorder="1" applyAlignment="1">
      <alignment horizontal="center" vertical="center"/>
    </xf>
    <xf numFmtId="164" fontId="30" fillId="7" borderId="56" xfId="0" applyNumberFormat="1" applyFont="1" applyFill="1" applyBorder="1" applyAlignment="1">
      <alignment horizontal="center" vertical="center"/>
    </xf>
    <xf numFmtId="164" fontId="30" fillId="7" borderId="57" xfId="0" applyNumberFormat="1" applyFont="1" applyFill="1" applyBorder="1" applyAlignment="1">
      <alignment horizontal="center" vertical="center"/>
    </xf>
    <xf numFmtId="0" fontId="2" fillId="3" borderId="53" xfId="0" applyNumberFormat="1" applyFont="1" applyFill="1" applyBorder="1" applyAlignment="1">
      <alignment horizontal="center" vertical="center" wrapText="1"/>
    </xf>
    <xf numFmtId="0" fontId="2" fillId="0" borderId="44" xfId="0" applyFont="1" applyBorder="1" applyAlignment="1">
      <alignment horizontal="center" vertical="center"/>
    </xf>
    <xf numFmtId="164" fontId="2" fillId="8" borderId="53" xfId="0" applyNumberFormat="1" applyFont="1" applyFill="1" applyBorder="1" applyAlignment="1">
      <alignment horizontal="center" vertical="center"/>
    </xf>
    <xf numFmtId="164" fontId="2" fillId="8" borderId="44" xfId="0" applyNumberFormat="1" applyFont="1" applyFill="1" applyBorder="1" applyAlignment="1">
      <alignment horizontal="center" vertical="center"/>
    </xf>
    <xf numFmtId="164" fontId="66" fillId="4" borderId="56" xfId="0" applyNumberFormat="1" applyFont="1" applyFill="1" applyBorder="1" applyAlignment="1">
      <alignment horizontal="center" vertical="center"/>
    </xf>
    <xf numFmtId="164" fontId="66" fillId="4" borderId="55" xfId="0" applyNumberFormat="1" applyFont="1" applyFill="1" applyBorder="1" applyAlignment="1">
      <alignment horizontal="center" vertical="center"/>
    </xf>
    <xf numFmtId="164" fontId="66" fillId="4" borderId="57" xfId="0" applyNumberFormat="1" applyFont="1" applyFill="1" applyBorder="1" applyAlignment="1">
      <alignment horizontal="center" vertical="center"/>
    </xf>
    <xf numFmtId="0" fontId="2" fillId="7" borderId="56" xfId="0" applyNumberFormat="1" applyFont="1" applyFill="1" applyBorder="1" applyAlignment="1">
      <alignment horizontal="center" vertical="center"/>
    </xf>
    <xf numFmtId="0" fontId="2" fillId="7" borderId="55" xfId="0" applyNumberFormat="1" applyFont="1" applyFill="1" applyBorder="1" applyAlignment="1">
      <alignment horizontal="center" vertical="center"/>
    </xf>
    <xf numFmtId="0" fontId="2" fillId="7" borderId="57" xfId="0" applyNumberFormat="1" applyFont="1" applyFill="1" applyBorder="1" applyAlignment="1">
      <alignment horizontal="center" vertical="center"/>
    </xf>
    <xf numFmtId="0" fontId="66" fillId="3" borderId="56" xfId="0" applyFont="1" applyFill="1" applyBorder="1" applyAlignment="1">
      <alignment horizontal="center" vertical="center"/>
    </xf>
    <xf numFmtId="0" fontId="66" fillId="3" borderId="57" xfId="0" applyFont="1" applyFill="1" applyBorder="1" applyAlignment="1">
      <alignment horizontal="center" vertical="center"/>
    </xf>
    <xf numFmtId="0" fontId="66" fillId="3" borderId="56" xfId="0" applyNumberFormat="1" applyFont="1" applyFill="1" applyBorder="1" applyAlignment="1">
      <alignment horizontal="center" vertical="center"/>
    </xf>
    <xf numFmtId="0" fontId="66" fillId="3" borderId="55" xfId="0" applyNumberFormat="1" applyFont="1" applyFill="1" applyBorder="1" applyAlignment="1">
      <alignment horizontal="center" vertical="center"/>
    </xf>
    <xf numFmtId="164" fontId="66" fillId="3" borderId="56" xfId="0" applyNumberFormat="1" applyFont="1" applyFill="1" applyBorder="1" applyAlignment="1">
      <alignment horizontal="center" vertical="center"/>
    </xf>
    <xf numFmtId="164" fontId="66" fillId="3" borderId="57" xfId="0" applyNumberFormat="1" applyFont="1" applyFill="1" applyBorder="1" applyAlignment="1">
      <alignment horizontal="center" vertical="center"/>
    </xf>
    <xf numFmtId="164" fontId="66" fillId="3" borderId="55" xfId="0" applyNumberFormat="1" applyFont="1" applyFill="1" applyBorder="1" applyAlignment="1">
      <alignment horizontal="center" vertical="center"/>
    </xf>
    <xf numFmtId="0" fontId="66" fillId="7" borderId="56" xfId="0" applyFont="1" applyFill="1" applyBorder="1" applyAlignment="1">
      <alignment horizontal="center" vertical="center"/>
    </xf>
    <xf numFmtId="0" fontId="66" fillId="7" borderId="55" xfId="0" applyFont="1" applyFill="1" applyBorder="1" applyAlignment="1">
      <alignment horizontal="center" vertical="center"/>
    </xf>
    <xf numFmtId="0" fontId="66" fillId="7" borderId="57" xfId="0" applyFont="1" applyFill="1" applyBorder="1" applyAlignment="1">
      <alignment horizontal="center" vertical="center"/>
    </xf>
    <xf numFmtId="0" fontId="3" fillId="7" borderId="56" xfId="0" applyFont="1" applyFill="1" applyBorder="1" applyAlignment="1">
      <alignment horizontal="center" vertical="center"/>
    </xf>
    <xf numFmtId="0" fontId="3" fillId="7" borderId="57" xfId="0" applyFont="1" applyFill="1" applyBorder="1" applyAlignment="1">
      <alignment horizontal="center" vertical="center"/>
    </xf>
    <xf numFmtId="0" fontId="66" fillId="7" borderId="56" xfId="0" applyNumberFormat="1" applyFont="1" applyFill="1" applyBorder="1" applyAlignment="1">
      <alignment horizontal="center" vertical="center"/>
    </xf>
    <xf numFmtId="0" fontId="66" fillId="7" borderId="55" xfId="0" applyNumberFormat="1" applyFont="1" applyFill="1" applyBorder="1" applyAlignment="1">
      <alignment horizontal="center" vertical="center"/>
    </xf>
    <xf numFmtId="0" fontId="66" fillId="7" borderId="57" xfId="0" applyNumberFormat="1" applyFont="1" applyFill="1" applyBorder="1" applyAlignment="1">
      <alignment horizontal="center" vertical="center"/>
    </xf>
    <xf numFmtId="0" fontId="66" fillId="7" borderId="49" xfId="0" applyNumberFormat="1" applyFont="1" applyFill="1" applyBorder="1" applyAlignment="1">
      <alignment horizontal="center" vertical="center"/>
    </xf>
    <xf numFmtId="0" fontId="66" fillId="7" borderId="2" xfId="0" applyNumberFormat="1" applyFont="1" applyFill="1" applyBorder="1" applyAlignment="1">
      <alignment horizontal="center" vertical="center"/>
    </xf>
  </cellXfs>
  <cellStyles count="1">
    <cellStyle name="Normal" xfId="0" builtinId="0"/>
  </cellStyles>
  <dxfs count="83">
    <dxf>
      <font>
        <condense val="0"/>
        <extend val="0"/>
        <color indexed="55"/>
      </font>
    </dxf>
    <dxf>
      <font>
        <b/>
        <i val="0"/>
        <condense val="0"/>
        <extend val="0"/>
        <color indexed="10"/>
      </font>
    </dxf>
    <dxf>
      <font>
        <b/>
        <i val="0"/>
        <condense val="0"/>
        <extend val="0"/>
        <color indexed="10"/>
      </font>
    </dxf>
    <dxf>
      <font>
        <b val="0"/>
        <i val="0"/>
        <condense val="0"/>
        <extend val="0"/>
        <color indexed="55"/>
      </font>
    </dxf>
    <dxf>
      <font>
        <condense val="0"/>
        <extend val="0"/>
        <color indexed="57"/>
      </font>
    </dxf>
    <dxf>
      <font>
        <condense val="0"/>
        <extend val="0"/>
        <color indexed="10"/>
      </font>
    </dxf>
    <dxf>
      <font>
        <condense val="0"/>
        <extend val="0"/>
        <color indexed="55"/>
      </font>
    </dxf>
    <dxf>
      <font>
        <condense val="0"/>
        <extend val="0"/>
        <color indexed="55"/>
      </font>
    </dxf>
    <dxf>
      <font>
        <b/>
        <i val="0"/>
        <condense val="0"/>
        <extend val="0"/>
        <color indexed="10"/>
      </font>
    </dxf>
    <dxf>
      <font>
        <b/>
        <i val="0"/>
        <condense val="0"/>
        <extend val="0"/>
        <color auto="1"/>
      </font>
    </dxf>
    <dxf>
      <font>
        <b/>
        <i val="0"/>
        <condense val="0"/>
        <extend val="0"/>
        <color indexed="10"/>
      </font>
    </dxf>
    <dxf>
      <font>
        <condense val="0"/>
        <extend val="0"/>
        <color indexed="55"/>
      </font>
    </dxf>
    <dxf>
      <font>
        <b val="0"/>
        <i val="0"/>
        <condense val="0"/>
        <extend val="0"/>
        <color indexed="55"/>
      </font>
    </dxf>
    <dxf>
      <font>
        <condense val="0"/>
        <extend val="0"/>
        <color indexed="55"/>
      </font>
    </dxf>
    <dxf>
      <font>
        <condense val="0"/>
        <extend val="0"/>
        <color indexed="10"/>
      </font>
    </dxf>
    <dxf>
      <font>
        <condense val="0"/>
        <extend val="0"/>
        <color indexed="55"/>
      </font>
    </dxf>
    <dxf>
      <font>
        <b/>
        <i/>
        <condense val="0"/>
        <extend val="0"/>
        <color indexed="52"/>
      </font>
    </dxf>
    <dxf>
      <font>
        <b/>
        <i val="0"/>
        <condense val="0"/>
        <extend val="0"/>
        <color indexed="10"/>
      </font>
    </dxf>
    <dxf>
      <font>
        <b/>
        <i val="0"/>
        <condense val="0"/>
        <extend val="0"/>
        <color auto="1"/>
      </font>
    </dxf>
    <dxf>
      <font>
        <b val="0"/>
        <i val="0"/>
        <condense val="0"/>
        <extend val="0"/>
        <color indexed="55"/>
      </font>
    </dxf>
    <dxf>
      <font>
        <condense val="0"/>
        <extend val="0"/>
        <color indexed="55"/>
      </font>
    </dxf>
    <dxf>
      <font>
        <condense val="0"/>
        <extend val="0"/>
        <color indexed="55"/>
      </font>
    </dxf>
    <dxf>
      <font>
        <b/>
        <i val="0"/>
        <strike val="0"/>
        <condense val="0"/>
        <extend val="0"/>
        <color auto="1"/>
      </font>
    </dxf>
    <dxf>
      <font>
        <b/>
        <i val="0"/>
        <strike val="0"/>
        <condense val="0"/>
        <extend val="0"/>
        <color indexed="52"/>
      </font>
    </dxf>
    <dxf>
      <font>
        <b/>
        <i val="0"/>
        <condense val="0"/>
        <extend val="0"/>
        <color indexed="10"/>
      </font>
    </dxf>
    <dxf>
      <font>
        <b/>
        <i val="0"/>
        <condense val="0"/>
        <extend val="0"/>
        <color auto="1"/>
      </font>
    </dxf>
    <dxf>
      <font>
        <b/>
        <i val="0"/>
        <condense val="0"/>
        <extend val="0"/>
        <color indexed="10"/>
      </font>
    </dxf>
    <dxf>
      <font>
        <condense val="0"/>
        <extend val="0"/>
        <color indexed="55"/>
      </font>
    </dxf>
    <dxf>
      <font>
        <condense val="0"/>
        <extend val="0"/>
        <color indexed="10"/>
      </font>
    </dxf>
    <dxf>
      <font>
        <b val="0"/>
        <i val="0"/>
        <condense val="0"/>
        <extend val="0"/>
        <color indexed="55"/>
      </font>
    </dxf>
    <dxf>
      <font>
        <condense val="0"/>
        <extend val="0"/>
        <color indexed="55"/>
      </font>
    </dxf>
    <dxf>
      <font>
        <condense val="0"/>
        <extend val="0"/>
        <color indexed="55"/>
      </font>
    </dxf>
    <dxf>
      <font>
        <condense val="0"/>
        <extend val="0"/>
        <color indexed="10"/>
      </font>
    </dxf>
    <dxf>
      <font>
        <condense val="0"/>
        <extend val="0"/>
        <color indexed="55"/>
      </font>
    </dxf>
    <dxf>
      <font>
        <b/>
        <i val="0"/>
        <condense val="0"/>
        <extend val="0"/>
        <color indexed="10"/>
      </font>
    </dxf>
    <dxf>
      <font>
        <b/>
        <i val="0"/>
        <condense val="0"/>
        <extend val="0"/>
        <color auto="1"/>
      </font>
    </dxf>
    <dxf>
      <font>
        <b val="0"/>
        <i val="0"/>
        <condense val="0"/>
        <extend val="0"/>
        <color indexed="55"/>
      </font>
    </dxf>
    <dxf>
      <font>
        <b/>
        <i/>
        <condense val="0"/>
        <extend val="0"/>
        <color indexed="52"/>
      </font>
    </dxf>
    <dxf>
      <font>
        <b/>
        <i/>
        <condense val="0"/>
        <extend val="0"/>
        <color indexed="52"/>
      </font>
    </dxf>
    <dxf>
      <font>
        <b val="0"/>
        <i val="0"/>
        <condense val="0"/>
        <extend val="0"/>
        <color indexed="55"/>
      </font>
    </dxf>
    <dxf>
      <font>
        <condense val="0"/>
        <extend val="0"/>
        <color indexed="55"/>
      </font>
    </dxf>
    <dxf>
      <font>
        <b val="0"/>
        <i val="0"/>
        <condense val="0"/>
        <extend val="0"/>
        <color indexed="55"/>
      </font>
    </dxf>
    <dxf>
      <font>
        <b val="0"/>
        <i/>
        <condense val="0"/>
        <extend val="0"/>
        <color indexed="52"/>
      </font>
    </dxf>
    <dxf>
      <font>
        <b/>
        <i val="0"/>
        <condense val="0"/>
        <extend val="0"/>
        <color auto="1"/>
      </font>
    </dxf>
    <dxf>
      <font>
        <b/>
        <i/>
        <condense val="0"/>
        <extend val="0"/>
        <color indexed="52"/>
      </font>
    </dxf>
    <dxf>
      <font>
        <b/>
        <i val="0"/>
        <condense val="0"/>
        <extend val="0"/>
        <color indexed="10"/>
      </font>
    </dxf>
    <dxf>
      <font>
        <b/>
        <i val="0"/>
        <condense val="0"/>
        <extend val="0"/>
        <color auto="1"/>
      </font>
    </dxf>
    <dxf>
      <font>
        <b/>
        <i/>
        <condense val="0"/>
        <extend val="0"/>
        <color indexed="52"/>
      </font>
    </dxf>
    <dxf>
      <font>
        <b/>
        <i val="0"/>
        <condense val="0"/>
        <extend val="0"/>
        <color indexed="10"/>
      </font>
    </dxf>
    <dxf>
      <font>
        <condense val="0"/>
        <extend val="0"/>
        <color indexed="10"/>
      </font>
    </dxf>
    <dxf>
      <font>
        <condense val="0"/>
        <extend val="0"/>
        <color indexed="55"/>
      </font>
    </dxf>
    <dxf>
      <font>
        <condense val="0"/>
        <extend val="0"/>
        <color indexed="55"/>
      </font>
    </dxf>
    <dxf>
      <font>
        <b/>
        <i val="0"/>
        <condense val="0"/>
        <extend val="0"/>
        <color indexed="10"/>
      </font>
    </dxf>
    <dxf>
      <font>
        <condense val="0"/>
        <extend val="0"/>
        <color indexed="55"/>
      </font>
    </dxf>
    <dxf>
      <font>
        <condense val="0"/>
        <extend val="0"/>
        <color indexed="55"/>
      </font>
    </dxf>
    <dxf>
      <font>
        <condense val="0"/>
        <extend val="0"/>
        <color indexed="55"/>
      </font>
    </dxf>
    <dxf>
      <font>
        <b/>
        <i val="0"/>
        <strike val="0"/>
        <condense val="0"/>
        <extend val="0"/>
        <color indexed="10"/>
      </font>
    </dxf>
    <dxf>
      <font>
        <condense val="0"/>
        <extend val="0"/>
        <color indexed="55"/>
      </font>
    </dxf>
    <dxf>
      <font>
        <b/>
        <i val="0"/>
        <condense val="0"/>
        <extend val="0"/>
        <color indexed="10"/>
      </font>
    </dxf>
    <dxf>
      <font>
        <b/>
        <i val="0"/>
        <condense val="0"/>
        <extend val="0"/>
        <color auto="1"/>
      </font>
    </dxf>
    <dxf>
      <font>
        <b/>
        <i val="0"/>
        <condense val="0"/>
        <extend val="0"/>
        <color indexed="10"/>
      </font>
    </dxf>
    <dxf>
      <font>
        <b/>
        <i val="0"/>
        <condense val="0"/>
        <extend val="0"/>
        <color indexed="10"/>
      </font>
    </dxf>
    <dxf>
      <font>
        <b/>
        <i val="0"/>
        <condense val="0"/>
        <extend val="0"/>
        <color auto="1"/>
      </font>
    </dxf>
    <dxf>
      <font>
        <b/>
        <i val="0"/>
        <strike val="0"/>
        <condense val="0"/>
        <extend val="0"/>
        <color auto="1"/>
      </font>
    </dxf>
    <dxf>
      <font>
        <b/>
        <i val="0"/>
        <strike val="0"/>
        <condense val="0"/>
        <extend val="0"/>
        <color indexed="52"/>
      </font>
    </dxf>
    <dxf>
      <font>
        <b/>
        <i val="0"/>
        <condense val="0"/>
        <extend val="0"/>
        <color indexed="10"/>
      </font>
    </dxf>
    <dxf>
      <font>
        <b/>
        <i val="0"/>
        <strike val="0"/>
        <condense val="0"/>
        <extend val="0"/>
        <color indexed="10"/>
      </font>
    </dxf>
    <dxf>
      <font>
        <b/>
        <i val="0"/>
        <condense val="0"/>
        <extend val="0"/>
        <color indexed="10"/>
      </font>
    </dxf>
    <dxf>
      <font>
        <b val="0"/>
        <i/>
        <condense val="0"/>
        <extend val="0"/>
      </font>
    </dxf>
    <dxf>
      <font>
        <condense val="0"/>
        <extend val="0"/>
        <color indexed="10"/>
      </font>
    </dxf>
    <dxf>
      <font>
        <condense val="0"/>
        <extend val="0"/>
        <color indexed="55"/>
      </font>
    </dxf>
    <dxf>
      <font>
        <b/>
        <i val="0"/>
        <condense val="0"/>
        <extend val="0"/>
        <color indexed="10"/>
      </font>
    </dxf>
    <dxf>
      <font>
        <b/>
        <i val="0"/>
        <condense val="0"/>
        <extend val="0"/>
        <color auto="1"/>
      </font>
    </dxf>
    <dxf>
      <font>
        <b/>
        <i val="0"/>
        <condense val="0"/>
        <extend val="0"/>
        <color auto="1"/>
      </font>
    </dxf>
    <dxf>
      <font>
        <b/>
        <i/>
        <condense val="0"/>
        <extend val="0"/>
        <color indexed="52"/>
      </font>
    </dxf>
    <dxf>
      <font>
        <b/>
        <i val="0"/>
        <condense val="0"/>
        <extend val="0"/>
        <color indexed="10"/>
      </font>
    </dxf>
    <dxf>
      <font>
        <b/>
        <i/>
        <condense val="0"/>
        <extend val="0"/>
        <color indexed="52"/>
      </font>
    </dxf>
    <dxf>
      <font>
        <condense val="0"/>
        <extend val="0"/>
        <color indexed="55"/>
      </font>
    </dxf>
    <dxf>
      <font>
        <condense val="0"/>
        <extend val="0"/>
        <color indexed="55"/>
      </font>
    </dxf>
    <dxf>
      <font>
        <b val="0"/>
        <i/>
        <strike val="0"/>
        <condense val="0"/>
        <extend val="0"/>
        <color indexed="10"/>
      </font>
    </dxf>
    <dxf>
      <font>
        <b val="0"/>
        <i/>
        <condense val="0"/>
        <extend val="0"/>
        <color indexed="10"/>
      </font>
    </dxf>
    <dxf>
      <font>
        <condense val="0"/>
        <extend val="0"/>
        <color indexed="55"/>
      </font>
    </dxf>
    <dxf>
      <font>
        <condense val="0"/>
        <extend val="0"/>
        <color indexed="55"/>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447675</xdr:colOff>
      <xdr:row>0</xdr:row>
      <xdr:rowOff>66675</xdr:rowOff>
    </xdr:from>
    <xdr:to>
      <xdr:col>4</xdr:col>
      <xdr:colOff>295275</xdr:colOff>
      <xdr:row>6</xdr:row>
      <xdr:rowOff>57150</xdr:rowOff>
    </xdr:to>
    <xdr:grpSp>
      <xdr:nvGrpSpPr>
        <xdr:cNvPr id="13325" name="Group 12">
          <a:extLst>
            <a:ext uri="{FF2B5EF4-FFF2-40B4-BE49-F238E27FC236}">
              <a16:creationId xmlns:a16="http://schemas.microsoft.com/office/drawing/2014/main" id="{00000000-0008-0000-0000-00000D340000}"/>
            </a:ext>
          </a:extLst>
        </xdr:cNvPr>
        <xdr:cNvGrpSpPr>
          <a:grpSpLocks/>
        </xdr:cNvGrpSpPr>
      </xdr:nvGrpSpPr>
      <xdr:grpSpPr bwMode="auto">
        <a:xfrm>
          <a:off x="447675" y="66675"/>
          <a:ext cx="5006340" cy="996315"/>
          <a:chOff x="71" y="4"/>
          <a:chExt cx="510" cy="101"/>
        </a:xfrm>
      </xdr:grpSpPr>
      <xdr:sp macro="" textlink="">
        <xdr:nvSpPr>
          <xdr:cNvPr id="13318" name="Text Box 6">
            <a:extLst>
              <a:ext uri="{FF2B5EF4-FFF2-40B4-BE49-F238E27FC236}">
                <a16:creationId xmlns:a16="http://schemas.microsoft.com/office/drawing/2014/main" id="{00000000-0008-0000-0000-000006340000}"/>
              </a:ext>
            </a:extLst>
          </xdr:cNvPr>
          <xdr:cNvSpPr txBox="1">
            <a:spLocks noChangeArrowheads="1"/>
          </xdr:cNvSpPr>
        </xdr:nvSpPr>
        <xdr:spPr bwMode="auto">
          <a:xfrm>
            <a:off x="165" y="9"/>
            <a:ext cx="328" cy="90"/>
          </a:xfrm>
          <a:prstGeom prst="rect">
            <a:avLst/>
          </a:prstGeom>
          <a:solidFill>
            <a:srgbClr val="FFFFFF"/>
          </a:solidFill>
          <a:ln w="9525">
            <a:noFill/>
            <a:miter lim="800000"/>
            <a:headEnd/>
            <a:tailEnd/>
          </a:ln>
          <a:effectLst/>
        </xdr:spPr>
        <xdr:txBody>
          <a:bodyPr vertOverflow="clip" wrap="square" lIns="36576" tIns="32004" rIns="36576" bIns="0" anchor="t" upright="1"/>
          <a:lstStyle/>
          <a:p>
            <a:pPr algn="ctr" rtl="0">
              <a:defRPr sz="1000"/>
            </a:pPr>
            <a:r>
              <a:rPr lang="en-US" sz="1600" b="0" i="0" u="none" strike="noStrike" baseline="0">
                <a:solidFill>
                  <a:srgbClr val="000000"/>
                </a:solidFill>
                <a:latin typeface="Arial"/>
                <a:cs typeface="Arial"/>
              </a:rPr>
              <a:t>Tier II Screening Evaluations for Confined Disposal Facility Contaminant Pathway Migration</a:t>
            </a:r>
          </a:p>
        </xdr:txBody>
      </xdr:sp>
      <xdr:pic>
        <xdr:nvPicPr>
          <xdr:cNvPr id="13327" name="Picture 7" descr="ERDCLOGO">
            <a:extLst>
              <a:ext uri="{FF2B5EF4-FFF2-40B4-BE49-F238E27FC236}">
                <a16:creationId xmlns:a16="http://schemas.microsoft.com/office/drawing/2014/main" id="{00000000-0008-0000-0000-00000F3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0" y="4"/>
            <a:ext cx="101" cy="101"/>
          </a:xfrm>
          <a:prstGeom prst="rect">
            <a:avLst/>
          </a:prstGeom>
          <a:noFill/>
          <a:ln w="9525">
            <a:noFill/>
            <a:miter lim="800000"/>
            <a:headEnd/>
            <a:tailEnd/>
          </a:ln>
        </xdr:spPr>
      </xdr:pic>
      <xdr:sp macro="" textlink="">
        <xdr:nvSpPr>
          <xdr:cNvPr id="13328" name="Line 8">
            <a:extLst>
              <a:ext uri="{FF2B5EF4-FFF2-40B4-BE49-F238E27FC236}">
                <a16:creationId xmlns:a16="http://schemas.microsoft.com/office/drawing/2014/main" id="{00000000-0008-0000-0000-000010340000}"/>
              </a:ext>
            </a:extLst>
          </xdr:cNvPr>
          <xdr:cNvSpPr>
            <a:spLocks noChangeShapeType="1"/>
          </xdr:cNvSpPr>
        </xdr:nvSpPr>
        <xdr:spPr bwMode="auto">
          <a:xfrm>
            <a:off x="72" y="102"/>
            <a:ext cx="499" cy="0"/>
          </a:xfrm>
          <a:prstGeom prst="line">
            <a:avLst/>
          </a:prstGeom>
          <a:noFill/>
          <a:ln w="76200" cmpd="tri">
            <a:solidFill>
              <a:srgbClr val="FF0000"/>
            </a:solidFill>
            <a:round/>
            <a:headEnd/>
            <a:tailEnd/>
          </a:ln>
        </xdr:spPr>
      </xdr:sp>
      <xdr:pic>
        <xdr:nvPicPr>
          <xdr:cNvPr id="13329" name="Picture 11" descr="doer">
            <a:extLst>
              <a:ext uri="{FF2B5EF4-FFF2-40B4-BE49-F238E27FC236}">
                <a16:creationId xmlns:a16="http://schemas.microsoft.com/office/drawing/2014/main" id="{00000000-0008-0000-0000-0000113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1" y="5"/>
            <a:ext cx="94" cy="91"/>
          </a:xfrm>
          <a:prstGeom prst="rect">
            <a:avLst/>
          </a:prstGeom>
          <a:noFill/>
          <a:ln w="9525">
            <a:noFill/>
            <a:miter lim="800000"/>
            <a:headEnd/>
            <a:tailEnd/>
          </a:ln>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133350</xdr:colOff>
      <xdr:row>5</xdr:row>
      <xdr:rowOff>57150</xdr:rowOff>
    </xdr:from>
    <xdr:to>
      <xdr:col>11</xdr:col>
      <xdr:colOff>104775</xdr:colOff>
      <xdr:row>11</xdr:row>
      <xdr:rowOff>85725</xdr:rowOff>
    </xdr:to>
    <xdr:sp macro="" textlink="">
      <xdr:nvSpPr>
        <xdr:cNvPr id="17135" name="Rectangle 1">
          <a:extLst>
            <a:ext uri="{FF2B5EF4-FFF2-40B4-BE49-F238E27FC236}">
              <a16:creationId xmlns:a16="http://schemas.microsoft.com/office/drawing/2014/main" id="{00000000-0008-0000-0900-0000EF420000}"/>
            </a:ext>
          </a:extLst>
        </xdr:cNvPr>
        <xdr:cNvSpPr>
          <a:spLocks noChangeArrowheads="1"/>
        </xdr:cNvSpPr>
      </xdr:nvSpPr>
      <xdr:spPr bwMode="auto">
        <a:xfrm>
          <a:off x="4000500" y="866775"/>
          <a:ext cx="2409825" cy="1000125"/>
        </a:xfrm>
        <a:prstGeom prst="rect">
          <a:avLst/>
        </a:prstGeom>
        <a:solidFill>
          <a:srgbClr val="CCECFF"/>
        </a:solidFill>
        <a:ln w="9525">
          <a:noFill/>
          <a:miter lim="800000"/>
          <a:headEnd/>
          <a:tailEnd/>
        </a:ln>
      </xdr:spPr>
    </xdr:sp>
    <xdr:clientData/>
  </xdr:twoCellAnchor>
  <xdr:twoCellAnchor>
    <xdr:from>
      <xdr:col>7</xdr:col>
      <xdr:colOff>123825</xdr:colOff>
      <xdr:row>5</xdr:row>
      <xdr:rowOff>114300</xdr:rowOff>
    </xdr:from>
    <xdr:to>
      <xdr:col>9</xdr:col>
      <xdr:colOff>228600</xdr:colOff>
      <xdr:row>10</xdr:row>
      <xdr:rowOff>95250</xdr:rowOff>
    </xdr:to>
    <xdr:sp macro="" textlink="">
      <xdr:nvSpPr>
        <xdr:cNvPr id="17136" name="Rectangle 2">
          <a:extLst>
            <a:ext uri="{FF2B5EF4-FFF2-40B4-BE49-F238E27FC236}">
              <a16:creationId xmlns:a16="http://schemas.microsoft.com/office/drawing/2014/main" id="{00000000-0008-0000-0900-0000F0420000}"/>
            </a:ext>
          </a:extLst>
        </xdr:cNvPr>
        <xdr:cNvSpPr>
          <a:spLocks noChangeArrowheads="1"/>
        </xdr:cNvSpPr>
      </xdr:nvSpPr>
      <xdr:spPr bwMode="auto">
        <a:xfrm>
          <a:off x="3990975" y="923925"/>
          <a:ext cx="1323975" cy="790575"/>
        </a:xfrm>
        <a:prstGeom prst="rect">
          <a:avLst/>
        </a:prstGeom>
        <a:gradFill rotWithShape="0">
          <a:gsLst>
            <a:gs pos="0">
              <a:srgbClr val="99CCFF"/>
            </a:gs>
            <a:gs pos="100000">
              <a:srgbClr val="CCECFF"/>
            </a:gs>
          </a:gsLst>
          <a:path path="shape">
            <a:fillToRect l="50000" t="50000" r="50000" b="50000"/>
          </a:path>
        </a:gradFill>
        <a:ln w="9525" cap="rnd">
          <a:solidFill>
            <a:srgbClr val="000000"/>
          </a:solidFill>
          <a:prstDash val="sysDot"/>
          <a:miter lim="800000"/>
          <a:headEnd/>
          <a:tailEnd/>
        </a:ln>
      </xdr:spPr>
    </xdr:sp>
    <xdr:clientData/>
  </xdr:twoCellAnchor>
  <xdr:twoCellAnchor>
    <xdr:from>
      <xdr:col>3</xdr:col>
      <xdr:colOff>533400</xdr:colOff>
      <xdr:row>5</xdr:row>
      <xdr:rowOff>57150</xdr:rowOff>
    </xdr:from>
    <xdr:to>
      <xdr:col>8</xdr:col>
      <xdr:colOff>123825</xdr:colOff>
      <xdr:row>11</xdr:row>
      <xdr:rowOff>66675</xdr:rowOff>
    </xdr:to>
    <xdr:grpSp>
      <xdr:nvGrpSpPr>
        <xdr:cNvPr id="17137" name="Group 3">
          <a:extLst>
            <a:ext uri="{FF2B5EF4-FFF2-40B4-BE49-F238E27FC236}">
              <a16:creationId xmlns:a16="http://schemas.microsoft.com/office/drawing/2014/main" id="{00000000-0008-0000-0900-0000F1420000}"/>
            </a:ext>
          </a:extLst>
        </xdr:cNvPr>
        <xdr:cNvGrpSpPr>
          <a:grpSpLocks/>
        </xdr:cNvGrpSpPr>
      </xdr:nvGrpSpPr>
      <xdr:grpSpPr bwMode="auto">
        <a:xfrm>
          <a:off x="2362200" y="895350"/>
          <a:ext cx="2242185" cy="1015365"/>
          <a:chOff x="248" y="91"/>
          <a:chExt cx="277" cy="103"/>
        </a:xfrm>
      </xdr:grpSpPr>
      <xdr:sp macro="" textlink="">
        <xdr:nvSpPr>
          <xdr:cNvPr id="17619" name="Rectangle 4">
            <a:extLst>
              <a:ext uri="{FF2B5EF4-FFF2-40B4-BE49-F238E27FC236}">
                <a16:creationId xmlns:a16="http://schemas.microsoft.com/office/drawing/2014/main" id="{00000000-0008-0000-0900-0000D3440000}"/>
              </a:ext>
            </a:extLst>
          </xdr:cNvPr>
          <xdr:cNvSpPr>
            <a:spLocks noChangeArrowheads="1"/>
          </xdr:cNvSpPr>
        </xdr:nvSpPr>
        <xdr:spPr bwMode="auto">
          <a:xfrm>
            <a:off x="268" y="96"/>
            <a:ext cx="162" cy="98"/>
          </a:xfrm>
          <a:prstGeom prst="rect">
            <a:avLst/>
          </a:prstGeom>
          <a:gradFill rotWithShape="0">
            <a:gsLst>
              <a:gs pos="0">
                <a:srgbClr val="FFCC99"/>
              </a:gs>
              <a:gs pos="100000">
                <a:srgbClr val="99CCFF"/>
              </a:gs>
            </a:gsLst>
            <a:lin ang="0" scaled="1"/>
          </a:gradFill>
          <a:ln w="76200">
            <a:noFill/>
            <a:miter lim="800000"/>
            <a:headEnd/>
            <a:tailEnd/>
          </a:ln>
        </xdr:spPr>
      </xdr:sp>
      <xdr:sp macro="" textlink="">
        <xdr:nvSpPr>
          <xdr:cNvPr id="16389" name="Text Box 5">
            <a:extLst>
              <a:ext uri="{FF2B5EF4-FFF2-40B4-BE49-F238E27FC236}">
                <a16:creationId xmlns:a16="http://schemas.microsoft.com/office/drawing/2014/main" id="{00000000-0008-0000-0900-000005400000}"/>
              </a:ext>
            </a:extLst>
          </xdr:cNvPr>
          <xdr:cNvSpPr txBox="1">
            <a:spLocks noChangeArrowheads="1"/>
          </xdr:cNvSpPr>
        </xdr:nvSpPr>
        <xdr:spPr bwMode="auto">
          <a:xfrm>
            <a:off x="293" y="100"/>
            <a:ext cx="107" cy="28"/>
          </a:xfrm>
          <a:prstGeom prst="rect">
            <a:avLst/>
          </a:prstGeom>
          <a:noFill/>
          <a:ln w="9525">
            <a:noFill/>
            <a:miter lim="800000"/>
            <a:headEnd/>
            <a:tailEnd/>
          </a:ln>
        </xdr:spPr>
        <xdr:txBody>
          <a:bodyPr vertOverflow="clip" wrap="square" lIns="36576" tIns="22860" rIns="36576" bIns="0" anchor="t" upright="1"/>
          <a:lstStyle/>
          <a:p>
            <a:pPr algn="ctr" rtl="0">
              <a:defRPr sz="1000"/>
            </a:pPr>
            <a:r>
              <a:rPr lang="en-US" sz="1200" b="0" i="0" u="none" strike="noStrike" baseline="0">
                <a:solidFill>
                  <a:srgbClr val="000000"/>
                </a:solidFill>
                <a:latin typeface="Arial"/>
                <a:cs typeface="Arial"/>
              </a:rPr>
              <a:t>CDF</a:t>
            </a:r>
          </a:p>
        </xdr:txBody>
      </xdr:sp>
      <xdr:sp macro="" textlink="">
        <xdr:nvSpPr>
          <xdr:cNvPr id="17621" name="AutoShape 6">
            <a:extLst>
              <a:ext uri="{FF2B5EF4-FFF2-40B4-BE49-F238E27FC236}">
                <a16:creationId xmlns:a16="http://schemas.microsoft.com/office/drawing/2014/main" id="{00000000-0008-0000-0900-0000D5440000}"/>
              </a:ext>
            </a:extLst>
          </xdr:cNvPr>
          <xdr:cNvSpPr>
            <a:spLocks noChangeArrowheads="1"/>
          </xdr:cNvSpPr>
        </xdr:nvSpPr>
        <xdr:spPr bwMode="auto">
          <a:xfrm flipV="1">
            <a:off x="249" y="91"/>
            <a:ext cx="26" cy="102"/>
          </a:xfrm>
          <a:custGeom>
            <a:avLst/>
            <a:gdLst>
              <a:gd name="T0" fmla="*/ 23 w 21600"/>
              <a:gd name="T1" fmla="*/ 51 h 21600"/>
              <a:gd name="T2" fmla="*/ 13 w 21600"/>
              <a:gd name="T3" fmla="*/ 102 h 21600"/>
              <a:gd name="T4" fmla="*/ 3 w 21600"/>
              <a:gd name="T5" fmla="*/ 51 h 21600"/>
              <a:gd name="T6" fmla="*/ 13 w 21600"/>
              <a:gd name="T7" fmla="*/ 0 h 21600"/>
              <a:gd name="T8" fmla="*/ 0 60000 65536"/>
              <a:gd name="T9" fmla="*/ 0 60000 65536"/>
              <a:gd name="T10" fmla="*/ 0 60000 65536"/>
              <a:gd name="T11" fmla="*/ 0 60000 65536"/>
              <a:gd name="T12" fmla="*/ 4154 w 21600"/>
              <a:gd name="T13" fmla="*/ 4447 h 21600"/>
              <a:gd name="T14" fmla="*/ 17446 w 21600"/>
              <a:gd name="T15" fmla="*/ 17153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000000"/>
          </a:solidFill>
          <a:ln w="9525">
            <a:solidFill>
              <a:srgbClr val="000000"/>
            </a:solidFill>
            <a:miter lim="800000"/>
            <a:headEnd/>
            <a:tailEnd/>
          </a:ln>
        </xdr:spPr>
      </xdr:sp>
      <xdr:sp macro="" textlink="">
        <xdr:nvSpPr>
          <xdr:cNvPr id="17622" name="AutoShape 7">
            <a:extLst>
              <a:ext uri="{FF2B5EF4-FFF2-40B4-BE49-F238E27FC236}">
                <a16:creationId xmlns:a16="http://schemas.microsoft.com/office/drawing/2014/main" id="{00000000-0008-0000-0900-0000D6440000}"/>
              </a:ext>
            </a:extLst>
          </xdr:cNvPr>
          <xdr:cNvSpPr>
            <a:spLocks noChangeArrowheads="1"/>
          </xdr:cNvSpPr>
        </xdr:nvSpPr>
        <xdr:spPr bwMode="auto">
          <a:xfrm flipV="1">
            <a:off x="421" y="91"/>
            <a:ext cx="26" cy="102"/>
          </a:xfrm>
          <a:custGeom>
            <a:avLst/>
            <a:gdLst>
              <a:gd name="T0" fmla="*/ 23 w 21600"/>
              <a:gd name="T1" fmla="*/ 51 h 21600"/>
              <a:gd name="T2" fmla="*/ 13 w 21600"/>
              <a:gd name="T3" fmla="*/ 102 h 21600"/>
              <a:gd name="T4" fmla="*/ 3 w 21600"/>
              <a:gd name="T5" fmla="*/ 51 h 21600"/>
              <a:gd name="T6" fmla="*/ 13 w 21600"/>
              <a:gd name="T7" fmla="*/ 0 h 21600"/>
              <a:gd name="T8" fmla="*/ 0 60000 65536"/>
              <a:gd name="T9" fmla="*/ 0 60000 65536"/>
              <a:gd name="T10" fmla="*/ 0 60000 65536"/>
              <a:gd name="T11" fmla="*/ 0 60000 65536"/>
              <a:gd name="T12" fmla="*/ 4154 w 21600"/>
              <a:gd name="T13" fmla="*/ 4447 h 21600"/>
              <a:gd name="T14" fmla="*/ 17446 w 21600"/>
              <a:gd name="T15" fmla="*/ 17153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000000"/>
          </a:solidFill>
          <a:ln w="9525">
            <a:solidFill>
              <a:srgbClr val="000000"/>
            </a:solidFill>
            <a:miter lim="800000"/>
            <a:headEnd/>
            <a:tailEnd/>
          </a:ln>
        </xdr:spPr>
      </xdr:sp>
      <xdr:grpSp>
        <xdr:nvGrpSpPr>
          <xdr:cNvPr id="17623" name="Group 8">
            <a:extLst>
              <a:ext uri="{FF2B5EF4-FFF2-40B4-BE49-F238E27FC236}">
                <a16:creationId xmlns:a16="http://schemas.microsoft.com/office/drawing/2014/main" id="{00000000-0008-0000-0900-0000D7440000}"/>
              </a:ext>
            </a:extLst>
          </xdr:cNvPr>
          <xdr:cNvGrpSpPr>
            <a:grpSpLocks/>
          </xdr:cNvGrpSpPr>
        </xdr:nvGrpSpPr>
        <xdr:grpSpPr bwMode="auto">
          <a:xfrm>
            <a:off x="410" y="132"/>
            <a:ext cx="115" cy="18"/>
            <a:chOff x="410" y="132"/>
            <a:chExt cx="75" cy="18"/>
          </a:xfrm>
        </xdr:grpSpPr>
        <xdr:grpSp>
          <xdr:nvGrpSpPr>
            <xdr:cNvPr id="17625" name="Group 9">
              <a:extLst>
                <a:ext uri="{FF2B5EF4-FFF2-40B4-BE49-F238E27FC236}">
                  <a16:creationId xmlns:a16="http://schemas.microsoft.com/office/drawing/2014/main" id="{00000000-0008-0000-0900-0000D9440000}"/>
                </a:ext>
              </a:extLst>
            </xdr:cNvPr>
            <xdr:cNvGrpSpPr>
              <a:grpSpLocks/>
            </xdr:cNvGrpSpPr>
          </xdr:nvGrpSpPr>
          <xdr:grpSpPr bwMode="auto">
            <a:xfrm>
              <a:off x="415" y="132"/>
              <a:ext cx="70" cy="18"/>
              <a:chOff x="489" y="175"/>
              <a:chExt cx="70" cy="18"/>
            </a:xfrm>
          </xdr:grpSpPr>
          <xdr:sp macro="" textlink="">
            <xdr:nvSpPr>
              <xdr:cNvPr id="17628" name="Line 10">
                <a:extLst>
                  <a:ext uri="{FF2B5EF4-FFF2-40B4-BE49-F238E27FC236}">
                    <a16:creationId xmlns:a16="http://schemas.microsoft.com/office/drawing/2014/main" id="{00000000-0008-0000-0900-0000DC440000}"/>
                  </a:ext>
                </a:extLst>
              </xdr:cNvPr>
              <xdr:cNvSpPr>
                <a:spLocks noChangeShapeType="1"/>
              </xdr:cNvSpPr>
            </xdr:nvSpPr>
            <xdr:spPr bwMode="auto">
              <a:xfrm>
                <a:off x="489" y="175"/>
                <a:ext cx="70" cy="0"/>
              </a:xfrm>
              <a:prstGeom prst="line">
                <a:avLst/>
              </a:prstGeom>
              <a:noFill/>
              <a:ln w="19050">
                <a:solidFill>
                  <a:srgbClr val="000000"/>
                </a:solidFill>
                <a:round/>
                <a:headEnd/>
                <a:tailEnd/>
              </a:ln>
            </xdr:spPr>
          </xdr:sp>
          <xdr:sp macro="" textlink="">
            <xdr:nvSpPr>
              <xdr:cNvPr id="17629" name="Line 11">
                <a:extLst>
                  <a:ext uri="{FF2B5EF4-FFF2-40B4-BE49-F238E27FC236}">
                    <a16:creationId xmlns:a16="http://schemas.microsoft.com/office/drawing/2014/main" id="{00000000-0008-0000-0900-0000DD440000}"/>
                  </a:ext>
                </a:extLst>
              </xdr:cNvPr>
              <xdr:cNvSpPr>
                <a:spLocks noChangeShapeType="1"/>
              </xdr:cNvSpPr>
            </xdr:nvSpPr>
            <xdr:spPr bwMode="auto">
              <a:xfrm>
                <a:off x="489" y="193"/>
                <a:ext cx="70" cy="0"/>
              </a:xfrm>
              <a:prstGeom prst="line">
                <a:avLst/>
              </a:prstGeom>
              <a:noFill/>
              <a:ln w="19050">
                <a:solidFill>
                  <a:srgbClr val="000000"/>
                </a:solidFill>
                <a:round/>
                <a:headEnd/>
                <a:tailEnd/>
              </a:ln>
            </xdr:spPr>
          </xdr:sp>
        </xdr:grpSp>
        <xdr:sp macro="" textlink="">
          <xdr:nvSpPr>
            <xdr:cNvPr id="17626" name="Rectangle 12">
              <a:extLst>
                <a:ext uri="{FF2B5EF4-FFF2-40B4-BE49-F238E27FC236}">
                  <a16:creationId xmlns:a16="http://schemas.microsoft.com/office/drawing/2014/main" id="{00000000-0008-0000-0900-0000DA440000}"/>
                </a:ext>
              </a:extLst>
            </xdr:cNvPr>
            <xdr:cNvSpPr>
              <a:spLocks noChangeArrowheads="1"/>
            </xdr:cNvSpPr>
          </xdr:nvSpPr>
          <xdr:spPr bwMode="auto">
            <a:xfrm>
              <a:off x="414" y="133"/>
              <a:ext cx="68" cy="16"/>
            </a:xfrm>
            <a:prstGeom prst="rect">
              <a:avLst/>
            </a:prstGeom>
            <a:solidFill>
              <a:srgbClr val="99CCFF"/>
            </a:solidFill>
            <a:ln w="9525">
              <a:noFill/>
              <a:miter lim="800000"/>
              <a:headEnd/>
              <a:tailEnd/>
            </a:ln>
          </xdr:spPr>
        </xdr:sp>
        <xdr:sp macro="" textlink="">
          <xdr:nvSpPr>
            <xdr:cNvPr id="17627" name="Line 13">
              <a:extLst>
                <a:ext uri="{FF2B5EF4-FFF2-40B4-BE49-F238E27FC236}">
                  <a16:creationId xmlns:a16="http://schemas.microsoft.com/office/drawing/2014/main" id="{00000000-0008-0000-0900-0000DB440000}"/>
                </a:ext>
              </a:extLst>
            </xdr:cNvPr>
            <xdr:cNvSpPr>
              <a:spLocks noChangeShapeType="1"/>
            </xdr:cNvSpPr>
          </xdr:nvSpPr>
          <xdr:spPr bwMode="auto">
            <a:xfrm>
              <a:off x="410" y="141"/>
              <a:ext cx="73" cy="0"/>
            </a:xfrm>
            <a:prstGeom prst="line">
              <a:avLst/>
            </a:prstGeom>
            <a:noFill/>
            <a:ln w="9525">
              <a:solidFill>
                <a:srgbClr val="000000"/>
              </a:solidFill>
              <a:prstDash val="dash"/>
              <a:round/>
              <a:headEnd/>
              <a:tailEnd type="stealth" w="med" len="med"/>
            </a:ln>
          </xdr:spPr>
        </xdr:sp>
      </xdr:grpSp>
      <xdr:sp macro="" textlink="">
        <xdr:nvSpPr>
          <xdr:cNvPr id="17624" name="Line 14">
            <a:extLst>
              <a:ext uri="{FF2B5EF4-FFF2-40B4-BE49-F238E27FC236}">
                <a16:creationId xmlns:a16="http://schemas.microsoft.com/office/drawing/2014/main" id="{00000000-0008-0000-0900-0000D8440000}"/>
              </a:ext>
            </a:extLst>
          </xdr:cNvPr>
          <xdr:cNvSpPr>
            <a:spLocks noChangeShapeType="1"/>
          </xdr:cNvSpPr>
        </xdr:nvSpPr>
        <xdr:spPr bwMode="auto">
          <a:xfrm>
            <a:off x="248" y="194"/>
            <a:ext cx="200" cy="0"/>
          </a:xfrm>
          <a:prstGeom prst="line">
            <a:avLst/>
          </a:prstGeom>
          <a:noFill/>
          <a:ln w="25400">
            <a:solidFill>
              <a:srgbClr val="000000"/>
            </a:solidFill>
            <a:round/>
            <a:headEnd/>
            <a:tailEnd/>
          </a:ln>
        </xdr:spPr>
      </xdr:sp>
    </xdr:grpSp>
    <xdr:clientData/>
  </xdr:twoCellAnchor>
  <xdr:twoCellAnchor>
    <xdr:from>
      <xdr:col>4</xdr:col>
      <xdr:colOff>466725</xdr:colOff>
      <xdr:row>66</xdr:row>
      <xdr:rowOff>85725</xdr:rowOff>
    </xdr:from>
    <xdr:to>
      <xdr:col>8</xdr:col>
      <xdr:colOff>476250</xdr:colOff>
      <xdr:row>74</xdr:row>
      <xdr:rowOff>38100</xdr:rowOff>
    </xdr:to>
    <xdr:grpSp>
      <xdr:nvGrpSpPr>
        <xdr:cNvPr id="17138" name="Group 15">
          <a:extLst>
            <a:ext uri="{FF2B5EF4-FFF2-40B4-BE49-F238E27FC236}">
              <a16:creationId xmlns:a16="http://schemas.microsoft.com/office/drawing/2014/main" id="{00000000-0008-0000-0900-0000F2420000}"/>
            </a:ext>
          </a:extLst>
        </xdr:cNvPr>
        <xdr:cNvGrpSpPr>
          <a:grpSpLocks/>
        </xdr:cNvGrpSpPr>
      </xdr:nvGrpSpPr>
      <xdr:grpSpPr bwMode="auto">
        <a:xfrm>
          <a:off x="2905125" y="11149965"/>
          <a:ext cx="2051685" cy="1293495"/>
          <a:chOff x="306" y="1352"/>
          <a:chExt cx="225" cy="131"/>
        </a:xfrm>
      </xdr:grpSpPr>
      <xdr:grpSp>
        <xdr:nvGrpSpPr>
          <xdr:cNvPr id="17614" name="Group 16">
            <a:extLst>
              <a:ext uri="{FF2B5EF4-FFF2-40B4-BE49-F238E27FC236}">
                <a16:creationId xmlns:a16="http://schemas.microsoft.com/office/drawing/2014/main" id="{00000000-0008-0000-0900-0000CE440000}"/>
              </a:ext>
            </a:extLst>
          </xdr:cNvPr>
          <xdr:cNvGrpSpPr>
            <a:grpSpLocks/>
          </xdr:cNvGrpSpPr>
        </xdr:nvGrpSpPr>
        <xdr:grpSpPr bwMode="auto">
          <a:xfrm>
            <a:off x="306" y="1352"/>
            <a:ext cx="225" cy="105"/>
            <a:chOff x="363" y="1358"/>
            <a:chExt cx="225" cy="105"/>
          </a:xfrm>
        </xdr:grpSpPr>
        <xdr:sp macro="" textlink="">
          <xdr:nvSpPr>
            <xdr:cNvPr id="17616" name="Rectangle 17">
              <a:extLst>
                <a:ext uri="{FF2B5EF4-FFF2-40B4-BE49-F238E27FC236}">
                  <a16:creationId xmlns:a16="http://schemas.microsoft.com/office/drawing/2014/main" id="{00000000-0008-0000-0900-0000D0440000}"/>
                </a:ext>
              </a:extLst>
            </xdr:cNvPr>
            <xdr:cNvSpPr>
              <a:spLocks noChangeArrowheads="1"/>
            </xdr:cNvSpPr>
          </xdr:nvSpPr>
          <xdr:spPr bwMode="auto">
            <a:xfrm>
              <a:off x="364" y="1358"/>
              <a:ext cx="224" cy="105"/>
            </a:xfrm>
            <a:prstGeom prst="rect">
              <a:avLst/>
            </a:prstGeom>
            <a:solidFill>
              <a:srgbClr val="CCECFF"/>
            </a:solidFill>
            <a:ln w="9525">
              <a:noFill/>
              <a:miter lim="800000"/>
              <a:headEnd/>
              <a:tailEnd/>
            </a:ln>
          </xdr:spPr>
        </xdr:sp>
        <xdr:sp macro="" textlink="">
          <xdr:nvSpPr>
            <xdr:cNvPr id="17617" name="Rectangle 18">
              <a:extLst>
                <a:ext uri="{FF2B5EF4-FFF2-40B4-BE49-F238E27FC236}">
                  <a16:creationId xmlns:a16="http://schemas.microsoft.com/office/drawing/2014/main" id="{00000000-0008-0000-0900-0000D1440000}"/>
                </a:ext>
              </a:extLst>
            </xdr:cNvPr>
            <xdr:cNvSpPr>
              <a:spLocks noChangeArrowheads="1"/>
            </xdr:cNvSpPr>
          </xdr:nvSpPr>
          <xdr:spPr bwMode="auto">
            <a:xfrm>
              <a:off x="363" y="1364"/>
              <a:ext cx="139" cy="84"/>
            </a:xfrm>
            <a:prstGeom prst="rect">
              <a:avLst/>
            </a:prstGeom>
            <a:gradFill rotWithShape="0">
              <a:gsLst>
                <a:gs pos="0">
                  <a:srgbClr val="99CCFF"/>
                </a:gs>
                <a:gs pos="100000">
                  <a:srgbClr val="CCECFF"/>
                </a:gs>
              </a:gsLst>
              <a:lin ang="0" scaled="1"/>
            </a:gradFill>
            <a:ln w="9525" cap="rnd">
              <a:solidFill>
                <a:srgbClr val="000000"/>
              </a:solidFill>
              <a:prstDash val="sysDot"/>
              <a:miter lim="800000"/>
              <a:headEnd/>
              <a:tailEnd/>
            </a:ln>
          </xdr:spPr>
        </xdr:sp>
        <xdr:sp macro="" textlink="">
          <xdr:nvSpPr>
            <xdr:cNvPr id="16403" name="Text Box 19">
              <a:extLst>
                <a:ext uri="{FF2B5EF4-FFF2-40B4-BE49-F238E27FC236}">
                  <a16:creationId xmlns:a16="http://schemas.microsoft.com/office/drawing/2014/main" id="{00000000-0008-0000-0900-000013400000}"/>
                </a:ext>
              </a:extLst>
            </xdr:cNvPr>
            <xdr:cNvSpPr txBox="1">
              <a:spLocks noChangeArrowheads="1"/>
            </xdr:cNvSpPr>
          </xdr:nvSpPr>
          <xdr:spPr bwMode="auto">
            <a:xfrm>
              <a:off x="377" y="1368"/>
              <a:ext cx="126" cy="28"/>
            </a:xfrm>
            <a:prstGeom prst="rect">
              <a:avLst/>
            </a:prstGeom>
            <a:noFill/>
            <a:ln w="9525">
              <a:noFill/>
              <a:miter lim="800000"/>
              <a:headEnd/>
              <a:tailEnd/>
            </a:ln>
          </xdr:spPr>
          <xdr:txBody>
            <a:bodyPr vertOverflow="clip" wrap="square" lIns="36576" tIns="22860" rIns="36576" bIns="0" anchor="t" upright="1"/>
            <a:lstStyle/>
            <a:p>
              <a:pPr algn="ctr" rtl="0">
                <a:defRPr sz="1000"/>
              </a:pPr>
              <a:r>
                <a:rPr lang="en-US" sz="1200" b="0" i="0" u="none" strike="noStrike" baseline="0">
                  <a:solidFill>
                    <a:srgbClr val="000000"/>
                  </a:solidFill>
                  <a:latin typeface="Arial"/>
                  <a:cs typeface="Arial"/>
                </a:rPr>
                <a:t>Mixing Zone</a:t>
              </a:r>
            </a:p>
          </xdr:txBody>
        </xdr:sp>
      </xdr:grpSp>
      <xdr:sp macro="" textlink="">
        <xdr:nvSpPr>
          <xdr:cNvPr id="16404" name="Text Box 20">
            <a:extLst>
              <a:ext uri="{FF2B5EF4-FFF2-40B4-BE49-F238E27FC236}">
                <a16:creationId xmlns:a16="http://schemas.microsoft.com/office/drawing/2014/main" id="{00000000-0008-0000-0900-000014400000}"/>
              </a:ext>
            </a:extLst>
          </xdr:cNvPr>
          <xdr:cNvSpPr txBox="1">
            <a:spLocks noChangeArrowheads="1"/>
          </xdr:cNvSpPr>
        </xdr:nvSpPr>
        <xdr:spPr bwMode="auto">
          <a:xfrm>
            <a:off x="335" y="1455"/>
            <a:ext cx="174" cy="28"/>
          </a:xfrm>
          <a:prstGeom prst="rect">
            <a:avLst/>
          </a:prstGeom>
          <a:noFill/>
          <a:ln w="9525">
            <a:noFill/>
            <a:miter lim="800000"/>
            <a:headEnd/>
            <a:tailEnd/>
          </a:ln>
        </xdr:spPr>
        <xdr:txBody>
          <a:bodyPr vertOverflow="clip" wrap="square" lIns="36576" tIns="22860" rIns="0" bIns="0" anchor="t" upright="1"/>
          <a:lstStyle/>
          <a:p>
            <a:pPr algn="l" rtl="0">
              <a:defRPr sz="1000"/>
            </a:pPr>
            <a:r>
              <a:rPr lang="en-US" sz="1200" b="0" i="0" u="none" strike="noStrike" baseline="0">
                <a:solidFill>
                  <a:srgbClr val="000000"/>
                </a:solidFill>
                <a:latin typeface="Arial"/>
                <a:cs typeface="Arial"/>
              </a:rPr>
              <a:t>Receiving Water Body</a:t>
            </a:r>
          </a:p>
        </xdr:txBody>
      </xdr:sp>
    </xdr:grpSp>
    <xdr:clientData/>
  </xdr:twoCellAnchor>
  <xdr:twoCellAnchor>
    <xdr:from>
      <xdr:col>1</xdr:col>
      <xdr:colOff>200025</xdr:colOff>
      <xdr:row>62</xdr:row>
      <xdr:rowOff>104775</xdr:rowOff>
    </xdr:from>
    <xdr:to>
      <xdr:col>3</xdr:col>
      <xdr:colOff>57150</xdr:colOff>
      <xdr:row>67</xdr:row>
      <xdr:rowOff>0</xdr:rowOff>
    </xdr:to>
    <xdr:sp macro="" textlink="">
      <xdr:nvSpPr>
        <xdr:cNvPr id="17139" name="AutoShape 21" descr="Light vertical">
          <a:extLst>
            <a:ext uri="{FF2B5EF4-FFF2-40B4-BE49-F238E27FC236}">
              <a16:creationId xmlns:a16="http://schemas.microsoft.com/office/drawing/2014/main" id="{00000000-0008-0000-0900-0000F3420000}"/>
            </a:ext>
          </a:extLst>
        </xdr:cNvPr>
        <xdr:cNvSpPr>
          <a:spLocks noChangeArrowheads="1"/>
        </xdr:cNvSpPr>
      </xdr:nvSpPr>
      <xdr:spPr bwMode="auto">
        <a:xfrm flipH="1">
          <a:off x="809625" y="10144125"/>
          <a:ext cx="1076325" cy="704850"/>
        </a:xfrm>
        <a:prstGeom prst="parallelogram">
          <a:avLst>
            <a:gd name="adj" fmla="val 27027"/>
          </a:avLst>
        </a:prstGeom>
        <a:pattFill prst="ltVert">
          <a:fgClr>
            <a:srgbClr val="666699"/>
          </a:fgClr>
          <a:bgClr>
            <a:srgbClr val="FFFFFF"/>
          </a:bgClr>
        </a:pattFill>
        <a:ln w="9525">
          <a:noFill/>
          <a:miter lim="800000"/>
          <a:headEnd/>
          <a:tailEnd/>
        </a:ln>
      </xdr:spPr>
    </xdr:sp>
    <xdr:clientData/>
  </xdr:twoCellAnchor>
  <xdr:twoCellAnchor>
    <xdr:from>
      <xdr:col>0</xdr:col>
      <xdr:colOff>47625</xdr:colOff>
      <xdr:row>0</xdr:row>
      <xdr:rowOff>47625</xdr:rowOff>
    </xdr:from>
    <xdr:to>
      <xdr:col>3</xdr:col>
      <xdr:colOff>38100</xdr:colOff>
      <xdr:row>3</xdr:row>
      <xdr:rowOff>47625</xdr:rowOff>
    </xdr:to>
    <xdr:sp macro="" textlink="">
      <xdr:nvSpPr>
        <xdr:cNvPr id="16406" name="Text Box 22">
          <a:extLst>
            <a:ext uri="{FF2B5EF4-FFF2-40B4-BE49-F238E27FC236}">
              <a16:creationId xmlns:a16="http://schemas.microsoft.com/office/drawing/2014/main" id="{00000000-0008-0000-0900-000016400000}"/>
            </a:ext>
          </a:extLst>
        </xdr:cNvPr>
        <xdr:cNvSpPr txBox="1">
          <a:spLocks noChangeArrowheads="1"/>
        </xdr:cNvSpPr>
      </xdr:nvSpPr>
      <xdr:spPr bwMode="auto">
        <a:xfrm>
          <a:off x="47625" y="47625"/>
          <a:ext cx="1819275" cy="485775"/>
        </a:xfrm>
        <a:prstGeom prst="rect">
          <a:avLst/>
        </a:prstGeom>
        <a:solidFill>
          <a:srgbClr val="FFFFFF"/>
        </a:solidFill>
        <a:ln w="19050">
          <a:solidFill>
            <a:srgbClr val="FF0000"/>
          </a:solidFill>
          <a:miter lim="800000"/>
          <a:headEnd/>
          <a:tailEnd/>
        </a:ln>
      </xdr:spPr>
      <xdr:txBody>
        <a:bodyPr vertOverflow="clip" wrap="square" lIns="36576" tIns="22860" rIns="36576" bIns="0" anchor="t" upright="1"/>
        <a:lstStyle/>
        <a:p>
          <a:pPr algn="ctr" rtl="0">
            <a:defRPr sz="1000"/>
          </a:pPr>
          <a:r>
            <a:rPr lang="en-US" sz="1200" b="0" i="0" u="none" strike="noStrike" baseline="0">
              <a:solidFill>
                <a:srgbClr val="000000"/>
              </a:solidFill>
              <a:latin typeface="Arial"/>
              <a:cs typeface="Arial"/>
            </a:rPr>
            <a:t>EFFLUENT PATHWAY</a:t>
          </a:r>
          <a:endParaRPr lang="en-US" sz="1400" b="0" i="0" u="none" strike="noStrike" baseline="0">
            <a:solidFill>
              <a:srgbClr val="000000"/>
            </a:solidFill>
            <a:latin typeface="Arial"/>
            <a:cs typeface="Arial"/>
          </a:endParaRPr>
        </a:p>
        <a:p>
          <a:pPr algn="ctr" rtl="0">
            <a:defRPr sz="1000"/>
          </a:pPr>
          <a:r>
            <a:rPr lang="en-US" sz="1000" b="0" i="0" u="none" strike="noStrike" baseline="0">
              <a:solidFill>
                <a:srgbClr val="000000"/>
              </a:solidFill>
              <a:latin typeface="Arial"/>
              <a:cs typeface="Arial"/>
            </a:rPr>
            <a:t>HYDRAULIC PLACEMENT</a:t>
          </a: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xdr:txBody>
    </xdr:sp>
    <xdr:clientData/>
  </xdr:twoCellAnchor>
  <xdr:twoCellAnchor>
    <xdr:from>
      <xdr:col>7</xdr:col>
      <xdr:colOff>257175</xdr:colOff>
      <xdr:row>5</xdr:row>
      <xdr:rowOff>152400</xdr:rowOff>
    </xdr:from>
    <xdr:to>
      <xdr:col>9</xdr:col>
      <xdr:colOff>228600</xdr:colOff>
      <xdr:row>7</xdr:row>
      <xdr:rowOff>95250</xdr:rowOff>
    </xdr:to>
    <xdr:sp macro="" textlink="">
      <xdr:nvSpPr>
        <xdr:cNvPr id="16408" name="Text Box 24">
          <a:extLst>
            <a:ext uri="{FF2B5EF4-FFF2-40B4-BE49-F238E27FC236}">
              <a16:creationId xmlns:a16="http://schemas.microsoft.com/office/drawing/2014/main" id="{00000000-0008-0000-0900-000018400000}"/>
            </a:ext>
          </a:extLst>
        </xdr:cNvPr>
        <xdr:cNvSpPr txBox="1">
          <a:spLocks noChangeArrowheads="1"/>
        </xdr:cNvSpPr>
      </xdr:nvSpPr>
      <xdr:spPr bwMode="auto">
        <a:xfrm>
          <a:off x="4124325" y="962025"/>
          <a:ext cx="1190625" cy="266700"/>
        </a:xfrm>
        <a:prstGeom prst="rect">
          <a:avLst/>
        </a:prstGeom>
        <a:noFill/>
        <a:ln w="9525">
          <a:noFill/>
          <a:miter lim="800000"/>
          <a:headEnd/>
          <a:tailEnd/>
        </a:ln>
      </xdr:spPr>
      <xdr:txBody>
        <a:bodyPr vertOverflow="clip" wrap="square" lIns="36576" tIns="22860" rIns="36576" bIns="0" anchor="t" upright="1"/>
        <a:lstStyle/>
        <a:p>
          <a:pPr algn="ctr" rtl="0">
            <a:defRPr sz="1000"/>
          </a:pPr>
          <a:r>
            <a:rPr lang="en-US" sz="1200" b="0" i="0" u="none" strike="noStrike" baseline="0">
              <a:solidFill>
                <a:srgbClr val="000000"/>
              </a:solidFill>
              <a:latin typeface="Arial"/>
              <a:cs typeface="Arial"/>
            </a:rPr>
            <a:t>Mixing Zone</a:t>
          </a:r>
        </a:p>
      </xdr:txBody>
    </xdr:sp>
    <xdr:clientData/>
  </xdr:twoCellAnchor>
  <xdr:twoCellAnchor>
    <xdr:from>
      <xdr:col>9</xdr:col>
      <xdr:colOff>409575</xdr:colOff>
      <xdr:row>6</xdr:row>
      <xdr:rowOff>85725</xdr:rowOff>
    </xdr:from>
    <xdr:to>
      <xdr:col>11</xdr:col>
      <xdr:colOff>76200</xdr:colOff>
      <xdr:row>10</xdr:row>
      <xdr:rowOff>9525</xdr:rowOff>
    </xdr:to>
    <xdr:sp macro="" textlink="">
      <xdr:nvSpPr>
        <xdr:cNvPr id="16407" name="Text Box 23">
          <a:extLst>
            <a:ext uri="{FF2B5EF4-FFF2-40B4-BE49-F238E27FC236}">
              <a16:creationId xmlns:a16="http://schemas.microsoft.com/office/drawing/2014/main" id="{00000000-0008-0000-0900-000017400000}"/>
            </a:ext>
          </a:extLst>
        </xdr:cNvPr>
        <xdr:cNvSpPr txBox="1">
          <a:spLocks noChangeArrowheads="1"/>
        </xdr:cNvSpPr>
      </xdr:nvSpPr>
      <xdr:spPr bwMode="auto">
        <a:xfrm>
          <a:off x="5495925" y="1057275"/>
          <a:ext cx="885825" cy="571500"/>
        </a:xfrm>
        <a:prstGeom prst="rect">
          <a:avLst/>
        </a:prstGeom>
        <a:noFill/>
        <a:ln w="9525">
          <a:noFill/>
          <a:miter lim="800000"/>
          <a:headEnd/>
          <a:tailEnd/>
        </a:ln>
      </xdr:spPr>
      <xdr:txBody>
        <a:bodyPr vertOverflow="clip" wrap="square" lIns="36576" tIns="22860" rIns="0" bIns="0" anchor="t" upright="1"/>
        <a:lstStyle/>
        <a:p>
          <a:pPr algn="l" rtl="0">
            <a:defRPr sz="1000"/>
          </a:pPr>
          <a:r>
            <a:rPr lang="en-US" sz="1200" b="0" i="0" u="none" strike="noStrike" baseline="0">
              <a:solidFill>
                <a:srgbClr val="000000"/>
              </a:solidFill>
              <a:latin typeface="Arial"/>
              <a:cs typeface="Arial"/>
            </a:rPr>
            <a:t>Receiving</a:t>
          </a:r>
        </a:p>
        <a:p>
          <a:pPr algn="l" rtl="0">
            <a:defRPr sz="1000"/>
          </a:pPr>
          <a:r>
            <a:rPr lang="en-US" sz="1200" b="0" i="0" u="none" strike="noStrike" baseline="0">
              <a:solidFill>
                <a:srgbClr val="000000"/>
              </a:solidFill>
              <a:latin typeface="Arial"/>
              <a:cs typeface="Arial"/>
            </a:rPr>
            <a:t>Water Body</a:t>
          </a:r>
        </a:p>
      </xdr:txBody>
    </xdr:sp>
    <xdr:clientData/>
  </xdr:twoCellAnchor>
  <xdr:twoCellAnchor>
    <xdr:from>
      <xdr:col>0</xdr:col>
      <xdr:colOff>171450</xdr:colOff>
      <xdr:row>5</xdr:row>
      <xdr:rowOff>133350</xdr:rowOff>
    </xdr:from>
    <xdr:to>
      <xdr:col>3</xdr:col>
      <xdr:colOff>304800</xdr:colOff>
      <xdr:row>12</xdr:row>
      <xdr:rowOff>0</xdr:rowOff>
    </xdr:to>
    <xdr:grpSp>
      <xdr:nvGrpSpPr>
        <xdr:cNvPr id="17143" name="Group 25">
          <a:extLst>
            <a:ext uri="{FF2B5EF4-FFF2-40B4-BE49-F238E27FC236}">
              <a16:creationId xmlns:a16="http://schemas.microsoft.com/office/drawing/2014/main" id="{00000000-0008-0000-0900-0000F7420000}"/>
            </a:ext>
          </a:extLst>
        </xdr:cNvPr>
        <xdr:cNvGrpSpPr>
          <a:grpSpLocks/>
        </xdr:cNvGrpSpPr>
      </xdr:nvGrpSpPr>
      <xdr:grpSpPr bwMode="auto">
        <a:xfrm>
          <a:off x="171450" y="971550"/>
          <a:ext cx="1962150" cy="1040130"/>
          <a:chOff x="18" y="99"/>
          <a:chExt cx="206" cy="105"/>
        </a:xfrm>
      </xdr:grpSpPr>
      <xdr:sp macro="" textlink="">
        <xdr:nvSpPr>
          <xdr:cNvPr id="17612" name="Rectangle 26">
            <a:extLst>
              <a:ext uri="{FF2B5EF4-FFF2-40B4-BE49-F238E27FC236}">
                <a16:creationId xmlns:a16="http://schemas.microsoft.com/office/drawing/2014/main" id="{00000000-0008-0000-0900-0000CC440000}"/>
              </a:ext>
            </a:extLst>
          </xdr:cNvPr>
          <xdr:cNvSpPr>
            <a:spLocks noChangeArrowheads="1"/>
          </xdr:cNvSpPr>
        </xdr:nvSpPr>
        <xdr:spPr bwMode="auto">
          <a:xfrm>
            <a:off x="19" y="99"/>
            <a:ext cx="205" cy="49"/>
          </a:xfrm>
          <a:prstGeom prst="rect">
            <a:avLst/>
          </a:prstGeom>
          <a:solidFill>
            <a:srgbClr val="99CCFF"/>
          </a:solidFill>
          <a:ln w="76200">
            <a:noFill/>
            <a:miter lim="800000"/>
            <a:headEnd/>
            <a:tailEnd/>
          </a:ln>
        </xdr:spPr>
      </xdr:sp>
      <xdr:sp macro="" textlink="">
        <xdr:nvSpPr>
          <xdr:cNvPr id="17613" name="Rectangle 27" descr="Large confetti">
            <a:extLst>
              <a:ext uri="{FF2B5EF4-FFF2-40B4-BE49-F238E27FC236}">
                <a16:creationId xmlns:a16="http://schemas.microsoft.com/office/drawing/2014/main" id="{00000000-0008-0000-0900-0000CD440000}"/>
              </a:ext>
            </a:extLst>
          </xdr:cNvPr>
          <xdr:cNvSpPr>
            <a:spLocks noChangeArrowheads="1"/>
          </xdr:cNvSpPr>
        </xdr:nvSpPr>
        <xdr:spPr bwMode="auto">
          <a:xfrm>
            <a:off x="18" y="147"/>
            <a:ext cx="206" cy="57"/>
          </a:xfrm>
          <a:prstGeom prst="rect">
            <a:avLst/>
          </a:prstGeom>
          <a:pattFill prst="lgConfetti">
            <a:fgClr>
              <a:srgbClr val="99CCFF"/>
            </a:fgClr>
            <a:bgClr>
              <a:srgbClr val="FFCC99"/>
            </a:bgClr>
          </a:pattFill>
          <a:ln w="76200">
            <a:noFill/>
            <a:miter lim="800000"/>
            <a:headEnd/>
            <a:tailEnd/>
          </a:ln>
        </xdr:spPr>
      </xdr:sp>
    </xdr:grpSp>
    <xdr:clientData/>
  </xdr:twoCellAnchor>
  <xdr:twoCellAnchor>
    <xdr:from>
      <xdr:col>2</xdr:col>
      <xdr:colOff>9525</xdr:colOff>
      <xdr:row>8</xdr:row>
      <xdr:rowOff>104775</xdr:rowOff>
    </xdr:from>
    <xdr:to>
      <xdr:col>3</xdr:col>
      <xdr:colOff>304800</xdr:colOff>
      <xdr:row>9</xdr:row>
      <xdr:rowOff>47625</xdr:rowOff>
    </xdr:to>
    <xdr:sp macro="" textlink="">
      <xdr:nvSpPr>
        <xdr:cNvPr id="17144" name="Rectangle 28">
          <a:extLst>
            <a:ext uri="{FF2B5EF4-FFF2-40B4-BE49-F238E27FC236}">
              <a16:creationId xmlns:a16="http://schemas.microsoft.com/office/drawing/2014/main" id="{00000000-0008-0000-0900-0000F8420000}"/>
            </a:ext>
          </a:extLst>
        </xdr:cNvPr>
        <xdr:cNvSpPr>
          <a:spLocks noChangeArrowheads="1"/>
        </xdr:cNvSpPr>
      </xdr:nvSpPr>
      <xdr:spPr bwMode="auto">
        <a:xfrm>
          <a:off x="1228725" y="1400175"/>
          <a:ext cx="904875" cy="104775"/>
        </a:xfrm>
        <a:prstGeom prst="rect">
          <a:avLst/>
        </a:prstGeom>
        <a:solidFill>
          <a:srgbClr val="99CCFF"/>
        </a:solidFill>
        <a:ln w="9525">
          <a:noFill/>
          <a:miter lim="800000"/>
          <a:headEnd/>
          <a:tailEnd/>
        </a:ln>
      </xdr:spPr>
    </xdr:sp>
    <xdr:clientData/>
  </xdr:twoCellAnchor>
  <xdr:twoCellAnchor>
    <xdr:from>
      <xdr:col>1</xdr:col>
      <xdr:colOff>133350</xdr:colOff>
      <xdr:row>5</xdr:row>
      <xdr:rowOff>114300</xdr:rowOff>
    </xdr:from>
    <xdr:to>
      <xdr:col>2</xdr:col>
      <xdr:colOff>66675</xdr:colOff>
      <xdr:row>9</xdr:row>
      <xdr:rowOff>9525</xdr:rowOff>
    </xdr:to>
    <xdr:sp macro="" textlink="">
      <xdr:nvSpPr>
        <xdr:cNvPr id="17145" name="Line 29">
          <a:extLst>
            <a:ext uri="{FF2B5EF4-FFF2-40B4-BE49-F238E27FC236}">
              <a16:creationId xmlns:a16="http://schemas.microsoft.com/office/drawing/2014/main" id="{00000000-0008-0000-0900-0000F9420000}"/>
            </a:ext>
          </a:extLst>
        </xdr:cNvPr>
        <xdr:cNvSpPr>
          <a:spLocks noChangeShapeType="1"/>
        </xdr:cNvSpPr>
      </xdr:nvSpPr>
      <xdr:spPr bwMode="auto">
        <a:xfrm>
          <a:off x="742950" y="923925"/>
          <a:ext cx="542925" cy="542925"/>
        </a:xfrm>
        <a:prstGeom prst="line">
          <a:avLst/>
        </a:prstGeom>
        <a:noFill/>
        <a:ln w="28575">
          <a:solidFill>
            <a:srgbClr val="000000"/>
          </a:solidFill>
          <a:round/>
          <a:headEnd/>
          <a:tailEnd/>
        </a:ln>
      </xdr:spPr>
    </xdr:sp>
    <xdr:clientData/>
  </xdr:twoCellAnchor>
  <xdr:twoCellAnchor>
    <xdr:from>
      <xdr:col>2</xdr:col>
      <xdr:colOff>0</xdr:colOff>
      <xdr:row>8</xdr:row>
      <xdr:rowOff>123825</xdr:rowOff>
    </xdr:from>
    <xdr:to>
      <xdr:col>2</xdr:col>
      <xdr:colOff>76200</xdr:colOff>
      <xdr:row>9</xdr:row>
      <xdr:rowOff>38100</xdr:rowOff>
    </xdr:to>
    <xdr:sp macro="" textlink="">
      <xdr:nvSpPr>
        <xdr:cNvPr id="17146" name="Oval 30">
          <a:extLst>
            <a:ext uri="{FF2B5EF4-FFF2-40B4-BE49-F238E27FC236}">
              <a16:creationId xmlns:a16="http://schemas.microsoft.com/office/drawing/2014/main" id="{00000000-0008-0000-0900-0000FA420000}"/>
            </a:ext>
          </a:extLst>
        </xdr:cNvPr>
        <xdr:cNvSpPr>
          <a:spLocks noChangeArrowheads="1"/>
        </xdr:cNvSpPr>
      </xdr:nvSpPr>
      <xdr:spPr bwMode="auto">
        <a:xfrm>
          <a:off x="1219200" y="1419225"/>
          <a:ext cx="76200" cy="76200"/>
        </a:xfrm>
        <a:prstGeom prst="ellipse">
          <a:avLst/>
        </a:prstGeom>
        <a:solidFill>
          <a:srgbClr val="000000"/>
        </a:solidFill>
        <a:ln w="9525">
          <a:solidFill>
            <a:srgbClr val="000000"/>
          </a:solidFill>
          <a:round/>
          <a:headEnd/>
          <a:tailEnd/>
        </a:ln>
      </xdr:spPr>
    </xdr:sp>
    <xdr:clientData/>
  </xdr:twoCellAnchor>
  <xdr:twoCellAnchor>
    <xdr:from>
      <xdr:col>1</xdr:col>
      <xdr:colOff>171450</xdr:colOff>
      <xdr:row>5</xdr:row>
      <xdr:rowOff>123825</xdr:rowOff>
    </xdr:from>
    <xdr:to>
      <xdr:col>3</xdr:col>
      <xdr:colOff>304800</xdr:colOff>
      <xdr:row>5</xdr:row>
      <xdr:rowOff>123825</xdr:rowOff>
    </xdr:to>
    <xdr:sp macro="" textlink="">
      <xdr:nvSpPr>
        <xdr:cNvPr id="17147" name="Line 31">
          <a:extLst>
            <a:ext uri="{FF2B5EF4-FFF2-40B4-BE49-F238E27FC236}">
              <a16:creationId xmlns:a16="http://schemas.microsoft.com/office/drawing/2014/main" id="{00000000-0008-0000-0900-0000FB420000}"/>
            </a:ext>
          </a:extLst>
        </xdr:cNvPr>
        <xdr:cNvSpPr>
          <a:spLocks noChangeShapeType="1"/>
        </xdr:cNvSpPr>
      </xdr:nvSpPr>
      <xdr:spPr bwMode="auto">
        <a:xfrm flipV="1">
          <a:off x="781050" y="933450"/>
          <a:ext cx="1352550" cy="0"/>
        </a:xfrm>
        <a:prstGeom prst="line">
          <a:avLst/>
        </a:prstGeom>
        <a:noFill/>
        <a:ln w="28575">
          <a:solidFill>
            <a:srgbClr val="000000"/>
          </a:solidFill>
          <a:round/>
          <a:headEnd/>
          <a:tailEnd/>
        </a:ln>
      </xdr:spPr>
    </xdr:sp>
    <xdr:clientData/>
  </xdr:twoCellAnchor>
  <xdr:twoCellAnchor>
    <xdr:from>
      <xdr:col>1</xdr:col>
      <xdr:colOff>28575</xdr:colOff>
      <xdr:row>14</xdr:row>
      <xdr:rowOff>28575</xdr:rowOff>
    </xdr:from>
    <xdr:to>
      <xdr:col>4</xdr:col>
      <xdr:colOff>142875</xdr:colOff>
      <xdr:row>30</xdr:row>
      <xdr:rowOff>85725</xdr:rowOff>
    </xdr:to>
    <xdr:grpSp>
      <xdr:nvGrpSpPr>
        <xdr:cNvPr id="17148" name="Group 32">
          <a:extLst>
            <a:ext uri="{FF2B5EF4-FFF2-40B4-BE49-F238E27FC236}">
              <a16:creationId xmlns:a16="http://schemas.microsoft.com/office/drawing/2014/main" id="{00000000-0008-0000-0900-0000FC420000}"/>
            </a:ext>
          </a:extLst>
        </xdr:cNvPr>
        <xdr:cNvGrpSpPr>
          <a:grpSpLocks/>
        </xdr:cNvGrpSpPr>
      </xdr:nvGrpSpPr>
      <xdr:grpSpPr bwMode="auto">
        <a:xfrm>
          <a:off x="638175" y="2375535"/>
          <a:ext cx="1943100" cy="2739390"/>
          <a:chOff x="632" y="241"/>
          <a:chExt cx="204" cy="278"/>
        </a:xfrm>
      </xdr:grpSpPr>
      <xdr:grpSp>
        <xdr:nvGrpSpPr>
          <xdr:cNvPr id="17600" name="Group 33">
            <a:extLst>
              <a:ext uri="{FF2B5EF4-FFF2-40B4-BE49-F238E27FC236}">
                <a16:creationId xmlns:a16="http://schemas.microsoft.com/office/drawing/2014/main" id="{00000000-0008-0000-0900-0000C0440000}"/>
              </a:ext>
            </a:extLst>
          </xdr:cNvPr>
          <xdr:cNvGrpSpPr>
            <a:grpSpLocks/>
          </xdr:cNvGrpSpPr>
        </xdr:nvGrpSpPr>
        <xdr:grpSpPr bwMode="auto">
          <a:xfrm>
            <a:off x="632" y="241"/>
            <a:ext cx="204" cy="278"/>
            <a:chOff x="741" y="240"/>
            <a:chExt cx="204" cy="278"/>
          </a:xfrm>
        </xdr:grpSpPr>
        <xdr:grpSp>
          <xdr:nvGrpSpPr>
            <xdr:cNvPr id="17602" name="Group 34">
              <a:extLst>
                <a:ext uri="{FF2B5EF4-FFF2-40B4-BE49-F238E27FC236}">
                  <a16:creationId xmlns:a16="http://schemas.microsoft.com/office/drawing/2014/main" id="{00000000-0008-0000-0900-0000C2440000}"/>
                </a:ext>
              </a:extLst>
            </xdr:cNvPr>
            <xdr:cNvGrpSpPr>
              <a:grpSpLocks/>
            </xdr:cNvGrpSpPr>
          </xdr:nvGrpSpPr>
          <xdr:grpSpPr bwMode="auto">
            <a:xfrm>
              <a:off x="742" y="240"/>
              <a:ext cx="203" cy="278"/>
              <a:chOff x="744" y="346"/>
              <a:chExt cx="203" cy="278"/>
            </a:xfrm>
          </xdr:grpSpPr>
          <xdr:sp macro="" textlink="">
            <xdr:nvSpPr>
              <xdr:cNvPr id="17606" name="Rectangle 35">
                <a:extLst>
                  <a:ext uri="{FF2B5EF4-FFF2-40B4-BE49-F238E27FC236}">
                    <a16:creationId xmlns:a16="http://schemas.microsoft.com/office/drawing/2014/main" id="{00000000-0008-0000-0900-0000C6440000}"/>
                  </a:ext>
                </a:extLst>
              </xdr:cNvPr>
              <xdr:cNvSpPr>
                <a:spLocks noChangeArrowheads="1"/>
              </xdr:cNvSpPr>
            </xdr:nvSpPr>
            <xdr:spPr bwMode="auto">
              <a:xfrm>
                <a:off x="744" y="346"/>
                <a:ext cx="203" cy="139"/>
              </a:xfrm>
              <a:prstGeom prst="rect">
                <a:avLst/>
              </a:prstGeom>
              <a:solidFill>
                <a:srgbClr val="99CCFF"/>
              </a:solidFill>
              <a:ln w="76200">
                <a:noFill/>
                <a:miter lim="800000"/>
                <a:headEnd/>
                <a:tailEnd/>
              </a:ln>
            </xdr:spPr>
          </xdr:sp>
          <xdr:sp macro="" textlink="">
            <xdr:nvSpPr>
              <xdr:cNvPr id="17607" name="Rectangle 36" descr="Large confetti">
                <a:extLst>
                  <a:ext uri="{FF2B5EF4-FFF2-40B4-BE49-F238E27FC236}">
                    <a16:creationId xmlns:a16="http://schemas.microsoft.com/office/drawing/2014/main" id="{00000000-0008-0000-0900-0000C7440000}"/>
                  </a:ext>
                </a:extLst>
              </xdr:cNvPr>
              <xdr:cNvSpPr>
                <a:spLocks noChangeArrowheads="1"/>
              </xdr:cNvSpPr>
            </xdr:nvSpPr>
            <xdr:spPr bwMode="auto">
              <a:xfrm>
                <a:off x="744" y="485"/>
                <a:ext cx="203" cy="139"/>
              </a:xfrm>
              <a:prstGeom prst="rect">
                <a:avLst/>
              </a:prstGeom>
              <a:pattFill prst="lgConfetti">
                <a:fgClr>
                  <a:srgbClr val="99CCFF"/>
                </a:fgClr>
                <a:bgClr>
                  <a:srgbClr val="FFCC99"/>
                </a:bgClr>
              </a:pattFill>
              <a:ln w="76200">
                <a:noFill/>
                <a:miter lim="800000"/>
                <a:headEnd/>
                <a:tailEnd/>
              </a:ln>
            </xdr:spPr>
          </xdr:sp>
          <xdr:sp macro="" textlink="">
            <xdr:nvSpPr>
              <xdr:cNvPr id="16421" name="Text Box 37">
                <a:extLst>
                  <a:ext uri="{FF2B5EF4-FFF2-40B4-BE49-F238E27FC236}">
                    <a16:creationId xmlns:a16="http://schemas.microsoft.com/office/drawing/2014/main" id="{00000000-0008-0000-0900-000025400000}"/>
                  </a:ext>
                </a:extLst>
              </xdr:cNvPr>
              <xdr:cNvSpPr txBox="1">
                <a:spLocks noChangeArrowheads="1"/>
              </xdr:cNvSpPr>
            </xdr:nvSpPr>
            <xdr:spPr bwMode="auto">
              <a:xfrm>
                <a:off x="771" y="371"/>
                <a:ext cx="174" cy="28"/>
              </a:xfrm>
              <a:prstGeom prst="rect">
                <a:avLst/>
              </a:prstGeom>
              <a:noFill/>
              <a:ln w="9525">
                <a:noFill/>
                <a:miter lim="800000"/>
                <a:headEnd/>
                <a:tailEnd/>
              </a:ln>
            </xdr:spPr>
            <xdr:txBody>
              <a:bodyPr vertOverflow="clip" wrap="square" lIns="36576" tIns="22860" rIns="36576" bIns="0" anchor="t" upright="1"/>
              <a:lstStyle/>
              <a:p>
                <a:pPr algn="ctr" rtl="0">
                  <a:defRPr sz="1000"/>
                </a:pPr>
                <a:r>
                  <a:rPr lang="en-US" sz="1200" b="0" i="0" u="none" strike="noStrike" baseline="0">
                    <a:solidFill>
                      <a:srgbClr val="000000"/>
                    </a:solidFill>
                    <a:latin typeface="Arial"/>
                    <a:cs typeface="Arial"/>
                  </a:rPr>
                  <a:t>Carrier Water</a:t>
                </a:r>
              </a:p>
            </xdr:txBody>
          </xdr:sp>
          <xdr:sp macro="" textlink="">
            <xdr:nvSpPr>
              <xdr:cNvPr id="16422" name="Text Box 38">
                <a:extLst>
                  <a:ext uri="{FF2B5EF4-FFF2-40B4-BE49-F238E27FC236}">
                    <a16:creationId xmlns:a16="http://schemas.microsoft.com/office/drawing/2014/main" id="{00000000-0008-0000-0900-000026400000}"/>
                  </a:ext>
                </a:extLst>
              </xdr:cNvPr>
              <xdr:cNvSpPr txBox="1">
                <a:spLocks noChangeArrowheads="1"/>
              </xdr:cNvSpPr>
            </xdr:nvSpPr>
            <xdr:spPr bwMode="auto">
              <a:xfrm>
                <a:off x="749" y="581"/>
                <a:ext cx="174" cy="28"/>
              </a:xfrm>
              <a:prstGeom prst="rect">
                <a:avLst/>
              </a:prstGeom>
              <a:noFill/>
              <a:ln w="9525">
                <a:noFill/>
                <a:miter lim="800000"/>
                <a:headEnd/>
                <a:tailEnd/>
              </a:ln>
            </xdr:spPr>
            <xdr:txBody>
              <a:bodyPr vertOverflow="clip" wrap="square" lIns="36576" tIns="22860" rIns="36576" bIns="0" anchor="t" upright="1"/>
              <a:lstStyle/>
              <a:p>
                <a:pPr algn="ctr" rtl="0">
                  <a:defRPr sz="1000"/>
                </a:pPr>
                <a:r>
                  <a:rPr lang="en-US" sz="1200" b="0" i="1" u="none" strike="noStrike" baseline="0">
                    <a:solidFill>
                      <a:srgbClr val="000000"/>
                    </a:solidFill>
                    <a:latin typeface="Arial"/>
                    <a:cs typeface="Arial"/>
                  </a:rPr>
                  <a:t>In Situ Sediment</a:t>
                </a:r>
              </a:p>
            </xdr:txBody>
          </xdr:sp>
          <xdr:sp macro="" textlink="">
            <xdr:nvSpPr>
              <xdr:cNvPr id="17610" name="Rectangle 39">
                <a:extLst>
                  <a:ext uri="{FF2B5EF4-FFF2-40B4-BE49-F238E27FC236}">
                    <a16:creationId xmlns:a16="http://schemas.microsoft.com/office/drawing/2014/main" id="{00000000-0008-0000-0900-0000CA440000}"/>
                  </a:ext>
                </a:extLst>
              </xdr:cNvPr>
              <xdr:cNvSpPr>
                <a:spLocks noChangeArrowheads="1"/>
              </xdr:cNvSpPr>
            </xdr:nvSpPr>
            <xdr:spPr bwMode="auto">
              <a:xfrm>
                <a:off x="854" y="479"/>
                <a:ext cx="93" cy="69"/>
              </a:xfrm>
              <a:prstGeom prst="rect">
                <a:avLst/>
              </a:prstGeom>
              <a:solidFill>
                <a:srgbClr val="99CCFF"/>
              </a:solidFill>
              <a:ln w="9525">
                <a:noFill/>
                <a:miter lim="800000"/>
                <a:headEnd/>
                <a:tailEnd/>
              </a:ln>
            </xdr:spPr>
          </xdr:sp>
          <xdr:sp macro="" textlink="">
            <xdr:nvSpPr>
              <xdr:cNvPr id="17611" name="Oval 40" descr="Large confetti">
                <a:extLst>
                  <a:ext uri="{FF2B5EF4-FFF2-40B4-BE49-F238E27FC236}">
                    <a16:creationId xmlns:a16="http://schemas.microsoft.com/office/drawing/2014/main" id="{00000000-0008-0000-0900-0000CB440000}"/>
                  </a:ext>
                </a:extLst>
              </xdr:cNvPr>
              <xdr:cNvSpPr>
                <a:spLocks noChangeArrowheads="1"/>
              </xdr:cNvSpPr>
            </xdr:nvSpPr>
            <xdr:spPr bwMode="auto">
              <a:xfrm>
                <a:off x="810" y="452"/>
                <a:ext cx="91" cy="96"/>
              </a:xfrm>
              <a:prstGeom prst="ellipse">
                <a:avLst/>
              </a:prstGeom>
              <a:pattFill prst="lgConfetti">
                <a:fgClr>
                  <a:srgbClr val="FFCC99"/>
                </a:fgClr>
                <a:bgClr>
                  <a:srgbClr val="99CCFF"/>
                </a:bgClr>
              </a:pattFill>
              <a:ln w="28575">
                <a:solidFill>
                  <a:srgbClr val="000000"/>
                </a:solidFill>
                <a:round/>
                <a:headEnd/>
                <a:tailEnd/>
              </a:ln>
            </xdr:spPr>
          </xdr:sp>
        </xdr:grpSp>
        <xdr:sp macro="" textlink="">
          <xdr:nvSpPr>
            <xdr:cNvPr id="17603" name="Line 41">
              <a:extLst>
                <a:ext uri="{FF2B5EF4-FFF2-40B4-BE49-F238E27FC236}">
                  <a16:creationId xmlns:a16="http://schemas.microsoft.com/office/drawing/2014/main" id="{00000000-0008-0000-0900-0000C3440000}"/>
                </a:ext>
              </a:extLst>
            </xdr:cNvPr>
            <xdr:cNvSpPr>
              <a:spLocks noChangeShapeType="1"/>
            </xdr:cNvSpPr>
          </xdr:nvSpPr>
          <xdr:spPr bwMode="auto">
            <a:xfrm flipH="1" flipV="1">
              <a:off x="750" y="289"/>
              <a:ext cx="68" cy="68"/>
            </a:xfrm>
            <a:prstGeom prst="line">
              <a:avLst/>
            </a:prstGeom>
            <a:noFill/>
            <a:ln w="273050">
              <a:solidFill>
                <a:srgbClr val="000000"/>
              </a:solidFill>
              <a:round/>
              <a:headEnd/>
              <a:tailEnd/>
            </a:ln>
          </xdr:spPr>
        </xdr:sp>
        <xdr:sp macro="" textlink="">
          <xdr:nvSpPr>
            <xdr:cNvPr id="17604" name="AutoShape 42">
              <a:extLst>
                <a:ext uri="{FF2B5EF4-FFF2-40B4-BE49-F238E27FC236}">
                  <a16:creationId xmlns:a16="http://schemas.microsoft.com/office/drawing/2014/main" id="{00000000-0008-0000-0900-0000C4440000}"/>
                </a:ext>
              </a:extLst>
            </xdr:cNvPr>
            <xdr:cNvSpPr>
              <a:spLocks noChangeArrowheads="1"/>
            </xdr:cNvSpPr>
          </xdr:nvSpPr>
          <xdr:spPr bwMode="auto">
            <a:xfrm rot="2926556">
              <a:off x="808" y="322"/>
              <a:ext cx="36" cy="75"/>
            </a:xfrm>
            <a:prstGeom prst="moon">
              <a:avLst>
                <a:gd name="adj" fmla="val 47222"/>
              </a:avLst>
            </a:prstGeom>
            <a:solidFill>
              <a:srgbClr val="000000"/>
            </a:solidFill>
            <a:ln w="9525">
              <a:solidFill>
                <a:srgbClr val="000000"/>
              </a:solidFill>
              <a:miter lim="800000"/>
              <a:headEnd/>
              <a:tailEnd/>
            </a:ln>
          </xdr:spPr>
        </xdr:sp>
        <xdr:sp macro="" textlink="">
          <xdr:nvSpPr>
            <xdr:cNvPr id="17605" name="AutoShape 43">
              <a:extLst>
                <a:ext uri="{FF2B5EF4-FFF2-40B4-BE49-F238E27FC236}">
                  <a16:creationId xmlns:a16="http://schemas.microsoft.com/office/drawing/2014/main" id="{00000000-0008-0000-0900-0000C5440000}"/>
                </a:ext>
              </a:extLst>
            </xdr:cNvPr>
            <xdr:cNvSpPr>
              <a:spLocks noChangeArrowheads="1"/>
            </xdr:cNvSpPr>
          </xdr:nvSpPr>
          <xdr:spPr bwMode="auto">
            <a:xfrm>
              <a:off x="741" y="260"/>
              <a:ext cx="42" cy="42"/>
            </a:xfrm>
            <a:prstGeom prst="rtTriangle">
              <a:avLst/>
            </a:prstGeom>
            <a:solidFill>
              <a:srgbClr val="000000"/>
            </a:solidFill>
            <a:ln w="9525">
              <a:solidFill>
                <a:srgbClr val="000000"/>
              </a:solidFill>
              <a:miter lim="800000"/>
              <a:headEnd/>
              <a:tailEnd/>
            </a:ln>
          </xdr:spPr>
        </xdr:sp>
      </xdr:grpSp>
      <xdr:sp macro="" textlink="">
        <xdr:nvSpPr>
          <xdr:cNvPr id="16428" name="Text Box 44">
            <a:extLst>
              <a:ext uri="{FF2B5EF4-FFF2-40B4-BE49-F238E27FC236}">
                <a16:creationId xmlns:a16="http://schemas.microsoft.com/office/drawing/2014/main" id="{00000000-0008-0000-0900-00002C400000}"/>
              </a:ext>
            </a:extLst>
          </xdr:cNvPr>
          <xdr:cNvSpPr txBox="1">
            <a:spLocks noChangeArrowheads="1"/>
          </xdr:cNvSpPr>
        </xdr:nvSpPr>
        <xdr:spPr bwMode="auto">
          <a:xfrm>
            <a:off x="702" y="380"/>
            <a:ext cx="84" cy="28"/>
          </a:xfrm>
          <a:prstGeom prst="rect">
            <a:avLst/>
          </a:prstGeom>
          <a:noFill/>
          <a:ln w="9525">
            <a:noFill/>
            <a:miter lim="800000"/>
            <a:headEnd/>
            <a:tailEnd/>
          </a:ln>
        </xdr:spPr>
        <xdr:txBody>
          <a:bodyPr vertOverflow="clip" wrap="square" lIns="36576" tIns="22860" rIns="36576" bIns="0" anchor="t" upright="1"/>
          <a:lstStyle/>
          <a:p>
            <a:pPr algn="ctr" rtl="0">
              <a:defRPr sz="1000"/>
            </a:pPr>
            <a:r>
              <a:rPr lang="en-US" sz="1200" b="0" i="1" u="none" strike="noStrike" baseline="0">
                <a:solidFill>
                  <a:srgbClr val="000000"/>
                </a:solidFill>
                <a:latin typeface="Arial"/>
                <a:cs typeface="Arial"/>
              </a:rPr>
              <a:t>Slurry</a:t>
            </a:r>
          </a:p>
        </xdr:txBody>
      </xdr:sp>
    </xdr:grpSp>
    <xdr:clientData/>
  </xdr:twoCellAnchor>
  <xdr:twoCellAnchor>
    <xdr:from>
      <xdr:col>2</xdr:col>
      <xdr:colOff>123825</xdr:colOff>
      <xdr:row>8</xdr:row>
      <xdr:rowOff>85725</xdr:rowOff>
    </xdr:from>
    <xdr:to>
      <xdr:col>4</xdr:col>
      <xdr:colOff>152400</xdr:colOff>
      <xdr:row>14</xdr:row>
      <xdr:rowOff>9525</xdr:rowOff>
    </xdr:to>
    <xdr:sp macro="" textlink="">
      <xdr:nvSpPr>
        <xdr:cNvPr id="17149" name="Line 45">
          <a:extLst>
            <a:ext uri="{FF2B5EF4-FFF2-40B4-BE49-F238E27FC236}">
              <a16:creationId xmlns:a16="http://schemas.microsoft.com/office/drawing/2014/main" id="{00000000-0008-0000-0900-0000FD420000}"/>
            </a:ext>
          </a:extLst>
        </xdr:cNvPr>
        <xdr:cNvSpPr>
          <a:spLocks noChangeShapeType="1"/>
        </xdr:cNvSpPr>
      </xdr:nvSpPr>
      <xdr:spPr bwMode="auto">
        <a:xfrm>
          <a:off x="1343025" y="1381125"/>
          <a:ext cx="1247775" cy="895350"/>
        </a:xfrm>
        <a:prstGeom prst="line">
          <a:avLst/>
        </a:prstGeom>
        <a:noFill/>
        <a:ln w="9525">
          <a:solidFill>
            <a:srgbClr val="000000"/>
          </a:solidFill>
          <a:prstDash val="dash"/>
          <a:round/>
          <a:headEnd/>
          <a:tailEnd/>
        </a:ln>
      </xdr:spPr>
    </xdr:sp>
    <xdr:clientData/>
  </xdr:twoCellAnchor>
  <xdr:twoCellAnchor>
    <xdr:from>
      <xdr:col>1</xdr:col>
      <xdr:colOff>47625</xdr:colOff>
      <xdr:row>8</xdr:row>
      <xdr:rowOff>95250</xdr:rowOff>
    </xdr:from>
    <xdr:to>
      <xdr:col>1</xdr:col>
      <xdr:colOff>590550</xdr:colOff>
      <xdr:row>13</xdr:row>
      <xdr:rowOff>152400</xdr:rowOff>
    </xdr:to>
    <xdr:sp macro="" textlink="">
      <xdr:nvSpPr>
        <xdr:cNvPr id="17150" name="Line 46">
          <a:extLst>
            <a:ext uri="{FF2B5EF4-FFF2-40B4-BE49-F238E27FC236}">
              <a16:creationId xmlns:a16="http://schemas.microsoft.com/office/drawing/2014/main" id="{00000000-0008-0000-0900-0000FE420000}"/>
            </a:ext>
          </a:extLst>
        </xdr:cNvPr>
        <xdr:cNvSpPr>
          <a:spLocks noChangeShapeType="1"/>
        </xdr:cNvSpPr>
      </xdr:nvSpPr>
      <xdr:spPr bwMode="auto">
        <a:xfrm flipH="1">
          <a:off x="657225" y="1390650"/>
          <a:ext cx="542925" cy="866775"/>
        </a:xfrm>
        <a:prstGeom prst="line">
          <a:avLst/>
        </a:prstGeom>
        <a:noFill/>
        <a:ln w="9525">
          <a:solidFill>
            <a:srgbClr val="000000"/>
          </a:solidFill>
          <a:prstDash val="dash"/>
          <a:round/>
          <a:headEnd/>
          <a:tailEnd/>
        </a:ln>
      </xdr:spPr>
    </xdr:sp>
    <xdr:clientData/>
  </xdr:twoCellAnchor>
  <xdr:twoCellAnchor>
    <xdr:from>
      <xdr:col>1</xdr:col>
      <xdr:colOff>590550</xdr:colOff>
      <xdr:row>8</xdr:row>
      <xdr:rowOff>85725</xdr:rowOff>
    </xdr:from>
    <xdr:to>
      <xdr:col>2</xdr:col>
      <xdr:colOff>114300</xdr:colOff>
      <xdr:row>9</xdr:row>
      <xdr:rowOff>85725</xdr:rowOff>
    </xdr:to>
    <xdr:sp macro="" textlink="">
      <xdr:nvSpPr>
        <xdr:cNvPr id="17151" name="Rectangle 47">
          <a:extLst>
            <a:ext uri="{FF2B5EF4-FFF2-40B4-BE49-F238E27FC236}">
              <a16:creationId xmlns:a16="http://schemas.microsoft.com/office/drawing/2014/main" id="{00000000-0008-0000-0900-0000FF420000}"/>
            </a:ext>
          </a:extLst>
        </xdr:cNvPr>
        <xdr:cNvSpPr>
          <a:spLocks noChangeArrowheads="1"/>
        </xdr:cNvSpPr>
      </xdr:nvSpPr>
      <xdr:spPr bwMode="auto">
        <a:xfrm>
          <a:off x="1200150" y="1381125"/>
          <a:ext cx="133350" cy="161925"/>
        </a:xfrm>
        <a:prstGeom prst="rect">
          <a:avLst/>
        </a:prstGeom>
        <a:noFill/>
        <a:ln w="9525">
          <a:solidFill>
            <a:srgbClr val="000000"/>
          </a:solidFill>
          <a:miter lim="800000"/>
          <a:headEnd/>
          <a:tailEnd/>
        </a:ln>
      </xdr:spPr>
    </xdr:sp>
    <xdr:clientData/>
  </xdr:twoCellAnchor>
  <xdr:twoCellAnchor>
    <xdr:from>
      <xdr:col>9</xdr:col>
      <xdr:colOff>114300</xdr:colOff>
      <xdr:row>6</xdr:row>
      <xdr:rowOff>9525</xdr:rowOff>
    </xdr:from>
    <xdr:to>
      <xdr:col>9</xdr:col>
      <xdr:colOff>361950</xdr:colOff>
      <xdr:row>7</xdr:row>
      <xdr:rowOff>104775</xdr:rowOff>
    </xdr:to>
    <xdr:grpSp>
      <xdr:nvGrpSpPr>
        <xdr:cNvPr id="17152" name="Group 473">
          <a:extLst>
            <a:ext uri="{FF2B5EF4-FFF2-40B4-BE49-F238E27FC236}">
              <a16:creationId xmlns:a16="http://schemas.microsoft.com/office/drawing/2014/main" id="{00000000-0008-0000-0900-000000430000}"/>
            </a:ext>
          </a:extLst>
        </xdr:cNvPr>
        <xdr:cNvGrpSpPr>
          <a:grpSpLocks/>
        </xdr:cNvGrpSpPr>
      </xdr:nvGrpSpPr>
      <xdr:grpSpPr bwMode="auto">
        <a:xfrm>
          <a:off x="5204460" y="1015365"/>
          <a:ext cx="247650" cy="262890"/>
          <a:chOff x="755" y="127"/>
          <a:chExt cx="33" cy="35"/>
        </a:xfrm>
      </xdr:grpSpPr>
      <xdr:sp macro="" textlink="">
        <xdr:nvSpPr>
          <xdr:cNvPr id="17598" name="Oval 49">
            <a:extLst>
              <a:ext uri="{FF2B5EF4-FFF2-40B4-BE49-F238E27FC236}">
                <a16:creationId xmlns:a16="http://schemas.microsoft.com/office/drawing/2014/main" id="{00000000-0008-0000-0900-0000BE440000}"/>
              </a:ext>
            </a:extLst>
          </xdr:cNvPr>
          <xdr:cNvSpPr>
            <a:spLocks noChangeArrowheads="1"/>
          </xdr:cNvSpPr>
        </xdr:nvSpPr>
        <xdr:spPr bwMode="auto">
          <a:xfrm>
            <a:off x="755" y="128"/>
            <a:ext cx="33" cy="34"/>
          </a:xfrm>
          <a:prstGeom prst="ellipse">
            <a:avLst/>
          </a:prstGeom>
          <a:solidFill>
            <a:srgbClr val="FFFFCC"/>
          </a:solidFill>
          <a:ln w="9525">
            <a:solidFill>
              <a:srgbClr val="000000"/>
            </a:solidFill>
            <a:round/>
            <a:headEnd/>
            <a:tailEnd/>
          </a:ln>
        </xdr:spPr>
      </xdr:sp>
      <xdr:sp macro="" textlink="">
        <xdr:nvSpPr>
          <xdr:cNvPr id="16434" name="Text Box 50">
            <a:extLst>
              <a:ext uri="{FF2B5EF4-FFF2-40B4-BE49-F238E27FC236}">
                <a16:creationId xmlns:a16="http://schemas.microsoft.com/office/drawing/2014/main" id="{00000000-0008-0000-0900-000032400000}"/>
              </a:ext>
            </a:extLst>
          </xdr:cNvPr>
          <xdr:cNvSpPr txBox="1">
            <a:spLocks noChangeArrowheads="1"/>
          </xdr:cNvSpPr>
        </xdr:nvSpPr>
        <xdr:spPr bwMode="auto">
          <a:xfrm>
            <a:off x="760" y="127"/>
            <a:ext cx="23" cy="35"/>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7</a:t>
            </a:r>
          </a:p>
        </xdr:txBody>
      </xdr:sp>
    </xdr:grpSp>
    <xdr:clientData/>
  </xdr:twoCellAnchor>
  <xdr:twoCellAnchor>
    <xdr:from>
      <xdr:col>0</xdr:col>
      <xdr:colOff>38100</xdr:colOff>
      <xdr:row>3</xdr:row>
      <xdr:rowOff>47625</xdr:rowOff>
    </xdr:from>
    <xdr:to>
      <xdr:col>10</xdr:col>
      <xdr:colOff>476250</xdr:colOff>
      <xdr:row>3</xdr:row>
      <xdr:rowOff>47625</xdr:rowOff>
    </xdr:to>
    <xdr:sp macro="" textlink="">
      <xdr:nvSpPr>
        <xdr:cNvPr id="17153" name="Line 51">
          <a:extLst>
            <a:ext uri="{FF2B5EF4-FFF2-40B4-BE49-F238E27FC236}">
              <a16:creationId xmlns:a16="http://schemas.microsoft.com/office/drawing/2014/main" id="{00000000-0008-0000-0900-000001430000}"/>
            </a:ext>
          </a:extLst>
        </xdr:cNvPr>
        <xdr:cNvSpPr>
          <a:spLocks noChangeShapeType="1"/>
        </xdr:cNvSpPr>
      </xdr:nvSpPr>
      <xdr:spPr bwMode="auto">
        <a:xfrm>
          <a:off x="38100" y="533400"/>
          <a:ext cx="6134100" cy="0"/>
        </a:xfrm>
        <a:prstGeom prst="line">
          <a:avLst/>
        </a:prstGeom>
        <a:noFill/>
        <a:ln w="25400">
          <a:solidFill>
            <a:srgbClr val="FF0000"/>
          </a:solidFill>
          <a:round/>
          <a:headEnd/>
          <a:tailEnd/>
        </a:ln>
      </xdr:spPr>
    </xdr:sp>
    <xdr:clientData/>
  </xdr:twoCellAnchor>
  <xdr:twoCellAnchor>
    <xdr:from>
      <xdr:col>8</xdr:col>
      <xdr:colOff>104775</xdr:colOff>
      <xdr:row>7</xdr:row>
      <xdr:rowOff>19050</xdr:rowOff>
    </xdr:from>
    <xdr:to>
      <xdr:col>8</xdr:col>
      <xdr:colOff>495300</xdr:colOff>
      <xdr:row>9</xdr:row>
      <xdr:rowOff>47625</xdr:rowOff>
    </xdr:to>
    <xdr:grpSp>
      <xdr:nvGrpSpPr>
        <xdr:cNvPr id="17154" name="Group 514">
          <a:extLst>
            <a:ext uri="{FF2B5EF4-FFF2-40B4-BE49-F238E27FC236}">
              <a16:creationId xmlns:a16="http://schemas.microsoft.com/office/drawing/2014/main" id="{00000000-0008-0000-0900-000002430000}"/>
            </a:ext>
          </a:extLst>
        </xdr:cNvPr>
        <xdr:cNvGrpSpPr>
          <a:grpSpLocks/>
        </xdr:cNvGrpSpPr>
      </xdr:nvGrpSpPr>
      <xdr:grpSpPr bwMode="auto">
        <a:xfrm>
          <a:off x="4585335" y="1192530"/>
          <a:ext cx="390525" cy="363855"/>
          <a:chOff x="661" y="164"/>
          <a:chExt cx="51" cy="47"/>
        </a:xfrm>
      </xdr:grpSpPr>
      <xdr:sp macro="" textlink="">
        <xdr:nvSpPr>
          <xdr:cNvPr id="17596" name="Oval 53">
            <a:extLst>
              <a:ext uri="{FF2B5EF4-FFF2-40B4-BE49-F238E27FC236}">
                <a16:creationId xmlns:a16="http://schemas.microsoft.com/office/drawing/2014/main" id="{00000000-0008-0000-0900-0000BC440000}"/>
              </a:ext>
            </a:extLst>
          </xdr:cNvPr>
          <xdr:cNvSpPr>
            <a:spLocks noChangeArrowheads="1"/>
          </xdr:cNvSpPr>
        </xdr:nvSpPr>
        <xdr:spPr bwMode="auto">
          <a:xfrm>
            <a:off x="661" y="167"/>
            <a:ext cx="50" cy="44"/>
          </a:xfrm>
          <a:prstGeom prst="ellipse">
            <a:avLst/>
          </a:prstGeom>
          <a:solidFill>
            <a:srgbClr val="FFFFCC"/>
          </a:solidFill>
          <a:ln w="9525">
            <a:solidFill>
              <a:srgbClr val="000000"/>
            </a:solidFill>
            <a:round/>
            <a:headEnd/>
            <a:tailEnd/>
          </a:ln>
        </xdr:spPr>
      </xdr:sp>
      <xdr:sp macro="" textlink="">
        <xdr:nvSpPr>
          <xdr:cNvPr id="16438" name="Text Box 54">
            <a:extLst>
              <a:ext uri="{FF2B5EF4-FFF2-40B4-BE49-F238E27FC236}">
                <a16:creationId xmlns:a16="http://schemas.microsoft.com/office/drawing/2014/main" id="{00000000-0008-0000-0900-000036400000}"/>
              </a:ext>
            </a:extLst>
          </xdr:cNvPr>
          <xdr:cNvSpPr txBox="1">
            <a:spLocks noChangeArrowheads="1"/>
          </xdr:cNvSpPr>
        </xdr:nvSpPr>
        <xdr:spPr bwMode="auto">
          <a:xfrm>
            <a:off x="663" y="164"/>
            <a:ext cx="49" cy="4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3 &amp; 5</a:t>
            </a:r>
          </a:p>
        </xdr:txBody>
      </xdr:sp>
    </xdr:grpSp>
    <xdr:clientData/>
  </xdr:twoCellAnchor>
  <xdr:twoCellAnchor>
    <xdr:from>
      <xdr:col>0</xdr:col>
      <xdr:colOff>476250</xdr:colOff>
      <xdr:row>3</xdr:row>
      <xdr:rowOff>114300</xdr:rowOff>
    </xdr:from>
    <xdr:to>
      <xdr:col>1</xdr:col>
      <xdr:colOff>533400</xdr:colOff>
      <xdr:row>5</xdr:row>
      <xdr:rowOff>142875</xdr:rowOff>
    </xdr:to>
    <xdr:grpSp>
      <xdr:nvGrpSpPr>
        <xdr:cNvPr id="17155" name="Group 55">
          <a:extLst>
            <a:ext uri="{FF2B5EF4-FFF2-40B4-BE49-F238E27FC236}">
              <a16:creationId xmlns:a16="http://schemas.microsoft.com/office/drawing/2014/main" id="{00000000-0008-0000-0900-000003430000}"/>
            </a:ext>
          </a:extLst>
        </xdr:cNvPr>
        <xdr:cNvGrpSpPr>
          <a:grpSpLocks/>
        </xdr:cNvGrpSpPr>
      </xdr:nvGrpSpPr>
      <xdr:grpSpPr bwMode="auto">
        <a:xfrm>
          <a:off x="476250" y="617220"/>
          <a:ext cx="666750" cy="363855"/>
          <a:chOff x="68" y="108"/>
          <a:chExt cx="85" cy="44"/>
        </a:xfrm>
      </xdr:grpSpPr>
      <xdr:grpSp>
        <xdr:nvGrpSpPr>
          <xdr:cNvPr id="17586" name="Group 56">
            <a:extLst>
              <a:ext uri="{FF2B5EF4-FFF2-40B4-BE49-F238E27FC236}">
                <a16:creationId xmlns:a16="http://schemas.microsoft.com/office/drawing/2014/main" id="{00000000-0008-0000-0900-0000B2440000}"/>
              </a:ext>
            </a:extLst>
          </xdr:cNvPr>
          <xdr:cNvGrpSpPr>
            <a:grpSpLocks/>
          </xdr:cNvGrpSpPr>
        </xdr:nvGrpSpPr>
        <xdr:grpSpPr bwMode="auto">
          <a:xfrm>
            <a:off x="68" y="125"/>
            <a:ext cx="85" cy="27"/>
            <a:chOff x="68" y="125"/>
            <a:chExt cx="85" cy="27"/>
          </a:xfrm>
        </xdr:grpSpPr>
        <xdr:sp macro="" textlink="">
          <xdr:nvSpPr>
            <xdr:cNvPr id="17591" name="AutoShape 57">
              <a:extLst>
                <a:ext uri="{FF2B5EF4-FFF2-40B4-BE49-F238E27FC236}">
                  <a16:creationId xmlns:a16="http://schemas.microsoft.com/office/drawing/2014/main" id="{00000000-0008-0000-0900-0000B7440000}"/>
                </a:ext>
              </a:extLst>
            </xdr:cNvPr>
            <xdr:cNvSpPr>
              <a:spLocks noChangeArrowheads="1"/>
            </xdr:cNvSpPr>
          </xdr:nvSpPr>
          <xdr:spPr bwMode="auto">
            <a:xfrm flipH="1">
              <a:off x="68" y="138"/>
              <a:ext cx="79" cy="10"/>
            </a:xfrm>
            <a:prstGeom prst="parallelogram">
              <a:avLst>
                <a:gd name="adj" fmla="val 86278"/>
              </a:avLst>
            </a:prstGeom>
            <a:solidFill>
              <a:srgbClr val="FFFFFF"/>
            </a:solidFill>
            <a:ln w="9525">
              <a:solidFill>
                <a:srgbClr val="000000"/>
              </a:solidFill>
              <a:miter lim="800000"/>
              <a:headEnd/>
              <a:tailEnd/>
            </a:ln>
          </xdr:spPr>
        </xdr:sp>
        <xdr:sp macro="" textlink="">
          <xdr:nvSpPr>
            <xdr:cNvPr id="17592" name="Rectangle 58">
              <a:extLst>
                <a:ext uri="{FF2B5EF4-FFF2-40B4-BE49-F238E27FC236}">
                  <a16:creationId xmlns:a16="http://schemas.microsoft.com/office/drawing/2014/main" id="{00000000-0008-0000-0900-0000B8440000}"/>
                </a:ext>
              </a:extLst>
            </xdr:cNvPr>
            <xdr:cNvSpPr>
              <a:spLocks noChangeArrowheads="1"/>
            </xdr:cNvSpPr>
          </xdr:nvSpPr>
          <xdr:spPr bwMode="auto">
            <a:xfrm>
              <a:off x="85" y="125"/>
              <a:ext cx="16" cy="19"/>
            </a:xfrm>
            <a:prstGeom prst="rect">
              <a:avLst/>
            </a:prstGeom>
            <a:solidFill>
              <a:srgbClr val="000000"/>
            </a:solidFill>
            <a:ln w="9525">
              <a:solidFill>
                <a:srgbClr val="000000"/>
              </a:solidFill>
              <a:miter lim="800000"/>
              <a:headEnd/>
              <a:tailEnd/>
            </a:ln>
          </xdr:spPr>
        </xdr:sp>
        <xdr:sp macro="" textlink="">
          <xdr:nvSpPr>
            <xdr:cNvPr id="17593" name="AutoShape 59">
              <a:extLst>
                <a:ext uri="{FF2B5EF4-FFF2-40B4-BE49-F238E27FC236}">
                  <a16:creationId xmlns:a16="http://schemas.microsoft.com/office/drawing/2014/main" id="{00000000-0008-0000-0900-0000B9440000}"/>
                </a:ext>
              </a:extLst>
            </xdr:cNvPr>
            <xdr:cNvSpPr>
              <a:spLocks noChangeArrowheads="1"/>
            </xdr:cNvSpPr>
          </xdr:nvSpPr>
          <xdr:spPr bwMode="auto">
            <a:xfrm>
              <a:off x="70" y="140"/>
              <a:ext cx="83" cy="12"/>
            </a:xfrm>
            <a:custGeom>
              <a:avLst/>
              <a:gdLst>
                <a:gd name="T0" fmla="*/ 78 w 21600"/>
                <a:gd name="T1" fmla="*/ 6 h 21600"/>
                <a:gd name="T2" fmla="*/ 42 w 21600"/>
                <a:gd name="T3" fmla="*/ 12 h 21600"/>
                <a:gd name="T4" fmla="*/ 5 w 21600"/>
                <a:gd name="T5" fmla="*/ 6 h 21600"/>
                <a:gd name="T6" fmla="*/ 42 w 21600"/>
                <a:gd name="T7" fmla="*/ 0 h 21600"/>
                <a:gd name="T8" fmla="*/ 0 60000 65536"/>
                <a:gd name="T9" fmla="*/ 0 60000 65536"/>
                <a:gd name="T10" fmla="*/ 0 60000 65536"/>
                <a:gd name="T11" fmla="*/ 0 60000 65536"/>
                <a:gd name="T12" fmla="*/ 3123 w 21600"/>
                <a:gd name="T13" fmla="*/ 3600 h 21600"/>
                <a:gd name="T14" fmla="*/ 18477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2520" y="21600"/>
                  </a:lnTo>
                  <a:lnTo>
                    <a:pt x="19080" y="21600"/>
                  </a:lnTo>
                  <a:lnTo>
                    <a:pt x="21600" y="0"/>
                  </a:lnTo>
                  <a:close/>
                </a:path>
              </a:pathLst>
            </a:custGeom>
            <a:solidFill>
              <a:srgbClr val="000000"/>
            </a:solidFill>
            <a:ln w="9525">
              <a:solidFill>
                <a:srgbClr val="000000"/>
              </a:solidFill>
              <a:miter lim="800000"/>
              <a:headEnd/>
              <a:tailEnd/>
            </a:ln>
          </xdr:spPr>
        </xdr:sp>
        <xdr:sp macro="" textlink="">
          <xdr:nvSpPr>
            <xdr:cNvPr id="17594" name="Rectangle 60">
              <a:extLst>
                <a:ext uri="{FF2B5EF4-FFF2-40B4-BE49-F238E27FC236}">
                  <a16:creationId xmlns:a16="http://schemas.microsoft.com/office/drawing/2014/main" id="{00000000-0008-0000-0900-0000BA440000}"/>
                </a:ext>
              </a:extLst>
            </xdr:cNvPr>
            <xdr:cNvSpPr>
              <a:spLocks noChangeArrowheads="1"/>
            </xdr:cNvSpPr>
          </xdr:nvSpPr>
          <xdr:spPr bwMode="auto">
            <a:xfrm>
              <a:off x="85" y="126"/>
              <a:ext cx="6" cy="6"/>
            </a:xfrm>
            <a:prstGeom prst="rect">
              <a:avLst/>
            </a:prstGeom>
            <a:solidFill>
              <a:srgbClr val="FFFFFF"/>
            </a:solidFill>
            <a:ln w="9525">
              <a:solidFill>
                <a:srgbClr val="000000"/>
              </a:solidFill>
              <a:miter lim="800000"/>
              <a:headEnd/>
              <a:tailEnd/>
            </a:ln>
          </xdr:spPr>
        </xdr:sp>
        <xdr:sp macro="" textlink="">
          <xdr:nvSpPr>
            <xdr:cNvPr id="17595" name="Rectangle 61">
              <a:extLst>
                <a:ext uri="{FF2B5EF4-FFF2-40B4-BE49-F238E27FC236}">
                  <a16:creationId xmlns:a16="http://schemas.microsoft.com/office/drawing/2014/main" id="{00000000-0008-0000-0900-0000BB440000}"/>
                </a:ext>
              </a:extLst>
            </xdr:cNvPr>
            <xdr:cNvSpPr>
              <a:spLocks noChangeArrowheads="1"/>
            </xdr:cNvSpPr>
          </xdr:nvSpPr>
          <xdr:spPr bwMode="auto">
            <a:xfrm>
              <a:off x="92" y="126"/>
              <a:ext cx="5" cy="6"/>
            </a:xfrm>
            <a:prstGeom prst="rect">
              <a:avLst/>
            </a:prstGeom>
            <a:solidFill>
              <a:srgbClr val="FFFFFF"/>
            </a:solidFill>
            <a:ln w="9525">
              <a:solidFill>
                <a:srgbClr val="000000"/>
              </a:solidFill>
              <a:miter lim="800000"/>
              <a:headEnd/>
              <a:tailEnd/>
            </a:ln>
          </xdr:spPr>
        </xdr:sp>
      </xdr:grpSp>
      <xdr:sp macro="" textlink="">
        <xdr:nvSpPr>
          <xdr:cNvPr id="17587" name="Line 62">
            <a:extLst>
              <a:ext uri="{FF2B5EF4-FFF2-40B4-BE49-F238E27FC236}">
                <a16:creationId xmlns:a16="http://schemas.microsoft.com/office/drawing/2014/main" id="{00000000-0008-0000-0900-0000B3440000}"/>
              </a:ext>
            </a:extLst>
          </xdr:cNvPr>
          <xdr:cNvSpPr>
            <a:spLocks noChangeShapeType="1"/>
          </xdr:cNvSpPr>
        </xdr:nvSpPr>
        <xdr:spPr bwMode="auto">
          <a:xfrm flipV="1">
            <a:off x="99" y="108"/>
            <a:ext cx="0" cy="34"/>
          </a:xfrm>
          <a:prstGeom prst="line">
            <a:avLst/>
          </a:prstGeom>
          <a:noFill/>
          <a:ln w="9525">
            <a:solidFill>
              <a:srgbClr val="000000"/>
            </a:solidFill>
            <a:round/>
            <a:headEnd/>
            <a:tailEnd/>
          </a:ln>
        </xdr:spPr>
      </xdr:sp>
      <xdr:sp macro="" textlink="">
        <xdr:nvSpPr>
          <xdr:cNvPr id="17588" name="Rectangle 63">
            <a:extLst>
              <a:ext uri="{FF2B5EF4-FFF2-40B4-BE49-F238E27FC236}">
                <a16:creationId xmlns:a16="http://schemas.microsoft.com/office/drawing/2014/main" id="{00000000-0008-0000-0900-0000B4440000}"/>
              </a:ext>
            </a:extLst>
          </xdr:cNvPr>
          <xdr:cNvSpPr>
            <a:spLocks noChangeArrowheads="1"/>
          </xdr:cNvSpPr>
        </xdr:nvSpPr>
        <xdr:spPr bwMode="auto">
          <a:xfrm>
            <a:off x="98" y="135"/>
            <a:ext cx="23" cy="8"/>
          </a:xfrm>
          <a:prstGeom prst="rect">
            <a:avLst/>
          </a:prstGeom>
          <a:solidFill>
            <a:srgbClr val="000000"/>
          </a:solidFill>
          <a:ln w="9525">
            <a:solidFill>
              <a:srgbClr val="000000"/>
            </a:solidFill>
            <a:miter lim="800000"/>
            <a:headEnd/>
            <a:tailEnd/>
          </a:ln>
        </xdr:spPr>
      </xdr:sp>
      <xdr:sp macro="" textlink="">
        <xdr:nvSpPr>
          <xdr:cNvPr id="17589" name="Line 64">
            <a:extLst>
              <a:ext uri="{FF2B5EF4-FFF2-40B4-BE49-F238E27FC236}">
                <a16:creationId xmlns:a16="http://schemas.microsoft.com/office/drawing/2014/main" id="{00000000-0008-0000-0900-0000B5440000}"/>
              </a:ext>
            </a:extLst>
          </xdr:cNvPr>
          <xdr:cNvSpPr>
            <a:spLocks noChangeShapeType="1"/>
          </xdr:cNvSpPr>
        </xdr:nvSpPr>
        <xdr:spPr bwMode="auto">
          <a:xfrm flipH="1" flipV="1">
            <a:off x="82" y="125"/>
            <a:ext cx="17" cy="0"/>
          </a:xfrm>
          <a:prstGeom prst="line">
            <a:avLst/>
          </a:prstGeom>
          <a:noFill/>
          <a:ln w="19050">
            <a:solidFill>
              <a:srgbClr val="000000"/>
            </a:solidFill>
            <a:round/>
            <a:headEnd/>
            <a:tailEnd/>
          </a:ln>
        </xdr:spPr>
      </xdr:sp>
      <xdr:sp macro="" textlink="">
        <xdr:nvSpPr>
          <xdr:cNvPr id="17590" name="AutoShape 65">
            <a:extLst>
              <a:ext uri="{FF2B5EF4-FFF2-40B4-BE49-F238E27FC236}">
                <a16:creationId xmlns:a16="http://schemas.microsoft.com/office/drawing/2014/main" id="{00000000-0008-0000-0900-0000B6440000}"/>
              </a:ext>
            </a:extLst>
          </xdr:cNvPr>
          <xdr:cNvSpPr>
            <a:spLocks noChangeArrowheads="1"/>
          </xdr:cNvSpPr>
        </xdr:nvSpPr>
        <xdr:spPr bwMode="auto">
          <a:xfrm rot="5400000">
            <a:off x="92" y="127"/>
            <a:ext cx="24" cy="6"/>
          </a:xfrm>
          <a:prstGeom prst="parallelogram">
            <a:avLst>
              <a:gd name="adj" fmla="val 57130"/>
            </a:avLst>
          </a:prstGeom>
          <a:solidFill>
            <a:srgbClr val="000000"/>
          </a:solidFill>
          <a:ln w="9525">
            <a:solidFill>
              <a:srgbClr val="000000"/>
            </a:solidFill>
            <a:miter lim="800000"/>
            <a:headEnd/>
            <a:tailEnd/>
          </a:ln>
        </xdr:spPr>
      </xdr:sp>
    </xdr:grpSp>
    <xdr:clientData/>
  </xdr:twoCellAnchor>
  <xdr:twoCellAnchor>
    <xdr:from>
      <xdr:col>2</xdr:col>
      <xdr:colOff>371475</xdr:colOff>
      <xdr:row>20</xdr:row>
      <xdr:rowOff>114300</xdr:rowOff>
    </xdr:from>
    <xdr:to>
      <xdr:col>3</xdr:col>
      <xdr:colOff>9525</xdr:colOff>
      <xdr:row>22</xdr:row>
      <xdr:rowOff>47625</xdr:rowOff>
    </xdr:to>
    <xdr:grpSp>
      <xdr:nvGrpSpPr>
        <xdr:cNvPr id="17156" name="Group 454">
          <a:extLst>
            <a:ext uri="{FF2B5EF4-FFF2-40B4-BE49-F238E27FC236}">
              <a16:creationId xmlns:a16="http://schemas.microsoft.com/office/drawing/2014/main" id="{00000000-0008-0000-0900-000004430000}"/>
            </a:ext>
          </a:extLst>
        </xdr:cNvPr>
        <xdr:cNvGrpSpPr>
          <a:grpSpLocks/>
        </xdr:cNvGrpSpPr>
      </xdr:nvGrpSpPr>
      <xdr:grpSpPr bwMode="auto">
        <a:xfrm>
          <a:off x="1590675" y="3467100"/>
          <a:ext cx="247650" cy="268605"/>
          <a:chOff x="209" y="456"/>
          <a:chExt cx="32" cy="34"/>
        </a:xfrm>
      </xdr:grpSpPr>
      <xdr:sp macro="" textlink="">
        <xdr:nvSpPr>
          <xdr:cNvPr id="17584" name="Oval 78">
            <a:extLst>
              <a:ext uri="{FF2B5EF4-FFF2-40B4-BE49-F238E27FC236}">
                <a16:creationId xmlns:a16="http://schemas.microsoft.com/office/drawing/2014/main" id="{00000000-0008-0000-0900-0000B0440000}"/>
              </a:ext>
            </a:extLst>
          </xdr:cNvPr>
          <xdr:cNvSpPr>
            <a:spLocks noChangeArrowheads="1"/>
          </xdr:cNvSpPr>
        </xdr:nvSpPr>
        <xdr:spPr bwMode="auto">
          <a:xfrm>
            <a:off x="209" y="457"/>
            <a:ext cx="32" cy="33"/>
          </a:xfrm>
          <a:prstGeom prst="ellipse">
            <a:avLst/>
          </a:prstGeom>
          <a:solidFill>
            <a:srgbClr val="FFFFCC"/>
          </a:solidFill>
          <a:ln w="9525">
            <a:solidFill>
              <a:srgbClr val="000000"/>
            </a:solidFill>
            <a:round/>
            <a:headEnd/>
            <a:tailEnd/>
          </a:ln>
        </xdr:spPr>
      </xdr:sp>
      <xdr:sp macro="" textlink="">
        <xdr:nvSpPr>
          <xdr:cNvPr id="16463" name="Text Box 79">
            <a:extLst>
              <a:ext uri="{FF2B5EF4-FFF2-40B4-BE49-F238E27FC236}">
                <a16:creationId xmlns:a16="http://schemas.microsoft.com/office/drawing/2014/main" id="{00000000-0008-0000-0900-00004F400000}"/>
              </a:ext>
            </a:extLst>
          </xdr:cNvPr>
          <xdr:cNvSpPr txBox="1">
            <a:spLocks noChangeArrowheads="1"/>
          </xdr:cNvSpPr>
        </xdr:nvSpPr>
        <xdr:spPr bwMode="auto">
          <a:xfrm>
            <a:off x="214" y="456"/>
            <a:ext cx="26" cy="34"/>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2</a:t>
            </a:r>
          </a:p>
        </xdr:txBody>
      </xdr:sp>
    </xdr:grpSp>
    <xdr:clientData/>
  </xdr:twoCellAnchor>
  <xdr:twoCellAnchor>
    <xdr:from>
      <xdr:col>1</xdr:col>
      <xdr:colOff>123825</xdr:colOff>
      <xdr:row>22</xdr:row>
      <xdr:rowOff>152400</xdr:rowOff>
    </xdr:from>
    <xdr:to>
      <xdr:col>1</xdr:col>
      <xdr:colOff>371475</xdr:colOff>
      <xdr:row>24</xdr:row>
      <xdr:rowOff>85725</xdr:rowOff>
    </xdr:to>
    <xdr:grpSp>
      <xdr:nvGrpSpPr>
        <xdr:cNvPr id="17157" name="Group 461">
          <a:extLst>
            <a:ext uri="{FF2B5EF4-FFF2-40B4-BE49-F238E27FC236}">
              <a16:creationId xmlns:a16="http://schemas.microsoft.com/office/drawing/2014/main" id="{00000000-0008-0000-0900-000005430000}"/>
            </a:ext>
          </a:extLst>
        </xdr:cNvPr>
        <xdr:cNvGrpSpPr>
          <a:grpSpLocks/>
        </xdr:cNvGrpSpPr>
      </xdr:nvGrpSpPr>
      <xdr:grpSpPr bwMode="auto">
        <a:xfrm>
          <a:off x="733425" y="3840480"/>
          <a:ext cx="247650" cy="268605"/>
          <a:chOff x="96" y="505"/>
          <a:chExt cx="33" cy="35"/>
        </a:xfrm>
      </xdr:grpSpPr>
      <xdr:sp macro="" textlink="">
        <xdr:nvSpPr>
          <xdr:cNvPr id="17582" name="Oval 92">
            <a:extLst>
              <a:ext uri="{FF2B5EF4-FFF2-40B4-BE49-F238E27FC236}">
                <a16:creationId xmlns:a16="http://schemas.microsoft.com/office/drawing/2014/main" id="{00000000-0008-0000-0900-0000AE440000}"/>
              </a:ext>
            </a:extLst>
          </xdr:cNvPr>
          <xdr:cNvSpPr>
            <a:spLocks noChangeArrowheads="1"/>
          </xdr:cNvSpPr>
        </xdr:nvSpPr>
        <xdr:spPr bwMode="auto">
          <a:xfrm>
            <a:off x="96" y="506"/>
            <a:ext cx="33" cy="34"/>
          </a:xfrm>
          <a:prstGeom prst="ellipse">
            <a:avLst/>
          </a:prstGeom>
          <a:solidFill>
            <a:srgbClr val="FFFFCC"/>
          </a:solidFill>
          <a:ln w="9525">
            <a:solidFill>
              <a:srgbClr val="000000"/>
            </a:solidFill>
            <a:round/>
            <a:headEnd/>
            <a:tailEnd/>
          </a:ln>
        </xdr:spPr>
      </xdr:sp>
      <xdr:sp macro="" textlink="">
        <xdr:nvSpPr>
          <xdr:cNvPr id="16477" name="Text Box 93">
            <a:extLst>
              <a:ext uri="{FF2B5EF4-FFF2-40B4-BE49-F238E27FC236}">
                <a16:creationId xmlns:a16="http://schemas.microsoft.com/office/drawing/2014/main" id="{00000000-0008-0000-0900-00005D400000}"/>
              </a:ext>
            </a:extLst>
          </xdr:cNvPr>
          <xdr:cNvSpPr txBox="1">
            <a:spLocks noChangeArrowheads="1"/>
          </xdr:cNvSpPr>
        </xdr:nvSpPr>
        <xdr:spPr bwMode="auto">
          <a:xfrm>
            <a:off x="101" y="505"/>
            <a:ext cx="27" cy="35"/>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4</a:t>
            </a:r>
          </a:p>
        </xdr:txBody>
      </xdr:sp>
    </xdr:grpSp>
    <xdr:clientData/>
  </xdr:twoCellAnchor>
  <xdr:twoCellAnchor>
    <xdr:from>
      <xdr:col>1</xdr:col>
      <xdr:colOff>104775</xdr:colOff>
      <xdr:row>25</xdr:row>
      <xdr:rowOff>19050</xdr:rowOff>
    </xdr:from>
    <xdr:to>
      <xdr:col>1</xdr:col>
      <xdr:colOff>352425</xdr:colOff>
      <xdr:row>27</xdr:row>
      <xdr:rowOff>9525</xdr:rowOff>
    </xdr:to>
    <xdr:grpSp>
      <xdr:nvGrpSpPr>
        <xdr:cNvPr id="17158" name="Group 440">
          <a:extLst>
            <a:ext uri="{FF2B5EF4-FFF2-40B4-BE49-F238E27FC236}">
              <a16:creationId xmlns:a16="http://schemas.microsoft.com/office/drawing/2014/main" id="{00000000-0008-0000-0900-000006430000}"/>
            </a:ext>
          </a:extLst>
        </xdr:cNvPr>
        <xdr:cNvGrpSpPr>
          <a:grpSpLocks/>
        </xdr:cNvGrpSpPr>
      </xdr:nvGrpSpPr>
      <xdr:grpSpPr bwMode="auto">
        <a:xfrm>
          <a:off x="714375" y="4210050"/>
          <a:ext cx="247650" cy="325755"/>
          <a:chOff x="94" y="552"/>
          <a:chExt cx="32" cy="43"/>
        </a:xfrm>
      </xdr:grpSpPr>
      <xdr:sp macro="" textlink="">
        <xdr:nvSpPr>
          <xdr:cNvPr id="17580" name="Oval 95">
            <a:extLst>
              <a:ext uri="{FF2B5EF4-FFF2-40B4-BE49-F238E27FC236}">
                <a16:creationId xmlns:a16="http://schemas.microsoft.com/office/drawing/2014/main" id="{00000000-0008-0000-0900-0000AC440000}"/>
              </a:ext>
            </a:extLst>
          </xdr:cNvPr>
          <xdr:cNvSpPr>
            <a:spLocks noChangeArrowheads="1"/>
          </xdr:cNvSpPr>
        </xdr:nvSpPr>
        <xdr:spPr bwMode="auto">
          <a:xfrm>
            <a:off x="94" y="552"/>
            <a:ext cx="32" cy="34"/>
          </a:xfrm>
          <a:prstGeom prst="ellipse">
            <a:avLst/>
          </a:prstGeom>
          <a:solidFill>
            <a:srgbClr val="FFFFCC"/>
          </a:solidFill>
          <a:ln w="9525">
            <a:solidFill>
              <a:srgbClr val="000000"/>
            </a:solidFill>
            <a:round/>
            <a:headEnd/>
            <a:tailEnd/>
          </a:ln>
        </xdr:spPr>
      </xdr:sp>
      <xdr:sp macro="" textlink="">
        <xdr:nvSpPr>
          <xdr:cNvPr id="16480" name="Text Box 96">
            <a:extLst>
              <a:ext uri="{FF2B5EF4-FFF2-40B4-BE49-F238E27FC236}">
                <a16:creationId xmlns:a16="http://schemas.microsoft.com/office/drawing/2014/main" id="{00000000-0008-0000-0900-000060400000}"/>
              </a:ext>
            </a:extLst>
          </xdr:cNvPr>
          <xdr:cNvSpPr txBox="1">
            <a:spLocks noChangeArrowheads="1"/>
          </xdr:cNvSpPr>
        </xdr:nvSpPr>
        <xdr:spPr bwMode="auto">
          <a:xfrm>
            <a:off x="99" y="560"/>
            <a:ext cx="26" cy="35"/>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1</a:t>
            </a:r>
          </a:p>
          <a:p>
            <a:pPr algn="ctr" rtl="0">
              <a:defRPr sz="1000"/>
            </a:pPr>
            <a:endParaRPr lang="en-US" sz="800" b="0" i="0" u="none" strike="noStrike" baseline="0">
              <a:solidFill>
                <a:srgbClr val="000000"/>
              </a:solidFill>
              <a:latin typeface="Arial"/>
              <a:cs typeface="Arial"/>
            </a:endParaRPr>
          </a:p>
          <a:p>
            <a:pPr algn="ctr" rtl="0">
              <a:defRPr sz="1000"/>
            </a:pPr>
            <a:endParaRPr lang="en-US" sz="800" b="0" i="0" u="none" strike="noStrike" baseline="0">
              <a:solidFill>
                <a:srgbClr val="000000"/>
              </a:solidFill>
              <a:latin typeface="Arial"/>
              <a:cs typeface="Arial"/>
            </a:endParaRPr>
          </a:p>
          <a:p>
            <a:pPr algn="ctr" rtl="0">
              <a:defRPr sz="1000"/>
            </a:pPr>
            <a:endParaRPr lang="en-US" sz="800" b="0" i="0" u="none" strike="noStrike" baseline="0">
              <a:solidFill>
                <a:srgbClr val="000000"/>
              </a:solidFill>
              <a:latin typeface="Arial"/>
              <a:cs typeface="Arial"/>
            </a:endParaRPr>
          </a:p>
        </xdr:txBody>
      </xdr:sp>
    </xdr:grpSp>
    <xdr:clientData/>
  </xdr:twoCellAnchor>
  <xdr:twoCellAnchor>
    <xdr:from>
      <xdr:col>0</xdr:col>
      <xdr:colOff>66675</xdr:colOff>
      <xdr:row>56</xdr:row>
      <xdr:rowOff>0</xdr:rowOff>
    </xdr:from>
    <xdr:to>
      <xdr:col>3</xdr:col>
      <xdr:colOff>57150</xdr:colOff>
      <xdr:row>59</xdr:row>
      <xdr:rowOff>0</xdr:rowOff>
    </xdr:to>
    <xdr:sp macro="" textlink="">
      <xdr:nvSpPr>
        <xdr:cNvPr id="16483" name="Text Box 99">
          <a:extLst>
            <a:ext uri="{FF2B5EF4-FFF2-40B4-BE49-F238E27FC236}">
              <a16:creationId xmlns:a16="http://schemas.microsoft.com/office/drawing/2014/main" id="{00000000-0008-0000-0900-000063400000}"/>
            </a:ext>
          </a:extLst>
        </xdr:cNvPr>
        <xdr:cNvSpPr txBox="1">
          <a:spLocks noChangeArrowheads="1"/>
        </xdr:cNvSpPr>
      </xdr:nvSpPr>
      <xdr:spPr bwMode="auto">
        <a:xfrm>
          <a:off x="66675" y="9067800"/>
          <a:ext cx="1819275" cy="485775"/>
        </a:xfrm>
        <a:prstGeom prst="rect">
          <a:avLst/>
        </a:prstGeom>
        <a:solidFill>
          <a:srgbClr val="FFFFFF"/>
        </a:solidFill>
        <a:ln w="19050">
          <a:solidFill>
            <a:srgbClr val="FF0000"/>
          </a:solidFill>
          <a:miter lim="800000"/>
          <a:headEnd/>
          <a:tailEnd/>
        </a:ln>
      </xdr:spPr>
      <xdr:txBody>
        <a:bodyPr vertOverflow="clip" wrap="square" lIns="36576" tIns="22860" rIns="36576" bIns="0" anchor="t" upright="1"/>
        <a:lstStyle/>
        <a:p>
          <a:pPr algn="ctr" rtl="0">
            <a:defRPr sz="1000"/>
          </a:pPr>
          <a:r>
            <a:rPr lang="en-US" sz="1200" b="0" i="0" u="none" strike="noStrike" baseline="0">
              <a:solidFill>
                <a:srgbClr val="000000"/>
              </a:solidFill>
              <a:latin typeface="Arial"/>
              <a:cs typeface="Arial"/>
            </a:rPr>
            <a:t>RUNOFF PATHWAY</a:t>
          </a: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xdr:txBody>
    </xdr:sp>
    <xdr:clientData/>
  </xdr:twoCellAnchor>
  <xdr:twoCellAnchor>
    <xdr:from>
      <xdr:col>0</xdr:col>
      <xdr:colOff>57150</xdr:colOff>
      <xdr:row>59</xdr:row>
      <xdr:rowOff>0</xdr:rowOff>
    </xdr:from>
    <xdr:to>
      <xdr:col>10</xdr:col>
      <xdr:colOff>495300</xdr:colOff>
      <xdr:row>59</xdr:row>
      <xdr:rowOff>0</xdr:rowOff>
    </xdr:to>
    <xdr:sp macro="" textlink="">
      <xdr:nvSpPr>
        <xdr:cNvPr id="17160" name="Line 100">
          <a:extLst>
            <a:ext uri="{FF2B5EF4-FFF2-40B4-BE49-F238E27FC236}">
              <a16:creationId xmlns:a16="http://schemas.microsoft.com/office/drawing/2014/main" id="{00000000-0008-0000-0900-000008430000}"/>
            </a:ext>
          </a:extLst>
        </xdr:cNvPr>
        <xdr:cNvSpPr>
          <a:spLocks noChangeShapeType="1"/>
        </xdr:cNvSpPr>
      </xdr:nvSpPr>
      <xdr:spPr bwMode="auto">
        <a:xfrm>
          <a:off x="57150" y="9553575"/>
          <a:ext cx="6134100" cy="0"/>
        </a:xfrm>
        <a:prstGeom prst="line">
          <a:avLst/>
        </a:prstGeom>
        <a:noFill/>
        <a:ln w="25400">
          <a:solidFill>
            <a:srgbClr val="FF0000"/>
          </a:solidFill>
          <a:round/>
          <a:headEnd/>
          <a:tailEnd/>
        </a:ln>
      </xdr:spPr>
    </xdr:sp>
    <xdr:clientData/>
  </xdr:twoCellAnchor>
  <xdr:twoCellAnchor>
    <xdr:from>
      <xdr:col>1</xdr:col>
      <xdr:colOff>219075</xdr:colOff>
      <xdr:row>66</xdr:row>
      <xdr:rowOff>66675</xdr:rowOff>
    </xdr:from>
    <xdr:to>
      <xdr:col>5</xdr:col>
      <xdr:colOff>38100</xdr:colOff>
      <xdr:row>72</xdr:row>
      <xdr:rowOff>76200</xdr:rowOff>
    </xdr:to>
    <xdr:grpSp>
      <xdr:nvGrpSpPr>
        <xdr:cNvPr id="17161" name="Group 101">
          <a:extLst>
            <a:ext uri="{FF2B5EF4-FFF2-40B4-BE49-F238E27FC236}">
              <a16:creationId xmlns:a16="http://schemas.microsoft.com/office/drawing/2014/main" id="{00000000-0008-0000-0900-000009430000}"/>
            </a:ext>
          </a:extLst>
        </xdr:cNvPr>
        <xdr:cNvGrpSpPr>
          <a:grpSpLocks/>
        </xdr:cNvGrpSpPr>
      </xdr:nvGrpSpPr>
      <xdr:grpSpPr bwMode="auto">
        <a:xfrm>
          <a:off x="828675" y="11130915"/>
          <a:ext cx="2257425" cy="1015365"/>
          <a:chOff x="248" y="91"/>
          <a:chExt cx="237" cy="103"/>
        </a:xfrm>
      </xdr:grpSpPr>
      <xdr:sp macro="" textlink="">
        <xdr:nvSpPr>
          <xdr:cNvPr id="17569" name="Rectangle 102">
            <a:extLst>
              <a:ext uri="{FF2B5EF4-FFF2-40B4-BE49-F238E27FC236}">
                <a16:creationId xmlns:a16="http://schemas.microsoft.com/office/drawing/2014/main" id="{00000000-0008-0000-0900-0000A1440000}"/>
              </a:ext>
            </a:extLst>
          </xdr:cNvPr>
          <xdr:cNvSpPr>
            <a:spLocks noChangeArrowheads="1"/>
          </xdr:cNvSpPr>
        </xdr:nvSpPr>
        <xdr:spPr bwMode="auto">
          <a:xfrm>
            <a:off x="268" y="96"/>
            <a:ext cx="162" cy="98"/>
          </a:xfrm>
          <a:prstGeom prst="rect">
            <a:avLst/>
          </a:prstGeom>
          <a:gradFill rotWithShape="0">
            <a:gsLst>
              <a:gs pos="0">
                <a:srgbClr val="FFCC99"/>
              </a:gs>
              <a:gs pos="100000">
                <a:srgbClr val="99CCFF"/>
              </a:gs>
            </a:gsLst>
            <a:lin ang="0" scaled="1"/>
          </a:gradFill>
          <a:ln w="76200">
            <a:noFill/>
            <a:miter lim="800000"/>
            <a:headEnd/>
            <a:tailEnd/>
          </a:ln>
        </xdr:spPr>
      </xdr:sp>
      <xdr:sp macro="" textlink="">
        <xdr:nvSpPr>
          <xdr:cNvPr id="16487" name="Text Box 103">
            <a:extLst>
              <a:ext uri="{FF2B5EF4-FFF2-40B4-BE49-F238E27FC236}">
                <a16:creationId xmlns:a16="http://schemas.microsoft.com/office/drawing/2014/main" id="{00000000-0008-0000-0900-000067400000}"/>
              </a:ext>
            </a:extLst>
          </xdr:cNvPr>
          <xdr:cNvSpPr txBox="1">
            <a:spLocks noChangeArrowheads="1"/>
          </xdr:cNvSpPr>
        </xdr:nvSpPr>
        <xdr:spPr bwMode="auto">
          <a:xfrm>
            <a:off x="293" y="100"/>
            <a:ext cx="107" cy="28"/>
          </a:xfrm>
          <a:prstGeom prst="rect">
            <a:avLst/>
          </a:prstGeom>
          <a:noFill/>
          <a:ln w="9525">
            <a:noFill/>
            <a:miter lim="800000"/>
            <a:headEnd/>
            <a:tailEnd/>
          </a:ln>
        </xdr:spPr>
        <xdr:txBody>
          <a:bodyPr vertOverflow="clip" wrap="square" lIns="36576" tIns="22860" rIns="36576" bIns="0" anchor="t" upright="1"/>
          <a:lstStyle/>
          <a:p>
            <a:pPr algn="ctr" rtl="0">
              <a:defRPr sz="1000"/>
            </a:pPr>
            <a:r>
              <a:rPr lang="en-US" sz="1200" b="0" i="0" u="none" strike="noStrike" baseline="0">
                <a:solidFill>
                  <a:srgbClr val="000000"/>
                </a:solidFill>
                <a:latin typeface="Arial"/>
                <a:cs typeface="Arial"/>
              </a:rPr>
              <a:t>CDF</a:t>
            </a:r>
          </a:p>
        </xdr:txBody>
      </xdr:sp>
      <xdr:sp macro="" textlink="">
        <xdr:nvSpPr>
          <xdr:cNvPr id="17571" name="AutoShape 104">
            <a:extLst>
              <a:ext uri="{FF2B5EF4-FFF2-40B4-BE49-F238E27FC236}">
                <a16:creationId xmlns:a16="http://schemas.microsoft.com/office/drawing/2014/main" id="{00000000-0008-0000-0900-0000A3440000}"/>
              </a:ext>
            </a:extLst>
          </xdr:cNvPr>
          <xdr:cNvSpPr>
            <a:spLocks noChangeArrowheads="1"/>
          </xdr:cNvSpPr>
        </xdr:nvSpPr>
        <xdr:spPr bwMode="auto">
          <a:xfrm flipV="1">
            <a:off x="249" y="91"/>
            <a:ext cx="26" cy="102"/>
          </a:xfrm>
          <a:custGeom>
            <a:avLst/>
            <a:gdLst>
              <a:gd name="T0" fmla="*/ 23 w 21600"/>
              <a:gd name="T1" fmla="*/ 51 h 21600"/>
              <a:gd name="T2" fmla="*/ 13 w 21600"/>
              <a:gd name="T3" fmla="*/ 102 h 21600"/>
              <a:gd name="T4" fmla="*/ 3 w 21600"/>
              <a:gd name="T5" fmla="*/ 51 h 21600"/>
              <a:gd name="T6" fmla="*/ 13 w 21600"/>
              <a:gd name="T7" fmla="*/ 0 h 21600"/>
              <a:gd name="T8" fmla="*/ 0 60000 65536"/>
              <a:gd name="T9" fmla="*/ 0 60000 65536"/>
              <a:gd name="T10" fmla="*/ 0 60000 65536"/>
              <a:gd name="T11" fmla="*/ 0 60000 65536"/>
              <a:gd name="T12" fmla="*/ 4154 w 21600"/>
              <a:gd name="T13" fmla="*/ 4447 h 21600"/>
              <a:gd name="T14" fmla="*/ 17446 w 21600"/>
              <a:gd name="T15" fmla="*/ 17153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000000"/>
          </a:solidFill>
          <a:ln w="9525">
            <a:solidFill>
              <a:srgbClr val="000000"/>
            </a:solidFill>
            <a:miter lim="800000"/>
            <a:headEnd/>
            <a:tailEnd/>
          </a:ln>
        </xdr:spPr>
      </xdr:sp>
      <xdr:sp macro="" textlink="">
        <xdr:nvSpPr>
          <xdr:cNvPr id="17572" name="AutoShape 105">
            <a:extLst>
              <a:ext uri="{FF2B5EF4-FFF2-40B4-BE49-F238E27FC236}">
                <a16:creationId xmlns:a16="http://schemas.microsoft.com/office/drawing/2014/main" id="{00000000-0008-0000-0900-0000A4440000}"/>
              </a:ext>
            </a:extLst>
          </xdr:cNvPr>
          <xdr:cNvSpPr>
            <a:spLocks noChangeArrowheads="1"/>
          </xdr:cNvSpPr>
        </xdr:nvSpPr>
        <xdr:spPr bwMode="auto">
          <a:xfrm flipV="1">
            <a:off x="421" y="91"/>
            <a:ext cx="26" cy="102"/>
          </a:xfrm>
          <a:custGeom>
            <a:avLst/>
            <a:gdLst>
              <a:gd name="T0" fmla="*/ 23 w 21600"/>
              <a:gd name="T1" fmla="*/ 51 h 21600"/>
              <a:gd name="T2" fmla="*/ 13 w 21600"/>
              <a:gd name="T3" fmla="*/ 102 h 21600"/>
              <a:gd name="T4" fmla="*/ 3 w 21600"/>
              <a:gd name="T5" fmla="*/ 51 h 21600"/>
              <a:gd name="T6" fmla="*/ 13 w 21600"/>
              <a:gd name="T7" fmla="*/ 0 h 21600"/>
              <a:gd name="T8" fmla="*/ 0 60000 65536"/>
              <a:gd name="T9" fmla="*/ 0 60000 65536"/>
              <a:gd name="T10" fmla="*/ 0 60000 65536"/>
              <a:gd name="T11" fmla="*/ 0 60000 65536"/>
              <a:gd name="T12" fmla="*/ 4154 w 21600"/>
              <a:gd name="T13" fmla="*/ 4447 h 21600"/>
              <a:gd name="T14" fmla="*/ 17446 w 21600"/>
              <a:gd name="T15" fmla="*/ 17153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000000"/>
          </a:solidFill>
          <a:ln w="9525">
            <a:solidFill>
              <a:srgbClr val="000000"/>
            </a:solidFill>
            <a:miter lim="800000"/>
            <a:headEnd/>
            <a:tailEnd/>
          </a:ln>
        </xdr:spPr>
      </xdr:sp>
      <xdr:grpSp>
        <xdr:nvGrpSpPr>
          <xdr:cNvPr id="17573" name="Group 106">
            <a:extLst>
              <a:ext uri="{FF2B5EF4-FFF2-40B4-BE49-F238E27FC236}">
                <a16:creationId xmlns:a16="http://schemas.microsoft.com/office/drawing/2014/main" id="{00000000-0008-0000-0900-0000A5440000}"/>
              </a:ext>
            </a:extLst>
          </xdr:cNvPr>
          <xdr:cNvGrpSpPr>
            <a:grpSpLocks/>
          </xdr:cNvGrpSpPr>
        </xdr:nvGrpSpPr>
        <xdr:grpSpPr bwMode="auto">
          <a:xfrm>
            <a:off x="410" y="132"/>
            <a:ext cx="75" cy="18"/>
            <a:chOff x="410" y="132"/>
            <a:chExt cx="75" cy="18"/>
          </a:xfrm>
        </xdr:grpSpPr>
        <xdr:grpSp>
          <xdr:nvGrpSpPr>
            <xdr:cNvPr id="17575" name="Group 107">
              <a:extLst>
                <a:ext uri="{FF2B5EF4-FFF2-40B4-BE49-F238E27FC236}">
                  <a16:creationId xmlns:a16="http://schemas.microsoft.com/office/drawing/2014/main" id="{00000000-0008-0000-0900-0000A7440000}"/>
                </a:ext>
              </a:extLst>
            </xdr:cNvPr>
            <xdr:cNvGrpSpPr>
              <a:grpSpLocks/>
            </xdr:cNvGrpSpPr>
          </xdr:nvGrpSpPr>
          <xdr:grpSpPr bwMode="auto">
            <a:xfrm>
              <a:off x="415" y="132"/>
              <a:ext cx="70" cy="18"/>
              <a:chOff x="489" y="175"/>
              <a:chExt cx="70" cy="18"/>
            </a:xfrm>
          </xdr:grpSpPr>
          <xdr:sp macro="" textlink="">
            <xdr:nvSpPr>
              <xdr:cNvPr id="17578" name="Line 108">
                <a:extLst>
                  <a:ext uri="{FF2B5EF4-FFF2-40B4-BE49-F238E27FC236}">
                    <a16:creationId xmlns:a16="http://schemas.microsoft.com/office/drawing/2014/main" id="{00000000-0008-0000-0900-0000AA440000}"/>
                  </a:ext>
                </a:extLst>
              </xdr:cNvPr>
              <xdr:cNvSpPr>
                <a:spLocks noChangeShapeType="1"/>
              </xdr:cNvSpPr>
            </xdr:nvSpPr>
            <xdr:spPr bwMode="auto">
              <a:xfrm>
                <a:off x="489" y="175"/>
                <a:ext cx="70" cy="0"/>
              </a:xfrm>
              <a:prstGeom prst="line">
                <a:avLst/>
              </a:prstGeom>
              <a:noFill/>
              <a:ln w="19050">
                <a:solidFill>
                  <a:srgbClr val="000000"/>
                </a:solidFill>
                <a:round/>
                <a:headEnd/>
                <a:tailEnd/>
              </a:ln>
            </xdr:spPr>
          </xdr:sp>
          <xdr:sp macro="" textlink="">
            <xdr:nvSpPr>
              <xdr:cNvPr id="17579" name="Line 109">
                <a:extLst>
                  <a:ext uri="{FF2B5EF4-FFF2-40B4-BE49-F238E27FC236}">
                    <a16:creationId xmlns:a16="http://schemas.microsoft.com/office/drawing/2014/main" id="{00000000-0008-0000-0900-0000AB440000}"/>
                  </a:ext>
                </a:extLst>
              </xdr:cNvPr>
              <xdr:cNvSpPr>
                <a:spLocks noChangeShapeType="1"/>
              </xdr:cNvSpPr>
            </xdr:nvSpPr>
            <xdr:spPr bwMode="auto">
              <a:xfrm>
                <a:off x="489" y="193"/>
                <a:ext cx="70" cy="0"/>
              </a:xfrm>
              <a:prstGeom prst="line">
                <a:avLst/>
              </a:prstGeom>
              <a:noFill/>
              <a:ln w="19050">
                <a:solidFill>
                  <a:srgbClr val="000000"/>
                </a:solidFill>
                <a:round/>
                <a:headEnd/>
                <a:tailEnd/>
              </a:ln>
            </xdr:spPr>
          </xdr:sp>
        </xdr:grpSp>
        <xdr:sp macro="" textlink="">
          <xdr:nvSpPr>
            <xdr:cNvPr id="17576" name="Rectangle 110">
              <a:extLst>
                <a:ext uri="{FF2B5EF4-FFF2-40B4-BE49-F238E27FC236}">
                  <a16:creationId xmlns:a16="http://schemas.microsoft.com/office/drawing/2014/main" id="{00000000-0008-0000-0900-0000A8440000}"/>
                </a:ext>
              </a:extLst>
            </xdr:cNvPr>
            <xdr:cNvSpPr>
              <a:spLocks noChangeArrowheads="1"/>
            </xdr:cNvSpPr>
          </xdr:nvSpPr>
          <xdr:spPr bwMode="auto">
            <a:xfrm>
              <a:off x="414" y="133"/>
              <a:ext cx="68" cy="16"/>
            </a:xfrm>
            <a:prstGeom prst="rect">
              <a:avLst/>
            </a:prstGeom>
            <a:solidFill>
              <a:srgbClr val="99CCFF"/>
            </a:solidFill>
            <a:ln w="9525">
              <a:noFill/>
              <a:miter lim="800000"/>
              <a:headEnd/>
              <a:tailEnd/>
            </a:ln>
          </xdr:spPr>
        </xdr:sp>
        <xdr:sp macro="" textlink="">
          <xdr:nvSpPr>
            <xdr:cNvPr id="17577" name="Line 111">
              <a:extLst>
                <a:ext uri="{FF2B5EF4-FFF2-40B4-BE49-F238E27FC236}">
                  <a16:creationId xmlns:a16="http://schemas.microsoft.com/office/drawing/2014/main" id="{00000000-0008-0000-0900-0000A9440000}"/>
                </a:ext>
              </a:extLst>
            </xdr:cNvPr>
            <xdr:cNvSpPr>
              <a:spLocks noChangeShapeType="1"/>
            </xdr:cNvSpPr>
          </xdr:nvSpPr>
          <xdr:spPr bwMode="auto">
            <a:xfrm>
              <a:off x="410" y="141"/>
              <a:ext cx="73" cy="0"/>
            </a:xfrm>
            <a:prstGeom prst="line">
              <a:avLst/>
            </a:prstGeom>
            <a:noFill/>
            <a:ln w="9525">
              <a:solidFill>
                <a:srgbClr val="000000"/>
              </a:solidFill>
              <a:prstDash val="dash"/>
              <a:round/>
              <a:headEnd/>
              <a:tailEnd type="stealth" w="med" len="med"/>
            </a:ln>
          </xdr:spPr>
        </xdr:sp>
      </xdr:grpSp>
      <xdr:sp macro="" textlink="">
        <xdr:nvSpPr>
          <xdr:cNvPr id="17574" name="Line 112">
            <a:extLst>
              <a:ext uri="{FF2B5EF4-FFF2-40B4-BE49-F238E27FC236}">
                <a16:creationId xmlns:a16="http://schemas.microsoft.com/office/drawing/2014/main" id="{00000000-0008-0000-0900-0000A6440000}"/>
              </a:ext>
            </a:extLst>
          </xdr:cNvPr>
          <xdr:cNvSpPr>
            <a:spLocks noChangeShapeType="1"/>
          </xdr:cNvSpPr>
        </xdr:nvSpPr>
        <xdr:spPr bwMode="auto">
          <a:xfrm>
            <a:off x="248" y="194"/>
            <a:ext cx="200" cy="0"/>
          </a:xfrm>
          <a:prstGeom prst="line">
            <a:avLst/>
          </a:prstGeom>
          <a:noFill/>
          <a:ln w="25400">
            <a:solidFill>
              <a:srgbClr val="000000"/>
            </a:solidFill>
            <a:round/>
            <a:headEnd/>
            <a:tailEnd/>
          </a:ln>
        </xdr:spPr>
      </xdr:sp>
    </xdr:grpSp>
    <xdr:clientData/>
  </xdr:twoCellAnchor>
  <xdr:twoCellAnchor>
    <xdr:from>
      <xdr:col>0</xdr:col>
      <xdr:colOff>400050</xdr:colOff>
      <xdr:row>61</xdr:row>
      <xdr:rowOff>0</xdr:rowOff>
    </xdr:from>
    <xdr:to>
      <xdr:col>3</xdr:col>
      <xdr:colOff>123825</xdr:colOff>
      <xdr:row>63</xdr:row>
      <xdr:rowOff>0</xdr:rowOff>
    </xdr:to>
    <xdr:sp macro="" textlink="">
      <xdr:nvSpPr>
        <xdr:cNvPr id="16497" name="Cloud">
          <a:extLst>
            <a:ext uri="{FF2B5EF4-FFF2-40B4-BE49-F238E27FC236}">
              <a16:creationId xmlns:a16="http://schemas.microsoft.com/office/drawing/2014/main" id="{00000000-0008-0000-0900-000071400000}"/>
            </a:ext>
          </a:extLst>
        </xdr:cNvPr>
        <xdr:cNvSpPr>
          <a:spLocks noChangeAspect="1" noEditPoints="1" noChangeArrowheads="1"/>
        </xdr:cNvSpPr>
      </xdr:nvSpPr>
      <xdr:spPr bwMode="auto">
        <a:xfrm>
          <a:off x="400050" y="9877425"/>
          <a:ext cx="1552575" cy="323850"/>
        </a:xfrm>
        <a:custGeom>
          <a:avLst/>
          <a:gdLst>
            <a:gd name="T0" fmla="*/ 67 w 21600"/>
            <a:gd name="T1" fmla="*/ 10800 h 21600"/>
            <a:gd name="T2" fmla="*/ 10800 w 21600"/>
            <a:gd name="T3" fmla="*/ 21577 h 21600"/>
            <a:gd name="T4" fmla="*/ 21582 w 21600"/>
            <a:gd name="T5" fmla="*/ 10800 h 21600"/>
            <a:gd name="T6" fmla="*/ 10800 w 21600"/>
            <a:gd name="T7" fmla="*/ 1235 h 21600"/>
            <a:gd name="T8" fmla="*/ 2977 w 21600"/>
            <a:gd name="T9" fmla="*/ 3262 h 21600"/>
            <a:gd name="T10" fmla="*/ 17087 w 21600"/>
            <a:gd name="T11" fmla="*/ 17337 h 21600"/>
          </a:gdLst>
          <a:ahLst/>
          <a:cxnLst>
            <a:cxn ang="0">
              <a:pos x="T0" y="T1"/>
            </a:cxn>
            <a:cxn ang="0">
              <a:pos x="T2" y="T3"/>
            </a:cxn>
            <a:cxn ang="0">
              <a:pos x="T4" y="T5"/>
            </a:cxn>
            <a:cxn ang="0">
              <a:pos x="T6" y="T7"/>
            </a:cxn>
          </a:cxnLst>
          <a:rect l="T8" t="T9" r="T10" b="T11"/>
          <a:pathLst>
            <a:path w="21600" h="21600" extrusionOk="0">
              <a:moveTo>
                <a:pt x="1949" y="7180"/>
              </a:moveTo>
              <a:cubicBezTo>
                <a:pt x="841" y="7336"/>
                <a:pt x="0" y="8613"/>
                <a:pt x="0" y="10137"/>
              </a:cubicBezTo>
              <a:cubicBezTo>
                <a:pt x="-1" y="11192"/>
                <a:pt x="409" y="12169"/>
                <a:pt x="1074" y="12702"/>
              </a:cubicBezTo>
              <a:lnTo>
                <a:pt x="1063" y="12668"/>
              </a:lnTo>
              <a:cubicBezTo>
                <a:pt x="685" y="13217"/>
                <a:pt x="475" y="13940"/>
                <a:pt x="475" y="14690"/>
              </a:cubicBezTo>
              <a:cubicBezTo>
                <a:pt x="475" y="16325"/>
                <a:pt x="1451" y="17650"/>
                <a:pt x="2655" y="17650"/>
              </a:cubicBezTo>
              <a:cubicBezTo>
                <a:pt x="2739" y="17650"/>
                <a:pt x="2824" y="17643"/>
                <a:pt x="2909" y="17629"/>
              </a:cubicBezTo>
              <a:lnTo>
                <a:pt x="2897" y="17649"/>
              </a:lnTo>
              <a:cubicBezTo>
                <a:pt x="3585" y="19288"/>
                <a:pt x="4863" y="20300"/>
                <a:pt x="6247" y="20300"/>
              </a:cubicBezTo>
              <a:cubicBezTo>
                <a:pt x="6947" y="20299"/>
                <a:pt x="7635" y="20039"/>
                <a:pt x="8235" y="19546"/>
              </a:cubicBezTo>
              <a:lnTo>
                <a:pt x="8229" y="19550"/>
              </a:lnTo>
              <a:cubicBezTo>
                <a:pt x="8855" y="20829"/>
                <a:pt x="9908" y="21597"/>
                <a:pt x="11036" y="21597"/>
              </a:cubicBezTo>
              <a:cubicBezTo>
                <a:pt x="12523" y="21596"/>
                <a:pt x="13836" y="20267"/>
                <a:pt x="14267" y="18324"/>
              </a:cubicBezTo>
              <a:lnTo>
                <a:pt x="14270" y="18350"/>
              </a:lnTo>
              <a:cubicBezTo>
                <a:pt x="14730" y="18740"/>
                <a:pt x="15260" y="18947"/>
                <a:pt x="15802" y="18947"/>
              </a:cubicBezTo>
              <a:cubicBezTo>
                <a:pt x="17390" y="18946"/>
                <a:pt x="18682" y="17205"/>
                <a:pt x="18694" y="15045"/>
              </a:cubicBezTo>
              <a:lnTo>
                <a:pt x="18689" y="15035"/>
              </a:lnTo>
              <a:cubicBezTo>
                <a:pt x="20357" y="14710"/>
                <a:pt x="21597" y="12765"/>
                <a:pt x="21597" y="10472"/>
              </a:cubicBezTo>
              <a:cubicBezTo>
                <a:pt x="21597" y="9456"/>
                <a:pt x="21350" y="8469"/>
                <a:pt x="20896" y="7663"/>
              </a:cubicBezTo>
              <a:lnTo>
                <a:pt x="20889" y="7661"/>
              </a:lnTo>
              <a:cubicBezTo>
                <a:pt x="21031" y="7208"/>
                <a:pt x="21105" y="6721"/>
                <a:pt x="21105" y="6228"/>
              </a:cubicBezTo>
              <a:cubicBezTo>
                <a:pt x="21105" y="4588"/>
                <a:pt x="20299" y="3150"/>
                <a:pt x="19139" y="2719"/>
              </a:cubicBezTo>
              <a:lnTo>
                <a:pt x="19148" y="2712"/>
              </a:lnTo>
              <a:cubicBezTo>
                <a:pt x="18940" y="1142"/>
                <a:pt x="17933" y="0"/>
                <a:pt x="16758" y="0"/>
              </a:cubicBezTo>
              <a:cubicBezTo>
                <a:pt x="16044" y="-1"/>
                <a:pt x="15367" y="426"/>
                <a:pt x="14905" y="1165"/>
              </a:cubicBezTo>
              <a:lnTo>
                <a:pt x="14909" y="1170"/>
              </a:lnTo>
              <a:cubicBezTo>
                <a:pt x="14497" y="432"/>
                <a:pt x="13855" y="0"/>
                <a:pt x="13174" y="0"/>
              </a:cubicBezTo>
              <a:cubicBezTo>
                <a:pt x="12347" y="-1"/>
                <a:pt x="11590" y="637"/>
                <a:pt x="11221" y="1645"/>
              </a:cubicBezTo>
              <a:lnTo>
                <a:pt x="11229" y="1694"/>
              </a:lnTo>
              <a:cubicBezTo>
                <a:pt x="10730" y="1024"/>
                <a:pt x="10058" y="650"/>
                <a:pt x="9358" y="650"/>
              </a:cubicBezTo>
              <a:cubicBezTo>
                <a:pt x="8372" y="649"/>
                <a:pt x="7466" y="1391"/>
                <a:pt x="7003" y="2578"/>
              </a:cubicBezTo>
              <a:lnTo>
                <a:pt x="6995" y="2602"/>
              </a:lnTo>
              <a:cubicBezTo>
                <a:pt x="6477" y="2189"/>
                <a:pt x="5888" y="1972"/>
                <a:pt x="5288" y="1972"/>
              </a:cubicBezTo>
              <a:cubicBezTo>
                <a:pt x="3423" y="1972"/>
                <a:pt x="1912" y="4029"/>
                <a:pt x="1912" y="6567"/>
              </a:cubicBezTo>
              <a:cubicBezTo>
                <a:pt x="1911" y="6774"/>
                <a:pt x="1922" y="6981"/>
                <a:pt x="1942" y="7186"/>
              </a:cubicBezTo>
              <a:close/>
            </a:path>
            <a:path w="21600" h="21600" fill="none" extrusionOk="0">
              <a:moveTo>
                <a:pt x="1074" y="12702"/>
              </a:moveTo>
              <a:cubicBezTo>
                <a:pt x="1407" y="12969"/>
                <a:pt x="1786" y="13110"/>
                <a:pt x="2172" y="13110"/>
              </a:cubicBezTo>
              <a:cubicBezTo>
                <a:pt x="2228" y="13109"/>
                <a:pt x="2285" y="13107"/>
                <a:pt x="2341" y="13101"/>
              </a:cubicBezTo>
            </a:path>
            <a:path w="21600" h="21600" fill="none" extrusionOk="0">
              <a:moveTo>
                <a:pt x="2909" y="17629"/>
              </a:moveTo>
              <a:cubicBezTo>
                <a:pt x="3099" y="17599"/>
                <a:pt x="3285" y="17535"/>
                <a:pt x="3463" y="17439"/>
              </a:cubicBezTo>
            </a:path>
            <a:path w="21600" h="21600" fill="none" extrusionOk="0">
              <a:moveTo>
                <a:pt x="7895" y="18680"/>
              </a:moveTo>
              <a:cubicBezTo>
                <a:pt x="7983" y="18985"/>
                <a:pt x="8095" y="19277"/>
                <a:pt x="8229" y="19550"/>
              </a:cubicBezTo>
            </a:path>
            <a:path w="21600" h="21600" fill="none" extrusionOk="0">
              <a:moveTo>
                <a:pt x="14267" y="18324"/>
              </a:moveTo>
              <a:cubicBezTo>
                <a:pt x="14336" y="18013"/>
                <a:pt x="14380" y="17693"/>
                <a:pt x="14400" y="17370"/>
              </a:cubicBezTo>
            </a:path>
            <a:path w="21600" h="21600" fill="none" extrusionOk="0">
              <a:moveTo>
                <a:pt x="18694" y="15045"/>
              </a:moveTo>
              <a:cubicBezTo>
                <a:pt x="18694" y="15034"/>
                <a:pt x="18695" y="15024"/>
                <a:pt x="18695" y="15013"/>
              </a:cubicBezTo>
              <a:cubicBezTo>
                <a:pt x="18695" y="13508"/>
                <a:pt x="18063" y="12136"/>
                <a:pt x="17069" y="11477"/>
              </a:cubicBezTo>
            </a:path>
            <a:path w="21600" h="21600" fill="none" extrusionOk="0">
              <a:moveTo>
                <a:pt x="20165" y="8999"/>
              </a:moveTo>
              <a:cubicBezTo>
                <a:pt x="20479" y="8635"/>
                <a:pt x="20726" y="8177"/>
                <a:pt x="20889" y="7661"/>
              </a:cubicBezTo>
            </a:path>
            <a:path w="21600" h="21600" fill="none" extrusionOk="0">
              <a:moveTo>
                <a:pt x="19186" y="3344"/>
              </a:moveTo>
              <a:cubicBezTo>
                <a:pt x="19186" y="3328"/>
                <a:pt x="19187" y="3313"/>
                <a:pt x="19187" y="3297"/>
              </a:cubicBezTo>
              <a:cubicBezTo>
                <a:pt x="19187" y="3101"/>
                <a:pt x="19174" y="2905"/>
                <a:pt x="19148" y="2712"/>
              </a:cubicBezTo>
            </a:path>
            <a:path w="21600" h="21600" fill="none" extrusionOk="0">
              <a:moveTo>
                <a:pt x="14905" y="1165"/>
              </a:moveTo>
              <a:cubicBezTo>
                <a:pt x="14754" y="1408"/>
                <a:pt x="14629" y="1679"/>
                <a:pt x="14535" y="1971"/>
              </a:cubicBezTo>
            </a:path>
            <a:path w="21600" h="21600" fill="none" extrusionOk="0">
              <a:moveTo>
                <a:pt x="11221" y="1645"/>
              </a:moveTo>
              <a:cubicBezTo>
                <a:pt x="11140" y="1866"/>
                <a:pt x="11080" y="2099"/>
                <a:pt x="11041" y="2340"/>
              </a:cubicBezTo>
            </a:path>
            <a:path w="21600" h="21600" fill="none" extrusionOk="0">
              <a:moveTo>
                <a:pt x="7645" y="3276"/>
              </a:moveTo>
              <a:cubicBezTo>
                <a:pt x="7449" y="3016"/>
                <a:pt x="7231" y="2790"/>
                <a:pt x="6995" y="2602"/>
              </a:cubicBezTo>
            </a:path>
            <a:path w="21600" h="21600" fill="none" extrusionOk="0">
              <a:moveTo>
                <a:pt x="1942" y="7186"/>
              </a:moveTo>
              <a:cubicBezTo>
                <a:pt x="1966" y="7426"/>
                <a:pt x="2004" y="7663"/>
                <a:pt x="2056" y="7895"/>
              </a:cubicBezTo>
            </a:path>
          </a:pathLst>
        </a:custGeom>
        <a:solidFill>
          <a:srgbClr val="C0C0C0"/>
        </a:solidFill>
        <a:ln w="9525">
          <a:solidFill>
            <a:srgbClr val="000000"/>
          </a:solidFill>
          <a:miter lim="800000"/>
          <a:headEnd/>
          <a:tailEnd/>
        </a:ln>
        <a:effectLst>
          <a:outerShdw dist="107763" dir="2700000" algn="ctr" rotWithShape="0">
            <a:srgbClr val="808080"/>
          </a:outerShdw>
        </a:effectLst>
      </xdr:spPr>
      <xdr:txBody>
        <a:bodyPr/>
        <a:lstStyle/>
        <a:p>
          <a:endParaRPr lang="en-US"/>
        </a:p>
      </xdr:txBody>
    </xdr:sp>
    <xdr:clientData/>
  </xdr:twoCellAnchor>
  <xdr:twoCellAnchor>
    <xdr:from>
      <xdr:col>5</xdr:col>
      <xdr:colOff>9525</xdr:colOff>
      <xdr:row>68</xdr:row>
      <xdr:rowOff>47625</xdr:rowOff>
    </xdr:from>
    <xdr:to>
      <xdr:col>6</xdr:col>
      <xdr:colOff>209550</xdr:colOff>
      <xdr:row>70</xdr:row>
      <xdr:rowOff>104775</xdr:rowOff>
    </xdr:to>
    <xdr:grpSp>
      <xdr:nvGrpSpPr>
        <xdr:cNvPr id="17163" name="Group 539">
          <a:extLst>
            <a:ext uri="{FF2B5EF4-FFF2-40B4-BE49-F238E27FC236}">
              <a16:creationId xmlns:a16="http://schemas.microsoft.com/office/drawing/2014/main" id="{00000000-0008-0000-0900-00000B430000}"/>
            </a:ext>
          </a:extLst>
        </xdr:cNvPr>
        <xdr:cNvGrpSpPr>
          <a:grpSpLocks/>
        </xdr:cNvGrpSpPr>
      </xdr:nvGrpSpPr>
      <xdr:grpSpPr bwMode="auto">
        <a:xfrm>
          <a:off x="3057525" y="11447145"/>
          <a:ext cx="413385" cy="392430"/>
          <a:chOff x="408" y="1789"/>
          <a:chExt cx="54" cy="50"/>
        </a:xfrm>
      </xdr:grpSpPr>
      <xdr:sp macro="" textlink="">
        <xdr:nvSpPr>
          <xdr:cNvPr id="17567" name="Oval 127">
            <a:extLst>
              <a:ext uri="{FF2B5EF4-FFF2-40B4-BE49-F238E27FC236}">
                <a16:creationId xmlns:a16="http://schemas.microsoft.com/office/drawing/2014/main" id="{00000000-0008-0000-0900-00009F440000}"/>
              </a:ext>
            </a:extLst>
          </xdr:cNvPr>
          <xdr:cNvSpPr>
            <a:spLocks noChangeArrowheads="1"/>
          </xdr:cNvSpPr>
        </xdr:nvSpPr>
        <xdr:spPr bwMode="auto">
          <a:xfrm>
            <a:off x="408" y="1789"/>
            <a:ext cx="54" cy="50"/>
          </a:xfrm>
          <a:prstGeom prst="ellipse">
            <a:avLst/>
          </a:prstGeom>
          <a:solidFill>
            <a:srgbClr val="FFFFCC"/>
          </a:solidFill>
          <a:ln w="9525">
            <a:solidFill>
              <a:srgbClr val="000000"/>
            </a:solidFill>
            <a:round/>
            <a:headEnd/>
            <a:tailEnd/>
          </a:ln>
        </xdr:spPr>
      </xdr:sp>
      <xdr:sp macro="" textlink="">
        <xdr:nvSpPr>
          <xdr:cNvPr id="16512" name="Text Box 128">
            <a:extLst>
              <a:ext uri="{FF2B5EF4-FFF2-40B4-BE49-F238E27FC236}">
                <a16:creationId xmlns:a16="http://schemas.microsoft.com/office/drawing/2014/main" id="{00000000-0008-0000-0900-000080400000}"/>
              </a:ext>
            </a:extLst>
          </xdr:cNvPr>
          <xdr:cNvSpPr txBox="1">
            <a:spLocks noChangeArrowheads="1"/>
          </xdr:cNvSpPr>
        </xdr:nvSpPr>
        <xdr:spPr bwMode="auto">
          <a:xfrm>
            <a:off x="411" y="1792"/>
            <a:ext cx="50" cy="45"/>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2a &amp; 2b</a:t>
            </a:r>
          </a:p>
        </xdr:txBody>
      </xdr:sp>
    </xdr:grpSp>
    <xdr:clientData/>
  </xdr:twoCellAnchor>
  <xdr:twoCellAnchor>
    <xdr:from>
      <xdr:col>2</xdr:col>
      <xdr:colOff>523875</xdr:colOff>
      <xdr:row>70</xdr:row>
      <xdr:rowOff>9525</xdr:rowOff>
    </xdr:from>
    <xdr:to>
      <xdr:col>3</xdr:col>
      <xdr:colOff>171450</xdr:colOff>
      <xdr:row>71</xdr:row>
      <xdr:rowOff>104775</xdr:rowOff>
    </xdr:to>
    <xdr:grpSp>
      <xdr:nvGrpSpPr>
        <xdr:cNvPr id="17164" name="Group 496">
          <a:extLst>
            <a:ext uri="{FF2B5EF4-FFF2-40B4-BE49-F238E27FC236}">
              <a16:creationId xmlns:a16="http://schemas.microsoft.com/office/drawing/2014/main" id="{00000000-0008-0000-0900-00000C430000}"/>
            </a:ext>
          </a:extLst>
        </xdr:cNvPr>
        <xdr:cNvGrpSpPr>
          <a:grpSpLocks/>
        </xdr:cNvGrpSpPr>
      </xdr:nvGrpSpPr>
      <xdr:grpSpPr bwMode="auto">
        <a:xfrm>
          <a:off x="1743075" y="11744325"/>
          <a:ext cx="257175" cy="262890"/>
          <a:chOff x="216" y="1827"/>
          <a:chExt cx="33" cy="35"/>
        </a:xfrm>
      </xdr:grpSpPr>
      <xdr:sp macro="" textlink="">
        <xdr:nvSpPr>
          <xdr:cNvPr id="17565" name="Oval 131">
            <a:extLst>
              <a:ext uri="{FF2B5EF4-FFF2-40B4-BE49-F238E27FC236}">
                <a16:creationId xmlns:a16="http://schemas.microsoft.com/office/drawing/2014/main" id="{00000000-0008-0000-0900-00009D440000}"/>
              </a:ext>
            </a:extLst>
          </xdr:cNvPr>
          <xdr:cNvSpPr>
            <a:spLocks noChangeArrowheads="1"/>
          </xdr:cNvSpPr>
        </xdr:nvSpPr>
        <xdr:spPr bwMode="auto">
          <a:xfrm>
            <a:off x="216" y="1828"/>
            <a:ext cx="33" cy="34"/>
          </a:xfrm>
          <a:prstGeom prst="ellipse">
            <a:avLst/>
          </a:prstGeom>
          <a:solidFill>
            <a:srgbClr val="FFFFCC"/>
          </a:solidFill>
          <a:ln w="9525">
            <a:solidFill>
              <a:srgbClr val="000000"/>
            </a:solidFill>
            <a:round/>
            <a:headEnd/>
            <a:tailEnd/>
          </a:ln>
        </xdr:spPr>
      </xdr:sp>
      <xdr:sp macro="" textlink="">
        <xdr:nvSpPr>
          <xdr:cNvPr id="16516" name="Text Box 132">
            <a:extLst>
              <a:ext uri="{FF2B5EF4-FFF2-40B4-BE49-F238E27FC236}">
                <a16:creationId xmlns:a16="http://schemas.microsoft.com/office/drawing/2014/main" id="{00000000-0008-0000-0900-000084400000}"/>
              </a:ext>
            </a:extLst>
          </xdr:cNvPr>
          <xdr:cNvSpPr txBox="1">
            <a:spLocks noChangeArrowheads="1"/>
          </xdr:cNvSpPr>
        </xdr:nvSpPr>
        <xdr:spPr bwMode="auto">
          <a:xfrm>
            <a:off x="221" y="1827"/>
            <a:ext cx="23" cy="35"/>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1b</a:t>
            </a:r>
          </a:p>
        </xdr:txBody>
      </xdr:sp>
    </xdr:grpSp>
    <xdr:clientData/>
  </xdr:twoCellAnchor>
  <xdr:twoCellAnchor>
    <xdr:from>
      <xdr:col>1</xdr:col>
      <xdr:colOff>552450</xdr:colOff>
      <xdr:row>67</xdr:row>
      <xdr:rowOff>28575</xdr:rowOff>
    </xdr:from>
    <xdr:to>
      <xdr:col>2</xdr:col>
      <xdr:colOff>190500</xdr:colOff>
      <xdr:row>68</xdr:row>
      <xdr:rowOff>123825</xdr:rowOff>
    </xdr:to>
    <xdr:grpSp>
      <xdr:nvGrpSpPr>
        <xdr:cNvPr id="17165" name="Group 495">
          <a:extLst>
            <a:ext uri="{FF2B5EF4-FFF2-40B4-BE49-F238E27FC236}">
              <a16:creationId xmlns:a16="http://schemas.microsoft.com/office/drawing/2014/main" id="{00000000-0008-0000-0900-00000D430000}"/>
            </a:ext>
          </a:extLst>
        </xdr:cNvPr>
        <xdr:cNvGrpSpPr>
          <a:grpSpLocks/>
        </xdr:cNvGrpSpPr>
      </xdr:nvGrpSpPr>
      <xdr:grpSpPr bwMode="auto">
        <a:xfrm>
          <a:off x="1162050" y="11260455"/>
          <a:ext cx="247650" cy="262890"/>
          <a:chOff x="153" y="1764"/>
          <a:chExt cx="32" cy="35"/>
        </a:xfrm>
      </xdr:grpSpPr>
      <xdr:sp macro="" textlink="">
        <xdr:nvSpPr>
          <xdr:cNvPr id="17563" name="Oval 134">
            <a:extLst>
              <a:ext uri="{FF2B5EF4-FFF2-40B4-BE49-F238E27FC236}">
                <a16:creationId xmlns:a16="http://schemas.microsoft.com/office/drawing/2014/main" id="{00000000-0008-0000-0900-00009B440000}"/>
              </a:ext>
            </a:extLst>
          </xdr:cNvPr>
          <xdr:cNvSpPr>
            <a:spLocks noChangeArrowheads="1"/>
          </xdr:cNvSpPr>
        </xdr:nvSpPr>
        <xdr:spPr bwMode="auto">
          <a:xfrm>
            <a:off x="153" y="1765"/>
            <a:ext cx="32" cy="34"/>
          </a:xfrm>
          <a:prstGeom prst="ellipse">
            <a:avLst/>
          </a:prstGeom>
          <a:solidFill>
            <a:srgbClr val="FFFFCC"/>
          </a:solidFill>
          <a:ln w="9525">
            <a:solidFill>
              <a:srgbClr val="000000"/>
            </a:solidFill>
            <a:round/>
            <a:headEnd/>
            <a:tailEnd/>
          </a:ln>
        </xdr:spPr>
      </xdr:sp>
      <xdr:sp macro="" textlink="">
        <xdr:nvSpPr>
          <xdr:cNvPr id="16519" name="Text Box 135">
            <a:extLst>
              <a:ext uri="{FF2B5EF4-FFF2-40B4-BE49-F238E27FC236}">
                <a16:creationId xmlns:a16="http://schemas.microsoft.com/office/drawing/2014/main" id="{00000000-0008-0000-0900-000087400000}"/>
              </a:ext>
            </a:extLst>
          </xdr:cNvPr>
          <xdr:cNvSpPr txBox="1">
            <a:spLocks noChangeArrowheads="1"/>
          </xdr:cNvSpPr>
        </xdr:nvSpPr>
        <xdr:spPr bwMode="auto">
          <a:xfrm>
            <a:off x="158" y="1764"/>
            <a:ext cx="22" cy="35"/>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1a</a:t>
            </a:r>
          </a:p>
        </xdr:txBody>
      </xdr:sp>
    </xdr:grpSp>
    <xdr:clientData/>
  </xdr:twoCellAnchor>
  <xdr:twoCellAnchor>
    <xdr:from>
      <xdr:col>0</xdr:col>
      <xdr:colOff>171450</xdr:colOff>
      <xdr:row>6</xdr:row>
      <xdr:rowOff>19050</xdr:rowOff>
    </xdr:from>
    <xdr:to>
      <xdr:col>2</xdr:col>
      <xdr:colOff>142875</xdr:colOff>
      <xdr:row>9</xdr:row>
      <xdr:rowOff>28575</xdr:rowOff>
    </xdr:to>
    <xdr:sp macro="" textlink="">
      <xdr:nvSpPr>
        <xdr:cNvPr id="16522" name="Text Box 138">
          <a:extLst>
            <a:ext uri="{FF2B5EF4-FFF2-40B4-BE49-F238E27FC236}">
              <a16:creationId xmlns:a16="http://schemas.microsoft.com/office/drawing/2014/main" id="{00000000-0008-0000-0900-00008A400000}"/>
            </a:ext>
          </a:extLst>
        </xdr:cNvPr>
        <xdr:cNvSpPr txBox="1">
          <a:spLocks noChangeArrowheads="1"/>
        </xdr:cNvSpPr>
      </xdr:nvSpPr>
      <xdr:spPr bwMode="auto">
        <a:xfrm>
          <a:off x="171450" y="990600"/>
          <a:ext cx="1190625" cy="495300"/>
        </a:xfrm>
        <a:prstGeom prst="rect">
          <a:avLst/>
        </a:prstGeom>
        <a:noFill/>
        <a:ln w="9525">
          <a:noFill/>
          <a:miter lim="800000"/>
          <a:headEnd/>
          <a:tailEnd/>
        </a:ln>
      </xdr:spPr>
      <xdr:txBody>
        <a:bodyPr vertOverflow="clip" wrap="square" lIns="36576" tIns="22860" rIns="0" bIns="0" anchor="t" upright="1"/>
        <a:lstStyle/>
        <a:p>
          <a:pPr algn="l" rtl="0">
            <a:defRPr sz="1000"/>
          </a:pPr>
          <a:r>
            <a:rPr lang="en-US" sz="1200" b="0" i="0" u="none" strike="noStrike" baseline="0">
              <a:solidFill>
                <a:srgbClr val="000000"/>
              </a:solidFill>
              <a:latin typeface="Arial"/>
              <a:cs typeface="Arial"/>
            </a:rPr>
            <a:t>Dredging</a:t>
          </a:r>
        </a:p>
        <a:p>
          <a:pPr algn="l" rtl="0">
            <a:defRPr sz="1000"/>
          </a:pPr>
          <a:r>
            <a:rPr lang="en-US" sz="1200" b="0" i="0" u="none" strike="noStrike" baseline="0">
              <a:solidFill>
                <a:srgbClr val="000000"/>
              </a:solidFill>
              <a:latin typeface="Arial"/>
              <a:cs typeface="Arial"/>
            </a:rPr>
            <a:t>Operation</a:t>
          </a:r>
        </a:p>
      </xdr:txBody>
    </xdr:sp>
    <xdr:clientData/>
  </xdr:twoCellAnchor>
  <xdr:twoCellAnchor>
    <xdr:from>
      <xdr:col>7</xdr:col>
      <xdr:colOff>485775</xdr:colOff>
      <xdr:row>118</xdr:row>
      <xdr:rowOff>57150</xdr:rowOff>
    </xdr:from>
    <xdr:to>
      <xdr:col>12</xdr:col>
      <xdr:colOff>485775</xdr:colOff>
      <xdr:row>126</xdr:row>
      <xdr:rowOff>19050</xdr:rowOff>
    </xdr:to>
    <xdr:sp macro="" textlink="">
      <xdr:nvSpPr>
        <xdr:cNvPr id="16528" name="Text Box 144">
          <a:extLst>
            <a:ext uri="{FF2B5EF4-FFF2-40B4-BE49-F238E27FC236}">
              <a16:creationId xmlns:a16="http://schemas.microsoft.com/office/drawing/2014/main" id="{00000000-0008-0000-0900-000090400000}"/>
            </a:ext>
          </a:extLst>
        </xdr:cNvPr>
        <xdr:cNvSpPr txBox="1">
          <a:spLocks noChangeArrowheads="1"/>
        </xdr:cNvSpPr>
      </xdr:nvSpPr>
      <xdr:spPr bwMode="auto">
        <a:xfrm>
          <a:off x="4352925" y="19164300"/>
          <a:ext cx="3048000" cy="1257300"/>
        </a:xfrm>
        <a:prstGeom prst="rect">
          <a:avLst/>
        </a:prstGeom>
        <a:solidFill>
          <a:srgbClr val="FFFFCC"/>
        </a:solidFill>
        <a:ln w="9525">
          <a:solidFill>
            <a:srgbClr val="000000"/>
          </a:solidFill>
          <a:miter lim="800000"/>
          <a:headEnd/>
          <a:tailEnd/>
        </a:ln>
      </xdr:spPr>
      <xdr:txBody>
        <a:bodyPr vertOverflow="clip" wrap="square" lIns="27432" tIns="22860" rIns="0" bIns="0" anchor="t" upright="1"/>
        <a:lstStyle/>
        <a:p>
          <a:pPr algn="l" rtl="0">
            <a:defRPr sz="1000"/>
          </a:pPr>
          <a:endParaRPr lang="en-US" sz="800" b="1" i="0" u="sng"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Calculate the leachable concentration in the sediment (q*</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 defined as the total contaminant mass per unit dry solid mass).</a:t>
          </a:r>
          <a:endParaRPr lang="en-US" sz="1000" b="1" i="0" u="sng" strike="noStrike" baseline="0">
            <a:solidFill>
              <a:srgbClr val="000000"/>
            </a:solidFill>
            <a:latin typeface="Arial"/>
            <a:cs typeface="Arial"/>
          </a:endParaRPr>
        </a:p>
        <a:p>
          <a:pPr algn="l" rtl="0">
            <a:defRPr sz="1000"/>
          </a:pPr>
          <a:endParaRPr lang="en-US" sz="800" b="1" i="0" u="sng" strike="noStrike" baseline="0">
            <a:solidFill>
              <a:srgbClr val="000000"/>
            </a:solidFill>
            <a:latin typeface="Arial"/>
            <a:cs typeface="Arial"/>
          </a:endParaRPr>
        </a:p>
        <a:p>
          <a:pPr algn="l" rtl="0">
            <a:defRPr sz="1000"/>
          </a:pPr>
          <a:r>
            <a:rPr lang="en-US" sz="800" b="1" i="0" u="none" strike="noStrike" baseline="0">
              <a:solidFill>
                <a:srgbClr val="000000"/>
              </a:solidFill>
              <a:latin typeface="Arial"/>
              <a:cs typeface="Arial"/>
            </a:rPr>
            <a:t> </a:t>
          </a:r>
          <a:r>
            <a:rPr lang="en-US" sz="800" b="0" i="0" u="none" strike="noStrike" baseline="0">
              <a:solidFill>
                <a:srgbClr val="000000"/>
              </a:solidFill>
              <a:latin typeface="Arial"/>
              <a:cs typeface="Arial"/>
            </a:rPr>
            <a:t>Metals:  q*</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 = q*LF/(SCF/100)</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Organics:  q*</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 = q*LF</a:t>
          </a:r>
        </a:p>
      </xdr:txBody>
    </xdr:sp>
    <xdr:clientData/>
  </xdr:twoCellAnchor>
  <xdr:twoCellAnchor>
    <xdr:from>
      <xdr:col>7</xdr:col>
      <xdr:colOff>409575</xdr:colOff>
      <xdr:row>128</xdr:row>
      <xdr:rowOff>0</xdr:rowOff>
    </xdr:from>
    <xdr:to>
      <xdr:col>12</xdr:col>
      <xdr:colOff>552450</xdr:colOff>
      <xdr:row>135</xdr:row>
      <xdr:rowOff>9525</xdr:rowOff>
    </xdr:to>
    <xdr:sp macro="" textlink="">
      <xdr:nvSpPr>
        <xdr:cNvPr id="16529" name="Text Box 145">
          <a:extLst>
            <a:ext uri="{FF2B5EF4-FFF2-40B4-BE49-F238E27FC236}">
              <a16:creationId xmlns:a16="http://schemas.microsoft.com/office/drawing/2014/main" id="{00000000-0008-0000-0900-000091400000}"/>
            </a:ext>
          </a:extLst>
        </xdr:cNvPr>
        <xdr:cNvSpPr txBox="1">
          <a:spLocks noChangeArrowheads="1"/>
        </xdr:cNvSpPr>
      </xdr:nvSpPr>
      <xdr:spPr bwMode="auto">
        <a:xfrm>
          <a:off x="4276725" y="20726400"/>
          <a:ext cx="3190875" cy="1143000"/>
        </a:xfrm>
        <a:prstGeom prst="rect">
          <a:avLst/>
        </a:prstGeom>
        <a:solidFill>
          <a:srgbClr val="FFFFCC"/>
        </a:solidFill>
        <a:ln w="9525">
          <a:solidFill>
            <a:srgbClr val="000000"/>
          </a:solidFill>
          <a:miter lim="800000"/>
          <a:headEnd/>
          <a:tailEnd/>
        </a:ln>
      </xdr:spPr>
      <xdr:txBody>
        <a:bodyPr vertOverflow="clip" wrap="square" lIns="27432" tIns="22860" rIns="0" bIns="0" anchor="t" upright="1"/>
        <a:lstStyle/>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Calculate the dissolved contaminant concentration in the pore water, C</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 based on equilibrium partitioning.  This is the predicted concentration leaching from the CDF and entering the vadose zone. </a:t>
          </a:r>
          <a:endParaRPr lang="en-US" sz="800" b="1" i="0" u="sng" strike="noStrike" baseline="0">
            <a:solidFill>
              <a:srgbClr val="000000"/>
            </a:solidFill>
            <a:latin typeface="Arial"/>
            <a:cs typeface="Arial"/>
          </a:endParaRPr>
        </a:p>
        <a:p>
          <a:pPr algn="l" rtl="0">
            <a:defRPr sz="1000"/>
          </a:pPr>
          <a:endParaRPr lang="en-US" sz="1000" b="1" i="0" u="sng"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C</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 = q*</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/((n</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+K</a:t>
          </a:r>
          <a:r>
            <a:rPr lang="en-US" sz="800" b="0" i="0" u="none" strike="noStrike" baseline="-25000">
              <a:solidFill>
                <a:srgbClr val="000000"/>
              </a:solidFill>
              <a:latin typeface="Arial"/>
              <a:cs typeface="Arial"/>
            </a:rPr>
            <a:t>d</a:t>
          </a:r>
          <a:r>
            <a:rPr lang="en-US" sz="800" b="0" i="0" u="none" strike="noStrike" baseline="0">
              <a:solidFill>
                <a:srgbClr val="000000"/>
              </a:solidFill>
              <a:latin typeface="Arial"/>
              <a:cs typeface="Arial"/>
            </a:rPr>
            <a:t>*(1-n</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)*SG*</a:t>
          </a:r>
          <a:r>
            <a:rPr lang="en-US" sz="800" b="0" i="0" u="none" strike="noStrike" baseline="0">
              <a:solidFill>
                <a:srgbClr val="000000"/>
              </a:solidFill>
              <a:latin typeface="Symbol"/>
            </a:rPr>
            <a:t>r</a:t>
          </a:r>
          <a:r>
            <a:rPr lang="en-US" sz="800" b="0" i="0" u="none" strike="noStrike" baseline="-25000">
              <a:solidFill>
                <a:srgbClr val="000000"/>
              </a:solidFill>
              <a:latin typeface="Arial"/>
              <a:cs typeface="Arial"/>
            </a:rPr>
            <a:t>w</a:t>
          </a:r>
          <a:r>
            <a:rPr lang="en-US" sz="800" b="0" i="0" u="none" strike="noStrike" baseline="0">
              <a:solidFill>
                <a:srgbClr val="000000"/>
              </a:solidFill>
              <a:latin typeface="Arial"/>
              <a:cs typeface="Arial"/>
            </a:rPr>
            <a:t>)/(1000*(1-n</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)*SG*</a:t>
          </a:r>
          <a:r>
            <a:rPr lang="en-US" sz="800" b="0" i="0" u="none" strike="noStrike" baseline="0">
              <a:solidFill>
                <a:srgbClr val="000000"/>
              </a:solidFill>
              <a:latin typeface="Symbol"/>
            </a:rPr>
            <a:t>r</a:t>
          </a:r>
          <a:r>
            <a:rPr lang="en-US" sz="800" b="0" i="0" u="none" strike="noStrike" baseline="-25000">
              <a:solidFill>
                <a:srgbClr val="000000"/>
              </a:solidFill>
              <a:latin typeface="Arial"/>
              <a:cs typeface="Arial"/>
            </a:rPr>
            <a:t>w</a:t>
          </a:r>
          <a:r>
            <a:rPr lang="en-US" sz="800" b="0" i="0" u="none" strike="noStrike" baseline="0">
              <a:solidFill>
                <a:srgbClr val="000000"/>
              </a:solidFill>
              <a:latin typeface="Arial"/>
              <a:cs typeface="Arial"/>
            </a:rPr>
            <a:t>))</a:t>
          </a:r>
        </a:p>
      </xdr:txBody>
    </xdr:sp>
    <xdr:clientData/>
  </xdr:twoCellAnchor>
  <xdr:twoCellAnchor>
    <xdr:from>
      <xdr:col>0</xdr:col>
      <xdr:colOff>76200</xdr:colOff>
      <xdr:row>113</xdr:row>
      <xdr:rowOff>57150</xdr:rowOff>
    </xdr:from>
    <xdr:to>
      <xdr:col>3</xdr:col>
      <xdr:colOff>66675</xdr:colOff>
      <xdr:row>116</xdr:row>
      <xdr:rowOff>57150</xdr:rowOff>
    </xdr:to>
    <xdr:sp macro="" textlink="">
      <xdr:nvSpPr>
        <xdr:cNvPr id="16531" name="Text Box 147">
          <a:extLst>
            <a:ext uri="{FF2B5EF4-FFF2-40B4-BE49-F238E27FC236}">
              <a16:creationId xmlns:a16="http://schemas.microsoft.com/office/drawing/2014/main" id="{00000000-0008-0000-0900-000093400000}"/>
            </a:ext>
          </a:extLst>
        </xdr:cNvPr>
        <xdr:cNvSpPr txBox="1">
          <a:spLocks noChangeArrowheads="1"/>
        </xdr:cNvSpPr>
      </xdr:nvSpPr>
      <xdr:spPr bwMode="auto">
        <a:xfrm>
          <a:off x="76200" y="18354675"/>
          <a:ext cx="1819275" cy="485775"/>
        </a:xfrm>
        <a:prstGeom prst="rect">
          <a:avLst/>
        </a:prstGeom>
        <a:solidFill>
          <a:srgbClr val="FFFFFF"/>
        </a:solidFill>
        <a:ln w="19050">
          <a:solidFill>
            <a:srgbClr val="FF0000"/>
          </a:solidFill>
          <a:miter lim="800000"/>
          <a:headEnd/>
          <a:tailEnd/>
        </a:ln>
      </xdr:spPr>
      <xdr:txBody>
        <a:bodyPr vertOverflow="clip" wrap="square" lIns="36576" tIns="22860" rIns="36576" bIns="0" anchor="t" upright="1"/>
        <a:lstStyle/>
        <a:p>
          <a:pPr algn="ctr" rtl="0">
            <a:defRPr sz="1000"/>
          </a:pPr>
          <a:r>
            <a:rPr lang="en-US" sz="1200" b="0" i="0" u="none" strike="noStrike" baseline="0">
              <a:solidFill>
                <a:srgbClr val="000000"/>
              </a:solidFill>
              <a:latin typeface="Arial"/>
              <a:cs typeface="Arial"/>
            </a:rPr>
            <a:t>LEACHATE PATHWAY</a:t>
          </a:r>
          <a:endParaRPr lang="en-US" sz="1400" b="0"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xdr:txBody>
    </xdr:sp>
    <xdr:clientData/>
  </xdr:twoCellAnchor>
  <xdr:twoCellAnchor>
    <xdr:from>
      <xdr:col>0</xdr:col>
      <xdr:colOff>66675</xdr:colOff>
      <xdr:row>116</xdr:row>
      <xdr:rowOff>57150</xdr:rowOff>
    </xdr:from>
    <xdr:to>
      <xdr:col>10</xdr:col>
      <xdr:colOff>504825</xdr:colOff>
      <xdr:row>116</xdr:row>
      <xdr:rowOff>57150</xdr:rowOff>
    </xdr:to>
    <xdr:sp macro="" textlink="">
      <xdr:nvSpPr>
        <xdr:cNvPr id="17170" name="Line 148">
          <a:extLst>
            <a:ext uri="{FF2B5EF4-FFF2-40B4-BE49-F238E27FC236}">
              <a16:creationId xmlns:a16="http://schemas.microsoft.com/office/drawing/2014/main" id="{00000000-0008-0000-0900-000012430000}"/>
            </a:ext>
          </a:extLst>
        </xdr:cNvPr>
        <xdr:cNvSpPr>
          <a:spLocks noChangeShapeType="1"/>
        </xdr:cNvSpPr>
      </xdr:nvSpPr>
      <xdr:spPr bwMode="auto">
        <a:xfrm>
          <a:off x="66675" y="18840450"/>
          <a:ext cx="6134100" cy="0"/>
        </a:xfrm>
        <a:prstGeom prst="line">
          <a:avLst/>
        </a:prstGeom>
        <a:noFill/>
        <a:ln w="25400">
          <a:solidFill>
            <a:srgbClr val="FF0000"/>
          </a:solidFill>
          <a:round/>
          <a:headEnd/>
          <a:tailEnd/>
        </a:ln>
      </xdr:spPr>
    </xdr:sp>
    <xdr:clientData/>
  </xdr:twoCellAnchor>
  <xdr:twoCellAnchor>
    <xdr:from>
      <xdr:col>1</xdr:col>
      <xdr:colOff>342900</xdr:colOff>
      <xdr:row>119</xdr:row>
      <xdr:rowOff>76200</xdr:rowOff>
    </xdr:from>
    <xdr:to>
      <xdr:col>4</xdr:col>
      <xdr:colOff>419100</xdr:colOff>
      <xdr:row>125</xdr:row>
      <xdr:rowOff>85725</xdr:rowOff>
    </xdr:to>
    <xdr:grpSp>
      <xdr:nvGrpSpPr>
        <xdr:cNvPr id="17171" name="Group 149">
          <a:extLst>
            <a:ext uri="{FF2B5EF4-FFF2-40B4-BE49-F238E27FC236}">
              <a16:creationId xmlns:a16="http://schemas.microsoft.com/office/drawing/2014/main" id="{00000000-0008-0000-0900-000013430000}"/>
            </a:ext>
          </a:extLst>
        </xdr:cNvPr>
        <xdr:cNvGrpSpPr>
          <a:grpSpLocks/>
        </xdr:cNvGrpSpPr>
      </xdr:nvGrpSpPr>
      <xdr:grpSpPr bwMode="auto">
        <a:xfrm>
          <a:off x="952500" y="20025360"/>
          <a:ext cx="1905000" cy="1015365"/>
          <a:chOff x="100" y="2388"/>
          <a:chExt cx="200" cy="103"/>
        </a:xfrm>
      </xdr:grpSpPr>
      <xdr:sp macro="" textlink="">
        <xdr:nvSpPr>
          <xdr:cNvPr id="17558" name="Rectangle 150">
            <a:extLst>
              <a:ext uri="{FF2B5EF4-FFF2-40B4-BE49-F238E27FC236}">
                <a16:creationId xmlns:a16="http://schemas.microsoft.com/office/drawing/2014/main" id="{00000000-0008-0000-0900-000096440000}"/>
              </a:ext>
            </a:extLst>
          </xdr:cNvPr>
          <xdr:cNvSpPr>
            <a:spLocks noChangeArrowheads="1"/>
          </xdr:cNvSpPr>
        </xdr:nvSpPr>
        <xdr:spPr bwMode="auto">
          <a:xfrm>
            <a:off x="120" y="2393"/>
            <a:ext cx="162" cy="98"/>
          </a:xfrm>
          <a:prstGeom prst="rect">
            <a:avLst/>
          </a:prstGeom>
          <a:gradFill rotWithShape="0">
            <a:gsLst>
              <a:gs pos="0">
                <a:srgbClr val="99CCFF"/>
              </a:gs>
              <a:gs pos="100000">
                <a:srgbClr val="FFCC99"/>
              </a:gs>
            </a:gsLst>
            <a:lin ang="5400000" scaled="1"/>
          </a:gradFill>
          <a:ln w="76200">
            <a:noFill/>
            <a:miter lim="800000"/>
            <a:headEnd/>
            <a:tailEnd/>
          </a:ln>
        </xdr:spPr>
      </xdr:sp>
      <xdr:sp macro="" textlink="">
        <xdr:nvSpPr>
          <xdr:cNvPr id="16535" name="Text Box 151">
            <a:extLst>
              <a:ext uri="{FF2B5EF4-FFF2-40B4-BE49-F238E27FC236}">
                <a16:creationId xmlns:a16="http://schemas.microsoft.com/office/drawing/2014/main" id="{00000000-0008-0000-0900-000097400000}"/>
              </a:ext>
            </a:extLst>
          </xdr:cNvPr>
          <xdr:cNvSpPr txBox="1">
            <a:spLocks noChangeArrowheads="1"/>
          </xdr:cNvSpPr>
        </xdr:nvSpPr>
        <xdr:spPr bwMode="auto">
          <a:xfrm>
            <a:off x="145" y="2397"/>
            <a:ext cx="107" cy="28"/>
          </a:xfrm>
          <a:prstGeom prst="rect">
            <a:avLst/>
          </a:prstGeom>
          <a:noFill/>
          <a:ln w="9525">
            <a:noFill/>
            <a:miter lim="800000"/>
            <a:headEnd/>
            <a:tailEnd/>
          </a:ln>
        </xdr:spPr>
        <xdr:txBody>
          <a:bodyPr vertOverflow="clip" wrap="square" lIns="36576" tIns="22860" rIns="36576" bIns="0" anchor="t" upright="1"/>
          <a:lstStyle/>
          <a:p>
            <a:pPr algn="ctr" rtl="0">
              <a:defRPr sz="1000"/>
            </a:pPr>
            <a:r>
              <a:rPr lang="en-US" sz="1200" b="0" i="0" u="none" strike="noStrike" baseline="0">
                <a:solidFill>
                  <a:srgbClr val="000000"/>
                </a:solidFill>
                <a:latin typeface="Arial"/>
                <a:cs typeface="Arial"/>
              </a:rPr>
              <a:t>CDF</a:t>
            </a:r>
          </a:p>
        </xdr:txBody>
      </xdr:sp>
      <xdr:sp macro="" textlink="">
        <xdr:nvSpPr>
          <xdr:cNvPr id="17560" name="AutoShape 152">
            <a:extLst>
              <a:ext uri="{FF2B5EF4-FFF2-40B4-BE49-F238E27FC236}">
                <a16:creationId xmlns:a16="http://schemas.microsoft.com/office/drawing/2014/main" id="{00000000-0008-0000-0900-000098440000}"/>
              </a:ext>
            </a:extLst>
          </xdr:cNvPr>
          <xdr:cNvSpPr>
            <a:spLocks noChangeArrowheads="1"/>
          </xdr:cNvSpPr>
        </xdr:nvSpPr>
        <xdr:spPr bwMode="auto">
          <a:xfrm flipV="1">
            <a:off x="101" y="2388"/>
            <a:ext cx="26" cy="102"/>
          </a:xfrm>
          <a:custGeom>
            <a:avLst/>
            <a:gdLst>
              <a:gd name="T0" fmla="*/ 23 w 21600"/>
              <a:gd name="T1" fmla="*/ 51 h 21600"/>
              <a:gd name="T2" fmla="*/ 13 w 21600"/>
              <a:gd name="T3" fmla="*/ 102 h 21600"/>
              <a:gd name="T4" fmla="*/ 3 w 21600"/>
              <a:gd name="T5" fmla="*/ 51 h 21600"/>
              <a:gd name="T6" fmla="*/ 13 w 21600"/>
              <a:gd name="T7" fmla="*/ 0 h 21600"/>
              <a:gd name="T8" fmla="*/ 0 60000 65536"/>
              <a:gd name="T9" fmla="*/ 0 60000 65536"/>
              <a:gd name="T10" fmla="*/ 0 60000 65536"/>
              <a:gd name="T11" fmla="*/ 0 60000 65536"/>
              <a:gd name="T12" fmla="*/ 4154 w 21600"/>
              <a:gd name="T13" fmla="*/ 4447 h 21600"/>
              <a:gd name="T14" fmla="*/ 17446 w 21600"/>
              <a:gd name="T15" fmla="*/ 17153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000000"/>
          </a:solidFill>
          <a:ln w="9525">
            <a:solidFill>
              <a:srgbClr val="000000"/>
            </a:solidFill>
            <a:miter lim="800000"/>
            <a:headEnd/>
            <a:tailEnd/>
          </a:ln>
        </xdr:spPr>
      </xdr:sp>
      <xdr:sp macro="" textlink="">
        <xdr:nvSpPr>
          <xdr:cNvPr id="17561" name="AutoShape 153">
            <a:extLst>
              <a:ext uri="{FF2B5EF4-FFF2-40B4-BE49-F238E27FC236}">
                <a16:creationId xmlns:a16="http://schemas.microsoft.com/office/drawing/2014/main" id="{00000000-0008-0000-0900-000099440000}"/>
              </a:ext>
            </a:extLst>
          </xdr:cNvPr>
          <xdr:cNvSpPr>
            <a:spLocks noChangeArrowheads="1"/>
          </xdr:cNvSpPr>
        </xdr:nvSpPr>
        <xdr:spPr bwMode="auto">
          <a:xfrm flipV="1">
            <a:off x="273" y="2388"/>
            <a:ext cx="26" cy="102"/>
          </a:xfrm>
          <a:custGeom>
            <a:avLst/>
            <a:gdLst>
              <a:gd name="T0" fmla="*/ 23 w 21600"/>
              <a:gd name="T1" fmla="*/ 51 h 21600"/>
              <a:gd name="T2" fmla="*/ 13 w 21600"/>
              <a:gd name="T3" fmla="*/ 102 h 21600"/>
              <a:gd name="T4" fmla="*/ 3 w 21600"/>
              <a:gd name="T5" fmla="*/ 51 h 21600"/>
              <a:gd name="T6" fmla="*/ 13 w 21600"/>
              <a:gd name="T7" fmla="*/ 0 h 21600"/>
              <a:gd name="T8" fmla="*/ 0 60000 65536"/>
              <a:gd name="T9" fmla="*/ 0 60000 65536"/>
              <a:gd name="T10" fmla="*/ 0 60000 65536"/>
              <a:gd name="T11" fmla="*/ 0 60000 65536"/>
              <a:gd name="T12" fmla="*/ 4154 w 21600"/>
              <a:gd name="T13" fmla="*/ 4447 h 21600"/>
              <a:gd name="T14" fmla="*/ 17446 w 21600"/>
              <a:gd name="T15" fmla="*/ 17153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close/>
              </a:path>
            </a:pathLst>
          </a:custGeom>
          <a:solidFill>
            <a:srgbClr val="000000"/>
          </a:solidFill>
          <a:ln w="9525">
            <a:solidFill>
              <a:srgbClr val="000000"/>
            </a:solidFill>
            <a:miter lim="800000"/>
            <a:headEnd/>
            <a:tailEnd/>
          </a:ln>
        </xdr:spPr>
      </xdr:sp>
      <xdr:sp macro="" textlink="">
        <xdr:nvSpPr>
          <xdr:cNvPr id="17562" name="Line 154">
            <a:extLst>
              <a:ext uri="{FF2B5EF4-FFF2-40B4-BE49-F238E27FC236}">
                <a16:creationId xmlns:a16="http://schemas.microsoft.com/office/drawing/2014/main" id="{00000000-0008-0000-0900-00009A440000}"/>
              </a:ext>
            </a:extLst>
          </xdr:cNvPr>
          <xdr:cNvSpPr>
            <a:spLocks noChangeShapeType="1"/>
          </xdr:cNvSpPr>
        </xdr:nvSpPr>
        <xdr:spPr bwMode="auto">
          <a:xfrm>
            <a:off x="100" y="2491"/>
            <a:ext cx="200" cy="0"/>
          </a:xfrm>
          <a:prstGeom prst="line">
            <a:avLst/>
          </a:prstGeom>
          <a:noFill/>
          <a:ln w="25400">
            <a:solidFill>
              <a:srgbClr val="000000"/>
            </a:solidFill>
            <a:round/>
            <a:headEnd/>
            <a:tailEnd/>
          </a:ln>
        </xdr:spPr>
      </xdr:sp>
    </xdr:grpSp>
    <xdr:clientData/>
  </xdr:twoCellAnchor>
  <xdr:twoCellAnchor>
    <xdr:from>
      <xdr:col>0</xdr:col>
      <xdr:colOff>123825</xdr:colOff>
      <xdr:row>125</xdr:row>
      <xdr:rowOff>66675</xdr:rowOff>
    </xdr:from>
    <xdr:to>
      <xdr:col>7</xdr:col>
      <xdr:colOff>209550</xdr:colOff>
      <xdr:row>133</xdr:row>
      <xdr:rowOff>152400</xdr:rowOff>
    </xdr:to>
    <xdr:grpSp>
      <xdr:nvGrpSpPr>
        <xdr:cNvPr id="17172" name="Group 155">
          <a:extLst>
            <a:ext uri="{FF2B5EF4-FFF2-40B4-BE49-F238E27FC236}">
              <a16:creationId xmlns:a16="http://schemas.microsoft.com/office/drawing/2014/main" id="{00000000-0008-0000-0900-000014430000}"/>
            </a:ext>
          </a:extLst>
        </xdr:cNvPr>
        <xdr:cNvGrpSpPr>
          <a:grpSpLocks/>
        </xdr:cNvGrpSpPr>
      </xdr:nvGrpSpPr>
      <xdr:grpSpPr bwMode="auto">
        <a:xfrm>
          <a:off x="123825" y="21021675"/>
          <a:ext cx="3956685" cy="1426845"/>
          <a:chOff x="13" y="2475"/>
          <a:chExt cx="368" cy="145"/>
        </a:xfrm>
      </xdr:grpSpPr>
      <xdr:grpSp>
        <xdr:nvGrpSpPr>
          <xdr:cNvPr id="17552" name="Group 156">
            <a:extLst>
              <a:ext uri="{FF2B5EF4-FFF2-40B4-BE49-F238E27FC236}">
                <a16:creationId xmlns:a16="http://schemas.microsoft.com/office/drawing/2014/main" id="{00000000-0008-0000-0900-000090440000}"/>
              </a:ext>
            </a:extLst>
          </xdr:cNvPr>
          <xdr:cNvGrpSpPr>
            <a:grpSpLocks/>
          </xdr:cNvGrpSpPr>
        </xdr:nvGrpSpPr>
        <xdr:grpSpPr bwMode="auto">
          <a:xfrm>
            <a:off x="40" y="2476"/>
            <a:ext cx="325" cy="144"/>
            <a:chOff x="40" y="2476"/>
            <a:chExt cx="325" cy="144"/>
          </a:xfrm>
        </xdr:grpSpPr>
        <xdr:sp macro="" textlink="">
          <xdr:nvSpPr>
            <xdr:cNvPr id="17555" name="Rectangle 157" descr="Small confetti">
              <a:extLst>
                <a:ext uri="{FF2B5EF4-FFF2-40B4-BE49-F238E27FC236}">
                  <a16:creationId xmlns:a16="http://schemas.microsoft.com/office/drawing/2014/main" id="{00000000-0008-0000-0900-000093440000}"/>
                </a:ext>
              </a:extLst>
            </xdr:cNvPr>
            <xdr:cNvSpPr>
              <a:spLocks noChangeArrowheads="1"/>
            </xdr:cNvSpPr>
          </xdr:nvSpPr>
          <xdr:spPr bwMode="auto">
            <a:xfrm>
              <a:off x="40" y="2476"/>
              <a:ext cx="325" cy="48"/>
            </a:xfrm>
            <a:prstGeom prst="rect">
              <a:avLst/>
            </a:prstGeom>
            <a:pattFill prst="smConfetti">
              <a:fgClr>
                <a:srgbClr val="FFFFFF"/>
              </a:fgClr>
              <a:bgClr>
                <a:srgbClr val="996600"/>
              </a:bgClr>
            </a:pattFill>
            <a:ln w="9525">
              <a:noFill/>
              <a:miter lim="800000"/>
              <a:headEnd/>
              <a:tailEnd/>
            </a:ln>
          </xdr:spPr>
        </xdr:sp>
        <xdr:sp macro="" textlink="">
          <xdr:nvSpPr>
            <xdr:cNvPr id="17556" name="Rectangle 158" descr="Small confetti">
              <a:extLst>
                <a:ext uri="{FF2B5EF4-FFF2-40B4-BE49-F238E27FC236}">
                  <a16:creationId xmlns:a16="http://schemas.microsoft.com/office/drawing/2014/main" id="{00000000-0008-0000-0900-000094440000}"/>
                </a:ext>
              </a:extLst>
            </xdr:cNvPr>
            <xdr:cNvSpPr>
              <a:spLocks noChangeArrowheads="1"/>
            </xdr:cNvSpPr>
          </xdr:nvSpPr>
          <xdr:spPr bwMode="auto">
            <a:xfrm>
              <a:off x="40" y="2524"/>
              <a:ext cx="325" cy="48"/>
            </a:xfrm>
            <a:prstGeom prst="rect">
              <a:avLst/>
            </a:prstGeom>
            <a:pattFill prst="smConfetti">
              <a:fgClr>
                <a:srgbClr val="99CCFF"/>
              </a:fgClr>
              <a:bgClr>
                <a:srgbClr val="996600"/>
              </a:bgClr>
            </a:pattFill>
            <a:ln w="9525">
              <a:noFill/>
              <a:miter lim="800000"/>
              <a:headEnd/>
              <a:tailEnd/>
            </a:ln>
          </xdr:spPr>
        </xdr:sp>
        <xdr:sp macro="" textlink="">
          <xdr:nvSpPr>
            <xdr:cNvPr id="17557" name="Rectangle 159" descr="Small confetti">
              <a:extLst>
                <a:ext uri="{FF2B5EF4-FFF2-40B4-BE49-F238E27FC236}">
                  <a16:creationId xmlns:a16="http://schemas.microsoft.com/office/drawing/2014/main" id="{00000000-0008-0000-0900-000095440000}"/>
                </a:ext>
              </a:extLst>
            </xdr:cNvPr>
            <xdr:cNvSpPr>
              <a:spLocks noChangeArrowheads="1"/>
            </xdr:cNvSpPr>
          </xdr:nvSpPr>
          <xdr:spPr bwMode="auto">
            <a:xfrm>
              <a:off x="40" y="2572"/>
              <a:ext cx="325" cy="48"/>
            </a:xfrm>
            <a:prstGeom prst="rect">
              <a:avLst/>
            </a:prstGeom>
            <a:pattFill prst="smConfetti">
              <a:fgClr>
                <a:srgbClr val="000080"/>
              </a:fgClr>
              <a:bgClr>
                <a:srgbClr val="996600"/>
              </a:bgClr>
            </a:pattFill>
            <a:ln w="9525">
              <a:noFill/>
              <a:miter lim="800000"/>
              <a:headEnd/>
              <a:tailEnd/>
            </a:ln>
          </xdr:spPr>
        </xdr:sp>
      </xdr:grpSp>
      <xdr:sp macro="" textlink="">
        <xdr:nvSpPr>
          <xdr:cNvPr id="17553" name="Freeform 160">
            <a:extLst>
              <a:ext uri="{FF2B5EF4-FFF2-40B4-BE49-F238E27FC236}">
                <a16:creationId xmlns:a16="http://schemas.microsoft.com/office/drawing/2014/main" id="{00000000-0008-0000-0900-000091440000}"/>
              </a:ext>
            </a:extLst>
          </xdr:cNvPr>
          <xdr:cNvSpPr>
            <a:spLocks/>
          </xdr:cNvSpPr>
        </xdr:nvSpPr>
        <xdr:spPr bwMode="auto">
          <a:xfrm>
            <a:off x="333" y="2475"/>
            <a:ext cx="48" cy="145"/>
          </a:xfrm>
          <a:custGeom>
            <a:avLst/>
            <a:gdLst>
              <a:gd name="T0" fmla="*/ 5 w 48"/>
              <a:gd name="T1" fmla="*/ 0 h 144"/>
              <a:gd name="T2" fmla="*/ 11 w 48"/>
              <a:gd name="T3" fmla="*/ 22 h 144"/>
              <a:gd name="T4" fmla="*/ 17 w 48"/>
              <a:gd name="T5" fmla="*/ 53 h 144"/>
              <a:gd name="T6" fmla="*/ 16 w 48"/>
              <a:gd name="T7" fmla="*/ 81 h 144"/>
              <a:gd name="T8" fmla="*/ 2 w 48"/>
              <a:gd name="T9" fmla="*/ 113 h 144"/>
              <a:gd name="T10" fmla="*/ 0 w 48"/>
              <a:gd name="T11" fmla="*/ 125 h 144"/>
              <a:gd name="T12" fmla="*/ 2 w 48"/>
              <a:gd name="T13" fmla="*/ 135 h 144"/>
              <a:gd name="T14" fmla="*/ 8 w 48"/>
              <a:gd name="T15" fmla="*/ 144 h 144"/>
              <a:gd name="T16" fmla="*/ 48 w 48"/>
              <a:gd name="T17" fmla="*/ 144 h 144"/>
              <a:gd name="T18" fmla="*/ 48 w 48"/>
              <a:gd name="T19" fmla="*/ 0 h 144"/>
              <a:gd name="T20" fmla="*/ 5 w 48"/>
              <a:gd name="T21" fmla="*/ 0 h 14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48"/>
              <a:gd name="T34" fmla="*/ 0 h 144"/>
              <a:gd name="T35" fmla="*/ 48 w 48"/>
              <a:gd name="T36" fmla="*/ 144 h 144"/>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48" h="144">
                <a:moveTo>
                  <a:pt x="5" y="0"/>
                </a:moveTo>
                <a:lnTo>
                  <a:pt x="11" y="22"/>
                </a:lnTo>
                <a:lnTo>
                  <a:pt x="17" y="53"/>
                </a:lnTo>
                <a:lnTo>
                  <a:pt x="16" y="81"/>
                </a:lnTo>
                <a:lnTo>
                  <a:pt x="2" y="113"/>
                </a:lnTo>
                <a:lnTo>
                  <a:pt x="0" y="125"/>
                </a:lnTo>
                <a:lnTo>
                  <a:pt x="2" y="135"/>
                </a:lnTo>
                <a:lnTo>
                  <a:pt x="8" y="144"/>
                </a:lnTo>
                <a:lnTo>
                  <a:pt x="48" y="144"/>
                </a:lnTo>
                <a:lnTo>
                  <a:pt x="48" y="0"/>
                </a:lnTo>
                <a:lnTo>
                  <a:pt x="5" y="0"/>
                </a:lnTo>
                <a:close/>
              </a:path>
            </a:pathLst>
          </a:custGeom>
          <a:solidFill>
            <a:srgbClr val="FFFFFF"/>
          </a:solidFill>
          <a:ln w="9525" cap="flat" cmpd="sng">
            <a:noFill/>
            <a:prstDash val="solid"/>
            <a:round/>
            <a:headEnd/>
            <a:tailEnd/>
          </a:ln>
        </xdr:spPr>
      </xdr:sp>
      <xdr:sp macro="" textlink="">
        <xdr:nvSpPr>
          <xdr:cNvPr id="17554" name="Freeform 161">
            <a:extLst>
              <a:ext uri="{FF2B5EF4-FFF2-40B4-BE49-F238E27FC236}">
                <a16:creationId xmlns:a16="http://schemas.microsoft.com/office/drawing/2014/main" id="{00000000-0008-0000-0900-000092440000}"/>
              </a:ext>
            </a:extLst>
          </xdr:cNvPr>
          <xdr:cNvSpPr>
            <a:spLocks/>
          </xdr:cNvSpPr>
        </xdr:nvSpPr>
        <xdr:spPr bwMode="auto">
          <a:xfrm flipH="1" flipV="1">
            <a:off x="13" y="2475"/>
            <a:ext cx="48" cy="145"/>
          </a:xfrm>
          <a:custGeom>
            <a:avLst/>
            <a:gdLst>
              <a:gd name="T0" fmla="*/ 5 w 48"/>
              <a:gd name="T1" fmla="*/ 0 h 144"/>
              <a:gd name="T2" fmla="*/ 11 w 48"/>
              <a:gd name="T3" fmla="*/ 22 h 144"/>
              <a:gd name="T4" fmla="*/ 17 w 48"/>
              <a:gd name="T5" fmla="*/ 53 h 144"/>
              <a:gd name="T6" fmla="*/ 16 w 48"/>
              <a:gd name="T7" fmla="*/ 81 h 144"/>
              <a:gd name="T8" fmla="*/ 2 w 48"/>
              <a:gd name="T9" fmla="*/ 113 h 144"/>
              <a:gd name="T10" fmla="*/ 0 w 48"/>
              <a:gd name="T11" fmla="*/ 125 h 144"/>
              <a:gd name="T12" fmla="*/ 2 w 48"/>
              <a:gd name="T13" fmla="*/ 135 h 144"/>
              <a:gd name="T14" fmla="*/ 8 w 48"/>
              <a:gd name="T15" fmla="*/ 144 h 144"/>
              <a:gd name="T16" fmla="*/ 48 w 48"/>
              <a:gd name="T17" fmla="*/ 144 h 144"/>
              <a:gd name="T18" fmla="*/ 48 w 48"/>
              <a:gd name="T19" fmla="*/ 0 h 144"/>
              <a:gd name="T20" fmla="*/ 5 w 48"/>
              <a:gd name="T21" fmla="*/ 0 h 14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48"/>
              <a:gd name="T34" fmla="*/ 0 h 144"/>
              <a:gd name="T35" fmla="*/ 48 w 48"/>
              <a:gd name="T36" fmla="*/ 144 h 144"/>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48" h="144">
                <a:moveTo>
                  <a:pt x="5" y="0"/>
                </a:moveTo>
                <a:lnTo>
                  <a:pt x="11" y="22"/>
                </a:lnTo>
                <a:lnTo>
                  <a:pt x="17" y="53"/>
                </a:lnTo>
                <a:lnTo>
                  <a:pt x="16" y="81"/>
                </a:lnTo>
                <a:lnTo>
                  <a:pt x="2" y="113"/>
                </a:lnTo>
                <a:lnTo>
                  <a:pt x="0" y="125"/>
                </a:lnTo>
                <a:lnTo>
                  <a:pt x="2" y="135"/>
                </a:lnTo>
                <a:lnTo>
                  <a:pt x="8" y="144"/>
                </a:lnTo>
                <a:lnTo>
                  <a:pt x="48" y="144"/>
                </a:lnTo>
                <a:lnTo>
                  <a:pt x="48" y="0"/>
                </a:lnTo>
                <a:lnTo>
                  <a:pt x="5" y="0"/>
                </a:lnTo>
                <a:close/>
              </a:path>
            </a:pathLst>
          </a:custGeom>
          <a:solidFill>
            <a:srgbClr val="FFFFFF"/>
          </a:solidFill>
          <a:ln w="9525" cap="flat" cmpd="sng">
            <a:noFill/>
            <a:prstDash val="solid"/>
            <a:round/>
            <a:headEnd/>
            <a:tailEnd/>
          </a:ln>
        </xdr:spPr>
      </xdr:sp>
    </xdr:grpSp>
    <xdr:clientData/>
  </xdr:twoCellAnchor>
  <xdr:twoCellAnchor>
    <xdr:from>
      <xdr:col>3</xdr:col>
      <xdr:colOff>85725</xdr:colOff>
      <xdr:row>122</xdr:row>
      <xdr:rowOff>142875</xdr:rowOff>
    </xdr:from>
    <xdr:to>
      <xdr:col>3</xdr:col>
      <xdr:colOff>85725</xdr:colOff>
      <xdr:row>132</xdr:row>
      <xdr:rowOff>142875</xdr:rowOff>
    </xdr:to>
    <xdr:sp macro="" textlink="">
      <xdr:nvSpPr>
        <xdr:cNvPr id="17173" name="Line 162">
          <a:extLst>
            <a:ext uri="{FF2B5EF4-FFF2-40B4-BE49-F238E27FC236}">
              <a16:creationId xmlns:a16="http://schemas.microsoft.com/office/drawing/2014/main" id="{00000000-0008-0000-0900-000015430000}"/>
            </a:ext>
          </a:extLst>
        </xdr:cNvPr>
        <xdr:cNvSpPr>
          <a:spLocks noChangeShapeType="1"/>
        </xdr:cNvSpPr>
      </xdr:nvSpPr>
      <xdr:spPr bwMode="auto">
        <a:xfrm>
          <a:off x="1914525" y="19897725"/>
          <a:ext cx="0" cy="1619250"/>
        </a:xfrm>
        <a:prstGeom prst="line">
          <a:avLst/>
        </a:prstGeom>
        <a:noFill/>
        <a:ln w="9525">
          <a:solidFill>
            <a:srgbClr val="FFFF00"/>
          </a:solidFill>
          <a:prstDash val="dash"/>
          <a:round/>
          <a:headEnd/>
          <a:tailEnd type="stealth" w="med" len="med"/>
        </a:ln>
      </xdr:spPr>
    </xdr:sp>
    <xdr:clientData/>
  </xdr:twoCellAnchor>
  <xdr:twoCellAnchor>
    <xdr:from>
      <xdr:col>2</xdr:col>
      <xdr:colOff>209550</xdr:colOff>
      <xdr:row>122</xdr:row>
      <xdr:rowOff>142875</xdr:rowOff>
    </xdr:from>
    <xdr:to>
      <xdr:col>2</xdr:col>
      <xdr:colOff>209550</xdr:colOff>
      <xdr:row>132</xdr:row>
      <xdr:rowOff>142875</xdr:rowOff>
    </xdr:to>
    <xdr:sp macro="" textlink="">
      <xdr:nvSpPr>
        <xdr:cNvPr id="17174" name="Line 163">
          <a:extLst>
            <a:ext uri="{FF2B5EF4-FFF2-40B4-BE49-F238E27FC236}">
              <a16:creationId xmlns:a16="http://schemas.microsoft.com/office/drawing/2014/main" id="{00000000-0008-0000-0900-000016430000}"/>
            </a:ext>
          </a:extLst>
        </xdr:cNvPr>
        <xdr:cNvSpPr>
          <a:spLocks noChangeShapeType="1"/>
        </xdr:cNvSpPr>
      </xdr:nvSpPr>
      <xdr:spPr bwMode="auto">
        <a:xfrm>
          <a:off x="1428750" y="19897725"/>
          <a:ext cx="0" cy="1619250"/>
        </a:xfrm>
        <a:prstGeom prst="line">
          <a:avLst/>
        </a:prstGeom>
        <a:noFill/>
        <a:ln w="9525">
          <a:solidFill>
            <a:srgbClr val="FFFF00"/>
          </a:solidFill>
          <a:prstDash val="dash"/>
          <a:round/>
          <a:headEnd/>
          <a:tailEnd type="stealth" w="med" len="med"/>
        </a:ln>
      </xdr:spPr>
    </xdr:sp>
    <xdr:clientData/>
  </xdr:twoCellAnchor>
  <xdr:twoCellAnchor>
    <xdr:from>
      <xdr:col>3</xdr:col>
      <xdr:colOff>533400</xdr:colOff>
      <xdr:row>122</xdr:row>
      <xdr:rowOff>142875</xdr:rowOff>
    </xdr:from>
    <xdr:to>
      <xdr:col>3</xdr:col>
      <xdr:colOff>533400</xdr:colOff>
      <xdr:row>132</xdr:row>
      <xdr:rowOff>142875</xdr:rowOff>
    </xdr:to>
    <xdr:sp macro="" textlink="">
      <xdr:nvSpPr>
        <xdr:cNvPr id="17175" name="Line 164">
          <a:extLst>
            <a:ext uri="{FF2B5EF4-FFF2-40B4-BE49-F238E27FC236}">
              <a16:creationId xmlns:a16="http://schemas.microsoft.com/office/drawing/2014/main" id="{00000000-0008-0000-0900-000017430000}"/>
            </a:ext>
          </a:extLst>
        </xdr:cNvPr>
        <xdr:cNvSpPr>
          <a:spLocks noChangeShapeType="1"/>
        </xdr:cNvSpPr>
      </xdr:nvSpPr>
      <xdr:spPr bwMode="auto">
        <a:xfrm>
          <a:off x="2362200" y="19897725"/>
          <a:ext cx="0" cy="1619250"/>
        </a:xfrm>
        <a:prstGeom prst="line">
          <a:avLst/>
        </a:prstGeom>
        <a:noFill/>
        <a:ln w="9525">
          <a:solidFill>
            <a:srgbClr val="FFFF00"/>
          </a:solidFill>
          <a:prstDash val="dash"/>
          <a:round/>
          <a:headEnd/>
          <a:tailEnd type="stealth" w="med" len="med"/>
        </a:ln>
      </xdr:spPr>
    </xdr:sp>
    <xdr:clientData/>
  </xdr:twoCellAnchor>
  <xdr:twoCellAnchor>
    <xdr:from>
      <xdr:col>2</xdr:col>
      <xdr:colOff>266700</xdr:colOff>
      <xdr:row>123</xdr:row>
      <xdr:rowOff>104775</xdr:rowOff>
    </xdr:from>
    <xdr:to>
      <xdr:col>2</xdr:col>
      <xdr:colOff>514350</xdr:colOff>
      <xdr:row>125</xdr:row>
      <xdr:rowOff>38100</xdr:rowOff>
    </xdr:to>
    <xdr:grpSp>
      <xdr:nvGrpSpPr>
        <xdr:cNvPr id="17176" name="Group 165">
          <a:extLst>
            <a:ext uri="{FF2B5EF4-FFF2-40B4-BE49-F238E27FC236}">
              <a16:creationId xmlns:a16="http://schemas.microsoft.com/office/drawing/2014/main" id="{00000000-0008-0000-0900-000018430000}"/>
            </a:ext>
          </a:extLst>
        </xdr:cNvPr>
        <xdr:cNvGrpSpPr>
          <a:grpSpLocks/>
        </xdr:cNvGrpSpPr>
      </xdr:nvGrpSpPr>
      <xdr:grpSpPr bwMode="auto">
        <a:xfrm>
          <a:off x="1485900" y="20724495"/>
          <a:ext cx="247650" cy="268605"/>
          <a:chOff x="632" y="114"/>
          <a:chExt cx="26" cy="27"/>
        </a:xfrm>
      </xdr:grpSpPr>
      <xdr:sp macro="" textlink="">
        <xdr:nvSpPr>
          <xdr:cNvPr id="17550" name="Oval 166">
            <a:extLst>
              <a:ext uri="{FF2B5EF4-FFF2-40B4-BE49-F238E27FC236}">
                <a16:creationId xmlns:a16="http://schemas.microsoft.com/office/drawing/2014/main" id="{00000000-0008-0000-0900-00008E440000}"/>
              </a:ext>
            </a:extLst>
          </xdr:cNvPr>
          <xdr:cNvSpPr>
            <a:spLocks noChangeArrowheads="1"/>
          </xdr:cNvSpPr>
        </xdr:nvSpPr>
        <xdr:spPr bwMode="auto">
          <a:xfrm>
            <a:off x="632" y="115"/>
            <a:ext cx="26" cy="26"/>
          </a:xfrm>
          <a:prstGeom prst="ellipse">
            <a:avLst/>
          </a:prstGeom>
          <a:solidFill>
            <a:srgbClr val="FFFFCC"/>
          </a:solidFill>
          <a:ln w="9525">
            <a:solidFill>
              <a:srgbClr val="000000"/>
            </a:solidFill>
            <a:round/>
            <a:headEnd/>
            <a:tailEnd/>
          </a:ln>
        </xdr:spPr>
      </xdr:sp>
      <xdr:sp macro="" textlink="">
        <xdr:nvSpPr>
          <xdr:cNvPr id="16551" name="Text Box 167">
            <a:extLst>
              <a:ext uri="{FF2B5EF4-FFF2-40B4-BE49-F238E27FC236}">
                <a16:creationId xmlns:a16="http://schemas.microsoft.com/office/drawing/2014/main" id="{00000000-0008-0000-0900-0000A7400000}"/>
              </a:ext>
            </a:extLst>
          </xdr:cNvPr>
          <xdr:cNvSpPr txBox="1">
            <a:spLocks noChangeArrowheads="1"/>
          </xdr:cNvSpPr>
        </xdr:nvSpPr>
        <xdr:spPr bwMode="auto">
          <a:xfrm>
            <a:off x="636" y="114"/>
            <a:ext cx="18"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1</a:t>
            </a:r>
          </a:p>
        </xdr:txBody>
      </xdr:sp>
    </xdr:grpSp>
    <xdr:clientData/>
  </xdr:twoCellAnchor>
  <xdr:twoCellAnchor>
    <xdr:from>
      <xdr:col>3</xdr:col>
      <xdr:colOff>133350</xdr:colOff>
      <xdr:row>125</xdr:row>
      <xdr:rowOff>85725</xdr:rowOff>
    </xdr:from>
    <xdr:to>
      <xdr:col>3</xdr:col>
      <xdr:colOff>457200</xdr:colOff>
      <xdr:row>133</xdr:row>
      <xdr:rowOff>28575</xdr:rowOff>
    </xdr:to>
    <xdr:sp macro="" textlink="">
      <xdr:nvSpPr>
        <xdr:cNvPr id="16552" name="Text Box 168">
          <a:extLst>
            <a:ext uri="{FF2B5EF4-FFF2-40B4-BE49-F238E27FC236}">
              <a16:creationId xmlns:a16="http://schemas.microsoft.com/office/drawing/2014/main" id="{00000000-0008-0000-0900-0000A8400000}"/>
            </a:ext>
          </a:extLst>
        </xdr:cNvPr>
        <xdr:cNvSpPr txBox="1">
          <a:spLocks noChangeArrowheads="1"/>
        </xdr:cNvSpPr>
      </xdr:nvSpPr>
      <xdr:spPr bwMode="auto">
        <a:xfrm>
          <a:off x="1962150" y="20326350"/>
          <a:ext cx="323850" cy="1238250"/>
        </a:xfrm>
        <a:prstGeom prst="rect">
          <a:avLst/>
        </a:prstGeom>
        <a:noFill/>
        <a:ln w="9525">
          <a:noFill/>
          <a:miter lim="800000"/>
          <a:headEnd/>
          <a:tailEnd/>
        </a:ln>
        <a:effectLst/>
      </xdr:spPr>
      <xdr:txBody>
        <a:bodyPr vertOverflow="clip" vert="vert270" wrap="square" lIns="36576" tIns="22860" rIns="36576" bIns="22860" anchor="ctr" upright="1"/>
        <a:lstStyle/>
        <a:p>
          <a:pPr algn="ctr" rtl="0">
            <a:defRPr sz="1000"/>
          </a:pPr>
          <a:r>
            <a:rPr lang="en-US" sz="1200" b="0" i="1" u="none" strike="noStrike" baseline="0">
              <a:solidFill>
                <a:srgbClr val="FFFF00"/>
              </a:solidFill>
              <a:latin typeface="Arial"/>
              <a:cs typeface="Arial"/>
            </a:rPr>
            <a:t>Attenuation</a:t>
          </a:r>
        </a:p>
      </xdr:txBody>
    </xdr:sp>
    <xdr:clientData/>
  </xdr:twoCellAnchor>
  <xdr:twoCellAnchor>
    <xdr:from>
      <xdr:col>10</xdr:col>
      <xdr:colOff>180975</xdr:colOff>
      <xdr:row>126</xdr:row>
      <xdr:rowOff>19050</xdr:rowOff>
    </xdr:from>
    <xdr:to>
      <xdr:col>10</xdr:col>
      <xdr:colOff>180975</xdr:colOff>
      <xdr:row>128</xdr:row>
      <xdr:rowOff>0</xdr:rowOff>
    </xdr:to>
    <xdr:cxnSp macro="">
      <xdr:nvCxnSpPr>
        <xdr:cNvPr id="17178" name="AutoShape 173">
          <a:extLst>
            <a:ext uri="{FF2B5EF4-FFF2-40B4-BE49-F238E27FC236}">
              <a16:creationId xmlns:a16="http://schemas.microsoft.com/office/drawing/2014/main" id="{00000000-0008-0000-0900-00001A430000}"/>
            </a:ext>
          </a:extLst>
        </xdr:cNvPr>
        <xdr:cNvCxnSpPr>
          <a:cxnSpLocks noChangeShapeType="1"/>
          <a:stCxn id="16528" idx="2"/>
          <a:endCxn id="16529" idx="0"/>
        </xdr:cNvCxnSpPr>
      </xdr:nvCxnSpPr>
      <xdr:spPr bwMode="auto">
        <a:xfrm>
          <a:off x="5876925" y="20421600"/>
          <a:ext cx="0" cy="304800"/>
        </a:xfrm>
        <a:prstGeom prst="straightConnector1">
          <a:avLst/>
        </a:prstGeom>
        <a:noFill/>
        <a:ln w="9525">
          <a:solidFill>
            <a:srgbClr val="000000"/>
          </a:solidFill>
          <a:round/>
          <a:headEnd/>
          <a:tailEnd type="stealth" w="med" len="med"/>
        </a:ln>
      </xdr:spPr>
    </xdr:cxnSp>
    <xdr:clientData/>
  </xdr:twoCellAnchor>
  <xdr:twoCellAnchor>
    <xdr:from>
      <xdr:col>2</xdr:col>
      <xdr:colOff>533400</xdr:colOff>
      <xdr:row>123</xdr:row>
      <xdr:rowOff>104775</xdr:rowOff>
    </xdr:from>
    <xdr:to>
      <xdr:col>3</xdr:col>
      <xdr:colOff>171450</xdr:colOff>
      <xdr:row>125</xdr:row>
      <xdr:rowOff>38100</xdr:rowOff>
    </xdr:to>
    <xdr:grpSp>
      <xdr:nvGrpSpPr>
        <xdr:cNvPr id="17179" name="Group 175">
          <a:extLst>
            <a:ext uri="{FF2B5EF4-FFF2-40B4-BE49-F238E27FC236}">
              <a16:creationId xmlns:a16="http://schemas.microsoft.com/office/drawing/2014/main" id="{00000000-0008-0000-0900-00001B430000}"/>
            </a:ext>
          </a:extLst>
        </xdr:cNvPr>
        <xdr:cNvGrpSpPr>
          <a:grpSpLocks/>
        </xdr:cNvGrpSpPr>
      </xdr:nvGrpSpPr>
      <xdr:grpSpPr bwMode="auto">
        <a:xfrm>
          <a:off x="1752600" y="20724495"/>
          <a:ext cx="247650" cy="268605"/>
          <a:chOff x="186" y="2460"/>
          <a:chExt cx="26" cy="27"/>
        </a:xfrm>
      </xdr:grpSpPr>
      <xdr:sp macro="" textlink="">
        <xdr:nvSpPr>
          <xdr:cNvPr id="17548" name="Oval 176">
            <a:extLst>
              <a:ext uri="{FF2B5EF4-FFF2-40B4-BE49-F238E27FC236}">
                <a16:creationId xmlns:a16="http://schemas.microsoft.com/office/drawing/2014/main" id="{00000000-0008-0000-0900-00008C440000}"/>
              </a:ext>
            </a:extLst>
          </xdr:cNvPr>
          <xdr:cNvSpPr>
            <a:spLocks noChangeArrowheads="1"/>
          </xdr:cNvSpPr>
        </xdr:nvSpPr>
        <xdr:spPr bwMode="auto">
          <a:xfrm>
            <a:off x="186" y="2461"/>
            <a:ext cx="26" cy="26"/>
          </a:xfrm>
          <a:prstGeom prst="ellipse">
            <a:avLst/>
          </a:prstGeom>
          <a:solidFill>
            <a:srgbClr val="FFFFCC"/>
          </a:solidFill>
          <a:ln w="9525">
            <a:solidFill>
              <a:srgbClr val="000000"/>
            </a:solidFill>
            <a:round/>
            <a:headEnd/>
            <a:tailEnd/>
          </a:ln>
        </xdr:spPr>
      </xdr:sp>
      <xdr:sp macro="" textlink="">
        <xdr:nvSpPr>
          <xdr:cNvPr id="16561" name="Text Box 177">
            <a:extLst>
              <a:ext uri="{FF2B5EF4-FFF2-40B4-BE49-F238E27FC236}">
                <a16:creationId xmlns:a16="http://schemas.microsoft.com/office/drawing/2014/main" id="{00000000-0008-0000-0900-0000B1400000}"/>
              </a:ext>
            </a:extLst>
          </xdr:cNvPr>
          <xdr:cNvSpPr txBox="1">
            <a:spLocks noChangeArrowheads="1"/>
          </xdr:cNvSpPr>
        </xdr:nvSpPr>
        <xdr:spPr bwMode="auto">
          <a:xfrm>
            <a:off x="190" y="2460"/>
            <a:ext cx="18"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2</a:t>
            </a:r>
          </a:p>
        </xdr:txBody>
      </xdr:sp>
    </xdr:grpSp>
    <xdr:clientData/>
  </xdr:twoCellAnchor>
  <xdr:twoCellAnchor>
    <xdr:from>
      <xdr:col>1</xdr:col>
      <xdr:colOff>342900</xdr:colOff>
      <xdr:row>130</xdr:row>
      <xdr:rowOff>19050</xdr:rowOff>
    </xdr:from>
    <xdr:to>
      <xdr:col>2</xdr:col>
      <xdr:colOff>38100</xdr:colOff>
      <xdr:row>131</xdr:row>
      <xdr:rowOff>76200</xdr:rowOff>
    </xdr:to>
    <xdr:sp macro="" textlink="">
      <xdr:nvSpPr>
        <xdr:cNvPr id="16562" name="Text Box 178">
          <a:extLst>
            <a:ext uri="{FF2B5EF4-FFF2-40B4-BE49-F238E27FC236}">
              <a16:creationId xmlns:a16="http://schemas.microsoft.com/office/drawing/2014/main" id="{00000000-0008-0000-0900-0000B2400000}"/>
            </a:ext>
          </a:extLst>
        </xdr:cNvPr>
        <xdr:cNvSpPr txBox="1">
          <a:spLocks noChangeArrowheads="1"/>
        </xdr:cNvSpPr>
      </xdr:nvSpPr>
      <xdr:spPr bwMode="auto">
        <a:xfrm>
          <a:off x="952500" y="21069300"/>
          <a:ext cx="304800" cy="219075"/>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1000" b="0" i="0" u="none" strike="noStrike" baseline="0">
              <a:solidFill>
                <a:srgbClr val="FFFF00"/>
              </a:solidFill>
              <a:latin typeface="Arial"/>
              <a:cs typeface="Arial"/>
            </a:rPr>
            <a:t>C</a:t>
          </a:r>
          <a:r>
            <a:rPr lang="en-US" sz="1000" b="0" i="0" u="none" strike="noStrike" baseline="-25000">
              <a:solidFill>
                <a:srgbClr val="FFFF00"/>
              </a:solidFill>
              <a:latin typeface="Arial"/>
              <a:cs typeface="Arial"/>
            </a:rPr>
            <a:t>V</a:t>
          </a:r>
        </a:p>
      </xdr:txBody>
    </xdr:sp>
    <xdr:clientData/>
  </xdr:twoCellAnchor>
  <xdr:twoCellAnchor>
    <xdr:from>
      <xdr:col>3</xdr:col>
      <xdr:colOff>523875</xdr:colOff>
      <xdr:row>123</xdr:row>
      <xdr:rowOff>142875</xdr:rowOff>
    </xdr:from>
    <xdr:to>
      <xdr:col>4</xdr:col>
      <xdr:colOff>219075</xdr:colOff>
      <xdr:row>125</xdr:row>
      <xdr:rowOff>38100</xdr:rowOff>
    </xdr:to>
    <xdr:sp macro="" textlink="">
      <xdr:nvSpPr>
        <xdr:cNvPr id="16563" name="Text Box 179">
          <a:extLst>
            <a:ext uri="{FF2B5EF4-FFF2-40B4-BE49-F238E27FC236}">
              <a16:creationId xmlns:a16="http://schemas.microsoft.com/office/drawing/2014/main" id="{00000000-0008-0000-0900-0000B3400000}"/>
            </a:ext>
          </a:extLst>
        </xdr:cNvPr>
        <xdr:cNvSpPr txBox="1">
          <a:spLocks noChangeArrowheads="1"/>
        </xdr:cNvSpPr>
      </xdr:nvSpPr>
      <xdr:spPr bwMode="auto">
        <a:xfrm>
          <a:off x="2352675" y="20059650"/>
          <a:ext cx="304800" cy="219075"/>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1000" b="0" i="0" u="none" strike="noStrike" baseline="0">
              <a:solidFill>
                <a:srgbClr val="FFFF00"/>
              </a:solidFill>
              <a:latin typeface="Arial"/>
              <a:cs typeface="Arial"/>
            </a:rPr>
            <a:t>q</a:t>
          </a:r>
          <a:r>
            <a:rPr lang="en-US" sz="1000" b="0" i="0" u="none" strike="noStrike" baseline="-25000">
              <a:solidFill>
                <a:srgbClr val="FFFF00"/>
              </a:solidFill>
              <a:latin typeface="Arial"/>
              <a:cs typeface="Arial"/>
            </a:rPr>
            <a:t>sed</a:t>
          </a:r>
        </a:p>
      </xdr:txBody>
    </xdr:sp>
    <xdr:clientData/>
  </xdr:twoCellAnchor>
  <xdr:twoCellAnchor>
    <xdr:from>
      <xdr:col>3</xdr:col>
      <xdr:colOff>514350</xdr:colOff>
      <xdr:row>123</xdr:row>
      <xdr:rowOff>9525</xdr:rowOff>
    </xdr:from>
    <xdr:to>
      <xdr:col>4</xdr:col>
      <xdr:colOff>209550</xdr:colOff>
      <xdr:row>124</xdr:row>
      <xdr:rowOff>66675</xdr:rowOff>
    </xdr:to>
    <xdr:sp macro="" textlink="">
      <xdr:nvSpPr>
        <xdr:cNvPr id="16564" name="Text Box 180">
          <a:extLst>
            <a:ext uri="{FF2B5EF4-FFF2-40B4-BE49-F238E27FC236}">
              <a16:creationId xmlns:a16="http://schemas.microsoft.com/office/drawing/2014/main" id="{00000000-0008-0000-0900-0000B4400000}"/>
            </a:ext>
          </a:extLst>
        </xdr:cNvPr>
        <xdr:cNvSpPr txBox="1">
          <a:spLocks noChangeArrowheads="1"/>
        </xdr:cNvSpPr>
      </xdr:nvSpPr>
      <xdr:spPr bwMode="auto">
        <a:xfrm>
          <a:off x="2343150" y="19926300"/>
          <a:ext cx="304800" cy="219075"/>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1000" b="0" i="0" u="none" strike="noStrike" baseline="0">
              <a:solidFill>
                <a:srgbClr val="FFFF00"/>
              </a:solidFill>
              <a:latin typeface="Arial"/>
              <a:cs typeface="Arial"/>
            </a:rPr>
            <a:t>C</a:t>
          </a:r>
          <a:r>
            <a:rPr lang="en-US" sz="1000" b="0" i="0" u="none" strike="noStrike" baseline="-25000">
              <a:solidFill>
                <a:srgbClr val="FFFF00"/>
              </a:solidFill>
              <a:latin typeface="Arial"/>
              <a:cs typeface="Arial"/>
            </a:rPr>
            <a:t>sed</a:t>
          </a:r>
        </a:p>
      </xdr:txBody>
    </xdr:sp>
    <xdr:clientData/>
  </xdr:twoCellAnchor>
  <xdr:twoCellAnchor>
    <xdr:from>
      <xdr:col>0</xdr:col>
      <xdr:colOff>161925</xdr:colOff>
      <xdr:row>160</xdr:row>
      <xdr:rowOff>9525</xdr:rowOff>
    </xdr:from>
    <xdr:to>
      <xdr:col>3</xdr:col>
      <xdr:colOff>152400</xdr:colOff>
      <xdr:row>164</xdr:row>
      <xdr:rowOff>0</xdr:rowOff>
    </xdr:to>
    <xdr:sp macro="" textlink="">
      <xdr:nvSpPr>
        <xdr:cNvPr id="16565" name="Text Box 181">
          <a:extLst>
            <a:ext uri="{FF2B5EF4-FFF2-40B4-BE49-F238E27FC236}">
              <a16:creationId xmlns:a16="http://schemas.microsoft.com/office/drawing/2014/main" id="{00000000-0008-0000-0900-0000B5400000}"/>
            </a:ext>
          </a:extLst>
        </xdr:cNvPr>
        <xdr:cNvSpPr txBox="1">
          <a:spLocks noChangeArrowheads="1"/>
        </xdr:cNvSpPr>
      </xdr:nvSpPr>
      <xdr:spPr bwMode="auto">
        <a:xfrm>
          <a:off x="161925" y="25917525"/>
          <a:ext cx="1819275" cy="638175"/>
        </a:xfrm>
        <a:prstGeom prst="rect">
          <a:avLst/>
        </a:prstGeom>
        <a:solidFill>
          <a:srgbClr val="FFFFFF"/>
        </a:solidFill>
        <a:ln w="19050">
          <a:solidFill>
            <a:srgbClr val="FF0000"/>
          </a:solidFill>
          <a:miter lim="800000"/>
          <a:headEnd/>
          <a:tailEnd/>
        </a:ln>
      </xdr:spPr>
      <xdr:txBody>
        <a:bodyPr vertOverflow="clip" wrap="square" lIns="36576" tIns="22860" rIns="36576" bIns="0" anchor="t" upright="1"/>
        <a:lstStyle/>
        <a:p>
          <a:pPr algn="ctr" rtl="0">
            <a:defRPr sz="1000"/>
          </a:pPr>
          <a:r>
            <a:rPr lang="en-US" sz="1200" b="0" i="0" u="none" strike="noStrike" baseline="0">
              <a:solidFill>
                <a:srgbClr val="000000"/>
              </a:solidFill>
              <a:latin typeface="Arial"/>
              <a:cs typeface="Arial"/>
            </a:rPr>
            <a:t>VOLATILIZATION PATHWAY</a:t>
          </a: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xdr:txBody>
    </xdr:sp>
    <xdr:clientData/>
  </xdr:twoCellAnchor>
  <xdr:twoCellAnchor>
    <xdr:from>
      <xdr:col>0</xdr:col>
      <xdr:colOff>152400</xdr:colOff>
      <xdr:row>164</xdr:row>
      <xdr:rowOff>0</xdr:rowOff>
    </xdr:from>
    <xdr:to>
      <xdr:col>10</xdr:col>
      <xdr:colOff>590550</xdr:colOff>
      <xdr:row>164</xdr:row>
      <xdr:rowOff>0</xdr:rowOff>
    </xdr:to>
    <xdr:sp macro="" textlink="">
      <xdr:nvSpPr>
        <xdr:cNvPr id="17184" name="Line 182">
          <a:extLst>
            <a:ext uri="{FF2B5EF4-FFF2-40B4-BE49-F238E27FC236}">
              <a16:creationId xmlns:a16="http://schemas.microsoft.com/office/drawing/2014/main" id="{00000000-0008-0000-0900-000020430000}"/>
            </a:ext>
          </a:extLst>
        </xdr:cNvPr>
        <xdr:cNvSpPr>
          <a:spLocks noChangeShapeType="1"/>
        </xdr:cNvSpPr>
      </xdr:nvSpPr>
      <xdr:spPr bwMode="auto">
        <a:xfrm>
          <a:off x="152400" y="26555700"/>
          <a:ext cx="6134100" cy="0"/>
        </a:xfrm>
        <a:prstGeom prst="line">
          <a:avLst/>
        </a:prstGeom>
        <a:noFill/>
        <a:ln w="25400">
          <a:solidFill>
            <a:srgbClr val="FF0000"/>
          </a:solidFill>
          <a:round/>
          <a:headEnd/>
          <a:tailEnd/>
        </a:ln>
      </xdr:spPr>
    </xdr:sp>
    <xdr:clientData/>
  </xdr:twoCellAnchor>
  <xdr:twoCellAnchor>
    <xdr:from>
      <xdr:col>3</xdr:col>
      <xdr:colOff>85725</xdr:colOff>
      <xdr:row>4</xdr:row>
      <xdr:rowOff>76200</xdr:rowOff>
    </xdr:from>
    <xdr:to>
      <xdr:col>4</xdr:col>
      <xdr:colOff>276225</xdr:colOff>
      <xdr:row>6</xdr:row>
      <xdr:rowOff>0</xdr:rowOff>
    </xdr:to>
    <xdr:sp macro="" textlink="">
      <xdr:nvSpPr>
        <xdr:cNvPr id="17185" name="Freeform 183">
          <a:extLst>
            <a:ext uri="{FF2B5EF4-FFF2-40B4-BE49-F238E27FC236}">
              <a16:creationId xmlns:a16="http://schemas.microsoft.com/office/drawing/2014/main" id="{00000000-0008-0000-0900-000021430000}"/>
            </a:ext>
          </a:extLst>
        </xdr:cNvPr>
        <xdr:cNvSpPr>
          <a:spLocks/>
        </xdr:cNvSpPr>
      </xdr:nvSpPr>
      <xdr:spPr bwMode="auto">
        <a:xfrm>
          <a:off x="1914525" y="723900"/>
          <a:ext cx="800100" cy="247650"/>
        </a:xfrm>
        <a:custGeom>
          <a:avLst/>
          <a:gdLst>
            <a:gd name="T0" fmla="*/ 0 w 84"/>
            <a:gd name="T1" fmla="*/ 22 h 26"/>
            <a:gd name="T2" fmla="*/ 36 w 84"/>
            <a:gd name="T3" fmla="*/ 22 h 26"/>
            <a:gd name="T4" fmla="*/ 36 w 84"/>
            <a:gd name="T5" fmla="*/ 0 h 26"/>
            <a:gd name="T6" fmla="*/ 84 w 84"/>
            <a:gd name="T7" fmla="*/ 0 h 26"/>
            <a:gd name="T8" fmla="*/ 84 w 84"/>
            <a:gd name="T9" fmla="*/ 26 h 26"/>
            <a:gd name="T10" fmla="*/ 0 60000 65536"/>
            <a:gd name="T11" fmla="*/ 0 60000 65536"/>
            <a:gd name="T12" fmla="*/ 0 60000 65536"/>
            <a:gd name="T13" fmla="*/ 0 60000 65536"/>
            <a:gd name="T14" fmla="*/ 0 60000 65536"/>
            <a:gd name="T15" fmla="*/ 0 w 84"/>
            <a:gd name="T16" fmla="*/ 0 h 26"/>
            <a:gd name="T17" fmla="*/ 84 w 84"/>
            <a:gd name="T18" fmla="*/ 26 h 26"/>
          </a:gdLst>
          <a:ahLst/>
          <a:cxnLst>
            <a:cxn ang="T10">
              <a:pos x="T0" y="T1"/>
            </a:cxn>
            <a:cxn ang="T11">
              <a:pos x="T2" y="T3"/>
            </a:cxn>
            <a:cxn ang="T12">
              <a:pos x="T4" y="T5"/>
            </a:cxn>
            <a:cxn ang="T13">
              <a:pos x="T6" y="T7"/>
            </a:cxn>
            <a:cxn ang="T14">
              <a:pos x="T8" y="T9"/>
            </a:cxn>
          </a:cxnLst>
          <a:rect l="T15" t="T16" r="T17" b="T18"/>
          <a:pathLst>
            <a:path w="84" h="26">
              <a:moveTo>
                <a:pt x="0" y="22"/>
              </a:moveTo>
              <a:lnTo>
                <a:pt x="36" y="22"/>
              </a:lnTo>
              <a:lnTo>
                <a:pt x="36" y="0"/>
              </a:lnTo>
              <a:lnTo>
                <a:pt x="84" y="0"/>
              </a:lnTo>
              <a:lnTo>
                <a:pt x="84" y="26"/>
              </a:lnTo>
            </a:path>
          </a:pathLst>
        </a:custGeom>
        <a:noFill/>
        <a:ln w="9525" cap="flat" cmpd="sng">
          <a:solidFill>
            <a:srgbClr val="000000"/>
          </a:solidFill>
          <a:prstDash val="dash"/>
          <a:round/>
          <a:headEnd type="none" w="med" len="med"/>
          <a:tailEnd type="stealth" w="med" len="med"/>
        </a:ln>
      </xdr:spPr>
    </xdr:sp>
    <xdr:clientData/>
  </xdr:twoCellAnchor>
  <xdr:twoCellAnchor>
    <xdr:from>
      <xdr:col>5</xdr:col>
      <xdr:colOff>171450</xdr:colOff>
      <xdr:row>169</xdr:row>
      <xdr:rowOff>95250</xdr:rowOff>
    </xdr:from>
    <xdr:to>
      <xdr:col>5</xdr:col>
      <xdr:colOff>171450</xdr:colOff>
      <xdr:row>176</xdr:row>
      <xdr:rowOff>47625</xdr:rowOff>
    </xdr:to>
    <xdr:sp macro="" textlink="">
      <xdr:nvSpPr>
        <xdr:cNvPr id="17186" name="Line 201">
          <a:extLst>
            <a:ext uri="{FF2B5EF4-FFF2-40B4-BE49-F238E27FC236}">
              <a16:creationId xmlns:a16="http://schemas.microsoft.com/office/drawing/2014/main" id="{00000000-0008-0000-0900-000022430000}"/>
            </a:ext>
          </a:extLst>
        </xdr:cNvPr>
        <xdr:cNvSpPr>
          <a:spLocks noChangeShapeType="1"/>
        </xdr:cNvSpPr>
      </xdr:nvSpPr>
      <xdr:spPr bwMode="auto">
        <a:xfrm>
          <a:off x="3219450" y="27460575"/>
          <a:ext cx="0" cy="1085850"/>
        </a:xfrm>
        <a:prstGeom prst="line">
          <a:avLst/>
        </a:prstGeom>
        <a:noFill/>
        <a:ln w="9525">
          <a:solidFill>
            <a:srgbClr val="000000"/>
          </a:solidFill>
          <a:round/>
          <a:headEnd type="stealth" w="sm" len="sm"/>
          <a:tailEnd type="stealth" w="sm" len="sm"/>
        </a:ln>
      </xdr:spPr>
    </xdr:sp>
    <xdr:clientData/>
  </xdr:twoCellAnchor>
  <xdr:twoCellAnchor>
    <xdr:from>
      <xdr:col>0</xdr:col>
      <xdr:colOff>247650</xdr:colOff>
      <xdr:row>176</xdr:row>
      <xdr:rowOff>152400</xdr:rowOff>
    </xdr:from>
    <xdr:to>
      <xdr:col>5</xdr:col>
      <xdr:colOff>466725</xdr:colOff>
      <xdr:row>184</xdr:row>
      <xdr:rowOff>19050</xdr:rowOff>
    </xdr:to>
    <xdr:grpSp>
      <xdr:nvGrpSpPr>
        <xdr:cNvPr id="17187" name="Group 202">
          <a:extLst>
            <a:ext uri="{FF2B5EF4-FFF2-40B4-BE49-F238E27FC236}">
              <a16:creationId xmlns:a16="http://schemas.microsoft.com/office/drawing/2014/main" id="{00000000-0008-0000-0900-000023430000}"/>
            </a:ext>
          </a:extLst>
        </xdr:cNvPr>
        <xdr:cNvGrpSpPr>
          <a:grpSpLocks/>
        </xdr:cNvGrpSpPr>
      </xdr:nvGrpSpPr>
      <xdr:grpSpPr bwMode="auto">
        <a:xfrm>
          <a:off x="247650" y="29657040"/>
          <a:ext cx="3015615" cy="1207770"/>
          <a:chOff x="26" y="3297"/>
          <a:chExt cx="343" cy="122"/>
        </a:xfrm>
      </xdr:grpSpPr>
      <xdr:grpSp>
        <xdr:nvGrpSpPr>
          <xdr:cNvPr id="17544" name="Group 203">
            <a:extLst>
              <a:ext uri="{FF2B5EF4-FFF2-40B4-BE49-F238E27FC236}">
                <a16:creationId xmlns:a16="http://schemas.microsoft.com/office/drawing/2014/main" id="{00000000-0008-0000-0900-000088440000}"/>
              </a:ext>
            </a:extLst>
          </xdr:cNvPr>
          <xdr:cNvGrpSpPr>
            <a:grpSpLocks/>
          </xdr:cNvGrpSpPr>
        </xdr:nvGrpSpPr>
        <xdr:grpSpPr bwMode="auto">
          <a:xfrm>
            <a:off x="26" y="3297"/>
            <a:ext cx="343" cy="117"/>
            <a:chOff x="84" y="3297"/>
            <a:chExt cx="285" cy="90"/>
          </a:xfrm>
        </xdr:grpSpPr>
        <xdr:sp macro="" textlink="">
          <xdr:nvSpPr>
            <xdr:cNvPr id="17546" name="Freeform 204">
              <a:extLst>
                <a:ext uri="{FF2B5EF4-FFF2-40B4-BE49-F238E27FC236}">
                  <a16:creationId xmlns:a16="http://schemas.microsoft.com/office/drawing/2014/main" id="{00000000-0008-0000-0900-00008A440000}"/>
                </a:ext>
              </a:extLst>
            </xdr:cNvPr>
            <xdr:cNvSpPr>
              <a:spLocks/>
            </xdr:cNvSpPr>
          </xdr:nvSpPr>
          <xdr:spPr bwMode="auto">
            <a:xfrm>
              <a:off x="84" y="3297"/>
              <a:ext cx="285" cy="90"/>
            </a:xfrm>
            <a:custGeom>
              <a:avLst/>
              <a:gdLst>
                <a:gd name="T0" fmla="*/ 74 w 285"/>
                <a:gd name="T1" fmla="*/ 0 h 90"/>
                <a:gd name="T2" fmla="*/ 257 w 285"/>
                <a:gd name="T3" fmla="*/ 0 h 90"/>
                <a:gd name="T4" fmla="*/ 285 w 285"/>
                <a:gd name="T5" fmla="*/ 44 h 90"/>
                <a:gd name="T6" fmla="*/ 205 w 285"/>
                <a:gd name="T7" fmla="*/ 90 h 90"/>
                <a:gd name="T8" fmla="*/ 0 w 285"/>
                <a:gd name="T9" fmla="*/ 90 h 90"/>
                <a:gd name="T10" fmla="*/ 22 w 285"/>
                <a:gd name="T11" fmla="*/ 31 h 90"/>
                <a:gd name="T12" fmla="*/ 74 w 285"/>
                <a:gd name="T13" fmla="*/ 0 h 90"/>
                <a:gd name="T14" fmla="*/ 0 60000 65536"/>
                <a:gd name="T15" fmla="*/ 0 60000 65536"/>
                <a:gd name="T16" fmla="*/ 0 60000 65536"/>
                <a:gd name="T17" fmla="*/ 0 60000 65536"/>
                <a:gd name="T18" fmla="*/ 0 60000 65536"/>
                <a:gd name="T19" fmla="*/ 0 60000 65536"/>
                <a:gd name="T20" fmla="*/ 0 60000 65536"/>
                <a:gd name="T21" fmla="*/ 0 w 285"/>
                <a:gd name="T22" fmla="*/ 0 h 90"/>
                <a:gd name="T23" fmla="*/ 285 w 285"/>
                <a:gd name="T24" fmla="*/ 90 h 90"/>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85" h="90">
                  <a:moveTo>
                    <a:pt x="74" y="0"/>
                  </a:moveTo>
                  <a:lnTo>
                    <a:pt x="257" y="0"/>
                  </a:lnTo>
                  <a:lnTo>
                    <a:pt x="285" y="44"/>
                  </a:lnTo>
                  <a:lnTo>
                    <a:pt x="205" y="90"/>
                  </a:lnTo>
                  <a:lnTo>
                    <a:pt x="0" y="90"/>
                  </a:lnTo>
                  <a:lnTo>
                    <a:pt x="22" y="31"/>
                  </a:lnTo>
                  <a:lnTo>
                    <a:pt x="74" y="0"/>
                  </a:lnTo>
                  <a:close/>
                </a:path>
              </a:pathLst>
            </a:custGeom>
            <a:solidFill>
              <a:srgbClr val="996600"/>
            </a:solidFill>
            <a:ln w="9525" cap="flat" cmpd="sng">
              <a:solidFill>
                <a:srgbClr val="000000"/>
              </a:solidFill>
              <a:prstDash val="solid"/>
              <a:round/>
              <a:headEnd/>
              <a:tailEnd/>
            </a:ln>
          </xdr:spPr>
        </xdr:sp>
        <xdr:sp macro="" textlink="">
          <xdr:nvSpPr>
            <xdr:cNvPr id="17547" name="AutoShape 205">
              <a:extLst>
                <a:ext uri="{FF2B5EF4-FFF2-40B4-BE49-F238E27FC236}">
                  <a16:creationId xmlns:a16="http://schemas.microsoft.com/office/drawing/2014/main" id="{00000000-0008-0000-0900-00008B440000}"/>
                </a:ext>
              </a:extLst>
            </xdr:cNvPr>
            <xdr:cNvSpPr>
              <a:spLocks noChangeArrowheads="1"/>
            </xdr:cNvSpPr>
          </xdr:nvSpPr>
          <xdr:spPr bwMode="auto">
            <a:xfrm>
              <a:off x="123" y="3302"/>
              <a:ext cx="202" cy="26"/>
            </a:xfrm>
            <a:prstGeom prst="parallelogram">
              <a:avLst>
                <a:gd name="adj" fmla="val 170995"/>
              </a:avLst>
            </a:prstGeom>
            <a:solidFill>
              <a:srgbClr val="99CCFF"/>
            </a:solidFill>
            <a:ln w="9525">
              <a:solidFill>
                <a:srgbClr val="000000"/>
              </a:solidFill>
              <a:miter lim="800000"/>
              <a:headEnd/>
              <a:tailEnd/>
            </a:ln>
          </xdr:spPr>
        </xdr:sp>
      </xdr:grpSp>
      <xdr:sp macro="" textlink="">
        <xdr:nvSpPr>
          <xdr:cNvPr id="16590" name="Text Box 206">
            <a:extLst>
              <a:ext uri="{FF2B5EF4-FFF2-40B4-BE49-F238E27FC236}">
                <a16:creationId xmlns:a16="http://schemas.microsoft.com/office/drawing/2014/main" id="{00000000-0008-0000-0900-0000CE400000}"/>
              </a:ext>
            </a:extLst>
          </xdr:cNvPr>
          <xdr:cNvSpPr txBox="1">
            <a:spLocks noChangeArrowheads="1"/>
          </xdr:cNvSpPr>
        </xdr:nvSpPr>
        <xdr:spPr bwMode="auto">
          <a:xfrm>
            <a:off x="94" y="3391"/>
            <a:ext cx="128" cy="28"/>
          </a:xfrm>
          <a:prstGeom prst="rect">
            <a:avLst/>
          </a:prstGeom>
          <a:noFill/>
          <a:ln w="9525">
            <a:noFill/>
            <a:miter lim="800000"/>
            <a:headEnd/>
            <a:tailEnd/>
          </a:ln>
        </xdr:spPr>
        <xdr:txBody>
          <a:bodyPr vertOverflow="clip" wrap="square" lIns="36576" tIns="22860" rIns="36576" bIns="0" anchor="t" upright="1"/>
          <a:lstStyle/>
          <a:p>
            <a:pPr algn="ctr" rtl="0">
              <a:defRPr sz="1000"/>
            </a:pPr>
            <a:r>
              <a:rPr lang="en-US" sz="1200" b="0" i="0" u="none" strike="noStrike" baseline="0">
                <a:solidFill>
                  <a:srgbClr val="FFFF00"/>
                </a:solidFill>
                <a:latin typeface="Arial"/>
                <a:cs typeface="Arial"/>
              </a:rPr>
              <a:t>CDF</a:t>
            </a:r>
          </a:p>
        </xdr:txBody>
      </xdr:sp>
    </xdr:grpSp>
    <xdr:clientData/>
  </xdr:twoCellAnchor>
  <xdr:twoCellAnchor>
    <xdr:from>
      <xdr:col>4</xdr:col>
      <xdr:colOff>0</xdr:colOff>
      <xdr:row>170</xdr:row>
      <xdr:rowOff>47625</xdr:rowOff>
    </xdr:from>
    <xdr:to>
      <xdr:col>4</xdr:col>
      <xdr:colOff>600075</xdr:colOff>
      <xdr:row>179</xdr:row>
      <xdr:rowOff>123825</xdr:rowOff>
    </xdr:to>
    <xdr:sp macro="" textlink="">
      <xdr:nvSpPr>
        <xdr:cNvPr id="17188" name="AutoShape 207">
          <a:extLst>
            <a:ext uri="{FF2B5EF4-FFF2-40B4-BE49-F238E27FC236}">
              <a16:creationId xmlns:a16="http://schemas.microsoft.com/office/drawing/2014/main" id="{00000000-0008-0000-0900-000024430000}"/>
            </a:ext>
          </a:extLst>
        </xdr:cNvPr>
        <xdr:cNvSpPr>
          <a:spLocks noChangeArrowheads="1"/>
        </xdr:cNvSpPr>
      </xdr:nvSpPr>
      <xdr:spPr bwMode="auto">
        <a:xfrm rot="5400000" flipV="1">
          <a:off x="1971675" y="28041600"/>
          <a:ext cx="1533525" cy="600075"/>
        </a:xfrm>
        <a:prstGeom prst="parallelogram">
          <a:avLst>
            <a:gd name="adj" fmla="val 68243"/>
          </a:avLst>
        </a:prstGeom>
        <a:solidFill>
          <a:srgbClr val="FFFFFF">
            <a:alpha val="50195"/>
          </a:srgbClr>
        </a:solidFill>
        <a:ln w="9525">
          <a:solidFill>
            <a:srgbClr val="000000"/>
          </a:solidFill>
          <a:miter lim="800000"/>
          <a:headEnd/>
          <a:tailEnd/>
        </a:ln>
      </xdr:spPr>
    </xdr:sp>
    <xdr:clientData/>
  </xdr:twoCellAnchor>
  <xdr:twoCellAnchor>
    <xdr:from>
      <xdr:col>5</xdr:col>
      <xdr:colOff>247650</xdr:colOff>
      <xdr:row>171</xdr:row>
      <xdr:rowOff>152400</xdr:rowOff>
    </xdr:from>
    <xdr:to>
      <xdr:col>6</xdr:col>
      <xdr:colOff>200025</xdr:colOff>
      <xdr:row>173</xdr:row>
      <xdr:rowOff>28575</xdr:rowOff>
    </xdr:to>
    <xdr:sp macro="" textlink="">
      <xdr:nvSpPr>
        <xdr:cNvPr id="16592" name="Text Box 208">
          <a:extLst>
            <a:ext uri="{FF2B5EF4-FFF2-40B4-BE49-F238E27FC236}">
              <a16:creationId xmlns:a16="http://schemas.microsoft.com/office/drawing/2014/main" id="{00000000-0008-0000-0900-0000D0400000}"/>
            </a:ext>
          </a:extLst>
        </xdr:cNvPr>
        <xdr:cNvSpPr txBox="1">
          <a:spLocks noChangeArrowheads="1"/>
        </xdr:cNvSpPr>
      </xdr:nvSpPr>
      <xdr:spPr bwMode="auto">
        <a:xfrm>
          <a:off x="3257550" y="27841575"/>
          <a:ext cx="200025" cy="200025"/>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3 m</a:t>
          </a:r>
        </a:p>
      </xdr:txBody>
    </xdr:sp>
    <xdr:clientData/>
  </xdr:twoCellAnchor>
  <xdr:twoCellAnchor>
    <xdr:from>
      <xdr:col>1</xdr:col>
      <xdr:colOff>381000</xdr:colOff>
      <xdr:row>178</xdr:row>
      <xdr:rowOff>0</xdr:rowOff>
    </xdr:from>
    <xdr:to>
      <xdr:col>1</xdr:col>
      <xdr:colOff>590550</xdr:colOff>
      <xdr:row>179</xdr:row>
      <xdr:rowOff>47625</xdr:rowOff>
    </xdr:to>
    <xdr:sp macro="" textlink="">
      <xdr:nvSpPr>
        <xdr:cNvPr id="16593" name="Text Box 209">
          <a:extLst>
            <a:ext uri="{FF2B5EF4-FFF2-40B4-BE49-F238E27FC236}">
              <a16:creationId xmlns:a16="http://schemas.microsoft.com/office/drawing/2014/main" id="{00000000-0008-0000-0900-0000D1400000}"/>
            </a:ext>
          </a:extLst>
        </xdr:cNvPr>
        <xdr:cNvSpPr txBox="1">
          <a:spLocks noChangeArrowheads="1"/>
        </xdr:cNvSpPr>
      </xdr:nvSpPr>
      <xdr:spPr bwMode="auto">
        <a:xfrm>
          <a:off x="990600" y="28822650"/>
          <a:ext cx="209550" cy="209550"/>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FFFF00"/>
              </a:solidFill>
              <a:latin typeface="Arial"/>
              <a:cs typeface="Arial"/>
            </a:rPr>
            <a:t>W</a:t>
          </a:r>
        </a:p>
      </xdr:txBody>
    </xdr:sp>
    <xdr:clientData/>
  </xdr:twoCellAnchor>
  <xdr:twoCellAnchor>
    <xdr:from>
      <xdr:col>4</xdr:col>
      <xdr:colOff>247650</xdr:colOff>
      <xdr:row>178</xdr:row>
      <xdr:rowOff>104775</xdr:rowOff>
    </xdr:from>
    <xdr:to>
      <xdr:col>4</xdr:col>
      <xdr:colOff>495300</xdr:colOff>
      <xdr:row>180</xdr:row>
      <xdr:rowOff>38100</xdr:rowOff>
    </xdr:to>
    <xdr:grpSp>
      <xdr:nvGrpSpPr>
        <xdr:cNvPr id="17191" name="Group 216">
          <a:extLst>
            <a:ext uri="{FF2B5EF4-FFF2-40B4-BE49-F238E27FC236}">
              <a16:creationId xmlns:a16="http://schemas.microsoft.com/office/drawing/2014/main" id="{00000000-0008-0000-0900-000027430000}"/>
            </a:ext>
          </a:extLst>
        </xdr:cNvPr>
        <xdr:cNvGrpSpPr>
          <a:grpSpLocks/>
        </xdr:cNvGrpSpPr>
      </xdr:nvGrpSpPr>
      <xdr:grpSpPr bwMode="auto">
        <a:xfrm>
          <a:off x="2686050" y="29944695"/>
          <a:ext cx="247650" cy="268605"/>
          <a:chOff x="263" y="3326"/>
          <a:chExt cx="26" cy="27"/>
        </a:xfrm>
      </xdr:grpSpPr>
      <xdr:sp macro="" textlink="">
        <xdr:nvSpPr>
          <xdr:cNvPr id="17542" name="Oval 217">
            <a:extLst>
              <a:ext uri="{FF2B5EF4-FFF2-40B4-BE49-F238E27FC236}">
                <a16:creationId xmlns:a16="http://schemas.microsoft.com/office/drawing/2014/main" id="{00000000-0008-0000-0900-000086440000}"/>
              </a:ext>
            </a:extLst>
          </xdr:cNvPr>
          <xdr:cNvSpPr>
            <a:spLocks noChangeArrowheads="1"/>
          </xdr:cNvSpPr>
        </xdr:nvSpPr>
        <xdr:spPr bwMode="auto">
          <a:xfrm>
            <a:off x="263" y="3327"/>
            <a:ext cx="26" cy="26"/>
          </a:xfrm>
          <a:prstGeom prst="ellipse">
            <a:avLst/>
          </a:prstGeom>
          <a:solidFill>
            <a:srgbClr val="FFFFCC"/>
          </a:solidFill>
          <a:ln w="9525">
            <a:solidFill>
              <a:srgbClr val="000000"/>
            </a:solidFill>
            <a:round/>
            <a:headEnd/>
            <a:tailEnd/>
          </a:ln>
        </xdr:spPr>
      </xdr:sp>
      <xdr:sp macro="" textlink="">
        <xdr:nvSpPr>
          <xdr:cNvPr id="16602" name="Text Box 218">
            <a:extLst>
              <a:ext uri="{FF2B5EF4-FFF2-40B4-BE49-F238E27FC236}">
                <a16:creationId xmlns:a16="http://schemas.microsoft.com/office/drawing/2014/main" id="{00000000-0008-0000-0900-0000DA400000}"/>
              </a:ext>
            </a:extLst>
          </xdr:cNvPr>
          <xdr:cNvSpPr txBox="1">
            <a:spLocks noChangeArrowheads="1"/>
          </xdr:cNvSpPr>
        </xdr:nvSpPr>
        <xdr:spPr bwMode="auto">
          <a:xfrm>
            <a:off x="267" y="3326"/>
            <a:ext cx="18"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9</a:t>
            </a:r>
          </a:p>
        </xdr:txBody>
      </xdr:sp>
    </xdr:grpSp>
    <xdr:clientData/>
  </xdr:twoCellAnchor>
  <xdr:twoCellAnchor>
    <xdr:from>
      <xdr:col>7</xdr:col>
      <xdr:colOff>200025</xdr:colOff>
      <xdr:row>178</xdr:row>
      <xdr:rowOff>95250</xdr:rowOff>
    </xdr:from>
    <xdr:to>
      <xdr:col>7</xdr:col>
      <xdr:colOff>447675</xdr:colOff>
      <xdr:row>180</xdr:row>
      <xdr:rowOff>28575</xdr:rowOff>
    </xdr:to>
    <xdr:grpSp>
      <xdr:nvGrpSpPr>
        <xdr:cNvPr id="17192" name="Group 219">
          <a:extLst>
            <a:ext uri="{FF2B5EF4-FFF2-40B4-BE49-F238E27FC236}">
              <a16:creationId xmlns:a16="http://schemas.microsoft.com/office/drawing/2014/main" id="{00000000-0008-0000-0900-000028430000}"/>
            </a:ext>
          </a:extLst>
        </xdr:cNvPr>
        <xdr:cNvGrpSpPr>
          <a:grpSpLocks/>
        </xdr:cNvGrpSpPr>
      </xdr:nvGrpSpPr>
      <xdr:grpSpPr bwMode="auto">
        <a:xfrm>
          <a:off x="4070985" y="29935170"/>
          <a:ext cx="247650" cy="268605"/>
          <a:chOff x="470" y="3325"/>
          <a:chExt cx="26" cy="27"/>
        </a:xfrm>
      </xdr:grpSpPr>
      <xdr:sp macro="" textlink="">
        <xdr:nvSpPr>
          <xdr:cNvPr id="17540" name="Oval 220">
            <a:extLst>
              <a:ext uri="{FF2B5EF4-FFF2-40B4-BE49-F238E27FC236}">
                <a16:creationId xmlns:a16="http://schemas.microsoft.com/office/drawing/2014/main" id="{00000000-0008-0000-0900-000084440000}"/>
              </a:ext>
            </a:extLst>
          </xdr:cNvPr>
          <xdr:cNvSpPr>
            <a:spLocks noChangeArrowheads="1"/>
          </xdr:cNvSpPr>
        </xdr:nvSpPr>
        <xdr:spPr bwMode="auto">
          <a:xfrm>
            <a:off x="470" y="3326"/>
            <a:ext cx="26" cy="26"/>
          </a:xfrm>
          <a:prstGeom prst="ellipse">
            <a:avLst/>
          </a:prstGeom>
          <a:solidFill>
            <a:srgbClr val="FFFFCC"/>
          </a:solidFill>
          <a:ln w="9525">
            <a:solidFill>
              <a:srgbClr val="000000"/>
            </a:solidFill>
            <a:round/>
            <a:headEnd/>
            <a:tailEnd/>
          </a:ln>
        </xdr:spPr>
      </xdr:sp>
      <xdr:sp macro="" textlink="">
        <xdr:nvSpPr>
          <xdr:cNvPr id="16605" name="Text Box 221">
            <a:extLst>
              <a:ext uri="{FF2B5EF4-FFF2-40B4-BE49-F238E27FC236}">
                <a16:creationId xmlns:a16="http://schemas.microsoft.com/office/drawing/2014/main" id="{00000000-0008-0000-0900-0000DD400000}"/>
              </a:ext>
            </a:extLst>
          </xdr:cNvPr>
          <xdr:cNvSpPr txBox="1">
            <a:spLocks noChangeArrowheads="1"/>
          </xdr:cNvSpPr>
        </xdr:nvSpPr>
        <xdr:spPr bwMode="auto">
          <a:xfrm>
            <a:off x="474" y="3325"/>
            <a:ext cx="18"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10</a:t>
            </a:r>
          </a:p>
        </xdr:txBody>
      </xdr:sp>
    </xdr:grpSp>
    <xdr:clientData/>
  </xdr:twoCellAnchor>
  <xdr:twoCellAnchor>
    <xdr:from>
      <xdr:col>0</xdr:col>
      <xdr:colOff>590550</xdr:colOff>
      <xdr:row>177</xdr:row>
      <xdr:rowOff>38100</xdr:rowOff>
    </xdr:from>
    <xdr:to>
      <xdr:col>1</xdr:col>
      <xdr:colOff>561975</xdr:colOff>
      <xdr:row>179</xdr:row>
      <xdr:rowOff>57150</xdr:rowOff>
    </xdr:to>
    <xdr:sp macro="" textlink="">
      <xdr:nvSpPr>
        <xdr:cNvPr id="17193" name="Line 222">
          <a:extLst>
            <a:ext uri="{FF2B5EF4-FFF2-40B4-BE49-F238E27FC236}">
              <a16:creationId xmlns:a16="http://schemas.microsoft.com/office/drawing/2014/main" id="{00000000-0008-0000-0900-000029430000}"/>
            </a:ext>
          </a:extLst>
        </xdr:cNvPr>
        <xdr:cNvSpPr>
          <a:spLocks noChangeShapeType="1"/>
        </xdr:cNvSpPr>
      </xdr:nvSpPr>
      <xdr:spPr bwMode="auto">
        <a:xfrm flipV="1">
          <a:off x="590550" y="28698825"/>
          <a:ext cx="581025" cy="342900"/>
        </a:xfrm>
        <a:prstGeom prst="line">
          <a:avLst/>
        </a:prstGeom>
        <a:noFill/>
        <a:ln w="9525">
          <a:solidFill>
            <a:srgbClr val="FFFF00"/>
          </a:solidFill>
          <a:round/>
          <a:headEnd type="stealth" w="med" len="sm"/>
          <a:tailEnd type="stealth" w="med" len="sm"/>
        </a:ln>
      </xdr:spPr>
    </xdr:sp>
    <xdr:clientData/>
  </xdr:twoCellAnchor>
  <xdr:twoCellAnchor>
    <xdr:from>
      <xdr:col>1</xdr:col>
      <xdr:colOff>0</xdr:colOff>
      <xdr:row>179</xdr:row>
      <xdr:rowOff>123825</xdr:rowOff>
    </xdr:from>
    <xdr:to>
      <xdr:col>4</xdr:col>
      <xdr:colOff>47625</xdr:colOff>
      <xdr:row>179</xdr:row>
      <xdr:rowOff>123825</xdr:rowOff>
    </xdr:to>
    <xdr:sp macro="" textlink="">
      <xdr:nvSpPr>
        <xdr:cNvPr id="17194" name="Line 223">
          <a:extLst>
            <a:ext uri="{FF2B5EF4-FFF2-40B4-BE49-F238E27FC236}">
              <a16:creationId xmlns:a16="http://schemas.microsoft.com/office/drawing/2014/main" id="{00000000-0008-0000-0900-00002A430000}"/>
            </a:ext>
          </a:extLst>
        </xdr:cNvPr>
        <xdr:cNvSpPr>
          <a:spLocks noChangeShapeType="1"/>
        </xdr:cNvSpPr>
      </xdr:nvSpPr>
      <xdr:spPr bwMode="auto">
        <a:xfrm flipV="1">
          <a:off x="609600" y="29108400"/>
          <a:ext cx="1876425" cy="0"/>
        </a:xfrm>
        <a:prstGeom prst="line">
          <a:avLst/>
        </a:prstGeom>
        <a:noFill/>
        <a:ln w="9525">
          <a:solidFill>
            <a:srgbClr val="FFFF00"/>
          </a:solidFill>
          <a:round/>
          <a:headEnd type="stealth" w="med" len="sm"/>
          <a:tailEnd type="stealth" w="med" len="sm"/>
        </a:ln>
      </xdr:spPr>
    </xdr:sp>
    <xdr:clientData/>
  </xdr:twoCellAnchor>
  <xdr:twoCellAnchor>
    <xdr:from>
      <xdr:col>2</xdr:col>
      <xdr:colOff>276225</xdr:colOff>
      <xdr:row>179</xdr:row>
      <xdr:rowOff>133350</xdr:rowOff>
    </xdr:from>
    <xdr:to>
      <xdr:col>2</xdr:col>
      <xdr:colOff>485775</xdr:colOff>
      <xdr:row>181</xdr:row>
      <xdr:rowOff>19050</xdr:rowOff>
    </xdr:to>
    <xdr:sp macro="" textlink="">
      <xdr:nvSpPr>
        <xdr:cNvPr id="16608" name="Text Box 224">
          <a:extLst>
            <a:ext uri="{FF2B5EF4-FFF2-40B4-BE49-F238E27FC236}">
              <a16:creationId xmlns:a16="http://schemas.microsoft.com/office/drawing/2014/main" id="{00000000-0008-0000-0900-0000E0400000}"/>
            </a:ext>
          </a:extLst>
        </xdr:cNvPr>
        <xdr:cNvSpPr txBox="1">
          <a:spLocks noChangeArrowheads="1"/>
        </xdr:cNvSpPr>
      </xdr:nvSpPr>
      <xdr:spPr bwMode="auto">
        <a:xfrm>
          <a:off x="1495425" y="29117925"/>
          <a:ext cx="209550" cy="209550"/>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en-US" sz="1000" b="0" i="0" u="none" strike="noStrike" baseline="0">
              <a:solidFill>
                <a:srgbClr val="FFFF00"/>
              </a:solidFill>
              <a:latin typeface="Arial"/>
              <a:cs typeface="Arial"/>
            </a:rPr>
            <a:t>L</a:t>
          </a:r>
        </a:p>
      </xdr:txBody>
    </xdr:sp>
    <xdr:clientData/>
  </xdr:twoCellAnchor>
  <xdr:twoCellAnchor>
    <xdr:from>
      <xdr:col>1</xdr:col>
      <xdr:colOff>419100</xdr:colOff>
      <xdr:row>173</xdr:row>
      <xdr:rowOff>76200</xdr:rowOff>
    </xdr:from>
    <xdr:to>
      <xdr:col>2</xdr:col>
      <xdr:colOff>447675</xdr:colOff>
      <xdr:row>175</xdr:row>
      <xdr:rowOff>47625</xdr:rowOff>
    </xdr:to>
    <xdr:sp macro="" textlink="">
      <xdr:nvSpPr>
        <xdr:cNvPr id="17196" name="AutoShape 225">
          <a:extLst>
            <a:ext uri="{FF2B5EF4-FFF2-40B4-BE49-F238E27FC236}">
              <a16:creationId xmlns:a16="http://schemas.microsoft.com/office/drawing/2014/main" id="{00000000-0008-0000-0900-00002C430000}"/>
            </a:ext>
          </a:extLst>
        </xdr:cNvPr>
        <xdr:cNvSpPr>
          <a:spLocks noChangeArrowheads="1"/>
        </xdr:cNvSpPr>
      </xdr:nvSpPr>
      <xdr:spPr bwMode="auto">
        <a:xfrm>
          <a:off x="1028700" y="28089225"/>
          <a:ext cx="638175" cy="295275"/>
        </a:xfrm>
        <a:custGeom>
          <a:avLst/>
          <a:gdLst>
            <a:gd name="T0" fmla="*/ 405714 w 21600"/>
            <a:gd name="T1" fmla="*/ 0 h 21600"/>
            <a:gd name="T2" fmla="*/ 0 w 21600"/>
            <a:gd name="T3" fmla="*/ 147638 h 21600"/>
            <a:gd name="T4" fmla="*/ 405714 w 21600"/>
            <a:gd name="T5" fmla="*/ 295275 h 21600"/>
            <a:gd name="T6" fmla="*/ 638175 w 21600"/>
            <a:gd name="T7" fmla="*/ 147638 h 21600"/>
            <a:gd name="T8" fmla="*/ 17694720 60000 65536"/>
            <a:gd name="T9" fmla="*/ 11796480 60000 65536"/>
            <a:gd name="T10" fmla="*/ 5898240 60000 65536"/>
            <a:gd name="T11" fmla="*/ 0 60000 65536"/>
            <a:gd name="T12" fmla="*/ 3375 w 21600"/>
            <a:gd name="T13" fmla="*/ 3527 h 21600"/>
            <a:gd name="T14" fmla="*/ 16301 w 21600"/>
            <a:gd name="T15" fmla="*/ 18073 h 21600"/>
          </a:gdLst>
          <a:ahLst/>
          <a:cxnLst>
            <a:cxn ang="T8">
              <a:pos x="T0" y="T1"/>
            </a:cxn>
            <a:cxn ang="T9">
              <a:pos x="T2" y="T3"/>
            </a:cxn>
            <a:cxn ang="T10">
              <a:pos x="T4" y="T5"/>
            </a:cxn>
            <a:cxn ang="T11">
              <a:pos x="T6" y="T7"/>
            </a:cxn>
          </a:cxnLst>
          <a:rect l="T12" t="T13" r="T14" b="T15"/>
          <a:pathLst>
            <a:path w="21600" h="21600">
              <a:moveTo>
                <a:pt x="13732" y="0"/>
              </a:moveTo>
              <a:lnTo>
                <a:pt x="13732" y="3527"/>
              </a:lnTo>
              <a:lnTo>
                <a:pt x="3375" y="3527"/>
              </a:lnTo>
              <a:lnTo>
                <a:pt x="3375" y="18073"/>
              </a:lnTo>
              <a:lnTo>
                <a:pt x="13732" y="18073"/>
              </a:lnTo>
              <a:lnTo>
                <a:pt x="13732" y="21600"/>
              </a:lnTo>
              <a:lnTo>
                <a:pt x="21600" y="10800"/>
              </a:lnTo>
              <a:close/>
            </a:path>
            <a:path w="21600" h="21600">
              <a:moveTo>
                <a:pt x="1350" y="3527"/>
              </a:moveTo>
              <a:lnTo>
                <a:pt x="1350" y="18073"/>
              </a:lnTo>
              <a:lnTo>
                <a:pt x="2700" y="18073"/>
              </a:lnTo>
              <a:lnTo>
                <a:pt x="2700" y="3527"/>
              </a:lnTo>
              <a:close/>
            </a:path>
            <a:path w="21600" h="21600">
              <a:moveTo>
                <a:pt x="0" y="3527"/>
              </a:moveTo>
              <a:lnTo>
                <a:pt x="0" y="18073"/>
              </a:lnTo>
              <a:lnTo>
                <a:pt x="675" y="18073"/>
              </a:lnTo>
              <a:lnTo>
                <a:pt x="675" y="3527"/>
              </a:lnTo>
              <a:close/>
            </a:path>
          </a:pathLst>
        </a:custGeom>
        <a:solidFill>
          <a:srgbClr val="0000FF">
            <a:alpha val="50195"/>
          </a:srgbClr>
        </a:solidFill>
        <a:ln w="9525">
          <a:noFill/>
          <a:miter lim="800000"/>
          <a:headEnd/>
          <a:tailEnd/>
        </a:ln>
      </xdr:spPr>
    </xdr:sp>
    <xdr:clientData/>
  </xdr:twoCellAnchor>
  <xdr:twoCellAnchor>
    <xdr:from>
      <xdr:col>3</xdr:col>
      <xdr:colOff>38100</xdr:colOff>
      <xdr:row>173</xdr:row>
      <xdr:rowOff>76200</xdr:rowOff>
    </xdr:from>
    <xdr:to>
      <xdr:col>4</xdr:col>
      <xdr:colOff>66675</xdr:colOff>
      <xdr:row>175</xdr:row>
      <xdr:rowOff>47625</xdr:rowOff>
    </xdr:to>
    <xdr:sp macro="" textlink="">
      <xdr:nvSpPr>
        <xdr:cNvPr id="17197" name="AutoShape 226">
          <a:extLst>
            <a:ext uri="{FF2B5EF4-FFF2-40B4-BE49-F238E27FC236}">
              <a16:creationId xmlns:a16="http://schemas.microsoft.com/office/drawing/2014/main" id="{00000000-0008-0000-0900-00002D430000}"/>
            </a:ext>
          </a:extLst>
        </xdr:cNvPr>
        <xdr:cNvSpPr>
          <a:spLocks noChangeArrowheads="1"/>
        </xdr:cNvSpPr>
      </xdr:nvSpPr>
      <xdr:spPr bwMode="auto">
        <a:xfrm>
          <a:off x="1866900" y="28089225"/>
          <a:ext cx="638175" cy="295275"/>
        </a:xfrm>
        <a:custGeom>
          <a:avLst/>
          <a:gdLst>
            <a:gd name="T0" fmla="*/ 405714 w 21600"/>
            <a:gd name="T1" fmla="*/ 0 h 21600"/>
            <a:gd name="T2" fmla="*/ 0 w 21600"/>
            <a:gd name="T3" fmla="*/ 147638 h 21600"/>
            <a:gd name="T4" fmla="*/ 405714 w 21600"/>
            <a:gd name="T5" fmla="*/ 295275 h 21600"/>
            <a:gd name="T6" fmla="*/ 638175 w 21600"/>
            <a:gd name="T7" fmla="*/ 147638 h 21600"/>
            <a:gd name="T8" fmla="*/ 17694720 60000 65536"/>
            <a:gd name="T9" fmla="*/ 11796480 60000 65536"/>
            <a:gd name="T10" fmla="*/ 5898240 60000 65536"/>
            <a:gd name="T11" fmla="*/ 0 60000 65536"/>
            <a:gd name="T12" fmla="*/ 3375 w 21600"/>
            <a:gd name="T13" fmla="*/ 3527 h 21600"/>
            <a:gd name="T14" fmla="*/ 16301 w 21600"/>
            <a:gd name="T15" fmla="*/ 18073 h 21600"/>
          </a:gdLst>
          <a:ahLst/>
          <a:cxnLst>
            <a:cxn ang="T8">
              <a:pos x="T0" y="T1"/>
            </a:cxn>
            <a:cxn ang="T9">
              <a:pos x="T2" y="T3"/>
            </a:cxn>
            <a:cxn ang="T10">
              <a:pos x="T4" y="T5"/>
            </a:cxn>
            <a:cxn ang="T11">
              <a:pos x="T6" y="T7"/>
            </a:cxn>
          </a:cxnLst>
          <a:rect l="T12" t="T13" r="T14" b="T15"/>
          <a:pathLst>
            <a:path w="21600" h="21600">
              <a:moveTo>
                <a:pt x="13732" y="0"/>
              </a:moveTo>
              <a:lnTo>
                <a:pt x="13732" y="3527"/>
              </a:lnTo>
              <a:lnTo>
                <a:pt x="3375" y="3527"/>
              </a:lnTo>
              <a:lnTo>
                <a:pt x="3375" y="18073"/>
              </a:lnTo>
              <a:lnTo>
                <a:pt x="13732" y="18073"/>
              </a:lnTo>
              <a:lnTo>
                <a:pt x="13732" y="21600"/>
              </a:lnTo>
              <a:lnTo>
                <a:pt x="21600" y="10800"/>
              </a:lnTo>
              <a:close/>
            </a:path>
            <a:path w="21600" h="21600">
              <a:moveTo>
                <a:pt x="1350" y="3527"/>
              </a:moveTo>
              <a:lnTo>
                <a:pt x="1350" y="18073"/>
              </a:lnTo>
              <a:lnTo>
                <a:pt x="2700" y="18073"/>
              </a:lnTo>
              <a:lnTo>
                <a:pt x="2700" y="3527"/>
              </a:lnTo>
              <a:close/>
            </a:path>
            <a:path w="21600" h="21600">
              <a:moveTo>
                <a:pt x="0" y="3527"/>
              </a:moveTo>
              <a:lnTo>
                <a:pt x="0" y="18073"/>
              </a:lnTo>
              <a:lnTo>
                <a:pt x="675" y="18073"/>
              </a:lnTo>
              <a:lnTo>
                <a:pt x="675" y="3527"/>
              </a:lnTo>
              <a:close/>
            </a:path>
          </a:pathLst>
        </a:custGeom>
        <a:solidFill>
          <a:srgbClr val="0000FF">
            <a:alpha val="50195"/>
          </a:srgbClr>
        </a:solidFill>
        <a:ln w="9525">
          <a:noFill/>
          <a:miter lim="800000"/>
          <a:headEnd/>
          <a:tailEnd/>
        </a:ln>
      </xdr:spPr>
    </xdr:sp>
    <xdr:clientData/>
  </xdr:twoCellAnchor>
  <xdr:twoCellAnchor>
    <xdr:from>
      <xdr:col>7</xdr:col>
      <xdr:colOff>390525</xdr:colOff>
      <xdr:row>178</xdr:row>
      <xdr:rowOff>133350</xdr:rowOff>
    </xdr:from>
    <xdr:to>
      <xdr:col>8</xdr:col>
      <xdr:colOff>333375</xdr:colOff>
      <xdr:row>180</xdr:row>
      <xdr:rowOff>66675</xdr:rowOff>
    </xdr:to>
    <xdr:sp macro="" textlink="">
      <xdr:nvSpPr>
        <xdr:cNvPr id="16622" name="Text Box 238">
          <a:extLst>
            <a:ext uri="{FF2B5EF4-FFF2-40B4-BE49-F238E27FC236}">
              <a16:creationId xmlns:a16="http://schemas.microsoft.com/office/drawing/2014/main" id="{00000000-0008-0000-0900-0000EE400000}"/>
            </a:ext>
          </a:extLst>
        </xdr:cNvPr>
        <xdr:cNvSpPr txBox="1">
          <a:spLocks noChangeArrowheads="1"/>
        </xdr:cNvSpPr>
      </xdr:nvSpPr>
      <xdr:spPr bwMode="auto">
        <a:xfrm>
          <a:off x="4257675" y="28956000"/>
          <a:ext cx="552450" cy="257175"/>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en-US" sz="1000" b="0" i="0" u="none" strike="noStrike" baseline="0">
              <a:solidFill>
                <a:srgbClr val="000000"/>
              </a:solidFill>
              <a:latin typeface="Arial"/>
              <a:cs typeface="Arial"/>
            </a:rPr>
            <a:t>Offsite</a:t>
          </a:r>
        </a:p>
      </xdr:txBody>
    </xdr:sp>
    <xdr:clientData/>
  </xdr:twoCellAnchor>
  <xdr:twoCellAnchor>
    <xdr:from>
      <xdr:col>7</xdr:col>
      <xdr:colOff>209550</xdr:colOff>
      <xdr:row>174</xdr:row>
      <xdr:rowOff>133350</xdr:rowOff>
    </xdr:from>
    <xdr:to>
      <xdr:col>7</xdr:col>
      <xdr:colOff>447675</xdr:colOff>
      <xdr:row>178</xdr:row>
      <xdr:rowOff>142875</xdr:rowOff>
    </xdr:to>
    <xdr:grpSp>
      <xdr:nvGrpSpPr>
        <xdr:cNvPr id="17199" name="Group 239">
          <a:extLst>
            <a:ext uri="{FF2B5EF4-FFF2-40B4-BE49-F238E27FC236}">
              <a16:creationId xmlns:a16="http://schemas.microsoft.com/office/drawing/2014/main" id="{00000000-0008-0000-0900-00002F430000}"/>
            </a:ext>
          </a:extLst>
        </xdr:cNvPr>
        <xdr:cNvGrpSpPr>
          <a:grpSpLocks/>
        </xdr:cNvGrpSpPr>
      </xdr:nvGrpSpPr>
      <xdr:grpSpPr bwMode="auto">
        <a:xfrm>
          <a:off x="4080510" y="29302710"/>
          <a:ext cx="238125" cy="680085"/>
          <a:chOff x="481" y="3283"/>
          <a:chExt cx="25" cy="69"/>
        </a:xfrm>
      </xdr:grpSpPr>
      <xdr:grpSp>
        <xdr:nvGrpSpPr>
          <xdr:cNvPr id="17533" name="Group 240">
            <a:extLst>
              <a:ext uri="{FF2B5EF4-FFF2-40B4-BE49-F238E27FC236}">
                <a16:creationId xmlns:a16="http://schemas.microsoft.com/office/drawing/2014/main" id="{00000000-0008-0000-0900-00007D440000}"/>
              </a:ext>
            </a:extLst>
          </xdr:cNvPr>
          <xdr:cNvGrpSpPr>
            <a:grpSpLocks/>
          </xdr:cNvGrpSpPr>
        </xdr:nvGrpSpPr>
        <xdr:grpSpPr bwMode="auto">
          <a:xfrm>
            <a:off x="485" y="3283"/>
            <a:ext cx="16" cy="69"/>
            <a:chOff x="485" y="3283"/>
            <a:chExt cx="16" cy="69"/>
          </a:xfrm>
        </xdr:grpSpPr>
        <xdr:sp macro="" textlink="">
          <xdr:nvSpPr>
            <xdr:cNvPr id="17536" name="Oval 241">
              <a:extLst>
                <a:ext uri="{FF2B5EF4-FFF2-40B4-BE49-F238E27FC236}">
                  <a16:creationId xmlns:a16="http://schemas.microsoft.com/office/drawing/2014/main" id="{00000000-0008-0000-0900-000080440000}"/>
                </a:ext>
              </a:extLst>
            </xdr:cNvPr>
            <xdr:cNvSpPr>
              <a:spLocks noChangeArrowheads="1"/>
            </xdr:cNvSpPr>
          </xdr:nvSpPr>
          <xdr:spPr bwMode="auto">
            <a:xfrm>
              <a:off x="485" y="3283"/>
              <a:ext cx="16" cy="16"/>
            </a:xfrm>
            <a:prstGeom prst="ellipse">
              <a:avLst/>
            </a:prstGeom>
            <a:solidFill>
              <a:srgbClr val="808080"/>
            </a:solidFill>
            <a:ln w="9525">
              <a:noFill/>
              <a:round/>
              <a:headEnd/>
              <a:tailEnd/>
            </a:ln>
          </xdr:spPr>
        </xdr:sp>
        <xdr:sp macro="" textlink="">
          <xdr:nvSpPr>
            <xdr:cNvPr id="17537" name="Rectangle 242">
              <a:extLst>
                <a:ext uri="{FF2B5EF4-FFF2-40B4-BE49-F238E27FC236}">
                  <a16:creationId xmlns:a16="http://schemas.microsoft.com/office/drawing/2014/main" id="{00000000-0008-0000-0900-000081440000}"/>
                </a:ext>
              </a:extLst>
            </xdr:cNvPr>
            <xdr:cNvSpPr>
              <a:spLocks noChangeArrowheads="1"/>
            </xdr:cNvSpPr>
          </xdr:nvSpPr>
          <xdr:spPr bwMode="auto">
            <a:xfrm>
              <a:off x="486" y="3298"/>
              <a:ext cx="15" cy="31"/>
            </a:xfrm>
            <a:prstGeom prst="rect">
              <a:avLst/>
            </a:prstGeom>
            <a:solidFill>
              <a:srgbClr val="808080"/>
            </a:solidFill>
            <a:ln w="9525">
              <a:noFill/>
              <a:miter lim="800000"/>
              <a:headEnd/>
              <a:tailEnd/>
            </a:ln>
          </xdr:spPr>
        </xdr:sp>
        <xdr:sp macro="" textlink="">
          <xdr:nvSpPr>
            <xdr:cNvPr id="17538" name="Rectangle 243">
              <a:extLst>
                <a:ext uri="{FF2B5EF4-FFF2-40B4-BE49-F238E27FC236}">
                  <a16:creationId xmlns:a16="http://schemas.microsoft.com/office/drawing/2014/main" id="{00000000-0008-0000-0900-000082440000}"/>
                </a:ext>
              </a:extLst>
            </xdr:cNvPr>
            <xdr:cNvSpPr>
              <a:spLocks noChangeArrowheads="1"/>
            </xdr:cNvSpPr>
          </xdr:nvSpPr>
          <xdr:spPr bwMode="auto">
            <a:xfrm>
              <a:off x="487" y="3327"/>
              <a:ext cx="6" cy="25"/>
            </a:xfrm>
            <a:prstGeom prst="rect">
              <a:avLst/>
            </a:prstGeom>
            <a:solidFill>
              <a:srgbClr val="808080"/>
            </a:solidFill>
            <a:ln w="9525">
              <a:noFill/>
              <a:miter lim="800000"/>
              <a:headEnd/>
              <a:tailEnd/>
            </a:ln>
          </xdr:spPr>
        </xdr:sp>
        <xdr:sp macro="" textlink="">
          <xdr:nvSpPr>
            <xdr:cNvPr id="17539" name="Rectangle 244">
              <a:extLst>
                <a:ext uri="{FF2B5EF4-FFF2-40B4-BE49-F238E27FC236}">
                  <a16:creationId xmlns:a16="http://schemas.microsoft.com/office/drawing/2014/main" id="{00000000-0008-0000-0900-000083440000}"/>
                </a:ext>
              </a:extLst>
            </xdr:cNvPr>
            <xdr:cNvSpPr>
              <a:spLocks noChangeArrowheads="1"/>
            </xdr:cNvSpPr>
          </xdr:nvSpPr>
          <xdr:spPr bwMode="auto">
            <a:xfrm>
              <a:off x="494" y="3327"/>
              <a:ext cx="6" cy="25"/>
            </a:xfrm>
            <a:prstGeom prst="rect">
              <a:avLst/>
            </a:prstGeom>
            <a:solidFill>
              <a:srgbClr val="808080"/>
            </a:solidFill>
            <a:ln w="9525">
              <a:noFill/>
              <a:miter lim="800000"/>
              <a:headEnd/>
              <a:tailEnd/>
            </a:ln>
          </xdr:spPr>
        </xdr:sp>
      </xdr:grpSp>
      <xdr:sp macro="" textlink="">
        <xdr:nvSpPr>
          <xdr:cNvPr id="17534" name="AutoShape 245">
            <a:extLst>
              <a:ext uri="{FF2B5EF4-FFF2-40B4-BE49-F238E27FC236}">
                <a16:creationId xmlns:a16="http://schemas.microsoft.com/office/drawing/2014/main" id="{00000000-0008-0000-0900-00007E440000}"/>
              </a:ext>
            </a:extLst>
          </xdr:cNvPr>
          <xdr:cNvSpPr>
            <a:spLocks noChangeArrowheads="1"/>
          </xdr:cNvSpPr>
        </xdr:nvSpPr>
        <xdr:spPr bwMode="auto">
          <a:xfrm>
            <a:off x="502" y="3299"/>
            <a:ext cx="4" cy="29"/>
          </a:xfrm>
          <a:prstGeom prst="octagon">
            <a:avLst>
              <a:gd name="adj" fmla="val 29287"/>
            </a:avLst>
          </a:prstGeom>
          <a:solidFill>
            <a:srgbClr val="808080"/>
          </a:solidFill>
          <a:ln w="9525">
            <a:noFill/>
            <a:miter lim="800000"/>
            <a:headEnd/>
            <a:tailEnd/>
          </a:ln>
        </xdr:spPr>
      </xdr:sp>
      <xdr:sp macro="" textlink="">
        <xdr:nvSpPr>
          <xdr:cNvPr id="17535" name="AutoShape 246">
            <a:extLst>
              <a:ext uri="{FF2B5EF4-FFF2-40B4-BE49-F238E27FC236}">
                <a16:creationId xmlns:a16="http://schemas.microsoft.com/office/drawing/2014/main" id="{00000000-0008-0000-0900-00007F440000}"/>
              </a:ext>
            </a:extLst>
          </xdr:cNvPr>
          <xdr:cNvSpPr>
            <a:spLocks noChangeArrowheads="1"/>
          </xdr:cNvSpPr>
        </xdr:nvSpPr>
        <xdr:spPr bwMode="auto">
          <a:xfrm>
            <a:off x="481" y="3299"/>
            <a:ext cx="4" cy="29"/>
          </a:xfrm>
          <a:prstGeom prst="octagon">
            <a:avLst>
              <a:gd name="adj" fmla="val 29287"/>
            </a:avLst>
          </a:prstGeom>
          <a:solidFill>
            <a:srgbClr val="808080"/>
          </a:solidFill>
          <a:ln w="9525">
            <a:noFill/>
            <a:miter lim="800000"/>
            <a:headEnd/>
            <a:tailEnd/>
          </a:ln>
        </xdr:spPr>
      </xdr:sp>
    </xdr:grpSp>
    <xdr:clientData/>
  </xdr:twoCellAnchor>
  <xdr:twoCellAnchor>
    <xdr:from>
      <xdr:col>2</xdr:col>
      <xdr:colOff>114300</xdr:colOff>
      <xdr:row>175</xdr:row>
      <xdr:rowOff>76200</xdr:rowOff>
    </xdr:from>
    <xdr:to>
      <xdr:col>3</xdr:col>
      <xdr:colOff>276225</xdr:colOff>
      <xdr:row>178</xdr:row>
      <xdr:rowOff>104775</xdr:rowOff>
    </xdr:to>
    <xdr:grpSp>
      <xdr:nvGrpSpPr>
        <xdr:cNvPr id="17200" name="Group 249">
          <a:extLst>
            <a:ext uri="{FF2B5EF4-FFF2-40B4-BE49-F238E27FC236}">
              <a16:creationId xmlns:a16="http://schemas.microsoft.com/office/drawing/2014/main" id="{00000000-0008-0000-0900-000030430000}"/>
            </a:ext>
          </a:extLst>
        </xdr:cNvPr>
        <xdr:cNvGrpSpPr>
          <a:grpSpLocks/>
        </xdr:cNvGrpSpPr>
      </xdr:nvGrpSpPr>
      <xdr:grpSpPr bwMode="auto">
        <a:xfrm>
          <a:off x="1333500" y="29413200"/>
          <a:ext cx="771525" cy="531495"/>
          <a:chOff x="56" y="3521"/>
          <a:chExt cx="81" cy="65"/>
        </a:xfrm>
      </xdr:grpSpPr>
      <xdr:sp macro="" textlink="">
        <xdr:nvSpPr>
          <xdr:cNvPr id="17530" name="Freeform 250">
            <a:extLst>
              <a:ext uri="{FF2B5EF4-FFF2-40B4-BE49-F238E27FC236}">
                <a16:creationId xmlns:a16="http://schemas.microsoft.com/office/drawing/2014/main" id="{00000000-0008-0000-0900-00007A440000}"/>
              </a:ext>
            </a:extLst>
          </xdr:cNvPr>
          <xdr:cNvSpPr>
            <a:spLocks/>
          </xdr:cNvSpPr>
        </xdr:nvSpPr>
        <xdr:spPr bwMode="auto">
          <a:xfrm>
            <a:off x="56" y="3521"/>
            <a:ext cx="16" cy="64"/>
          </a:xfrm>
          <a:custGeom>
            <a:avLst/>
            <a:gdLst>
              <a:gd name="T0" fmla="*/ 24 w 51"/>
              <a:gd name="T1" fmla="*/ 206 h 206"/>
              <a:gd name="T2" fmla="*/ 24 w 51"/>
              <a:gd name="T3" fmla="*/ 181 h 206"/>
              <a:gd name="T4" fmla="*/ 50 w 51"/>
              <a:gd name="T5" fmla="*/ 156 h 206"/>
              <a:gd name="T6" fmla="*/ 24 w 51"/>
              <a:gd name="T7" fmla="*/ 131 h 206"/>
              <a:gd name="T8" fmla="*/ 0 w 51"/>
              <a:gd name="T9" fmla="*/ 106 h 206"/>
              <a:gd name="T10" fmla="*/ 24 w 51"/>
              <a:gd name="T11" fmla="*/ 80 h 206"/>
              <a:gd name="T12" fmla="*/ 51 w 51"/>
              <a:gd name="T13" fmla="*/ 55 h 206"/>
              <a:gd name="T14" fmla="*/ 24 w 51"/>
              <a:gd name="T15" fmla="*/ 30 h 206"/>
              <a:gd name="T16" fmla="*/ 22 w 51"/>
              <a:gd name="T17" fmla="*/ 0 h 20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51"/>
              <a:gd name="T28" fmla="*/ 0 h 206"/>
              <a:gd name="T29" fmla="*/ 51 w 51"/>
              <a:gd name="T30" fmla="*/ 206 h 20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51" h="206">
                <a:moveTo>
                  <a:pt x="24" y="206"/>
                </a:moveTo>
                <a:cubicBezTo>
                  <a:pt x="20" y="197"/>
                  <a:pt x="20" y="189"/>
                  <a:pt x="24" y="181"/>
                </a:cubicBezTo>
                <a:cubicBezTo>
                  <a:pt x="29" y="173"/>
                  <a:pt x="50" y="164"/>
                  <a:pt x="50" y="156"/>
                </a:cubicBezTo>
                <a:cubicBezTo>
                  <a:pt x="50" y="148"/>
                  <a:pt x="32" y="139"/>
                  <a:pt x="24" y="131"/>
                </a:cubicBezTo>
                <a:cubicBezTo>
                  <a:pt x="17" y="123"/>
                  <a:pt x="0" y="114"/>
                  <a:pt x="0" y="106"/>
                </a:cubicBezTo>
                <a:cubicBezTo>
                  <a:pt x="0" y="97"/>
                  <a:pt x="15" y="88"/>
                  <a:pt x="24" y="80"/>
                </a:cubicBezTo>
                <a:cubicBezTo>
                  <a:pt x="33" y="72"/>
                  <a:pt x="51" y="63"/>
                  <a:pt x="51" y="55"/>
                </a:cubicBezTo>
                <a:cubicBezTo>
                  <a:pt x="51" y="47"/>
                  <a:pt x="29" y="39"/>
                  <a:pt x="24" y="30"/>
                </a:cubicBezTo>
                <a:cubicBezTo>
                  <a:pt x="19" y="21"/>
                  <a:pt x="23" y="6"/>
                  <a:pt x="22" y="0"/>
                </a:cubicBezTo>
              </a:path>
            </a:pathLst>
          </a:custGeom>
          <a:noFill/>
          <a:ln w="9525" cap="flat" cmpd="sng">
            <a:solidFill>
              <a:srgbClr val="FF0000"/>
            </a:solidFill>
            <a:prstDash val="solid"/>
            <a:round/>
            <a:headEnd type="none" w="med" len="med"/>
            <a:tailEnd type="stealth" w="sm" len="sm"/>
          </a:ln>
        </xdr:spPr>
      </xdr:sp>
      <xdr:sp macro="" textlink="">
        <xdr:nvSpPr>
          <xdr:cNvPr id="17531" name="Freeform 251">
            <a:extLst>
              <a:ext uri="{FF2B5EF4-FFF2-40B4-BE49-F238E27FC236}">
                <a16:creationId xmlns:a16="http://schemas.microsoft.com/office/drawing/2014/main" id="{00000000-0008-0000-0900-00007B440000}"/>
              </a:ext>
            </a:extLst>
          </xdr:cNvPr>
          <xdr:cNvSpPr>
            <a:spLocks/>
          </xdr:cNvSpPr>
        </xdr:nvSpPr>
        <xdr:spPr bwMode="auto">
          <a:xfrm>
            <a:off x="89" y="3522"/>
            <a:ext cx="16" cy="64"/>
          </a:xfrm>
          <a:custGeom>
            <a:avLst/>
            <a:gdLst>
              <a:gd name="T0" fmla="*/ 24 w 51"/>
              <a:gd name="T1" fmla="*/ 206 h 206"/>
              <a:gd name="T2" fmla="*/ 24 w 51"/>
              <a:gd name="T3" fmla="*/ 181 h 206"/>
              <a:gd name="T4" fmla="*/ 50 w 51"/>
              <a:gd name="T5" fmla="*/ 156 h 206"/>
              <a:gd name="T6" fmla="*/ 24 w 51"/>
              <a:gd name="T7" fmla="*/ 131 h 206"/>
              <a:gd name="T8" fmla="*/ 0 w 51"/>
              <a:gd name="T9" fmla="*/ 106 h 206"/>
              <a:gd name="T10" fmla="*/ 24 w 51"/>
              <a:gd name="T11" fmla="*/ 80 h 206"/>
              <a:gd name="T12" fmla="*/ 51 w 51"/>
              <a:gd name="T13" fmla="*/ 55 h 206"/>
              <a:gd name="T14" fmla="*/ 24 w 51"/>
              <a:gd name="T15" fmla="*/ 30 h 206"/>
              <a:gd name="T16" fmla="*/ 22 w 51"/>
              <a:gd name="T17" fmla="*/ 0 h 20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51"/>
              <a:gd name="T28" fmla="*/ 0 h 206"/>
              <a:gd name="T29" fmla="*/ 51 w 51"/>
              <a:gd name="T30" fmla="*/ 206 h 20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51" h="206">
                <a:moveTo>
                  <a:pt x="24" y="206"/>
                </a:moveTo>
                <a:cubicBezTo>
                  <a:pt x="20" y="197"/>
                  <a:pt x="20" y="189"/>
                  <a:pt x="24" y="181"/>
                </a:cubicBezTo>
                <a:cubicBezTo>
                  <a:pt x="29" y="173"/>
                  <a:pt x="50" y="164"/>
                  <a:pt x="50" y="156"/>
                </a:cubicBezTo>
                <a:cubicBezTo>
                  <a:pt x="50" y="148"/>
                  <a:pt x="32" y="139"/>
                  <a:pt x="24" y="131"/>
                </a:cubicBezTo>
                <a:cubicBezTo>
                  <a:pt x="17" y="123"/>
                  <a:pt x="0" y="114"/>
                  <a:pt x="0" y="106"/>
                </a:cubicBezTo>
                <a:cubicBezTo>
                  <a:pt x="0" y="97"/>
                  <a:pt x="15" y="88"/>
                  <a:pt x="24" y="80"/>
                </a:cubicBezTo>
                <a:cubicBezTo>
                  <a:pt x="33" y="72"/>
                  <a:pt x="51" y="63"/>
                  <a:pt x="51" y="55"/>
                </a:cubicBezTo>
                <a:cubicBezTo>
                  <a:pt x="51" y="47"/>
                  <a:pt x="29" y="39"/>
                  <a:pt x="24" y="30"/>
                </a:cubicBezTo>
                <a:cubicBezTo>
                  <a:pt x="19" y="21"/>
                  <a:pt x="23" y="6"/>
                  <a:pt x="22" y="0"/>
                </a:cubicBezTo>
              </a:path>
            </a:pathLst>
          </a:custGeom>
          <a:noFill/>
          <a:ln w="9525" cap="flat" cmpd="sng">
            <a:solidFill>
              <a:srgbClr val="FF0000"/>
            </a:solidFill>
            <a:prstDash val="solid"/>
            <a:round/>
            <a:headEnd type="none" w="med" len="med"/>
            <a:tailEnd type="stealth" w="sm" len="sm"/>
          </a:ln>
        </xdr:spPr>
      </xdr:sp>
      <xdr:sp macro="" textlink="">
        <xdr:nvSpPr>
          <xdr:cNvPr id="17532" name="Freeform 252">
            <a:extLst>
              <a:ext uri="{FF2B5EF4-FFF2-40B4-BE49-F238E27FC236}">
                <a16:creationId xmlns:a16="http://schemas.microsoft.com/office/drawing/2014/main" id="{00000000-0008-0000-0900-00007C440000}"/>
              </a:ext>
            </a:extLst>
          </xdr:cNvPr>
          <xdr:cNvSpPr>
            <a:spLocks/>
          </xdr:cNvSpPr>
        </xdr:nvSpPr>
        <xdr:spPr bwMode="auto">
          <a:xfrm>
            <a:off x="121" y="3522"/>
            <a:ext cx="16" cy="64"/>
          </a:xfrm>
          <a:custGeom>
            <a:avLst/>
            <a:gdLst>
              <a:gd name="T0" fmla="*/ 24 w 51"/>
              <a:gd name="T1" fmla="*/ 206 h 206"/>
              <a:gd name="T2" fmla="*/ 24 w 51"/>
              <a:gd name="T3" fmla="*/ 181 h 206"/>
              <a:gd name="T4" fmla="*/ 50 w 51"/>
              <a:gd name="T5" fmla="*/ 156 h 206"/>
              <a:gd name="T6" fmla="*/ 24 w 51"/>
              <a:gd name="T7" fmla="*/ 131 h 206"/>
              <a:gd name="T8" fmla="*/ 0 w 51"/>
              <a:gd name="T9" fmla="*/ 106 h 206"/>
              <a:gd name="T10" fmla="*/ 24 w 51"/>
              <a:gd name="T11" fmla="*/ 80 h 206"/>
              <a:gd name="T12" fmla="*/ 51 w 51"/>
              <a:gd name="T13" fmla="*/ 55 h 206"/>
              <a:gd name="T14" fmla="*/ 24 w 51"/>
              <a:gd name="T15" fmla="*/ 30 h 206"/>
              <a:gd name="T16" fmla="*/ 22 w 51"/>
              <a:gd name="T17" fmla="*/ 0 h 20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51"/>
              <a:gd name="T28" fmla="*/ 0 h 206"/>
              <a:gd name="T29" fmla="*/ 51 w 51"/>
              <a:gd name="T30" fmla="*/ 206 h 20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51" h="206">
                <a:moveTo>
                  <a:pt x="24" y="206"/>
                </a:moveTo>
                <a:cubicBezTo>
                  <a:pt x="20" y="197"/>
                  <a:pt x="20" y="189"/>
                  <a:pt x="24" y="181"/>
                </a:cubicBezTo>
                <a:cubicBezTo>
                  <a:pt x="29" y="173"/>
                  <a:pt x="50" y="164"/>
                  <a:pt x="50" y="156"/>
                </a:cubicBezTo>
                <a:cubicBezTo>
                  <a:pt x="50" y="148"/>
                  <a:pt x="32" y="139"/>
                  <a:pt x="24" y="131"/>
                </a:cubicBezTo>
                <a:cubicBezTo>
                  <a:pt x="17" y="123"/>
                  <a:pt x="0" y="114"/>
                  <a:pt x="0" y="106"/>
                </a:cubicBezTo>
                <a:cubicBezTo>
                  <a:pt x="0" y="97"/>
                  <a:pt x="15" y="88"/>
                  <a:pt x="24" y="80"/>
                </a:cubicBezTo>
                <a:cubicBezTo>
                  <a:pt x="33" y="72"/>
                  <a:pt x="51" y="63"/>
                  <a:pt x="51" y="55"/>
                </a:cubicBezTo>
                <a:cubicBezTo>
                  <a:pt x="51" y="47"/>
                  <a:pt x="29" y="39"/>
                  <a:pt x="24" y="30"/>
                </a:cubicBezTo>
                <a:cubicBezTo>
                  <a:pt x="19" y="21"/>
                  <a:pt x="23" y="6"/>
                  <a:pt x="22" y="0"/>
                </a:cubicBezTo>
              </a:path>
            </a:pathLst>
          </a:custGeom>
          <a:noFill/>
          <a:ln w="9525" cap="flat" cmpd="sng">
            <a:solidFill>
              <a:srgbClr val="FF0000"/>
            </a:solidFill>
            <a:prstDash val="solid"/>
            <a:round/>
            <a:headEnd type="none" w="med" len="med"/>
            <a:tailEnd type="stealth" w="sm" len="sm"/>
          </a:ln>
        </xdr:spPr>
      </xdr:sp>
    </xdr:grpSp>
    <xdr:clientData/>
  </xdr:twoCellAnchor>
  <xdr:twoCellAnchor>
    <xdr:from>
      <xdr:col>4</xdr:col>
      <xdr:colOff>257175</xdr:colOff>
      <xdr:row>174</xdr:row>
      <xdr:rowOff>76200</xdr:rowOff>
    </xdr:from>
    <xdr:to>
      <xdr:col>4</xdr:col>
      <xdr:colOff>495300</xdr:colOff>
      <xdr:row>178</xdr:row>
      <xdr:rowOff>152400</xdr:rowOff>
    </xdr:to>
    <xdr:grpSp>
      <xdr:nvGrpSpPr>
        <xdr:cNvPr id="17201" name="Group 253">
          <a:extLst>
            <a:ext uri="{FF2B5EF4-FFF2-40B4-BE49-F238E27FC236}">
              <a16:creationId xmlns:a16="http://schemas.microsoft.com/office/drawing/2014/main" id="{00000000-0008-0000-0900-000031430000}"/>
            </a:ext>
          </a:extLst>
        </xdr:cNvPr>
        <xdr:cNvGrpSpPr>
          <a:grpSpLocks/>
        </xdr:cNvGrpSpPr>
      </xdr:nvGrpSpPr>
      <xdr:grpSpPr bwMode="auto">
        <a:xfrm>
          <a:off x="2695575" y="29245560"/>
          <a:ext cx="238125" cy="746760"/>
          <a:chOff x="407" y="3212"/>
          <a:chExt cx="25" cy="76"/>
        </a:xfrm>
      </xdr:grpSpPr>
      <xdr:grpSp>
        <xdr:nvGrpSpPr>
          <xdr:cNvPr id="17514" name="Group 254">
            <a:extLst>
              <a:ext uri="{FF2B5EF4-FFF2-40B4-BE49-F238E27FC236}">
                <a16:creationId xmlns:a16="http://schemas.microsoft.com/office/drawing/2014/main" id="{00000000-0008-0000-0900-00006A440000}"/>
              </a:ext>
            </a:extLst>
          </xdr:cNvPr>
          <xdr:cNvGrpSpPr>
            <a:grpSpLocks/>
          </xdr:cNvGrpSpPr>
        </xdr:nvGrpSpPr>
        <xdr:grpSpPr bwMode="auto">
          <a:xfrm>
            <a:off x="407" y="3212"/>
            <a:ext cx="25" cy="76"/>
            <a:chOff x="408" y="3286"/>
            <a:chExt cx="25" cy="76"/>
          </a:xfrm>
        </xdr:grpSpPr>
        <xdr:grpSp>
          <xdr:nvGrpSpPr>
            <xdr:cNvPr id="17517" name="Group 255">
              <a:extLst>
                <a:ext uri="{FF2B5EF4-FFF2-40B4-BE49-F238E27FC236}">
                  <a16:creationId xmlns:a16="http://schemas.microsoft.com/office/drawing/2014/main" id="{00000000-0008-0000-0900-00006D440000}"/>
                </a:ext>
              </a:extLst>
            </xdr:cNvPr>
            <xdr:cNvGrpSpPr>
              <a:grpSpLocks/>
            </xdr:cNvGrpSpPr>
          </xdr:nvGrpSpPr>
          <xdr:grpSpPr bwMode="auto">
            <a:xfrm>
              <a:off x="408" y="3293"/>
              <a:ext cx="25" cy="69"/>
              <a:chOff x="481" y="3283"/>
              <a:chExt cx="25" cy="69"/>
            </a:xfrm>
          </xdr:grpSpPr>
          <xdr:grpSp>
            <xdr:nvGrpSpPr>
              <xdr:cNvPr id="17523" name="Group 256">
                <a:extLst>
                  <a:ext uri="{FF2B5EF4-FFF2-40B4-BE49-F238E27FC236}">
                    <a16:creationId xmlns:a16="http://schemas.microsoft.com/office/drawing/2014/main" id="{00000000-0008-0000-0900-000073440000}"/>
                  </a:ext>
                </a:extLst>
              </xdr:cNvPr>
              <xdr:cNvGrpSpPr>
                <a:grpSpLocks/>
              </xdr:cNvGrpSpPr>
            </xdr:nvGrpSpPr>
            <xdr:grpSpPr bwMode="auto">
              <a:xfrm>
                <a:off x="485" y="3283"/>
                <a:ext cx="16" cy="69"/>
                <a:chOff x="485" y="3283"/>
                <a:chExt cx="16" cy="69"/>
              </a:xfrm>
            </xdr:grpSpPr>
            <xdr:sp macro="" textlink="">
              <xdr:nvSpPr>
                <xdr:cNvPr id="17526" name="Oval 257">
                  <a:extLst>
                    <a:ext uri="{FF2B5EF4-FFF2-40B4-BE49-F238E27FC236}">
                      <a16:creationId xmlns:a16="http://schemas.microsoft.com/office/drawing/2014/main" id="{00000000-0008-0000-0900-000076440000}"/>
                    </a:ext>
                  </a:extLst>
                </xdr:cNvPr>
                <xdr:cNvSpPr>
                  <a:spLocks noChangeArrowheads="1"/>
                </xdr:cNvSpPr>
              </xdr:nvSpPr>
              <xdr:spPr bwMode="auto">
                <a:xfrm>
                  <a:off x="485" y="3283"/>
                  <a:ext cx="16" cy="16"/>
                </a:xfrm>
                <a:prstGeom prst="ellipse">
                  <a:avLst/>
                </a:prstGeom>
                <a:solidFill>
                  <a:srgbClr val="808080"/>
                </a:solidFill>
                <a:ln w="9525">
                  <a:noFill/>
                  <a:round/>
                  <a:headEnd/>
                  <a:tailEnd/>
                </a:ln>
              </xdr:spPr>
            </xdr:sp>
            <xdr:sp macro="" textlink="">
              <xdr:nvSpPr>
                <xdr:cNvPr id="17527" name="Rectangle 258">
                  <a:extLst>
                    <a:ext uri="{FF2B5EF4-FFF2-40B4-BE49-F238E27FC236}">
                      <a16:creationId xmlns:a16="http://schemas.microsoft.com/office/drawing/2014/main" id="{00000000-0008-0000-0900-000077440000}"/>
                    </a:ext>
                  </a:extLst>
                </xdr:cNvPr>
                <xdr:cNvSpPr>
                  <a:spLocks noChangeArrowheads="1"/>
                </xdr:cNvSpPr>
              </xdr:nvSpPr>
              <xdr:spPr bwMode="auto">
                <a:xfrm>
                  <a:off x="486" y="3298"/>
                  <a:ext cx="15" cy="31"/>
                </a:xfrm>
                <a:prstGeom prst="rect">
                  <a:avLst/>
                </a:prstGeom>
                <a:solidFill>
                  <a:srgbClr val="808080"/>
                </a:solidFill>
                <a:ln w="9525">
                  <a:noFill/>
                  <a:miter lim="800000"/>
                  <a:headEnd/>
                  <a:tailEnd/>
                </a:ln>
              </xdr:spPr>
            </xdr:sp>
            <xdr:sp macro="" textlink="">
              <xdr:nvSpPr>
                <xdr:cNvPr id="17528" name="Rectangle 259">
                  <a:extLst>
                    <a:ext uri="{FF2B5EF4-FFF2-40B4-BE49-F238E27FC236}">
                      <a16:creationId xmlns:a16="http://schemas.microsoft.com/office/drawing/2014/main" id="{00000000-0008-0000-0900-000078440000}"/>
                    </a:ext>
                  </a:extLst>
                </xdr:cNvPr>
                <xdr:cNvSpPr>
                  <a:spLocks noChangeArrowheads="1"/>
                </xdr:cNvSpPr>
              </xdr:nvSpPr>
              <xdr:spPr bwMode="auto">
                <a:xfrm>
                  <a:off x="487" y="3327"/>
                  <a:ext cx="6" cy="25"/>
                </a:xfrm>
                <a:prstGeom prst="rect">
                  <a:avLst/>
                </a:prstGeom>
                <a:solidFill>
                  <a:srgbClr val="808080"/>
                </a:solidFill>
                <a:ln w="9525">
                  <a:noFill/>
                  <a:miter lim="800000"/>
                  <a:headEnd/>
                  <a:tailEnd/>
                </a:ln>
              </xdr:spPr>
            </xdr:sp>
            <xdr:sp macro="" textlink="">
              <xdr:nvSpPr>
                <xdr:cNvPr id="17529" name="Rectangle 260">
                  <a:extLst>
                    <a:ext uri="{FF2B5EF4-FFF2-40B4-BE49-F238E27FC236}">
                      <a16:creationId xmlns:a16="http://schemas.microsoft.com/office/drawing/2014/main" id="{00000000-0008-0000-0900-000079440000}"/>
                    </a:ext>
                  </a:extLst>
                </xdr:cNvPr>
                <xdr:cNvSpPr>
                  <a:spLocks noChangeArrowheads="1"/>
                </xdr:cNvSpPr>
              </xdr:nvSpPr>
              <xdr:spPr bwMode="auto">
                <a:xfrm>
                  <a:off x="494" y="3327"/>
                  <a:ext cx="6" cy="25"/>
                </a:xfrm>
                <a:prstGeom prst="rect">
                  <a:avLst/>
                </a:prstGeom>
                <a:solidFill>
                  <a:srgbClr val="808080"/>
                </a:solidFill>
                <a:ln w="9525">
                  <a:noFill/>
                  <a:miter lim="800000"/>
                  <a:headEnd/>
                  <a:tailEnd/>
                </a:ln>
              </xdr:spPr>
            </xdr:sp>
          </xdr:grpSp>
          <xdr:sp macro="" textlink="">
            <xdr:nvSpPr>
              <xdr:cNvPr id="17524" name="AutoShape 261">
                <a:extLst>
                  <a:ext uri="{FF2B5EF4-FFF2-40B4-BE49-F238E27FC236}">
                    <a16:creationId xmlns:a16="http://schemas.microsoft.com/office/drawing/2014/main" id="{00000000-0008-0000-0900-000074440000}"/>
                  </a:ext>
                </a:extLst>
              </xdr:cNvPr>
              <xdr:cNvSpPr>
                <a:spLocks noChangeArrowheads="1"/>
              </xdr:cNvSpPr>
            </xdr:nvSpPr>
            <xdr:spPr bwMode="auto">
              <a:xfrm>
                <a:off x="502" y="3299"/>
                <a:ext cx="4" cy="29"/>
              </a:xfrm>
              <a:prstGeom prst="octagon">
                <a:avLst>
                  <a:gd name="adj" fmla="val 29287"/>
                </a:avLst>
              </a:prstGeom>
              <a:solidFill>
                <a:srgbClr val="808080"/>
              </a:solidFill>
              <a:ln w="9525">
                <a:noFill/>
                <a:miter lim="800000"/>
                <a:headEnd/>
                <a:tailEnd/>
              </a:ln>
            </xdr:spPr>
          </xdr:sp>
          <xdr:sp macro="" textlink="">
            <xdr:nvSpPr>
              <xdr:cNvPr id="17525" name="AutoShape 262">
                <a:extLst>
                  <a:ext uri="{FF2B5EF4-FFF2-40B4-BE49-F238E27FC236}">
                    <a16:creationId xmlns:a16="http://schemas.microsoft.com/office/drawing/2014/main" id="{00000000-0008-0000-0900-000075440000}"/>
                  </a:ext>
                </a:extLst>
              </xdr:cNvPr>
              <xdr:cNvSpPr>
                <a:spLocks noChangeArrowheads="1"/>
              </xdr:cNvSpPr>
            </xdr:nvSpPr>
            <xdr:spPr bwMode="auto">
              <a:xfrm>
                <a:off x="481" y="3299"/>
                <a:ext cx="4" cy="29"/>
              </a:xfrm>
              <a:prstGeom prst="octagon">
                <a:avLst>
                  <a:gd name="adj" fmla="val 29287"/>
                </a:avLst>
              </a:prstGeom>
              <a:solidFill>
                <a:srgbClr val="808080"/>
              </a:solidFill>
              <a:ln w="9525">
                <a:noFill/>
                <a:miter lim="800000"/>
                <a:headEnd/>
                <a:tailEnd/>
              </a:ln>
            </xdr:spPr>
          </xdr:sp>
        </xdr:grpSp>
        <xdr:grpSp>
          <xdr:nvGrpSpPr>
            <xdr:cNvPr id="17518" name="Group 263">
              <a:extLst>
                <a:ext uri="{FF2B5EF4-FFF2-40B4-BE49-F238E27FC236}">
                  <a16:creationId xmlns:a16="http://schemas.microsoft.com/office/drawing/2014/main" id="{00000000-0008-0000-0900-00006E440000}"/>
                </a:ext>
              </a:extLst>
            </xdr:cNvPr>
            <xdr:cNvGrpSpPr>
              <a:grpSpLocks/>
            </xdr:cNvGrpSpPr>
          </xdr:nvGrpSpPr>
          <xdr:grpSpPr bwMode="auto">
            <a:xfrm>
              <a:off x="410" y="3286"/>
              <a:ext cx="19" cy="14"/>
              <a:chOff x="410" y="3286"/>
              <a:chExt cx="19" cy="14"/>
            </a:xfrm>
          </xdr:grpSpPr>
          <xdr:sp macro="" textlink="">
            <xdr:nvSpPr>
              <xdr:cNvPr id="17519" name="AutoShape 264">
                <a:extLst>
                  <a:ext uri="{FF2B5EF4-FFF2-40B4-BE49-F238E27FC236}">
                    <a16:creationId xmlns:a16="http://schemas.microsoft.com/office/drawing/2014/main" id="{00000000-0008-0000-0900-00006F440000}"/>
                  </a:ext>
                </a:extLst>
              </xdr:cNvPr>
              <xdr:cNvSpPr>
                <a:spLocks noChangeArrowheads="1"/>
              </xdr:cNvSpPr>
            </xdr:nvSpPr>
            <xdr:spPr bwMode="auto">
              <a:xfrm rot="5400000" flipV="1">
                <a:off x="414" y="3282"/>
                <a:ext cx="12" cy="19"/>
              </a:xfrm>
              <a:prstGeom prst="moon">
                <a:avLst>
                  <a:gd name="adj" fmla="val 87500"/>
                </a:avLst>
              </a:prstGeom>
              <a:solidFill>
                <a:srgbClr val="FFFF99"/>
              </a:solidFill>
              <a:ln w="9525">
                <a:solidFill>
                  <a:srgbClr val="000000"/>
                </a:solidFill>
                <a:miter lim="800000"/>
                <a:headEnd/>
                <a:tailEnd/>
              </a:ln>
            </xdr:spPr>
          </xdr:sp>
          <xdr:sp macro="" textlink="">
            <xdr:nvSpPr>
              <xdr:cNvPr id="17520" name="AutoShape 265">
                <a:extLst>
                  <a:ext uri="{FF2B5EF4-FFF2-40B4-BE49-F238E27FC236}">
                    <a16:creationId xmlns:a16="http://schemas.microsoft.com/office/drawing/2014/main" id="{00000000-0008-0000-0900-000070440000}"/>
                  </a:ext>
                </a:extLst>
              </xdr:cNvPr>
              <xdr:cNvSpPr>
                <a:spLocks noChangeArrowheads="1"/>
              </xdr:cNvSpPr>
            </xdr:nvSpPr>
            <xdr:spPr bwMode="auto">
              <a:xfrm rot="16200000" flipV="1">
                <a:off x="417" y="3291"/>
                <a:ext cx="3" cy="16"/>
              </a:xfrm>
              <a:prstGeom prst="moon">
                <a:avLst>
                  <a:gd name="adj" fmla="val 87500"/>
                </a:avLst>
              </a:prstGeom>
              <a:solidFill>
                <a:srgbClr val="000000"/>
              </a:solidFill>
              <a:ln w="9525">
                <a:solidFill>
                  <a:srgbClr val="000000"/>
                </a:solidFill>
                <a:miter lim="800000"/>
                <a:headEnd/>
                <a:tailEnd/>
              </a:ln>
            </xdr:spPr>
          </xdr:sp>
          <xdr:sp macro="" textlink="">
            <xdr:nvSpPr>
              <xdr:cNvPr id="17521" name="Line 266">
                <a:extLst>
                  <a:ext uri="{FF2B5EF4-FFF2-40B4-BE49-F238E27FC236}">
                    <a16:creationId xmlns:a16="http://schemas.microsoft.com/office/drawing/2014/main" id="{00000000-0008-0000-0900-000071440000}"/>
                  </a:ext>
                </a:extLst>
              </xdr:cNvPr>
              <xdr:cNvSpPr>
                <a:spLocks noChangeShapeType="1"/>
              </xdr:cNvSpPr>
            </xdr:nvSpPr>
            <xdr:spPr bwMode="auto">
              <a:xfrm>
                <a:off x="416" y="3287"/>
                <a:ext cx="0" cy="10"/>
              </a:xfrm>
              <a:prstGeom prst="line">
                <a:avLst/>
              </a:prstGeom>
              <a:noFill/>
              <a:ln w="9525">
                <a:solidFill>
                  <a:srgbClr val="000000"/>
                </a:solidFill>
                <a:round/>
                <a:headEnd/>
                <a:tailEnd/>
              </a:ln>
            </xdr:spPr>
          </xdr:sp>
          <xdr:sp macro="" textlink="">
            <xdr:nvSpPr>
              <xdr:cNvPr id="17522" name="Line 267">
                <a:extLst>
                  <a:ext uri="{FF2B5EF4-FFF2-40B4-BE49-F238E27FC236}">
                    <a16:creationId xmlns:a16="http://schemas.microsoft.com/office/drawing/2014/main" id="{00000000-0008-0000-0900-000072440000}"/>
                  </a:ext>
                </a:extLst>
              </xdr:cNvPr>
              <xdr:cNvSpPr>
                <a:spLocks noChangeShapeType="1"/>
              </xdr:cNvSpPr>
            </xdr:nvSpPr>
            <xdr:spPr bwMode="auto">
              <a:xfrm>
                <a:off x="423" y="3287"/>
                <a:ext cx="0" cy="10"/>
              </a:xfrm>
              <a:prstGeom prst="line">
                <a:avLst/>
              </a:prstGeom>
              <a:noFill/>
              <a:ln w="9525">
                <a:solidFill>
                  <a:srgbClr val="000000"/>
                </a:solidFill>
                <a:round/>
                <a:headEnd/>
                <a:tailEnd/>
              </a:ln>
            </xdr:spPr>
          </xdr:sp>
        </xdr:grpSp>
      </xdr:grpSp>
      <xdr:sp macro="" textlink="">
        <xdr:nvSpPr>
          <xdr:cNvPr id="17515" name="Line 268">
            <a:extLst>
              <a:ext uri="{FF2B5EF4-FFF2-40B4-BE49-F238E27FC236}">
                <a16:creationId xmlns:a16="http://schemas.microsoft.com/office/drawing/2014/main" id="{00000000-0008-0000-0900-00006B440000}"/>
              </a:ext>
            </a:extLst>
          </xdr:cNvPr>
          <xdr:cNvSpPr>
            <a:spLocks noChangeShapeType="1"/>
          </xdr:cNvSpPr>
        </xdr:nvSpPr>
        <xdr:spPr bwMode="auto">
          <a:xfrm>
            <a:off x="409" y="3224"/>
            <a:ext cx="19" cy="0"/>
          </a:xfrm>
          <a:prstGeom prst="line">
            <a:avLst/>
          </a:prstGeom>
          <a:noFill/>
          <a:ln w="12700">
            <a:solidFill>
              <a:srgbClr val="000000"/>
            </a:solidFill>
            <a:round/>
            <a:headEnd/>
            <a:tailEnd/>
          </a:ln>
        </xdr:spPr>
      </xdr:sp>
      <xdr:sp macro="" textlink="">
        <xdr:nvSpPr>
          <xdr:cNvPr id="17516" name="Line 269">
            <a:extLst>
              <a:ext uri="{FF2B5EF4-FFF2-40B4-BE49-F238E27FC236}">
                <a16:creationId xmlns:a16="http://schemas.microsoft.com/office/drawing/2014/main" id="{00000000-0008-0000-0900-00006C440000}"/>
              </a:ext>
            </a:extLst>
          </xdr:cNvPr>
          <xdr:cNvSpPr>
            <a:spLocks noChangeShapeType="1"/>
          </xdr:cNvSpPr>
        </xdr:nvSpPr>
        <xdr:spPr bwMode="auto">
          <a:xfrm>
            <a:off x="411" y="3222"/>
            <a:ext cx="15" cy="0"/>
          </a:xfrm>
          <a:prstGeom prst="line">
            <a:avLst/>
          </a:prstGeom>
          <a:noFill/>
          <a:ln w="12700">
            <a:solidFill>
              <a:srgbClr val="FFFF99"/>
            </a:solidFill>
            <a:round/>
            <a:headEnd/>
            <a:tailEnd/>
          </a:ln>
        </xdr:spPr>
      </xdr:sp>
    </xdr:grpSp>
    <xdr:clientData/>
  </xdr:twoCellAnchor>
  <xdr:twoCellAnchor>
    <xdr:from>
      <xdr:col>5</xdr:col>
      <xdr:colOff>19050</xdr:colOff>
      <xdr:row>169</xdr:row>
      <xdr:rowOff>9525</xdr:rowOff>
    </xdr:from>
    <xdr:to>
      <xdr:col>5</xdr:col>
      <xdr:colOff>276225</xdr:colOff>
      <xdr:row>170</xdr:row>
      <xdr:rowOff>28575</xdr:rowOff>
    </xdr:to>
    <xdr:sp macro="" textlink="">
      <xdr:nvSpPr>
        <xdr:cNvPr id="17202" name="Line 272">
          <a:extLst>
            <a:ext uri="{FF2B5EF4-FFF2-40B4-BE49-F238E27FC236}">
              <a16:creationId xmlns:a16="http://schemas.microsoft.com/office/drawing/2014/main" id="{00000000-0008-0000-0900-000032430000}"/>
            </a:ext>
          </a:extLst>
        </xdr:cNvPr>
        <xdr:cNvSpPr>
          <a:spLocks noChangeShapeType="1"/>
        </xdr:cNvSpPr>
      </xdr:nvSpPr>
      <xdr:spPr bwMode="auto">
        <a:xfrm flipV="1">
          <a:off x="3067050" y="27374850"/>
          <a:ext cx="190500" cy="180975"/>
        </a:xfrm>
        <a:prstGeom prst="line">
          <a:avLst/>
        </a:prstGeom>
        <a:noFill/>
        <a:ln w="9525">
          <a:solidFill>
            <a:srgbClr val="000000"/>
          </a:solidFill>
          <a:prstDash val="dash"/>
          <a:round/>
          <a:headEnd/>
          <a:tailEnd/>
        </a:ln>
      </xdr:spPr>
    </xdr:sp>
    <xdr:clientData/>
  </xdr:twoCellAnchor>
  <xdr:twoCellAnchor>
    <xdr:from>
      <xdr:col>5</xdr:col>
      <xdr:colOff>28575</xdr:colOff>
      <xdr:row>175</xdr:row>
      <xdr:rowOff>152400</xdr:rowOff>
    </xdr:from>
    <xdr:to>
      <xdr:col>5</xdr:col>
      <xdr:colOff>285750</xdr:colOff>
      <xdr:row>177</xdr:row>
      <xdr:rowOff>9525</xdr:rowOff>
    </xdr:to>
    <xdr:sp macro="" textlink="">
      <xdr:nvSpPr>
        <xdr:cNvPr id="17203" name="Line 273">
          <a:extLst>
            <a:ext uri="{FF2B5EF4-FFF2-40B4-BE49-F238E27FC236}">
              <a16:creationId xmlns:a16="http://schemas.microsoft.com/office/drawing/2014/main" id="{00000000-0008-0000-0900-000033430000}"/>
            </a:ext>
          </a:extLst>
        </xdr:cNvPr>
        <xdr:cNvSpPr>
          <a:spLocks noChangeShapeType="1"/>
        </xdr:cNvSpPr>
      </xdr:nvSpPr>
      <xdr:spPr bwMode="auto">
        <a:xfrm flipV="1">
          <a:off x="3076575" y="28489275"/>
          <a:ext cx="180975" cy="180975"/>
        </a:xfrm>
        <a:prstGeom prst="line">
          <a:avLst/>
        </a:prstGeom>
        <a:noFill/>
        <a:ln w="9525">
          <a:solidFill>
            <a:srgbClr val="000000"/>
          </a:solidFill>
          <a:prstDash val="dash"/>
          <a:round/>
          <a:headEnd/>
          <a:tailEnd/>
        </a:ln>
      </xdr:spPr>
    </xdr:sp>
    <xdr:clientData/>
  </xdr:twoCellAnchor>
  <xdr:twoCellAnchor>
    <xdr:from>
      <xdr:col>4</xdr:col>
      <xdr:colOff>409575</xdr:colOff>
      <xdr:row>179</xdr:row>
      <xdr:rowOff>9525</xdr:rowOff>
    </xdr:from>
    <xdr:to>
      <xdr:col>6</xdr:col>
      <xdr:colOff>0</xdr:colOff>
      <xdr:row>180</xdr:row>
      <xdr:rowOff>104775</xdr:rowOff>
    </xdr:to>
    <xdr:sp macro="" textlink="">
      <xdr:nvSpPr>
        <xdr:cNvPr id="16658" name="Text Box 274">
          <a:extLst>
            <a:ext uri="{FF2B5EF4-FFF2-40B4-BE49-F238E27FC236}">
              <a16:creationId xmlns:a16="http://schemas.microsoft.com/office/drawing/2014/main" id="{00000000-0008-0000-0900-000012410000}"/>
            </a:ext>
          </a:extLst>
        </xdr:cNvPr>
        <xdr:cNvSpPr txBox="1">
          <a:spLocks noChangeArrowheads="1"/>
        </xdr:cNvSpPr>
      </xdr:nvSpPr>
      <xdr:spPr bwMode="auto">
        <a:xfrm>
          <a:off x="2847975" y="28994100"/>
          <a:ext cx="409575" cy="257175"/>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en-US" sz="1000" b="0" i="0" u="none" strike="noStrike" baseline="0">
              <a:solidFill>
                <a:srgbClr val="FFFF00"/>
              </a:solidFill>
              <a:latin typeface="Arial"/>
              <a:cs typeface="Arial"/>
            </a:rPr>
            <a:t>Onsite</a:t>
          </a:r>
        </a:p>
      </xdr:txBody>
    </xdr:sp>
    <xdr:clientData/>
  </xdr:twoCellAnchor>
  <xdr:twoCellAnchor>
    <xdr:from>
      <xdr:col>5</xdr:col>
      <xdr:colOff>66675</xdr:colOff>
      <xdr:row>173</xdr:row>
      <xdr:rowOff>123825</xdr:rowOff>
    </xdr:from>
    <xdr:to>
      <xdr:col>6</xdr:col>
      <xdr:colOff>95250</xdr:colOff>
      <xdr:row>175</xdr:row>
      <xdr:rowOff>95250</xdr:rowOff>
    </xdr:to>
    <xdr:sp macro="" textlink="">
      <xdr:nvSpPr>
        <xdr:cNvPr id="17205" name="AutoShape 275">
          <a:extLst>
            <a:ext uri="{FF2B5EF4-FFF2-40B4-BE49-F238E27FC236}">
              <a16:creationId xmlns:a16="http://schemas.microsoft.com/office/drawing/2014/main" id="{00000000-0008-0000-0900-000035430000}"/>
            </a:ext>
          </a:extLst>
        </xdr:cNvPr>
        <xdr:cNvSpPr>
          <a:spLocks noChangeArrowheads="1"/>
        </xdr:cNvSpPr>
      </xdr:nvSpPr>
      <xdr:spPr bwMode="auto">
        <a:xfrm>
          <a:off x="3114675" y="28136850"/>
          <a:ext cx="238125" cy="295275"/>
        </a:xfrm>
        <a:custGeom>
          <a:avLst/>
          <a:gdLst>
            <a:gd name="T0" fmla="*/ 151386 w 21600"/>
            <a:gd name="T1" fmla="*/ 0 h 21600"/>
            <a:gd name="T2" fmla="*/ 0 w 21600"/>
            <a:gd name="T3" fmla="*/ 147638 h 21600"/>
            <a:gd name="T4" fmla="*/ 151386 w 21600"/>
            <a:gd name="T5" fmla="*/ 295275 h 21600"/>
            <a:gd name="T6" fmla="*/ 238125 w 21600"/>
            <a:gd name="T7" fmla="*/ 147638 h 21600"/>
            <a:gd name="T8" fmla="*/ 17694720 60000 65536"/>
            <a:gd name="T9" fmla="*/ 11796480 60000 65536"/>
            <a:gd name="T10" fmla="*/ 5898240 60000 65536"/>
            <a:gd name="T11" fmla="*/ 0 60000 65536"/>
            <a:gd name="T12" fmla="*/ 3375 w 21600"/>
            <a:gd name="T13" fmla="*/ 3527 h 21600"/>
            <a:gd name="T14" fmla="*/ 16302 w 21600"/>
            <a:gd name="T15" fmla="*/ 18073 h 21600"/>
          </a:gdLst>
          <a:ahLst/>
          <a:cxnLst>
            <a:cxn ang="T8">
              <a:pos x="T0" y="T1"/>
            </a:cxn>
            <a:cxn ang="T9">
              <a:pos x="T2" y="T3"/>
            </a:cxn>
            <a:cxn ang="T10">
              <a:pos x="T4" y="T5"/>
            </a:cxn>
            <a:cxn ang="T11">
              <a:pos x="T6" y="T7"/>
            </a:cxn>
          </a:cxnLst>
          <a:rect l="T12" t="T13" r="T14" b="T15"/>
          <a:pathLst>
            <a:path w="21600" h="21600">
              <a:moveTo>
                <a:pt x="13732" y="0"/>
              </a:moveTo>
              <a:lnTo>
                <a:pt x="13732" y="3527"/>
              </a:lnTo>
              <a:lnTo>
                <a:pt x="3375" y="3527"/>
              </a:lnTo>
              <a:lnTo>
                <a:pt x="3375" y="18073"/>
              </a:lnTo>
              <a:lnTo>
                <a:pt x="13732" y="18073"/>
              </a:lnTo>
              <a:lnTo>
                <a:pt x="13732" y="21600"/>
              </a:lnTo>
              <a:lnTo>
                <a:pt x="21600" y="10800"/>
              </a:lnTo>
              <a:close/>
            </a:path>
            <a:path w="21600" h="21600">
              <a:moveTo>
                <a:pt x="1350" y="3527"/>
              </a:moveTo>
              <a:lnTo>
                <a:pt x="1350" y="18073"/>
              </a:lnTo>
              <a:lnTo>
                <a:pt x="2700" y="18073"/>
              </a:lnTo>
              <a:lnTo>
                <a:pt x="2700" y="3527"/>
              </a:lnTo>
              <a:close/>
            </a:path>
            <a:path w="21600" h="21600">
              <a:moveTo>
                <a:pt x="0" y="3527"/>
              </a:moveTo>
              <a:lnTo>
                <a:pt x="0" y="18073"/>
              </a:lnTo>
              <a:lnTo>
                <a:pt x="675" y="18073"/>
              </a:lnTo>
              <a:lnTo>
                <a:pt x="675" y="3527"/>
              </a:lnTo>
              <a:close/>
            </a:path>
          </a:pathLst>
        </a:custGeom>
        <a:solidFill>
          <a:srgbClr val="0000FF">
            <a:alpha val="50195"/>
          </a:srgbClr>
        </a:solidFill>
        <a:ln w="9525">
          <a:noFill/>
          <a:miter lim="800000"/>
          <a:headEnd/>
          <a:tailEnd/>
        </a:ln>
      </xdr:spPr>
    </xdr:sp>
    <xdr:clientData/>
  </xdr:twoCellAnchor>
  <xdr:twoCellAnchor>
    <xdr:from>
      <xdr:col>6</xdr:col>
      <xdr:colOff>247650</xdr:colOff>
      <xdr:row>173</xdr:row>
      <xdr:rowOff>123825</xdr:rowOff>
    </xdr:from>
    <xdr:to>
      <xdr:col>7</xdr:col>
      <xdr:colOff>276225</xdr:colOff>
      <xdr:row>175</xdr:row>
      <xdr:rowOff>95250</xdr:rowOff>
    </xdr:to>
    <xdr:sp macro="" textlink="">
      <xdr:nvSpPr>
        <xdr:cNvPr id="17206" name="AutoShape 276">
          <a:extLst>
            <a:ext uri="{FF2B5EF4-FFF2-40B4-BE49-F238E27FC236}">
              <a16:creationId xmlns:a16="http://schemas.microsoft.com/office/drawing/2014/main" id="{00000000-0008-0000-0900-000036430000}"/>
            </a:ext>
          </a:extLst>
        </xdr:cNvPr>
        <xdr:cNvSpPr>
          <a:spLocks noChangeArrowheads="1"/>
        </xdr:cNvSpPr>
      </xdr:nvSpPr>
      <xdr:spPr bwMode="auto">
        <a:xfrm>
          <a:off x="3505200" y="28136850"/>
          <a:ext cx="638175" cy="295275"/>
        </a:xfrm>
        <a:custGeom>
          <a:avLst/>
          <a:gdLst>
            <a:gd name="T0" fmla="*/ 405714 w 21600"/>
            <a:gd name="T1" fmla="*/ 0 h 21600"/>
            <a:gd name="T2" fmla="*/ 0 w 21600"/>
            <a:gd name="T3" fmla="*/ 147638 h 21600"/>
            <a:gd name="T4" fmla="*/ 405714 w 21600"/>
            <a:gd name="T5" fmla="*/ 295275 h 21600"/>
            <a:gd name="T6" fmla="*/ 638175 w 21600"/>
            <a:gd name="T7" fmla="*/ 147638 h 21600"/>
            <a:gd name="T8" fmla="*/ 17694720 60000 65536"/>
            <a:gd name="T9" fmla="*/ 11796480 60000 65536"/>
            <a:gd name="T10" fmla="*/ 5898240 60000 65536"/>
            <a:gd name="T11" fmla="*/ 0 60000 65536"/>
            <a:gd name="T12" fmla="*/ 3375 w 21600"/>
            <a:gd name="T13" fmla="*/ 3527 h 21600"/>
            <a:gd name="T14" fmla="*/ 16301 w 21600"/>
            <a:gd name="T15" fmla="*/ 18073 h 21600"/>
          </a:gdLst>
          <a:ahLst/>
          <a:cxnLst>
            <a:cxn ang="T8">
              <a:pos x="T0" y="T1"/>
            </a:cxn>
            <a:cxn ang="T9">
              <a:pos x="T2" y="T3"/>
            </a:cxn>
            <a:cxn ang="T10">
              <a:pos x="T4" y="T5"/>
            </a:cxn>
            <a:cxn ang="T11">
              <a:pos x="T6" y="T7"/>
            </a:cxn>
          </a:cxnLst>
          <a:rect l="T12" t="T13" r="T14" b="T15"/>
          <a:pathLst>
            <a:path w="21600" h="21600">
              <a:moveTo>
                <a:pt x="13732" y="0"/>
              </a:moveTo>
              <a:lnTo>
                <a:pt x="13732" y="3527"/>
              </a:lnTo>
              <a:lnTo>
                <a:pt x="3375" y="3527"/>
              </a:lnTo>
              <a:lnTo>
                <a:pt x="3375" y="18073"/>
              </a:lnTo>
              <a:lnTo>
                <a:pt x="13732" y="18073"/>
              </a:lnTo>
              <a:lnTo>
                <a:pt x="13732" y="21600"/>
              </a:lnTo>
              <a:lnTo>
                <a:pt x="21600" y="10800"/>
              </a:lnTo>
              <a:close/>
            </a:path>
            <a:path w="21600" h="21600">
              <a:moveTo>
                <a:pt x="1350" y="3527"/>
              </a:moveTo>
              <a:lnTo>
                <a:pt x="1350" y="18073"/>
              </a:lnTo>
              <a:lnTo>
                <a:pt x="2700" y="18073"/>
              </a:lnTo>
              <a:lnTo>
                <a:pt x="2700" y="3527"/>
              </a:lnTo>
              <a:close/>
            </a:path>
            <a:path w="21600" h="21600">
              <a:moveTo>
                <a:pt x="0" y="3527"/>
              </a:moveTo>
              <a:lnTo>
                <a:pt x="0" y="18073"/>
              </a:lnTo>
              <a:lnTo>
                <a:pt x="675" y="18073"/>
              </a:lnTo>
              <a:lnTo>
                <a:pt x="675" y="3527"/>
              </a:lnTo>
              <a:close/>
            </a:path>
          </a:pathLst>
        </a:custGeom>
        <a:solidFill>
          <a:srgbClr val="0000FF">
            <a:alpha val="50195"/>
          </a:srgbClr>
        </a:solidFill>
        <a:ln w="9525">
          <a:noFill/>
          <a:miter lim="800000"/>
          <a:headEnd/>
          <a:tailEnd/>
        </a:ln>
      </xdr:spPr>
    </xdr:sp>
    <xdr:clientData/>
  </xdr:twoCellAnchor>
  <xdr:twoCellAnchor>
    <xdr:from>
      <xdr:col>5</xdr:col>
      <xdr:colOff>171450</xdr:colOff>
      <xdr:row>246</xdr:row>
      <xdr:rowOff>95250</xdr:rowOff>
    </xdr:from>
    <xdr:to>
      <xdr:col>5</xdr:col>
      <xdr:colOff>171450</xdr:colOff>
      <xdr:row>253</xdr:row>
      <xdr:rowOff>47625</xdr:rowOff>
    </xdr:to>
    <xdr:sp macro="" textlink="">
      <xdr:nvSpPr>
        <xdr:cNvPr id="17207" name="Line 277">
          <a:extLst>
            <a:ext uri="{FF2B5EF4-FFF2-40B4-BE49-F238E27FC236}">
              <a16:creationId xmlns:a16="http://schemas.microsoft.com/office/drawing/2014/main" id="{00000000-0008-0000-0900-000037430000}"/>
            </a:ext>
          </a:extLst>
        </xdr:cNvPr>
        <xdr:cNvSpPr>
          <a:spLocks noChangeShapeType="1"/>
        </xdr:cNvSpPr>
      </xdr:nvSpPr>
      <xdr:spPr bwMode="auto">
        <a:xfrm>
          <a:off x="3219450" y="39928800"/>
          <a:ext cx="0" cy="1085850"/>
        </a:xfrm>
        <a:prstGeom prst="line">
          <a:avLst/>
        </a:prstGeom>
        <a:noFill/>
        <a:ln w="9525">
          <a:solidFill>
            <a:srgbClr val="000000"/>
          </a:solidFill>
          <a:round/>
          <a:headEnd type="stealth" w="sm" len="sm"/>
          <a:tailEnd type="stealth" w="sm" len="sm"/>
        </a:ln>
      </xdr:spPr>
    </xdr:sp>
    <xdr:clientData/>
  </xdr:twoCellAnchor>
  <xdr:twoCellAnchor>
    <xdr:from>
      <xdr:col>0</xdr:col>
      <xdr:colOff>247650</xdr:colOff>
      <xdr:row>253</xdr:row>
      <xdr:rowOff>152400</xdr:rowOff>
    </xdr:from>
    <xdr:to>
      <xdr:col>5</xdr:col>
      <xdr:colOff>466725</xdr:colOff>
      <xdr:row>261</xdr:row>
      <xdr:rowOff>19050</xdr:rowOff>
    </xdr:to>
    <xdr:grpSp>
      <xdr:nvGrpSpPr>
        <xdr:cNvPr id="17208" name="Group 278">
          <a:extLst>
            <a:ext uri="{FF2B5EF4-FFF2-40B4-BE49-F238E27FC236}">
              <a16:creationId xmlns:a16="http://schemas.microsoft.com/office/drawing/2014/main" id="{00000000-0008-0000-0900-000038430000}"/>
            </a:ext>
          </a:extLst>
        </xdr:cNvPr>
        <xdr:cNvGrpSpPr>
          <a:grpSpLocks/>
        </xdr:cNvGrpSpPr>
      </xdr:nvGrpSpPr>
      <xdr:grpSpPr bwMode="auto">
        <a:xfrm>
          <a:off x="247650" y="42565320"/>
          <a:ext cx="3015615" cy="1207770"/>
          <a:chOff x="26" y="5337"/>
          <a:chExt cx="343" cy="122"/>
        </a:xfrm>
      </xdr:grpSpPr>
      <xdr:grpSp>
        <xdr:nvGrpSpPr>
          <xdr:cNvPr id="17510" name="Group 279">
            <a:extLst>
              <a:ext uri="{FF2B5EF4-FFF2-40B4-BE49-F238E27FC236}">
                <a16:creationId xmlns:a16="http://schemas.microsoft.com/office/drawing/2014/main" id="{00000000-0008-0000-0900-000066440000}"/>
              </a:ext>
            </a:extLst>
          </xdr:cNvPr>
          <xdr:cNvGrpSpPr>
            <a:grpSpLocks/>
          </xdr:cNvGrpSpPr>
        </xdr:nvGrpSpPr>
        <xdr:grpSpPr bwMode="auto">
          <a:xfrm>
            <a:off x="26" y="5337"/>
            <a:ext cx="343" cy="117"/>
            <a:chOff x="26" y="5337"/>
            <a:chExt cx="343" cy="117"/>
          </a:xfrm>
        </xdr:grpSpPr>
        <xdr:sp macro="" textlink="">
          <xdr:nvSpPr>
            <xdr:cNvPr id="17512" name="Freeform 280">
              <a:extLst>
                <a:ext uri="{FF2B5EF4-FFF2-40B4-BE49-F238E27FC236}">
                  <a16:creationId xmlns:a16="http://schemas.microsoft.com/office/drawing/2014/main" id="{00000000-0008-0000-0900-000068440000}"/>
                </a:ext>
              </a:extLst>
            </xdr:cNvPr>
            <xdr:cNvSpPr>
              <a:spLocks/>
            </xdr:cNvSpPr>
          </xdr:nvSpPr>
          <xdr:spPr bwMode="auto">
            <a:xfrm>
              <a:off x="26" y="5337"/>
              <a:ext cx="343" cy="117"/>
            </a:xfrm>
            <a:custGeom>
              <a:avLst/>
              <a:gdLst>
                <a:gd name="T0" fmla="*/ 74 w 285"/>
                <a:gd name="T1" fmla="*/ 0 h 90"/>
                <a:gd name="T2" fmla="*/ 257 w 285"/>
                <a:gd name="T3" fmla="*/ 0 h 90"/>
                <a:gd name="T4" fmla="*/ 285 w 285"/>
                <a:gd name="T5" fmla="*/ 44 h 90"/>
                <a:gd name="T6" fmla="*/ 205 w 285"/>
                <a:gd name="T7" fmla="*/ 90 h 90"/>
                <a:gd name="T8" fmla="*/ 0 w 285"/>
                <a:gd name="T9" fmla="*/ 90 h 90"/>
                <a:gd name="T10" fmla="*/ 22 w 285"/>
                <a:gd name="T11" fmla="*/ 31 h 90"/>
                <a:gd name="T12" fmla="*/ 74 w 285"/>
                <a:gd name="T13" fmla="*/ 0 h 90"/>
                <a:gd name="T14" fmla="*/ 0 60000 65536"/>
                <a:gd name="T15" fmla="*/ 0 60000 65536"/>
                <a:gd name="T16" fmla="*/ 0 60000 65536"/>
                <a:gd name="T17" fmla="*/ 0 60000 65536"/>
                <a:gd name="T18" fmla="*/ 0 60000 65536"/>
                <a:gd name="T19" fmla="*/ 0 60000 65536"/>
                <a:gd name="T20" fmla="*/ 0 60000 65536"/>
                <a:gd name="T21" fmla="*/ 0 w 285"/>
                <a:gd name="T22" fmla="*/ 0 h 90"/>
                <a:gd name="T23" fmla="*/ 285 w 285"/>
                <a:gd name="T24" fmla="*/ 90 h 90"/>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85" h="90">
                  <a:moveTo>
                    <a:pt x="74" y="0"/>
                  </a:moveTo>
                  <a:lnTo>
                    <a:pt x="257" y="0"/>
                  </a:lnTo>
                  <a:lnTo>
                    <a:pt x="285" y="44"/>
                  </a:lnTo>
                  <a:lnTo>
                    <a:pt x="205" y="90"/>
                  </a:lnTo>
                  <a:lnTo>
                    <a:pt x="0" y="90"/>
                  </a:lnTo>
                  <a:lnTo>
                    <a:pt x="22" y="31"/>
                  </a:lnTo>
                  <a:lnTo>
                    <a:pt x="74" y="0"/>
                  </a:lnTo>
                  <a:close/>
                </a:path>
              </a:pathLst>
            </a:custGeom>
            <a:solidFill>
              <a:srgbClr val="996600"/>
            </a:solidFill>
            <a:ln w="9525" cap="flat" cmpd="sng">
              <a:solidFill>
                <a:srgbClr val="000000"/>
              </a:solidFill>
              <a:prstDash val="solid"/>
              <a:round/>
              <a:headEnd/>
              <a:tailEnd/>
            </a:ln>
          </xdr:spPr>
        </xdr:sp>
        <xdr:sp macro="" textlink="">
          <xdr:nvSpPr>
            <xdr:cNvPr id="17513" name="AutoShape 281">
              <a:extLst>
                <a:ext uri="{FF2B5EF4-FFF2-40B4-BE49-F238E27FC236}">
                  <a16:creationId xmlns:a16="http://schemas.microsoft.com/office/drawing/2014/main" id="{00000000-0008-0000-0900-000069440000}"/>
                </a:ext>
              </a:extLst>
            </xdr:cNvPr>
            <xdr:cNvSpPr>
              <a:spLocks noChangeArrowheads="1"/>
            </xdr:cNvSpPr>
          </xdr:nvSpPr>
          <xdr:spPr bwMode="auto">
            <a:xfrm>
              <a:off x="73" y="5344"/>
              <a:ext cx="243" cy="33"/>
            </a:xfrm>
            <a:prstGeom prst="parallelogram">
              <a:avLst>
                <a:gd name="adj" fmla="val 162068"/>
              </a:avLst>
            </a:prstGeom>
            <a:solidFill>
              <a:srgbClr val="FFCC99"/>
            </a:solidFill>
            <a:ln w="9525">
              <a:solidFill>
                <a:srgbClr val="000000"/>
              </a:solidFill>
              <a:miter lim="800000"/>
              <a:headEnd/>
              <a:tailEnd/>
            </a:ln>
          </xdr:spPr>
        </xdr:sp>
      </xdr:grpSp>
      <xdr:sp macro="" textlink="">
        <xdr:nvSpPr>
          <xdr:cNvPr id="16666" name="Text Box 282">
            <a:extLst>
              <a:ext uri="{FF2B5EF4-FFF2-40B4-BE49-F238E27FC236}">
                <a16:creationId xmlns:a16="http://schemas.microsoft.com/office/drawing/2014/main" id="{00000000-0008-0000-0900-00001A410000}"/>
              </a:ext>
            </a:extLst>
          </xdr:cNvPr>
          <xdr:cNvSpPr txBox="1">
            <a:spLocks noChangeArrowheads="1"/>
          </xdr:cNvSpPr>
        </xdr:nvSpPr>
        <xdr:spPr bwMode="auto">
          <a:xfrm>
            <a:off x="94" y="5431"/>
            <a:ext cx="128" cy="28"/>
          </a:xfrm>
          <a:prstGeom prst="rect">
            <a:avLst/>
          </a:prstGeom>
          <a:noFill/>
          <a:ln w="9525">
            <a:noFill/>
            <a:miter lim="800000"/>
            <a:headEnd/>
            <a:tailEnd/>
          </a:ln>
        </xdr:spPr>
        <xdr:txBody>
          <a:bodyPr vertOverflow="clip" wrap="square" lIns="36576" tIns="22860" rIns="36576" bIns="0" anchor="t" upright="1"/>
          <a:lstStyle/>
          <a:p>
            <a:pPr algn="ctr" rtl="0">
              <a:defRPr sz="1000"/>
            </a:pPr>
            <a:r>
              <a:rPr lang="en-US" sz="1200" b="0" i="0" u="none" strike="noStrike" baseline="0">
                <a:solidFill>
                  <a:srgbClr val="FFFF00"/>
                </a:solidFill>
                <a:latin typeface="Arial"/>
                <a:cs typeface="Arial"/>
              </a:rPr>
              <a:t>CDF</a:t>
            </a:r>
          </a:p>
        </xdr:txBody>
      </xdr:sp>
    </xdr:grpSp>
    <xdr:clientData/>
  </xdr:twoCellAnchor>
  <xdr:twoCellAnchor>
    <xdr:from>
      <xdr:col>4</xdr:col>
      <xdr:colOff>0</xdr:colOff>
      <xdr:row>247</xdr:row>
      <xdr:rowOff>47625</xdr:rowOff>
    </xdr:from>
    <xdr:to>
      <xdr:col>4</xdr:col>
      <xdr:colOff>600075</xdr:colOff>
      <xdr:row>256</xdr:row>
      <xdr:rowOff>123825</xdr:rowOff>
    </xdr:to>
    <xdr:sp macro="" textlink="">
      <xdr:nvSpPr>
        <xdr:cNvPr id="17209" name="AutoShape 283">
          <a:extLst>
            <a:ext uri="{FF2B5EF4-FFF2-40B4-BE49-F238E27FC236}">
              <a16:creationId xmlns:a16="http://schemas.microsoft.com/office/drawing/2014/main" id="{00000000-0008-0000-0900-000039430000}"/>
            </a:ext>
          </a:extLst>
        </xdr:cNvPr>
        <xdr:cNvSpPr>
          <a:spLocks noChangeArrowheads="1"/>
        </xdr:cNvSpPr>
      </xdr:nvSpPr>
      <xdr:spPr bwMode="auto">
        <a:xfrm rot="5400000" flipV="1">
          <a:off x="1971675" y="40509825"/>
          <a:ext cx="1533525" cy="600075"/>
        </a:xfrm>
        <a:prstGeom prst="parallelogram">
          <a:avLst>
            <a:gd name="adj" fmla="val 68243"/>
          </a:avLst>
        </a:prstGeom>
        <a:solidFill>
          <a:srgbClr val="FFFFFF">
            <a:alpha val="50195"/>
          </a:srgbClr>
        </a:solidFill>
        <a:ln w="9525">
          <a:solidFill>
            <a:srgbClr val="000000"/>
          </a:solidFill>
          <a:miter lim="800000"/>
          <a:headEnd/>
          <a:tailEnd/>
        </a:ln>
      </xdr:spPr>
    </xdr:sp>
    <xdr:clientData/>
  </xdr:twoCellAnchor>
  <xdr:twoCellAnchor>
    <xdr:from>
      <xdr:col>5</xdr:col>
      <xdr:colOff>247650</xdr:colOff>
      <xdr:row>248</xdr:row>
      <xdr:rowOff>152400</xdr:rowOff>
    </xdr:from>
    <xdr:to>
      <xdr:col>6</xdr:col>
      <xdr:colOff>200025</xdr:colOff>
      <xdr:row>250</xdr:row>
      <xdr:rowOff>28575</xdr:rowOff>
    </xdr:to>
    <xdr:sp macro="" textlink="">
      <xdr:nvSpPr>
        <xdr:cNvPr id="16668" name="Text Box 284">
          <a:extLst>
            <a:ext uri="{FF2B5EF4-FFF2-40B4-BE49-F238E27FC236}">
              <a16:creationId xmlns:a16="http://schemas.microsoft.com/office/drawing/2014/main" id="{00000000-0008-0000-0900-00001C410000}"/>
            </a:ext>
          </a:extLst>
        </xdr:cNvPr>
        <xdr:cNvSpPr txBox="1">
          <a:spLocks noChangeArrowheads="1"/>
        </xdr:cNvSpPr>
      </xdr:nvSpPr>
      <xdr:spPr bwMode="auto">
        <a:xfrm>
          <a:off x="3257550" y="40309800"/>
          <a:ext cx="200025" cy="200025"/>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3 m</a:t>
          </a:r>
        </a:p>
      </xdr:txBody>
    </xdr:sp>
    <xdr:clientData/>
  </xdr:twoCellAnchor>
  <xdr:twoCellAnchor>
    <xdr:from>
      <xdr:col>1</xdr:col>
      <xdr:colOff>381000</xdr:colOff>
      <xdr:row>255</xdr:row>
      <xdr:rowOff>0</xdr:rowOff>
    </xdr:from>
    <xdr:to>
      <xdr:col>1</xdr:col>
      <xdr:colOff>590550</xdr:colOff>
      <xdr:row>256</xdr:row>
      <xdr:rowOff>47625</xdr:rowOff>
    </xdr:to>
    <xdr:sp macro="" textlink="">
      <xdr:nvSpPr>
        <xdr:cNvPr id="16669" name="Text Box 285">
          <a:extLst>
            <a:ext uri="{FF2B5EF4-FFF2-40B4-BE49-F238E27FC236}">
              <a16:creationId xmlns:a16="http://schemas.microsoft.com/office/drawing/2014/main" id="{00000000-0008-0000-0900-00001D410000}"/>
            </a:ext>
          </a:extLst>
        </xdr:cNvPr>
        <xdr:cNvSpPr txBox="1">
          <a:spLocks noChangeArrowheads="1"/>
        </xdr:cNvSpPr>
      </xdr:nvSpPr>
      <xdr:spPr bwMode="auto">
        <a:xfrm>
          <a:off x="990600" y="41290875"/>
          <a:ext cx="209550" cy="209550"/>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FFFF00"/>
              </a:solidFill>
              <a:latin typeface="Arial"/>
              <a:cs typeface="Arial"/>
            </a:rPr>
            <a:t>W</a:t>
          </a:r>
        </a:p>
      </xdr:txBody>
    </xdr:sp>
    <xdr:clientData/>
  </xdr:twoCellAnchor>
  <xdr:twoCellAnchor>
    <xdr:from>
      <xdr:col>4</xdr:col>
      <xdr:colOff>257175</xdr:colOff>
      <xdr:row>255</xdr:row>
      <xdr:rowOff>104775</xdr:rowOff>
    </xdr:from>
    <xdr:to>
      <xdr:col>4</xdr:col>
      <xdr:colOff>504825</xdr:colOff>
      <xdr:row>257</xdr:row>
      <xdr:rowOff>38100</xdr:rowOff>
    </xdr:to>
    <xdr:grpSp>
      <xdr:nvGrpSpPr>
        <xdr:cNvPr id="17212" name="Group 286">
          <a:extLst>
            <a:ext uri="{FF2B5EF4-FFF2-40B4-BE49-F238E27FC236}">
              <a16:creationId xmlns:a16="http://schemas.microsoft.com/office/drawing/2014/main" id="{00000000-0008-0000-0900-00003C430000}"/>
            </a:ext>
          </a:extLst>
        </xdr:cNvPr>
        <xdr:cNvGrpSpPr>
          <a:grpSpLocks/>
        </xdr:cNvGrpSpPr>
      </xdr:nvGrpSpPr>
      <xdr:grpSpPr bwMode="auto">
        <a:xfrm>
          <a:off x="2695575" y="42852975"/>
          <a:ext cx="247650" cy="268605"/>
          <a:chOff x="263" y="5366"/>
          <a:chExt cx="26" cy="27"/>
        </a:xfrm>
      </xdr:grpSpPr>
      <xdr:sp macro="" textlink="">
        <xdr:nvSpPr>
          <xdr:cNvPr id="17508" name="Oval 287">
            <a:extLst>
              <a:ext uri="{FF2B5EF4-FFF2-40B4-BE49-F238E27FC236}">
                <a16:creationId xmlns:a16="http://schemas.microsoft.com/office/drawing/2014/main" id="{00000000-0008-0000-0900-000064440000}"/>
              </a:ext>
            </a:extLst>
          </xdr:cNvPr>
          <xdr:cNvSpPr>
            <a:spLocks noChangeArrowheads="1"/>
          </xdr:cNvSpPr>
        </xdr:nvSpPr>
        <xdr:spPr bwMode="auto">
          <a:xfrm>
            <a:off x="263" y="5367"/>
            <a:ext cx="26" cy="26"/>
          </a:xfrm>
          <a:prstGeom prst="ellipse">
            <a:avLst/>
          </a:prstGeom>
          <a:solidFill>
            <a:srgbClr val="FFFFCC"/>
          </a:solidFill>
          <a:ln w="9525">
            <a:solidFill>
              <a:srgbClr val="000000"/>
            </a:solidFill>
            <a:round/>
            <a:headEnd/>
            <a:tailEnd/>
          </a:ln>
        </xdr:spPr>
      </xdr:sp>
      <xdr:sp macro="" textlink="">
        <xdr:nvSpPr>
          <xdr:cNvPr id="16672" name="Text Box 288">
            <a:extLst>
              <a:ext uri="{FF2B5EF4-FFF2-40B4-BE49-F238E27FC236}">
                <a16:creationId xmlns:a16="http://schemas.microsoft.com/office/drawing/2014/main" id="{00000000-0008-0000-0900-000020410000}"/>
              </a:ext>
            </a:extLst>
          </xdr:cNvPr>
          <xdr:cNvSpPr txBox="1">
            <a:spLocks noChangeArrowheads="1"/>
          </xdr:cNvSpPr>
        </xdr:nvSpPr>
        <xdr:spPr bwMode="auto">
          <a:xfrm>
            <a:off x="267" y="5366"/>
            <a:ext cx="18"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14</a:t>
            </a:r>
          </a:p>
        </xdr:txBody>
      </xdr:sp>
    </xdr:grpSp>
    <xdr:clientData/>
  </xdr:twoCellAnchor>
  <xdr:twoCellAnchor>
    <xdr:from>
      <xdr:col>7</xdr:col>
      <xdr:colOff>209550</xdr:colOff>
      <xdr:row>255</xdr:row>
      <xdr:rowOff>95250</xdr:rowOff>
    </xdr:from>
    <xdr:to>
      <xdr:col>7</xdr:col>
      <xdr:colOff>457200</xdr:colOff>
      <xdr:row>257</xdr:row>
      <xdr:rowOff>28575</xdr:rowOff>
    </xdr:to>
    <xdr:grpSp>
      <xdr:nvGrpSpPr>
        <xdr:cNvPr id="17213" name="Group 289">
          <a:extLst>
            <a:ext uri="{FF2B5EF4-FFF2-40B4-BE49-F238E27FC236}">
              <a16:creationId xmlns:a16="http://schemas.microsoft.com/office/drawing/2014/main" id="{00000000-0008-0000-0900-00003D430000}"/>
            </a:ext>
          </a:extLst>
        </xdr:cNvPr>
        <xdr:cNvGrpSpPr>
          <a:grpSpLocks/>
        </xdr:cNvGrpSpPr>
      </xdr:nvGrpSpPr>
      <xdr:grpSpPr bwMode="auto">
        <a:xfrm>
          <a:off x="4080510" y="42843450"/>
          <a:ext cx="247650" cy="268605"/>
          <a:chOff x="470" y="5365"/>
          <a:chExt cx="26" cy="27"/>
        </a:xfrm>
      </xdr:grpSpPr>
      <xdr:sp macro="" textlink="">
        <xdr:nvSpPr>
          <xdr:cNvPr id="17506" name="Oval 290">
            <a:extLst>
              <a:ext uri="{FF2B5EF4-FFF2-40B4-BE49-F238E27FC236}">
                <a16:creationId xmlns:a16="http://schemas.microsoft.com/office/drawing/2014/main" id="{00000000-0008-0000-0900-000062440000}"/>
              </a:ext>
            </a:extLst>
          </xdr:cNvPr>
          <xdr:cNvSpPr>
            <a:spLocks noChangeArrowheads="1"/>
          </xdr:cNvSpPr>
        </xdr:nvSpPr>
        <xdr:spPr bwMode="auto">
          <a:xfrm>
            <a:off x="470" y="5366"/>
            <a:ext cx="26" cy="26"/>
          </a:xfrm>
          <a:prstGeom prst="ellipse">
            <a:avLst/>
          </a:prstGeom>
          <a:solidFill>
            <a:srgbClr val="FFFFCC"/>
          </a:solidFill>
          <a:ln w="9525">
            <a:solidFill>
              <a:srgbClr val="000000"/>
            </a:solidFill>
            <a:round/>
            <a:headEnd/>
            <a:tailEnd/>
          </a:ln>
        </xdr:spPr>
      </xdr:sp>
      <xdr:sp macro="" textlink="">
        <xdr:nvSpPr>
          <xdr:cNvPr id="16675" name="Text Box 291">
            <a:extLst>
              <a:ext uri="{FF2B5EF4-FFF2-40B4-BE49-F238E27FC236}">
                <a16:creationId xmlns:a16="http://schemas.microsoft.com/office/drawing/2014/main" id="{00000000-0008-0000-0900-000023410000}"/>
              </a:ext>
            </a:extLst>
          </xdr:cNvPr>
          <xdr:cNvSpPr txBox="1">
            <a:spLocks noChangeArrowheads="1"/>
          </xdr:cNvSpPr>
        </xdr:nvSpPr>
        <xdr:spPr bwMode="auto">
          <a:xfrm>
            <a:off x="474" y="5365"/>
            <a:ext cx="18"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17</a:t>
            </a:r>
          </a:p>
        </xdr:txBody>
      </xdr:sp>
    </xdr:grpSp>
    <xdr:clientData/>
  </xdr:twoCellAnchor>
  <xdr:twoCellAnchor>
    <xdr:from>
      <xdr:col>0</xdr:col>
      <xdr:colOff>590550</xdr:colOff>
      <xdr:row>254</xdr:row>
      <xdr:rowOff>38100</xdr:rowOff>
    </xdr:from>
    <xdr:to>
      <xdr:col>1</xdr:col>
      <xdr:colOff>561975</xdr:colOff>
      <xdr:row>256</xdr:row>
      <xdr:rowOff>57150</xdr:rowOff>
    </xdr:to>
    <xdr:sp macro="" textlink="">
      <xdr:nvSpPr>
        <xdr:cNvPr id="17214" name="Line 292">
          <a:extLst>
            <a:ext uri="{FF2B5EF4-FFF2-40B4-BE49-F238E27FC236}">
              <a16:creationId xmlns:a16="http://schemas.microsoft.com/office/drawing/2014/main" id="{00000000-0008-0000-0900-00003E430000}"/>
            </a:ext>
          </a:extLst>
        </xdr:cNvPr>
        <xdr:cNvSpPr>
          <a:spLocks noChangeShapeType="1"/>
        </xdr:cNvSpPr>
      </xdr:nvSpPr>
      <xdr:spPr bwMode="auto">
        <a:xfrm flipV="1">
          <a:off x="590550" y="41167050"/>
          <a:ext cx="581025" cy="342900"/>
        </a:xfrm>
        <a:prstGeom prst="line">
          <a:avLst/>
        </a:prstGeom>
        <a:noFill/>
        <a:ln w="9525">
          <a:solidFill>
            <a:srgbClr val="FFFF00"/>
          </a:solidFill>
          <a:round/>
          <a:headEnd type="stealth" w="med" len="sm"/>
          <a:tailEnd type="stealth" w="med" len="sm"/>
        </a:ln>
      </xdr:spPr>
    </xdr:sp>
    <xdr:clientData/>
  </xdr:twoCellAnchor>
  <xdr:twoCellAnchor>
    <xdr:from>
      <xdr:col>1</xdr:col>
      <xdr:colOff>0</xdr:colOff>
      <xdr:row>256</xdr:row>
      <xdr:rowOff>123825</xdr:rowOff>
    </xdr:from>
    <xdr:to>
      <xdr:col>4</xdr:col>
      <xdr:colOff>47625</xdr:colOff>
      <xdr:row>256</xdr:row>
      <xdr:rowOff>123825</xdr:rowOff>
    </xdr:to>
    <xdr:sp macro="" textlink="">
      <xdr:nvSpPr>
        <xdr:cNvPr id="17215" name="Line 293">
          <a:extLst>
            <a:ext uri="{FF2B5EF4-FFF2-40B4-BE49-F238E27FC236}">
              <a16:creationId xmlns:a16="http://schemas.microsoft.com/office/drawing/2014/main" id="{00000000-0008-0000-0900-00003F430000}"/>
            </a:ext>
          </a:extLst>
        </xdr:cNvPr>
        <xdr:cNvSpPr>
          <a:spLocks noChangeShapeType="1"/>
        </xdr:cNvSpPr>
      </xdr:nvSpPr>
      <xdr:spPr bwMode="auto">
        <a:xfrm flipV="1">
          <a:off x="609600" y="41576625"/>
          <a:ext cx="1876425" cy="0"/>
        </a:xfrm>
        <a:prstGeom prst="line">
          <a:avLst/>
        </a:prstGeom>
        <a:noFill/>
        <a:ln w="9525">
          <a:solidFill>
            <a:srgbClr val="FFFF00"/>
          </a:solidFill>
          <a:round/>
          <a:headEnd type="stealth" w="med" len="sm"/>
          <a:tailEnd type="stealth" w="med" len="sm"/>
        </a:ln>
      </xdr:spPr>
    </xdr:sp>
    <xdr:clientData/>
  </xdr:twoCellAnchor>
  <xdr:twoCellAnchor>
    <xdr:from>
      <xdr:col>2</xdr:col>
      <xdr:colOff>276225</xdr:colOff>
      <xdr:row>256</xdr:row>
      <xdr:rowOff>133350</xdr:rowOff>
    </xdr:from>
    <xdr:to>
      <xdr:col>2</xdr:col>
      <xdr:colOff>485775</xdr:colOff>
      <xdr:row>258</xdr:row>
      <xdr:rowOff>19050</xdr:rowOff>
    </xdr:to>
    <xdr:sp macro="" textlink="">
      <xdr:nvSpPr>
        <xdr:cNvPr id="16678" name="Text Box 294">
          <a:extLst>
            <a:ext uri="{FF2B5EF4-FFF2-40B4-BE49-F238E27FC236}">
              <a16:creationId xmlns:a16="http://schemas.microsoft.com/office/drawing/2014/main" id="{00000000-0008-0000-0900-000026410000}"/>
            </a:ext>
          </a:extLst>
        </xdr:cNvPr>
        <xdr:cNvSpPr txBox="1">
          <a:spLocks noChangeArrowheads="1"/>
        </xdr:cNvSpPr>
      </xdr:nvSpPr>
      <xdr:spPr bwMode="auto">
        <a:xfrm>
          <a:off x="1495425" y="41586150"/>
          <a:ext cx="209550" cy="209550"/>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en-US" sz="1000" b="0" i="0" u="none" strike="noStrike" baseline="0">
              <a:solidFill>
                <a:srgbClr val="FFFF00"/>
              </a:solidFill>
              <a:latin typeface="Arial"/>
              <a:cs typeface="Arial"/>
            </a:rPr>
            <a:t>L</a:t>
          </a:r>
        </a:p>
      </xdr:txBody>
    </xdr:sp>
    <xdr:clientData/>
  </xdr:twoCellAnchor>
  <xdr:twoCellAnchor>
    <xdr:from>
      <xdr:col>1</xdr:col>
      <xdr:colOff>419100</xdr:colOff>
      <xdr:row>250</xdr:row>
      <xdr:rowOff>76200</xdr:rowOff>
    </xdr:from>
    <xdr:to>
      <xdr:col>2</xdr:col>
      <xdr:colOff>447675</xdr:colOff>
      <xdr:row>252</xdr:row>
      <xdr:rowOff>47625</xdr:rowOff>
    </xdr:to>
    <xdr:sp macro="" textlink="">
      <xdr:nvSpPr>
        <xdr:cNvPr id="17217" name="AutoShape 295">
          <a:extLst>
            <a:ext uri="{FF2B5EF4-FFF2-40B4-BE49-F238E27FC236}">
              <a16:creationId xmlns:a16="http://schemas.microsoft.com/office/drawing/2014/main" id="{00000000-0008-0000-0900-000041430000}"/>
            </a:ext>
          </a:extLst>
        </xdr:cNvPr>
        <xdr:cNvSpPr>
          <a:spLocks noChangeArrowheads="1"/>
        </xdr:cNvSpPr>
      </xdr:nvSpPr>
      <xdr:spPr bwMode="auto">
        <a:xfrm>
          <a:off x="1028700" y="40557450"/>
          <a:ext cx="638175" cy="295275"/>
        </a:xfrm>
        <a:custGeom>
          <a:avLst/>
          <a:gdLst>
            <a:gd name="T0" fmla="*/ 405714 w 21600"/>
            <a:gd name="T1" fmla="*/ 0 h 21600"/>
            <a:gd name="T2" fmla="*/ 0 w 21600"/>
            <a:gd name="T3" fmla="*/ 147638 h 21600"/>
            <a:gd name="T4" fmla="*/ 405714 w 21600"/>
            <a:gd name="T5" fmla="*/ 295275 h 21600"/>
            <a:gd name="T6" fmla="*/ 638175 w 21600"/>
            <a:gd name="T7" fmla="*/ 147638 h 21600"/>
            <a:gd name="T8" fmla="*/ 17694720 60000 65536"/>
            <a:gd name="T9" fmla="*/ 11796480 60000 65536"/>
            <a:gd name="T10" fmla="*/ 5898240 60000 65536"/>
            <a:gd name="T11" fmla="*/ 0 60000 65536"/>
            <a:gd name="T12" fmla="*/ 3375 w 21600"/>
            <a:gd name="T13" fmla="*/ 3527 h 21600"/>
            <a:gd name="T14" fmla="*/ 16301 w 21600"/>
            <a:gd name="T15" fmla="*/ 18073 h 21600"/>
          </a:gdLst>
          <a:ahLst/>
          <a:cxnLst>
            <a:cxn ang="T8">
              <a:pos x="T0" y="T1"/>
            </a:cxn>
            <a:cxn ang="T9">
              <a:pos x="T2" y="T3"/>
            </a:cxn>
            <a:cxn ang="T10">
              <a:pos x="T4" y="T5"/>
            </a:cxn>
            <a:cxn ang="T11">
              <a:pos x="T6" y="T7"/>
            </a:cxn>
          </a:cxnLst>
          <a:rect l="T12" t="T13" r="T14" b="T15"/>
          <a:pathLst>
            <a:path w="21600" h="21600">
              <a:moveTo>
                <a:pt x="13732" y="0"/>
              </a:moveTo>
              <a:lnTo>
                <a:pt x="13732" y="3527"/>
              </a:lnTo>
              <a:lnTo>
                <a:pt x="3375" y="3527"/>
              </a:lnTo>
              <a:lnTo>
                <a:pt x="3375" y="18073"/>
              </a:lnTo>
              <a:lnTo>
                <a:pt x="13732" y="18073"/>
              </a:lnTo>
              <a:lnTo>
                <a:pt x="13732" y="21600"/>
              </a:lnTo>
              <a:lnTo>
                <a:pt x="21600" y="10800"/>
              </a:lnTo>
              <a:close/>
            </a:path>
            <a:path w="21600" h="21600">
              <a:moveTo>
                <a:pt x="1350" y="3527"/>
              </a:moveTo>
              <a:lnTo>
                <a:pt x="1350" y="18073"/>
              </a:lnTo>
              <a:lnTo>
                <a:pt x="2700" y="18073"/>
              </a:lnTo>
              <a:lnTo>
                <a:pt x="2700" y="3527"/>
              </a:lnTo>
              <a:close/>
            </a:path>
            <a:path w="21600" h="21600">
              <a:moveTo>
                <a:pt x="0" y="3527"/>
              </a:moveTo>
              <a:lnTo>
                <a:pt x="0" y="18073"/>
              </a:lnTo>
              <a:lnTo>
                <a:pt x="675" y="18073"/>
              </a:lnTo>
              <a:lnTo>
                <a:pt x="675" y="3527"/>
              </a:lnTo>
              <a:close/>
            </a:path>
          </a:pathLst>
        </a:custGeom>
        <a:solidFill>
          <a:srgbClr val="0000FF">
            <a:alpha val="50195"/>
          </a:srgbClr>
        </a:solidFill>
        <a:ln w="9525">
          <a:noFill/>
          <a:miter lim="800000"/>
          <a:headEnd/>
          <a:tailEnd/>
        </a:ln>
      </xdr:spPr>
    </xdr:sp>
    <xdr:clientData/>
  </xdr:twoCellAnchor>
  <xdr:twoCellAnchor>
    <xdr:from>
      <xdr:col>3</xdr:col>
      <xdr:colOff>38100</xdr:colOff>
      <xdr:row>250</xdr:row>
      <xdr:rowOff>76200</xdr:rowOff>
    </xdr:from>
    <xdr:to>
      <xdr:col>4</xdr:col>
      <xdr:colOff>66675</xdr:colOff>
      <xdr:row>252</xdr:row>
      <xdr:rowOff>47625</xdr:rowOff>
    </xdr:to>
    <xdr:sp macro="" textlink="">
      <xdr:nvSpPr>
        <xdr:cNvPr id="17218" name="AutoShape 296">
          <a:extLst>
            <a:ext uri="{FF2B5EF4-FFF2-40B4-BE49-F238E27FC236}">
              <a16:creationId xmlns:a16="http://schemas.microsoft.com/office/drawing/2014/main" id="{00000000-0008-0000-0900-000042430000}"/>
            </a:ext>
          </a:extLst>
        </xdr:cNvPr>
        <xdr:cNvSpPr>
          <a:spLocks noChangeArrowheads="1"/>
        </xdr:cNvSpPr>
      </xdr:nvSpPr>
      <xdr:spPr bwMode="auto">
        <a:xfrm>
          <a:off x="1866900" y="40557450"/>
          <a:ext cx="638175" cy="295275"/>
        </a:xfrm>
        <a:custGeom>
          <a:avLst/>
          <a:gdLst>
            <a:gd name="T0" fmla="*/ 405714 w 21600"/>
            <a:gd name="T1" fmla="*/ 0 h 21600"/>
            <a:gd name="T2" fmla="*/ 0 w 21600"/>
            <a:gd name="T3" fmla="*/ 147638 h 21600"/>
            <a:gd name="T4" fmla="*/ 405714 w 21600"/>
            <a:gd name="T5" fmla="*/ 295275 h 21600"/>
            <a:gd name="T6" fmla="*/ 638175 w 21600"/>
            <a:gd name="T7" fmla="*/ 147638 h 21600"/>
            <a:gd name="T8" fmla="*/ 17694720 60000 65536"/>
            <a:gd name="T9" fmla="*/ 11796480 60000 65536"/>
            <a:gd name="T10" fmla="*/ 5898240 60000 65536"/>
            <a:gd name="T11" fmla="*/ 0 60000 65536"/>
            <a:gd name="T12" fmla="*/ 3375 w 21600"/>
            <a:gd name="T13" fmla="*/ 3527 h 21600"/>
            <a:gd name="T14" fmla="*/ 16301 w 21600"/>
            <a:gd name="T15" fmla="*/ 18073 h 21600"/>
          </a:gdLst>
          <a:ahLst/>
          <a:cxnLst>
            <a:cxn ang="T8">
              <a:pos x="T0" y="T1"/>
            </a:cxn>
            <a:cxn ang="T9">
              <a:pos x="T2" y="T3"/>
            </a:cxn>
            <a:cxn ang="T10">
              <a:pos x="T4" y="T5"/>
            </a:cxn>
            <a:cxn ang="T11">
              <a:pos x="T6" y="T7"/>
            </a:cxn>
          </a:cxnLst>
          <a:rect l="T12" t="T13" r="T14" b="T15"/>
          <a:pathLst>
            <a:path w="21600" h="21600">
              <a:moveTo>
                <a:pt x="13732" y="0"/>
              </a:moveTo>
              <a:lnTo>
                <a:pt x="13732" y="3527"/>
              </a:lnTo>
              <a:lnTo>
                <a:pt x="3375" y="3527"/>
              </a:lnTo>
              <a:lnTo>
                <a:pt x="3375" y="18073"/>
              </a:lnTo>
              <a:lnTo>
                <a:pt x="13732" y="18073"/>
              </a:lnTo>
              <a:lnTo>
                <a:pt x="13732" y="21600"/>
              </a:lnTo>
              <a:lnTo>
                <a:pt x="21600" y="10800"/>
              </a:lnTo>
              <a:close/>
            </a:path>
            <a:path w="21600" h="21600">
              <a:moveTo>
                <a:pt x="1350" y="3527"/>
              </a:moveTo>
              <a:lnTo>
                <a:pt x="1350" y="18073"/>
              </a:lnTo>
              <a:lnTo>
                <a:pt x="2700" y="18073"/>
              </a:lnTo>
              <a:lnTo>
                <a:pt x="2700" y="3527"/>
              </a:lnTo>
              <a:close/>
            </a:path>
            <a:path w="21600" h="21600">
              <a:moveTo>
                <a:pt x="0" y="3527"/>
              </a:moveTo>
              <a:lnTo>
                <a:pt x="0" y="18073"/>
              </a:lnTo>
              <a:lnTo>
                <a:pt x="675" y="18073"/>
              </a:lnTo>
              <a:lnTo>
                <a:pt x="675" y="3527"/>
              </a:lnTo>
              <a:close/>
            </a:path>
          </a:pathLst>
        </a:custGeom>
        <a:solidFill>
          <a:srgbClr val="0000FF">
            <a:alpha val="50195"/>
          </a:srgbClr>
        </a:solidFill>
        <a:ln w="9525">
          <a:noFill/>
          <a:miter lim="800000"/>
          <a:headEnd/>
          <a:tailEnd/>
        </a:ln>
      </xdr:spPr>
    </xdr:sp>
    <xdr:clientData/>
  </xdr:twoCellAnchor>
  <xdr:twoCellAnchor>
    <xdr:from>
      <xdr:col>7</xdr:col>
      <xdr:colOff>390525</xdr:colOff>
      <xdr:row>255</xdr:row>
      <xdr:rowOff>133350</xdr:rowOff>
    </xdr:from>
    <xdr:to>
      <xdr:col>8</xdr:col>
      <xdr:colOff>333375</xdr:colOff>
      <xdr:row>257</xdr:row>
      <xdr:rowOff>66675</xdr:rowOff>
    </xdr:to>
    <xdr:sp macro="" textlink="">
      <xdr:nvSpPr>
        <xdr:cNvPr id="16681" name="Text Box 297">
          <a:extLst>
            <a:ext uri="{FF2B5EF4-FFF2-40B4-BE49-F238E27FC236}">
              <a16:creationId xmlns:a16="http://schemas.microsoft.com/office/drawing/2014/main" id="{00000000-0008-0000-0900-000029410000}"/>
            </a:ext>
          </a:extLst>
        </xdr:cNvPr>
        <xdr:cNvSpPr txBox="1">
          <a:spLocks noChangeArrowheads="1"/>
        </xdr:cNvSpPr>
      </xdr:nvSpPr>
      <xdr:spPr bwMode="auto">
        <a:xfrm>
          <a:off x="4257675" y="41424225"/>
          <a:ext cx="552450" cy="257175"/>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en-US" sz="1000" b="0" i="0" u="none" strike="noStrike" baseline="0">
              <a:solidFill>
                <a:srgbClr val="000000"/>
              </a:solidFill>
              <a:latin typeface="Arial"/>
              <a:cs typeface="Arial"/>
            </a:rPr>
            <a:t>Offsite</a:t>
          </a:r>
        </a:p>
      </xdr:txBody>
    </xdr:sp>
    <xdr:clientData/>
  </xdr:twoCellAnchor>
  <xdr:twoCellAnchor>
    <xdr:from>
      <xdr:col>7</xdr:col>
      <xdr:colOff>361950</xdr:colOff>
      <xdr:row>251</xdr:row>
      <xdr:rowOff>47625</xdr:rowOff>
    </xdr:from>
    <xdr:to>
      <xdr:col>7</xdr:col>
      <xdr:colOff>600075</xdr:colOff>
      <xdr:row>255</xdr:row>
      <xdr:rowOff>57150</xdr:rowOff>
    </xdr:to>
    <xdr:grpSp>
      <xdr:nvGrpSpPr>
        <xdr:cNvPr id="17220" name="Group 298">
          <a:extLst>
            <a:ext uri="{FF2B5EF4-FFF2-40B4-BE49-F238E27FC236}">
              <a16:creationId xmlns:a16="http://schemas.microsoft.com/office/drawing/2014/main" id="{00000000-0008-0000-0900-000044430000}"/>
            </a:ext>
          </a:extLst>
        </xdr:cNvPr>
        <xdr:cNvGrpSpPr>
          <a:grpSpLocks/>
        </xdr:cNvGrpSpPr>
      </xdr:nvGrpSpPr>
      <xdr:grpSpPr bwMode="auto">
        <a:xfrm>
          <a:off x="4232910" y="42125265"/>
          <a:ext cx="238125" cy="680085"/>
          <a:chOff x="481" y="3283"/>
          <a:chExt cx="25" cy="69"/>
        </a:xfrm>
      </xdr:grpSpPr>
      <xdr:grpSp>
        <xdr:nvGrpSpPr>
          <xdr:cNvPr id="17499" name="Group 299">
            <a:extLst>
              <a:ext uri="{FF2B5EF4-FFF2-40B4-BE49-F238E27FC236}">
                <a16:creationId xmlns:a16="http://schemas.microsoft.com/office/drawing/2014/main" id="{00000000-0008-0000-0900-00005B440000}"/>
              </a:ext>
            </a:extLst>
          </xdr:cNvPr>
          <xdr:cNvGrpSpPr>
            <a:grpSpLocks/>
          </xdr:cNvGrpSpPr>
        </xdr:nvGrpSpPr>
        <xdr:grpSpPr bwMode="auto">
          <a:xfrm>
            <a:off x="485" y="3283"/>
            <a:ext cx="16" cy="69"/>
            <a:chOff x="485" y="3283"/>
            <a:chExt cx="16" cy="69"/>
          </a:xfrm>
        </xdr:grpSpPr>
        <xdr:sp macro="" textlink="">
          <xdr:nvSpPr>
            <xdr:cNvPr id="17502" name="Oval 300">
              <a:extLst>
                <a:ext uri="{FF2B5EF4-FFF2-40B4-BE49-F238E27FC236}">
                  <a16:creationId xmlns:a16="http://schemas.microsoft.com/office/drawing/2014/main" id="{00000000-0008-0000-0900-00005E440000}"/>
                </a:ext>
              </a:extLst>
            </xdr:cNvPr>
            <xdr:cNvSpPr>
              <a:spLocks noChangeArrowheads="1"/>
            </xdr:cNvSpPr>
          </xdr:nvSpPr>
          <xdr:spPr bwMode="auto">
            <a:xfrm>
              <a:off x="485" y="3283"/>
              <a:ext cx="16" cy="16"/>
            </a:xfrm>
            <a:prstGeom prst="ellipse">
              <a:avLst/>
            </a:prstGeom>
            <a:solidFill>
              <a:srgbClr val="808080"/>
            </a:solidFill>
            <a:ln w="9525">
              <a:noFill/>
              <a:round/>
              <a:headEnd/>
              <a:tailEnd/>
            </a:ln>
          </xdr:spPr>
        </xdr:sp>
        <xdr:sp macro="" textlink="">
          <xdr:nvSpPr>
            <xdr:cNvPr id="17503" name="Rectangle 301">
              <a:extLst>
                <a:ext uri="{FF2B5EF4-FFF2-40B4-BE49-F238E27FC236}">
                  <a16:creationId xmlns:a16="http://schemas.microsoft.com/office/drawing/2014/main" id="{00000000-0008-0000-0900-00005F440000}"/>
                </a:ext>
              </a:extLst>
            </xdr:cNvPr>
            <xdr:cNvSpPr>
              <a:spLocks noChangeArrowheads="1"/>
            </xdr:cNvSpPr>
          </xdr:nvSpPr>
          <xdr:spPr bwMode="auto">
            <a:xfrm>
              <a:off x="486" y="3298"/>
              <a:ext cx="15" cy="31"/>
            </a:xfrm>
            <a:prstGeom prst="rect">
              <a:avLst/>
            </a:prstGeom>
            <a:solidFill>
              <a:srgbClr val="808080"/>
            </a:solidFill>
            <a:ln w="9525">
              <a:noFill/>
              <a:miter lim="800000"/>
              <a:headEnd/>
              <a:tailEnd/>
            </a:ln>
          </xdr:spPr>
        </xdr:sp>
        <xdr:sp macro="" textlink="">
          <xdr:nvSpPr>
            <xdr:cNvPr id="17504" name="Rectangle 302">
              <a:extLst>
                <a:ext uri="{FF2B5EF4-FFF2-40B4-BE49-F238E27FC236}">
                  <a16:creationId xmlns:a16="http://schemas.microsoft.com/office/drawing/2014/main" id="{00000000-0008-0000-0900-000060440000}"/>
                </a:ext>
              </a:extLst>
            </xdr:cNvPr>
            <xdr:cNvSpPr>
              <a:spLocks noChangeArrowheads="1"/>
            </xdr:cNvSpPr>
          </xdr:nvSpPr>
          <xdr:spPr bwMode="auto">
            <a:xfrm>
              <a:off x="487" y="3327"/>
              <a:ext cx="6" cy="25"/>
            </a:xfrm>
            <a:prstGeom prst="rect">
              <a:avLst/>
            </a:prstGeom>
            <a:solidFill>
              <a:srgbClr val="808080"/>
            </a:solidFill>
            <a:ln w="9525">
              <a:noFill/>
              <a:miter lim="800000"/>
              <a:headEnd/>
              <a:tailEnd/>
            </a:ln>
          </xdr:spPr>
        </xdr:sp>
        <xdr:sp macro="" textlink="">
          <xdr:nvSpPr>
            <xdr:cNvPr id="17505" name="Rectangle 303">
              <a:extLst>
                <a:ext uri="{FF2B5EF4-FFF2-40B4-BE49-F238E27FC236}">
                  <a16:creationId xmlns:a16="http://schemas.microsoft.com/office/drawing/2014/main" id="{00000000-0008-0000-0900-000061440000}"/>
                </a:ext>
              </a:extLst>
            </xdr:cNvPr>
            <xdr:cNvSpPr>
              <a:spLocks noChangeArrowheads="1"/>
            </xdr:cNvSpPr>
          </xdr:nvSpPr>
          <xdr:spPr bwMode="auto">
            <a:xfrm>
              <a:off x="494" y="3327"/>
              <a:ext cx="6" cy="25"/>
            </a:xfrm>
            <a:prstGeom prst="rect">
              <a:avLst/>
            </a:prstGeom>
            <a:solidFill>
              <a:srgbClr val="808080"/>
            </a:solidFill>
            <a:ln w="9525">
              <a:noFill/>
              <a:miter lim="800000"/>
              <a:headEnd/>
              <a:tailEnd/>
            </a:ln>
          </xdr:spPr>
        </xdr:sp>
      </xdr:grpSp>
      <xdr:sp macro="" textlink="">
        <xdr:nvSpPr>
          <xdr:cNvPr id="17500" name="AutoShape 304">
            <a:extLst>
              <a:ext uri="{FF2B5EF4-FFF2-40B4-BE49-F238E27FC236}">
                <a16:creationId xmlns:a16="http://schemas.microsoft.com/office/drawing/2014/main" id="{00000000-0008-0000-0900-00005C440000}"/>
              </a:ext>
            </a:extLst>
          </xdr:cNvPr>
          <xdr:cNvSpPr>
            <a:spLocks noChangeArrowheads="1"/>
          </xdr:cNvSpPr>
        </xdr:nvSpPr>
        <xdr:spPr bwMode="auto">
          <a:xfrm>
            <a:off x="502" y="3299"/>
            <a:ext cx="4" cy="29"/>
          </a:xfrm>
          <a:prstGeom prst="octagon">
            <a:avLst>
              <a:gd name="adj" fmla="val 29287"/>
            </a:avLst>
          </a:prstGeom>
          <a:solidFill>
            <a:srgbClr val="808080"/>
          </a:solidFill>
          <a:ln w="9525">
            <a:noFill/>
            <a:miter lim="800000"/>
            <a:headEnd/>
            <a:tailEnd/>
          </a:ln>
        </xdr:spPr>
      </xdr:sp>
      <xdr:sp macro="" textlink="">
        <xdr:nvSpPr>
          <xdr:cNvPr id="17501" name="AutoShape 305">
            <a:extLst>
              <a:ext uri="{FF2B5EF4-FFF2-40B4-BE49-F238E27FC236}">
                <a16:creationId xmlns:a16="http://schemas.microsoft.com/office/drawing/2014/main" id="{00000000-0008-0000-0900-00005D440000}"/>
              </a:ext>
            </a:extLst>
          </xdr:cNvPr>
          <xdr:cNvSpPr>
            <a:spLocks noChangeArrowheads="1"/>
          </xdr:cNvSpPr>
        </xdr:nvSpPr>
        <xdr:spPr bwMode="auto">
          <a:xfrm>
            <a:off x="481" y="3299"/>
            <a:ext cx="4" cy="29"/>
          </a:xfrm>
          <a:prstGeom prst="octagon">
            <a:avLst>
              <a:gd name="adj" fmla="val 29287"/>
            </a:avLst>
          </a:prstGeom>
          <a:solidFill>
            <a:srgbClr val="808080"/>
          </a:solidFill>
          <a:ln w="9525">
            <a:noFill/>
            <a:miter lim="800000"/>
            <a:headEnd/>
            <a:tailEnd/>
          </a:ln>
        </xdr:spPr>
      </xdr:sp>
    </xdr:grpSp>
    <xdr:clientData/>
  </xdr:twoCellAnchor>
  <xdr:twoCellAnchor>
    <xdr:from>
      <xdr:col>2</xdr:col>
      <xdr:colOff>114300</xdr:colOff>
      <xdr:row>252</xdr:row>
      <xdr:rowOff>76200</xdr:rowOff>
    </xdr:from>
    <xdr:to>
      <xdr:col>3</xdr:col>
      <xdr:colOff>276225</xdr:colOff>
      <xdr:row>255</xdr:row>
      <xdr:rowOff>104775</xdr:rowOff>
    </xdr:to>
    <xdr:grpSp>
      <xdr:nvGrpSpPr>
        <xdr:cNvPr id="17221" name="Group 306">
          <a:extLst>
            <a:ext uri="{FF2B5EF4-FFF2-40B4-BE49-F238E27FC236}">
              <a16:creationId xmlns:a16="http://schemas.microsoft.com/office/drawing/2014/main" id="{00000000-0008-0000-0900-000045430000}"/>
            </a:ext>
          </a:extLst>
        </xdr:cNvPr>
        <xdr:cNvGrpSpPr>
          <a:grpSpLocks/>
        </xdr:cNvGrpSpPr>
      </xdr:nvGrpSpPr>
      <xdr:grpSpPr bwMode="auto">
        <a:xfrm>
          <a:off x="1333500" y="42321480"/>
          <a:ext cx="771525" cy="531495"/>
          <a:chOff x="56" y="3521"/>
          <a:chExt cx="81" cy="65"/>
        </a:xfrm>
      </xdr:grpSpPr>
      <xdr:sp macro="" textlink="">
        <xdr:nvSpPr>
          <xdr:cNvPr id="17496" name="Freeform 307">
            <a:extLst>
              <a:ext uri="{FF2B5EF4-FFF2-40B4-BE49-F238E27FC236}">
                <a16:creationId xmlns:a16="http://schemas.microsoft.com/office/drawing/2014/main" id="{00000000-0008-0000-0900-000058440000}"/>
              </a:ext>
            </a:extLst>
          </xdr:cNvPr>
          <xdr:cNvSpPr>
            <a:spLocks/>
          </xdr:cNvSpPr>
        </xdr:nvSpPr>
        <xdr:spPr bwMode="auto">
          <a:xfrm>
            <a:off x="56" y="3521"/>
            <a:ext cx="16" cy="64"/>
          </a:xfrm>
          <a:custGeom>
            <a:avLst/>
            <a:gdLst>
              <a:gd name="T0" fmla="*/ 24 w 51"/>
              <a:gd name="T1" fmla="*/ 206 h 206"/>
              <a:gd name="T2" fmla="*/ 24 w 51"/>
              <a:gd name="T3" fmla="*/ 181 h 206"/>
              <a:gd name="T4" fmla="*/ 50 w 51"/>
              <a:gd name="T5" fmla="*/ 156 h 206"/>
              <a:gd name="T6" fmla="*/ 24 w 51"/>
              <a:gd name="T7" fmla="*/ 131 h 206"/>
              <a:gd name="T8" fmla="*/ 0 w 51"/>
              <a:gd name="T9" fmla="*/ 106 h 206"/>
              <a:gd name="T10" fmla="*/ 24 w 51"/>
              <a:gd name="T11" fmla="*/ 80 h 206"/>
              <a:gd name="T12" fmla="*/ 51 w 51"/>
              <a:gd name="T13" fmla="*/ 55 h 206"/>
              <a:gd name="T14" fmla="*/ 24 w 51"/>
              <a:gd name="T15" fmla="*/ 30 h 206"/>
              <a:gd name="T16" fmla="*/ 22 w 51"/>
              <a:gd name="T17" fmla="*/ 0 h 20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51"/>
              <a:gd name="T28" fmla="*/ 0 h 206"/>
              <a:gd name="T29" fmla="*/ 51 w 51"/>
              <a:gd name="T30" fmla="*/ 206 h 20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51" h="206">
                <a:moveTo>
                  <a:pt x="24" y="206"/>
                </a:moveTo>
                <a:cubicBezTo>
                  <a:pt x="20" y="197"/>
                  <a:pt x="20" y="189"/>
                  <a:pt x="24" y="181"/>
                </a:cubicBezTo>
                <a:cubicBezTo>
                  <a:pt x="29" y="173"/>
                  <a:pt x="50" y="164"/>
                  <a:pt x="50" y="156"/>
                </a:cubicBezTo>
                <a:cubicBezTo>
                  <a:pt x="50" y="148"/>
                  <a:pt x="32" y="139"/>
                  <a:pt x="24" y="131"/>
                </a:cubicBezTo>
                <a:cubicBezTo>
                  <a:pt x="17" y="123"/>
                  <a:pt x="0" y="114"/>
                  <a:pt x="0" y="106"/>
                </a:cubicBezTo>
                <a:cubicBezTo>
                  <a:pt x="0" y="97"/>
                  <a:pt x="15" y="88"/>
                  <a:pt x="24" y="80"/>
                </a:cubicBezTo>
                <a:cubicBezTo>
                  <a:pt x="33" y="72"/>
                  <a:pt x="51" y="63"/>
                  <a:pt x="51" y="55"/>
                </a:cubicBezTo>
                <a:cubicBezTo>
                  <a:pt x="51" y="47"/>
                  <a:pt x="29" y="39"/>
                  <a:pt x="24" y="30"/>
                </a:cubicBezTo>
                <a:cubicBezTo>
                  <a:pt x="19" y="21"/>
                  <a:pt x="23" y="6"/>
                  <a:pt x="22" y="0"/>
                </a:cubicBezTo>
              </a:path>
            </a:pathLst>
          </a:custGeom>
          <a:noFill/>
          <a:ln w="9525" cap="flat" cmpd="sng">
            <a:solidFill>
              <a:srgbClr val="FF0000"/>
            </a:solidFill>
            <a:prstDash val="solid"/>
            <a:round/>
            <a:headEnd type="none" w="med" len="med"/>
            <a:tailEnd type="stealth" w="sm" len="sm"/>
          </a:ln>
        </xdr:spPr>
      </xdr:sp>
      <xdr:sp macro="" textlink="">
        <xdr:nvSpPr>
          <xdr:cNvPr id="17497" name="Freeform 308">
            <a:extLst>
              <a:ext uri="{FF2B5EF4-FFF2-40B4-BE49-F238E27FC236}">
                <a16:creationId xmlns:a16="http://schemas.microsoft.com/office/drawing/2014/main" id="{00000000-0008-0000-0900-000059440000}"/>
              </a:ext>
            </a:extLst>
          </xdr:cNvPr>
          <xdr:cNvSpPr>
            <a:spLocks/>
          </xdr:cNvSpPr>
        </xdr:nvSpPr>
        <xdr:spPr bwMode="auto">
          <a:xfrm>
            <a:off x="89" y="3522"/>
            <a:ext cx="16" cy="64"/>
          </a:xfrm>
          <a:custGeom>
            <a:avLst/>
            <a:gdLst>
              <a:gd name="T0" fmla="*/ 24 w 51"/>
              <a:gd name="T1" fmla="*/ 206 h 206"/>
              <a:gd name="T2" fmla="*/ 24 w 51"/>
              <a:gd name="T3" fmla="*/ 181 h 206"/>
              <a:gd name="T4" fmla="*/ 50 w 51"/>
              <a:gd name="T5" fmla="*/ 156 h 206"/>
              <a:gd name="T6" fmla="*/ 24 w 51"/>
              <a:gd name="T7" fmla="*/ 131 h 206"/>
              <a:gd name="T8" fmla="*/ 0 w 51"/>
              <a:gd name="T9" fmla="*/ 106 h 206"/>
              <a:gd name="T10" fmla="*/ 24 w 51"/>
              <a:gd name="T11" fmla="*/ 80 h 206"/>
              <a:gd name="T12" fmla="*/ 51 w 51"/>
              <a:gd name="T13" fmla="*/ 55 h 206"/>
              <a:gd name="T14" fmla="*/ 24 w 51"/>
              <a:gd name="T15" fmla="*/ 30 h 206"/>
              <a:gd name="T16" fmla="*/ 22 w 51"/>
              <a:gd name="T17" fmla="*/ 0 h 20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51"/>
              <a:gd name="T28" fmla="*/ 0 h 206"/>
              <a:gd name="T29" fmla="*/ 51 w 51"/>
              <a:gd name="T30" fmla="*/ 206 h 20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51" h="206">
                <a:moveTo>
                  <a:pt x="24" y="206"/>
                </a:moveTo>
                <a:cubicBezTo>
                  <a:pt x="20" y="197"/>
                  <a:pt x="20" y="189"/>
                  <a:pt x="24" y="181"/>
                </a:cubicBezTo>
                <a:cubicBezTo>
                  <a:pt x="29" y="173"/>
                  <a:pt x="50" y="164"/>
                  <a:pt x="50" y="156"/>
                </a:cubicBezTo>
                <a:cubicBezTo>
                  <a:pt x="50" y="148"/>
                  <a:pt x="32" y="139"/>
                  <a:pt x="24" y="131"/>
                </a:cubicBezTo>
                <a:cubicBezTo>
                  <a:pt x="17" y="123"/>
                  <a:pt x="0" y="114"/>
                  <a:pt x="0" y="106"/>
                </a:cubicBezTo>
                <a:cubicBezTo>
                  <a:pt x="0" y="97"/>
                  <a:pt x="15" y="88"/>
                  <a:pt x="24" y="80"/>
                </a:cubicBezTo>
                <a:cubicBezTo>
                  <a:pt x="33" y="72"/>
                  <a:pt x="51" y="63"/>
                  <a:pt x="51" y="55"/>
                </a:cubicBezTo>
                <a:cubicBezTo>
                  <a:pt x="51" y="47"/>
                  <a:pt x="29" y="39"/>
                  <a:pt x="24" y="30"/>
                </a:cubicBezTo>
                <a:cubicBezTo>
                  <a:pt x="19" y="21"/>
                  <a:pt x="23" y="6"/>
                  <a:pt x="22" y="0"/>
                </a:cubicBezTo>
              </a:path>
            </a:pathLst>
          </a:custGeom>
          <a:noFill/>
          <a:ln w="9525" cap="flat" cmpd="sng">
            <a:solidFill>
              <a:srgbClr val="FF0000"/>
            </a:solidFill>
            <a:prstDash val="solid"/>
            <a:round/>
            <a:headEnd type="none" w="med" len="med"/>
            <a:tailEnd type="stealth" w="sm" len="sm"/>
          </a:ln>
        </xdr:spPr>
      </xdr:sp>
      <xdr:sp macro="" textlink="">
        <xdr:nvSpPr>
          <xdr:cNvPr id="17498" name="Freeform 309">
            <a:extLst>
              <a:ext uri="{FF2B5EF4-FFF2-40B4-BE49-F238E27FC236}">
                <a16:creationId xmlns:a16="http://schemas.microsoft.com/office/drawing/2014/main" id="{00000000-0008-0000-0900-00005A440000}"/>
              </a:ext>
            </a:extLst>
          </xdr:cNvPr>
          <xdr:cNvSpPr>
            <a:spLocks/>
          </xdr:cNvSpPr>
        </xdr:nvSpPr>
        <xdr:spPr bwMode="auto">
          <a:xfrm>
            <a:off x="121" y="3522"/>
            <a:ext cx="16" cy="64"/>
          </a:xfrm>
          <a:custGeom>
            <a:avLst/>
            <a:gdLst>
              <a:gd name="T0" fmla="*/ 24 w 51"/>
              <a:gd name="T1" fmla="*/ 206 h 206"/>
              <a:gd name="T2" fmla="*/ 24 w 51"/>
              <a:gd name="T3" fmla="*/ 181 h 206"/>
              <a:gd name="T4" fmla="*/ 50 w 51"/>
              <a:gd name="T5" fmla="*/ 156 h 206"/>
              <a:gd name="T6" fmla="*/ 24 w 51"/>
              <a:gd name="T7" fmla="*/ 131 h 206"/>
              <a:gd name="T8" fmla="*/ 0 w 51"/>
              <a:gd name="T9" fmla="*/ 106 h 206"/>
              <a:gd name="T10" fmla="*/ 24 w 51"/>
              <a:gd name="T11" fmla="*/ 80 h 206"/>
              <a:gd name="T12" fmla="*/ 51 w 51"/>
              <a:gd name="T13" fmla="*/ 55 h 206"/>
              <a:gd name="T14" fmla="*/ 24 w 51"/>
              <a:gd name="T15" fmla="*/ 30 h 206"/>
              <a:gd name="T16" fmla="*/ 22 w 51"/>
              <a:gd name="T17" fmla="*/ 0 h 20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51"/>
              <a:gd name="T28" fmla="*/ 0 h 206"/>
              <a:gd name="T29" fmla="*/ 51 w 51"/>
              <a:gd name="T30" fmla="*/ 206 h 20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51" h="206">
                <a:moveTo>
                  <a:pt x="24" y="206"/>
                </a:moveTo>
                <a:cubicBezTo>
                  <a:pt x="20" y="197"/>
                  <a:pt x="20" y="189"/>
                  <a:pt x="24" y="181"/>
                </a:cubicBezTo>
                <a:cubicBezTo>
                  <a:pt x="29" y="173"/>
                  <a:pt x="50" y="164"/>
                  <a:pt x="50" y="156"/>
                </a:cubicBezTo>
                <a:cubicBezTo>
                  <a:pt x="50" y="148"/>
                  <a:pt x="32" y="139"/>
                  <a:pt x="24" y="131"/>
                </a:cubicBezTo>
                <a:cubicBezTo>
                  <a:pt x="17" y="123"/>
                  <a:pt x="0" y="114"/>
                  <a:pt x="0" y="106"/>
                </a:cubicBezTo>
                <a:cubicBezTo>
                  <a:pt x="0" y="97"/>
                  <a:pt x="15" y="88"/>
                  <a:pt x="24" y="80"/>
                </a:cubicBezTo>
                <a:cubicBezTo>
                  <a:pt x="33" y="72"/>
                  <a:pt x="51" y="63"/>
                  <a:pt x="51" y="55"/>
                </a:cubicBezTo>
                <a:cubicBezTo>
                  <a:pt x="51" y="47"/>
                  <a:pt x="29" y="39"/>
                  <a:pt x="24" y="30"/>
                </a:cubicBezTo>
                <a:cubicBezTo>
                  <a:pt x="19" y="21"/>
                  <a:pt x="23" y="6"/>
                  <a:pt x="22" y="0"/>
                </a:cubicBezTo>
              </a:path>
            </a:pathLst>
          </a:custGeom>
          <a:noFill/>
          <a:ln w="9525" cap="flat" cmpd="sng">
            <a:solidFill>
              <a:srgbClr val="FF0000"/>
            </a:solidFill>
            <a:prstDash val="solid"/>
            <a:round/>
            <a:headEnd type="none" w="med" len="med"/>
            <a:tailEnd type="stealth" w="sm" len="sm"/>
          </a:ln>
        </xdr:spPr>
      </xdr:sp>
    </xdr:grpSp>
    <xdr:clientData/>
  </xdr:twoCellAnchor>
  <xdr:twoCellAnchor>
    <xdr:from>
      <xdr:col>4</xdr:col>
      <xdr:colOff>257175</xdr:colOff>
      <xdr:row>251</xdr:row>
      <xdr:rowOff>76200</xdr:rowOff>
    </xdr:from>
    <xdr:to>
      <xdr:col>4</xdr:col>
      <xdr:colOff>495300</xdr:colOff>
      <xdr:row>255</xdr:row>
      <xdr:rowOff>152400</xdr:rowOff>
    </xdr:to>
    <xdr:grpSp>
      <xdr:nvGrpSpPr>
        <xdr:cNvPr id="17222" name="Group 310">
          <a:extLst>
            <a:ext uri="{FF2B5EF4-FFF2-40B4-BE49-F238E27FC236}">
              <a16:creationId xmlns:a16="http://schemas.microsoft.com/office/drawing/2014/main" id="{00000000-0008-0000-0900-000046430000}"/>
            </a:ext>
          </a:extLst>
        </xdr:cNvPr>
        <xdr:cNvGrpSpPr>
          <a:grpSpLocks/>
        </xdr:cNvGrpSpPr>
      </xdr:nvGrpSpPr>
      <xdr:grpSpPr bwMode="auto">
        <a:xfrm>
          <a:off x="2695575" y="42153840"/>
          <a:ext cx="238125" cy="746760"/>
          <a:chOff x="407" y="3212"/>
          <a:chExt cx="25" cy="76"/>
        </a:xfrm>
      </xdr:grpSpPr>
      <xdr:grpSp>
        <xdr:nvGrpSpPr>
          <xdr:cNvPr id="17480" name="Group 311">
            <a:extLst>
              <a:ext uri="{FF2B5EF4-FFF2-40B4-BE49-F238E27FC236}">
                <a16:creationId xmlns:a16="http://schemas.microsoft.com/office/drawing/2014/main" id="{00000000-0008-0000-0900-000048440000}"/>
              </a:ext>
            </a:extLst>
          </xdr:cNvPr>
          <xdr:cNvGrpSpPr>
            <a:grpSpLocks/>
          </xdr:cNvGrpSpPr>
        </xdr:nvGrpSpPr>
        <xdr:grpSpPr bwMode="auto">
          <a:xfrm>
            <a:off x="407" y="3212"/>
            <a:ext cx="25" cy="76"/>
            <a:chOff x="408" y="3286"/>
            <a:chExt cx="25" cy="76"/>
          </a:xfrm>
        </xdr:grpSpPr>
        <xdr:grpSp>
          <xdr:nvGrpSpPr>
            <xdr:cNvPr id="17483" name="Group 312">
              <a:extLst>
                <a:ext uri="{FF2B5EF4-FFF2-40B4-BE49-F238E27FC236}">
                  <a16:creationId xmlns:a16="http://schemas.microsoft.com/office/drawing/2014/main" id="{00000000-0008-0000-0900-00004B440000}"/>
                </a:ext>
              </a:extLst>
            </xdr:cNvPr>
            <xdr:cNvGrpSpPr>
              <a:grpSpLocks/>
            </xdr:cNvGrpSpPr>
          </xdr:nvGrpSpPr>
          <xdr:grpSpPr bwMode="auto">
            <a:xfrm>
              <a:off x="408" y="3293"/>
              <a:ext cx="25" cy="69"/>
              <a:chOff x="481" y="3283"/>
              <a:chExt cx="25" cy="69"/>
            </a:xfrm>
          </xdr:grpSpPr>
          <xdr:grpSp>
            <xdr:nvGrpSpPr>
              <xdr:cNvPr id="17489" name="Group 313">
                <a:extLst>
                  <a:ext uri="{FF2B5EF4-FFF2-40B4-BE49-F238E27FC236}">
                    <a16:creationId xmlns:a16="http://schemas.microsoft.com/office/drawing/2014/main" id="{00000000-0008-0000-0900-000051440000}"/>
                  </a:ext>
                </a:extLst>
              </xdr:cNvPr>
              <xdr:cNvGrpSpPr>
                <a:grpSpLocks/>
              </xdr:cNvGrpSpPr>
            </xdr:nvGrpSpPr>
            <xdr:grpSpPr bwMode="auto">
              <a:xfrm>
                <a:off x="485" y="3283"/>
                <a:ext cx="16" cy="69"/>
                <a:chOff x="485" y="3283"/>
                <a:chExt cx="16" cy="69"/>
              </a:xfrm>
            </xdr:grpSpPr>
            <xdr:sp macro="" textlink="">
              <xdr:nvSpPr>
                <xdr:cNvPr id="17492" name="Oval 314">
                  <a:extLst>
                    <a:ext uri="{FF2B5EF4-FFF2-40B4-BE49-F238E27FC236}">
                      <a16:creationId xmlns:a16="http://schemas.microsoft.com/office/drawing/2014/main" id="{00000000-0008-0000-0900-000054440000}"/>
                    </a:ext>
                  </a:extLst>
                </xdr:cNvPr>
                <xdr:cNvSpPr>
                  <a:spLocks noChangeArrowheads="1"/>
                </xdr:cNvSpPr>
              </xdr:nvSpPr>
              <xdr:spPr bwMode="auto">
                <a:xfrm>
                  <a:off x="485" y="3283"/>
                  <a:ext cx="16" cy="16"/>
                </a:xfrm>
                <a:prstGeom prst="ellipse">
                  <a:avLst/>
                </a:prstGeom>
                <a:solidFill>
                  <a:srgbClr val="808080"/>
                </a:solidFill>
                <a:ln w="9525">
                  <a:noFill/>
                  <a:round/>
                  <a:headEnd/>
                  <a:tailEnd/>
                </a:ln>
              </xdr:spPr>
            </xdr:sp>
            <xdr:sp macro="" textlink="">
              <xdr:nvSpPr>
                <xdr:cNvPr id="17493" name="Rectangle 315">
                  <a:extLst>
                    <a:ext uri="{FF2B5EF4-FFF2-40B4-BE49-F238E27FC236}">
                      <a16:creationId xmlns:a16="http://schemas.microsoft.com/office/drawing/2014/main" id="{00000000-0008-0000-0900-000055440000}"/>
                    </a:ext>
                  </a:extLst>
                </xdr:cNvPr>
                <xdr:cNvSpPr>
                  <a:spLocks noChangeArrowheads="1"/>
                </xdr:cNvSpPr>
              </xdr:nvSpPr>
              <xdr:spPr bwMode="auto">
                <a:xfrm>
                  <a:off x="486" y="3298"/>
                  <a:ext cx="15" cy="31"/>
                </a:xfrm>
                <a:prstGeom prst="rect">
                  <a:avLst/>
                </a:prstGeom>
                <a:solidFill>
                  <a:srgbClr val="808080"/>
                </a:solidFill>
                <a:ln w="9525">
                  <a:noFill/>
                  <a:miter lim="800000"/>
                  <a:headEnd/>
                  <a:tailEnd/>
                </a:ln>
              </xdr:spPr>
            </xdr:sp>
            <xdr:sp macro="" textlink="">
              <xdr:nvSpPr>
                <xdr:cNvPr id="17494" name="Rectangle 316">
                  <a:extLst>
                    <a:ext uri="{FF2B5EF4-FFF2-40B4-BE49-F238E27FC236}">
                      <a16:creationId xmlns:a16="http://schemas.microsoft.com/office/drawing/2014/main" id="{00000000-0008-0000-0900-000056440000}"/>
                    </a:ext>
                  </a:extLst>
                </xdr:cNvPr>
                <xdr:cNvSpPr>
                  <a:spLocks noChangeArrowheads="1"/>
                </xdr:cNvSpPr>
              </xdr:nvSpPr>
              <xdr:spPr bwMode="auto">
                <a:xfrm>
                  <a:off x="487" y="3327"/>
                  <a:ext cx="6" cy="25"/>
                </a:xfrm>
                <a:prstGeom prst="rect">
                  <a:avLst/>
                </a:prstGeom>
                <a:solidFill>
                  <a:srgbClr val="808080"/>
                </a:solidFill>
                <a:ln w="9525">
                  <a:noFill/>
                  <a:miter lim="800000"/>
                  <a:headEnd/>
                  <a:tailEnd/>
                </a:ln>
              </xdr:spPr>
            </xdr:sp>
            <xdr:sp macro="" textlink="">
              <xdr:nvSpPr>
                <xdr:cNvPr id="17495" name="Rectangle 317">
                  <a:extLst>
                    <a:ext uri="{FF2B5EF4-FFF2-40B4-BE49-F238E27FC236}">
                      <a16:creationId xmlns:a16="http://schemas.microsoft.com/office/drawing/2014/main" id="{00000000-0008-0000-0900-000057440000}"/>
                    </a:ext>
                  </a:extLst>
                </xdr:cNvPr>
                <xdr:cNvSpPr>
                  <a:spLocks noChangeArrowheads="1"/>
                </xdr:cNvSpPr>
              </xdr:nvSpPr>
              <xdr:spPr bwMode="auto">
                <a:xfrm>
                  <a:off x="494" y="3327"/>
                  <a:ext cx="6" cy="25"/>
                </a:xfrm>
                <a:prstGeom prst="rect">
                  <a:avLst/>
                </a:prstGeom>
                <a:solidFill>
                  <a:srgbClr val="808080"/>
                </a:solidFill>
                <a:ln w="9525">
                  <a:noFill/>
                  <a:miter lim="800000"/>
                  <a:headEnd/>
                  <a:tailEnd/>
                </a:ln>
              </xdr:spPr>
            </xdr:sp>
          </xdr:grpSp>
          <xdr:sp macro="" textlink="">
            <xdr:nvSpPr>
              <xdr:cNvPr id="17490" name="AutoShape 318">
                <a:extLst>
                  <a:ext uri="{FF2B5EF4-FFF2-40B4-BE49-F238E27FC236}">
                    <a16:creationId xmlns:a16="http://schemas.microsoft.com/office/drawing/2014/main" id="{00000000-0008-0000-0900-000052440000}"/>
                  </a:ext>
                </a:extLst>
              </xdr:cNvPr>
              <xdr:cNvSpPr>
                <a:spLocks noChangeArrowheads="1"/>
              </xdr:cNvSpPr>
            </xdr:nvSpPr>
            <xdr:spPr bwMode="auto">
              <a:xfrm>
                <a:off x="502" y="3299"/>
                <a:ext cx="4" cy="29"/>
              </a:xfrm>
              <a:prstGeom prst="octagon">
                <a:avLst>
                  <a:gd name="adj" fmla="val 29287"/>
                </a:avLst>
              </a:prstGeom>
              <a:solidFill>
                <a:srgbClr val="808080"/>
              </a:solidFill>
              <a:ln w="9525">
                <a:noFill/>
                <a:miter lim="800000"/>
                <a:headEnd/>
                <a:tailEnd/>
              </a:ln>
            </xdr:spPr>
          </xdr:sp>
          <xdr:sp macro="" textlink="">
            <xdr:nvSpPr>
              <xdr:cNvPr id="17491" name="AutoShape 319">
                <a:extLst>
                  <a:ext uri="{FF2B5EF4-FFF2-40B4-BE49-F238E27FC236}">
                    <a16:creationId xmlns:a16="http://schemas.microsoft.com/office/drawing/2014/main" id="{00000000-0008-0000-0900-000053440000}"/>
                  </a:ext>
                </a:extLst>
              </xdr:cNvPr>
              <xdr:cNvSpPr>
                <a:spLocks noChangeArrowheads="1"/>
              </xdr:cNvSpPr>
            </xdr:nvSpPr>
            <xdr:spPr bwMode="auto">
              <a:xfrm>
                <a:off x="481" y="3299"/>
                <a:ext cx="4" cy="29"/>
              </a:xfrm>
              <a:prstGeom prst="octagon">
                <a:avLst>
                  <a:gd name="adj" fmla="val 29287"/>
                </a:avLst>
              </a:prstGeom>
              <a:solidFill>
                <a:srgbClr val="808080"/>
              </a:solidFill>
              <a:ln w="9525">
                <a:noFill/>
                <a:miter lim="800000"/>
                <a:headEnd/>
                <a:tailEnd/>
              </a:ln>
            </xdr:spPr>
          </xdr:sp>
        </xdr:grpSp>
        <xdr:grpSp>
          <xdr:nvGrpSpPr>
            <xdr:cNvPr id="17484" name="Group 320">
              <a:extLst>
                <a:ext uri="{FF2B5EF4-FFF2-40B4-BE49-F238E27FC236}">
                  <a16:creationId xmlns:a16="http://schemas.microsoft.com/office/drawing/2014/main" id="{00000000-0008-0000-0900-00004C440000}"/>
                </a:ext>
              </a:extLst>
            </xdr:cNvPr>
            <xdr:cNvGrpSpPr>
              <a:grpSpLocks/>
            </xdr:cNvGrpSpPr>
          </xdr:nvGrpSpPr>
          <xdr:grpSpPr bwMode="auto">
            <a:xfrm>
              <a:off x="410" y="3286"/>
              <a:ext cx="19" cy="14"/>
              <a:chOff x="410" y="3286"/>
              <a:chExt cx="19" cy="14"/>
            </a:xfrm>
          </xdr:grpSpPr>
          <xdr:sp macro="" textlink="">
            <xdr:nvSpPr>
              <xdr:cNvPr id="17485" name="AutoShape 321">
                <a:extLst>
                  <a:ext uri="{FF2B5EF4-FFF2-40B4-BE49-F238E27FC236}">
                    <a16:creationId xmlns:a16="http://schemas.microsoft.com/office/drawing/2014/main" id="{00000000-0008-0000-0900-00004D440000}"/>
                  </a:ext>
                </a:extLst>
              </xdr:cNvPr>
              <xdr:cNvSpPr>
                <a:spLocks noChangeArrowheads="1"/>
              </xdr:cNvSpPr>
            </xdr:nvSpPr>
            <xdr:spPr bwMode="auto">
              <a:xfrm rot="5400000" flipV="1">
                <a:off x="414" y="3282"/>
                <a:ext cx="12" cy="19"/>
              </a:xfrm>
              <a:prstGeom prst="moon">
                <a:avLst>
                  <a:gd name="adj" fmla="val 87500"/>
                </a:avLst>
              </a:prstGeom>
              <a:solidFill>
                <a:srgbClr val="FFFF99"/>
              </a:solidFill>
              <a:ln w="9525">
                <a:solidFill>
                  <a:srgbClr val="000000"/>
                </a:solidFill>
                <a:miter lim="800000"/>
                <a:headEnd/>
                <a:tailEnd/>
              </a:ln>
            </xdr:spPr>
          </xdr:sp>
          <xdr:sp macro="" textlink="">
            <xdr:nvSpPr>
              <xdr:cNvPr id="17486" name="AutoShape 322">
                <a:extLst>
                  <a:ext uri="{FF2B5EF4-FFF2-40B4-BE49-F238E27FC236}">
                    <a16:creationId xmlns:a16="http://schemas.microsoft.com/office/drawing/2014/main" id="{00000000-0008-0000-0900-00004E440000}"/>
                  </a:ext>
                </a:extLst>
              </xdr:cNvPr>
              <xdr:cNvSpPr>
                <a:spLocks noChangeArrowheads="1"/>
              </xdr:cNvSpPr>
            </xdr:nvSpPr>
            <xdr:spPr bwMode="auto">
              <a:xfrm rot="16200000" flipV="1">
                <a:off x="417" y="3291"/>
                <a:ext cx="3" cy="16"/>
              </a:xfrm>
              <a:prstGeom prst="moon">
                <a:avLst>
                  <a:gd name="adj" fmla="val 87500"/>
                </a:avLst>
              </a:prstGeom>
              <a:solidFill>
                <a:srgbClr val="000000"/>
              </a:solidFill>
              <a:ln w="9525">
                <a:solidFill>
                  <a:srgbClr val="000000"/>
                </a:solidFill>
                <a:miter lim="800000"/>
                <a:headEnd/>
                <a:tailEnd/>
              </a:ln>
            </xdr:spPr>
          </xdr:sp>
          <xdr:sp macro="" textlink="">
            <xdr:nvSpPr>
              <xdr:cNvPr id="17487" name="Line 323">
                <a:extLst>
                  <a:ext uri="{FF2B5EF4-FFF2-40B4-BE49-F238E27FC236}">
                    <a16:creationId xmlns:a16="http://schemas.microsoft.com/office/drawing/2014/main" id="{00000000-0008-0000-0900-00004F440000}"/>
                  </a:ext>
                </a:extLst>
              </xdr:cNvPr>
              <xdr:cNvSpPr>
                <a:spLocks noChangeShapeType="1"/>
              </xdr:cNvSpPr>
            </xdr:nvSpPr>
            <xdr:spPr bwMode="auto">
              <a:xfrm>
                <a:off x="416" y="3287"/>
                <a:ext cx="0" cy="10"/>
              </a:xfrm>
              <a:prstGeom prst="line">
                <a:avLst/>
              </a:prstGeom>
              <a:noFill/>
              <a:ln w="9525">
                <a:solidFill>
                  <a:srgbClr val="000000"/>
                </a:solidFill>
                <a:round/>
                <a:headEnd/>
                <a:tailEnd/>
              </a:ln>
            </xdr:spPr>
          </xdr:sp>
          <xdr:sp macro="" textlink="">
            <xdr:nvSpPr>
              <xdr:cNvPr id="17488" name="Line 324">
                <a:extLst>
                  <a:ext uri="{FF2B5EF4-FFF2-40B4-BE49-F238E27FC236}">
                    <a16:creationId xmlns:a16="http://schemas.microsoft.com/office/drawing/2014/main" id="{00000000-0008-0000-0900-000050440000}"/>
                  </a:ext>
                </a:extLst>
              </xdr:cNvPr>
              <xdr:cNvSpPr>
                <a:spLocks noChangeShapeType="1"/>
              </xdr:cNvSpPr>
            </xdr:nvSpPr>
            <xdr:spPr bwMode="auto">
              <a:xfrm>
                <a:off x="423" y="3287"/>
                <a:ext cx="0" cy="10"/>
              </a:xfrm>
              <a:prstGeom prst="line">
                <a:avLst/>
              </a:prstGeom>
              <a:noFill/>
              <a:ln w="9525">
                <a:solidFill>
                  <a:srgbClr val="000000"/>
                </a:solidFill>
                <a:round/>
                <a:headEnd/>
                <a:tailEnd/>
              </a:ln>
            </xdr:spPr>
          </xdr:sp>
        </xdr:grpSp>
      </xdr:grpSp>
      <xdr:sp macro="" textlink="">
        <xdr:nvSpPr>
          <xdr:cNvPr id="17481" name="Line 325">
            <a:extLst>
              <a:ext uri="{FF2B5EF4-FFF2-40B4-BE49-F238E27FC236}">
                <a16:creationId xmlns:a16="http://schemas.microsoft.com/office/drawing/2014/main" id="{00000000-0008-0000-0900-000049440000}"/>
              </a:ext>
            </a:extLst>
          </xdr:cNvPr>
          <xdr:cNvSpPr>
            <a:spLocks noChangeShapeType="1"/>
          </xdr:cNvSpPr>
        </xdr:nvSpPr>
        <xdr:spPr bwMode="auto">
          <a:xfrm>
            <a:off x="409" y="3224"/>
            <a:ext cx="19" cy="0"/>
          </a:xfrm>
          <a:prstGeom prst="line">
            <a:avLst/>
          </a:prstGeom>
          <a:noFill/>
          <a:ln w="12700">
            <a:solidFill>
              <a:srgbClr val="000000"/>
            </a:solidFill>
            <a:round/>
            <a:headEnd/>
            <a:tailEnd/>
          </a:ln>
        </xdr:spPr>
      </xdr:sp>
      <xdr:sp macro="" textlink="">
        <xdr:nvSpPr>
          <xdr:cNvPr id="17482" name="Line 326">
            <a:extLst>
              <a:ext uri="{FF2B5EF4-FFF2-40B4-BE49-F238E27FC236}">
                <a16:creationId xmlns:a16="http://schemas.microsoft.com/office/drawing/2014/main" id="{00000000-0008-0000-0900-00004A440000}"/>
              </a:ext>
            </a:extLst>
          </xdr:cNvPr>
          <xdr:cNvSpPr>
            <a:spLocks noChangeShapeType="1"/>
          </xdr:cNvSpPr>
        </xdr:nvSpPr>
        <xdr:spPr bwMode="auto">
          <a:xfrm>
            <a:off x="411" y="3222"/>
            <a:ext cx="15" cy="0"/>
          </a:xfrm>
          <a:prstGeom prst="line">
            <a:avLst/>
          </a:prstGeom>
          <a:noFill/>
          <a:ln w="12700">
            <a:solidFill>
              <a:srgbClr val="FFFF99"/>
            </a:solidFill>
            <a:round/>
            <a:headEnd/>
            <a:tailEnd/>
          </a:ln>
        </xdr:spPr>
      </xdr:sp>
    </xdr:grpSp>
    <xdr:clientData/>
  </xdr:twoCellAnchor>
  <xdr:twoCellAnchor>
    <xdr:from>
      <xdr:col>5</xdr:col>
      <xdr:colOff>19050</xdr:colOff>
      <xdr:row>246</xdr:row>
      <xdr:rowOff>9525</xdr:rowOff>
    </xdr:from>
    <xdr:to>
      <xdr:col>5</xdr:col>
      <xdr:colOff>276225</xdr:colOff>
      <xdr:row>247</xdr:row>
      <xdr:rowOff>28575</xdr:rowOff>
    </xdr:to>
    <xdr:sp macro="" textlink="">
      <xdr:nvSpPr>
        <xdr:cNvPr id="17223" name="Line 329">
          <a:extLst>
            <a:ext uri="{FF2B5EF4-FFF2-40B4-BE49-F238E27FC236}">
              <a16:creationId xmlns:a16="http://schemas.microsoft.com/office/drawing/2014/main" id="{00000000-0008-0000-0900-000047430000}"/>
            </a:ext>
          </a:extLst>
        </xdr:cNvPr>
        <xdr:cNvSpPr>
          <a:spLocks noChangeShapeType="1"/>
        </xdr:cNvSpPr>
      </xdr:nvSpPr>
      <xdr:spPr bwMode="auto">
        <a:xfrm flipV="1">
          <a:off x="3067050" y="39843075"/>
          <a:ext cx="190500" cy="180975"/>
        </a:xfrm>
        <a:prstGeom prst="line">
          <a:avLst/>
        </a:prstGeom>
        <a:noFill/>
        <a:ln w="9525">
          <a:solidFill>
            <a:srgbClr val="000000"/>
          </a:solidFill>
          <a:prstDash val="dash"/>
          <a:round/>
          <a:headEnd/>
          <a:tailEnd/>
        </a:ln>
      </xdr:spPr>
    </xdr:sp>
    <xdr:clientData/>
  </xdr:twoCellAnchor>
  <xdr:twoCellAnchor>
    <xdr:from>
      <xdr:col>5</xdr:col>
      <xdr:colOff>28575</xdr:colOff>
      <xdr:row>252</xdr:row>
      <xdr:rowOff>152400</xdr:rowOff>
    </xdr:from>
    <xdr:to>
      <xdr:col>5</xdr:col>
      <xdr:colOff>285750</xdr:colOff>
      <xdr:row>254</xdr:row>
      <xdr:rowOff>9525</xdr:rowOff>
    </xdr:to>
    <xdr:sp macro="" textlink="">
      <xdr:nvSpPr>
        <xdr:cNvPr id="17224" name="Line 330">
          <a:extLst>
            <a:ext uri="{FF2B5EF4-FFF2-40B4-BE49-F238E27FC236}">
              <a16:creationId xmlns:a16="http://schemas.microsoft.com/office/drawing/2014/main" id="{00000000-0008-0000-0900-000048430000}"/>
            </a:ext>
          </a:extLst>
        </xdr:cNvPr>
        <xdr:cNvSpPr>
          <a:spLocks noChangeShapeType="1"/>
        </xdr:cNvSpPr>
      </xdr:nvSpPr>
      <xdr:spPr bwMode="auto">
        <a:xfrm flipV="1">
          <a:off x="3076575" y="40957500"/>
          <a:ext cx="180975" cy="180975"/>
        </a:xfrm>
        <a:prstGeom prst="line">
          <a:avLst/>
        </a:prstGeom>
        <a:noFill/>
        <a:ln w="9525">
          <a:solidFill>
            <a:srgbClr val="000000"/>
          </a:solidFill>
          <a:prstDash val="dash"/>
          <a:round/>
          <a:headEnd/>
          <a:tailEnd/>
        </a:ln>
      </xdr:spPr>
    </xdr:sp>
    <xdr:clientData/>
  </xdr:twoCellAnchor>
  <xdr:twoCellAnchor>
    <xdr:from>
      <xdr:col>4</xdr:col>
      <xdr:colOff>419100</xdr:colOff>
      <xdr:row>255</xdr:row>
      <xdr:rowOff>152400</xdr:rowOff>
    </xdr:from>
    <xdr:to>
      <xdr:col>5</xdr:col>
      <xdr:colOff>361950</xdr:colOff>
      <xdr:row>257</xdr:row>
      <xdr:rowOff>85725</xdr:rowOff>
    </xdr:to>
    <xdr:sp macro="" textlink="">
      <xdr:nvSpPr>
        <xdr:cNvPr id="16715" name="Text Box 331">
          <a:extLst>
            <a:ext uri="{FF2B5EF4-FFF2-40B4-BE49-F238E27FC236}">
              <a16:creationId xmlns:a16="http://schemas.microsoft.com/office/drawing/2014/main" id="{00000000-0008-0000-0900-00004B410000}"/>
            </a:ext>
          </a:extLst>
        </xdr:cNvPr>
        <xdr:cNvSpPr txBox="1">
          <a:spLocks noChangeArrowheads="1"/>
        </xdr:cNvSpPr>
      </xdr:nvSpPr>
      <xdr:spPr bwMode="auto">
        <a:xfrm>
          <a:off x="2857500" y="41443275"/>
          <a:ext cx="400050" cy="257175"/>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en-US" sz="1000" b="0" i="0" u="none" strike="noStrike" baseline="0">
              <a:solidFill>
                <a:srgbClr val="FFFF00"/>
              </a:solidFill>
              <a:latin typeface="Arial"/>
              <a:cs typeface="Arial"/>
            </a:rPr>
            <a:t>Onsite</a:t>
          </a:r>
        </a:p>
      </xdr:txBody>
    </xdr:sp>
    <xdr:clientData/>
  </xdr:twoCellAnchor>
  <xdr:twoCellAnchor>
    <xdr:from>
      <xdr:col>5</xdr:col>
      <xdr:colOff>200025</xdr:colOff>
      <xdr:row>250</xdr:row>
      <xdr:rowOff>123825</xdr:rowOff>
    </xdr:from>
    <xdr:to>
      <xdr:col>6</xdr:col>
      <xdr:colOff>228600</xdr:colOff>
      <xdr:row>252</xdr:row>
      <xdr:rowOff>95250</xdr:rowOff>
    </xdr:to>
    <xdr:sp macro="" textlink="">
      <xdr:nvSpPr>
        <xdr:cNvPr id="17226" name="AutoShape 332">
          <a:extLst>
            <a:ext uri="{FF2B5EF4-FFF2-40B4-BE49-F238E27FC236}">
              <a16:creationId xmlns:a16="http://schemas.microsoft.com/office/drawing/2014/main" id="{00000000-0008-0000-0900-00004A430000}"/>
            </a:ext>
          </a:extLst>
        </xdr:cNvPr>
        <xdr:cNvSpPr>
          <a:spLocks noChangeArrowheads="1"/>
        </xdr:cNvSpPr>
      </xdr:nvSpPr>
      <xdr:spPr bwMode="auto">
        <a:xfrm>
          <a:off x="3248025" y="40605075"/>
          <a:ext cx="238125" cy="295275"/>
        </a:xfrm>
        <a:custGeom>
          <a:avLst/>
          <a:gdLst>
            <a:gd name="T0" fmla="*/ 151386 w 21600"/>
            <a:gd name="T1" fmla="*/ 0 h 21600"/>
            <a:gd name="T2" fmla="*/ 0 w 21600"/>
            <a:gd name="T3" fmla="*/ 147638 h 21600"/>
            <a:gd name="T4" fmla="*/ 151386 w 21600"/>
            <a:gd name="T5" fmla="*/ 295275 h 21600"/>
            <a:gd name="T6" fmla="*/ 238125 w 21600"/>
            <a:gd name="T7" fmla="*/ 147638 h 21600"/>
            <a:gd name="T8" fmla="*/ 17694720 60000 65536"/>
            <a:gd name="T9" fmla="*/ 11796480 60000 65536"/>
            <a:gd name="T10" fmla="*/ 5898240 60000 65536"/>
            <a:gd name="T11" fmla="*/ 0 60000 65536"/>
            <a:gd name="T12" fmla="*/ 3375 w 21600"/>
            <a:gd name="T13" fmla="*/ 3527 h 21600"/>
            <a:gd name="T14" fmla="*/ 16302 w 21600"/>
            <a:gd name="T15" fmla="*/ 18073 h 21600"/>
          </a:gdLst>
          <a:ahLst/>
          <a:cxnLst>
            <a:cxn ang="T8">
              <a:pos x="T0" y="T1"/>
            </a:cxn>
            <a:cxn ang="T9">
              <a:pos x="T2" y="T3"/>
            </a:cxn>
            <a:cxn ang="T10">
              <a:pos x="T4" y="T5"/>
            </a:cxn>
            <a:cxn ang="T11">
              <a:pos x="T6" y="T7"/>
            </a:cxn>
          </a:cxnLst>
          <a:rect l="T12" t="T13" r="T14" b="T15"/>
          <a:pathLst>
            <a:path w="21600" h="21600">
              <a:moveTo>
                <a:pt x="13732" y="0"/>
              </a:moveTo>
              <a:lnTo>
                <a:pt x="13732" y="3527"/>
              </a:lnTo>
              <a:lnTo>
                <a:pt x="3375" y="3527"/>
              </a:lnTo>
              <a:lnTo>
                <a:pt x="3375" y="18073"/>
              </a:lnTo>
              <a:lnTo>
                <a:pt x="13732" y="18073"/>
              </a:lnTo>
              <a:lnTo>
                <a:pt x="13732" y="21600"/>
              </a:lnTo>
              <a:lnTo>
                <a:pt x="21600" y="10800"/>
              </a:lnTo>
              <a:close/>
            </a:path>
            <a:path w="21600" h="21600">
              <a:moveTo>
                <a:pt x="1350" y="3527"/>
              </a:moveTo>
              <a:lnTo>
                <a:pt x="1350" y="18073"/>
              </a:lnTo>
              <a:lnTo>
                <a:pt x="2700" y="18073"/>
              </a:lnTo>
              <a:lnTo>
                <a:pt x="2700" y="3527"/>
              </a:lnTo>
              <a:close/>
            </a:path>
            <a:path w="21600" h="21600">
              <a:moveTo>
                <a:pt x="0" y="3527"/>
              </a:moveTo>
              <a:lnTo>
                <a:pt x="0" y="18073"/>
              </a:lnTo>
              <a:lnTo>
                <a:pt x="675" y="18073"/>
              </a:lnTo>
              <a:lnTo>
                <a:pt x="675" y="3527"/>
              </a:lnTo>
              <a:close/>
            </a:path>
          </a:pathLst>
        </a:custGeom>
        <a:solidFill>
          <a:srgbClr val="0000FF">
            <a:alpha val="50195"/>
          </a:srgbClr>
        </a:solidFill>
        <a:ln w="9525">
          <a:noFill/>
          <a:miter lim="800000"/>
          <a:headEnd/>
          <a:tailEnd/>
        </a:ln>
      </xdr:spPr>
    </xdr:sp>
    <xdr:clientData/>
  </xdr:twoCellAnchor>
  <xdr:twoCellAnchor>
    <xdr:from>
      <xdr:col>6</xdr:col>
      <xdr:colOff>342900</xdr:colOff>
      <xdr:row>250</xdr:row>
      <xdr:rowOff>123825</xdr:rowOff>
    </xdr:from>
    <xdr:to>
      <xdr:col>7</xdr:col>
      <xdr:colOff>371475</xdr:colOff>
      <xdr:row>252</xdr:row>
      <xdr:rowOff>95250</xdr:rowOff>
    </xdr:to>
    <xdr:sp macro="" textlink="">
      <xdr:nvSpPr>
        <xdr:cNvPr id="17227" name="AutoShape 333">
          <a:extLst>
            <a:ext uri="{FF2B5EF4-FFF2-40B4-BE49-F238E27FC236}">
              <a16:creationId xmlns:a16="http://schemas.microsoft.com/office/drawing/2014/main" id="{00000000-0008-0000-0900-00004B430000}"/>
            </a:ext>
          </a:extLst>
        </xdr:cNvPr>
        <xdr:cNvSpPr>
          <a:spLocks noChangeArrowheads="1"/>
        </xdr:cNvSpPr>
      </xdr:nvSpPr>
      <xdr:spPr bwMode="auto">
        <a:xfrm>
          <a:off x="3600450" y="40605075"/>
          <a:ext cx="638175" cy="295275"/>
        </a:xfrm>
        <a:custGeom>
          <a:avLst/>
          <a:gdLst>
            <a:gd name="T0" fmla="*/ 405714 w 21600"/>
            <a:gd name="T1" fmla="*/ 0 h 21600"/>
            <a:gd name="T2" fmla="*/ 0 w 21600"/>
            <a:gd name="T3" fmla="*/ 147638 h 21600"/>
            <a:gd name="T4" fmla="*/ 405714 w 21600"/>
            <a:gd name="T5" fmla="*/ 295275 h 21600"/>
            <a:gd name="T6" fmla="*/ 638175 w 21600"/>
            <a:gd name="T7" fmla="*/ 147638 h 21600"/>
            <a:gd name="T8" fmla="*/ 17694720 60000 65536"/>
            <a:gd name="T9" fmla="*/ 11796480 60000 65536"/>
            <a:gd name="T10" fmla="*/ 5898240 60000 65536"/>
            <a:gd name="T11" fmla="*/ 0 60000 65536"/>
            <a:gd name="T12" fmla="*/ 3375 w 21600"/>
            <a:gd name="T13" fmla="*/ 3527 h 21600"/>
            <a:gd name="T14" fmla="*/ 16301 w 21600"/>
            <a:gd name="T15" fmla="*/ 18073 h 21600"/>
          </a:gdLst>
          <a:ahLst/>
          <a:cxnLst>
            <a:cxn ang="T8">
              <a:pos x="T0" y="T1"/>
            </a:cxn>
            <a:cxn ang="T9">
              <a:pos x="T2" y="T3"/>
            </a:cxn>
            <a:cxn ang="T10">
              <a:pos x="T4" y="T5"/>
            </a:cxn>
            <a:cxn ang="T11">
              <a:pos x="T6" y="T7"/>
            </a:cxn>
          </a:cxnLst>
          <a:rect l="T12" t="T13" r="T14" b="T15"/>
          <a:pathLst>
            <a:path w="21600" h="21600">
              <a:moveTo>
                <a:pt x="13732" y="0"/>
              </a:moveTo>
              <a:lnTo>
                <a:pt x="13732" y="3527"/>
              </a:lnTo>
              <a:lnTo>
                <a:pt x="3375" y="3527"/>
              </a:lnTo>
              <a:lnTo>
                <a:pt x="3375" y="18073"/>
              </a:lnTo>
              <a:lnTo>
                <a:pt x="13732" y="18073"/>
              </a:lnTo>
              <a:lnTo>
                <a:pt x="13732" y="21600"/>
              </a:lnTo>
              <a:lnTo>
                <a:pt x="21600" y="10800"/>
              </a:lnTo>
              <a:close/>
            </a:path>
            <a:path w="21600" h="21600">
              <a:moveTo>
                <a:pt x="1350" y="3527"/>
              </a:moveTo>
              <a:lnTo>
                <a:pt x="1350" y="18073"/>
              </a:lnTo>
              <a:lnTo>
                <a:pt x="2700" y="18073"/>
              </a:lnTo>
              <a:lnTo>
                <a:pt x="2700" y="3527"/>
              </a:lnTo>
              <a:close/>
            </a:path>
            <a:path w="21600" h="21600">
              <a:moveTo>
                <a:pt x="0" y="3527"/>
              </a:moveTo>
              <a:lnTo>
                <a:pt x="0" y="18073"/>
              </a:lnTo>
              <a:lnTo>
                <a:pt x="675" y="18073"/>
              </a:lnTo>
              <a:lnTo>
                <a:pt x="675" y="3527"/>
              </a:lnTo>
              <a:close/>
            </a:path>
          </a:pathLst>
        </a:custGeom>
        <a:solidFill>
          <a:srgbClr val="0000FF">
            <a:alpha val="50195"/>
          </a:srgbClr>
        </a:solidFill>
        <a:ln w="9525">
          <a:noFill/>
          <a:miter lim="800000"/>
          <a:headEnd/>
          <a:tailEnd/>
        </a:ln>
      </xdr:spPr>
    </xdr:sp>
    <xdr:clientData/>
  </xdr:twoCellAnchor>
  <xdr:twoCellAnchor>
    <xdr:from>
      <xdr:col>0</xdr:col>
      <xdr:colOff>180975</xdr:colOff>
      <xdr:row>190</xdr:row>
      <xdr:rowOff>133350</xdr:rowOff>
    </xdr:from>
    <xdr:to>
      <xdr:col>3</xdr:col>
      <xdr:colOff>304800</xdr:colOff>
      <xdr:row>193</xdr:row>
      <xdr:rowOff>114300</xdr:rowOff>
    </xdr:to>
    <xdr:sp macro="" textlink="">
      <xdr:nvSpPr>
        <xdr:cNvPr id="17228" name="Rectangle 334">
          <a:extLst>
            <a:ext uri="{FF2B5EF4-FFF2-40B4-BE49-F238E27FC236}">
              <a16:creationId xmlns:a16="http://schemas.microsoft.com/office/drawing/2014/main" id="{00000000-0008-0000-0900-00004C430000}"/>
            </a:ext>
          </a:extLst>
        </xdr:cNvPr>
        <xdr:cNvSpPr>
          <a:spLocks noChangeArrowheads="1"/>
        </xdr:cNvSpPr>
      </xdr:nvSpPr>
      <xdr:spPr bwMode="auto">
        <a:xfrm>
          <a:off x="180975" y="30899100"/>
          <a:ext cx="1952625" cy="466725"/>
        </a:xfrm>
        <a:prstGeom prst="rect">
          <a:avLst/>
        </a:prstGeom>
        <a:solidFill>
          <a:srgbClr val="99CCFF"/>
        </a:solidFill>
        <a:ln w="76200">
          <a:noFill/>
          <a:miter lim="800000"/>
          <a:headEnd/>
          <a:tailEnd/>
        </a:ln>
      </xdr:spPr>
    </xdr:sp>
    <xdr:clientData/>
  </xdr:twoCellAnchor>
  <xdr:twoCellAnchor>
    <xdr:from>
      <xdr:col>0</xdr:col>
      <xdr:colOff>171450</xdr:colOff>
      <xdr:row>193</xdr:row>
      <xdr:rowOff>104775</xdr:rowOff>
    </xdr:from>
    <xdr:to>
      <xdr:col>3</xdr:col>
      <xdr:colOff>304800</xdr:colOff>
      <xdr:row>197</xdr:row>
      <xdr:rowOff>0</xdr:rowOff>
    </xdr:to>
    <xdr:sp macro="" textlink="">
      <xdr:nvSpPr>
        <xdr:cNvPr id="17229" name="Rectangle 335" descr="Large confetti">
          <a:extLst>
            <a:ext uri="{FF2B5EF4-FFF2-40B4-BE49-F238E27FC236}">
              <a16:creationId xmlns:a16="http://schemas.microsoft.com/office/drawing/2014/main" id="{00000000-0008-0000-0900-00004D430000}"/>
            </a:ext>
          </a:extLst>
        </xdr:cNvPr>
        <xdr:cNvSpPr>
          <a:spLocks noChangeArrowheads="1"/>
        </xdr:cNvSpPr>
      </xdr:nvSpPr>
      <xdr:spPr bwMode="auto">
        <a:xfrm>
          <a:off x="171450" y="31356300"/>
          <a:ext cx="1962150" cy="542925"/>
        </a:xfrm>
        <a:prstGeom prst="rect">
          <a:avLst/>
        </a:prstGeom>
        <a:pattFill prst="lgConfetti">
          <a:fgClr>
            <a:srgbClr val="99CCFF"/>
          </a:fgClr>
          <a:bgClr>
            <a:srgbClr val="FFCC99"/>
          </a:bgClr>
        </a:pattFill>
        <a:ln w="76200">
          <a:noFill/>
          <a:miter lim="800000"/>
          <a:headEnd/>
          <a:tailEnd/>
        </a:ln>
      </xdr:spPr>
    </xdr:sp>
    <xdr:clientData/>
  </xdr:twoCellAnchor>
  <xdr:twoCellAnchor>
    <xdr:from>
      <xdr:col>2</xdr:col>
      <xdr:colOff>9525</xdr:colOff>
      <xdr:row>193</xdr:row>
      <xdr:rowOff>104775</xdr:rowOff>
    </xdr:from>
    <xdr:to>
      <xdr:col>3</xdr:col>
      <xdr:colOff>304800</xdr:colOff>
      <xdr:row>194</xdr:row>
      <xdr:rowOff>47625</xdr:rowOff>
    </xdr:to>
    <xdr:sp macro="" textlink="">
      <xdr:nvSpPr>
        <xdr:cNvPr id="17230" name="Rectangle 336">
          <a:extLst>
            <a:ext uri="{FF2B5EF4-FFF2-40B4-BE49-F238E27FC236}">
              <a16:creationId xmlns:a16="http://schemas.microsoft.com/office/drawing/2014/main" id="{00000000-0008-0000-0900-00004E430000}"/>
            </a:ext>
          </a:extLst>
        </xdr:cNvPr>
        <xdr:cNvSpPr>
          <a:spLocks noChangeArrowheads="1"/>
        </xdr:cNvSpPr>
      </xdr:nvSpPr>
      <xdr:spPr bwMode="auto">
        <a:xfrm>
          <a:off x="1228725" y="31356300"/>
          <a:ext cx="904875" cy="104775"/>
        </a:xfrm>
        <a:prstGeom prst="rect">
          <a:avLst/>
        </a:prstGeom>
        <a:solidFill>
          <a:srgbClr val="99CCFF"/>
        </a:solidFill>
        <a:ln w="9525">
          <a:noFill/>
          <a:miter lim="800000"/>
          <a:headEnd/>
          <a:tailEnd/>
        </a:ln>
      </xdr:spPr>
    </xdr:sp>
    <xdr:clientData/>
  </xdr:twoCellAnchor>
  <xdr:twoCellAnchor>
    <xdr:from>
      <xdr:col>1</xdr:col>
      <xdr:colOff>133350</xdr:colOff>
      <xdr:row>190</xdr:row>
      <xdr:rowOff>114300</xdr:rowOff>
    </xdr:from>
    <xdr:to>
      <xdr:col>2</xdr:col>
      <xdr:colOff>66675</xdr:colOff>
      <xdr:row>194</xdr:row>
      <xdr:rowOff>9525</xdr:rowOff>
    </xdr:to>
    <xdr:sp macro="" textlink="">
      <xdr:nvSpPr>
        <xdr:cNvPr id="17231" name="Line 337">
          <a:extLst>
            <a:ext uri="{FF2B5EF4-FFF2-40B4-BE49-F238E27FC236}">
              <a16:creationId xmlns:a16="http://schemas.microsoft.com/office/drawing/2014/main" id="{00000000-0008-0000-0900-00004F430000}"/>
            </a:ext>
          </a:extLst>
        </xdr:cNvPr>
        <xdr:cNvSpPr>
          <a:spLocks noChangeShapeType="1"/>
        </xdr:cNvSpPr>
      </xdr:nvSpPr>
      <xdr:spPr bwMode="auto">
        <a:xfrm>
          <a:off x="742950" y="30880050"/>
          <a:ext cx="542925" cy="542925"/>
        </a:xfrm>
        <a:prstGeom prst="line">
          <a:avLst/>
        </a:prstGeom>
        <a:noFill/>
        <a:ln w="28575">
          <a:solidFill>
            <a:srgbClr val="000000"/>
          </a:solidFill>
          <a:round/>
          <a:headEnd/>
          <a:tailEnd/>
        </a:ln>
      </xdr:spPr>
    </xdr:sp>
    <xdr:clientData/>
  </xdr:twoCellAnchor>
  <xdr:twoCellAnchor>
    <xdr:from>
      <xdr:col>2</xdr:col>
      <xdr:colOff>0</xdr:colOff>
      <xdr:row>193</xdr:row>
      <xdr:rowOff>123825</xdr:rowOff>
    </xdr:from>
    <xdr:to>
      <xdr:col>2</xdr:col>
      <xdr:colOff>76200</xdr:colOff>
      <xdr:row>194</xdr:row>
      <xdr:rowOff>38100</xdr:rowOff>
    </xdr:to>
    <xdr:sp macro="" textlink="">
      <xdr:nvSpPr>
        <xdr:cNvPr id="17232" name="Oval 338">
          <a:extLst>
            <a:ext uri="{FF2B5EF4-FFF2-40B4-BE49-F238E27FC236}">
              <a16:creationId xmlns:a16="http://schemas.microsoft.com/office/drawing/2014/main" id="{00000000-0008-0000-0900-000050430000}"/>
            </a:ext>
          </a:extLst>
        </xdr:cNvPr>
        <xdr:cNvSpPr>
          <a:spLocks noChangeArrowheads="1"/>
        </xdr:cNvSpPr>
      </xdr:nvSpPr>
      <xdr:spPr bwMode="auto">
        <a:xfrm>
          <a:off x="1219200" y="31375350"/>
          <a:ext cx="76200" cy="76200"/>
        </a:xfrm>
        <a:prstGeom prst="ellipse">
          <a:avLst/>
        </a:prstGeom>
        <a:solidFill>
          <a:srgbClr val="000000"/>
        </a:solidFill>
        <a:ln w="9525">
          <a:solidFill>
            <a:srgbClr val="000000"/>
          </a:solidFill>
          <a:round/>
          <a:headEnd/>
          <a:tailEnd/>
        </a:ln>
      </xdr:spPr>
    </xdr:sp>
    <xdr:clientData/>
  </xdr:twoCellAnchor>
  <xdr:twoCellAnchor>
    <xdr:from>
      <xdr:col>1</xdr:col>
      <xdr:colOff>171450</xdr:colOff>
      <xdr:row>190</xdr:row>
      <xdr:rowOff>123825</xdr:rowOff>
    </xdr:from>
    <xdr:to>
      <xdr:col>3</xdr:col>
      <xdr:colOff>304800</xdr:colOff>
      <xdr:row>190</xdr:row>
      <xdr:rowOff>123825</xdr:rowOff>
    </xdr:to>
    <xdr:sp macro="" textlink="">
      <xdr:nvSpPr>
        <xdr:cNvPr id="17233" name="Line 339">
          <a:extLst>
            <a:ext uri="{FF2B5EF4-FFF2-40B4-BE49-F238E27FC236}">
              <a16:creationId xmlns:a16="http://schemas.microsoft.com/office/drawing/2014/main" id="{00000000-0008-0000-0900-000051430000}"/>
            </a:ext>
          </a:extLst>
        </xdr:cNvPr>
        <xdr:cNvSpPr>
          <a:spLocks noChangeShapeType="1"/>
        </xdr:cNvSpPr>
      </xdr:nvSpPr>
      <xdr:spPr bwMode="auto">
        <a:xfrm flipV="1">
          <a:off x="781050" y="30889575"/>
          <a:ext cx="1352550" cy="0"/>
        </a:xfrm>
        <a:prstGeom prst="line">
          <a:avLst/>
        </a:prstGeom>
        <a:noFill/>
        <a:ln w="28575">
          <a:solidFill>
            <a:srgbClr val="000000"/>
          </a:solidFill>
          <a:round/>
          <a:headEnd/>
          <a:tailEnd/>
        </a:ln>
      </xdr:spPr>
    </xdr:sp>
    <xdr:clientData/>
  </xdr:twoCellAnchor>
  <xdr:twoCellAnchor>
    <xdr:from>
      <xdr:col>1</xdr:col>
      <xdr:colOff>28575</xdr:colOff>
      <xdr:row>199</xdr:row>
      <xdr:rowOff>19050</xdr:rowOff>
    </xdr:from>
    <xdr:to>
      <xdr:col>4</xdr:col>
      <xdr:colOff>142875</xdr:colOff>
      <xdr:row>215</xdr:row>
      <xdr:rowOff>76200</xdr:rowOff>
    </xdr:to>
    <xdr:grpSp>
      <xdr:nvGrpSpPr>
        <xdr:cNvPr id="17234" name="Group 340">
          <a:extLst>
            <a:ext uri="{FF2B5EF4-FFF2-40B4-BE49-F238E27FC236}">
              <a16:creationId xmlns:a16="http://schemas.microsoft.com/office/drawing/2014/main" id="{00000000-0008-0000-0900-000052430000}"/>
            </a:ext>
          </a:extLst>
        </xdr:cNvPr>
        <xdr:cNvGrpSpPr>
          <a:grpSpLocks/>
        </xdr:cNvGrpSpPr>
      </xdr:nvGrpSpPr>
      <xdr:grpSpPr bwMode="auto">
        <a:xfrm>
          <a:off x="638175" y="33379410"/>
          <a:ext cx="1943100" cy="2739390"/>
          <a:chOff x="632" y="241"/>
          <a:chExt cx="204" cy="278"/>
        </a:xfrm>
      </xdr:grpSpPr>
      <xdr:grpSp>
        <xdr:nvGrpSpPr>
          <xdr:cNvPr id="17468" name="Group 341">
            <a:extLst>
              <a:ext uri="{FF2B5EF4-FFF2-40B4-BE49-F238E27FC236}">
                <a16:creationId xmlns:a16="http://schemas.microsoft.com/office/drawing/2014/main" id="{00000000-0008-0000-0900-00003C440000}"/>
              </a:ext>
            </a:extLst>
          </xdr:cNvPr>
          <xdr:cNvGrpSpPr>
            <a:grpSpLocks/>
          </xdr:cNvGrpSpPr>
        </xdr:nvGrpSpPr>
        <xdr:grpSpPr bwMode="auto">
          <a:xfrm>
            <a:off x="632" y="241"/>
            <a:ext cx="204" cy="278"/>
            <a:chOff x="741" y="240"/>
            <a:chExt cx="204" cy="278"/>
          </a:xfrm>
        </xdr:grpSpPr>
        <xdr:grpSp>
          <xdr:nvGrpSpPr>
            <xdr:cNvPr id="17470" name="Group 342">
              <a:extLst>
                <a:ext uri="{FF2B5EF4-FFF2-40B4-BE49-F238E27FC236}">
                  <a16:creationId xmlns:a16="http://schemas.microsoft.com/office/drawing/2014/main" id="{00000000-0008-0000-0900-00003E440000}"/>
                </a:ext>
              </a:extLst>
            </xdr:cNvPr>
            <xdr:cNvGrpSpPr>
              <a:grpSpLocks/>
            </xdr:cNvGrpSpPr>
          </xdr:nvGrpSpPr>
          <xdr:grpSpPr bwMode="auto">
            <a:xfrm>
              <a:off x="742" y="240"/>
              <a:ext cx="203" cy="278"/>
              <a:chOff x="744" y="346"/>
              <a:chExt cx="203" cy="278"/>
            </a:xfrm>
          </xdr:grpSpPr>
          <xdr:sp macro="" textlink="">
            <xdr:nvSpPr>
              <xdr:cNvPr id="17474" name="Rectangle 343">
                <a:extLst>
                  <a:ext uri="{FF2B5EF4-FFF2-40B4-BE49-F238E27FC236}">
                    <a16:creationId xmlns:a16="http://schemas.microsoft.com/office/drawing/2014/main" id="{00000000-0008-0000-0900-000042440000}"/>
                  </a:ext>
                </a:extLst>
              </xdr:cNvPr>
              <xdr:cNvSpPr>
                <a:spLocks noChangeArrowheads="1"/>
              </xdr:cNvSpPr>
            </xdr:nvSpPr>
            <xdr:spPr bwMode="auto">
              <a:xfrm>
                <a:off x="744" y="346"/>
                <a:ext cx="203" cy="139"/>
              </a:xfrm>
              <a:prstGeom prst="rect">
                <a:avLst/>
              </a:prstGeom>
              <a:solidFill>
                <a:srgbClr val="99CCFF"/>
              </a:solidFill>
              <a:ln w="76200">
                <a:noFill/>
                <a:miter lim="800000"/>
                <a:headEnd/>
                <a:tailEnd/>
              </a:ln>
            </xdr:spPr>
          </xdr:sp>
          <xdr:sp macro="" textlink="">
            <xdr:nvSpPr>
              <xdr:cNvPr id="17475" name="Rectangle 344" descr="Large confetti">
                <a:extLst>
                  <a:ext uri="{FF2B5EF4-FFF2-40B4-BE49-F238E27FC236}">
                    <a16:creationId xmlns:a16="http://schemas.microsoft.com/office/drawing/2014/main" id="{00000000-0008-0000-0900-000043440000}"/>
                  </a:ext>
                </a:extLst>
              </xdr:cNvPr>
              <xdr:cNvSpPr>
                <a:spLocks noChangeArrowheads="1"/>
              </xdr:cNvSpPr>
            </xdr:nvSpPr>
            <xdr:spPr bwMode="auto">
              <a:xfrm>
                <a:off x="744" y="485"/>
                <a:ext cx="203" cy="139"/>
              </a:xfrm>
              <a:prstGeom prst="rect">
                <a:avLst/>
              </a:prstGeom>
              <a:pattFill prst="lgConfetti">
                <a:fgClr>
                  <a:srgbClr val="99CCFF"/>
                </a:fgClr>
                <a:bgClr>
                  <a:srgbClr val="FFCC99"/>
                </a:bgClr>
              </a:pattFill>
              <a:ln w="76200">
                <a:noFill/>
                <a:miter lim="800000"/>
                <a:headEnd/>
                <a:tailEnd/>
              </a:ln>
            </xdr:spPr>
          </xdr:sp>
          <xdr:sp macro="" textlink="">
            <xdr:nvSpPr>
              <xdr:cNvPr id="16729" name="Text Box 345">
                <a:extLst>
                  <a:ext uri="{FF2B5EF4-FFF2-40B4-BE49-F238E27FC236}">
                    <a16:creationId xmlns:a16="http://schemas.microsoft.com/office/drawing/2014/main" id="{00000000-0008-0000-0900-000059410000}"/>
                  </a:ext>
                </a:extLst>
              </xdr:cNvPr>
              <xdr:cNvSpPr txBox="1">
                <a:spLocks noChangeArrowheads="1"/>
              </xdr:cNvSpPr>
            </xdr:nvSpPr>
            <xdr:spPr bwMode="auto">
              <a:xfrm>
                <a:off x="771" y="371"/>
                <a:ext cx="174" cy="28"/>
              </a:xfrm>
              <a:prstGeom prst="rect">
                <a:avLst/>
              </a:prstGeom>
              <a:noFill/>
              <a:ln w="9525">
                <a:noFill/>
                <a:miter lim="800000"/>
                <a:headEnd/>
                <a:tailEnd/>
              </a:ln>
            </xdr:spPr>
            <xdr:txBody>
              <a:bodyPr vertOverflow="clip" wrap="square" lIns="36576" tIns="22860" rIns="36576" bIns="0" anchor="t" upright="1"/>
              <a:lstStyle/>
              <a:p>
                <a:pPr algn="ctr" rtl="0">
                  <a:defRPr sz="1000"/>
                </a:pPr>
                <a:r>
                  <a:rPr lang="en-US" sz="1200" b="0" i="0" u="none" strike="noStrike" baseline="0">
                    <a:solidFill>
                      <a:srgbClr val="000000"/>
                    </a:solidFill>
                    <a:latin typeface="Arial"/>
                    <a:cs typeface="Arial"/>
                  </a:rPr>
                  <a:t>Carrier Water</a:t>
                </a:r>
              </a:p>
            </xdr:txBody>
          </xdr:sp>
          <xdr:sp macro="" textlink="">
            <xdr:nvSpPr>
              <xdr:cNvPr id="16730" name="Text Box 346">
                <a:extLst>
                  <a:ext uri="{FF2B5EF4-FFF2-40B4-BE49-F238E27FC236}">
                    <a16:creationId xmlns:a16="http://schemas.microsoft.com/office/drawing/2014/main" id="{00000000-0008-0000-0900-00005A410000}"/>
                  </a:ext>
                </a:extLst>
              </xdr:cNvPr>
              <xdr:cNvSpPr txBox="1">
                <a:spLocks noChangeArrowheads="1"/>
              </xdr:cNvSpPr>
            </xdr:nvSpPr>
            <xdr:spPr bwMode="auto">
              <a:xfrm>
                <a:off x="749" y="581"/>
                <a:ext cx="174" cy="28"/>
              </a:xfrm>
              <a:prstGeom prst="rect">
                <a:avLst/>
              </a:prstGeom>
              <a:noFill/>
              <a:ln w="9525">
                <a:noFill/>
                <a:miter lim="800000"/>
                <a:headEnd/>
                <a:tailEnd/>
              </a:ln>
            </xdr:spPr>
            <xdr:txBody>
              <a:bodyPr vertOverflow="clip" wrap="square" lIns="36576" tIns="22860" rIns="36576" bIns="0" anchor="t" upright="1"/>
              <a:lstStyle/>
              <a:p>
                <a:pPr algn="ctr" rtl="0">
                  <a:defRPr sz="1000"/>
                </a:pPr>
                <a:r>
                  <a:rPr lang="en-US" sz="1200" b="0" i="1" u="none" strike="noStrike" baseline="0">
                    <a:solidFill>
                      <a:srgbClr val="000000"/>
                    </a:solidFill>
                    <a:latin typeface="Arial"/>
                    <a:cs typeface="Arial"/>
                  </a:rPr>
                  <a:t>In Situ Sediment</a:t>
                </a:r>
              </a:p>
            </xdr:txBody>
          </xdr:sp>
          <xdr:sp macro="" textlink="">
            <xdr:nvSpPr>
              <xdr:cNvPr id="17478" name="Rectangle 347">
                <a:extLst>
                  <a:ext uri="{FF2B5EF4-FFF2-40B4-BE49-F238E27FC236}">
                    <a16:creationId xmlns:a16="http://schemas.microsoft.com/office/drawing/2014/main" id="{00000000-0008-0000-0900-000046440000}"/>
                  </a:ext>
                </a:extLst>
              </xdr:cNvPr>
              <xdr:cNvSpPr>
                <a:spLocks noChangeArrowheads="1"/>
              </xdr:cNvSpPr>
            </xdr:nvSpPr>
            <xdr:spPr bwMode="auto">
              <a:xfrm>
                <a:off x="854" y="479"/>
                <a:ext cx="93" cy="69"/>
              </a:xfrm>
              <a:prstGeom prst="rect">
                <a:avLst/>
              </a:prstGeom>
              <a:solidFill>
                <a:srgbClr val="99CCFF"/>
              </a:solidFill>
              <a:ln w="9525">
                <a:noFill/>
                <a:miter lim="800000"/>
                <a:headEnd/>
                <a:tailEnd/>
              </a:ln>
            </xdr:spPr>
          </xdr:sp>
          <xdr:sp macro="" textlink="">
            <xdr:nvSpPr>
              <xdr:cNvPr id="17479" name="Oval 348" descr="Large confetti">
                <a:extLst>
                  <a:ext uri="{FF2B5EF4-FFF2-40B4-BE49-F238E27FC236}">
                    <a16:creationId xmlns:a16="http://schemas.microsoft.com/office/drawing/2014/main" id="{00000000-0008-0000-0900-000047440000}"/>
                  </a:ext>
                </a:extLst>
              </xdr:cNvPr>
              <xdr:cNvSpPr>
                <a:spLocks noChangeArrowheads="1"/>
              </xdr:cNvSpPr>
            </xdr:nvSpPr>
            <xdr:spPr bwMode="auto">
              <a:xfrm>
                <a:off x="810" y="452"/>
                <a:ext cx="91" cy="96"/>
              </a:xfrm>
              <a:prstGeom prst="ellipse">
                <a:avLst/>
              </a:prstGeom>
              <a:pattFill prst="lgConfetti">
                <a:fgClr>
                  <a:srgbClr val="FFCC99"/>
                </a:fgClr>
                <a:bgClr>
                  <a:srgbClr val="99CCFF"/>
                </a:bgClr>
              </a:pattFill>
              <a:ln w="28575">
                <a:solidFill>
                  <a:srgbClr val="000000"/>
                </a:solidFill>
                <a:round/>
                <a:headEnd/>
                <a:tailEnd/>
              </a:ln>
            </xdr:spPr>
          </xdr:sp>
        </xdr:grpSp>
        <xdr:sp macro="" textlink="">
          <xdr:nvSpPr>
            <xdr:cNvPr id="17471" name="Line 349">
              <a:extLst>
                <a:ext uri="{FF2B5EF4-FFF2-40B4-BE49-F238E27FC236}">
                  <a16:creationId xmlns:a16="http://schemas.microsoft.com/office/drawing/2014/main" id="{00000000-0008-0000-0900-00003F440000}"/>
                </a:ext>
              </a:extLst>
            </xdr:cNvPr>
            <xdr:cNvSpPr>
              <a:spLocks noChangeShapeType="1"/>
            </xdr:cNvSpPr>
          </xdr:nvSpPr>
          <xdr:spPr bwMode="auto">
            <a:xfrm flipH="1" flipV="1">
              <a:off x="750" y="289"/>
              <a:ext cx="68" cy="68"/>
            </a:xfrm>
            <a:prstGeom prst="line">
              <a:avLst/>
            </a:prstGeom>
            <a:noFill/>
            <a:ln w="273050">
              <a:solidFill>
                <a:srgbClr val="000000"/>
              </a:solidFill>
              <a:round/>
              <a:headEnd/>
              <a:tailEnd/>
            </a:ln>
          </xdr:spPr>
        </xdr:sp>
        <xdr:sp macro="" textlink="">
          <xdr:nvSpPr>
            <xdr:cNvPr id="17472" name="AutoShape 350">
              <a:extLst>
                <a:ext uri="{FF2B5EF4-FFF2-40B4-BE49-F238E27FC236}">
                  <a16:creationId xmlns:a16="http://schemas.microsoft.com/office/drawing/2014/main" id="{00000000-0008-0000-0900-000040440000}"/>
                </a:ext>
              </a:extLst>
            </xdr:cNvPr>
            <xdr:cNvSpPr>
              <a:spLocks noChangeArrowheads="1"/>
            </xdr:cNvSpPr>
          </xdr:nvSpPr>
          <xdr:spPr bwMode="auto">
            <a:xfrm rot="2926556">
              <a:off x="808" y="322"/>
              <a:ext cx="36" cy="75"/>
            </a:xfrm>
            <a:prstGeom prst="moon">
              <a:avLst>
                <a:gd name="adj" fmla="val 47222"/>
              </a:avLst>
            </a:prstGeom>
            <a:solidFill>
              <a:srgbClr val="000000"/>
            </a:solidFill>
            <a:ln w="9525">
              <a:solidFill>
                <a:srgbClr val="000000"/>
              </a:solidFill>
              <a:miter lim="800000"/>
              <a:headEnd/>
              <a:tailEnd/>
            </a:ln>
          </xdr:spPr>
        </xdr:sp>
        <xdr:sp macro="" textlink="">
          <xdr:nvSpPr>
            <xdr:cNvPr id="17473" name="AutoShape 351">
              <a:extLst>
                <a:ext uri="{FF2B5EF4-FFF2-40B4-BE49-F238E27FC236}">
                  <a16:creationId xmlns:a16="http://schemas.microsoft.com/office/drawing/2014/main" id="{00000000-0008-0000-0900-000041440000}"/>
                </a:ext>
              </a:extLst>
            </xdr:cNvPr>
            <xdr:cNvSpPr>
              <a:spLocks noChangeArrowheads="1"/>
            </xdr:cNvSpPr>
          </xdr:nvSpPr>
          <xdr:spPr bwMode="auto">
            <a:xfrm>
              <a:off x="741" y="260"/>
              <a:ext cx="42" cy="42"/>
            </a:xfrm>
            <a:prstGeom prst="rtTriangle">
              <a:avLst/>
            </a:prstGeom>
            <a:solidFill>
              <a:srgbClr val="000000"/>
            </a:solidFill>
            <a:ln w="9525">
              <a:solidFill>
                <a:srgbClr val="000000"/>
              </a:solidFill>
              <a:miter lim="800000"/>
              <a:headEnd/>
              <a:tailEnd/>
            </a:ln>
          </xdr:spPr>
        </xdr:sp>
      </xdr:grpSp>
      <xdr:sp macro="" textlink="">
        <xdr:nvSpPr>
          <xdr:cNvPr id="16736" name="Text Box 352">
            <a:extLst>
              <a:ext uri="{FF2B5EF4-FFF2-40B4-BE49-F238E27FC236}">
                <a16:creationId xmlns:a16="http://schemas.microsoft.com/office/drawing/2014/main" id="{00000000-0008-0000-0900-000060410000}"/>
              </a:ext>
            </a:extLst>
          </xdr:cNvPr>
          <xdr:cNvSpPr txBox="1">
            <a:spLocks noChangeArrowheads="1"/>
          </xdr:cNvSpPr>
        </xdr:nvSpPr>
        <xdr:spPr bwMode="auto">
          <a:xfrm>
            <a:off x="702" y="380"/>
            <a:ext cx="84" cy="28"/>
          </a:xfrm>
          <a:prstGeom prst="rect">
            <a:avLst/>
          </a:prstGeom>
          <a:noFill/>
          <a:ln w="9525">
            <a:noFill/>
            <a:miter lim="800000"/>
            <a:headEnd/>
            <a:tailEnd/>
          </a:ln>
        </xdr:spPr>
        <xdr:txBody>
          <a:bodyPr vertOverflow="clip" wrap="square" lIns="36576" tIns="22860" rIns="36576" bIns="0" anchor="t" upright="1"/>
          <a:lstStyle/>
          <a:p>
            <a:pPr algn="ctr" rtl="0">
              <a:defRPr sz="1000"/>
            </a:pPr>
            <a:r>
              <a:rPr lang="en-US" sz="1200" b="0" i="1" u="none" strike="noStrike" baseline="0">
                <a:solidFill>
                  <a:srgbClr val="000000"/>
                </a:solidFill>
                <a:latin typeface="Arial"/>
                <a:cs typeface="Arial"/>
              </a:rPr>
              <a:t>Slurry</a:t>
            </a:r>
          </a:p>
        </xdr:txBody>
      </xdr:sp>
    </xdr:grpSp>
    <xdr:clientData/>
  </xdr:twoCellAnchor>
  <xdr:twoCellAnchor>
    <xdr:from>
      <xdr:col>2</xdr:col>
      <xdr:colOff>123825</xdr:colOff>
      <xdr:row>193</xdr:row>
      <xdr:rowOff>85725</xdr:rowOff>
    </xdr:from>
    <xdr:to>
      <xdr:col>4</xdr:col>
      <xdr:colOff>152400</xdr:colOff>
      <xdr:row>199</xdr:row>
      <xdr:rowOff>9525</xdr:rowOff>
    </xdr:to>
    <xdr:sp macro="" textlink="">
      <xdr:nvSpPr>
        <xdr:cNvPr id="17235" name="Line 353">
          <a:extLst>
            <a:ext uri="{FF2B5EF4-FFF2-40B4-BE49-F238E27FC236}">
              <a16:creationId xmlns:a16="http://schemas.microsoft.com/office/drawing/2014/main" id="{00000000-0008-0000-0900-000053430000}"/>
            </a:ext>
          </a:extLst>
        </xdr:cNvPr>
        <xdr:cNvSpPr>
          <a:spLocks noChangeShapeType="1"/>
        </xdr:cNvSpPr>
      </xdr:nvSpPr>
      <xdr:spPr bwMode="auto">
        <a:xfrm>
          <a:off x="1343025" y="31337250"/>
          <a:ext cx="1247775" cy="895350"/>
        </a:xfrm>
        <a:prstGeom prst="line">
          <a:avLst/>
        </a:prstGeom>
        <a:noFill/>
        <a:ln w="9525">
          <a:solidFill>
            <a:srgbClr val="000000"/>
          </a:solidFill>
          <a:prstDash val="dash"/>
          <a:round/>
          <a:headEnd/>
          <a:tailEnd/>
        </a:ln>
      </xdr:spPr>
    </xdr:sp>
    <xdr:clientData/>
  </xdr:twoCellAnchor>
  <xdr:twoCellAnchor>
    <xdr:from>
      <xdr:col>1</xdr:col>
      <xdr:colOff>47625</xdr:colOff>
      <xdr:row>193</xdr:row>
      <xdr:rowOff>95250</xdr:rowOff>
    </xdr:from>
    <xdr:to>
      <xdr:col>1</xdr:col>
      <xdr:colOff>590550</xdr:colOff>
      <xdr:row>198</xdr:row>
      <xdr:rowOff>152400</xdr:rowOff>
    </xdr:to>
    <xdr:sp macro="" textlink="">
      <xdr:nvSpPr>
        <xdr:cNvPr id="17236" name="Line 354">
          <a:extLst>
            <a:ext uri="{FF2B5EF4-FFF2-40B4-BE49-F238E27FC236}">
              <a16:creationId xmlns:a16="http://schemas.microsoft.com/office/drawing/2014/main" id="{00000000-0008-0000-0900-000054430000}"/>
            </a:ext>
          </a:extLst>
        </xdr:cNvPr>
        <xdr:cNvSpPr>
          <a:spLocks noChangeShapeType="1"/>
        </xdr:cNvSpPr>
      </xdr:nvSpPr>
      <xdr:spPr bwMode="auto">
        <a:xfrm flipH="1">
          <a:off x="657225" y="31346775"/>
          <a:ext cx="542925" cy="866775"/>
        </a:xfrm>
        <a:prstGeom prst="line">
          <a:avLst/>
        </a:prstGeom>
        <a:noFill/>
        <a:ln w="9525">
          <a:solidFill>
            <a:srgbClr val="000000"/>
          </a:solidFill>
          <a:prstDash val="dash"/>
          <a:round/>
          <a:headEnd/>
          <a:tailEnd/>
        </a:ln>
      </xdr:spPr>
    </xdr:sp>
    <xdr:clientData/>
  </xdr:twoCellAnchor>
  <xdr:twoCellAnchor>
    <xdr:from>
      <xdr:col>1</xdr:col>
      <xdr:colOff>590550</xdr:colOff>
      <xdr:row>193</xdr:row>
      <xdr:rowOff>85725</xdr:rowOff>
    </xdr:from>
    <xdr:to>
      <xdr:col>2</xdr:col>
      <xdr:colOff>114300</xdr:colOff>
      <xdr:row>194</xdr:row>
      <xdr:rowOff>85725</xdr:rowOff>
    </xdr:to>
    <xdr:sp macro="" textlink="">
      <xdr:nvSpPr>
        <xdr:cNvPr id="17237" name="Rectangle 355">
          <a:extLst>
            <a:ext uri="{FF2B5EF4-FFF2-40B4-BE49-F238E27FC236}">
              <a16:creationId xmlns:a16="http://schemas.microsoft.com/office/drawing/2014/main" id="{00000000-0008-0000-0900-000055430000}"/>
            </a:ext>
          </a:extLst>
        </xdr:cNvPr>
        <xdr:cNvSpPr>
          <a:spLocks noChangeArrowheads="1"/>
        </xdr:cNvSpPr>
      </xdr:nvSpPr>
      <xdr:spPr bwMode="auto">
        <a:xfrm>
          <a:off x="1200150" y="31337250"/>
          <a:ext cx="133350" cy="161925"/>
        </a:xfrm>
        <a:prstGeom prst="rect">
          <a:avLst/>
        </a:prstGeom>
        <a:noFill/>
        <a:ln w="9525">
          <a:solidFill>
            <a:srgbClr val="000000"/>
          </a:solidFill>
          <a:miter lim="800000"/>
          <a:headEnd/>
          <a:tailEnd/>
        </a:ln>
      </xdr:spPr>
    </xdr:sp>
    <xdr:clientData/>
  </xdr:twoCellAnchor>
  <xdr:twoCellAnchor>
    <xdr:from>
      <xdr:col>0</xdr:col>
      <xdr:colOff>476250</xdr:colOff>
      <xdr:row>188</xdr:row>
      <xdr:rowOff>114300</xdr:rowOff>
    </xdr:from>
    <xdr:to>
      <xdr:col>1</xdr:col>
      <xdr:colOff>533400</xdr:colOff>
      <xdr:row>190</xdr:row>
      <xdr:rowOff>142875</xdr:rowOff>
    </xdr:to>
    <xdr:grpSp>
      <xdr:nvGrpSpPr>
        <xdr:cNvPr id="17238" name="Group 356">
          <a:extLst>
            <a:ext uri="{FF2B5EF4-FFF2-40B4-BE49-F238E27FC236}">
              <a16:creationId xmlns:a16="http://schemas.microsoft.com/office/drawing/2014/main" id="{00000000-0008-0000-0900-000056430000}"/>
            </a:ext>
          </a:extLst>
        </xdr:cNvPr>
        <xdr:cNvGrpSpPr>
          <a:grpSpLocks/>
        </xdr:cNvGrpSpPr>
      </xdr:nvGrpSpPr>
      <xdr:grpSpPr bwMode="auto">
        <a:xfrm>
          <a:off x="476250" y="31630620"/>
          <a:ext cx="666750" cy="363855"/>
          <a:chOff x="68" y="108"/>
          <a:chExt cx="85" cy="44"/>
        </a:xfrm>
      </xdr:grpSpPr>
      <xdr:grpSp>
        <xdr:nvGrpSpPr>
          <xdr:cNvPr id="17458" name="Group 357">
            <a:extLst>
              <a:ext uri="{FF2B5EF4-FFF2-40B4-BE49-F238E27FC236}">
                <a16:creationId xmlns:a16="http://schemas.microsoft.com/office/drawing/2014/main" id="{00000000-0008-0000-0900-000032440000}"/>
              </a:ext>
            </a:extLst>
          </xdr:cNvPr>
          <xdr:cNvGrpSpPr>
            <a:grpSpLocks/>
          </xdr:cNvGrpSpPr>
        </xdr:nvGrpSpPr>
        <xdr:grpSpPr bwMode="auto">
          <a:xfrm>
            <a:off x="68" y="125"/>
            <a:ext cx="85" cy="27"/>
            <a:chOff x="68" y="125"/>
            <a:chExt cx="85" cy="27"/>
          </a:xfrm>
        </xdr:grpSpPr>
        <xdr:sp macro="" textlink="">
          <xdr:nvSpPr>
            <xdr:cNvPr id="17463" name="AutoShape 358">
              <a:extLst>
                <a:ext uri="{FF2B5EF4-FFF2-40B4-BE49-F238E27FC236}">
                  <a16:creationId xmlns:a16="http://schemas.microsoft.com/office/drawing/2014/main" id="{00000000-0008-0000-0900-000037440000}"/>
                </a:ext>
              </a:extLst>
            </xdr:cNvPr>
            <xdr:cNvSpPr>
              <a:spLocks noChangeArrowheads="1"/>
            </xdr:cNvSpPr>
          </xdr:nvSpPr>
          <xdr:spPr bwMode="auto">
            <a:xfrm flipH="1">
              <a:off x="68" y="138"/>
              <a:ext cx="79" cy="10"/>
            </a:xfrm>
            <a:prstGeom prst="parallelogram">
              <a:avLst>
                <a:gd name="adj" fmla="val 86278"/>
              </a:avLst>
            </a:prstGeom>
            <a:solidFill>
              <a:srgbClr val="FFFFFF"/>
            </a:solidFill>
            <a:ln w="9525">
              <a:solidFill>
                <a:srgbClr val="000000"/>
              </a:solidFill>
              <a:miter lim="800000"/>
              <a:headEnd/>
              <a:tailEnd/>
            </a:ln>
          </xdr:spPr>
        </xdr:sp>
        <xdr:sp macro="" textlink="">
          <xdr:nvSpPr>
            <xdr:cNvPr id="17464" name="Rectangle 359">
              <a:extLst>
                <a:ext uri="{FF2B5EF4-FFF2-40B4-BE49-F238E27FC236}">
                  <a16:creationId xmlns:a16="http://schemas.microsoft.com/office/drawing/2014/main" id="{00000000-0008-0000-0900-000038440000}"/>
                </a:ext>
              </a:extLst>
            </xdr:cNvPr>
            <xdr:cNvSpPr>
              <a:spLocks noChangeArrowheads="1"/>
            </xdr:cNvSpPr>
          </xdr:nvSpPr>
          <xdr:spPr bwMode="auto">
            <a:xfrm>
              <a:off x="85" y="125"/>
              <a:ext cx="16" cy="19"/>
            </a:xfrm>
            <a:prstGeom prst="rect">
              <a:avLst/>
            </a:prstGeom>
            <a:solidFill>
              <a:srgbClr val="000000"/>
            </a:solidFill>
            <a:ln w="9525">
              <a:solidFill>
                <a:srgbClr val="000000"/>
              </a:solidFill>
              <a:miter lim="800000"/>
              <a:headEnd/>
              <a:tailEnd/>
            </a:ln>
          </xdr:spPr>
        </xdr:sp>
        <xdr:sp macro="" textlink="">
          <xdr:nvSpPr>
            <xdr:cNvPr id="17465" name="AutoShape 360">
              <a:extLst>
                <a:ext uri="{FF2B5EF4-FFF2-40B4-BE49-F238E27FC236}">
                  <a16:creationId xmlns:a16="http://schemas.microsoft.com/office/drawing/2014/main" id="{00000000-0008-0000-0900-000039440000}"/>
                </a:ext>
              </a:extLst>
            </xdr:cNvPr>
            <xdr:cNvSpPr>
              <a:spLocks noChangeArrowheads="1"/>
            </xdr:cNvSpPr>
          </xdr:nvSpPr>
          <xdr:spPr bwMode="auto">
            <a:xfrm>
              <a:off x="70" y="140"/>
              <a:ext cx="83" cy="12"/>
            </a:xfrm>
            <a:custGeom>
              <a:avLst/>
              <a:gdLst>
                <a:gd name="T0" fmla="*/ 78 w 21600"/>
                <a:gd name="T1" fmla="*/ 6 h 21600"/>
                <a:gd name="T2" fmla="*/ 42 w 21600"/>
                <a:gd name="T3" fmla="*/ 12 h 21600"/>
                <a:gd name="T4" fmla="*/ 5 w 21600"/>
                <a:gd name="T5" fmla="*/ 6 h 21600"/>
                <a:gd name="T6" fmla="*/ 42 w 21600"/>
                <a:gd name="T7" fmla="*/ 0 h 21600"/>
                <a:gd name="T8" fmla="*/ 0 60000 65536"/>
                <a:gd name="T9" fmla="*/ 0 60000 65536"/>
                <a:gd name="T10" fmla="*/ 0 60000 65536"/>
                <a:gd name="T11" fmla="*/ 0 60000 65536"/>
                <a:gd name="T12" fmla="*/ 3123 w 21600"/>
                <a:gd name="T13" fmla="*/ 3600 h 21600"/>
                <a:gd name="T14" fmla="*/ 18477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2520" y="21600"/>
                  </a:lnTo>
                  <a:lnTo>
                    <a:pt x="19080" y="21600"/>
                  </a:lnTo>
                  <a:lnTo>
                    <a:pt x="21600" y="0"/>
                  </a:lnTo>
                  <a:close/>
                </a:path>
              </a:pathLst>
            </a:custGeom>
            <a:solidFill>
              <a:srgbClr val="000000"/>
            </a:solidFill>
            <a:ln w="9525">
              <a:solidFill>
                <a:srgbClr val="000000"/>
              </a:solidFill>
              <a:miter lim="800000"/>
              <a:headEnd/>
              <a:tailEnd/>
            </a:ln>
          </xdr:spPr>
        </xdr:sp>
        <xdr:sp macro="" textlink="">
          <xdr:nvSpPr>
            <xdr:cNvPr id="17466" name="Rectangle 361">
              <a:extLst>
                <a:ext uri="{FF2B5EF4-FFF2-40B4-BE49-F238E27FC236}">
                  <a16:creationId xmlns:a16="http://schemas.microsoft.com/office/drawing/2014/main" id="{00000000-0008-0000-0900-00003A440000}"/>
                </a:ext>
              </a:extLst>
            </xdr:cNvPr>
            <xdr:cNvSpPr>
              <a:spLocks noChangeArrowheads="1"/>
            </xdr:cNvSpPr>
          </xdr:nvSpPr>
          <xdr:spPr bwMode="auto">
            <a:xfrm>
              <a:off x="85" y="126"/>
              <a:ext cx="6" cy="6"/>
            </a:xfrm>
            <a:prstGeom prst="rect">
              <a:avLst/>
            </a:prstGeom>
            <a:solidFill>
              <a:srgbClr val="FFFFFF"/>
            </a:solidFill>
            <a:ln w="9525">
              <a:solidFill>
                <a:srgbClr val="000000"/>
              </a:solidFill>
              <a:miter lim="800000"/>
              <a:headEnd/>
              <a:tailEnd/>
            </a:ln>
          </xdr:spPr>
        </xdr:sp>
        <xdr:sp macro="" textlink="">
          <xdr:nvSpPr>
            <xdr:cNvPr id="17467" name="Rectangle 362">
              <a:extLst>
                <a:ext uri="{FF2B5EF4-FFF2-40B4-BE49-F238E27FC236}">
                  <a16:creationId xmlns:a16="http://schemas.microsoft.com/office/drawing/2014/main" id="{00000000-0008-0000-0900-00003B440000}"/>
                </a:ext>
              </a:extLst>
            </xdr:cNvPr>
            <xdr:cNvSpPr>
              <a:spLocks noChangeArrowheads="1"/>
            </xdr:cNvSpPr>
          </xdr:nvSpPr>
          <xdr:spPr bwMode="auto">
            <a:xfrm>
              <a:off x="92" y="126"/>
              <a:ext cx="5" cy="6"/>
            </a:xfrm>
            <a:prstGeom prst="rect">
              <a:avLst/>
            </a:prstGeom>
            <a:solidFill>
              <a:srgbClr val="FFFFFF"/>
            </a:solidFill>
            <a:ln w="9525">
              <a:solidFill>
                <a:srgbClr val="000000"/>
              </a:solidFill>
              <a:miter lim="800000"/>
              <a:headEnd/>
              <a:tailEnd/>
            </a:ln>
          </xdr:spPr>
        </xdr:sp>
      </xdr:grpSp>
      <xdr:sp macro="" textlink="">
        <xdr:nvSpPr>
          <xdr:cNvPr id="17459" name="Line 363">
            <a:extLst>
              <a:ext uri="{FF2B5EF4-FFF2-40B4-BE49-F238E27FC236}">
                <a16:creationId xmlns:a16="http://schemas.microsoft.com/office/drawing/2014/main" id="{00000000-0008-0000-0900-000033440000}"/>
              </a:ext>
            </a:extLst>
          </xdr:cNvPr>
          <xdr:cNvSpPr>
            <a:spLocks noChangeShapeType="1"/>
          </xdr:cNvSpPr>
        </xdr:nvSpPr>
        <xdr:spPr bwMode="auto">
          <a:xfrm flipV="1">
            <a:off x="99" y="108"/>
            <a:ext cx="0" cy="34"/>
          </a:xfrm>
          <a:prstGeom prst="line">
            <a:avLst/>
          </a:prstGeom>
          <a:noFill/>
          <a:ln w="9525">
            <a:solidFill>
              <a:srgbClr val="000000"/>
            </a:solidFill>
            <a:round/>
            <a:headEnd/>
            <a:tailEnd/>
          </a:ln>
        </xdr:spPr>
      </xdr:sp>
      <xdr:sp macro="" textlink="">
        <xdr:nvSpPr>
          <xdr:cNvPr id="17460" name="Rectangle 364">
            <a:extLst>
              <a:ext uri="{FF2B5EF4-FFF2-40B4-BE49-F238E27FC236}">
                <a16:creationId xmlns:a16="http://schemas.microsoft.com/office/drawing/2014/main" id="{00000000-0008-0000-0900-000034440000}"/>
              </a:ext>
            </a:extLst>
          </xdr:cNvPr>
          <xdr:cNvSpPr>
            <a:spLocks noChangeArrowheads="1"/>
          </xdr:cNvSpPr>
        </xdr:nvSpPr>
        <xdr:spPr bwMode="auto">
          <a:xfrm>
            <a:off x="98" y="135"/>
            <a:ext cx="23" cy="8"/>
          </a:xfrm>
          <a:prstGeom prst="rect">
            <a:avLst/>
          </a:prstGeom>
          <a:solidFill>
            <a:srgbClr val="000000"/>
          </a:solidFill>
          <a:ln w="9525">
            <a:solidFill>
              <a:srgbClr val="000000"/>
            </a:solidFill>
            <a:miter lim="800000"/>
            <a:headEnd/>
            <a:tailEnd/>
          </a:ln>
        </xdr:spPr>
      </xdr:sp>
      <xdr:sp macro="" textlink="">
        <xdr:nvSpPr>
          <xdr:cNvPr id="17461" name="Line 365">
            <a:extLst>
              <a:ext uri="{FF2B5EF4-FFF2-40B4-BE49-F238E27FC236}">
                <a16:creationId xmlns:a16="http://schemas.microsoft.com/office/drawing/2014/main" id="{00000000-0008-0000-0900-000035440000}"/>
              </a:ext>
            </a:extLst>
          </xdr:cNvPr>
          <xdr:cNvSpPr>
            <a:spLocks noChangeShapeType="1"/>
          </xdr:cNvSpPr>
        </xdr:nvSpPr>
        <xdr:spPr bwMode="auto">
          <a:xfrm flipH="1" flipV="1">
            <a:off x="82" y="125"/>
            <a:ext cx="17" cy="0"/>
          </a:xfrm>
          <a:prstGeom prst="line">
            <a:avLst/>
          </a:prstGeom>
          <a:noFill/>
          <a:ln w="19050">
            <a:solidFill>
              <a:srgbClr val="000000"/>
            </a:solidFill>
            <a:round/>
            <a:headEnd/>
            <a:tailEnd/>
          </a:ln>
        </xdr:spPr>
      </xdr:sp>
      <xdr:sp macro="" textlink="">
        <xdr:nvSpPr>
          <xdr:cNvPr id="17462" name="AutoShape 366">
            <a:extLst>
              <a:ext uri="{FF2B5EF4-FFF2-40B4-BE49-F238E27FC236}">
                <a16:creationId xmlns:a16="http://schemas.microsoft.com/office/drawing/2014/main" id="{00000000-0008-0000-0900-000036440000}"/>
              </a:ext>
            </a:extLst>
          </xdr:cNvPr>
          <xdr:cNvSpPr>
            <a:spLocks noChangeArrowheads="1"/>
          </xdr:cNvSpPr>
        </xdr:nvSpPr>
        <xdr:spPr bwMode="auto">
          <a:xfrm rot="5400000">
            <a:off x="92" y="127"/>
            <a:ext cx="24" cy="6"/>
          </a:xfrm>
          <a:prstGeom prst="parallelogram">
            <a:avLst>
              <a:gd name="adj" fmla="val 57130"/>
            </a:avLst>
          </a:prstGeom>
          <a:solidFill>
            <a:srgbClr val="000000"/>
          </a:solidFill>
          <a:ln w="9525">
            <a:solidFill>
              <a:srgbClr val="000000"/>
            </a:solidFill>
            <a:miter lim="800000"/>
            <a:headEnd/>
            <a:tailEnd/>
          </a:ln>
        </xdr:spPr>
      </xdr:sp>
    </xdr:grpSp>
    <xdr:clientData/>
  </xdr:twoCellAnchor>
  <xdr:twoCellAnchor>
    <xdr:from>
      <xdr:col>2</xdr:col>
      <xdr:colOff>371475</xdr:colOff>
      <xdr:row>205</xdr:row>
      <xdr:rowOff>114300</xdr:rowOff>
    </xdr:from>
    <xdr:to>
      <xdr:col>3</xdr:col>
      <xdr:colOff>9525</xdr:colOff>
      <xdr:row>207</xdr:row>
      <xdr:rowOff>47625</xdr:rowOff>
    </xdr:to>
    <xdr:grpSp>
      <xdr:nvGrpSpPr>
        <xdr:cNvPr id="17239" name="Group 367">
          <a:extLst>
            <a:ext uri="{FF2B5EF4-FFF2-40B4-BE49-F238E27FC236}">
              <a16:creationId xmlns:a16="http://schemas.microsoft.com/office/drawing/2014/main" id="{00000000-0008-0000-0900-000057430000}"/>
            </a:ext>
          </a:extLst>
        </xdr:cNvPr>
        <xdr:cNvGrpSpPr>
          <a:grpSpLocks/>
        </xdr:cNvGrpSpPr>
      </xdr:nvGrpSpPr>
      <xdr:grpSpPr bwMode="auto">
        <a:xfrm>
          <a:off x="1590675" y="34480500"/>
          <a:ext cx="247650" cy="268605"/>
          <a:chOff x="167" y="3786"/>
          <a:chExt cx="26" cy="27"/>
        </a:xfrm>
      </xdr:grpSpPr>
      <xdr:sp macro="" textlink="">
        <xdr:nvSpPr>
          <xdr:cNvPr id="17456" name="Oval 368">
            <a:extLst>
              <a:ext uri="{FF2B5EF4-FFF2-40B4-BE49-F238E27FC236}">
                <a16:creationId xmlns:a16="http://schemas.microsoft.com/office/drawing/2014/main" id="{00000000-0008-0000-0900-000030440000}"/>
              </a:ext>
            </a:extLst>
          </xdr:cNvPr>
          <xdr:cNvSpPr>
            <a:spLocks noChangeArrowheads="1"/>
          </xdr:cNvSpPr>
        </xdr:nvSpPr>
        <xdr:spPr bwMode="auto">
          <a:xfrm>
            <a:off x="167" y="3787"/>
            <a:ext cx="26" cy="26"/>
          </a:xfrm>
          <a:prstGeom prst="ellipse">
            <a:avLst/>
          </a:prstGeom>
          <a:solidFill>
            <a:srgbClr val="FFFFCC"/>
          </a:solidFill>
          <a:ln w="9525">
            <a:solidFill>
              <a:srgbClr val="000000"/>
            </a:solidFill>
            <a:round/>
            <a:headEnd/>
            <a:tailEnd/>
          </a:ln>
        </xdr:spPr>
      </xdr:sp>
      <xdr:sp macro="" textlink="">
        <xdr:nvSpPr>
          <xdr:cNvPr id="16753" name="Text Box 369">
            <a:extLst>
              <a:ext uri="{FF2B5EF4-FFF2-40B4-BE49-F238E27FC236}">
                <a16:creationId xmlns:a16="http://schemas.microsoft.com/office/drawing/2014/main" id="{00000000-0008-0000-0900-000071410000}"/>
              </a:ext>
            </a:extLst>
          </xdr:cNvPr>
          <xdr:cNvSpPr txBox="1">
            <a:spLocks noChangeArrowheads="1"/>
          </xdr:cNvSpPr>
        </xdr:nvSpPr>
        <xdr:spPr bwMode="auto">
          <a:xfrm>
            <a:off x="171" y="3786"/>
            <a:ext cx="21"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2</a:t>
            </a:r>
          </a:p>
        </xdr:txBody>
      </xdr:sp>
    </xdr:grpSp>
    <xdr:clientData/>
  </xdr:twoCellAnchor>
  <xdr:twoCellAnchor>
    <xdr:from>
      <xdr:col>1</xdr:col>
      <xdr:colOff>123825</xdr:colOff>
      <xdr:row>207</xdr:row>
      <xdr:rowOff>152400</xdr:rowOff>
    </xdr:from>
    <xdr:to>
      <xdr:col>1</xdr:col>
      <xdr:colOff>371475</xdr:colOff>
      <xdr:row>209</xdr:row>
      <xdr:rowOff>85725</xdr:rowOff>
    </xdr:to>
    <xdr:grpSp>
      <xdr:nvGrpSpPr>
        <xdr:cNvPr id="17240" name="Group 371">
          <a:extLst>
            <a:ext uri="{FF2B5EF4-FFF2-40B4-BE49-F238E27FC236}">
              <a16:creationId xmlns:a16="http://schemas.microsoft.com/office/drawing/2014/main" id="{00000000-0008-0000-0900-000058430000}"/>
            </a:ext>
          </a:extLst>
        </xdr:cNvPr>
        <xdr:cNvGrpSpPr>
          <a:grpSpLocks/>
        </xdr:cNvGrpSpPr>
      </xdr:nvGrpSpPr>
      <xdr:grpSpPr bwMode="auto">
        <a:xfrm>
          <a:off x="733425" y="34853880"/>
          <a:ext cx="247650" cy="268605"/>
          <a:chOff x="77" y="3824"/>
          <a:chExt cx="26" cy="27"/>
        </a:xfrm>
      </xdr:grpSpPr>
      <xdr:sp macro="" textlink="">
        <xdr:nvSpPr>
          <xdr:cNvPr id="17454" name="Oval 372">
            <a:extLst>
              <a:ext uri="{FF2B5EF4-FFF2-40B4-BE49-F238E27FC236}">
                <a16:creationId xmlns:a16="http://schemas.microsoft.com/office/drawing/2014/main" id="{00000000-0008-0000-0900-00002E440000}"/>
              </a:ext>
            </a:extLst>
          </xdr:cNvPr>
          <xdr:cNvSpPr>
            <a:spLocks noChangeArrowheads="1"/>
          </xdr:cNvSpPr>
        </xdr:nvSpPr>
        <xdr:spPr bwMode="auto">
          <a:xfrm>
            <a:off x="77" y="3825"/>
            <a:ext cx="26" cy="26"/>
          </a:xfrm>
          <a:prstGeom prst="ellipse">
            <a:avLst/>
          </a:prstGeom>
          <a:solidFill>
            <a:srgbClr val="FFFFCC"/>
          </a:solidFill>
          <a:ln w="9525">
            <a:solidFill>
              <a:srgbClr val="000000"/>
            </a:solidFill>
            <a:round/>
            <a:headEnd/>
            <a:tailEnd/>
          </a:ln>
        </xdr:spPr>
      </xdr:sp>
      <xdr:sp macro="" textlink="">
        <xdr:nvSpPr>
          <xdr:cNvPr id="16757" name="Text Box 373">
            <a:extLst>
              <a:ext uri="{FF2B5EF4-FFF2-40B4-BE49-F238E27FC236}">
                <a16:creationId xmlns:a16="http://schemas.microsoft.com/office/drawing/2014/main" id="{00000000-0008-0000-0900-000075410000}"/>
              </a:ext>
            </a:extLst>
          </xdr:cNvPr>
          <xdr:cNvSpPr txBox="1">
            <a:spLocks noChangeArrowheads="1"/>
          </xdr:cNvSpPr>
        </xdr:nvSpPr>
        <xdr:spPr bwMode="auto">
          <a:xfrm>
            <a:off x="81" y="3824"/>
            <a:ext cx="21"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4</a:t>
            </a:r>
          </a:p>
        </xdr:txBody>
      </xdr:sp>
    </xdr:grpSp>
    <xdr:clientData/>
  </xdr:twoCellAnchor>
  <xdr:twoCellAnchor>
    <xdr:from>
      <xdr:col>0</xdr:col>
      <xdr:colOff>171450</xdr:colOff>
      <xdr:row>191</xdr:row>
      <xdr:rowOff>19050</xdr:rowOff>
    </xdr:from>
    <xdr:to>
      <xdr:col>2</xdr:col>
      <xdr:colOff>142875</xdr:colOff>
      <xdr:row>194</xdr:row>
      <xdr:rowOff>28575</xdr:rowOff>
    </xdr:to>
    <xdr:sp macro="" textlink="">
      <xdr:nvSpPr>
        <xdr:cNvPr id="16758" name="Text Box 374">
          <a:extLst>
            <a:ext uri="{FF2B5EF4-FFF2-40B4-BE49-F238E27FC236}">
              <a16:creationId xmlns:a16="http://schemas.microsoft.com/office/drawing/2014/main" id="{00000000-0008-0000-0900-000076410000}"/>
            </a:ext>
          </a:extLst>
        </xdr:cNvPr>
        <xdr:cNvSpPr txBox="1">
          <a:spLocks noChangeArrowheads="1"/>
        </xdr:cNvSpPr>
      </xdr:nvSpPr>
      <xdr:spPr bwMode="auto">
        <a:xfrm>
          <a:off x="171450" y="30946725"/>
          <a:ext cx="1190625" cy="495300"/>
        </a:xfrm>
        <a:prstGeom prst="rect">
          <a:avLst/>
        </a:prstGeom>
        <a:noFill/>
        <a:ln w="9525">
          <a:noFill/>
          <a:miter lim="800000"/>
          <a:headEnd/>
          <a:tailEnd/>
        </a:ln>
      </xdr:spPr>
      <xdr:txBody>
        <a:bodyPr vertOverflow="clip" wrap="square" lIns="36576" tIns="22860" rIns="0" bIns="0" anchor="t" upright="1"/>
        <a:lstStyle/>
        <a:p>
          <a:pPr algn="l" rtl="0">
            <a:defRPr sz="1000"/>
          </a:pPr>
          <a:r>
            <a:rPr lang="en-US" sz="1200" b="0" i="0" u="none" strike="noStrike" baseline="0">
              <a:solidFill>
                <a:srgbClr val="000000"/>
              </a:solidFill>
              <a:latin typeface="Arial"/>
              <a:cs typeface="Arial"/>
            </a:rPr>
            <a:t>Dredging</a:t>
          </a:r>
        </a:p>
        <a:p>
          <a:pPr algn="l" rtl="0">
            <a:defRPr sz="1000"/>
          </a:pPr>
          <a:r>
            <a:rPr lang="en-US" sz="1200" b="0" i="0" u="none" strike="noStrike" baseline="0">
              <a:solidFill>
                <a:srgbClr val="000000"/>
              </a:solidFill>
              <a:latin typeface="Arial"/>
              <a:cs typeface="Arial"/>
            </a:rPr>
            <a:t>Operation</a:t>
          </a:r>
        </a:p>
      </xdr:txBody>
    </xdr:sp>
    <xdr:clientData/>
  </xdr:twoCellAnchor>
  <xdr:twoCellAnchor>
    <xdr:from>
      <xdr:col>0</xdr:col>
      <xdr:colOff>123825</xdr:colOff>
      <xdr:row>176</xdr:row>
      <xdr:rowOff>28575</xdr:rowOff>
    </xdr:from>
    <xdr:to>
      <xdr:col>3</xdr:col>
      <xdr:colOff>428625</xdr:colOff>
      <xdr:row>190</xdr:row>
      <xdr:rowOff>123825</xdr:rowOff>
    </xdr:to>
    <xdr:sp macro="" textlink="">
      <xdr:nvSpPr>
        <xdr:cNvPr id="17242" name="Freeform 375">
          <a:extLst>
            <a:ext uri="{FF2B5EF4-FFF2-40B4-BE49-F238E27FC236}">
              <a16:creationId xmlns:a16="http://schemas.microsoft.com/office/drawing/2014/main" id="{00000000-0008-0000-0900-00005A430000}"/>
            </a:ext>
          </a:extLst>
        </xdr:cNvPr>
        <xdr:cNvSpPr>
          <a:spLocks/>
        </xdr:cNvSpPr>
      </xdr:nvSpPr>
      <xdr:spPr bwMode="auto">
        <a:xfrm>
          <a:off x="123825" y="28527375"/>
          <a:ext cx="2133600" cy="2362200"/>
        </a:xfrm>
        <a:custGeom>
          <a:avLst/>
          <a:gdLst>
            <a:gd name="T0" fmla="*/ 203 w 224"/>
            <a:gd name="T1" fmla="*/ 248 h 248"/>
            <a:gd name="T2" fmla="*/ 224 w 224"/>
            <a:gd name="T3" fmla="*/ 248 h 248"/>
            <a:gd name="T4" fmla="*/ 224 w 224"/>
            <a:gd name="T5" fmla="*/ 193 h 248"/>
            <a:gd name="T6" fmla="*/ 0 w 224"/>
            <a:gd name="T7" fmla="*/ 193 h 248"/>
            <a:gd name="T8" fmla="*/ 0 w 224"/>
            <a:gd name="T9" fmla="*/ 0 h 248"/>
            <a:gd name="T10" fmla="*/ 120 w 224"/>
            <a:gd name="T11" fmla="*/ 0 h 248"/>
            <a:gd name="T12" fmla="*/ 120 w 224"/>
            <a:gd name="T13" fmla="*/ 40 h 248"/>
            <a:gd name="T14" fmla="*/ 0 60000 65536"/>
            <a:gd name="T15" fmla="*/ 0 60000 65536"/>
            <a:gd name="T16" fmla="*/ 0 60000 65536"/>
            <a:gd name="T17" fmla="*/ 0 60000 65536"/>
            <a:gd name="T18" fmla="*/ 0 60000 65536"/>
            <a:gd name="T19" fmla="*/ 0 60000 65536"/>
            <a:gd name="T20" fmla="*/ 0 60000 65536"/>
            <a:gd name="T21" fmla="*/ 0 w 224"/>
            <a:gd name="T22" fmla="*/ 0 h 248"/>
            <a:gd name="T23" fmla="*/ 224 w 224"/>
            <a:gd name="T24" fmla="*/ 248 h 248"/>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24" h="248">
              <a:moveTo>
                <a:pt x="203" y="248"/>
              </a:moveTo>
              <a:lnTo>
                <a:pt x="224" y="248"/>
              </a:lnTo>
              <a:lnTo>
                <a:pt x="224" y="193"/>
              </a:lnTo>
              <a:lnTo>
                <a:pt x="0" y="193"/>
              </a:lnTo>
              <a:lnTo>
                <a:pt x="0" y="0"/>
              </a:lnTo>
              <a:lnTo>
                <a:pt x="120" y="0"/>
              </a:lnTo>
              <a:lnTo>
                <a:pt x="120" y="40"/>
              </a:lnTo>
            </a:path>
          </a:pathLst>
        </a:custGeom>
        <a:noFill/>
        <a:ln w="9525" cap="flat" cmpd="sng">
          <a:solidFill>
            <a:srgbClr val="000000"/>
          </a:solidFill>
          <a:prstDash val="dash"/>
          <a:round/>
          <a:headEnd type="none" w="med" len="med"/>
          <a:tailEnd type="stealth" w="med" len="med"/>
        </a:ln>
      </xdr:spPr>
    </xdr:sp>
    <xdr:clientData/>
  </xdr:twoCellAnchor>
  <xdr:twoCellAnchor>
    <xdr:from>
      <xdr:col>1</xdr:col>
      <xdr:colOff>142875</xdr:colOff>
      <xdr:row>190</xdr:row>
      <xdr:rowOff>123825</xdr:rowOff>
    </xdr:from>
    <xdr:to>
      <xdr:col>3</xdr:col>
      <xdr:colOff>295275</xdr:colOff>
      <xdr:row>193</xdr:row>
      <xdr:rowOff>152400</xdr:rowOff>
    </xdr:to>
    <xdr:sp macro="" textlink="">
      <xdr:nvSpPr>
        <xdr:cNvPr id="17243" name="Freeform 376">
          <a:extLst>
            <a:ext uri="{FF2B5EF4-FFF2-40B4-BE49-F238E27FC236}">
              <a16:creationId xmlns:a16="http://schemas.microsoft.com/office/drawing/2014/main" id="{00000000-0008-0000-0900-00005B430000}"/>
            </a:ext>
          </a:extLst>
        </xdr:cNvPr>
        <xdr:cNvSpPr>
          <a:spLocks/>
        </xdr:cNvSpPr>
      </xdr:nvSpPr>
      <xdr:spPr bwMode="auto">
        <a:xfrm>
          <a:off x="752475" y="30889575"/>
          <a:ext cx="1371600" cy="514350"/>
        </a:xfrm>
        <a:custGeom>
          <a:avLst/>
          <a:gdLst>
            <a:gd name="T0" fmla="*/ 144 w 144"/>
            <a:gd name="T1" fmla="*/ 0 h 54"/>
            <a:gd name="T2" fmla="*/ 0 w 144"/>
            <a:gd name="T3" fmla="*/ 0 h 54"/>
            <a:gd name="T4" fmla="*/ 54 w 144"/>
            <a:gd name="T5" fmla="*/ 54 h 54"/>
            <a:gd name="T6" fmla="*/ 0 60000 65536"/>
            <a:gd name="T7" fmla="*/ 0 60000 65536"/>
            <a:gd name="T8" fmla="*/ 0 60000 65536"/>
            <a:gd name="T9" fmla="*/ 0 w 144"/>
            <a:gd name="T10" fmla="*/ 0 h 54"/>
            <a:gd name="T11" fmla="*/ 144 w 144"/>
            <a:gd name="T12" fmla="*/ 54 h 54"/>
          </a:gdLst>
          <a:ahLst/>
          <a:cxnLst>
            <a:cxn ang="T6">
              <a:pos x="T0" y="T1"/>
            </a:cxn>
            <a:cxn ang="T7">
              <a:pos x="T2" y="T3"/>
            </a:cxn>
            <a:cxn ang="T8">
              <a:pos x="T4" y="T5"/>
            </a:cxn>
          </a:cxnLst>
          <a:rect l="T9" t="T10" r="T11" b="T12"/>
          <a:pathLst>
            <a:path w="144" h="54">
              <a:moveTo>
                <a:pt x="144" y="0"/>
              </a:moveTo>
              <a:lnTo>
                <a:pt x="0" y="0"/>
              </a:lnTo>
              <a:lnTo>
                <a:pt x="54" y="54"/>
              </a:lnTo>
            </a:path>
          </a:pathLst>
        </a:custGeom>
        <a:noFill/>
        <a:ln w="9525" cap="flat" cmpd="sng">
          <a:solidFill>
            <a:srgbClr val="FFFF00"/>
          </a:solidFill>
          <a:prstDash val="dash"/>
          <a:round/>
          <a:headEnd type="none" w="med" len="med"/>
          <a:tailEnd type="none" w="med" len="med"/>
        </a:ln>
      </xdr:spPr>
    </xdr:sp>
    <xdr:clientData/>
  </xdr:twoCellAnchor>
  <xdr:twoCellAnchor>
    <xdr:from>
      <xdr:col>2</xdr:col>
      <xdr:colOff>209550</xdr:colOff>
      <xdr:row>177</xdr:row>
      <xdr:rowOff>152400</xdr:rowOff>
    </xdr:from>
    <xdr:to>
      <xdr:col>2</xdr:col>
      <xdr:colOff>457200</xdr:colOff>
      <xdr:row>179</xdr:row>
      <xdr:rowOff>85725</xdr:rowOff>
    </xdr:to>
    <xdr:grpSp>
      <xdr:nvGrpSpPr>
        <xdr:cNvPr id="17244" name="Group 377">
          <a:extLst>
            <a:ext uri="{FF2B5EF4-FFF2-40B4-BE49-F238E27FC236}">
              <a16:creationId xmlns:a16="http://schemas.microsoft.com/office/drawing/2014/main" id="{00000000-0008-0000-0900-00005C430000}"/>
            </a:ext>
          </a:extLst>
        </xdr:cNvPr>
        <xdr:cNvGrpSpPr>
          <a:grpSpLocks/>
        </xdr:cNvGrpSpPr>
      </xdr:nvGrpSpPr>
      <xdr:grpSpPr bwMode="auto">
        <a:xfrm>
          <a:off x="1428750" y="29824680"/>
          <a:ext cx="247650" cy="268605"/>
          <a:chOff x="150" y="3314"/>
          <a:chExt cx="26" cy="27"/>
        </a:xfrm>
      </xdr:grpSpPr>
      <xdr:sp macro="" textlink="">
        <xdr:nvSpPr>
          <xdr:cNvPr id="17452" name="Oval 378">
            <a:extLst>
              <a:ext uri="{FF2B5EF4-FFF2-40B4-BE49-F238E27FC236}">
                <a16:creationId xmlns:a16="http://schemas.microsoft.com/office/drawing/2014/main" id="{00000000-0008-0000-0900-00002C440000}"/>
              </a:ext>
            </a:extLst>
          </xdr:cNvPr>
          <xdr:cNvSpPr>
            <a:spLocks noChangeArrowheads="1"/>
          </xdr:cNvSpPr>
        </xdr:nvSpPr>
        <xdr:spPr bwMode="auto">
          <a:xfrm>
            <a:off x="150" y="3315"/>
            <a:ext cx="26" cy="26"/>
          </a:xfrm>
          <a:prstGeom prst="ellipse">
            <a:avLst/>
          </a:prstGeom>
          <a:solidFill>
            <a:srgbClr val="FFFFCC"/>
          </a:solidFill>
          <a:ln w="9525">
            <a:solidFill>
              <a:srgbClr val="000000"/>
            </a:solidFill>
            <a:round/>
            <a:headEnd/>
            <a:tailEnd/>
          </a:ln>
        </xdr:spPr>
      </xdr:sp>
      <xdr:sp macro="" textlink="">
        <xdr:nvSpPr>
          <xdr:cNvPr id="16763" name="Text Box 379">
            <a:extLst>
              <a:ext uri="{FF2B5EF4-FFF2-40B4-BE49-F238E27FC236}">
                <a16:creationId xmlns:a16="http://schemas.microsoft.com/office/drawing/2014/main" id="{00000000-0008-0000-0900-00007B410000}"/>
              </a:ext>
            </a:extLst>
          </xdr:cNvPr>
          <xdr:cNvSpPr txBox="1">
            <a:spLocks noChangeArrowheads="1"/>
          </xdr:cNvSpPr>
        </xdr:nvSpPr>
        <xdr:spPr bwMode="auto">
          <a:xfrm>
            <a:off x="154" y="3314"/>
            <a:ext cx="21"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3</a:t>
            </a:r>
          </a:p>
        </xdr:txBody>
      </xdr:sp>
    </xdr:grpSp>
    <xdr:clientData/>
  </xdr:twoCellAnchor>
  <xdr:twoCellAnchor>
    <xdr:from>
      <xdr:col>2</xdr:col>
      <xdr:colOff>457200</xdr:colOff>
      <xdr:row>177</xdr:row>
      <xdr:rowOff>152400</xdr:rowOff>
    </xdr:from>
    <xdr:to>
      <xdr:col>3</xdr:col>
      <xdr:colOff>95250</xdr:colOff>
      <xdr:row>179</xdr:row>
      <xdr:rowOff>85725</xdr:rowOff>
    </xdr:to>
    <xdr:grpSp>
      <xdr:nvGrpSpPr>
        <xdr:cNvPr id="17245" name="Group 380">
          <a:extLst>
            <a:ext uri="{FF2B5EF4-FFF2-40B4-BE49-F238E27FC236}">
              <a16:creationId xmlns:a16="http://schemas.microsoft.com/office/drawing/2014/main" id="{00000000-0008-0000-0900-00005D430000}"/>
            </a:ext>
          </a:extLst>
        </xdr:cNvPr>
        <xdr:cNvGrpSpPr>
          <a:grpSpLocks/>
        </xdr:cNvGrpSpPr>
      </xdr:nvGrpSpPr>
      <xdr:grpSpPr bwMode="auto">
        <a:xfrm>
          <a:off x="1676400" y="29824680"/>
          <a:ext cx="247650" cy="268605"/>
          <a:chOff x="176" y="3314"/>
          <a:chExt cx="26" cy="27"/>
        </a:xfrm>
      </xdr:grpSpPr>
      <xdr:sp macro="" textlink="">
        <xdr:nvSpPr>
          <xdr:cNvPr id="17450" name="Oval 381">
            <a:extLst>
              <a:ext uri="{FF2B5EF4-FFF2-40B4-BE49-F238E27FC236}">
                <a16:creationId xmlns:a16="http://schemas.microsoft.com/office/drawing/2014/main" id="{00000000-0008-0000-0900-00002A440000}"/>
              </a:ext>
            </a:extLst>
          </xdr:cNvPr>
          <xdr:cNvSpPr>
            <a:spLocks noChangeArrowheads="1"/>
          </xdr:cNvSpPr>
        </xdr:nvSpPr>
        <xdr:spPr bwMode="auto">
          <a:xfrm>
            <a:off x="176" y="3315"/>
            <a:ext cx="26" cy="26"/>
          </a:xfrm>
          <a:prstGeom prst="ellipse">
            <a:avLst/>
          </a:prstGeom>
          <a:solidFill>
            <a:srgbClr val="FFFFCC"/>
          </a:solidFill>
          <a:ln w="9525">
            <a:solidFill>
              <a:srgbClr val="000000"/>
            </a:solidFill>
            <a:round/>
            <a:headEnd/>
            <a:tailEnd/>
          </a:ln>
        </xdr:spPr>
      </xdr:sp>
      <xdr:sp macro="" textlink="">
        <xdr:nvSpPr>
          <xdr:cNvPr id="16766" name="Text Box 382">
            <a:extLst>
              <a:ext uri="{FF2B5EF4-FFF2-40B4-BE49-F238E27FC236}">
                <a16:creationId xmlns:a16="http://schemas.microsoft.com/office/drawing/2014/main" id="{00000000-0008-0000-0900-00007E410000}"/>
              </a:ext>
            </a:extLst>
          </xdr:cNvPr>
          <xdr:cNvSpPr txBox="1">
            <a:spLocks noChangeArrowheads="1"/>
          </xdr:cNvSpPr>
        </xdr:nvSpPr>
        <xdr:spPr bwMode="auto">
          <a:xfrm>
            <a:off x="180" y="3314"/>
            <a:ext cx="21"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5</a:t>
            </a:r>
          </a:p>
        </xdr:txBody>
      </xdr:sp>
    </xdr:grpSp>
    <xdr:clientData/>
  </xdr:twoCellAnchor>
  <xdr:twoCellAnchor>
    <xdr:from>
      <xdr:col>2</xdr:col>
      <xdr:colOff>400050</xdr:colOff>
      <xdr:row>173</xdr:row>
      <xdr:rowOff>114300</xdr:rowOff>
    </xdr:from>
    <xdr:to>
      <xdr:col>3</xdr:col>
      <xdr:colOff>38100</xdr:colOff>
      <xdr:row>175</xdr:row>
      <xdr:rowOff>47625</xdr:rowOff>
    </xdr:to>
    <xdr:grpSp>
      <xdr:nvGrpSpPr>
        <xdr:cNvPr id="17246" name="Group 383">
          <a:extLst>
            <a:ext uri="{FF2B5EF4-FFF2-40B4-BE49-F238E27FC236}">
              <a16:creationId xmlns:a16="http://schemas.microsoft.com/office/drawing/2014/main" id="{00000000-0008-0000-0900-00005E430000}"/>
            </a:ext>
          </a:extLst>
        </xdr:cNvPr>
        <xdr:cNvGrpSpPr>
          <a:grpSpLocks/>
        </xdr:cNvGrpSpPr>
      </xdr:nvGrpSpPr>
      <xdr:grpSpPr bwMode="auto">
        <a:xfrm>
          <a:off x="1619250" y="29116020"/>
          <a:ext cx="247650" cy="268605"/>
          <a:chOff x="159" y="3243"/>
          <a:chExt cx="26" cy="27"/>
        </a:xfrm>
      </xdr:grpSpPr>
      <xdr:sp macro="" textlink="">
        <xdr:nvSpPr>
          <xdr:cNvPr id="17448" name="Oval 384">
            <a:extLst>
              <a:ext uri="{FF2B5EF4-FFF2-40B4-BE49-F238E27FC236}">
                <a16:creationId xmlns:a16="http://schemas.microsoft.com/office/drawing/2014/main" id="{00000000-0008-0000-0900-000028440000}"/>
              </a:ext>
            </a:extLst>
          </xdr:cNvPr>
          <xdr:cNvSpPr>
            <a:spLocks noChangeArrowheads="1"/>
          </xdr:cNvSpPr>
        </xdr:nvSpPr>
        <xdr:spPr bwMode="auto">
          <a:xfrm>
            <a:off x="159" y="3244"/>
            <a:ext cx="26" cy="26"/>
          </a:xfrm>
          <a:prstGeom prst="ellipse">
            <a:avLst/>
          </a:prstGeom>
          <a:solidFill>
            <a:srgbClr val="FFFFCC"/>
          </a:solidFill>
          <a:ln w="9525">
            <a:solidFill>
              <a:srgbClr val="000000"/>
            </a:solidFill>
            <a:round/>
            <a:headEnd/>
            <a:tailEnd/>
          </a:ln>
        </xdr:spPr>
      </xdr:sp>
      <xdr:sp macro="" textlink="">
        <xdr:nvSpPr>
          <xdr:cNvPr id="16769" name="Text Box 385">
            <a:extLst>
              <a:ext uri="{FF2B5EF4-FFF2-40B4-BE49-F238E27FC236}">
                <a16:creationId xmlns:a16="http://schemas.microsoft.com/office/drawing/2014/main" id="{00000000-0008-0000-0900-000081410000}"/>
              </a:ext>
            </a:extLst>
          </xdr:cNvPr>
          <xdr:cNvSpPr txBox="1">
            <a:spLocks noChangeArrowheads="1"/>
          </xdr:cNvSpPr>
        </xdr:nvSpPr>
        <xdr:spPr bwMode="auto">
          <a:xfrm>
            <a:off x="163" y="3243"/>
            <a:ext cx="21"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7</a:t>
            </a:r>
          </a:p>
        </xdr:txBody>
      </xdr:sp>
    </xdr:grpSp>
    <xdr:clientData/>
  </xdr:twoCellAnchor>
  <xdr:twoCellAnchor>
    <xdr:from>
      <xdr:col>4</xdr:col>
      <xdr:colOff>209550</xdr:colOff>
      <xdr:row>172</xdr:row>
      <xdr:rowOff>85725</xdr:rowOff>
    </xdr:from>
    <xdr:to>
      <xdr:col>4</xdr:col>
      <xdr:colOff>457200</xdr:colOff>
      <xdr:row>174</xdr:row>
      <xdr:rowOff>19050</xdr:rowOff>
    </xdr:to>
    <xdr:grpSp>
      <xdr:nvGrpSpPr>
        <xdr:cNvPr id="17247" name="Group 389">
          <a:extLst>
            <a:ext uri="{FF2B5EF4-FFF2-40B4-BE49-F238E27FC236}">
              <a16:creationId xmlns:a16="http://schemas.microsoft.com/office/drawing/2014/main" id="{00000000-0008-0000-0900-00005F430000}"/>
            </a:ext>
          </a:extLst>
        </xdr:cNvPr>
        <xdr:cNvGrpSpPr>
          <a:grpSpLocks/>
        </xdr:cNvGrpSpPr>
      </xdr:nvGrpSpPr>
      <xdr:grpSpPr bwMode="auto">
        <a:xfrm>
          <a:off x="2647950" y="28919805"/>
          <a:ext cx="247650" cy="268605"/>
          <a:chOff x="264" y="3221"/>
          <a:chExt cx="26" cy="27"/>
        </a:xfrm>
      </xdr:grpSpPr>
      <xdr:sp macro="" textlink="">
        <xdr:nvSpPr>
          <xdr:cNvPr id="17446" name="Oval 390">
            <a:extLst>
              <a:ext uri="{FF2B5EF4-FFF2-40B4-BE49-F238E27FC236}">
                <a16:creationId xmlns:a16="http://schemas.microsoft.com/office/drawing/2014/main" id="{00000000-0008-0000-0900-000026440000}"/>
              </a:ext>
            </a:extLst>
          </xdr:cNvPr>
          <xdr:cNvSpPr>
            <a:spLocks noChangeArrowheads="1"/>
          </xdr:cNvSpPr>
        </xdr:nvSpPr>
        <xdr:spPr bwMode="auto">
          <a:xfrm>
            <a:off x="264" y="3222"/>
            <a:ext cx="26" cy="26"/>
          </a:xfrm>
          <a:prstGeom prst="ellipse">
            <a:avLst/>
          </a:prstGeom>
          <a:solidFill>
            <a:srgbClr val="FFFFCC"/>
          </a:solidFill>
          <a:ln w="9525">
            <a:solidFill>
              <a:srgbClr val="000000"/>
            </a:solidFill>
            <a:round/>
            <a:headEnd/>
            <a:tailEnd/>
          </a:ln>
        </xdr:spPr>
      </xdr:sp>
      <xdr:sp macro="" textlink="">
        <xdr:nvSpPr>
          <xdr:cNvPr id="16775" name="Text Box 391">
            <a:extLst>
              <a:ext uri="{FF2B5EF4-FFF2-40B4-BE49-F238E27FC236}">
                <a16:creationId xmlns:a16="http://schemas.microsoft.com/office/drawing/2014/main" id="{00000000-0008-0000-0900-000087410000}"/>
              </a:ext>
            </a:extLst>
          </xdr:cNvPr>
          <xdr:cNvSpPr txBox="1">
            <a:spLocks noChangeArrowheads="1"/>
          </xdr:cNvSpPr>
        </xdr:nvSpPr>
        <xdr:spPr bwMode="auto">
          <a:xfrm>
            <a:off x="268" y="3221"/>
            <a:ext cx="21"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8</a:t>
            </a:r>
          </a:p>
        </xdr:txBody>
      </xdr:sp>
    </xdr:grpSp>
    <xdr:clientData/>
  </xdr:twoCellAnchor>
  <xdr:twoCellAnchor>
    <xdr:from>
      <xdr:col>1</xdr:col>
      <xdr:colOff>142875</xdr:colOff>
      <xdr:row>5</xdr:row>
      <xdr:rowOff>123825</xdr:rowOff>
    </xdr:from>
    <xdr:to>
      <xdr:col>3</xdr:col>
      <xdr:colOff>295275</xdr:colOff>
      <xdr:row>8</xdr:row>
      <xdr:rowOff>152400</xdr:rowOff>
    </xdr:to>
    <xdr:sp macro="" textlink="">
      <xdr:nvSpPr>
        <xdr:cNvPr id="17248" name="Freeform 395">
          <a:extLst>
            <a:ext uri="{FF2B5EF4-FFF2-40B4-BE49-F238E27FC236}">
              <a16:creationId xmlns:a16="http://schemas.microsoft.com/office/drawing/2014/main" id="{00000000-0008-0000-0900-000060430000}"/>
            </a:ext>
          </a:extLst>
        </xdr:cNvPr>
        <xdr:cNvSpPr>
          <a:spLocks/>
        </xdr:cNvSpPr>
      </xdr:nvSpPr>
      <xdr:spPr bwMode="auto">
        <a:xfrm>
          <a:off x="752475" y="933450"/>
          <a:ext cx="1371600" cy="514350"/>
        </a:xfrm>
        <a:custGeom>
          <a:avLst/>
          <a:gdLst>
            <a:gd name="T0" fmla="*/ 144 w 144"/>
            <a:gd name="T1" fmla="*/ 0 h 54"/>
            <a:gd name="T2" fmla="*/ 0 w 144"/>
            <a:gd name="T3" fmla="*/ 0 h 54"/>
            <a:gd name="T4" fmla="*/ 54 w 144"/>
            <a:gd name="T5" fmla="*/ 54 h 54"/>
            <a:gd name="T6" fmla="*/ 0 60000 65536"/>
            <a:gd name="T7" fmla="*/ 0 60000 65536"/>
            <a:gd name="T8" fmla="*/ 0 60000 65536"/>
            <a:gd name="T9" fmla="*/ 0 w 144"/>
            <a:gd name="T10" fmla="*/ 0 h 54"/>
            <a:gd name="T11" fmla="*/ 144 w 144"/>
            <a:gd name="T12" fmla="*/ 54 h 54"/>
          </a:gdLst>
          <a:ahLst/>
          <a:cxnLst>
            <a:cxn ang="T6">
              <a:pos x="T0" y="T1"/>
            </a:cxn>
            <a:cxn ang="T7">
              <a:pos x="T2" y="T3"/>
            </a:cxn>
            <a:cxn ang="T8">
              <a:pos x="T4" y="T5"/>
            </a:cxn>
          </a:cxnLst>
          <a:rect l="T9" t="T10" r="T11" b="T12"/>
          <a:pathLst>
            <a:path w="144" h="54">
              <a:moveTo>
                <a:pt x="144" y="0"/>
              </a:moveTo>
              <a:lnTo>
                <a:pt x="0" y="0"/>
              </a:lnTo>
              <a:lnTo>
                <a:pt x="54" y="54"/>
              </a:lnTo>
            </a:path>
          </a:pathLst>
        </a:custGeom>
        <a:noFill/>
        <a:ln w="9525" cap="flat" cmpd="sng">
          <a:solidFill>
            <a:srgbClr val="FFFF00"/>
          </a:solidFill>
          <a:prstDash val="dash"/>
          <a:round/>
          <a:headEnd type="none" w="med" len="med"/>
          <a:tailEnd type="none" w="med" len="med"/>
        </a:ln>
      </xdr:spPr>
    </xdr:sp>
    <xdr:clientData/>
  </xdr:twoCellAnchor>
  <xdr:twoCellAnchor>
    <xdr:from>
      <xdr:col>1</xdr:col>
      <xdr:colOff>133350</xdr:colOff>
      <xdr:row>210</xdr:row>
      <xdr:rowOff>9525</xdr:rowOff>
    </xdr:from>
    <xdr:to>
      <xdr:col>1</xdr:col>
      <xdr:colOff>381000</xdr:colOff>
      <xdr:row>211</xdr:row>
      <xdr:rowOff>104775</xdr:rowOff>
    </xdr:to>
    <xdr:grpSp>
      <xdr:nvGrpSpPr>
        <xdr:cNvPr id="17249" name="Group 430">
          <a:extLst>
            <a:ext uri="{FF2B5EF4-FFF2-40B4-BE49-F238E27FC236}">
              <a16:creationId xmlns:a16="http://schemas.microsoft.com/office/drawing/2014/main" id="{00000000-0008-0000-0900-000061430000}"/>
            </a:ext>
          </a:extLst>
        </xdr:cNvPr>
        <xdr:cNvGrpSpPr>
          <a:grpSpLocks/>
        </xdr:cNvGrpSpPr>
      </xdr:nvGrpSpPr>
      <xdr:grpSpPr bwMode="auto">
        <a:xfrm>
          <a:off x="742950" y="35213925"/>
          <a:ext cx="247650" cy="262890"/>
          <a:chOff x="75" y="3860"/>
          <a:chExt cx="26" cy="27"/>
        </a:xfrm>
      </xdr:grpSpPr>
      <xdr:sp macro="" textlink="">
        <xdr:nvSpPr>
          <xdr:cNvPr id="17444" name="Oval 431">
            <a:extLst>
              <a:ext uri="{FF2B5EF4-FFF2-40B4-BE49-F238E27FC236}">
                <a16:creationId xmlns:a16="http://schemas.microsoft.com/office/drawing/2014/main" id="{00000000-0008-0000-0900-000024440000}"/>
              </a:ext>
            </a:extLst>
          </xdr:cNvPr>
          <xdr:cNvSpPr>
            <a:spLocks noChangeArrowheads="1"/>
          </xdr:cNvSpPr>
        </xdr:nvSpPr>
        <xdr:spPr bwMode="auto">
          <a:xfrm>
            <a:off x="75" y="3861"/>
            <a:ext cx="26" cy="26"/>
          </a:xfrm>
          <a:prstGeom prst="ellipse">
            <a:avLst/>
          </a:prstGeom>
          <a:solidFill>
            <a:srgbClr val="FFFFCC"/>
          </a:solidFill>
          <a:ln w="9525">
            <a:solidFill>
              <a:srgbClr val="000000"/>
            </a:solidFill>
            <a:round/>
            <a:headEnd/>
            <a:tailEnd/>
          </a:ln>
        </xdr:spPr>
      </xdr:sp>
      <xdr:sp macro="" textlink="">
        <xdr:nvSpPr>
          <xdr:cNvPr id="16816" name="Text Box 432">
            <a:extLst>
              <a:ext uri="{FF2B5EF4-FFF2-40B4-BE49-F238E27FC236}">
                <a16:creationId xmlns:a16="http://schemas.microsoft.com/office/drawing/2014/main" id="{00000000-0008-0000-0900-0000B0410000}"/>
              </a:ext>
            </a:extLst>
          </xdr:cNvPr>
          <xdr:cNvSpPr txBox="1">
            <a:spLocks noChangeArrowheads="1"/>
          </xdr:cNvSpPr>
        </xdr:nvSpPr>
        <xdr:spPr bwMode="auto">
          <a:xfrm>
            <a:off x="79" y="3860"/>
            <a:ext cx="21"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1</a:t>
            </a:r>
          </a:p>
        </xdr:txBody>
      </xdr:sp>
    </xdr:grpSp>
    <xdr:clientData/>
  </xdr:twoCellAnchor>
  <xdr:twoCellAnchor>
    <xdr:from>
      <xdr:col>8</xdr:col>
      <xdr:colOff>76200</xdr:colOff>
      <xdr:row>13</xdr:row>
      <xdr:rowOff>19050</xdr:rowOff>
    </xdr:from>
    <xdr:to>
      <xdr:col>13</xdr:col>
      <xdr:colOff>209550</xdr:colOff>
      <xdr:row>19</xdr:row>
      <xdr:rowOff>19050</xdr:rowOff>
    </xdr:to>
    <xdr:sp macro="" textlink="">
      <xdr:nvSpPr>
        <xdr:cNvPr id="16825" name="Text Box 441">
          <a:extLst>
            <a:ext uri="{FF2B5EF4-FFF2-40B4-BE49-F238E27FC236}">
              <a16:creationId xmlns:a16="http://schemas.microsoft.com/office/drawing/2014/main" id="{00000000-0008-0000-0900-0000B9410000}"/>
            </a:ext>
          </a:extLst>
        </xdr:cNvPr>
        <xdr:cNvSpPr txBox="1">
          <a:spLocks noChangeArrowheads="1"/>
        </xdr:cNvSpPr>
      </xdr:nvSpPr>
      <xdr:spPr bwMode="auto">
        <a:xfrm>
          <a:off x="4552950" y="2124075"/>
          <a:ext cx="3181350" cy="971550"/>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r>
            <a:rPr lang="en-US" sz="800" b="0" i="0" u="none" strike="noStrike" baseline="0">
              <a:solidFill>
                <a:srgbClr val="000000"/>
              </a:solidFill>
              <a:latin typeface="Arial"/>
              <a:cs typeface="Arial"/>
            </a:rPr>
            <a:t>Calculate the leachable concentration in the sediment (q*</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                                                      expressed as leachable contaminant mass per unit dry solid mass).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r>
            <a:rPr lang="en-US" sz="800" b="0" i="0" u="none" strike="noStrike" baseline="0">
              <a:solidFill>
                <a:srgbClr val="000000"/>
              </a:solidFill>
              <a:latin typeface="Arial"/>
              <a:cs typeface="Arial"/>
            </a:rPr>
            <a:t>Metals: </a:t>
          </a:r>
          <a:r>
            <a:rPr lang="en-US" sz="1000" b="0" i="0" u="none" strike="noStrike" baseline="0">
              <a:solidFill>
                <a:srgbClr val="000000"/>
              </a:solidFill>
              <a:latin typeface="Arial"/>
              <a:cs typeface="Arial"/>
            </a:rPr>
            <a:t> </a:t>
          </a:r>
          <a:r>
            <a:rPr lang="en-US" sz="800" b="0" i="0" u="none" strike="noStrike" baseline="0">
              <a:solidFill>
                <a:srgbClr val="000000"/>
              </a:solidFill>
              <a:latin typeface="Arial"/>
              <a:cs typeface="Arial"/>
            </a:rPr>
            <a:t>q*</a:t>
          </a:r>
          <a:r>
            <a:rPr lang="en-US" sz="800" b="0" i="0" u="none" strike="noStrike" baseline="-25000">
              <a:solidFill>
                <a:srgbClr val="000000"/>
              </a:solidFill>
              <a:latin typeface="Arial"/>
              <a:cs typeface="Arial"/>
            </a:rPr>
            <a:t>sed </a:t>
          </a:r>
          <a:r>
            <a:rPr lang="en-US" sz="800" b="0" i="0" u="none" strike="noStrike" baseline="0">
              <a:solidFill>
                <a:srgbClr val="000000"/>
              </a:solidFill>
              <a:latin typeface="Arial"/>
              <a:cs typeface="Arial"/>
            </a:rPr>
            <a:t>= (q*LF)/(SCF/100)</a:t>
          </a:r>
        </a:p>
        <a:p>
          <a:pPr algn="l" rtl="0">
            <a:defRPr sz="1000"/>
          </a:pPr>
          <a:r>
            <a:rPr lang="en-US" sz="800" b="0" i="0" u="none" strike="noStrike" baseline="0">
              <a:solidFill>
                <a:srgbClr val="000000"/>
              </a:solidFill>
              <a:latin typeface="Arial"/>
              <a:cs typeface="Arial"/>
            </a:rPr>
            <a:t> Organics:  q*</a:t>
          </a:r>
          <a:r>
            <a:rPr lang="en-US" sz="800" b="0" i="0" u="none" strike="noStrike" baseline="-25000">
              <a:solidFill>
                <a:srgbClr val="000000"/>
              </a:solidFill>
              <a:latin typeface="Arial"/>
              <a:cs typeface="Arial"/>
            </a:rPr>
            <a:t>sed </a:t>
          </a:r>
          <a:r>
            <a:rPr lang="en-US" sz="800" b="0" i="0" u="none" strike="noStrike" baseline="0">
              <a:solidFill>
                <a:srgbClr val="000000"/>
              </a:solidFill>
              <a:latin typeface="Arial"/>
              <a:cs typeface="Arial"/>
            </a:rPr>
            <a:t>= (q*LF)</a:t>
          </a:r>
        </a:p>
      </xdr:txBody>
    </xdr:sp>
    <xdr:clientData/>
  </xdr:twoCellAnchor>
  <xdr:twoCellAnchor>
    <xdr:from>
      <xdr:col>5</xdr:col>
      <xdr:colOff>28575</xdr:colOff>
      <xdr:row>20</xdr:row>
      <xdr:rowOff>66675</xdr:rowOff>
    </xdr:from>
    <xdr:to>
      <xdr:col>10</xdr:col>
      <xdr:colOff>66675</xdr:colOff>
      <xdr:row>26</xdr:row>
      <xdr:rowOff>95250</xdr:rowOff>
    </xdr:to>
    <xdr:sp macro="" textlink="">
      <xdr:nvSpPr>
        <xdr:cNvPr id="16830" name="Text Box 446">
          <a:extLst>
            <a:ext uri="{FF2B5EF4-FFF2-40B4-BE49-F238E27FC236}">
              <a16:creationId xmlns:a16="http://schemas.microsoft.com/office/drawing/2014/main" id="{00000000-0008-0000-0900-0000BE410000}"/>
            </a:ext>
          </a:extLst>
        </xdr:cNvPr>
        <xdr:cNvSpPr txBox="1">
          <a:spLocks noChangeArrowheads="1"/>
        </xdr:cNvSpPr>
      </xdr:nvSpPr>
      <xdr:spPr bwMode="auto">
        <a:xfrm>
          <a:off x="3076575" y="3305175"/>
          <a:ext cx="2686050" cy="1000125"/>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        </a:t>
          </a:r>
        </a:p>
        <a:p>
          <a:pPr algn="l" rtl="0">
            <a:defRPr sz="1000"/>
          </a:pPr>
          <a:r>
            <a:rPr lang="en-US" sz="800" b="0" i="0" u="none" strike="noStrike" baseline="0">
              <a:solidFill>
                <a:srgbClr val="000000"/>
              </a:solidFill>
              <a:latin typeface="Arial"/>
              <a:cs typeface="Arial"/>
            </a:rPr>
            <a:t>            Estimate the slurry concentration in the CDF (q*</a:t>
          </a:r>
          <a:r>
            <a:rPr lang="en-US" sz="800" b="0" i="0" u="none" strike="noStrike" baseline="-25000">
              <a:solidFill>
                <a:srgbClr val="000000"/>
              </a:solidFill>
              <a:latin typeface="Arial"/>
              <a:cs typeface="Arial"/>
            </a:rPr>
            <a:t>sl</a:t>
          </a:r>
          <a:r>
            <a:rPr lang="en-US" sz="800" b="0" i="0" u="none" strike="noStrike" baseline="0">
              <a:solidFill>
                <a:srgbClr val="000000"/>
              </a:solidFill>
              <a:latin typeface="Arial"/>
              <a:cs typeface="Arial"/>
            </a:rPr>
            <a:t>,   expressed as leachable contaminant mass per unit dry solid mass) assuming equilibrium partitioning with q*</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r>
            <a:rPr lang="en-US" sz="800" b="0" i="0" u="none" strike="noStrike" baseline="0">
              <a:solidFill>
                <a:srgbClr val="000000"/>
              </a:solidFill>
              <a:latin typeface="Arial"/>
              <a:cs typeface="Arial"/>
            </a:rPr>
            <a:t>q*</a:t>
          </a:r>
          <a:r>
            <a:rPr lang="en-US" sz="800" b="0" i="0" u="none" strike="noStrike" baseline="-25000">
              <a:solidFill>
                <a:srgbClr val="000000"/>
              </a:solidFill>
              <a:latin typeface="Arial"/>
              <a:cs typeface="Arial"/>
            </a:rPr>
            <a:t>sl </a:t>
          </a:r>
          <a:r>
            <a:rPr lang="en-US" sz="800" b="0" i="0" u="none" strike="noStrike" baseline="0">
              <a:solidFill>
                <a:srgbClr val="000000"/>
              </a:solidFill>
              <a:latin typeface="Arial"/>
              <a:cs typeface="Arial"/>
            </a:rPr>
            <a:t>= q*</a:t>
          </a:r>
          <a:r>
            <a:rPr lang="en-US" sz="800" b="0" i="0" u="none" strike="noStrike" baseline="-25000">
              <a:solidFill>
                <a:srgbClr val="000000"/>
              </a:solidFill>
              <a:latin typeface="Arial"/>
              <a:cs typeface="Arial"/>
            </a:rPr>
            <a:t>sed </a:t>
          </a:r>
          <a:r>
            <a:rPr lang="en-US" sz="800" b="0" i="0" u="none" strike="noStrike" baseline="0">
              <a:solidFill>
                <a:srgbClr val="000000"/>
              </a:solidFill>
              <a:latin typeface="Arial"/>
              <a:cs typeface="Arial"/>
            </a:rPr>
            <a:t>+ ((TSS</a:t>
          </a:r>
          <a:r>
            <a:rPr lang="en-US" sz="800" b="0" i="0" u="none" strike="noStrike" baseline="-25000">
              <a:solidFill>
                <a:srgbClr val="000000"/>
              </a:solidFill>
              <a:latin typeface="Arial"/>
              <a:cs typeface="Arial"/>
            </a:rPr>
            <a:t>sed </a:t>
          </a:r>
          <a:r>
            <a:rPr lang="en-US" sz="800" b="0" i="0" u="none" strike="noStrike" baseline="0">
              <a:solidFill>
                <a:srgbClr val="000000"/>
              </a:solidFill>
              <a:latin typeface="Arial"/>
              <a:cs typeface="Arial"/>
            </a:rPr>
            <a:t>- TSS</a:t>
          </a:r>
          <a:r>
            <a:rPr lang="en-US" sz="800" b="0" i="0" u="none" strike="noStrike" baseline="-25000">
              <a:solidFill>
                <a:srgbClr val="000000"/>
              </a:solidFill>
              <a:latin typeface="Arial"/>
              <a:cs typeface="Arial"/>
            </a:rPr>
            <a:t>sl</a:t>
          </a:r>
          <a:r>
            <a:rPr lang="en-US" sz="800" b="0" i="0" u="none" strike="noStrike" baseline="0">
              <a:solidFill>
                <a:srgbClr val="000000"/>
              </a:solidFill>
              <a:latin typeface="Arial"/>
              <a:cs typeface="Arial"/>
            </a:rPr>
            <a:t>) / (TSS</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*TSS</a:t>
          </a:r>
          <a:r>
            <a:rPr lang="en-US" sz="800" b="0" i="0" u="none" strike="noStrike" baseline="-25000">
              <a:solidFill>
                <a:srgbClr val="000000"/>
              </a:solidFill>
              <a:latin typeface="Arial"/>
              <a:cs typeface="Arial"/>
            </a:rPr>
            <a:t>sl</a:t>
          </a:r>
          <a:r>
            <a:rPr lang="en-US" sz="800" b="0" i="0" u="none" strike="noStrike" baseline="0">
              <a:solidFill>
                <a:srgbClr val="000000"/>
              </a:solidFill>
              <a:latin typeface="Arial"/>
              <a:cs typeface="Arial"/>
            </a:rPr>
            <a:t>)*C</a:t>
          </a:r>
          <a:r>
            <a:rPr lang="en-US" sz="800" b="0" i="0" u="none" strike="noStrike" baseline="-25000">
              <a:solidFill>
                <a:srgbClr val="000000"/>
              </a:solidFill>
              <a:latin typeface="Arial"/>
              <a:cs typeface="Arial"/>
            </a:rPr>
            <a:t>C</a:t>
          </a:r>
          <a:r>
            <a:rPr lang="en-US" sz="800" b="0" i="0" u="none" strike="noStrike" baseline="0">
              <a:solidFill>
                <a:srgbClr val="000000"/>
              </a:solidFill>
              <a:latin typeface="Arial"/>
              <a:cs typeface="Arial"/>
            </a:rPr>
            <a:t>)</a:t>
          </a:r>
        </a:p>
      </xdr:txBody>
    </xdr:sp>
    <xdr:clientData/>
  </xdr:twoCellAnchor>
  <xdr:twoCellAnchor>
    <xdr:from>
      <xdr:col>8</xdr:col>
      <xdr:colOff>104775</xdr:colOff>
      <xdr:row>13</xdr:row>
      <xdr:rowOff>95250</xdr:rowOff>
    </xdr:from>
    <xdr:to>
      <xdr:col>8</xdr:col>
      <xdr:colOff>342900</xdr:colOff>
      <xdr:row>14</xdr:row>
      <xdr:rowOff>152400</xdr:rowOff>
    </xdr:to>
    <xdr:grpSp>
      <xdr:nvGrpSpPr>
        <xdr:cNvPr id="17252" name="Group 492">
          <a:extLst>
            <a:ext uri="{FF2B5EF4-FFF2-40B4-BE49-F238E27FC236}">
              <a16:creationId xmlns:a16="http://schemas.microsoft.com/office/drawing/2014/main" id="{00000000-0008-0000-0900-000064430000}"/>
            </a:ext>
          </a:extLst>
        </xdr:cNvPr>
        <xdr:cNvGrpSpPr>
          <a:grpSpLocks/>
        </xdr:cNvGrpSpPr>
      </xdr:nvGrpSpPr>
      <xdr:grpSpPr bwMode="auto">
        <a:xfrm>
          <a:off x="4585335" y="2274570"/>
          <a:ext cx="238125" cy="224790"/>
          <a:chOff x="551" y="297"/>
          <a:chExt cx="31" cy="30"/>
        </a:xfrm>
      </xdr:grpSpPr>
      <xdr:sp macro="" textlink="">
        <xdr:nvSpPr>
          <xdr:cNvPr id="17442" name="Oval 451">
            <a:extLst>
              <a:ext uri="{FF2B5EF4-FFF2-40B4-BE49-F238E27FC236}">
                <a16:creationId xmlns:a16="http://schemas.microsoft.com/office/drawing/2014/main" id="{00000000-0008-0000-0900-000022440000}"/>
              </a:ext>
            </a:extLst>
          </xdr:cNvPr>
          <xdr:cNvSpPr>
            <a:spLocks noChangeArrowheads="1"/>
          </xdr:cNvSpPr>
        </xdr:nvSpPr>
        <xdr:spPr bwMode="auto">
          <a:xfrm>
            <a:off x="551" y="297"/>
            <a:ext cx="31" cy="30"/>
          </a:xfrm>
          <a:prstGeom prst="ellipse">
            <a:avLst/>
          </a:prstGeom>
          <a:solidFill>
            <a:srgbClr val="FFFFCC"/>
          </a:solidFill>
          <a:ln w="9525">
            <a:solidFill>
              <a:srgbClr val="000000"/>
            </a:solidFill>
            <a:round/>
            <a:headEnd/>
            <a:tailEnd/>
          </a:ln>
        </xdr:spPr>
      </xdr:sp>
      <xdr:sp macro="" textlink="">
        <xdr:nvSpPr>
          <xdr:cNvPr id="16837" name="Text Box 453">
            <a:extLst>
              <a:ext uri="{FF2B5EF4-FFF2-40B4-BE49-F238E27FC236}">
                <a16:creationId xmlns:a16="http://schemas.microsoft.com/office/drawing/2014/main" id="{00000000-0008-0000-0900-0000C5410000}"/>
              </a:ext>
            </a:extLst>
          </xdr:cNvPr>
          <xdr:cNvSpPr txBox="1">
            <a:spLocks noChangeArrowheads="1"/>
          </xdr:cNvSpPr>
        </xdr:nvSpPr>
        <xdr:spPr bwMode="auto">
          <a:xfrm>
            <a:off x="557" y="304"/>
            <a:ext cx="19" cy="17"/>
          </a:xfrm>
          <a:prstGeom prst="rect">
            <a:avLst/>
          </a:prstGeom>
          <a:solidFill>
            <a:srgbClr val="FFFFCC"/>
          </a:solidFill>
          <a:ln w="9525">
            <a:noFill/>
            <a:miter lim="800000"/>
            <a:headEnd/>
            <a:tailEnd/>
          </a:ln>
          <a:effectLst/>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 1</a:t>
            </a:r>
          </a:p>
        </xdr:txBody>
      </xdr:sp>
    </xdr:grpSp>
    <xdr:clientData/>
  </xdr:twoCellAnchor>
  <xdr:twoCellAnchor>
    <xdr:from>
      <xdr:col>5</xdr:col>
      <xdr:colOff>76200</xdr:colOff>
      <xdr:row>20</xdr:row>
      <xdr:rowOff>114300</xdr:rowOff>
    </xdr:from>
    <xdr:to>
      <xdr:col>6</xdr:col>
      <xdr:colOff>123825</xdr:colOff>
      <xdr:row>22</xdr:row>
      <xdr:rowOff>38100</xdr:rowOff>
    </xdr:to>
    <xdr:grpSp>
      <xdr:nvGrpSpPr>
        <xdr:cNvPr id="17253" name="Group 455">
          <a:extLst>
            <a:ext uri="{FF2B5EF4-FFF2-40B4-BE49-F238E27FC236}">
              <a16:creationId xmlns:a16="http://schemas.microsoft.com/office/drawing/2014/main" id="{00000000-0008-0000-0900-000065430000}"/>
            </a:ext>
          </a:extLst>
        </xdr:cNvPr>
        <xdr:cNvGrpSpPr>
          <a:grpSpLocks/>
        </xdr:cNvGrpSpPr>
      </xdr:nvGrpSpPr>
      <xdr:grpSpPr bwMode="auto">
        <a:xfrm>
          <a:off x="3124200" y="3467100"/>
          <a:ext cx="260985" cy="259080"/>
          <a:chOff x="209" y="456"/>
          <a:chExt cx="32" cy="34"/>
        </a:xfrm>
      </xdr:grpSpPr>
      <xdr:sp macro="" textlink="">
        <xdr:nvSpPr>
          <xdr:cNvPr id="17440" name="Oval 456">
            <a:extLst>
              <a:ext uri="{FF2B5EF4-FFF2-40B4-BE49-F238E27FC236}">
                <a16:creationId xmlns:a16="http://schemas.microsoft.com/office/drawing/2014/main" id="{00000000-0008-0000-0900-000020440000}"/>
              </a:ext>
            </a:extLst>
          </xdr:cNvPr>
          <xdr:cNvSpPr>
            <a:spLocks noChangeArrowheads="1"/>
          </xdr:cNvSpPr>
        </xdr:nvSpPr>
        <xdr:spPr bwMode="auto">
          <a:xfrm>
            <a:off x="209" y="457"/>
            <a:ext cx="32" cy="33"/>
          </a:xfrm>
          <a:prstGeom prst="ellipse">
            <a:avLst/>
          </a:prstGeom>
          <a:solidFill>
            <a:srgbClr val="FFFFCC"/>
          </a:solidFill>
          <a:ln w="9525">
            <a:solidFill>
              <a:srgbClr val="000000"/>
            </a:solidFill>
            <a:round/>
            <a:headEnd/>
            <a:tailEnd/>
          </a:ln>
        </xdr:spPr>
      </xdr:sp>
      <xdr:sp macro="" textlink="">
        <xdr:nvSpPr>
          <xdr:cNvPr id="16841" name="Text Box 457">
            <a:extLst>
              <a:ext uri="{FF2B5EF4-FFF2-40B4-BE49-F238E27FC236}">
                <a16:creationId xmlns:a16="http://schemas.microsoft.com/office/drawing/2014/main" id="{00000000-0008-0000-0900-0000C9410000}"/>
              </a:ext>
            </a:extLst>
          </xdr:cNvPr>
          <xdr:cNvSpPr txBox="1">
            <a:spLocks noChangeArrowheads="1"/>
          </xdr:cNvSpPr>
        </xdr:nvSpPr>
        <xdr:spPr bwMode="auto">
          <a:xfrm>
            <a:off x="214" y="456"/>
            <a:ext cx="26" cy="34"/>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2</a:t>
            </a:r>
          </a:p>
        </xdr:txBody>
      </xdr:sp>
    </xdr:grpSp>
    <xdr:clientData/>
  </xdr:twoCellAnchor>
  <xdr:twoCellAnchor>
    <xdr:from>
      <xdr:col>8</xdr:col>
      <xdr:colOff>476250</xdr:colOff>
      <xdr:row>35</xdr:row>
      <xdr:rowOff>104775</xdr:rowOff>
    </xdr:from>
    <xdr:to>
      <xdr:col>12</xdr:col>
      <xdr:colOff>419100</xdr:colOff>
      <xdr:row>40</xdr:row>
      <xdr:rowOff>57150</xdr:rowOff>
    </xdr:to>
    <xdr:sp macro="" textlink="">
      <xdr:nvSpPr>
        <xdr:cNvPr id="16853" name="Text Box 469">
          <a:extLst>
            <a:ext uri="{FF2B5EF4-FFF2-40B4-BE49-F238E27FC236}">
              <a16:creationId xmlns:a16="http://schemas.microsoft.com/office/drawing/2014/main" id="{00000000-0008-0000-0900-0000D5410000}"/>
            </a:ext>
          </a:extLst>
        </xdr:cNvPr>
        <xdr:cNvSpPr txBox="1">
          <a:spLocks noChangeArrowheads="1"/>
        </xdr:cNvSpPr>
      </xdr:nvSpPr>
      <xdr:spPr bwMode="auto">
        <a:xfrm>
          <a:off x="4953000" y="5772150"/>
          <a:ext cx="2381250" cy="762000"/>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r>
            <a:rPr lang="en-US" sz="800" b="0" i="0" u="none" strike="noStrike" baseline="0">
              <a:solidFill>
                <a:srgbClr val="000000"/>
              </a:solidFill>
              <a:latin typeface="Arial"/>
              <a:cs typeface="Arial"/>
            </a:rPr>
            <a:t>The predicted effluent concentration, C</a:t>
          </a:r>
          <a:r>
            <a:rPr lang="en-US" sz="800" b="0" i="0" u="none" strike="noStrike" baseline="-25000">
              <a:solidFill>
                <a:srgbClr val="000000"/>
              </a:solidFill>
              <a:latin typeface="Arial"/>
              <a:cs typeface="Arial"/>
            </a:rPr>
            <a:t>eff,</a:t>
          </a:r>
          <a:r>
            <a:rPr lang="en-US" sz="800" b="0" i="0" u="none" strike="noStrike" baseline="0">
              <a:solidFill>
                <a:srgbClr val="000000"/>
              </a:solidFill>
              <a:latin typeface="Arial"/>
              <a:cs typeface="Arial"/>
            </a:rPr>
            <a:t> is chosen as the greater between C</a:t>
          </a:r>
          <a:r>
            <a:rPr lang="en-US" sz="800" b="0" i="0" u="none" strike="noStrike" baseline="-25000">
              <a:solidFill>
                <a:srgbClr val="000000"/>
              </a:solidFill>
              <a:latin typeface="Arial"/>
              <a:cs typeface="Arial"/>
            </a:rPr>
            <a:t>eff1</a:t>
          </a:r>
          <a:r>
            <a:rPr lang="en-US" sz="800" b="0" i="0" u="none" strike="noStrike" baseline="0">
              <a:solidFill>
                <a:srgbClr val="000000"/>
              </a:solidFill>
              <a:latin typeface="Arial"/>
              <a:cs typeface="Arial"/>
            </a:rPr>
            <a:t> and C</a:t>
          </a:r>
          <a:r>
            <a:rPr lang="en-US" sz="800" b="0" i="0" u="none" strike="noStrike" baseline="-25000">
              <a:solidFill>
                <a:srgbClr val="000000"/>
              </a:solidFill>
              <a:latin typeface="Arial"/>
              <a:cs typeface="Arial"/>
            </a:rPr>
            <a:t>eff2. </a:t>
          </a:r>
          <a:r>
            <a:rPr lang="en-US" sz="800" b="0" i="0" u="none" strike="noStrike" baseline="0">
              <a:solidFill>
                <a:srgbClr val="000000"/>
              </a:solidFill>
              <a:latin typeface="Arial"/>
              <a:cs typeface="Arial"/>
            </a:rPr>
            <a:t>but not to exceed the aqueous solubility..</a:t>
          </a:r>
        </a:p>
      </xdr:txBody>
    </xdr:sp>
    <xdr:clientData/>
  </xdr:twoCellAnchor>
  <xdr:twoCellAnchor>
    <xdr:from>
      <xdr:col>8</xdr:col>
      <xdr:colOff>447675</xdr:colOff>
      <xdr:row>43</xdr:row>
      <xdr:rowOff>38100</xdr:rowOff>
    </xdr:from>
    <xdr:to>
      <xdr:col>12</xdr:col>
      <xdr:colOff>447675</xdr:colOff>
      <xdr:row>49</xdr:row>
      <xdr:rowOff>76200</xdr:rowOff>
    </xdr:to>
    <xdr:sp macro="" textlink="">
      <xdr:nvSpPr>
        <xdr:cNvPr id="16854" name="Text Box 470">
          <a:extLst>
            <a:ext uri="{FF2B5EF4-FFF2-40B4-BE49-F238E27FC236}">
              <a16:creationId xmlns:a16="http://schemas.microsoft.com/office/drawing/2014/main" id="{00000000-0008-0000-0900-0000D6410000}"/>
            </a:ext>
          </a:extLst>
        </xdr:cNvPr>
        <xdr:cNvSpPr txBox="1">
          <a:spLocks noChangeArrowheads="1"/>
        </xdr:cNvSpPr>
      </xdr:nvSpPr>
      <xdr:spPr bwMode="auto">
        <a:xfrm>
          <a:off x="4924425" y="7000875"/>
          <a:ext cx="2438400" cy="1009650"/>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Accounting for dilution (D) in the mixing zone, estimate the predicted concentration at the edge of the mixing zone (C</a:t>
          </a:r>
          <a:r>
            <a:rPr lang="en-US" sz="800" b="0" i="0" u="none" strike="noStrike" baseline="-25000">
              <a:solidFill>
                <a:srgbClr val="000000"/>
              </a:solidFill>
              <a:latin typeface="Arial"/>
              <a:cs typeface="Arial"/>
            </a:rPr>
            <a:t>P</a:t>
          </a:r>
          <a:r>
            <a:rPr lang="en-US" sz="800" b="0" i="0" u="none" strike="noStrike" baseline="0">
              <a:solidFill>
                <a:srgbClr val="000000"/>
              </a:solidFill>
              <a:latin typeface="Arial"/>
              <a:cs typeface="Arial"/>
            </a:rPr>
            <a:t>). </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r>
            <a:rPr lang="en-US" sz="800" b="0" i="0" u="none" strike="noStrike" baseline="0">
              <a:solidFill>
                <a:srgbClr val="000000"/>
              </a:solidFill>
              <a:latin typeface="Arial"/>
              <a:cs typeface="Arial"/>
            </a:rPr>
            <a:t>C</a:t>
          </a:r>
          <a:r>
            <a:rPr lang="en-US" sz="800" b="0" i="0" u="none" strike="noStrike" baseline="-25000">
              <a:solidFill>
                <a:srgbClr val="000000"/>
              </a:solidFill>
              <a:latin typeface="Arial"/>
              <a:cs typeface="Arial"/>
            </a:rPr>
            <a:t>P </a:t>
          </a:r>
          <a:r>
            <a:rPr lang="en-US" sz="800" b="0" i="0" u="none" strike="noStrike" baseline="0">
              <a:solidFill>
                <a:srgbClr val="000000"/>
              </a:solidFill>
              <a:latin typeface="Arial"/>
              <a:cs typeface="Arial"/>
            </a:rPr>
            <a:t>= (C</a:t>
          </a:r>
          <a:r>
            <a:rPr lang="en-US" sz="800" b="0" i="0" u="none" strike="noStrike" baseline="-25000">
              <a:solidFill>
                <a:srgbClr val="000000"/>
              </a:solidFill>
              <a:latin typeface="Arial"/>
              <a:cs typeface="Arial"/>
            </a:rPr>
            <a:t>eff</a:t>
          </a:r>
          <a:r>
            <a:rPr lang="en-US" sz="800" b="0" i="0" u="none" strike="noStrike" baseline="0">
              <a:solidFill>
                <a:srgbClr val="000000"/>
              </a:solidFill>
              <a:latin typeface="Arial"/>
              <a:cs typeface="Arial"/>
            </a:rPr>
            <a:t>  + (D*C</a:t>
          </a:r>
          <a:r>
            <a:rPr lang="en-US" sz="800" b="0" i="0" u="none" strike="noStrike" baseline="-25000">
              <a:solidFill>
                <a:srgbClr val="000000"/>
              </a:solidFill>
              <a:latin typeface="Arial"/>
              <a:cs typeface="Arial"/>
            </a:rPr>
            <a:t>B</a:t>
          </a:r>
          <a:r>
            <a:rPr lang="en-US" sz="800" b="0" i="0" u="none" strike="noStrike" baseline="0">
              <a:solidFill>
                <a:srgbClr val="000000"/>
              </a:solidFill>
              <a:latin typeface="Arial"/>
              <a:cs typeface="Arial"/>
            </a:rPr>
            <a:t>))/(D + 1)</a:t>
          </a:r>
        </a:p>
      </xdr:txBody>
    </xdr:sp>
    <xdr:clientData/>
  </xdr:twoCellAnchor>
  <xdr:twoCellAnchor>
    <xdr:from>
      <xdr:col>7</xdr:col>
      <xdr:colOff>447675</xdr:colOff>
      <xdr:row>32</xdr:row>
      <xdr:rowOff>142875</xdr:rowOff>
    </xdr:from>
    <xdr:to>
      <xdr:col>8</xdr:col>
      <xdr:colOff>476250</xdr:colOff>
      <xdr:row>38</xdr:row>
      <xdr:rowOff>0</xdr:rowOff>
    </xdr:to>
    <xdr:cxnSp macro="">
      <xdr:nvCxnSpPr>
        <xdr:cNvPr id="17256" name="AutoShape 474">
          <a:extLst>
            <a:ext uri="{FF2B5EF4-FFF2-40B4-BE49-F238E27FC236}">
              <a16:creationId xmlns:a16="http://schemas.microsoft.com/office/drawing/2014/main" id="{00000000-0008-0000-0900-000068430000}"/>
            </a:ext>
          </a:extLst>
        </xdr:cNvPr>
        <xdr:cNvCxnSpPr>
          <a:cxnSpLocks noChangeShapeType="1"/>
          <a:endCxn id="16853" idx="1"/>
        </xdr:cNvCxnSpPr>
      </xdr:nvCxnSpPr>
      <xdr:spPr bwMode="auto">
        <a:xfrm rot="16200000" flipH="1">
          <a:off x="4219575" y="5419725"/>
          <a:ext cx="828675" cy="638175"/>
        </a:xfrm>
        <a:prstGeom prst="bentConnector2">
          <a:avLst/>
        </a:prstGeom>
        <a:noFill/>
        <a:ln w="9525">
          <a:solidFill>
            <a:srgbClr val="000000"/>
          </a:solidFill>
          <a:miter lim="800000"/>
          <a:headEnd/>
          <a:tailEnd type="stealth" w="med" len="med"/>
        </a:ln>
      </xdr:spPr>
    </xdr:cxnSp>
    <xdr:clientData/>
  </xdr:twoCellAnchor>
  <xdr:twoCellAnchor>
    <xdr:from>
      <xdr:col>12</xdr:col>
      <xdr:colOff>419100</xdr:colOff>
      <xdr:row>33</xdr:row>
      <xdr:rowOff>85725</xdr:rowOff>
    </xdr:from>
    <xdr:to>
      <xdr:col>14</xdr:col>
      <xdr:colOff>57150</xdr:colOff>
      <xdr:row>38</xdr:row>
      <xdr:rowOff>0</xdr:rowOff>
    </xdr:to>
    <xdr:cxnSp macro="">
      <xdr:nvCxnSpPr>
        <xdr:cNvPr id="17257" name="AutoShape 475">
          <a:extLst>
            <a:ext uri="{FF2B5EF4-FFF2-40B4-BE49-F238E27FC236}">
              <a16:creationId xmlns:a16="http://schemas.microsoft.com/office/drawing/2014/main" id="{00000000-0008-0000-0900-000069430000}"/>
            </a:ext>
          </a:extLst>
        </xdr:cNvPr>
        <xdr:cNvCxnSpPr>
          <a:cxnSpLocks noChangeShapeType="1"/>
          <a:stCxn id="16833" idx="2"/>
          <a:endCxn id="16853" idx="3"/>
        </xdr:cNvCxnSpPr>
      </xdr:nvCxnSpPr>
      <xdr:spPr bwMode="auto">
        <a:xfrm rot="5400000">
          <a:off x="7400925" y="5362575"/>
          <a:ext cx="723900" cy="857250"/>
        </a:xfrm>
        <a:prstGeom prst="bentConnector2">
          <a:avLst/>
        </a:prstGeom>
        <a:noFill/>
        <a:ln w="9525">
          <a:solidFill>
            <a:srgbClr val="000000"/>
          </a:solidFill>
          <a:miter lim="800000"/>
          <a:headEnd/>
          <a:tailEnd type="stealth" w="med" len="med"/>
        </a:ln>
      </xdr:spPr>
    </xdr:cxnSp>
    <xdr:clientData/>
  </xdr:twoCellAnchor>
  <xdr:twoCellAnchor>
    <xdr:from>
      <xdr:col>11</xdr:col>
      <xdr:colOff>142875</xdr:colOff>
      <xdr:row>28</xdr:row>
      <xdr:rowOff>76200</xdr:rowOff>
    </xdr:from>
    <xdr:to>
      <xdr:col>16</xdr:col>
      <xdr:colOff>571500</xdr:colOff>
      <xdr:row>33</xdr:row>
      <xdr:rowOff>85725</xdr:rowOff>
    </xdr:to>
    <xdr:sp macro="" textlink="">
      <xdr:nvSpPr>
        <xdr:cNvPr id="16833" name="Text Box 449">
          <a:extLst>
            <a:ext uri="{FF2B5EF4-FFF2-40B4-BE49-F238E27FC236}">
              <a16:creationId xmlns:a16="http://schemas.microsoft.com/office/drawing/2014/main" id="{00000000-0008-0000-0900-0000C1410000}"/>
            </a:ext>
          </a:extLst>
        </xdr:cNvPr>
        <xdr:cNvSpPr txBox="1">
          <a:spLocks noChangeArrowheads="1"/>
        </xdr:cNvSpPr>
      </xdr:nvSpPr>
      <xdr:spPr bwMode="auto">
        <a:xfrm>
          <a:off x="6448425" y="4610100"/>
          <a:ext cx="3476625" cy="819150"/>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Calculate the effluent concentration based on pore water dilution with carrier water, C</a:t>
          </a:r>
          <a:r>
            <a:rPr lang="en-US" sz="800" b="0" i="0" u="none" strike="noStrike" baseline="-25000">
              <a:solidFill>
                <a:srgbClr val="000000"/>
              </a:solidFill>
              <a:latin typeface="Arial"/>
              <a:cs typeface="Arial"/>
            </a:rPr>
            <a:t>eff2</a:t>
          </a:r>
          <a:r>
            <a:rPr lang="en-US" sz="800" b="0" i="0" u="none" strike="noStrike" baseline="0">
              <a:solidFill>
                <a:srgbClr val="000000"/>
              </a:solidFill>
              <a:latin typeface="Arial"/>
              <a:cs typeface="Arial"/>
            </a:rPr>
            <a:t> (ug/L).</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r>
            <a:rPr lang="en-US" sz="800" b="0" i="0" u="none" strike="noStrike" baseline="0">
              <a:solidFill>
                <a:srgbClr val="000000"/>
              </a:solidFill>
              <a:latin typeface="Arial"/>
              <a:cs typeface="Arial"/>
            </a:rPr>
            <a:t>C</a:t>
          </a:r>
          <a:r>
            <a:rPr lang="en-US" sz="800" b="0" i="0" u="none" strike="noStrike" baseline="-25000">
              <a:solidFill>
                <a:srgbClr val="000000"/>
              </a:solidFill>
              <a:latin typeface="Arial"/>
              <a:cs typeface="Arial"/>
            </a:rPr>
            <a:t>eff2 </a:t>
          </a:r>
          <a:r>
            <a:rPr lang="en-US" sz="800" b="0" i="0" u="none" strike="noStrike" baseline="0">
              <a:solidFill>
                <a:srgbClr val="000000"/>
              </a:solidFill>
              <a:latin typeface="Arial"/>
              <a:cs typeface="Arial"/>
            </a:rPr>
            <a:t>= (TSS</a:t>
          </a:r>
          <a:r>
            <a:rPr lang="en-US" sz="800" b="0" i="0" u="none" strike="noStrike" baseline="-25000">
              <a:solidFill>
                <a:srgbClr val="000000"/>
              </a:solidFill>
              <a:latin typeface="Arial"/>
              <a:cs typeface="Arial"/>
            </a:rPr>
            <a:t>sl</a:t>
          </a:r>
          <a:r>
            <a:rPr lang="en-US" sz="800" b="0" i="0" u="none" strike="noStrike" baseline="0">
              <a:solidFill>
                <a:srgbClr val="000000"/>
              </a:solidFill>
              <a:latin typeface="Arial"/>
              <a:cs typeface="Arial"/>
            </a:rPr>
            <a:t>*n</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*C</a:t>
          </a:r>
          <a:r>
            <a:rPr lang="en-US" sz="800" b="0" i="0" u="none" strike="noStrike" baseline="-25000">
              <a:solidFill>
                <a:srgbClr val="000000"/>
              </a:solidFill>
              <a:latin typeface="Arial"/>
              <a:cs typeface="Arial"/>
            </a:rPr>
            <a:t>sed </a:t>
          </a:r>
          <a:r>
            <a:rPr lang="en-US" sz="800" b="0" i="0" u="none" strike="noStrike" baseline="0">
              <a:solidFill>
                <a:srgbClr val="000000"/>
              </a:solidFill>
              <a:latin typeface="Arial"/>
              <a:cs typeface="Arial"/>
            </a:rPr>
            <a:t>+ (TSS</a:t>
          </a:r>
          <a:r>
            <a:rPr lang="en-US" sz="800" b="0" i="0" u="none" strike="noStrike" baseline="-25000">
              <a:solidFill>
                <a:srgbClr val="000000"/>
              </a:solidFill>
              <a:latin typeface="Arial"/>
              <a:cs typeface="Arial"/>
            </a:rPr>
            <a:t>sed </a:t>
          </a:r>
          <a:r>
            <a:rPr lang="en-US" sz="800" b="0" i="0" u="none" strike="noStrike" baseline="0">
              <a:solidFill>
                <a:srgbClr val="000000"/>
              </a:solidFill>
              <a:latin typeface="Arial"/>
              <a:cs typeface="Arial"/>
            </a:rPr>
            <a:t>- TSS</a:t>
          </a:r>
          <a:r>
            <a:rPr lang="en-US" sz="800" b="0" i="0" u="none" strike="noStrike" baseline="-25000">
              <a:solidFill>
                <a:srgbClr val="000000"/>
              </a:solidFill>
              <a:latin typeface="Arial"/>
              <a:cs typeface="Arial"/>
            </a:rPr>
            <a:t>sl</a:t>
          </a:r>
          <a:r>
            <a:rPr lang="en-US" sz="800" b="0" i="0" u="none" strike="noStrike" baseline="0">
              <a:solidFill>
                <a:srgbClr val="000000"/>
              </a:solidFill>
              <a:latin typeface="Arial"/>
              <a:cs typeface="Arial"/>
            </a:rPr>
            <a:t>)*C</a:t>
          </a:r>
          <a:r>
            <a:rPr lang="en-US" sz="800" b="0" i="0" u="none" strike="noStrike" baseline="-25000">
              <a:solidFill>
                <a:srgbClr val="000000"/>
              </a:solidFill>
              <a:latin typeface="Arial"/>
              <a:cs typeface="Arial"/>
            </a:rPr>
            <a:t>C</a:t>
          </a:r>
          <a:r>
            <a:rPr lang="en-US" sz="800" b="0" i="0" u="none" strike="noStrike" baseline="0">
              <a:solidFill>
                <a:srgbClr val="000000"/>
              </a:solidFill>
              <a:latin typeface="Arial"/>
              <a:cs typeface="Arial"/>
            </a:rPr>
            <a:t>)/(TSS</a:t>
          </a:r>
          <a:r>
            <a:rPr lang="en-US" sz="800" b="0" i="0" u="none" strike="noStrike" baseline="-25000">
              <a:solidFill>
                <a:srgbClr val="000000"/>
              </a:solidFill>
              <a:latin typeface="Arial"/>
              <a:cs typeface="Arial"/>
            </a:rPr>
            <a:t>sl</a:t>
          </a:r>
          <a:r>
            <a:rPr lang="en-US" sz="800" b="0" i="0" u="none" strike="noStrike" baseline="0">
              <a:solidFill>
                <a:srgbClr val="000000"/>
              </a:solidFill>
              <a:latin typeface="Arial"/>
              <a:cs typeface="Arial"/>
            </a:rPr>
            <a:t>*n</a:t>
          </a:r>
          <a:r>
            <a:rPr lang="en-US" sz="800" b="0" i="0" u="none" strike="noStrike" baseline="-25000">
              <a:solidFill>
                <a:srgbClr val="000000"/>
              </a:solidFill>
              <a:latin typeface="Arial"/>
              <a:cs typeface="Arial"/>
            </a:rPr>
            <a:t>sed </a:t>
          </a:r>
          <a:r>
            <a:rPr lang="en-US" sz="800" b="0" i="0" u="none" strike="noStrike" baseline="0">
              <a:solidFill>
                <a:srgbClr val="000000"/>
              </a:solidFill>
              <a:latin typeface="Arial"/>
              <a:cs typeface="Arial"/>
            </a:rPr>
            <a:t>+ TSS</a:t>
          </a:r>
          <a:r>
            <a:rPr lang="en-US" sz="800" b="0" i="0" u="none" strike="noStrike" baseline="-25000">
              <a:solidFill>
                <a:srgbClr val="000000"/>
              </a:solidFill>
              <a:latin typeface="Arial"/>
              <a:cs typeface="Arial"/>
            </a:rPr>
            <a:t>sed </a:t>
          </a:r>
          <a:r>
            <a:rPr lang="en-US" sz="800" b="0" i="0" u="none" strike="noStrike" baseline="0">
              <a:solidFill>
                <a:srgbClr val="000000"/>
              </a:solidFill>
              <a:latin typeface="Arial"/>
              <a:cs typeface="Arial"/>
            </a:rPr>
            <a:t>- TSS</a:t>
          </a:r>
          <a:r>
            <a:rPr lang="en-US" sz="800" b="0" i="0" u="none" strike="noStrike" baseline="-25000">
              <a:solidFill>
                <a:srgbClr val="000000"/>
              </a:solidFill>
              <a:latin typeface="Arial"/>
              <a:cs typeface="Arial"/>
            </a:rPr>
            <a:t>sl</a:t>
          </a:r>
          <a:r>
            <a:rPr lang="en-US" sz="800" b="0" i="0" u="none" strike="noStrike" baseline="0">
              <a:solidFill>
                <a:srgbClr val="000000"/>
              </a:solidFill>
              <a:latin typeface="Arial"/>
              <a:cs typeface="Arial"/>
            </a:rPr>
            <a:t>)</a:t>
          </a:r>
        </a:p>
      </xdr:txBody>
    </xdr:sp>
    <xdr:clientData/>
  </xdr:twoCellAnchor>
  <xdr:twoCellAnchor>
    <xdr:from>
      <xdr:col>11</xdr:col>
      <xdr:colOff>123825</xdr:colOff>
      <xdr:row>20</xdr:row>
      <xdr:rowOff>57150</xdr:rowOff>
    </xdr:from>
    <xdr:to>
      <xdr:col>16</xdr:col>
      <xdr:colOff>142875</xdr:colOff>
      <xdr:row>26</xdr:row>
      <xdr:rowOff>85725</xdr:rowOff>
    </xdr:to>
    <xdr:sp macro="" textlink="">
      <xdr:nvSpPr>
        <xdr:cNvPr id="16832" name="Text Box 448">
          <a:extLst>
            <a:ext uri="{FF2B5EF4-FFF2-40B4-BE49-F238E27FC236}">
              <a16:creationId xmlns:a16="http://schemas.microsoft.com/office/drawing/2014/main" id="{00000000-0008-0000-0900-0000C0410000}"/>
            </a:ext>
          </a:extLst>
        </xdr:cNvPr>
        <xdr:cNvSpPr txBox="1">
          <a:spLocks noChangeArrowheads="1"/>
        </xdr:cNvSpPr>
      </xdr:nvSpPr>
      <xdr:spPr bwMode="auto">
        <a:xfrm>
          <a:off x="6429375" y="3295650"/>
          <a:ext cx="3067050" cy="1000125"/>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Calculate the dissolved contaminant concentration in        the sediment pore water, C</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 based on equilibrium partitioning with q*</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r>
            <a:rPr lang="en-US" sz="800" b="0" i="0" u="none" strike="noStrike" baseline="0">
              <a:solidFill>
                <a:srgbClr val="000000"/>
              </a:solidFill>
              <a:latin typeface="Arial"/>
              <a:cs typeface="Arial"/>
            </a:rPr>
            <a:t>C</a:t>
          </a:r>
          <a:r>
            <a:rPr lang="en-US" sz="800" b="0" i="0" u="none" strike="noStrike" baseline="-25000">
              <a:solidFill>
                <a:srgbClr val="000000"/>
              </a:solidFill>
              <a:latin typeface="Arial"/>
              <a:cs typeface="Arial"/>
            </a:rPr>
            <a:t>sed </a:t>
          </a:r>
          <a:r>
            <a:rPr lang="en-US" sz="800" b="0" i="0" u="none" strike="noStrike" baseline="0">
              <a:solidFill>
                <a:srgbClr val="000000"/>
              </a:solidFill>
              <a:latin typeface="Arial"/>
              <a:cs typeface="Arial"/>
            </a:rPr>
            <a:t>= q*</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/((n</a:t>
          </a:r>
          <a:r>
            <a:rPr lang="en-US" sz="800" b="0" i="0" u="none" strike="noStrike" baseline="-25000">
              <a:solidFill>
                <a:srgbClr val="000000"/>
              </a:solidFill>
              <a:latin typeface="Arial"/>
              <a:cs typeface="Arial"/>
            </a:rPr>
            <a:t>sed </a:t>
          </a:r>
          <a:r>
            <a:rPr lang="en-US" sz="800" b="0" i="0" u="none" strike="noStrike" baseline="0">
              <a:solidFill>
                <a:srgbClr val="000000"/>
              </a:solidFill>
              <a:latin typeface="Arial"/>
              <a:cs typeface="Arial"/>
            </a:rPr>
            <a:t>+ ((1 - n</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)*SG*</a:t>
          </a:r>
          <a:r>
            <a:rPr lang="en-US" sz="800" b="0" i="0" u="none" strike="noStrike" baseline="0">
              <a:solidFill>
                <a:srgbClr val="000000"/>
              </a:solidFill>
              <a:latin typeface="Symbol"/>
            </a:rPr>
            <a:t>r</a:t>
          </a:r>
          <a:r>
            <a:rPr lang="en-US" sz="800" b="0" i="0" u="none" strike="noStrike" baseline="-25000">
              <a:solidFill>
                <a:srgbClr val="000000"/>
              </a:solidFill>
              <a:latin typeface="Arial"/>
              <a:cs typeface="Arial"/>
            </a:rPr>
            <a:t>w</a:t>
          </a:r>
          <a:r>
            <a:rPr lang="en-US" sz="800" b="0" i="0" u="none" strike="noStrike" baseline="0">
              <a:solidFill>
                <a:srgbClr val="000000"/>
              </a:solidFill>
              <a:latin typeface="Arial"/>
              <a:cs typeface="Arial"/>
            </a:rPr>
            <a:t>*K</a:t>
          </a:r>
          <a:r>
            <a:rPr lang="en-US" sz="800" b="0" i="0" u="none" strike="noStrike" baseline="-25000">
              <a:solidFill>
                <a:srgbClr val="000000"/>
              </a:solidFill>
              <a:latin typeface="Arial"/>
              <a:cs typeface="Arial"/>
            </a:rPr>
            <a:t>d</a:t>
          </a:r>
          <a:r>
            <a:rPr lang="en-US" sz="800" b="0" i="0" u="none" strike="noStrike" baseline="0">
              <a:solidFill>
                <a:srgbClr val="000000"/>
              </a:solidFill>
              <a:latin typeface="Arial"/>
              <a:cs typeface="Arial"/>
            </a:rPr>
            <a:t>))/((1 - n</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)*SG*</a:t>
          </a:r>
          <a:r>
            <a:rPr lang="en-US" sz="800" b="0" i="0" u="none" strike="noStrike" baseline="0">
              <a:solidFill>
                <a:srgbClr val="000000"/>
              </a:solidFill>
              <a:latin typeface="Symbol"/>
            </a:rPr>
            <a:t>r</a:t>
          </a:r>
          <a:r>
            <a:rPr lang="en-US" sz="800" b="0" i="0" u="none" strike="noStrike" baseline="-25000">
              <a:solidFill>
                <a:srgbClr val="000000"/>
              </a:solidFill>
              <a:latin typeface="Arial"/>
              <a:cs typeface="Arial"/>
            </a:rPr>
            <a:t>w</a:t>
          </a:r>
          <a:r>
            <a:rPr lang="en-US" sz="800" b="0" i="0" u="none" strike="noStrike" baseline="0">
              <a:solidFill>
                <a:srgbClr val="000000"/>
              </a:solidFill>
              <a:latin typeface="Arial"/>
              <a:cs typeface="Arial"/>
            </a:rPr>
            <a:t>*1000))</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11</xdr:col>
      <xdr:colOff>190500</xdr:colOff>
      <xdr:row>20</xdr:row>
      <xdr:rowOff>85725</xdr:rowOff>
    </xdr:from>
    <xdr:to>
      <xdr:col>11</xdr:col>
      <xdr:colOff>457200</xdr:colOff>
      <xdr:row>22</xdr:row>
      <xdr:rowOff>76200</xdr:rowOff>
    </xdr:to>
    <xdr:grpSp>
      <xdr:nvGrpSpPr>
        <xdr:cNvPr id="17260" name="Group 644">
          <a:extLst>
            <a:ext uri="{FF2B5EF4-FFF2-40B4-BE49-F238E27FC236}">
              <a16:creationId xmlns:a16="http://schemas.microsoft.com/office/drawing/2014/main" id="{00000000-0008-0000-0900-00006C430000}"/>
            </a:ext>
          </a:extLst>
        </xdr:cNvPr>
        <xdr:cNvGrpSpPr>
          <a:grpSpLocks/>
        </xdr:cNvGrpSpPr>
      </xdr:nvGrpSpPr>
      <xdr:grpSpPr bwMode="auto">
        <a:xfrm>
          <a:off x="6499860" y="3438525"/>
          <a:ext cx="266700" cy="325755"/>
          <a:chOff x="657" y="352"/>
          <a:chExt cx="28" cy="35"/>
        </a:xfrm>
      </xdr:grpSpPr>
      <xdr:sp macro="" textlink="">
        <xdr:nvSpPr>
          <xdr:cNvPr id="17438" name="Oval 463">
            <a:extLst>
              <a:ext uri="{FF2B5EF4-FFF2-40B4-BE49-F238E27FC236}">
                <a16:creationId xmlns:a16="http://schemas.microsoft.com/office/drawing/2014/main" id="{00000000-0008-0000-0900-00001E440000}"/>
              </a:ext>
            </a:extLst>
          </xdr:cNvPr>
          <xdr:cNvSpPr>
            <a:spLocks noChangeArrowheads="1"/>
          </xdr:cNvSpPr>
        </xdr:nvSpPr>
        <xdr:spPr bwMode="auto">
          <a:xfrm>
            <a:off x="657" y="356"/>
            <a:ext cx="28" cy="26"/>
          </a:xfrm>
          <a:prstGeom prst="ellipse">
            <a:avLst/>
          </a:prstGeom>
          <a:solidFill>
            <a:srgbClr val="FFFFCC"/>
          </a:solidFill>
          <a:ln w="9525">
            <a:solidFill>
              <a:srgbClr val="000000"/>
            </a:solidFill>
            <a:round/>
            <a:headEnd/>
            <a:tailEnd/>
          </a:ln>
        </xdr:spPr>
      </xdr:sp>
      <xdr:sp macro="" textlink="">
        <xdr:nvSpPr>
          <xdr:cNvPr id="16848" name="Text Box 464">
            <a:extLst>
              <a:ext uri="{FF2B5EF4-FFF2-40B4-BE49-F238E27FC236}">
                <a16:creationId xmlns:a16="http://schemas.microsoft.com/office/drawing/2014/main" id="{00000000-0008-0000-0900-0000D0410000}"/>
              </a:ext>
            </a:extLst>
          </xdr:cNvPr>
          <xdr:cNvSpPr txBox="1">
            <a:spLocks noChangeArrowheads="1"/>
          </xdr:cNvSpPr>
        </xdr:nvSpPr>
        <xdr:spPr bwMode="auto">
          <a:xfrm>
            <a:off x="658" y="352"/>
            <a:ext cx="24" cy="35"/>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4</a:t>
            </a:r>
          </a:p>
        </xdr:txBody>
      </xdr:sp>
    </xdr:grpSp>
    <xdr:clientData/>
  </xdr:twoCellAnchor>
  <xdr:twoCellAnchor>
    <xdr:from>
      <xdr:col>11</xdr:col>
      <xdr:colOff>200025</xdr:colOff>
      <xdr:row>28</xdr:row>
      <xdr:rowOff>104775</xdr:rowOff>
    </xdr:from>
    <xdr:to>
      <xdr:col>11</xdr:col>
      <xdr:colOff>447675</xdr:colOff>
      <xdr:row>30</xdr:row>
      <xdr:rowOff>38100</xdr:rowOff>
    </xdr:to>
    <xdr:grpSp>
      <xdr:nvGrpSpPr>
        <xdr:cNvPr id="17261" name="Group 481">
          <a:extLst>
            <a:ext uri="{FF2B5EF4-FFF2-40B4-BE49-F238E27FC236}">
              <a16:creationId xmlns:a16="http://schemas.microsoft.com/office/drawing/2014/main" id="{00000000-0008-0000-0900-00006D430000}"/>
            </a:ext>
          </a:extLst>
        </xdr:cNvPr>
        <xdr:cNvGrpSpPr>
          <a:grpSpLocks/>
        </xdr:cNvGrpSpPr>
      </xdr:nvGrpSpPr>
      <xdr:grpSpPr bwMode="auto">
        <a:xfrm>
          <a:off x="6509385" y="4798695"/>
          <a:ext cx="247650" cy="268605"/>
          <a:chOff x="821" y="599"/>
          <a:chExt cx="33" cy="35"/>
        </a:xfrm>
      </xdr:grpSpPr>
      <xdr:sp macro="" textlink="">
        <xdr:nvSpPr>
          <xdr:cNvPr id="17436" name="Oval 479">
            <a:extLst>
              <a:ext uri="{FF2B5EF4-FFF2-40B4-BE49-F238E27FC236}">
                <a16:creationId xmlns:a16="http://schemas.microsoft.com/office/drawing/2014/main" id="{00000000-0008-0000-0900-00001C440000}"/>
              </a:ext>
            </a:extLst>
          </xdr:cNvPr>
          <xdr:cNvSpPr>
            <a:spLocks noChangeArrowheads="1"/>
          </xdr:cNvSpPr>
        </xdr:nvSpPr>
        <xdr:spPr bwMode="auto">
          <a:xfrm>
            <a:off x="821" y="600"/>
            <a:ext cx="33" cy="34"/>
          </a:xfrm>
          <a:prstGeom prst="ellipse">
            <a:avLst/>
          </a:prstGeom>
          <a:solidFill>
            <a:srgbClr val="FFFFCC"/>
          </a:solidFill>
          <a:ln w="9525">
            <a:solidFill>
              <a:srgbClr val="000000"/>
            </a:solidFill>
            <a:round/>
            <a:headEnd/>
            <a:tailEnd/>
          </a:ln>
        </xdr:spPr>
      </xdr:sp>
      <xdr:sp macro="" textlink="">
        <xdr:nvSpPr>
          <xdr:cNvPr id="16864" name="Text Box 480">
            <a:extLst>
              <a:ext uri="{FF2B5EF4-FFF2-40B4-BE49-F238E27FC236}">
                <a16:creationId xmlns:a16="http://schemas.microsoft.com/office/drawing/2014/main" id="{00000000-0008-0000-0900-0000E0410000}"/>
              </a:ext>
            </a:extLst>
          </xdr:cNvPr>
          <xdr:cNvSpPr txBox="1">
            <a:spLocks noChangeArrowheads="1"/>
          </xdr:cNvSpPr>
        </xdr:nvSpPr>
        <xdr:spPr bwMode="auto">
          <a:xfrm>
            <a:off x="826" y="599"/>
            <a:ext cx="27" cy="35"/>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5</a:t>
            </a:r>
          </a:p>
        </xdr:txBody>
      </xdr:sp>
    </xdr:grpSp>
    <xdr:clientData/>
  </xdr:twoCellAnchor>
  <xdr:twoCellAnchor>
    <xdr:from>
      <xdr:col>8</xdr:col>
      <xdr:colOff>504825</xdr:colOff>
      <xdr:row>35</xdr:row>
      <xdr:rowOff>152400</xdr:rowOff>
    </xdr:from>
    <xdr:to>
      <xdr:col>9</xdr:col>
      <xdr:colOff>142875</xdr:colOff>
      <xdr:row>37</xdr:row>
      <xdr:rowOff>85725</xdr:rowOff>
    </xdr:to>
    <xdr:grpSp>
      <xdr:nvGrpSpPr>
        <xdr:cNvPr id="17262" name="Group 488">
          <a:extLst>
            <a:ext uri="{FF2B5EF4-FFF2-40B4-BE49-F238E27FC236}">
              <a16:creationId xmlns:a16="http://schemas.microsoft.com/office/drawing/2014/main" id="{00000000-0008-0000-0900-00006E430000}"/>
            </a:ext>
          </a:extLst>
        </xdr:cNvPr>
        <xdr:cNvGrpSpPr>
          <a:grpSpLocks/>
        </xdr:cNvGrpSpPr>
      </xdr:nvGrpSpPr>
      <xdr:grpSpPr bwMode="auto">
        <a:xfrm>
          <a:off x="4985385" y="6019800"/>
          <a:ext cx="247650" cy="268605"/>
          <a:chOff x="651" y="776"/>
          <a:chExt cx="33" cy="35"/>
        </a:xfrm>
      </xdr:grpSpPr>
      <xdr:sp macro="" textlink="">
        <xdr:nvSpPr>
          <xdr:cNvPr id="17434" name="Oval 483">
            <a:extLst>
              <a:ext uri="{FF2B5EF4-FFF2-40B4-BE49-F238E27FC236}">
                <a16:creationId xmlns:a16="http://schemas.microsoft.com/office/drawing/2014/main" id="{00000000-0008-0000-0900-00001A440000}"/>
              </a:ext>
            </a:extLst>
          </xdr:cNvPr>
          <xdr:cNvSpPr>
            <a:spLocks noChangeArrowheads="1"/>
          </xdr:cNvSpPr>
        </xdr:nvSpPr>
        <xdr:spPr bwMode="auto">
          <a:xfrm>
            <a:off x="651" y="777"/>
            <a:ext cx="33" cy="34"/>
          </a:xfrm>
          <a:prstGeom prst="ellipse">
            <a:avLst/>
          </a:prstGeom>
          <a:solidFill>
            <a:srgbClr val="FFFFCC"/>
          </a:solidFill>
          <a:ln w="9525">
            <a:solidFill>
              <a:srgbClr val="000000"/>
            </a:solidFill>
            <a:round/>
            <a:headEnd/>
            <a:tailEnd/>
          </a:ln>
        </xdr:spPr>
      </xdr:sp>
      <xdr:sp macro="" textlink="">
        <xdr:nvSpPr>
          <xdr:cNvPr id="16868" name="Text Box 484">
            <a:extLst>
              <a:ext uri="{FF2B5EF4-FFF2-40B4-BE49-F238E27FC236}">
                <a16:creationId xmlns:a16="http://schemas.microsoft.com/office/drawing/2014/main" id="{00000000-0008-0000-0900-0000E4410000}"/>
              </a:ext>
            </a:extLst>
          </xdr:cNvPr>
          <xdr:cNvSpPr txBox="1">
            <a:spLocks noChangeArrowheads="1"/>
          </xdr:cNvSpPr>
        </xdr:nvSpPr>
        <xdr:spPr bwMode="auto">
          <a:xfrm>
            <a:off x="656" y="776"/>
            <a:ext cx="27" cy="35"/>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6</a:t>
            </a:r>
          </a:p>
        </xdr:txBody>
      </xdr:sp>
    </xdr:grpSp>
    <xdr:clientData/>
  </xdr:twoCellAnchor>
  <xdr:twoCellAnchor>
    <xdr:from>
      <xdr:col>8</xdr:col>
      <xdr:colOff>504825</xdr:colOff>
      <xdr:row>43</xdr:row>
      <xdr:rowOff>104775</xdr:rowOff>
    </xdr:from>
    <xdr:to>
      <xdr:col>9</xdr:col>
      <xdr:colOff>123825</xdr:colOff>
      <xdr:row>45</xdr:row>
      <xdr:rowOff>19050</xdr:rowOff>
    </xdr:to>
    <xdr:grpSp>
      <xdr:nvGrpSpPr>
        <xdr:cNvPr id="17263" name="Group 489">
          <a:extLst>
            <a:ext uri="{FF2B5EF4-FFF2-40B4-BE49-F238E27FC236}">
              <a16:creationId xmlns:a16="http://schemas.microsoft.com/office/drawing/2014/main" id="{00000000-0008-0000-0900-00006F430000}"/>
            </a:ext>
          </a:extLst>
        </xdr:cNvPr>
        <xdr:cNvGrpSpPr>
          <a:grpSpLocks/>
        </xdr:cNvGrpSpPr>
      </xdr:nvGrpSpPr>
      <xdr:grpSpPr bwMode="auto">
        <a:xfrm>
          <a:off x="4985385" y="7313295"/>
          <a:ext cx="228600" cy="249555"/>
          <a:chOff x="642" y="997"/>
          <a:chExt cx="33" cy="35"/>
        </a:xfrm>
      </xdr:grpSpPr>
      <xdr:sp macro="" textlink="">
        <xdr:nvSpPr>
          <xdr:cNvPr id="17432" name="Oval 486">
            <a:extLst>
              <a:ext uri="{FF2B5EF4-FFF2-40B4-BE49-F238E27FC236}">
                <a16:creationId xmlns:a16="http://schemas.microsoft.com/office/drawing/2014/main" id="{00000000-0008-0000-0900-000018440000}"/>
              </a:ext>
            </a:extLst>
          </xdr:cNvPr>
          <xdr:cNvSpPr>
            <a:spLocks noChangeArrowheads="1"/>
          </xdr:cNvSpPr>
        </xdr:nvSpPr>
        <xdr:spPr bwMode="auto">
          <a:xfrm>
            <a:off x="642" y="998"/>
            <a:ext cx="33" cy="34"/>
          </a:xfrm>
          <a:prstGeom prst="ellipse">
            <a:avLst/>
          </a:prstGeom>
          <a:solidFill>
            <a:srgbClr val="FFFFCC"/>
          </a:solidFill>
          <a:ln w="9525">
            <a:solidFill>
              <a:srgbClr val="000000"/>
            </a:solidFill>
            <a:round/>
            <a:headEnd/>
            <a:tailEnd/>
          </a:ln>
        </xdr:spPr>
      </xdr:sp>
      <xdr:sp macro="" textlink="">
        <xdr:nvSpPr>
          <xdr:cNvPr id="16871" name="Text Box 487">
            <a:extLst>
              <a:ext uri="{FF2B5EF4-FFF2-40B4-BE49-F238E27FC236}">
                <a16:creationId xmlns:a16="http://schemas.microsoft.com/office/drawing/2014/main" id="{00000000-0008-0000-0900-0000E7410000}"/>
              </a:ext>
            </a:extLst>
          </xdr:cNvPr>
          <xdr:cNvSpPr txBox="1">
            <a:spLocks noChangeArrowheads="1"/>
          </xdr:cNvSpPr>
        </xdr:nvSpPr>
        <xdr:spPr bwMode="auto">
          <a:xfrm>
            <a:off x="648" y="997"/>
            <a:ext cx="26" cy="35"/>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7</a:t>
            </a:r>
          </a:p>
        </xdr:txBody>
      </xdr:sp>
    </xdr:grpSp>
    <xdr:clientData/>
  </xdr:twoCellAnchor>
  <xdr:twoCellAnchor>
    <xdr:from>
      <xdr:col>1</xdr:col>
      <xdr:colOff>38100</xdr:colOff>
      <xdr:row>76</xdr:row>
      <xdr:rowOff>152400</xdr:rowOff>
    </xdr:from>
    <xdr:to>
      <xdr:col>5</xdr:col>
      <xdr:colOff>123825</xdr:colOff>
      <xdr:row>86</xdr:row>
      <xdr:rowOff>133350</xdr:rowOff>
    </xdr:to>
    <xdr:sp macro="" textlink="">
      <xdr:nvSpPr>
        <xdr:cNvPr id="16877" name="Text Box 493">
          <a:extLst>
            <a:ext uri="{FF2B5EF4-FFF2-40B4-BE49-F238E27FC236}">
              <a16:creationId xmlns:a16="http://schemas.microsoft.com/office/drawing/2014/main" id="{00000000-0008-0000-0900-0000ED410000}"/>
            </a:ext>
          </a:extLst>
        </xdr:cNvPr>
        <xdr:cNvSpPr txBox="1">
          <a:spLocks noChangeArrowheads="1"/>
        </xdr:cNvSpPr>
      </xdr:nvSpPr>
      <xdr:spPr bwMode="auto">
        <a:xfrm>
          <a:off x="647700" y="12458700"/>
          <a:ext cx="2524125" cy="1600200"/>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For oxidized sediment, assuming the contaminant concentration in rainfall is negligible, the leachable contaminant concentration per mass solids in the runoff slurry, q*</a:t>
          </a:r>
          <a:r>
            <a:rPr lang="en-US" sz="800" b="0" i="0" u="none" strike="noStrike" baseline="30000">
              <a:solidFill>
                <a:srgbClr val="000000"/>
              </a:solidFill>
              <a:latin typeface="Arial"/>
              <a:cs typeface="Arial"/>
            </a:rPr>
            <a:t>ox</a:t>
          </a:r>
          <a:r>
            <a:rPr lang="en-US" sz="800" b="0" i="0" u="none" strike="noStrike" baseline="-25000">
              <a:solidFill>
                <a:srgbClr val="000000"/>
              </a:solidFill>
              <a:latin typeface="Arial"/>
              <a:cs typeface="Arial"/>
            </a:rPr>
            <a:t>run</a:t>
          </a:r>
          <a:r>
            <a:rPr lang="en-US" sz="800" b="0" i="0" u="none" strike="noStrike" baseline="0">
              <a:solidFill>
                <a:srgbClr val="000000"/>
              </a:solidFill>
              <a:latin typeface="Arial"/>
              <a:cs typeface="Arial"/>
            </a:rPr>
            <a:t>,  is equal to the leachable contaminant concentration from the solids in the sediment, q*</a:t>
          </a:r>
          <a:r>
            <a:rPr lang="en-US" sz="800" b="0" i="0" u="none" strike="noStrike" baseline="30000">
              <a:solidFill>
                <a:srgbClr val="000000"/>
              </a:solidFill>
              <a:latin typeface="Arial"/>
              <a:cs typeface="Arial"/>
            </a:rPr>
            <a:t>ox</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 based on measured bulk sediment concentration and the leachable fraction.</a:t>
          </a:r>
        </a:p>
        <a:p>
          <a:pPr algn="l" rtl="0">
            <a:defRPr sz="1000"/>
          </a:pPr>
          <a:r>
            <a:rPr lang="en-US" sz="800" b="0" i="0" u="none" strike="noStrike" baseline="0">
              <a:solidFill>
                <a:srgbClr val="000000"/>
              </a:solidFill>
              <a:latin typeface="Arial"/>
              <a:cs typeface="Arial"/>
            </a:rPr>
            <a:t>                </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r>
            <a:rPr lang="en-US" sz="800" b="0" i="0" u="none" strike="noStrike" baseline="0">
              <a:solidFill>
                <a:srgbClr val="000000"/>
              </a:solidFill>
              <a:latin typeface="Arial"/>
              <a:cs typeface="Arial"/>
            </a:rPr>
            <a:t>q*</a:t>
          </a:r>
          <a:r>
            <a:rPr lang="en-US" sz="800" b="0" i="0" u="none" strike="noStrike" baseline="30000">
              <a:solidFill>
                <a:srgbClr val="000000"/>
              </a:solidFill>
              <a:latin typeface="Arial"/>
              <a:cs typeface="Arial"/>
            </a:rPr>
            <a:t>ox</a:t>
          </a:r>
          <a:r>
            <a:rPr lang="en-US" sz="800" b="0" i="0" u="none" strike="noStrike" baseline="-25000">
              <a:solidFill>
                <a:srgbClr val="000000"/>
              </a:solidFill>
              <a:latin typeface="Arial"/>
              <a:cs typeface="Arial"/>
            </a:rPr>
            <a:t>run</a:t>
          </a:r>
          <a:r>
            <a:rPr lang="en-US" sz="800" b="0" i="0" u="none" strike="noStrike" baseline="0">
              <a:solidFill>
                <a:srgbClr val="000000"/>
              </a:solidFill>
              <a:latin typeface="Arial"/>
              <a:cs typeface="Arial"/>
            </a:rPr>
            <a:t> = q*</a:t>
          </a:r>
          <a:r>
            <a:rPr lang="en-US" sz="800" b="0" i="0" u="none" strike="noStrike" baseline="30000">
              <a:solidFill>
                <a:srgbClr val="000000"/>
              </a:solidFill>
              <a:latin typeface="Arial"/>
              <a:cs typeface="Arial"/>
            </a:rPr>
            <a:t>ox</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 = (q * LF</a:t>
          </a:r>
          <a:r>
            <a:rPr lang="en-US" sz="800" b="0" i="0" u="none" strike="noStrike" baseline="30000">
              <a:solidFill>
                <a:srgbClr val="000000"/>
              </a:solidFill>
              <a:latin typeface="Arial"/>
              <a:cs typeface="Arial"/>
            </a:rPr>
            <a:t>ox</a:t>
          </a:r>
          <a:r>
            <a:rPr lang="en-US" sz="800" b="0" i="0" u="none" strike="noStrike" baseline="0">
              <a:solidFill>
                <a:srgbClr val="000000"/>
              </a:solidFill>
              <a:latin typeface="Arial"/>
              <a:cs typeface="Arial"/>
            </a:rPr>
            <a:t>)/(CF</a:t>
          </a:r>
          <a:r>
            <a:rPr lang="en-US" sz="800" b="0" i="0" u="none" strike="noStrike" baseline="-25000">
              <a:solidFill>
                <a:srgbClr val="000000"/>
              </a:solidFill>
              <a:latin typeface="Arial"/>
              <a:cs typeface="Arial"/>
            </a:rPr>
            <a:t>eff</a:t>
          </a:r>
          <a:r>
            <a:rPr lang="en-US" sz="800" b="0" i="0" u="none" strike="noStrike" baseline="0">
              <a:solidFill>
                <a:srgbClr val="000000"/>
              </a:solidFill>
              <a:latin typeface="Arial"/>
              <a:cs typeface="Arial"/>
            </a:rPr>
            <a:t>/100)</a:t>
          </a:r>
        </a:p>
      </xdr:txBody>
    </xdr:sp>
    <xdr:clientData/>
  </xdr:twoCellAnchor>
  <xdr:twoCellAnchor>
    <xdr:from>
      <xdr:col>5</xdr:col>
      <xdr:colOff>533400</xdr:colOff>
      <xdr:row>77</xdr:row>
      <xdr:rowOff>0</xdr:rowOff>
    </xdr:from>
    <xdr:to>
      <xdr:col>10</xdr:col>
      <xdr:colOff>171450</xdr:colOff>
      <xdr:row>86</xdr:row>
      <xdr:rowOff>133350</xdr:rowOff>
    </xdr:to>
    <xdr:sp macro="" textlink="">
      <xdr:nvSpPr>
        <xdr:cNvPr id="16878" name="Text Box 494">
          <a:extLst>
            <a:ext uri="{FF2B5EF4-FFF2-40B4-BE49-F238E27FC236}">
              <a16:creationId xmlns:a16="http://schemas.microsoft.com/office/drawing/2014/main" id="{00000000-0008-0000-0900-0000EE410000}"/>
            </a:ext>
          </a:extLst>
        </xdr:cNvPr>
        <xdr:cNvSpPr txBox="1">
          <a:spLocks noChangeArrowheads="1"/>
        </xdr:cNvSpPr>
      </xdr:nvSpPr>
      <xdr:spPr bwMode="auto">
        <a:xfrm>
          <a:off x="3257550" y="12468225"/>
          <a:ext cx="2609850" cy="1590675"/>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For unoxidized sediment, assuming the contaminant concentration in rainfall is negligible, the leachable contaminant concentration per mass solids in the runoff slurry, q*</a:t>
          </a:r>
          <a:r>
            <a:rPr lang="en-US" sz="800" b="0" i="0" u="none" strike="noStrike" baseline="30000">
              <a:solidFill>
                <a:srgbClr val="000000"/>
              </a:solidFill>
              <a:latin typeface="Arial"/>
              <a:cs typeface="Arial"/>
            </a:rPr>
            <a:t>unox</a:t>
          </a:r>
          <a:r>
            <a:rPr lang="en-US" sz="800" b="0" i="0" u="none" strike="noStrike" baseline="-25000">
              <a:solidFill>
                <a:srgbClr val="000000"/>
              </a:solidFill>
              <a:latin typeface="Arial"/>
              <a:cs typeface="Arial"/>
            </a:rPr>
            <a:t>run</a:t>
          </a:r>
          <a:r>
            <a:rPr lang="en-US" sz="800" b="0" i="0" u="none" strike="noStrike" baseline="0">
              <a:solidFill>
                <a:srgbClr val="000000"/>
              </a:solidFill>
              <a:latin typeface="Arial"/>
              <a:cs typeface="Arial"/>
            </a:rPr>
            <a:t>,  is equal to the leachable contaminant concentration from the solids in the sediment, q*</a:t>
          </a:r>
          <a:r>
            <a:rPr lang="en-US" sz="800" b="0" i="0" u="none" strike="noStrike" baseline="30000">
              <a:solidFill>
                <a:srgbClr val="000000"/>
              </a:solidFill>
              <a:latin typeface="Arial"/>
              <a:cs typeface="Arial"/>
            </a:rPr>
            <a:t>unox</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 based on measured bulk sediment concentration and the leachable fraction.         </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r>
            <a:rPr lang="en-US" sz="800" b="0" i="0" u="none" strike="noStrike" baseline="0">
              <a:solidFill>
                <a:srgbClr val="000000"/>
              </a:solidFill>
              <a:latin typeface="Arial"/>
              <a:cs typeface="Arial"/>
            </a:rPr>
            <a:t>q*</a:t>
          </a:r>
          <a:r>
            <a:rPr lang="en-US" sz="800" b="0" i="0" u="none" strike="noStrike" baseline="30000">
              <a:solidFill>
                <a:srgbClr val="000000"/>
              </a:solidFill>
              <a:latin typeface="Arial"/>
              <a:cs typeface="Arial"/>
            </a:rPr>
            <a:t>unox</a:t>
          </a:r>
          <a:r>
            <a:rPr lang="en-US" sz="800" b="0" i="0" u="none" strike="noStrike" baseline="-25000">
              <a:solidFill>
                <a:srgbClr val="000000"/>
              </a:solidFill>
              <a:latin typeface="Arial"/>
              <a:cs typeface="Arial"/>
            </a:rPr>
            <a:t>run</a:t>
          </a:r>
          <a:r>
            <a:rPr lang="en-US" sz="800" b="0" i="0" u="none" strike="noStrike" baseline="0">
              <a:solidFill>
                <a:srgbClr val="000000"/>
              </a:solidFill>
              <a:latin typeface="Arial"/>
              <a:cs typeface="Arial"/>
            </a:rPr>
            <a:t> = q*</a:t>
          </a:r>
          <a:r>
            <a:rPr lang="en-US" sz="800" b="0" i="0" u="none" strike="noStrike" baseline="30000">
              <a:solidFill>
                <a:srgbClr val="000000"/>
              </a:solidFill>
              <a:latin typeface="Arial"/>
              <a:cs typeface="Arial"/>
            </a:rPr>
            <a:t>unox</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 =(q * LF</a:t>
          </a:r>
          <a:r>
            <a:rPr lang="en-US" sz="800" b="0" i="0" u="none" strike="noStrike" baseline="30000">
              <a:solidFill>
                <a:srgbClr val="000000"/>
              </a:solidFill>
              <a:latin typeface="Arial"/>
              <a:cs typeface="Arial"/>
            </a:rPr>
            <a:t>unox</a:t>
          </a:r>
          <a:r>
            <a:rPr lang="en-US" sz="800" b="0" i="0" u="none" strike="noStrike" baseline="0">
              <a:solidFill>
                <a:srgbClr val="000000"/>
              </a:solidFill>
              <a:latin typeface="Arial"/>
              <a:cs typeface="Arial"/>
            </a:rPr>
            <a:t>)/(CF</a:t>
          </a:r>
          <a:r>
            <a:rPr lang="en-US" sz="800" b="0" i="0" u="none" strike="noStrike" baseline="-25000">
              <a:solidFill>
                <a:srgbClr val="000000"/>
              </a:solidFill>
              <a:latin typeface="Arial"/>
              <a:cs typeface="Arial"/>
            </a:rPr>
            <a:t>eff</a:t>
          </a:r>
          <a:r>
            <a:rPr lang="en-US" sz="800" b="0" i="0" u="none" strike="noStrike" baseline="0">
              <a:solidFill>
                <a:srgbClr val="000000"/>
              </a:solidFill>
              <a:latin typeface="Arial"/>
              <a:cs typeface="Arial"/>
            </a:rPr>
            <a:t>/100)</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95250</xdr:colOff>
      <xdr:row>77</xdr:row>
      <xdr:rowOff>28575</xdr:rowOff>
    </xdr:from>
    <xdr:to>
      <xdr:col>1</xdr:col>
      <xdr:colOff>342900</xdr:colOff>
      <xdr:row>78</xdr:row>
      <xdr:rowOff>123825</xdr:rowOff>
    </xdr:to>
    <xdr:grpSp>
      <xdr:nvGrpSpPr>
        <xdr:cNvPr id="17266" name="Group 516">
          <a:extLst>
            <a:ext uri="{FF2B5EF4-FFF2-40B4-BE49-F238E27FC236}">
              <a16:creationId xmlns:a16="http://schemas.microsoft.com/office/drawing/2014/main" id="{00000000-0008-0000-0900-000072430000}"/>
            </a:ext>
          </a:extLst>
        </xdr:cNvPr>
        <xdr:cNvGrpSpPr>
          <a:grpSpLocks/>
        </xdr:cNvGrpSpPr>
      </xdr:nvGrpSpPr>
      <xdr:grpSpPr bwMode="auto">
        <a:xfrm>
          <a:off x="704850" y="12936855"/>
          <a:ext cx="247650" cy="262890"/>
          <a:chOff x="109" y="1984"/>
          <a:chExt cx="32" cy="35"/>
        </a:xfrm>
      </xdr:grpSpPr>
      <xdr:sp macro="" textlink="">
        <xdr:nvSpPr>
          <xdr:cNvPr id="17430" name="Oval 500">
            <a:extLst>
              <a:ext uri="{FF2B5EF4-FFF2-40B4-BE49-F238E27FC236}">
                <a16:creationId xmlns:a16="http://schemas.microsoft.com/office/drawing/2014/main" id="{00000000-0008-0000-0900-000016440000}"/>
              </a:ext>
            </a:extLst>
          </xdr:cNvPr>
          <xdr:cNvSpPr>
            <a:spLocks noChangeArrowheads="1"/>
          </xdr:cNvSpPr>
        </xdr:nvSpPr>
        <xdr:spPr bwMode="auto">
          <a:xfrm>
            <a:off x="109" y="1985"/>
            <a:ext cx="32" cy="34"/>
          </a:xfrm>
          <a:prstGeom prst="ellipse">
            <a:avLst/>
          </a:prstGeom>
          <a:solidFill>
            <a:srgbClr val="FFFFCC"/>
          </a:solidFill>
          <a:ln w="9525">
            <a:solidFill>
              <a:srgbClr val="000000"/>
            </a:solidFill>
            <a:round/>
            <a:headEnd/>
            <a:tailEnd/>
          </a:ln>
        </xdr:spPr>
      </xdr:sp>
      <xdr:sp macro="" textlink="">
        <xdr:nvSpPr>
          <xdr:cNvPr id="16885" name="Text Box 501">
            <a:extLst>
              <a:ext uri="{FF2B5EF4-FFF2-40B4-BE49-F238E27FC236}">
                <a16:creationId xmlns:a16="http://schemas.microsoft.com/office/drawing/2014/main" id="{00000000-0008-0000-0900-0000F5410000}"/>
              </a:ext>
            </a:extLst>
          </xdr:cNvPr>
          <xdr:cNvSpPr txBox="1">
            <a:spLocks noChangeArrowheads="1"/>
          </xdr:cNvSpPr>
        </xdr:nvSpPr>
        <xdr:spPr bwMode="auto">
          <a:xfrm>
            <a:off x="114" y="1984"/>
            <a:ext cx="22" cy="35"/>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1a</a:t>
            </a:r>
          </a:p>
        </xdr:txBody>
      </xdr:sp>
    </xdr:grpSp>
    <xdr:clientData/>
  </xdr:twoCellAnchor>
  <xdr:twoCellAnchor>
    <xdr:from>
      <xdr:col>6</xdr:col>
      <xdr:colOff>47625</xdr:colOff>
      <xdr:row>77</xdr:row>
      <xdr:rowOff>28575</xdr:rowOff>
    </xdr:from>
    <xdr:to>
      <xdr:col>6</xdr:col>
      <xdr:colOff>342900</xdr:colOff>
      <xdr:row>79</xdr:row>
      <xdr:rowOff>0</xdr:rowOff>
    </xdr:to>
    <xdr:grpSp>
      <xdr:nvGrpSpPr>
        <xdr:cNvPr id="17267" name="Group 513">
          <a:extLst>
            <a:ext uri="{FF2B5EF4-FFF2-40B4-BE49-F238E27FC236}">
              <a16:creationId xmlns:a16="http://schemas.microsoft.com/office/drawing/2014/main" id="{00000000-0008-0000-0900-000073430000}"/>
            </a:ext>
          </a:extLst>
        </xdr:cNvPr>
        <xdr:cNvGrpSpPr>
          <a:grpSpLocks/>
        </xdr:cNvGrpSpPr>
      </xdr:nvGrpSpPr>
      <xdr:grpSpPr bwMode="auto">
        <a:xfrm>
          <a:off x="3308985" y="12936855"/>
          <a:ext cx="295275" cy="306705"/>
          <a:chOff x="494" y="1984"/>
          <a:chExt cx="32" cy="35"/>
        </a:xfrm>
      </xdr:grpSpPr>
      <xdr:sp macro="" textlink="">
        <xdr:nvSpPr>
          <xdr:cNvPr id="17428" name="Oval 503">
            <a:extLst>
              <a:ext uri="{FF2B5EF4-FFF2-40B4-BE49-F238E27FC236}">
                <a16:creationId xmlns:a16="http://schemas.microsoft.com/office/drawing/2014/main" id="{00000000-0008-0000-0900-000014440000}"/>
              </a:ext>
            </a:extLst>
          </xdr:cNvPr>
          <xdr:cNvSpPr>
            <a:spLocks noChangeArrowheads="1"/>
          </xdr:cNvSpPr>
        </xdr:nvSpPr>
        <xdr:spPr bwMode="auto">
          <a:xfrm>
            <a:off x="494" y="1985"/>
            <a:ext cx="32" cy="34"/>
          </a:xfrm>
          <a:prstGeom prst="ellipse">
            <a:avLst/>
          </a:prstGeom>
          <a:solidFill>
            <a:srgbClr val="FFFFCC"/>
          </a:solidFill>
          <a:ln w="9525">
            <a:solidFill>
              <a:srgbClr val="000000"/>
            </a:solidFill>
            <a:round/>
            <a:headEnd/>
            <a:tailEnd/>
          </a:ln>
        </xdr:spPr>
      </xdr:sp>
      <xdr:sp macro="" textlink="">
        <xdr:nvSpPr>
          <xdr:cNvPr id="16888" name="Text Box 504">
            <a:extLst>
              <a:ext uri="{FF2B5EF4-FFF2-40B4-BE49-F238E27FC236}">
                <a16:creationId xmlns:a16="http://schemas.microsoft.com/office/drawing/2014/main" id="{00000000-0008-0000-0900-0000F8410000}"/>
              </a:ext>
            </a:extLst>
          </xdr:cNvPr>
          <xdr:cNvSpPr txBox="1">
            <a:spLocks noChangeArrowheads="1"/>
          </xdr:cNvSpPr>
        </xdr:nvSpPr>
        <xdr:spPr bwMode="auto">
          <a:xfrm>
            <a:off x="499" y="1984"/>
            <a:ext cx="22" cy="35"/>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1b</a:t>
            </a:r>
          </a:p>
        </xdr:txBody>
      </xdr:sp>
    </xdr:grpSp>
    <xdr:clientData/>
  </xdr:twoCellAnchor>
  <xdr:twoCellAnchor>
    <xdr:from>
      <xdr:col>1</xdr:col>
      <xdr:colOff>133350</xdr:colOff>
      <xdr:row>88</xdr:row>
      <xdr:rowOff>57150</xdr:rowOff>
    </xdr:from>
    <xdr:to>
      <xdr:col>5</xdr:col>
      <xdr:colOff>28575</xdr:colOff>
      <xdr:row>95</xdr:row>
      <xdr:rowOff>9525</xdr:rowOff>
    </xdr:to>
    <xdr:sp macro="" textlink="">
      <xdr:nvSpPr>
        <xdr:cNvPr id="16889" name="Text Box 505">
          <a:extLst>
            <a:ext uri="{FF2B5EF4-FFF2-40B4-BE49-F238E27FC236}">
              <a16:creationId xmlns:a16="http://schemas.microsoft.com/office/drawing/2014/main" id="{00000000-0008-0000-0900-0000F9410000}"/>
            </a:ext>
          </a:extLst>
        </xdr:cNvPr>
        <xdr:cNvSpPr txBox="1">
          <a:spLocks noChangeArrowheads="1"/>
        </xdr:cNvSpPr>
      </xdr:nvSpPr>
      <xdr:spPr bwMode="auto">
        <a:xfrm>
          <a:off x="742950" y="14306550"/>
          <a:ext cx="2333625" cy="1085850"/>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Calculate the dissolved contaminant concentration at the weir, C</a:t>
          </a:r>
          <a:r>
            <a:rPr lang="en-US" sz="800" b="0" i="0" u="none" strike="noStrike" baseline="-25000">
              <a:solidFill>
                <a:srgbClr val="000000"/>
              </a:solidFill>
              <a:latin typeface="Arial"/>
              <a:cs typeface="Arial"/>
            </a:rPr>
            <a:t>run</a:t>
          </a:r>
          <a:r>
            <a:rPr lang="en-US" sz="800" b="0" i="0" u="none" strike="noStrike" baseline="30000">
              <a:solidFill>
                <a:srgbClr val="000000"/>
              </a:solidFill>
              <a:latin typeface="Arial"/>
              <a:cs typeface="Arial"/>
            </a:rPr>
            <a:t>ox</a:t>
          </a:r>
          <a:r>
            <a:rPr lang="en-US" sz="800" b="0" i="0" u="none" strike="noStrike" baseline="0">
              <a:solidFill>
                <a:srgbClr val="000000"/>
              </a:solidFill>
              <a:latin typeface="Arial"/>
              <a:cs typeface="Arial"/>
            </a:rPr>
            <a: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r>
            <a:rPr lang="en-US" sz="800" b="0" i="0" u="none" strike="noStrike" baseline="0">
              <a:solidFill>
                <a:srgbClr val="000000"/>
              </a:solidFill>
              <a:latin typeface="Arial"/>
              <a:cs typeface="Arial"/>
            </a:rPr>
            <a:t>C</a:t>
          </a:r>
          <a:r>
            <a:rPr lang="en-US" sz="800" b="0" i="0" u="none" strike="noStrike" baseline="-25000">
              <a:solidFill>
                <a:srgbClr val="000000"/>
              </a:solidFill>
              <a:latin typeface="Arial"/>
              <a:cs typeface="Arial"/>
            </a:rPr>
            <a:t>run</a:t>
          </a:r>
          <a:r>
            <a:rPr lang="en-US" sz="800" b="0" i="0" u="none" strike="noStrike" baseline="30000">
              <a:solidFill>
                <a:srgbClr val="000000"/>
              </a:solidFill>
              <a:latin typeface="Arial"/>
              <a:cs typeface="Arial"/>
            </a:rPr>
            <a:t>ox</a:t>
          </a:r>
          <a:r>
            <a:rPr lang="en-US" sz="800" b="0" i="0" u="none" strike="noStrike" baseline="0">
              <a:solidFill>
                <a:srgbClr val="000000"/>
              </a:solidFill>
              <a:latin typeface="Arial"/>
              <a:cs typeface="Arial"/>
            </a:rPr>
            <a:t> = q*</a:t>
          </a:r>
          <a:r>
            <a:rPr lang="en-US" sz="800" b="0" i="0" u="none" strike="noStrike" baseline="30000">
              <a:solidFill>
                <a:srgbClr val="000000"/>
              </a:solidFill>
              <a:latin typeface="Arial"/>
              <a:cs typeface="Arial"/>
            </a:rPr>
            <a:t>ox</a:t>
          </a:r>
          <a:r>
            <a:rPr lang="en-US" sz="800" b="0" i="0" u="none" strike="noStrike" baseline="-25000">
              <a:solidFill>
                <a:srgbClr val="000000"/>
              </a:solidFill>
              <a:latin typeface="Arial"/>
              <a:cs typeface="Arial"/>
            </a:rPr>
            <a:t>run</a:t>
          </a:r>
          <a:r>
            <a:rPr lang="en-US" sz="800" b="0" i="0" u="none" strike="noStrike" baseline="0">
              <a:solidFill>
                <a:srgbClr val="000000"/>
              </a:solidFill>
              <a:latin typeface="Arial"/>
              <a:cs typeface="Arial"/>
            </a:rPr>
            <a:t>/((n</a:t>
          </a:r>
          <a:r>
            <a:rPr lang="en-US" sz="800" b="0" i="0" u="none" strike="noStrike" baseline="-25000">
              <a:solidFill>
                <a:srgbClr val="000000"/>
              </a:solidFill>
              <a:latin typeface="Arial"/>
              <a:cs typeface="Arial"/>
            </a:rPr>
            <a:t>run</a:t>
          </a:r>
          <a:r>
            <a:rPr lang="en-US" sz="800" b="0" i="0" u="none" strike="noStrike" baseline="30000">
              <a:solidFill>
                <a:srgbClr val="000000"/>
              </a:solidFill>
              <a:latin typeface="Arial"/>
              <a:cs typeface="Arial"/>
            </a:rPr>
            <a:t>ox </a:t>
          </a:r>
          <a:r>
            <a:rPr lang="en-US" sz="800" b="0" i="0" u="none" strike="noStrike" baseline="0">
              <a:solidFill>
                <a:srgbClr val="000000"/>
              </a:solidFill>
              <a:latin typeface="Arial"/>
              <a:cs typeface="Arial"/>
            </a:rPr>
            <a:t>+ ((1  -n</a:t>
          </a:r>
          <a:r>
            <a:rPr lang="en-US" sz="800" b="0" i="0" u="none" strike="noStrike" baseline="-25000">
              <a:solidFill>
                <a:srgbClr val="000000"/>
              </a:solidFill>
              <a:latin typeface="Arial"/>
              <a:cs typeface="Arial"/>
            </a:rPr>
            <a:t>run</a:t>
          </a:r>
          <a:r>
            <a:rPr lang="en-US" sz="800" b="0" i="0" u="none" strike="noStrike" baseline="30000">
              <a:solidFill>
                <a:srgbClr val="000000"/>
              </a:solidFill>
              <a:latin typeface="Arial"/>
              <a:cs typeface="Arial"/>
            </a:rPr>
            <a:t>ox</a:t>
          </a:r>
          <a:r>
            <a:rPr lang="en-US" sz="800" b="0" i="0" u="none" strike="noStrike" baseline="0">
              <a:solidFill>
                <a:srgbClr val="000000"/>
              </a:solidFill>
              <a:latin typeface="Arial"/>
              <a:cs typeface="Arial"/>
            </a:rPr>
            <a:t>) </a:t>
          </a:r>
          <a:r>
            <a:rPr lang="en-US" sz="1000" b="0" i="0" u="none" strike="noStrike" baseline="0">
              <a:solidFill>
                <a:srgbClr val="000000"/>
              </a:solidFill>
              <a:latin typeface="Arial"/>
              <a:cs typeface="Arial"/>
            </a:rPr>
            <a:t>     </a:t>
          </a:r>
          <a:r>
            <a:rPr lang="en-US" sz="800" b="0" i="0" u="none" strike="noStrike" baseline="0">
              <a:solidFill>
                <a:srgbClr val="000000"/>
              </a:solidFill>
              <a:latin typeface="Arial"/>
              <a:cs typeface="Arial"/>
            </a:rPr>
            <a:t>*SG*</a:t>
          </a:r>
          <a:r>
            <a:rPr lang="en-US" sz="1000" b="0" i="0" u="none" strike="noStrike" baseline="0">
              <a:solidFill>
                <a:srgbClr val="000000"/>
              </a:solidFill>
              <a:latin typeface="Symbol"/>
            </a:rPr>
            <a:t>r</a:t>
          </a:r>
          <a:r>
            <a:rPr lang="en-US" sz="800" b="0" i="0" u="none" strike="noStrike" baseline="-25000">
              <a:solidFill>
                <a:srgbClr val="000000"/>
              </a:solidFill>
              <a:latin typeface="Arial"/>
              <a:cs typeface="Arial"/>
            </a:rPr>
            <a:t>w</a:t>
          </a:r>
          <a:r>
            <a:rPr lang="en-US" sz="800" b="0" i="0" u="none" strike="noStrike" baseline="0">
              <a:solidFill>
                <a:srgbClr val="000000"/>
              </a:solidFill>
              <a:latin typeface="Arial"/>
              <a:cs typeface="Arial"/>
            </a:rPr>
            <a:t>*K</a:t>
          </a:r>
          <a:r>
            <a:rPr lang="en-US" sz="800" b="0" i="0" u="none" strike="noStrike" baseline="-25000">
              <a:solidFill>
                <a:srgbClr val="000000"/>
              </a:solidFill>
              <a:latin typeface="Arial"/>
              <a:cs typeface="Arial"/>
            </a:rPr>
            <a:t>d</a:t>
          </a:r>
          <a:r>
            <a:rPr lang="en-US" sz="800" b="0" i="0" u="none" strike="noStrike" baseline="30000">
              <a:solidFill>
                <a:srgbClr val="000000"/>
              </a:solidFill>
              <a:latin typeface="Arial"/>
              <a:cs typeface="Arial"/>
            </a:rPr>
            <a:t>ox</a:t>
          </a:r>
          <a:r>
            <a:rPr lang="en-US" sz="800" b="0" i="0" u="none" strike="noStrike" baseline="0">
              <a:solidFill>
                <a:srgbClr val="000000"/>
              </a:solidFill>
              <a:latin typeface="Arial"/>
              <a:cs typeface="Arial"/>
            </a:rPr>
            <a:t>))/((1 - n</a:t>
          </a:r>
          <a:r>
            <a:rPr lang="en-US" sz="800" b="0" i="0" u="none" strike="noStrike" baseline="-25000">
              <a:solidFill>
                <a:srgbClr val="000000"/>
              </a:solidFill>
              <a:latin typeface="Arial"/>
              <a:cs typeface="Arial"/>
            </a:rPr>
            <a:t>run</a:t>
          </a:r>
          <a:r>
            <a:rPr lang="en-US" sz="800" b="0" i="0" u="none" strike="noStrike" baseline="30000">
              <a:solidFill>
                <a:srgbClr val="000000"/>
              </a:solidFill>
              <a:latin typeface="Arial"/>
              <a:cs typeface="Arial"/>
            </a:rPr>
            <a:t>ox</a:t>
          </a:r>
          <a:r>
            <a:rPr lang="en-US" sz="800" b="0" i="0" u="none" strike="noStrike" baseline="0">
              <a:solidFill>
                <a:srgbClr val="000000"/>
              </a:solidFill>
              <a:latin typeface="Arial"/>
              <a:cs typeface="Arial"/>
            </a:rPr>
            <a:t>)*SG*</a:t>
          </a:r>
          <a:r>
            <a:rPr lang="en-US" sz="1000" b="0" i="0" u="none" strike="noStrike" baseline="0">
              <a:solidFill>
                <a:srgbClr val="000000"/>
              </a:solidFill>
              <a:latin typeface="Symbol"/>
            </a:rPr>
            <a:t>r</a:t>
          </a:r>
          <a:r>
            <a:rPr lang="en-US" sz="800" b="0" i="0" u="none" strike="noStrike" baseline="-25000">
              <a:solidFill>
                <a:srgbClr val="000000"/>
              </a:solidFill>
              <a:latin typeface="Arial"/>
              <a:cs typeface="Arial"/>
            </a:rPr>
            <a:t>w</a:t>
          </a:r>
          <a:r>
            <a:rPr lang="en-US" sz="800" b="0" i="0" u="none" strike="noStrike" baseline="0">
              <a:solidFill>
                <a:srgbClr val="000000"/>
              </a:solidFill>
              <a:latin typeface="Arial"/>
              <a:cs typeface="Arial"/>
            </a:rPr>
            <a:t>*1000))</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6</xdr:col>
      <xdr:colOff>28575</xdr:colOff>
      <xdr:row>88</xdr:row>
      <xdr:rowOff>47625</xdr:rowOff>
    </xdr:from>
    <xdr:to>
      <xdr:col>10</xdr:col>
      <xdr:colOff>66675</xdr:colOff>
      <xdr:row>95</xdr:row>
      <xdr:rowOff>0</xdr:rowOff>
    </xdr:to>
    <xdr:sp macro="" textlink="">
      <xdr:nvSpPr>
        <xdr:cNvPr id="16890" name="Text Box 506">
          <a:extLst>
            <a:ext uri="{FF2B5EF4-FFF2-40B4-BE49-F238E27FC236}">
              <a16:creationId xmlns:a16="http://schemas.microsoft.com/office/drawing/2014/main" id="{00000000-0008-0000-0900-0000FA410000}"/>
            </a:ext>
          </a:extLst>
        </xdr:cNvPr>
        <xdr:cNvSpPr txBox="1">
          <a:spLocks noChangeArrowheads="1"/>
        </xdr:cNvSpPr>
      </xdr:nvSpPr>
      <xdr:spPr bwMode="auto">
        <a:xfrm>
          <a:off x="3286125" y="14297025"/>
          <a:ext cx="2476500" cy="1085850"/>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Calculate the dissolved contaminant concentration at the weir, C</a:t>
          </a:r>
          <a:r>
            <a:rPr lang="en-US" sz="800" b="0" i="0" u="none" strike="noStrike" baseline="-25000">
              <a:solidFill>
                <a:srgbClr val="000000"/>
              </a:solidFill>
              <a:latin typeface="Arial"/>
              <a:cs typeface="Arial"/>
            </a:rPr>
            <a:t>run</a:t>
          </a:r>
          <a:r>
            <a:rPr lang="en-US" sz="800" b="0" i="0" u="none" strike="noStrike" baseline="30000">
              <a:solidFill>
                <a:srgbClr val="000000"/>
              </a:solidFill>
              <a:latin typeface="Arial"/>
              <a:cs typeface="Arial"/>
            </a:rPr>
            <a:t>unox</a:t>
          </a:r>
          <a:r>
            <a:rPr lang="en-US" sz="800" b="0" i="0" u="none" strike="noStrike" baseline="0">
              <a:solidFill>
                <a:srgbClr val="000000"/>
              </a:solidFill>
              <a:latin typeface="Arial"/>
              <a:cs typeface="Arial"/>
            </a:rPr>
            <a: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r>
            <a:rPr lang="en-US" sz="800" b="0" i="0" u="none" strike="noStrike" baseline="0">
              <a:solidFill>
                <a:srgbClr val="000000"/>
              </a:solidFill>
              <a:latin typeface="Arial"/>
              <a:cs typeface="Arial"/>
            </a:rPr>
            <a:t>C</a:t>
          </a:r>
          <a:r>
            <a:rPr lang="en-US" sz="800" b="0" i="0" u="none" strike="noStrike" baseline="-25000">
              <a:solidFill>
                <a:srgbClr val="000000"/>
              </a:solidFill>
              <a:latin typeface="Arial"/>
              <a:cs typeface="Arial"/>
            </a:rPr>
            <a:t>run</a:t>
          </a:r>
          <a:r>
            <a:rPr lang="en-US" sz="800" b="0" i="0" u="none" strike="noStrike" baseline="30000">
              <a:solidFill>
                <a:srgbClr val="000000"/>
              </a:solidFill>
              <a:latin typeface="Arial"/>
              <a:cs typeface="Arial"/>
            </a:rPr>
            <a:t>unox</a:t>
          </a:r>
          <a:r>
            <a:rPr lang="en-US" sz="800" b="0" i="0" u="none" strike="noStrike" baseline="0">
              <a:solidFill>
                <a:srgbClr val="000000"/>
              </a:solidFill>
              <a:latin typeface="Arial"/>
              <a:cs typeface="Arial"/>
            </a:rPr>
            <a:t> = q*</a:t>
          </a:r>
          <a:r>
            <a:rPr lang="en-US" sz="800" b="0" i="0" u="none" strike="noStrike" baseline="30000">
              <a:solidFill>
                <a:srgbClr val="000000"/>
              </a:solidFill>
              <a:latin typeface="Arial"/>
              <a:cs typeface="Arial"/>
            </a:rPr>
            <a:t>unox</a:t>
          </a:r>
          <a:r>
            <a:rPr lang="en-US" sz="800" b="0" i="0" u="none" strike="noStrike" baseline="-25000">
              <a:solidFill>
                <a:srgbClr val="000000"/>
              </a:solidFill>
              <a:latin typeface="Arial"/>
              <a:cs typeface="Arial"/>
            </a:rPr>
            <a:t>run</a:t>
          </a:r>
          <a:r>
            <a:rPr lang="en-US" sz="800" b="0" i="0" u="none" strike="noStrike" baseline="0">
              <a:solidFill>
                <a:srgbClr val="000000"/>
              </a:solidFill>
              <a:latin typeface="Arial"/>
              <a:cs typeface="Arial"/>
            </a:rPr>
            <a:t>/((n</a:t>
          </a:r>
          <a:r>
            <a:rPr lang="en-US" sz="800" b="0" i="0" u="none" strike="noStrike" baseline="-25000">
              <a:solidFill>
                <a:srgbClr val="000000"/>
              </a:solidFill>
              <a:latin typeface="Arial"/>
              <a:cs typeface="Arial"/>
            </a:rPr>
            <a:t>run</a:t>
          </a:r>
          <a:r>
            <a:rPr lang="en-US" sz="800" b="0" i="0" u="none" strike="noStrike" baseline="30000">
              <a:solidFill>
                <a:srgbClr val="000000"/>
              </a:solidFill>
              <a:latin typeface="Arial"/>
              <a:cs typeface="Arial"/>
            </a:rPr>
            <a:t>unox</a:t>
          </a:r>
          <a:r>
            <a:rPr lang="en-US" sz="800" b="0" i="0" u="none" strike="noStrike" baseline="0">
              <a:solidFill>
                <a:srgbClr val="000000"/>
              </a:solidFill>
              <a:latin typeface="Arial"/>
              <a:cs typeface="Arial"/>
            </a:rPr>
            <a:t>+((1-n</a:t>
          </a:r>
          <a:r>
            <a:rPr lang="en-US" sz="800" b="0" i="0" u="none" strike="noStrike" baseline="-25000">
              <a:solidFill>
                <a:srgbClr val="000000"/>
              </a:solidFill>
              <a:latin typeface="Arial"/>
              <a:cs typeface="Arial"/>
            </a:rPr>
            <a:t>run</a:t>
          </a:r>
          <a:r>
            <a:rPr lang="en-US" sz="800" b="0" i="0" u="none" strike="noStrike" baseline="30000">
              <a:solidFill>
                <a:srgbClr val="000000"/>
              </a:solidFill>
              <a:latin typeface="Arial"/>
              <a:cs typeface="Arial"/>
            </a:rPr>
            <a:t>unox</a:t>
          </a:r>
          <a:r>
            <a:rPr lang="en-US" sz="800" b="0" i="0" u="none" strike="noStrike" baseline="0">
              <a:solidFill>
                <a:srgbClr val="000000"/>
              </a:solidFill>
              <a:latin typeface="Arial"/>
              <a:cs typeface="Arial"/>
            </a:rPr>
            <a:t>)  *SG*</a:t>
          </a:r>
          <a:r>
            <a:rPr lang="en-US" sz="1000" b="0" i="0" u="none" strike="noStrike" baseline="0">
              <a:solidFill>
                <a:srgbClr val="000000"/>
              </a:solidFill>
              <a:latin typeface="Symbol"/>
            </a:rPr>
            <a:t>r</a:t>
          </a:r>
          <a:r>
            <a:rPr lang="en-US" sz="800" b="0" i="0" u="none" strike="noStrike" baseline="-25000">
              <a:solidFill>
                <a:srgbClr val="000000"/>
              </a:solidFill>
              <a:latin typeface="Arial"/>
              <a:cs typeface="Arial"/>
            </a:rPr>
            <a:t>w</a:t>
          </a:r>
          <a:r>
            <a:rPr lang="en-US" sz="800" b="0" i="0" u="none" strike="noStrike" baseline="0">
              <a:solidFill>
                <a:srgbClr val="000000"/>
              </a:solidFill>
              <a:latin typeface="Arial"/>
              <a:cs typeface="Arial"/>
            </a:rPr>
            <a:t>*K</a:t>
          </a:r>
          <a:r>
            <a:rPr lang="en-US" sz="800" b="0" i="0" u="none" strike="noStrike" baseline="-25000">
              <a:solidFill>
                <a:srgbClr val="000000"/>
              </a:solidFill>
              <a:latin typeface="Arial"/>
              <a:cs typeface="Arial"/>
            </a:rPr>
            <a:t>d</a:t>
          </a:r>
          <a:r>
            <a:rPr lang="en-US" sz="800" b="0" i="0" u="none" strike="noStrike" baseline="30000">
              <a:solidFill>
                <a:srgbClr val="000000"/>
              </a:solidFill>
              <a:latin typeface="Arial"/>
              <a:cs typeface="Arial"/>
            </a:rPr>
            <a:t>unox</a:t>
          </a:r>
          <a:r>
            <a:rPr lang="en-US" sz="800" b="0" i="0" u="none" strike="noStrike" baseline="0">
              <a:solidFill>
                <a:srgbClr val="000000"/>
              </a:solidFill>
              <a:latin typeface="Arial"/>
              <a:cs typeface="Arial"/>
            </a:rPr>
            <a:t>))/((1-n</a:t>
          </a:r>
          <a:r>
            <a:rPr lang="en-US" sz="800" b="0" i="0" u="none" strike="noStrike" baseline="-25000">
              <a:solidFill>
                <a:srgbClr val="000000"/>
              </a:solidFill>
              <a:latin typeface="Arial"/>
              <a:cs typeface="Arial"/>
            </a:rPr>
            <a:t>run</a:t>
          </a:r>
          <a:r>
            <a:rPr lang="en-US" sz="800" b="0" i="0" u="none" strike="noStrike" baseline="30000">
              <a:solidFill>
                <a:srgbClr val="000000"/>
              </a:solidFill>
              <a:latin typeface="Arial"/>
              <a:cs typeface="Arial"/>
            </a:rPr>
            <a:t>unox</a:t>
          </a:r>
          <a:r>
            <a:rPr lang="en-US" sz="800" b="0" i="0" u="none" strike="noStrike" baseline="0">
              <a:solidFill>
                <a:srgbClr val="000000"/>
              </a:solidFill>
              <a:latin typeface="Arial"/>
              <a:cs typeface="Arial"/>
            </a:rPr>
            <a:t>)*SG*</a:t>
          </a:r>
          <a:r>
            <a:rPr lang="en-US" sz="1000" b="0" i="0" u="none" strike="noStrike" baseline="0">
              <a:solidFill>
                <a:srgbClr val="000000"/>
              </a:solidFill>
              <a:latin typeface="Symbol"/>
            </a:rPr>
            <a:t>r</a:t>
          </a:r>
          <a:r>
            <a:rPr lang="en-US" sz="800" b="0" i="0" u="none" strike="noStrike" baseline="-25000">
              <a:solidFill>
                <a:srgbClr val="000000"/>
              </a:solidFill>
              <a:latin typeface="Arial"/>
              <a:cs typeface="Arial"/>
            </a:rPr>
            <a:t>w</a:t>
          </a:r>
          <a:r>
            <a:rPr lang="en-US" sz="800" b="0" i="0" u="none" strike="noStrike" baseline="0">
              <a:solidFill>
                <a:srgbClr val="000000"/>
              </a:solidFill>
              <a:latin typeface="Arial"/>
              <a:cs typeface="Arial"/>
            </a:rPr>
            <a:t>*1000))</a:t>
          </a:r>
        </a:p>
      </xdr:txBody>
    </xdr:sp>
    <xdr:clientData/>
  </xdr:twoCellAnchor>
  <xdr:twoCellAnchor>
    <xdr:from>
      <xdr:col>3</xdr:col>
      <xdr:colOff>85725</xdr:colOff>
      <xdr:row>86</xdr:row>
      <xdr:rowOff>133350</xdr:rowOff>
    </xdr:from>
    <xdr:to>
      <xdr:col>3</xdr:col>
      <xdr:colOff>85725</xdr:colOff>
      <xdr:row>88</xdr:row>
      <xdr:rowOff>57150</xdr:rowOff>
    </xdr:to>
    <xdr:cxnSp macro="">
      <xdr:nvCxnSpPr>
        <xdr:cNvPr id="17270" name="AutoShape 507">
          <a:extLst>
            <a:ext uri="{FF2B5EF4-FFF2-40B4-BE49-F238E27FC236}">
              <a16:creationId xmlns:a16="http://schemas.microsoft.com/office/drawing/2014/main" id="{00000000-0008-0000-0900-000076430000}"/>
            </a:ext>
          </a:extLst>
        </xdr:cNvPr>
        <xdr:cNvCxnSpPr>
          <a:cxnSpLocks noChangeShapeType="1"/>
          <a:stCxn id="16877" idx="2"/>
          <a:endCxn id="16889" idx="0"/>
        </xdr:cNvCxnSpPr>
      </xdr:nvCxnSpPr>
      <xdr:spPr bwMode="auto">
        <a:xfrm>
          <a:off x="1914525" y="14058900"/>
          <a:ext cx="0" cy="247650"/>
        </a:xfrm>
        <a:prstGeom prst="straightConnector1">
          <a:avLst/>
        </a:prstGeom>
        <a:noFill/>
        <a:ln w="9525">
          <a:solidFill>
            <a:srgbClr val="000000"/>
          </a:solidFill>
          <a:round/>
          <a:headEnd/>
          <a:tailEnd type="stealth" w="med" len="med"/>
        </a:ln>
      </xdr:spPr>
    </xdr:cxnSp>
    <xdr:clientData/>
  </xdr:twoCellAnchor>
  <xdr:twoCellAnchor>
    <xdr:from>
      <xdr:col>8</xdr:col>
      <xdr:colOff>47625</xdr:colOff>
      <xdr:row>86</xdr:row>
      <xdr:rowOff>133350</xdr:rowOff>
    </xdr:from>
    <xdr:to>
      <xdr:col>8</xdr:col>
      <xdr:colOff>47625</xdr:colOff>
      <xdr:row>88</xdr:row>
      <xdr:rowOff>47625</xdr:rowOff>
    </xdr:to>
    <xdr:cxnSp macro="">
      <xdr:nvCxnSpPr>
        <xdr:cNvPr id="17271" name="AutoShape 508">
          <a:extLst>
            <a:ext uri="{FF2B5EF4-FFF2-40B4-BE49-F238E27FC236}">
              <a16:creationId xmlns:a16="http://schemas.microsoft.com/office/drawing/2014/main" id="{00000000-0008-0000-0900-000077430000}"/>
            </a:ext>
          </a:extLst>
        </xdr:cNvPr>
        <xdr:cNvCxnSpPr>
          <a:cxnSpLocks noChangeShapeType="1"/>
          <a:stCxn id="16878" idx="2"/>
          <a:endCxn id="16890" idx="0"/>
        </xdr:cNvCxnSpPr>
      </xdr:nvCxnSpPr>
      <xdr:spPr bwMode="auto">
        <a:xfrm>
          <a:off x="4524375" y="14058900"/>
          <a:ext cx="0" cy="238125"/>
        </a:xfrm>
        <a:prstGeom prst="straightConnector1">
          <a:avLst/>
        </a:prstGeom>
        <a:noFill/>
        <a:ln w="9525">
          <a:solidFill>
            <a:srgbClr val="000000"/>
          </a:solidFill>
          <a:round/>
          <a:headEnd/>
          <a:tailEnd type="stealth" w="med" len="med"/>
        </a:ln>
      </xdr:spPr>
    </xdr:cxnSp>
    <xdr:clientData/>
  </xdr:twoCellAnchor>
  <xdr:twoCellAnchor>
    <xdr:from>
      <xdr:col>3</xdr:col>
      <xdr:colOff>85725</xdr:colOff>
      <xdr:row>95</xdr:row>
      <xdr:rowOff>9525</xdr:rowOff>
    </xdr:from>
    <xdr:to>
      <xdr:col>3</xdr:col>
      <xdr:colOff>85725</xdr:colOff>
      <xdr:row>97</xdr:row>
      <xdr:rowOff>38100</xdr:rowOff>
    </xdr:to>
    <xdr:cxnSp macro="">
      <xdr:nvCxnSpPr>
        <xdr:cNvPr id="17272" name="AutoShape 509">
          <a:extLst>
            <a:ext uri="{FF2B5EF4-FFF2-40B4-BE49-F238E27FC236}">
              <a16:creationId xmlns:a16="http://schemas.microsoft.com/office/drawing/2014/main" id="{00000000-0008-0000-0900-000078430000}"/>
            </a:ext>
          </a:extLst>
        </xdr:cNvPr>
        <xdr:cNvCxnSpPr>
          <a:cxnSpLocks noChangeShapeType="1"/>
          <a:stCxn id="16889" idx="2"/>
          <a:endCxn id="16895" idx="0"/>
        </xdr:cNvCxnSpPr>
      </xdr:nvCxnSpPr>
      <xdr:spPr bwMode="auto">
        <a:xfrm>
          <a:off x="1914525" y="15392400"/>
          <a:ext cx="0" cy="352425"/>
        </a:xfrm>
        <a:prstGeom prst="straightConnector1">
          <a:avLst/>
        </a:prstGeom>
        <a:noFill/>
        <a:ln w="9525">
          <a:solidFill>
            <a:srgbClr val="000000"/>
          </a:solidFill>
          <a:round/>
          <a:headEnd/>
          <a:tailEnd type="stealth" w="med" len="med"/>
        </a:ln>
      </xdr:spPr>
    </xdr:cxnSp>
    <xdr:clientData/>
  </xdr:twoCellAnchor>
  <xdr:twoCellAnchor>
    <xdr:from>
      <xdr:col>8</xdr:col>
      <xdr:colOff>47625</xdr:colOff>
      <xdr:row>95</xdr:row>
      <xdr:rowOff>0</xdr:rowOff>
    </xdr:from>
    <xdr:to>
      <xdr:col>8</xdr:col>
      <xdr:colOff>57150</xdr:colOff>
      <xdr:row>97</xdr:row>
      <xdr:rowOff>57150</xdr:rowOff>
    </xdr:to>
    <xdr:cxnSp macro="">
      <xdr:nvCxnSpPr>
        <xdr:cNvPr id="17273" name="AutoShape 510">
          <a:extLst>
            <a:ext uri="{FF2B5EF4-FFF2-40B4-BE49-F238E27FC236}">
              <a16:creationId xmlns:a16="http://schemas.microsoft.com/office/drawing/2014/main" id="{00000000-0008-0000-0900-000079430000}"/>
            </a:ext>
          </a:extLst>
        </xdr:cNvPr>
        <xdr:cNvCxnSpPr>
          <a:cxnSpLocks noChangeShapeType="1"/>
          <a:stCxn id="16890" idx="2"/>
          <a:endCxn id="16896" idx="0"/>
        </xdr:cNvCxnSpPr>
      </xdr:nvCxnSpPr>
      <xdr:spPr bwMode="auto">
        <a:xfrm>
          <a:off x="4524375" y="15382875"/>
          <a:ext cx="9525" cy="381000"/>
        </a:xfrm>
        <a:prstGeom prst="straightConnector1">
          <a:avLst/>
        </a:prstGeom>
        <a:noFill/>
        <a:ln w="9525">
          <a:solidFill>
            <a:srgbClr val="000000"/>
          </a:solidFill>
          <a:round/>
          <a:headEnd/>
          <a:tailEnd type="stealth" w="med" len="med"/>
        </a:ln>
      </xdr:spPr>
    </xdr:cxnSp>
    <xdr:clientData/>
  </xdr:twoCellAnchor>
  <xdr:twoCellAnchor>
    <xdr:from>
      <xdr:col>1</xdr:col>
      <xdr:colOff>171450</xdr:colOff>
      <xdr:row>97</xdr:row>
      <xdr:rowOff>38100</xdr:rowOff>
    </xdr:from>
    <xdr:to>
      <xdr:col>5</xdr:col>
      <xdr:colOff>0</xdr:colOff>
      <xdr:row>106</xdr:row>
      <xdr:rowOff>142875</xdr:rowOff>
    </xdr:to>
    <xdr:sp macro="" textlink="">
      <xdr:nvSpPr>
        <xdr:cNvPr id="16895" name="Text Box 511">
          <a:extLst>
            <a:ext uri="{FF2B5EF4-FFF2-40B4-BE49-F238E27FC236}">
              <a16:creationId xmlns:a16="http://schemas.microsoft.com/office/drawing/2014/main" id="{00000000-0008-0000-0900-0000FF410000}"/>
            </a:ext>
          </a:extLst>
        </xdr:cNvPr>
        <xdr:cNvSpPr txBox="1">
          <a:spLocks noChangeArrowheads="1"/>
        </xdr:cNvSpPr>
      </xdr:nvSpPr>
      <xdr:spPr bwMode="auto">
        <a:xfrm>
          <a:off x="781050" y="15744825"/>
          <a:ext cx="2266950" cy="1562100"/>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Calculate the predicted oxidized dissolved contaminant concentration at the mixing zone boundary considering the allowable mixing zone, background concentration, and dissolved contaminant concentration at the weir, using the predicted oxidized runoff concentration.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r>
            <a:rPr lang="en-US" sz="800" b="0" i="0" u="none" strike="noStrike" baseline="0">
              <a:solidFill>
                <a:srgbClr val="000000"/>
              </a:solidFill>
              <a:latin typeface="Arial"/>
              <a:cs typeface="Arial"/>
            </a:rPr>
            <a:t>C</a:t>
          </a:r>
          <a:r>
            <a:rPr lang="en-US" sz="800" b="0" i="0" u="none" strike="noStrike" baseline="-25000">
              <a:solidFill>
                <a:srgbClr val="000000"/>
              </a:solidFill>
              <a:latin typeface="Arial"/>
              <a:cs typeface="Arial"/>
            </a:rPr>
            <a:t>P</a:t>
          </a:r>
          <a:r>
            <a:rPr lang="en-US" sz="800" b="0" i="0" u="none" strike="noStrike" baseline="30000">
              <a:solidFill>
                <a:srgbClr val="000000"/>
              </a:solidFill>
              <a:latin typeface="Arial"/>
              <a:cs typeface="Arial"/>
            </a:rPr>
            <a:t>ox</a:t>
          </a:r>
          <a:r>
            <a:rPr lang="en-US" sz="800" b="0" i="0" u="none" strike="noStrike" baseline="0">
              <a:solidFill>
                <a:srgbClr val="000000"/>
              </a:solidFill>
              <a:latin typeface="Arial"/>
              <a:cs typeface="Arial"/>
            </a:rPr>
            <a:t> = (C</a:t>
          </a:r>
          <a:r>
            <a:rPr lang="en-US" sz="800" b="0" i="0" u="none" strike="noStrike" baseline="-25000">
              <a:solidFill>
                <a:srgbClr val="000000"/>
              </a:solidFill>
              <a:latin typeface="Arial"/>
              <a:cs typeface="Arial"/>
            </a:rPr>
            <a:t>run</a:t>
          </a:r>
          <a:r>
            <a:rPr lang="en-US" sz="800" b="0" i="0" u="none" strike="noStrike" baseline="30000">
              <a:solidFill>
                <a:srgbClr val="000000"/>
              </a:solidFill>
              <a:latin typeface="Arial"/>
              <a:cs typeface="Arial"/>
            </a:rPr>
            <a:t>ox</a:t>
          </a:r>
          <a:r>
            <a:rPr lang="en-US" sz="800" b="0" i="0" u="none" strike="noStrike" baseline="0">
              <a:solidFill>
                <a:srgbClr val="000000"/>
              </a:solidFill>
              <a:latin typeface="Arial"/>
              <a:cs typeface="Arial"/>
            </a:rPr>
            <a:t>+(D*C</a:t>
          </a:r>
          <a:r>
            <a:rPr lang="en-US" sz="800" b="0" i="0" u="none" strike="noStrike" baseline="-25000">
              <a:solidFill>
                <a:srgbClr val="000000"/>
              </a:solidFill>
              <a:latin typeface="Arial"/>
              <a:cs typeface="Arial"/>
            </a:rPr>
            <a:t>B</a:t>
          </a:r>
          <a:r>
            <a:rPr lang="en-US" sz="800" b="0" i="0" u="none" strike="noStrike" baseline="0">
              <a:solidFill>
                <a:srgbClr val="000000"/>
              </a:solidFill>
              <a:latin typeface="Arial"/>
              <a:cs typeface="Arial"/>
            </a:rPr>
            <a:t>))/(D+1)</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6</xdr:col>
      <xdr:colOff>47625</xdr:colOff>
      <xdr:row>97</xdr:row>
      <xdr:rowOff>57150</xdr:rowOff>
    </xdr:from>
    <xdr:to>
      <xdr:col>10</xdr:col>
      <xdr:colOff>66675</xdr:colOff>
      <xdr:row>106</xdr:row>
      <xdr:rowOff>133350</xdr:rowOff>
    </xdr:to>
    <xdr:sp macro="" textlink="">
      <xdr:nvSpPr>
        <xdr:cNvPr id="16896" name="Text Box 512">
          <a:extLst>
            <a:ext uri="{FF2B5EF4-FFF2-40B4-BE49-F238E27FC236}">
              <a16:creationId xmlns:a16="http://schemas.microsoft.com/office/drawing/2014/main" id="{00000000-0008-0000-0900-000000420000}"/>
            </a:ext>
          </a:extLst>
        </xdr:cNvPr>
        <xdr:cNvSpPr txBox="1">
          <a:spLocks noChangeArrowheads="1"/>
        </xdr:cNvSpPr>
      </xdr:nvSpPr>
      <xdr:spPr bwMode="auto">
        <a:xfrm>
          <a:off x="3305175" y="15763875"/>
          <a:ext cx="2457450" cy="1533525"/>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Calculate the predicted unoxidized dissolved contaminant concentration at the mixing zone boundary considering the allowable mixing zone, background concentration, and dissolved contaminant concentration at the weir, using the predicted unoxidized runoff concentration.</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r>
            <a:rPr lang="en-US" sz="800" b="0" i="0" u="none" strike="noStrike" baseline="0">
              <a:solidFill>
                <a:srgbClr val="000000"/>
              </a:solidFill>
              <a:latin typeface="Arial"/>
              <a:cs typeface="Arial"/>
            </a:rPr>
            <a:t>C</a:t>
          </a:r>
          <a:r>
            <a:rPr lang="en-US" sz="800" b="0" i="0" u="none" strike="noStrike" baseline="-25000">
              <a:solidFill>
                <a:srgbClr val="000000"/>
              </a:solidFill>
              <a:latin typeface="Arial"/>
              <a:cs typeface="Arial"/>
            </a:rPr>
            <a:t>P</a:t>
          </a:r>
          <a:r>
            <a:rPr lang="en-US" sz="800" b="0" i="0" u="none" strike="noStrike" baseline="30000">
              <a:solidFill>
                <a:srgbClr val="000000"/>
              </a:solidFill>
              <a:latin typeface="Arial"/>
              <a:cs typeface="Arial"/>
            </a:rPr>
            <a:t>unox</a:t>
          </a:r>
          <a:r>
            <a:rPr lang="en-US" sz="800" b="0" i="0" u="none" strike="noStrike" baseline="0">
              <a:solidFill>
                <a:srgbClr val="000000"/>
              </a:solidFill>
              <a:latin typeface="Arial"/>
              <a:cs typeface="Arial"/>
            </a:rPr>
            <a:t> = (C</a:t>
          </a:r>
          <a:r>
            <a:rPr lang="en-US" sz="800" b="0" i="0" u="none" strike="noStrike" baseline="-25000">
              <a:solidFill>
                <a:srgbClr val="000000"/>
              </a:solidFill>
              <a:latin typeface="Arial"/>
              <a:cs typeface="Arial"/>
            </a:rPr>
            <a:t>run</a:t>
          </a:r>
          <a:r>
            <a:rPr lang="en-US" sz="800" b="0" i="0" u="none" strike="noStrike" baseline="30000">
              <a:solidFill>
                <a:srgbClr val="000000"/>
              </a:solidFill>
              <a:latin typeface="Arial"/>
              <a:cs typeface="Arial"/>
            </a:rPr>
            <a:t>unox</a:t>
          </a:r>
          <a:r>
            <a:rPr lang="en-US" sz="800" b="0" i="0" u="none" strike="noStrike" baseline="0">
              <a:solidFill>
                <a:srgbClr val="000000"/>
              </a:solidFill>
              <a:latin typeface="Arial"/>
              <a:cs typeface="Arial"/>
            </a:rPr>
            <a:t>+(D*C</a:t>
          </a:r>
          <a:r>
            <a:rPr lang="en-US" sz="800" b="0" i="0" u="none" strike="noStrike" baseline="-25000">
              <a:solidFill>
                <a:srgbClr val="000000"/>
              </a:solidFill>
              <a:latin typeface="Arial"/>
              <a:cs typeface="Arial"/>
            </a:rPr>
            <a:t>B</a:t>
          </a:r>
          <a:r>
            <a:rPr lang="en-US" sz="800" b="0" i="0" u="none" strike="noStrike" baseline="0">
              <a:solidFill>
                <a:srgbClr val="000000"/>
              </a:solidFill>
              <a:latin typeface="Arial"/>
              <a:cs typeface="Arial"/>
            </a:rPr>
            <a:t>))/(D+1)</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180975</xdr:colOff>
      <xdr:row>88</xdr:row>
      <xdr:rowOff>114300</xdr:rowOff>
    </xdr:from>
    <xdr:to>
      <xdr:col>1</xdr:col>
      <xdr:colOff>428625</xdr:colOff>
      <xdr:row>90</xdr:row>
      <xdr:rowOff>47625</xdr:rowOff>
    </xdr:to>
    <xdr:grpSp>
      <xdr:nvGrpSpPr>
        <xdr:cNvPr id="17276" name="Group 533">
          <a:extLst>
            <a:ext uri="{FF2B5EF4-FFF2-40B4-BE49-F238E27FC236}">
              <a16:creationId xmlns:a16="http://schemas.microsoft.com/office/drawing/2014/main" id="{00000000-0008-0000-0900-00007C430000}"/>
            </a:ext>
          </a:extLst>
        </xdr:cNvPr>
        <xdr:cNvGrpSpPr>
          <a:grpSpLocks/>
        </xdr:cNvGrpSpPr>
      </xdr:nvGrpSpPr>
      <xdr:grpSpPr bwMode="auto">
        <a:xfrm>
          <a:off x="790575" y="14866620"/>
          <a:ext cx="247650" cy="268605"/>
          <a:chOff x="109" y="2183"/>
          <a:chExt cx="32" cy="35"/>
        </a:xfrm>
      </xdr:grpSpPr>
      <xdr:sp macro="" textlink="">
        <xdr:nvSpPr>
          <xdr:cNvPr id="17426" name="Oval 518">
            <a:extLst>
              <a:ext uri="{FF2B5EF4-FFF2-40B4-BE49-F238E27FC236}">
                <a16:creationId xmlns:a16="http://schemas.microsoft.com/office/drawing/2014/main" id="{00000000-0008-0000-0900-000012440000}"/>
              </a:ext>
            </a:extLst>
          </xdr:cNvPr>
          <xdr:cNvSpPr>
            <a:spLocks noChangeArrowheads="1"/>
          </xdr:cNvSpPr>
        </xdr:nvSpPr>
        <xdr:spPr bwMode="auto">
          <a:xfrm>
            <a:off x="109" y="2184"/>
            <a:ext cx="32" cy="34"/>
          </a:xfrm>
          <a:prstGeom prst="ellipse">
            <a:avLst/>
          </a:prstGeom>
          <a:solidFill>
            <a:srgbClr val="FFFFCC"/>
          </a:solidFill>
          <a:ln w="9525">
            <a:solidFill>
              <a:srgbClr val="000000"/>
            </a:solidFill>
            <a:round/>
            <a:headEnd/>
            <a:tailEnd/>
          </a:ln>
        </xdr:spPr>
      </xdr:sp>
      <xdr:sp macro="" textlink="">
        <xdr:nvSpPr>
          <xdr:cNvPr id="16903" name="Text Box 519">
            <a:extLst>
              <a:ext uri="{FF2B5EF4-FFF2-40B4-BE49-F238E27FC236}">
                <a16:creationId xmlns:a16="http://schemas.microsoft.com/office/drawing/2014/main" id="{00000000-0008-0000-0900-000007420000}"/>
              </a:ext>
            </a:extLst>
          </xdr:cNvPr>
          <xdr:cNvSpPr txBox="1">
            <a:spLocks noChangeArrowheads="1"/>
          </xdr:cNvSpPr>
        </xdr:nvSpPr>
        <xdr:spPr bwMode="auto">
          <a:xfrm>
            <a:off x="114" y="2183"/>
            <a:ext cx="22" cy="35"/>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2a</a:t>
            </a:r>
          </a:p>
        </xdr:txBody>
      </xdr:sp>
    </xdr:grpSp>
    <xdr:clientData/>
  </xdr:twoCellAnchor>
  <xdr:twoCellAnchor>
    <xdr:from>
      <xdr:col>1</xdr:col>
      <xdr:colOff>228600</xdr:colOff>
      <xdr:row>97</xdr:row>
      <xdr:rowOff>85725</xdr:rowOff>
    </xdr:from>
    <xdr:to>
      <xdr:col>1</xdr:col>
      <xdr:colOff>476250</xdr:colOff>
      <xdr:row>99</xdr:row>
      <xdr:rowOff>19050</xdr:rowOff>
    </xdr:to>
    <xdr:grpSp>
      <xdr:nvGrpSpPr>
        <xdr:cNvPr id="17277" name="Group 646">
          <a:extLst>
            <a:ext uri="{FF2B5EF4-FFF2-40B4-BE49-F238E27FC236}">
              <a16:creationId xmlns:a16="http://schemas.microsoft.com/office/drawing/2014/main" id="{00000000-0008-0000-0900-00007D430000}"/>
            </a:ext>
          </a:extLst>
        </xdr:cNvPr>
        <xdr:cNvGrpSpPr>
          <a:grpSpLocks/>
        </xdr:cNvGrpSpPr>
      </xdr:nvGrpSpPr>
      <xdr:grpSpPr bwMode="auto">
        <a:xfrm>
          <a:off x="838200" y="16346805"/>
          <a:ext cx="247650" cy="268605"/>
          <a:chOff x="83" y="1794"/>
          <a:chExt cx="26" cy="27"/>
        </a:xfrm>
      </xdr:grpSpPr>
      <xdr:sp macro="" textlink="">
        <xdr:nvSpPr>
          <xdr:cNvPr id="17424" name="Oval 521">
            <a:extLst>
              <a:ext uri="{FF2B5EF4-FFF2-40B4-BE49-F238E27FC236}">
                <a16:creationId xmlns:a16="http://schemas.microsoft.com/office/drawing/2014/main" id="{00000000-0008-0000-0900-000010440000}"/>
              </a:ext>
            </a:extLst>
          </xdr:cNvPr>
          <xdr:cNvSpPr>
            <a:spLocks noChangeArrowheads="1"/>
          </xdr:cNvSpPr>
        </xdr:nvSpPr>
        <xdr:spPr bwMode="auto">
          <a:xfrm>
            <a:off x="83" y="1794"/>
            <a:ext cx="26" cy="27"/>
          </a:xfrm>
          <a:prstGeom prst="ellipse">
            <a:avLst/>
          </a:prstGeom>
          <a:solidFill>
            <a:srgbClr val="FFFFCC"/>
          </a:solidFill>
          <a:ln w="9525">
            <a:solidFill>
              <a:srgbClr val="000000"/>
            </a:solidFill>
            <a:round/>
            <a:headEnd/>
            <a:tailEnd/>
          </a:ln>
        </xdr:spPr>
      </xdr:sp>
      <xdr:sp macro="" textlink="">
        <xdr:nvSpPr>
          <xdr:cNvPr id="16906" name="Text Box 522">
            <a:extLst>
              <a:ext uri="{FF2B5EF4-FFF2-40B4-BE49-F238E27FC236}">
                <a16:creationId xmlns:a16="http://schemas.microsoft.com/office/drawing/2014/main" id="{00000000-0008-0000-0900-00000A420000}"/>
              </a:ext>
            </a:extLst>
          </xdr:cNvPr>
          <xdr:cNvSpPr txBox="1">
            <a:spLocks noChangeArrowheads="1"/>
          </xdr:cNvSpPr>
        </xdr:nvSpPr>
        <xdr:spPr bwMode="auto">
          <a:xfrm>
            <a:off x="87" y="1794"/>
            <a:ext cx="18"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3a</a:t>
            </a:r>
          </a:p>
        </xdr:txBody>
      </xdr:sp>
    </xdr:grpSp>
    <xdr:clientData/>
  </xdr:twoCellAnchor>
  <xdr:twoCellAnchor>
    <xdr:from>
      <xdr:col>6</xdr:col>
      <xdr:colOff>76200</xdr:colOff>
      <xdr:row>88</xdr:row>
      <xdr:rowOff>85725</xdr:rowOff>
    </xdr:from>
    <xdr:to>
      <xdr:col>6</xdr:col>
      <xdr:colOff>333375</xdr:colOff>
      <xdr:row>90</xdr:row>
      <xdr:rowOff>28575</xdr:rowOff>
    </xdr:to>
    <xdr:grpSp>
      <xdr:nvGrpSpPr>
        <xdr:cNvPr id="17278" name="Group 534">
          <a:extLst>
            <a:ext uri="{FF2B5EF4-FFF2-40B4-BE49-F238E27FC236}">
              <a16:creationId xmlns:a16="http://schemas.microsoft.com/office/drawing/2014/main" id="{00000000-0008-0000-0900-00007E430000}"/>
            </a:ext>
          </a:extLst>
        </xdr:cNvPr>
        <xdr:cNvGrpSpPr>
          <a:grpSpLocks/>
        </xdr:cNvGrpSpPr>
      </xdr:nvGrpSpPr>
      <xdr:grpSpPr bwMode="auto">
        <a:xfrm>
          <a:off x="3337560" y="14838045"/>
          <a:ext cx="257175" cy="278130"/>
          <a:chOff x="492" y="2180"/>
          <a:chExt cx="32" cy="35"/>
        </a:xfrm>
      </xdr:grpSpPr>
      <xdr:sp macro="" textlink="">
        <xdr:nvSpPr>
          <xdr:cNvPr id="17422" name="Oval 524">
            <a:extLst>
              <a:ext uri="{FF2B5EF4-FFF2-40B4-BE49-F238E27FC236}">
                <a16:creationId xmlns:a16="http://schemas.microsoft.com/office/drawing/2014/main" id="{00000000-0008-0000-0900-00000E440000}"/>
              </a:ext>
            </a:extLst>
          </xdr:cNvPr>
          <xdr:cNvSpPr>
            <a:spLocks noChangeArrowheads="1"/>
          </xdr:cNvSpPr>
        </xdr:nvSpPr>
        <xdr:spPr bwMode="auto">
          <a:xfrm>
            <a:off x="492" y="2181"/>
            <a:ext cx="32" cy="34"/>
          </a:xfrm>
          <a:prstGeom prst="ellipse">
            <a:avLst/>
          </a:prstGeom>
          <a:solidFill>
            <a:srgbClr val="FFFFCC"/>
          </a:solidFill>
          <a:ln w="9525">
            <a:solidFill>
              <a:srgbClr val="000000"/>
            </a:solidFill>
            <a:round/>
            <a:headEnd/>
            <a:tailEnd/>
          </a:ln>
        </xdr:spPr>
      </xdr:sp>
      <xdr:sp macro="" textlink="">
        <xdr:nvSpPr>
          <xdr:cNvPr id="16909" name="Text Box 525">
            <a:extLst>
              <a:ext uri="{FF2B5EF4-FFF2-40B4-BE49-F238E27FC236}">
                <a16:creationId xmlns:a16="http://schemas.microsoft.com/office/drawing/2014/main" id="{00000000-0008-0000-0900-00000D420000}"/>
              </a:ext>
            </a:extLst>
          </xdr:cNvPr>
          <xdr:cNvSpPr txBox="1">
            <a:spLocks noChangeArrowheads="1"/>
          </xdr:cNvSpPr>
        </xdr:nvSpPr>
        <xdr:spPr bwMode="auto">
          <a:xfrm>
            <a:off x="497" y="2180"/>
            <a:ext cx="23" cy="35"/>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2b</a:t>
            </a:r>
          </a:p>
        </xdr:txBody>
      </xdr:sp>
    </xdr:grpSp>
    <xdr:clientData/>
  </xdr:twoCellAnchor>
  <xdr:twoCellAnchor>
    <xdr:from>
      <xdr:col>7</xdr:col>
      <xdr:colOff>523875</xdr:colOff>
      <xdr:row>118</xdr:row>
      <xdr:rowOff>85725</xdr:rowOff>
    </xdr:from>
    <xdr:to>
      <xdr:col>8</xdr:col>
      <xdr:colOff>161925</xdr:colOff>
      <xdr:row>120</xdr:row>
      <xdr:rowOff>19050</xdr:rowOff>
    </xdr:to>
    <xdr:grpSp>
      <xdr:nvGrpSpPr>
        <xdr:cNvPr id="17279" name="Group 542">
          <a:extLst>
            <a:ext uri="{FF2B5EF4-FFF2-40B4-BE49-F238E27FC236}">
              <a16:creationId xmlns:a16="http://schemas.microsoft.com/office/drawing/2014/main" id="{00000000-0008-0000-0900-00007F430000}"/>
            </a:ext>
          </a:extLst>
        </xdr:cNvPr>
        <xdr:cNvGrpSpPr>
          <a:grpSpLocks/>
        </xdr:cNvGrpSpPr>
      </xdr:nvGrpSpPr>
      <xdr:grpSpPr bwMode="auto">
        <a:xfrm>
          <a:off x="4394835" y="19867245"/>
          <a:ext cx="247650" cy="268605"/>
          <a:chOff x="632" y="114"/>
          <a:chExt cx="26" cy="27"/>
        </a:xfrm>
      </xdr:grpSpPr>
      <xdr:sp macro="" textlink="">
        <xdr:nvSpPr>
          <xdr:cNvPr id="17420" name="Oval 543">
            <a:extLst>
              <a:ext uri="{FF2B5EF4-FFF2-40B4-BE49-F238E27FC236}">
                <a16:creationId xmlns:a16="http://schemas.microsoft.com/office/drawing/2014/main" id="{00000000-0008-0000-0900-00000C440000}"/>
              </a:ext>
            </a:extLst>
          </xdr:cNvPr>
          <xdr:cNvSpPr>
            <a:spLocks noChangeArrowheads="1"/>
          </xdr:cNvSpPr>
        </xdr:nvSpPr>
        <xdr:spPr bwMode="auto">
          <a:xfrm>
            <a:off x="632" y="115"/>
            <a:ext cx="26" cy="26"/>
          </a:xfrm>
          <a:prstGeom prst="ellipse">
            <a:avLst/>
          </a:prstGeom>
          <a:solidFill>
            <a:srgbClr val="FFFFCC"/>
          </a:solidFill>
          <a:ln w="9525">
            <a:solidFill>
              <a:srgbClr val="000000"/>
            </a:solidFill>
            <a:round/>
            <a:headEnd/>
            <a:tailEnd/>
          </a:ln>
        </xdr:spPr>
      </xdr:sp>
      <xdr:sp macro="" textlink="">
        <xdr:nvSpPr>
          <xdr:cNvPr id="16928" name="Text Box 544">
            <a:extLst>
              <a:ext uri="{FF2B5EF4-FFF2-40B4-BE49-F238E27FC236}">
                <a16:creationId xmlns:a16="http://schemas.microsoft.com/office/drawing/2014/main" id="{00000000-0008-0000-0900-000020420000}"/>
              </a:ext>
            </a:extLst>
          </xdr:cNvPr>
          <xdr:cNvSpPr txBox="1">
            <a:spLocks noChangeArrowheads="1"/>
          </xdr:cNvSpPr>
        </xdr:nvSpPr>
        <xdr:spPr bwMode="auto">
          <a:xfrm>
            <a:off x="636" y="114"/>
            <a:ext cx="18"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1</a:t>
            </a:r>
          </a:p>
        </xdr:txBody>
      </xdr:sp>
    </xdr:grpSp>
    <xdr:clientData/>
  </xdr:twoCellAnchor>
  <xdr:twoCellAnchor>
    <xdr:from>
      <xdr:col>7</xdr:col>
      <xdr:colOff>457200</xdr:colOff>
      <xdr:row>128</xdr:row>
      <xdr:rowOff>47625</xdr:rowOff>
    </xdr:from>
    <xdr:to>
      <xdr:col>8</xdr:col>
      <xdr:colOff>95250</xdr:colOff>
      <xdr:row>129</xdr:row>
      <xdr:rowOff>142875</xdr:rowOff>
    </xdr:to>
    <xdr:grpSp>
      <xdr:nvGrpSpPr>
        <xdr:cNvPr id="17280" name="Group 545">
          <a:extLst>
            <a:ext uri="{FF2B5EF4-FFF2-40B4-BE49-F238E27FC236}">
              <a16:creationId xmlns:a16="http://schemas.microsoft.com/office/drawing/2014/main" id="{00000000-0008-0000-0900-000080430000}"/>
            </a:ext>
          </a:extLst>
        </xdr:cNvPr>
        <xdr:cNvGrpSpPr>
          <a:grpSpLocks/>
        </xdr:cNvGrpSpPr>
      </xdr:nvGrpSpPr>
      <xdr:grpSpPr bwMode="auto">
        <a:xfrm>
          <a:off x="4328160" y="21505545"/>
          <a:ext cx="247650" cy="262890"/>
          <a:chOff x="186" y="2460"/>
          <a:chExt cx="26" cy="27"/>
        </a:xfrm>
      </xdr:grpSpPr>
      <xdr:sp macro="" textlink="">
        <xdr:nvSpPr>
          <xdr:cNvPr id="17418" name="Oval 546">
            <a:extLst>
              <a:ext uri="{FF2B5EF4-FFF2-40B4-BE49-F238E27FC236}">
                <a16:creationId xmlns:a16="http://schemas.microsoft.com/office/drawing/2014/main" id="{00000000-0008-0000-0900-00000A440000}"/>
              </a:ext>
            </a:extLst>
          </xdr:cNvPr>
          <xdr:cNvSpPr>
            <a:spLocks noChangeArrowheads="1"/>
          </xdr:cNvSpPr>
        </xdr:nvSpPr>
        <xdr:spPr bwMode="auto">
          <a:xfrm>
            <a:off x="186" y="2461"/>
            <a:ext cx="26" cy="26"/>
          </a:xfrm>
          <a:prstGeom prst="ellipse">
            <a:avLst/>
          </a:prstGeom>
          <a:solidFill>
            <a:srgbClr val="FFFFCC"/>
          </a:solidFill>
          <a:ln w="9525">
            <a:solidFill>
              <a:srgbClr val="000000"/>
            </a:solidFill>
            <a:round/>
            <a:headEnd/>
            <a:tailEnd/>
          </a:ln>
        </xdr:spPr>
      </xdr:sp>
      <xdr:sp macro="" textlink="">
        <xdr:nvSpPr>
          <xdr:cNvPr id="16931" name="Text Box 547">
            <a:extLst>
              <a:ext uri="{FF2B5EF4-FFF2-40B4-BE49-F238E27FC236}">
                <a16:creationId xmlns:a16="http://schemas.microsoft.com/office/drawing/2014/main" id="{00000000-0008-0000-0900-000023420000}"/>
              </a:ext>
            </a:extLst>
          </xdr:cNvPr>
          <xdr:cNvSpPr txBox="1">
            <a:spLocks noChangeArrowheads="1"/>
          </xdr:cNvSpPr>
        </xdr:nvSpPr>
        <xdr:spPr bwMode="auto">
          <a:xfrm>
            <a:off x="190" y="2460"/>
            <a:ext cx="18"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2</a:t>
            </a:r>
          </a:p>
        </xdr:txBody>
      </xdr:sp>
    </xdr:grpSp>
    <xdr:clientData/>
  </xdr:twoCellAnchor>
  <xdr:twoCellAnchor>
    <xdr:from>
      <xdr:col>8</xdr:col>
      <xdr:colOff>104775</xdr:colOff>
      <xdr:row>182</xdr:row>
      <xdr:rowOff>57150</xdr:rowOff>
    </xdr:from>
    <xdr:to>
      <xdr:col>13</xdr:col>
      <xdr:colOff>219075</xdr:colOff>
      <xdr:row>188</xdr:row>
      <xdr:rowOff>123825</xdr:rowOff>
    </xdr:to>
    <xdr:sp macro="" textlink="">
      <xdr:nvSpPr>
        <xdr:cNvPr id="16934" name="Text Box 550">
          <a:extLst>
            <a:ext uri="{FF2B5EF4-FFF2-40B4-BE49-F238E27FC236}">
              <a16:creationId xmlns:a16="http://schemas.microsoft.com/office/drawing/2014/main" id="{00000000-0008-0000-0900-000026420000}"/>
            </a:ext>
          </a:extLst>
        </xdr:cNvPr>
        <xdr:cNvSpPr txBox="1">
          <a:spLocks noChangeArrowheads="1"/>
        </xdr:cNvSpPr>
      </xdr:nvSpPr>
      <xdr:spPr bwMode="auto">
        <a:xfrm>
          <a:off x="4581525" y="29527500"/>
          <a:ext cx="3162300" cy="1038225"/>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Calculate the leachable concentration in the sediment (q*sed, defined as the total contaminant mass per unit dry solid mass).</a:t>
          </a:r>
          <a:endParaRPr lang="en-US" sz="10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Metals:  q*</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=(q*LF</a:t>
          </a:r>
          <a:r>
            <a:rPr lang="en-US" sz="800" b="0" i="0" u="none" strike="noStrike" baseline="30000">
              <a:solidFill>
                <a:srgbClr val="000000"/>
              </a:solidFill>
              <a:latin typeface="Arial"/>
              <a:cs typeface="Arial"/>
            </a:rPr>
            <a:t>unox</a:t>
          </a:r>
          <a:r>
            <a:rPr lang="en-US" sz="800" b="0" i="0" u="none" strike="noStrike" baseline="0">
              <a:solidFill>
                <a:srgbClr val="000000"/>
              </a:solidFill>
              <a:latin typeface="Arial"/>
              <a:cs typeface="Arial"/>
            </a:rPr>
            <a:t>)/(SCF/100)</a:t>
          </a:r>
        </a:p>
        <a:p>
          <a:pPr algn="l" rtl="0">
            <a:defRPr sz="1000"/>
          </a:pPr>
          <a:r>
            <a:rPr lang="en-US" sz="800" b="0" i="0" u="none" strike="noStrike" baseline="0">
              <a:solidFill>
                <a:srgbClr val="000000"/>
              </a:solidFill>
              <a:latin typeface="Arial"/>
              <a:cs typeface="Arial"/>
            </a:rPr>
            <a:t> Organics:  q*</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=(q*LF</a:t>
          </a:r>
          <a:r>
            <a:rPr lang="en-US" sz="800" b="0" i="0" u="none" strike="noStrike" baseline="30000">
              <a:solidFill>
                <a:srgbClr val="000000"/>
              </a:solidFill>
              <a:latin typeface="Arial"/>
              <a:cs typeface="Arial"/>
            </a:rPr>
            <a:t>unox</a:t>
          </a:r>
          <a:r>
            <a:rPr lang="en-US" sz="800" b="0" i="0" u="none" strike="noStrike" baseline="0">
              <a:solidFill>
                <a:srgbClr val="000000"/>
              </a:solidFill>
              <a:latin typeface="Arial"/>
              <a:cs typeface="Arial"/>
            </a:rPr>
            <a:t>)</a:t>
          </a:r>
        </a:p>
      </xdr:txBody>
    </xdr:sp>
    <xdr:clientData/>
  </xdr:twoCellAnchor>
  <xdr:twoCellAnchor>
    <xdr:from>
      <xdr:col>4</xdr:col>
      <xdr:colOff>600075</xdr:colOff>
      <xdr:row>191</xdr:row>
      <xdr:rowOff>19050</xdr:rowOff>
    </xdr:from>
    <xdr:to>
      <xdr:col>10</xdr:col>
      <xdr:colOff>47625</xdr:colOff>
      <xdr:row>197</xdr:row>
      <xdr:rowOff>123825</xdr:rowOff>
    </xdr:to>
    <xdr:sp macro="" textlink="">
      <xdr:nvSpPr>
        <xdr:cNvPr id="16937" name="Text Box 553">
          <a:extLst>
            <a:ext uri="{FF2B5EF4-FFF2-40B4-BE49-F238E27FC236}">
              <a16:creationId xmlns:a16="http://schemas.microsoft.com/office/drawing/2014/main" id="{00000000-0008-0000-0900-000029420000}"/>
            </a:ext>
          </a:extLst>
        </xdr:cNvPr>
        <xdr:cNvSpPr txBox="1">
          <a:spLocks noChangeArrowheads="1"/>
        </xdr:cNvSpPr>
      </xdr:nvSpPr>
      <xdr:spPr bwMode="auto">
        <a:xfrm>
          <a:off x="3038475" y="30946725"/>
          <a:ext cx="2705100" cy="1076325"/>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Calculate the dissolved contaminant concentration in the sediment pore water, C</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 based on equilibrium partitioning with q*</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 = q*</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/((n</a:t>
          </a:r>
          <a:r>
            <a:rPr lang="en-US" sz="800" b="0" i="0" u="none" strike="noStrike" baseline="-25000">
              <a:solidFill>
                <a:srgbClr val="000000"/>
              </a:solidFill>
              <a:latin typeface="Arial"/>
              <a:cs typeface="Arial"/>
            </a:rPr>
            <a:t>sed </a:t>
          </a:r>
          <a:r>
            <a:rPr lang="en-US" sz="800" b="0" i="0" u="none" strike="noStrike" baseline="0">
              <a:solidFill>
                <a:srgbClr val="000000"/>
              </a:solidFill>
              <a:latin typeface="Arial"/>
              <a:cs typeface="Arial"/>
            </a:rPr>
            <a:t>+ ((1 - n</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 *SG*</a:t>
          </a:r>
          <a:r>
            <a:rPr lang="en-US" sz="800" b="0" i="0" u="none" strike="noStrike" baseline="0">
              <a:solidFill>
                <a:srgbClr val="000000"/>
              </a:solidFill>
              <a:latin typeface="Symbol"/>
            </a:rPr>
            <a:t>r</a:t>
          </a:r>
          <a:r>
            <a:rPr lang="en-US" sz="800" b="0" i="0" u="none" strike="noStrike" baseline="-25000">
              <a:solidFill>
                <a:srgbClr val="000000"/>
              </a:solidFill>
              <a:latin typeface="Arial"/>
              <a:cs typeface="Arial"/>
            </a:rPr>
            <a:t>w</a:t>
          </a:r>
          <a:r>
            <a:rPr lang="en-US" sz="800" b="0" i="0" u="none" strike="noStrike" baseline="0">
              <a:solidFill>
                <a:srgbClr val="000000"/>
              </a:solidFill>
              <a:latin typeface="Arial"/>
              <a:cs typeface="Arial"/>
            </a:rPr>
            <a:t>*K</a:t>
          </a:r>
          <a:r>
            <a:rPr lang="en-US" sz="800" b="0" i="0" u="none" strike="noStrike" baseline="-25000">
              <a:solidFill>
                <a:srgbClr val="000000"/>
              </a:solidFill>
              <a:latin typeface="Arial"/>
              <a:cs typeface="Arial"/>
            </a:rPr>
            <a:t>d)</a:t>
          </a:r>
          <a:r>
            <a:rPr lang="en-US" sz="800" b="0" i="0" u="none" strike="noStrike" baseline="0">
              <a:solidFill>
                <a:srgbClr val="000000"/>
              </a:solidFill>
              <a:latin typeface="Arial"/>
              <a:cs typeface="Arial"/>
            </a:rPr>
            <a:t>))/((1- n</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 *SG*</a:t>
          </a:r>
          <a:r>
            <a:rPr lang="en-US" sz="800" b="0" i="0" u="none" strike="noStrike" baseline="0">
              <a:solidFill>
                <a:srgbClr val="000000"/>
              </a:solidFill>
              <a:latin typeface="Symbol"/>
            </a:rPr>
            <a:t>r</a:t>
          </a:r>
          <a:r>
            <a:rPr lang="en-US" sz="800" b="0" i="0" u="none" strike="noStrike" baseline="-25000">
              <a:solidFill>
                <a:srgbClr val="000000"/>
              </a:solidFill>
              <a:latin typeface="Arial"/>
              <a:cs typeface="Arial"/>
            </a:rPr>
            <a:t>w  </a:t>
          </a:r>
          <a:r>
            <a:rPr lang="en-US" sz="800" b="0" i="0" u="none" strike="noStrike" baseline="0">
              <a:solidFill>
                <a:srgbClr val="000000"/>
              </a:solidFill>
              <a:latin typeface="Arial"/>
              <a:cs typeface="Arial"/>
            </a:rPr>
            <a:t>*1000))</a:t>
          </a:r>
        </a:p>
      </xdr:txBody>
    </xdr:sp>
    <xdr:clientData/>
  </xdr:twoCellAnchor>
  <xdr:twoCellAnchor>
    <xdr:from>
      <xdr:col>11</xdr:col>
      <xdr:colOff>209550</xdr:colOff>
      <xdr:row>191</xdr:row>
      <xdr:rowOff>28575</xdr:rowOff>
    </xdr:from>
    <xdr:to>
      <xdr:col>15</xdr:col>
      <xdr:colOff>581025</xdr:colOff>
      <xdr:row>196</xdr:row>
      <xdr:rowOff>123825</xdr:rowOff>
    </xdr:to>
    <xdr:sp macro="" textlink="">
      <xdr:nvSpPr>
        <xdr:cNvPr id="16939" name="Text Box 555">
          <a:extLst>
            <a:ext uri="{FF2B5EF4-FFF2-40B4-BE49-F238E27FC236}">
              <a16:creationId xmlns:a16="http://schemas.microsoft.com/office/drawing/2014/main" id="{00000000-0008-0000-0900-00002B420000}"/>
            </a:ext>
          </a:extLst>
        </xdr:cNvPr>
        <xdr:cNvSpPr txBox="1">
          <a:spLocks noChangeArrowheads="1"/>
        </xdr:cNvSpPr>
      </xdr:nvSpPr>
      <xdr:spPr bwMode="auto">
        <a:xfrm>
          <a:off x="6515100" y="30956250"/>
          <a:ext cx="2809875" cy="904875"/>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Estimate the slurry concentration in the CDF (q*</a:t>
          </a:r>
          <a:r>
            <a:rPr lang="en-US" sz="800" b="0" i="0" u="none" strike="noStrike" baseline="-25000">
              <a:solidFill>
                <a:srgbClr val="000000"/>
              </a:solidFill>
              <a:latin typeface="Arial"/>
              <a:cs typeface="Arial"/>
            </a:rPr>
            <a:t>sl</a:t>
          </a:r>
          <a:r>
            <a:rPr lang="en-US" sz="800" b="0" i="0" u="none" strike="noStrike" baseline="0">
              <a:solidFill>
                <a:srgbClr val="000000"/>
              </a:solidFill>
              <a:latin typeface="Arial"/>
              <a:cs typeface="Arial"/>
            </a:rPr>
            <a:t>, defined as the total contaminant mass per unit dry solid mass) assuming equilibrium partitioning with q*</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q*</a:t>
          </a:r>
          <a:r>
            <a:rPr lang="en-US" sz="800" b="0" i="0" u="none" strike="noStrike" baseline="-25000">
              <a:solidFill>
                <a:srgbClr val="000000"/>
              </a:solidFill>
              <a:latin typeface="Arial"/>
              <a:cs typeface="Arial"/>
            </a:rPr>
            <a:t>sl  </a:t>
          </a:r>
          <a:r>
            <a:rPr lang="en-US" sz="800" b="0" i="0" u="none" strike="noStrike" baseline="0">
              <a:solidFill>
                <a:srgbClr val="000000"/>
              </a:solidFill>
              <a:latin typeface="Arial"/>
              <a:cs typeface="Arial"/>
            </a:rPr>
            <a:t>= (q*</a:t>
          </a:r>
          <a:r>
            <a:rPr lang="en-US" sz="800" b="0" i="0" u="none" strike="noStrike" baseline="-25000">
              <a:solidFill>
                <a:srgbClr val="000000"/>
              </a:solidFill>
              <a:latin typeface="Arial"/>
              <a:cs typeface="Arial"/>
            </a:rPr>
            <a:t>sed </a:t>
          </a:r>
          <a:r>
            <a:rPr lang="en-US" sz="800" b="0" i="0" u="none" strike="noStrike" baseline="0">
              <a:solidFill>
                <a:srgbClr val="000000"/>
              </a:solidFill>
              <a:latin typeface="Arial"/>
              <a:cs typeface="Arial"/>
            </a:rPr>
            <a:t>+ ((TSS</a:t>
          </a:r>
          <a:r>
            <a:rPr lang="en-US" sz="800" b="0" i="0" u="none" strike="noStrike" baseline="-25000">
              <a:solidFill>
                <a:srgbClr val="000000"/>
              </a:solidFill>
              <a:latin typeface="Arial"/>
              <a:cs typeface="Arial"/>
            </a:rPr>
            <a:t>sed </a:t>
          </a:r>
          <a:r>
            <a:rPr lang="en-US" sz="800" b="0" i="0" u="none" strike="noStrike" baseline="0">
              <a:solidFill>
                <a:srgbClr val="000000"/>
              </a:solidFill>
              <a:latin typeface="Arial"/>
              <a:cs typeface="Arial"/>
            </a:rPr>
            <a:t>- TSS</a:t>
          </a:r>
          <a:r>
            <a:rPr lang="en-US" sz="800" b="0" i="0" u="none" strike="noStrike" baseline="-25000">
              <a:solidFill>
                <a:srgbClr val="000000"/>
              </a:solidFill>
              <a:latin typeface="Arial"/>
              <a:cs typeface="Arial"/>
            </a:rPr>
            <a:t>sl</a:t>
          </a:r>
          <a:r>
            <a:rPr lang="en-US" sz="800" b="0" i="0" u="none" strike="noStrike" baseline="0">
              <a:solidFill>
                <a:srgbClr val="000000"/>
              </a:solidFill>
              <a:latin typeface="Arial"/>
              <a:cs typeface="Arial"/>
            </a:rPr>
            <a:t>) /(TSS</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*TSS</a:t>
          </a:r>
          <a:r>
            <a:rPr lang="en-US" sz="800" b="0" i="0" u="none" strike="noStrike" baseline="-25000">
              <a:solidFill>
                <a:srgbClr val="000000"/>
              </a:solidFill>
              <a:latin typeface="Arial"/>
              <a:cs typeface="Arial"/>
            </a:rPr>
            <a:t>sl</a:t>
          </a:r>
          <a:r>
            <a:rPr lang="en-US" sz="800" b="0" i="0" u="none" strike="noStrike" baseline="0">
              <a:solidFill>
                <a:srgbClr val="000000"/>
              </a:solidFill>
              <a:latin typeface="Arial"/>
              <a:cs typeface="Arial"/>
            </a:rPr>
            <a:t>)*C</a:t>
          </a:r>
          <a:r>
            <a:rPr lang="en-US" sz="800" b="0" i="0" u="none" strike="noStrike" baseline="-25000">
              <a:solidFill>
                <a:srgbClr val="000000"/>
              </a:solidFill>
              <a:latin typeface="Arial"/>
              <a:cs typeface="Arial"/>
            </a:rPr>
            <a:t>c</a:t>
          </a:r>
          <a:r>
            <a:rPr lang="en-US" sz="800" b="0" i="0" u="none" strike="noStrike" baseline="0">
              <a:solidFill>
                <a:srgbClr val="000000"/>
              </a:solidFill>
              <a:latin typeface="Arial"/>
              <a:cs typeface="Arial"/>
            </a:rPr>
            <a:t>))</a:t>
          </a:r>
        </a:p>
      </xdr:txBody>
    </xdr:sp>
    <xdr:clientData/>
  </xdr:twoCellAnchor>
  <xdr:twoCellAnchor>
    <xdr:from>
      <xdr:col>5</xdr:col>
      <xdr:colOff>133350</xdr:colOff>
      <xdr:row>198</xdr:row>
      <xdr:rowOff>123825</xdr:rowOff>
    </xdr:from>
    <xdr:to>
      <xdr:col>10</xdr:col>
      <xdr:colOff>38100</xdr:colOff>
      <xdr:row>204</xdr:row>
      <xdr:rowOff>76200</xdr:rowOff>
    </xdr:to>
    <xdr:sp macro="" textlink="">
      <xdr:nvSpPr>
        <xdr:cNvPr id="16943" name="Text Box 559">
          <a:extLst>
            <a:ext uri="{FF2B5EF4-FFF2-40B4-BE49-F238E27FC236}">
              <a16:creationId xmlns:a16="http://schemas.microsoft.com/office/drawing/2014/main" id="{00000000-0008-0000-0900-00002F420000}"/>
            </a:ext>
          </a:extLst>
        </xdr:cNvPr>
        <xdr:cNvSpPr txBox="1">
          <a:spLocks noChangeArrowheads="1"/>
        </xdr:cNvSpPr>
      </xdr:nvSpPr>
      <xdr:spPr bwMode="auto">
        <a:xfrm>
          <a:off x="3181350" y="32184975"/>
          <a:ext cx="2552700" cy="923925"/>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Calculate the ponded water concentration based on pore water dilution with carrier water, C</a:t>
          </a:r>
          <a:r>
            <a:rPr lang="en-US" sz="800" b="0" i="0" u="none" strike="noStrike" baseline="-25000">
              <a:solidFill>
                <a:srgbClr val="000000"/>
              </a:solidFill>
              <a:latin typeface="Arial"/>
              <a:cs typeface="Arial"/>
            </a:rPr>
            <a:t>w1</a:t>
          </a:r>
          <a:r>
            <a:rPr lang="en-US" sz="800" b="0" i="0" u="none" strike="noStrike" baseline="0">
              <a:solidFill>
                <a:srgbClr val="000000"/>
              </a:solidFill>
              <a:latin typeface="Arial"/>
              <a:cs typeface="Arial"/>
            </a:rPr>
            <a:t>.</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a:t>
          </a:r>
          <a:r>
            <a:rPr lang="en-US" sz="800" b="0" i="0" u="none" strike="noStrike" baseline="-25000">
              <a:solidFill>
                <a:srgbClr val="000000"/>
              </a:solidFill>
              <a:latin typeface="Arial"/>
              <a:cs typeface="Arial"/>
            </a:rPr>
            <a:t>w1 </a:t>
          </a:r>
          <a:r>
            <a:rPr lang="en-US" sz="800" b="0" i="0" u="none" strike="noStrike" baseline="0">
              <a:solidFill>
                <a:srgbClr val="000000"/>
              </a:solidFill>
              <a:latin typeface="Arial"/>
              <a:cs typeface="Arial"/>
            </a:rPr>
            <a:t>= (((TSS</a:t>
          </a:r>
          <a:r>
            <a:rPr lang="en-US" sz="800" b="0" i="0" u="none" strike="noStrike" baseline="-25000">
              <a:solidFill>
                <a:srgbClr val="000000"/>
              </a:solidFill>
              <a:latin typeface="Arial"/>
              <a:cs typeface="Arial"/>
            </a:rPr>
            <a:t>sl</a:t>
          </a:r>
          <a:r>
            <a:rPr lang="en-US" sz="800" b="0" i="0" u="none" strike="noStrike" baseline="0">
              <a:solidFill>
                <a:srgbClr val="000000"/>
              </a:solidFill>
              <a:latin typeface="Arial"/>
              <a:cs typeface="Arial"/>
            </a:rPr>
            <a:t>*n</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)*C</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 + (TSS</a:t>
          </a:r>
          <a:r>
            <a:rPr lang="en-US" sz="800" b="0" i="0" u="none" strike="noStrike" baseline="-25000">
              <a:solidFill>
                <a:srgbClr val="000000"/>
              </a:solidFill>
              <a:latin typeface="Arial"/>
              <a:cs typeface="Arial"/>
            </a:rPr>
            <a:t>sed </a:t>
          </a:r>
          <a:r>
            <a:rPr lang="en-US" sz="800" b="0" i="0" u="none" strike="noStrike" baseline="0">
              <a:solidFill>
                <a:srgbClr val="000000"/>
              </a:solidFill>
              <a:latin typeface="Arial"/>
              <a:cs typeface="Arial"/>
            </a:rPr>
            <a:t>- TSS</a:t>
          </a:r>
          <a:r>
            <a:rPr lang="en-US" sz="800" b="0" i="0" u="none" strike="noStrike" baseline="-25000">
              <a:solidFill>
                <a:srgbClr val="000000"/>
              </a:solidFill>
              <a:latin typeface="Arial"/>
              <a:cs typeface="Arial"/>
            </a:rPr>
            <a:t>sl</a:t>
          </a:r>
          <a:r>
            <a:rPr lang="en-US" sz="800" b="0" i="0" u="none" strike="noStrike" baseline="0">
              <a:solidFill>
                <a:srgbClr val="000000"/>
              </a:solidFill>
              <a:latin typeface="Arial"/>
              <a:cs typeface="Arial"/>
            </a:rPr>
            <a:t>)*C</a:t>
          </a:r>
          <a:r>
            <a:rPr lang="en-US" sz="800" b="0" i="0" u="none" strike="noStrike" baseline="-25000">
              <a:solidFill>
                <a:srgbClr val="000000"/>
              </a:solidFill>
              <a:latin typeface="Arial"/>
              <a:cs typeface="Arial"/>
            </a:rPr>
            <a:t>c</a:t>
          </a:r>
          <a:r>
            <a:rPr lang="en-US" sz="800" b="0" i="0" u="none" strike="noStrike" baseline="0">
              <a:solidFill>
                <a:srgbClr val="000000"/>
              </a:solidFill>
              <a:latin typeface="Arial"/>
              <a:cs typeface="Arial"/>
            </a:rPr>
            <a:t>) / (TSS</a:t>
          </a:r>
          <a:r>
            <a:rPr lang="en-US" sz="800" b="0" i="0" u="none" strike="noStrike" baseline="-25000">
              <a:solidFill>
                <a:srgbClr val="000000"/>
              </a:solidFill>
              <a:latin typeface="Arial"/>
              <a:cs typeface="Arial"/>
            </a:rPr>
            <a:t>sl</a:t>
          </a:r>
          <a:r>
            <a:rPr lang="en-US" sz="800" b="0" i="0" u="none" strike="noStrike" baseline="0">
              <a:solidFill>
                <a:srgbClr val="000000"/>
              </a:solidFill>
              <a:latin typeface="Arial"/>
              <a:cs typeface="Arial"/>
            </a:rPr>
            <a:t>*n</a:t>
          </a:r>
          <a:r>
            <a:rPr lang="en-US" sz="800" b="0" i="0" u="none" strike="noStrike" baseline="-25000">
              <a:solidFill>
                <a:srgbClr val="000000"/>
              </a:solidFill>
              <a:latin typeface="Arial"/>
              <a:cs typeface="Arial"/>
            </a:rPr>
            <a:t>sed </a:t>
          </a:r>
          <a:r>
            <a:rPr lang="en-US" sz="800" b="0" i="0" u="none" strike="noStrike" baseline="0">
              <a:solidFill>
                <a:srgbClr val="000000"/>
              </a:solidFill>
              <a:latin typeface="Arial"/>
              <a:cs typeface="Arial"/>
            </a:rPr>
            <a:t>+ TSS</a:t>
          </a:r>
          <a:r>
            <a:rPr lang="en-US" sz="800" b="0" i="0" u="none" strike="noStrike" baseline="-25000">
              <a:solidFill>
                <a:srgbClr val="000000"/>
              </a:solidFill>
              <a:latin typeface="Arial"/>
              <a:cs typeface="Arial"/>
            </a:rPr>
            <a:t>sed </a:t>
          </a:r>
          <a:r>
            <a:rPr lang="en-US" sz="800" b="0" i="0" u="none" strike="noStrike" baseline="0">
              <a:solidFill>
                <a:srgbClr val="000000"/>
              </a:solidFill>
              <a:latin typeface="Arial"/>
              <a:cs typeface="Arial"/>
            </a:rPr>
            <a:t>- TSS</a:t>
          </a:r>
          <a:r>
            <a:rPr lang="en-US" sz="800" b="0" i="0" u="none" strike="noStrike" baseline="-25000">
              <a:solidFill>
                <a:srgbClr val="000000"/>
              </a:solidFill>
              <a:latin typeface="Arial"/>
              <a:cs typeface="Arial"/>
            </a:rPr>
            <a:t>sl</a:t>
          </a:r>
          <a:r>
            <a:rPr lang="en-US" sz="800" b="0" i="0" u="none" strike="noStrike" baseline="0">
              <a:solidFill>
                <a:srgbClr val="000000"/>
              </a:solidFill>
              <a:latin typeface="Arial"/>
              <a:cs typeface="Arial"/>
            </a:rPr>
            <a:t>)</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11</xdr:col>
      <xdr:colOff>228600</xdr:colOff>
      <xdr:row>198</xdr:row>
      <xdr:rowOff>114300</xdr:rowOff>
    </xdr:from>
    <xdr:to>
      <xdr:col>16</xdr:col>
      <xdr:colOff>47625</xdr:colOff>
      <xdr:row>204</xdr:row>
      <xdr:rowOff>57150</xdr:rowOff>
    </xdr:to>
    <xdr:sp macro="" textlink="">
      <xdr:nvSpPr>
        <xdr:cNvPr id="16944" name="Text Box 560">
          <a:extLst>
            <a:ext uri="{FF2B5EF4-FFF2-40B4-BE49-F238E27FC236}">
              <a16:creationId xmlns:a16="http://schemas.microsoft.com/office/drawing/2014/main" id="{00000000-0008-0000-0900-000030420000}"/>
            </a:ext>
          </a:extLst>
        </xdr:cNvPr>
        <xdr:cNvSpPr txBox="1">
          <a:spLocks noChangeArrowheads="1"/>
        </xdr:cNvSpPr>
      </xdr:nvSpPr>
      <xdr:spPr bwMode="auto">
        <a:xfrm>
          <a:off x="6534150" y="32175450"/>
          <a:ext cx="2867025" cy="914400"/>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Calculate the dissolved contaminant concentration in the ponded water, C</a:t>
          </a:r>
          <a:r>
            <a:rPr lang="en-US" sz="800" b="0" i="0" u="none" strike="noStrike" baseline="-25000">
              <a:solidFill>
                <a:srgbClr val="000000"/>
              </a:solidFill>
              <a:latin typeface="Arial"/>
              <a:cs typeface="Arial"/>
            </a:rPr>
            <a:t>w2</a:t>
          </a:r>
          <a:r>
            <a:rPr lang="en-US" sz="800" b="0" i="0" u="none" strike="noStrike" baseline="0">
              <a:solidFill>
                <a:srgbClr val="000000"/>
              </a:solidFill>
              <a:latin typeface="Arial"/>
              <a:cs typeface="Arial"/>
            </a:rPr>
            <a:t>, based on equilibrium partitioning.</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a:t>
          </a:r>
          <a:r>
            <a:rPr lang="en-US" sz="800" b="0" i="0" u="none" strike="noStrike" baseline="-25000">
              <a:solidFill>
                <a:srgbClr val="000000"/>
              </a:solidFill>
              <a:latin typeface="Arial"/>
              <a:cs typeface="Arial"/>
            </a:rPr>
            <a:t>w2 </a:t>
          </a:r>
          <a:r>
            <a:rPr lang="en-US" sz="800" b="0" i="0" u="none" strike="noStrike" baseline="0">
              <a:solidFill>
                <a:srgbClr val="000000"/>
              </a:solidFill>
              <a:latin typeface="Arial"/>
              <a:cs typeface="Arial"/>
            </a:rPr>
            <a:t>= q*</a:t>
          </a:r>
          <a:r>
            <a:rPr lang="en-US" sz="800" b="0" i="0" u="none" strike="noStrike" baseline="-25000">
              <a:solidFill>
                <a:srgbClr val="000000"/>
              </a:solidFill>
              <a:latin typeface="Arial"/>
              <a:cs typeface="Arial"/>
            </a:rPr>
            <a:t>sl</a:t>
          </a:r>
          <a:r>
            <a:rPr lang="en-US" sz="800" b="0" i="0" u="none" strike="noStrike" baseline="0">
              <a:solidFill>
                <a:srgbClr val="000000"/>
              </a:solidFill>
              <a:latin typeface="Arial"/>
              <a:cs typeface="Arial"/>
            </a:rPr>
            <a:t>/((n</a:t>
          </a:r>
          <a:r>
            <a:rPr lang="en-US" sz="800" b="0" i="0" u="none" strike="noStrike" baseline="-25000">
              <a:solidFill>
                <a:srgbClr val="000000"/>
              </a:solidFill>
              <a:latin typeface="Arial"/>
              <a:cs typeface="Arial"/>
            </a:rPr>
            <a:t>sl </a:t>
          </a:r>
          <a:r>
            <a:rPr lang="en-US" sz="800" b="0" i="0" u="none" strike="noStrike" baseline="0">
              <a:solidFill>
                <a:srgbClr val="000000"/>
              </a:solidFill>
              <a:latin typeface="Arial"/>
              <a:cs typeface="Arial"/>
            </a:rPr>
            <a:t>+ ((1 - n</a:t>
          </a:r>
          <a:r>
            <a:rPr lang="en-US" sz="800" b="0" i="0" u="none" strike="noStrike" baseline="-25000">
              <a:solidFill>
                <a:srgbClr val="000000"/>
              </a:solidFill>
              <a:latin typeface="Arial"/>
              <a:cs typeface="Arial"/>
            </a:rPr>
            <a:t>sl</a:t>
          </a:r>
          <a:r>
            <a:rPr lang="en-US" sz="800" b="0" i="0" u="none" strike="noStrike" baseline="0">
              <a:solidFill>
                <a:srgbClr val="000000"/>
              </a:solidFill>
              <a:latin typeface="Arial"/>
              <a:cs typeface="Arial"/>
            </a:rPr>
            <a:t>) *SG*</a:t>
          </a:r>
          <a:r>
            <a:rPr lang="en-US" sz="800" b="0" i="0" u="none" strike="noStrike" baseline="0">
              <a:solidFill>
                <a:srgbClr val="000000"/>
              </a:solidFill>
              <a:latin typeface="Symbol"/>
            </a:rPr>
            <a:t>r</a:t>
          </a:r>
          <a:r>
            <a:rPr lang="en-US" sz="800" b="0" i="0" u="none" strike="noStrike" baseline="-25000">
              <a:solidFill>
                <a:srgbClr val="000000"/>
              </a:solidFill>
              <a:latin typeface="Arial"/>
              <a:cs typeface="Arial"/>
            </a:rPr>
            <a:t>w</a:t>
          </a:r>
          <a:r>
            <a:rPr lang="en-US" sz="800" b="0" i="0" u="none" strike="noStrike" baseline="0">
              <a:solidFill>
                <a:srgbClr val="000000"/>
              </a:solidFill>
              <a:latin typeface="Arial"/>
              <a:cs typeface="Arial"/>
            </a:rPr>
            <a:t>*K</a:t>
          </a:r>
          <a:r>
            <a:rPr lang="en-US" sz="800" b="0" i="0" u="none" strike="noStrike" baseline="-25000">
              <a:solidFill>
                <a:srgbClr val="000000"/>
              </a:solidFill>
              <a:latin typeface="Arial"/>
              <a:cs typeface="Arial"/>
            </a:rPr>
            <a:t>d</a:t>
          </a:r>
          <a:r>
            <a:rPr lang="en-US" sz="800" b="0" i="0" u="none" strike="noStrike" baseline="0">
              <a:solidFill>
                <a:srgbClr val="000000"/>
              </a:solidFill>
              <a:latin typeface="Arial"/>
              <a:cs typeface="Arial"/>
            </a:rPr>
            <a:t>))/((1- n</a:t>
          </a:r>
          <a:r>
            <a:rPr lang="en-US" sz="800" b="0" i="0" u="none" strike="noStrike" baseline="-25000">
              <a:solidFill>
                <a:srgbClr val="000000"/>
              </a:solidFill>
              <a:latin typeface="Arial"/>
              <a:cs typeface="Arial"/>
            </a:rPr>
            <a:t>sl</a:t>
          </a:r>
          <a:r>
            <a:rPr lang="en-US" sz="800" b="0" i="0" u="none" strike="noStrike" baseline="0">
              <a:solidFill>
                <a:srgbClr val="000000"/>
              </a:solidFill>
              <a:latin typeface="Arial"/>
              <a:cs typeface="Arial"/>
            </a:rPr>
            <a:t>) *SG*</a:t>
          </a:r>
          <a:r>
            <a:rPr lang="en-US" sz="800" b="0" i="0" u="none" strike="noStrike" baseline="0">
              <a:solidFill>
                <a:srgbClr val="000000"/>
              </a:solidFill>
              <a:latin typeface="Symbol"/>
            </a:rPr>
            <a:t>r</a:t>
          </a:r>
          <a:r>
            <a:rPr lang="en-US" sz="800" b="0" i="0" u="none" strike="noStrike" baseline="-25000">
              <a:solidFill>
                <a:srgbClr val="000000"/>
              </a:solidFill>
              <a:latin typeface="Arial"/>
              <a:cs typeface="Arial"/>
            </a:rPr>
            <a:t>w</a:t>
          </a:r>
          <a:r>
            <a:rPr lang="en-US" sz="800" b="0" i="0" u="none" strike="noStrike" baseline="0">
              <a:solidFill>
                <a:srgbClr val="000000"/>
              </a:solidFill>
              <a:latin typeface="Arial"/>
              <a:cs typeface="Arial"/>
            </a:rPr>
            <a:t>*1000))</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7</xdr:col>
      <xdr:colOff>361950</xdr:colOff>
      <xdr:row>206</xdr:row>
      <xdr:rowOff>85725</xdr:rowOff>
    </xdr:from>
    <xdr:to>
      <xdr:col>13</xdr:col>
      <xdr:colOff>200025</xdr:colOff>
      <xdr:row>210</xdr:row>
      <xdr:rowOff>28575</xdr:rowOff>
    </xdr:to>
    <xdr:sp macro="" textlink="">
      <xdr:nvSpPr>
        <xdr:cNvPr id="16945" name="Text Box 561">
          <a:extLst>
            <a:ext uri="{FF2B5EF4-FFF2-40B4-BE49-F238E27FC236}">
              <a16:creationId xmlns:a16="http://schemas.microsoft.com/office/drawing/2014/main" id="{00000000-0008-0000-0900-000031420000}"/>
            </a:ext>
          </a:extLst>
        </xdr:cNvPr>
        <xdr:cNvSpPr txBox="1">
          <a:spLocks noChangeArrowheads="1"/>
        </xdr:cNvSpPr>
      </xdr:nvSpPr>
      <xdr:spPr bwMode="auto">
        <a:xfrm>
          <a:off x="4229100" y="33442275"/>
          <a:ext cx="3495675" cy="590550"/>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The predicted ponded water concentration, C</a:t>
          </a:r>
          <a:r>
            <a:rPr lang="en-US" sz="800" b="0" i="0" u="none" strike="noStrike" baseline="-25000">
              <a:solidFill>
                <a:srgbClr val="000000"/>
              </a:solidFill>
              <a:latin typeface="Arial"/>
              <a:cs typeface="Arial"/>
            </a:rPr>
            <a:t>w,</a:t>
          </a:r>
          <a:r>
            <a:rPr lang="en-US" sz="800" b="0" i="0" u="none" strike="noStrike" baseline="0">
              <a:solidFill>
                <a:srgbClr val="000000"/>
              </a:solidFill>
              <a:latin typeface="Arial"/>
              <a:cs typeface="Arial"/>
            </a:rPr>
            <a:t> (for both on- and off-site conditions) is chosen as the greater between C</a:t>
          </a:r>
          <a:r>
            <a:rPr lang="en-US" sz="800" b="0" i="0" u="none" strike="noStrike" baseline="-25000">
              <a:solidFill>
                <a:srgbClr val="000000"/>
              </a:solidFill>
              <a:latin typeface="Arial"/>
              <a:cs typeface="Arial"/>
            </a:rPr>
            <a:t>w1</a:t>
          </a:r>
          <a:r>
            <a:rPr lang="en-US" sz="800" b="0" i="0" u="none" strike="noStrike" baseline="0">
              <a:solidFill>
                <a:srgbClr val="000000"/>
              </a:solidFill>
              <a:latin typeface="Arial"/>
              <a:cs typeface="Arial"/>
            </a:rPr>
            <a:t> and C</a:t>
          </a:r>
          <a:r>
            <a:rPr lang="en-US" sz="800" b="0" i="0" u="none" strike="noStrike" baseline="-25000">
              <a:solidFill>
                <a:srgbClr val="000000"/>
              </a:solidFill>
              <a:latin typeface="Arial"/>
              <a:cs typeface="Arial"/>
            </a:rPr>
            <a:t>w2</a:t>
          </a:r>
          <a:r>
            <a:rPr lang="en-US" sz="800" b="0" i="0" u="none" strike="noStrike" baseline="0">
              <a:solidFill>
                <a:srgbClr val="000000"/>
              </a:solidFill>
              <a:latin typeface="Arial"/>
              <a:cs typeface="Arial"/>
            </a:rPr>
            <a:t>.</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a:t>
          </a:r>
        </a:p>
      </xdr:txBody>
    </xdr:sp>
    <xdr:clientData/>
  </xdr:twoCellAnchor>
  <xdr:twoCellAnchor>
    <xdr:from>
      <xdr:col>7</xdr:col>
      <xdr:colOff>590550</xdr:colOff>
      <xdr:row>204</xdr:row>
      <xdr:rowOff>76200</xdr:rowOff>
    </xdr:from>
    <xdr:to>
      <xdr:col>10</xdr:col>
      <xdr:colOff>285750</xdr:colOff>
      <xdr:row>206</xdr:row>
      <xdr:rowOff>85725</xdr:rowOff>
    </xdr:to>
    <xdr:cxnSp macro="">
      <xdr:nvCxnSpPr>
        <xdr:cNvPr id="17287" name="AutoShape 562">
          <a:extLst>
            <a:ext uri="{FF2B5EF4-FFF2-40B4-BE49-F238E27FC236}">
              <a16:creationId xmlns:a16="http://schemas.microsoft.com/office/drawing/2014/main" id="{00000000-0008-0000-0900-000087430000}"/>
            </a:ext>
          </a:extLst>
        </xdr:cNvPr>
        <xdr:cNvCxnSpPr>
          <a:cxnSpLocks noChangeShapeType="1"/>
          <a:stCxn id="16943" idx="2"/>
          <a:endCxn id="16945" idx="0"/>
        </xdr:cNvCxnSpPr>
      </xdr:nvCxnSpPr>
      <xdr:spPr bwMode="auto">
        <a:xfrm rot="16200000" flipH="1">
          <a:off x="5053012" y="32513588"/>
          <a:ext cx="333375" cy="1524000"/>
        </a:xfrm>
        <a:prstGeom prst="bentConnector3">
          <a:avLst>
            <a:gd name="adj1" fmla="val 48569"/>
          </a:avLst>
        </a:prstGeom>
        <a:noFill/>
        <a:ln w="9525">
          <a:solidFill>
            <a:srgbClr val="000000"/>
          </a:solidFill>
          <a:miter lim="800000"/>
          <a:headEnd/>
          <a:tailEnd type="stealth" w="med" len="med"/>
        </a:ln>
      </xdr:spPr>
    </xdr:cxnSp>
    <xdr:clientData/>
  </xdr:twoCellAnchor>
  <xdr:twoCellAnchor>
    <xdr:from>
      <xdr:col>10</xdr:col>
      <xdr:colOff>276225</xdr:colOff>
      <xdr:row>204</xdr:row>
      <xdr:rowOff>47625</xdr:rowOff>
    </xdr:from>
    <xdr:to>
      <xdr:col>13</xdr:col>
      <xdr:colOff>381000</xdr:colOff>
      <xdr:row>205</xdr:row>
      <xdr:rowOff>66675</xdr:rowOff>
    </xdr:to>
    <xdr:cxnSp macro="">
      <xdr:nvCxnSpPr>
        <xdr:cNvPr id="17288" name="AutoShape 563">
          <a:extLst>
            <a:ext uri="{FF2B5EF4-FFF2-40B4-BE49-F238E27FC236}">
              <a16:creationId xmlns:a16="http://schemas.microsoft.com/office/drawing/2014/main" id="{00000000-0008-0000-0900-000088430000}"/>
            </a:ext>
          </a:extLst>
        </xdr:cNvPr>
        <xdr:cNvCxnSpPr>
          <a:cxnSpLocks noChangeShapeType="1"/>
        </xdr:cNvCxnSpPr>
      </xdr:nvCxnSpPr>
      <xdr:spPr bwMode="auto">
        <a:xfrm rot="5400000">
          <a:off x="6848475" y="32204025"/>
          <a:ext cx="180975" cy="1933575"/>
        </a:xfrm>
        <a:prstGeom prst="bentConnector2">
          <a:avLst/>
        </a:prstGeom>
        <a:noFill/>
        <a:ln w="9525">
          <a:solidFill>
            <a:srgbClr val="000000"/>
          </a:solidFill>
          <a:miter lim="800000"/>
          <a:headEnd/>
          <a:tailEnd/>
        </a:ln>
      </xdr:spPr>
    </xdr:cxnSp>
    <xdr:clientData/>
  </xdr:twoCellAnchor>
  <xdr:twoCellAnchor>
    <xdr:from>
      <xdr:col>7</xdr:col>
      <xdr:colOff>476250</xdr:colOff>
      <xdr:row>211</xdr:row>
      <xdr:rowOff>57150</xdr:rowOff>
    </xdr:from>
    <xdr:to>
      <xdr:col>13</xdr:col>
      <xdr:colOff>66675</xdr:colOff>
      <xdr:row>225</xdr:row>
      <xdr:rowOff>152400</xdr:rowOff>
    </xdr:to>
    <xdr:sp macro="" textlink="">
      <xdr:nvSpPr>
        <xdr:cNvPr id="16950" name="Text Box 566">
          <a:extLst>
            <a:ext uri="{FF2B5EF4-FFF2-40B4-BE49-F238E27FC236}">
              <a16:creationId xmlns:a16="http://schemas.microsoft.com/office/drawing/2014/main" id="{00000000-0008-0000-0900-000036420000}"/>
            </a:ext>
          </a:extLst>
        </xdr:cNvPr>
        <xdr:cNvSpPr txBox="1">
          <a:spLocks noChangeArrowheads="1"/>
        </xdr:cNvSpPr>
      </xdr:nvSpPr>
      <xdr:spPr bwMode="auto">
        <a:xfrm>
          <a:off x="4343400" y="34223325"/>
          <a:ext cx="3248025" cy="2362200"/>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r>
            <a:rPr lang="en-US" sz="800" b="0" i="0" u="none" strike="noStrike" baseline="0">
              <a:solidFill>
                <a:srgbClr val="000000"/>
              </a:solidFill>
              <a:latin typeface="Arial"/>
              <a:cs typeface="Arial"/>
            </a:rPr>
            <a:t>Calculate the volatile flux, N from the ponded surface based on the ponded water concentration and overall mass transfer coefficient, K</a:t>
          </a:r>
          <a:r>
            <a:rPr lang="en-US" sz="800" b="0" i="0" u="none" strike="noStrike" baseline="-25000">
              <a:solidFill>
                <a:srgbClr val="000000"/>
              </a:solidFill>
              <a:latin typeface="Arial"/>
              <a:cs typeface="Arial"/>
            </a:rPr>
            <a:t>OL</a:t>
          </a:r>
          <a:r>
            <a:rPr lang="en-US" sz="800" b="0" i="0" u="none" strike="noStrike" baseline="0">
              <a:solidFill>
                <a:srgbClr val="000000"/>
              </a:solidFill>
              <a:latin typeface="Arial"/>
              <a:cs typeface="Arial"/>
            </a:rPr>
            <a:t>.</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N = C</a:t>
          </a:r>
          <a:r>
            <a:rPr lang="en-US" sz="800" b="0" i="0" u="none" strike="noStrike" baseline="-25000">
              <a:solidFill>
                <a:srgbClr val="000000"/>
              </a:solidFill>
              <a:latin typeface="Arial"/>
              <a:cs typeface="Arial"/>
            </a:rPr>
            <a:t>w</a:t>
          </a:r>
          <a:r>
            <a:rPr lang="en-US" sz="800" b="0" i="0" u="none" strike="noStrike" baseline="0">
              <a:solidFill>
                <a:srgbClr val="000000"/>
              </a:solidFill>
              <a:latin typeface="Arial"/>
              <a:cs typeface="Arial"/>
            </a:rPr>
            <a:t>*K</a:t>
          </a:r>
          <a:r>
            <a:rPr lang="en-US" sz="800" b="0" i="0" u="none" strike="noStrike" baseline="-25000">
              <a:solidFill>
                <a:srgbClr val="000000"/>
              </a:solidFill>
              <a:latin typeface="Arial"/>
              <a:cs typeface="Arial"/>
            </a:rPr>
            <a:t>OL</a:t>
          </a:r>
          <a:r>
            <a:rPr lang="en-US" sz="800" b="0" i="0" u="none" strike="noStrike" baseline="0">
              <a:solidFill>
                <a:srgbClr val="000000"/>
              </a:solidFill>
              <a:latin typeface="Arial"/>
              <a:cs typeface="Arial"/>
            </a:rPr>
            <a:t>/10</a:t>
          </a:r>
          <a:r>
            <a:rPr lang="en-US" sz="800" b="0" i="0" u="none" strike="noStrike" baseline="30000">
              <a:solidFill>
                <a:srgbClr val="000000"/>
              </a:solidFill>
              <a:latin typeface="Arial"/>
              <a:cs typeface="Arial"/>
            </a:rPr>
            <a:t>9</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K</a:t>
          </a:r>
          <a:r>
            <a:rPr lang="en-US" sz="800" b="0" i="0" u="none" strike="noStrike" baseline="-25000">
              <a:solidFill>
                <a:srgbClr val="000000"/>
              </a:solidFill>
              <a:latin typeface="Arial"/>
              <a:cs typeface="Arial"/>
            </a:rPr>
            <a:t>OL</a:t>
          </a:r>
          <a:r>
            <a:rPr lang="en-US" sz="800" b="0" i="0" u="none" strike="noStrike" baseline="0">
              <a:solidFill>
                <a:srgbClr val="000000"/>
              </a:solidFill>
              <a:latin typeface="Arial"/>
              <a:cs typeface="Arial"/>
            </a:rPr>
            <a:t> is based on the liquid-side mass transfer coefficent (K</a:t>
          </a:r>
          <a:r>
            <a:rPr lang="en-US" sz="800" b="0" i="0" u="none" strike="noStrike" baseline="-25000">
              <a:solidFill>
                <a:srgbClr val="000000"/>
              </a:solidFill>
              <a:latin typeface="Arial"/>
              <a:cs typeface="Arial"/>
            </a:rPr>
            <a:t>L</a:t>
          </a:r>
          <a:r>
            <a:rPr lang="en-US" sz="800" b="0" i="0" u="none" strike="noStrike" baseline="0">
              <a:solidFill>
                <a:srgbClr val="000000"/>
              </a:solidFill>
              <a:latin typeface="Arial"/>
              <a:cs typeface="Arial"/>
            </a:rPr>
            <a:t>) and the gas-side mass transfer coefficient (K</a:t>
          </a:r>
          <a:r>
            <a:rPr lang="en-US" sz="800" b="0" i="0" u="none" strike="noStrike" baseline="-25000">
              <a:solidFill>
                <a:srgbClr val="000000"/>
              </a:solidFill>
              <a:latin typeface="Arial"/>
              <a:cs typeface="Arial"/>
            </a:rPr>
            <a:t>G</a:t>
          </a:r>
          <a:r>
            <a:rPr lang="en-US" sz="800" b="0" i="0" u="none" strike="noStrike" baseline="0">
              <a:solidFill>
                <a:srgbClr val="000000"/>
              </a:solidFill>
              <a:latin typeface="Arial"/>
              <a:cs typeface="Arial"/>
            </a:rPr>
            <a:t>):</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K</a:t>
          </a:r>
          <a:r>
            <a:rPr lang="en-US" sz="800" b="0" i="0" u="none" strike="noStrike" baseline="-25000">
              <a:solidFill>
                <a:srgbClr val="000000"/>
              </a:solidFill>
              <a:latin typeface="Arial"/>
              <a:cs typeface="Arial"/>
            </a:rPr>
            <a:t>OL</a:t>
          </a:r>
          <a:r>
            <a:rPr lang="en-US" sz="800" b="0" i="0" u="none" strike="noStrike" baseline="0">
              <a:solidFill>
                <a:srgbClr val="000000"/>
              </a:solidFill>
              <a:latin typeface="Arial"/>
              <a:cs typeface="Arial"/>
            </a:rPr>
            <a:t> = [1/KL + 1/(H' K</a:t>
          </a:r>
          <a:r>
            <a:rPr lang="en-US" sz="800" b="0" i="0" u="none" strike="noStrike" baseline="-25000">
              <a:solidFill>
                <a:srgbClr val="000000"/>
              </a:solidFill>
              <a:latin typeface="Arial"/>
              <a:cs typeface="Arial"/>
            </a:rPr>
            <a:t>G</a:t>
          </a:r>
          <a:r>
            <a:rPr lang="en-US" sz="800" b="0" i="0" u="none" strike="noStrike" baseline="0">
              <a:solidFill>
                <a:srgbClr val="000000"/>
              </a:solidFill>
              <a:latin typeface="Arial"/>
              <a:cs typeface="Arial"/>
            </a:rPr>
            <a:t>)]</a:t>
          </a:r>
          <a:r>
            <a:rPr lang="en-US" sz="800" b="0" i="0" u="none" strike="noStrike" baseline="30000">
              <a:solidFill>
                <a:srgbClr val="000000"/>
              </a:solidFill>
              <a:latin typeface="Arial"/>
              <a:cs typeface="Arial"/>
            </a:rPr>
            <a:t>-1</a:t>
          </a:r>
          <a:r>
            <a:rPr lang="en-US" sz="800" b="0" i="0" u="none" strike="noStrike" baseline="0">
              <a:solidFill>
                <a:srgbClr val="000000"/>
              </a:solidFill>
              <a:latin typeface="Arial"/>
              <a:cs typeface="Arial"/>
            </a:rPr>
            <a:t> </a:t>
          </a:r>
        </a:p>
        <a:p>
          <a:pPr algn="l" rtl="0">
            <a:defRPr sz="1000"/>
          </a:pPr>
          <a:r>
            <a:rPr lang="en-US" sz="800" b="0" i="0" u="none" strike="noStrike" baseline="0">
              <a:solidFill>
                <a:srgbClr val="000000"/>
              </a:solidFill>
              <a:latin typeface="Arial"/>
              <a:cs typeface="Arial"/>
            </a:rPr>
            <a:t>where K</a:t>
          </a:r>
          <a:r>
            <a:rPr lang="en-US" sz="800" b="0" i="0" u="none" strike="noStrike" baseline="-25000">
              <a:solidFill>
                <a:srgbClr val="000000"/>
              </a:solidFill>
              <a:latin typeface="Arial"/>
              <a:cs typeface="Arial"/>
            </a:rPr>
            <a:t>L</a:t>
          </a:r>
          <a:r>
            <a:rPr lang="en-US" sz="800" b="0" i="0" u="none" strike="noStrike" baseline="0">
              <a:solidFill>
                <a:srgbClr val="000000"/>
              </a:solidFill>
              <a:latin typeface="Arial"/>
              <a:cs typeface="Arial"/>
            </a:rPr>
            <a:t> and K</a:t>
          </a:r>
          <a:r>
            <a:rPr lang="en-US" sz="800" b="0" i="0" u="none" strike="noStrike" baseline="-25000">
              <a:solidFill>
                <a:srgbClr val="000000"/>
              </a:solidFill>
              <a:latin typeface="Arial"/>
              <a:cs typeface="Arial"/>
            </a:rPr>
            <a:t>G</a:t>
          </a:r>
          <a:r>
            <a:rPr lang="en-US" sz="800" b="0" i="0" u="none" strike="noStrike" baseline="0">
              <a:solidFill>
                <a:srgbClr val="000000"/>
              </a:solidFill>
              <a:latin typeface="Arial"/>
              <a:cs typeface="Arial"/>
            </a:rPr>
            <a:t> are estimated using the following equations:</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K</a:t>
          </a:r>
          <a:r>
            <a:rPr lang="en-US" sz="800" b="0" i="0" u="none" strike="noStrike" baseline="-25000">
              <a:solidFill>
                <a:srgbClr val="000000"/>
              </a:solidFill>
              <a:latin typeface="Arial"/>
              <a:cs typeface="Arial"/>
            </a:rPr>
            <a:t>L</a:t>
          </a:r>
          <a:r>
            <a:rPr lang="en-US" sz="800" b="0" i="0" u="none" strike="noStrike" baseline="0">
              <a:solidFill>
                <a:srgbClr val="000000"/>
              </a:solidFill>
              <a:latin typeface="Arial"/>
              <a:cs typeface="Arial"/>
            </a:rPr>
            <a:t> = 0.0065 (v</a:t>
          </a:r>
          <a:r>
            <a:rPr lang="en-US" sz="800" b="0" i="0" u="none" strike="noStrike" baseline="-25000">
              <a:solidFill>
                <a:srgbClr val="000000"/>
              </a:solidFill>
              <a:latin typeface="Arial"/>
              <a:cs typeface="Arial"/>
            </a:rPr>
            <a:t>w</a:t>
          </a:r>
          <a:r>
            <a:rPr lang="en-US" sz="800" b="0" i="0" u="none" strike="noStrike" baseline="30000">
              <a:solidFill>
                <a:srgbClr val="000000"/>
              </a:solidFill>
              <a:latin typeface="Arial"/>
              <a:cs typeface="Arial"/>
            </a:rPr>
            <a:t>0.969</a:t>
          </a:r>
          <a:r>
            <a:rPr lang="en-US" sz="800" b="0" i="0" u="none" strike="noStrike" baseline="0">
              <a:solidFill>
                <a:srgbClr val="000000"/>
              </a:solidFill>
              <a:latin typeface="Arial"/>
              <a:cs typeface="Arial"/>
            </a:rPr>
            <a:t> / Z</a:t>
          </a:r>
          <a:r>
            <a:rPr lang="en-US" sz="800" b="0" i="0" u="none" strike="noStrike" baseline="30000">
              <a:solidFill>
                <a:srgbClr val="000000"/>
              </a:solidFill>
              <a:latin typeface="Arial"/>
              <a:cs typeface="Arial"/>
            </a:rPr>
            <a:t>0.673</a:t>
          </a:r>
          <a:r>
            <a:rPr lang="en-US" sz="800" b="0" i="0" u="none" strike="noStrike" baseline="0">
              <a:solidFill>
                <a:srgbClr val="000000"/>
              </a:solidFill>
              <a:latin typeface="Arial"/>
              <a:cs typeface="Arial"/>
            </a:rPr>
            <a:t>)(32/MW)</a:t>
          </a:r>
          <a:r>
            <a:rPr lang="en-US" sz="800" b="0" i="0" u="none" strike="noStrike" baseline="30000">
              <a:solidFill>
                <a:srgbClr val="000000"/>
              </a:solidFill>
              <a:latin typeface="Arial"/>
              <a:cs typeface="Arial"/>
            </a:rPr>
            <a:t>1/2</a:t>
          </a:r>
          <a:r>
            <a:rPr lang="en-US" sz="800" b="0" i="0" u="none" strike="noStrike" baseline="0">
              <a:solidFill>
                <a:srgbClr val="000000"/>
              </a:solidFill>
              <a:latin typeface="Arial"/>
              <a:cs typeface="Arial"/>
            </a:rPr>
            <a:t>exp(0.526v</a:t>
          </a:r>
          <a:r>
            <a:rPr lang="en-US" sz="800" b="0" i="0" u="none" strike="noStrike" baseline="-25000">
              <a:solidFill>
                <a:srgbClr val="000000"/>
              </a:solidFill>
              <a:latin typeface="Arial"/>
              <a:cs typeface="Arial"/>
            </a:rPr>
            <a:t>a</a:t>
          </a:r>
          <a:r>
            <a:rPr lang="en-US" sz="800" b="0" i="0" u="none" strike="noStrike" baseline="30000">
              <a:solidFill>
                <a:srgbClr val="000000"/>
              </a:solidFill>
              <a:latin typeface="Arial"/>
              <a:cs typeface="Arial"/>
            </a:rPr>
            <a:t>-1.9</a:t>
          </a:r>
          <a:r>
            <a:rPr lang="en-US" sz="800" b="0" i="0" u="none" strike="noStrike" baseline="0">
              <a:solidFill>
                <a:srgbClr val="000000"/>
              </a:solidFill>
              <a:latin typeface="Arial"/>
              <a:cs typeface="Arial"/>
            </a:rPr>
            <a:t>)</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K</a:t>
          </a:r>
          <a:r>
            <a:rPr lang="en-US" sz="800" b="0" i="0" u="none" strike="noStrike" baseline="-25000">
              <a:solidFill>
                <a:srgbClr val="000000"/>
              </a:solidFill>
              <a:latin typeface="Arial"/>
              <a:cs typeface="Arial"/>
            </a:rPr>
            <a:t>G</a:t>
          </a:r>
          <a:r>
            <a:rPr lang="en-US" sz="800" b="0" i="0" u="none" strike="noStrike" baseline="0">
              <a:solidFill>
                <a:srgbClr val="000000"/>
              </a:solidFill>
              <a:latin typeface="Arial"/>
              <a:cs typeface="Arial"/>
            </a:rPr>
            <a:t> = 0.32*(v</a:t>
          </a:r>
          <a:r>
            <a:rPr lang="en-US" sz="800" b="0" i="0" u="none" strike="noStrike" baseline="-25000">
              <a:solidFill>
                <a:srgbClr val="000000"/>
              </a:solidFill>
              <a:latin typeface="Arial"/>
              <a:cs typeface="Arial"/>
            </a:rPr>
            <a:t>a</a:t>
          </a:r>
          <a:r>
            <a:rPr lang="en-US" sz="800" b="0" i="0" u="none" strike="noStrike" baseline="0">
              <a:solidFill>
                <a:srgbClr val="000000"/>
              </a:solidFill>
              <a:latin typeface="Arial"/>
              <a:cs typeface="Arial"/>
            </a:rPr>
            <a:t> + v</a:t>
          </a:r>
          <a:r>
            <a:rPr lang="en-US" sz="800" b="0" i="0" u="none" strike="noStrike" baseline="-25000">
              <a:solidFill>
                <a:srgbClr val="000000"/>
              </a:solidFill>
              <a:latin typeface="Arial"/>
              <a:cs typeface="Arial"/>
            </a:rPr>
            <a:t>w</a:t>
          </a:r>
          <a:r>
            <a:rPr lang="en-US" sz="800" b="0" i="0" u="none" strike="noStrike" baseline="0">
              <a:solidFill>
                <a:srgbClr val="000000"/>
              </a:solidFill>
              <a:latin typeface="Arial"/>
              <a:cs typeface="Arial"/>
            </a:rPr>
            <a:t>)*(18/MW)</a:t>
          </a:r>
          <a:r>
            <a:rPr lang="en-US" sz="800" b="0" i="0" u="none" strike="noStrike" baseline="30000">
              <a:solidFill>
                <a:srgbClr val="000000"/>
              </a:solidFill>
              <a:latin typeface="Arial"/>
              <a:cs typeface="Arial"/>
            </a:rPr>
            <a:t>1/2</a:t>
          </a: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xdr:txBody>
    </xdr:sp>
    <xdr:clientData/>
  </xdr:twoCellAnchor>
  <xdr:twoCellAnchor>
    <xdr:from>
      <xdr:col>9</xdr:col>
      <xdr:colOff>104775</xdr:colOff>
      <xdr:row>227</xdr:row>
      <xdr:rowOff>9525</xdr:rowOff>
    </xdr:from>
    <xdr:to>
      <xdr:col>11</xdr:col>
      <xdr:colOff>447675</xdr:colOff>
      <xdr:row>232</xdr:row>
      <xdr:rowOff>152400</xdr:rowOff>
    </xdr:to>
    <xdr:sp macro="" textlink="">
      <xdr:nvSpPr>
        <xdr:cNvPr id="16952" name="Text Box 568">
          <a:extLst>
            <a:ext uri="{FF2B5EF4-FFF2-40B4-BE49-F238E27FC236}">
              <a16:creationId xmlns:a16="http://schemas.microsoft.com/office/drawing/2014/main" id="{00000000-0008-0000-0900-000038420000}"/>
            </a:ext>
          </a:extLst>
        </xdr:cNvPr>
        <xdr:cNvSpPr txBox="1">
          <a:spLocks noChangeArrowheads="1"/>
        </xdr:cNvSpPr>
      </xdr:nvSpPr>
      <xdr:spPr bwMode="auto">
        <a:xfrm>
          <a:off x="5191125" y="36766500"/>
          <a:ext cx="1562100" cy="952500"/>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Calculate the air emission, E, based on the flux from the ponded surface.</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E = N *L*W*10000</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6</xdr:col>
      <xdr:colOff>323850</xdr:colOff>
      <xdr:row>234</xdr:row>
      <xdr:rowOff>57150</xdr:rowOff>
    </xdr:from>
    <xdr:to>
      <xdr:col>9</xdr:col>
      <xdr:colOff>247650</xdr:colOff>
      <xdr:row>239</xdr:row>
      <xdr:rowOff>152400</xdr:rowOff>
    </xdr:to>
    <xdr:sp macro="" textlink="">
      <xdr:nvSpPr>
        <xdr:cNvPr id="16954" name="Text Box 570">
          <a:extLst>
            <a:ext uri="{FF2B5EF4-FFF2-40B4-BE49-F238E27FC236}">
              <a16:creationId xmlns:a16="http://schemas.microsoft.com/office/drawing/2014/main" id="{00000000-0008-0000-0900-00003A420000}"/>
            </a:ext>
          </a:extLst>
        </xdr:cNvPr>
        <xdr:cNvSpPr txBox="1">
          <a:spLocks noChangeArrowheads="1"/>
        </xdr:cNvSpPr>
      </xdr:nvSpPr>
      <xdr:spPr bwMode="auto">
        <a:xfrm>
          <a:off x="3581400" y="37947600"/>
          <a:ext cx="1752600" cy="904875"/>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Calculate the predicted off-site air concentration, C</a:t>
          </a:r>
          <a:r>
            <a:rPr lang="en-US" sz="800" b="0" i="0" u="none" strike="noStrike" baseline="-25000">
              <a:solidFill>
                <a:srgbClr val="000000"/>
              </a:solidFill>
              <a:latin typeface="Arial"/>
              <a:cs typeface="Arial"/>
            </a:rPr>
            <a:t>a,off</a:t>
          </a:r>
          <a:r>
            <a:rPr lang="en-US" sz="800" b="0" i="0" u="none" strike="noStrike" baseline="0">
              <a:solidFill>
                <a:srgbClr val="000000"/>
              </a:solidFill>
              <a:latin typeface="Arial"/>
              <a:cs typeface="Arial"/>
            </a:rPr>
            <a: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r>
            <a:rPr lang="en-US" sz="800" b="0" i="0" u="none" strike="noStrike" baseline="0">
              <a:solidFill>
                <a:srgbClr val="000000"/>
              </a:solidFill>
              <a:latin typeface="Arial"/>
              <a:cs typeface="Arial"/>
            </a:rPr>
            <a:t>C</a:t>
          </a:r>
          <a:r>
            <a:rPr lang="en-US" sz="800" b="0" i="0" u="none" strike="noStrike" baseline="-25000">
              <a:solidFill>
                <a:srgbClr val="000000"/>
              </a:solidFill>
              <a:latin typeface="Arial"/>
              <a:cs typeface="Arial"/>
            </a:rPr>
            <a:t>a, off</a:t>
          </a:r>
          <a:r>
            <a:rPr lang="en-US" sz="800" b="0" i="0" u="none" strike="noStrike" baseline="0">
              <a:solidFill>
                <a:srgbClr val="000000"/>
              </a:solidFill>
              <a:latin typeface="Arial"/>
              <a:cs typeface="Arial"/>
            </a:rPr>
            <a:t> = E</a:t>
          </a:r>
          <a:r>
            <a:rPr lang="en-US" sz="800" b="0" i="0" u="none" strike="noStrike" baseline="-25000">
              <a:solidFill>
                <a:srgbClr val="000000"/>
              </a:solidFill>
              <a:latin typeface="Arial"/>
              <a:cs typeface="Arial"/>
            </a:rPr>
            <a:t>off</a:t>
          </a:r>
          <a:r>
            <a:rPr lang="en-US" sz="800" b="0" i="0" u="none" strike="noStrike" baseline="0">
              <a:solidFill>
                <a:srgbClr val="000000"/>
              </a:solidFill>
              <a:latin typeface="Arial"/>
              <a:cs typeface="Arial"/>
            </a:rPr>
            <a:t>*U</a:t>
          </a:r>
        </a:p>
      </xdr:txBody>
    </xdr:sp>
    <xdr:clientData/>
  </xdr:twoCellAnchor>
  <xdr:twoCellAnchor>
    <xdr:from>
      <xdr:col>11</xdr:col>
      <xdr:colOff>276225</xdr:colOff>
      <xdr:row>234</xdr:row>
      <xdr:rowOff>57150</xdr:rowOff>
    </xdr:from>
    <xdr:to>
      <xdr:col>14</xdr:col>
      <xdr:colOff>219075</xdr:colOff>
      <xdr:row>240</xdr:row>
      <xdr:rowOff>0</xdr:rowOff>
    </xdr:to>
    <xdr:sp macro="" textlink="">
      <xdr:nvSpPr>
        <xdr:cNvPr id="16955" name="Text Box 571">
          <a:extLst>
            <a:ext uri="{FF2B5EF4-FFF2-40B4-BE49-F238E27FC236}">
              <a16:creationId xmlns:a16="http://schemas.microsoft.com/office/drawing/2014/main" id="{00000000-0008-0000-0900-00003B420000}"/>
            </a:ext>
          </a:extLst>
        </xdr:cNvPr>
        <xdr:cNvSpPr txBox="1">
          <a:spLocks noChangeArrowheads="1"/>
        </xdr:cNvSpPr>
      </xdr:nvSpPr>
      <xdr:spPr bwMode="auto">
        <a:xfrm>
          <a:off x="6581775" y="37947600"/>
          <a:ext cx="1771650" cy="914400"/>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Calculate the predicted on-site air concentration, C</a:t>
          </a:r>
          <a:r>
            <a:rPr lang="en-US" sz="800" b="0" i="0" u="none" strike="noStrike" baseline="-25000">
              <a:solidFill>
                <a:srgbClr val="000000"/>
              </a:solidFill>
              <a:latin typeface="Arial"/>
              <a:cs typeface="Arial"/>
            </a:rPr>
            <a:t>a,on</a:t>
          </a:r>
          <a:r>
            <a:rPr lang="en-US" sz="800" b="0" i="0" u="none" strike="noStrike" baseline="0">
              <a:solidFill>
                <a:srgbClr val="000000"/>
              </a:solidFill>
              <a:latin typeface="Arial"/>
              <a:cs typeface="Arial"/>
            </a:rPr>
            <a:t>.</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r>
            <a:rPr lang="en-US" sz="800" b="0" i="0" u="none" strike="noStrike" baseline="0">
              <a:solidFill>
                <a:srgbClr val="000000"/>
              </a:solidFill>
              <a:latin typeface="Arial"/>
              <a:cs typeface="Arial"/>
            </a:rPr>
            <a:t>C</a:t>
          </a:r>
          <a:r>
            <a:rPr lang="en-US" sz="800" b="0" i="0" u="none" strike="noStrike" baseline="-25000">
              <a:solidFill>
                <a:srgbClr val="000000"/>
              </a:solidFill>
              <a:latin typeface="Arial"/>
              <a:cs typeface="Arial"/>
            </a:rPr>
            <a:t>a,on </a:t>
          </a:r>
          <a:r>
            <a:rPr lang="en-US" sz="800" b="0" i="0" u="none" strike="noStrike" baseline="0">
              <a:solidFill>
                <a:srgbClr val="000000"/>
              </a:solidFill>
              <a:latin typeface="Arial"/>
              <a:cs typeface="Arial"/>
            </a:rPr>
            <a:t>= 1000*E</a:t>
          </a:r>
          <a:r>
            <a:rPr lang="en-US" sz="800" b="0" i="0" u="none" strike="noStrike" baseline="-25000">
              <a:solidFill>
                <a:srgbClr val="000000"/>
              </a:solidFill>
              <a:latin typeface="Arial"/>
              <a:cs typeface="Arial"/>
            </a:rPr>
            <a:t>on</a:t>
          </a:r>
          <a:r>
            <a:rPr lang="en-US" sz="800" b="0" i="0" u="none" strike="noStrike" baseline="0">
              <a:solidFill>
                <a:srgbClr val="000000"/>
              </a:solidFill>
              <a:latin typeface="Arial"/>
              <a:cs typeface="Arial"/>
            </a:rPr>
            <a:t>/W*3*v</a:t>
          </a:r>
          <a:r>
            <a:rPr lang="en-US" sz="800" b="0" i="0" u="none" strike="noStrike" baseline="-25000">
              <a:solidFill>
                <a:srgbClr val="000000"/>
              </a:solidFill>
              <a:latin typeface="Arial"/>
              <a:cs typeface="Arial"/>
            </a:rPr>
            <a:t>a</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10</xdr:col>
      <xdr:colOff>276225</xdr:colOff>
      <xdr:row>225</xdr:row>
      <xdr:rowOff>152400</xdr:rowOff>
    </xdr:from>
    <xdr:to>
      <xdr:col>10</xdr:col>
      <xdr:colOff>276225</xdr:colOff>
      <xdr:row>227</xdr:row>
      <xdr:rowOff>9525</xdr:rowOff>
    </xdr:to>
    <xdr:cxnSp macro="">
      <xdr:nvCxnSpPr>
        <xdr:cNvPr id="17293" name="AutoShape 574">
          <a:extLst>
            <a:ext uri="{FF2B5EF4-FFF2-40B4-BE49-F238E27FC236}">
              <a16:creationId xmlns:a16="http://schemas.microsoft.com/office/drawing/2014/main" id="{00000000-0008-0000-0900-00008D430000}"/>
            </a:ext>
          </a:extLst>
        </xdr:cNvPr>
        <xdr:cNvCxnSpPr>
          <a:cxnSpLocks noChangeShapeType="1"/>
          <a:stCxn id="16950" idx="2"/>
          <a:endCxn id="16952" idx="0"/>
        </xdr:cNvCxnSpPr>
      </xdr:nvCxnSpPr>
      <xdr:spPr bwMode="auto">
        <a:xfrm>
          <a:off x="5972175" y="36585525"/>
          <a:ext cx="0" cy="180975"/>
        </a:xfrm>
        <a:prstGeom prst="straightConnector1">
          <a:avLst/>
        </a:prstGeom>
        <a:noFill/>
        <a:ln w="9525">
          <a:solidFill>
            <a:srgbClr val="000000"/>
          </a:solidFill>
          <a:round/>
          <a:headEnd/>
          <a:tailEnd type="stealth" w="med" len="med"/>
        </a:ln>
      </xdr:spPr>
    </xdr:cxnSp>
    <xdr:clientData/>
  </xdr:twoCellAnchor>
  <xdr:twoCellAnchor>
    <xdr:from>
      <xdr:col>7</xdr:col>
      <xdr:colOff>590550</xdr:colOff>
      <xdr:row>232</xdr:row>
      <xdr:rowOff>152400</xdr:rowOff>
    </xdr:from>
    <xdr:to>
      <xdr:col>10</xdr:col>
      <xdr:colOff>276225</xdr:colOff>
      <xdr:row>234</xdr:row>
      <xdr:rowOff>57150</xdr:rowOff>
    </xdr:to>
    <xdr:cxnSp macro="">
      <xdr:nvCxnSpPr>
        <xdr:cNvPr id="17294" name="AutoShape 576">
          <a:extLst>
            <a:ext uri="{FF2B5EF4-FFF2-40B4-BE49-F238E27FC236}">
              <a16:creationId xmlns:a16="http://schemas.microsoft.com/office/drawing/2014/main" id="{00000000-0008-0000-0900-00008E430000}"/>
            </a:ext>
          </a:extLst>
        </xdr:cNvPr>
        <xdr:cNvCxnSpPr>
          <a:cxnSpLocks noChangeShapeType="1"/>
          <a:stCxn id="16952" idx="2"/>
          <a:endCxn id="16954" idx="0"/>
        </xdr:cNvCxnSpPr>
      </xdr:nvCxnSpPr>
      <xdr:spPr bwMode="auto">
        <a:xfrm rot="5400000">
          <a:off x="5100638" y="37076062"/>
          <a:ext cx="228600" cy="1514475"/>
        </a:xfrm>
        <a:prstGeom prst="bentConnector3">
          <a:avLst>
            <a:gd name="adj1" fmla="val 50000"/>
          </a:avLst>
        </a:prstGeom>
        <a:noFill/>
        <a:ln w="9525">
          <a:solidFill>
            <a:srgbClr val="000000"/>
          </a:solidFill>
          <a:miter lim="800000"/>
          <a:headEnd/>
          <a:tailEnd type="stealth" w="med" len="med"/>
        </a:ln>
      </xdr:spPr>
    </xdr:cxnSp>
    <xdr:clientData/>
  </xdr:twoCellAnchor>
  <xdr:twoCellAnchor>
    <xdr:from>
      <xdr:col>10</xdr:col>
      <xdr:colOff>276225</xdr:colOff>
      <xdr:row>232</xdr:row>
      <xdr:rowOff>152400</xdr:rowOff>
    </xdr:from>
    <xdr:to>
      <xdr:col>12</xdr:col>
      <xdr:colOff>552450</xdr:colOff>
      <xdr:row>234</xdr:row>
      <xdr:rowOff>57150</xdr:rowOff>
    </xdr:to>
    <xdr:cxnSp macro="">
      <xdr:nvCxnSpPr>
        <xdr:cNvPr id="17295" name="AutoShape 577">
          <a:extLst>
            <a:ext uri="{FF2B5EF4-FFF2-40B4-BE49-F238E27FC236}">
              <a16:creationId xmlns:a16="http://schemas.microsoft.com/office/drawing/2014/main" id="{00000000-0008-0000-0900-00008F430000}"/>
            </a:ext>
          </a:extLst>
        </xdr:cNvPr>
        <xdr:cNvCxnSpPr>
          <a:cxnSpLocks noChangeShapeType="1"/>
          <a:stCxn id="16952" idx="2"/>
          <a:endCxn id="16955" idx="0"/>
        </xdr:cNvCxnSpPr>
      </xdr:nvCxnSpPr>
      <xdr:spPr bwMode="auto">
        <a:xfrm rot="16200000" flipH="1">
          <a:off x="6605588" y="37085587"/>
          <a:ext cx="228600" cy="1495425"/>
        </a:xfrm>
        <a:prstGeom prst="bentConnector3">
          <a:avLst>
            <a:gd name="adj1" fmla="val 50000"/>
          </a:avLst>
        </a:prstGeom>
        <a:noFill/>
        <a:ln w="9525">
          <a:solidFill>
            <a:srgbClr val="000000"/>
          </a:solidFill>
          <a:miter lim="800000"/>
          <a:headEnd/>
          <a:tailEnd type="stealth" w="med" len="med"/>
        </a:ln>
      </xdr:spPr>
    </xdr:cxnSp>
    <xdr:clientData/>
  </xdr:twoCellAnchor>
  <xdr:twoCellAnchor>
    <xdr:from>
      <xdr:col>9</xdr:col>
      <xdr:colOff>381000</xdr:colOff>
      <xdr:row>252</xdr:row>
      <xdr:rowOff>9525</xdr:rowOff>
    </xdr:from>
    <xdr:to>
      <xdr:col>14</xdr:col>
      <xdr:colOff>200025</xdr:colOff>
      <xdr:row>260</xdr:row>
      <xdr:rowOff>9525</xdr:rowOff>
    </xdr:to>
    <xdr:sp macro="" textlink="">
      <xdr:nvSpPr>
        <xdr:cNvPr id="16963" name="Text Box 579">
          <a:extLst>
            <a:ext uri="{FF2B5EF4-FFF2-40B4-BE49-F238E27FC236}">
              <a16:creationId xmlns:a16="http://schemas.microsoft.com/office/drawing/2014/main" id="{00000000-0008-0000-0900-000043420000}"/>
            </a:ext>
          </a:extLst>
        </xdr:cNvPr>
        <xdr:cNvSpPr txBox="1">
          <a:spLocks noChangeArrowheads="1"/>
        </xdr:cNvSpPr>
      </xdr:nvSpPr>
      <xdr:spPr bwMode="auto">
        <a:xfrm>
          <a:off x="5467350" y="40814625"/>
          <a:ext cx="2867025" cy="1295400"/>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Calculate the leachable concentration in the sediment (q</a:t>
          </a:r>
          <a:r>
            <a:rPr lang="en-US" sz="800" b="0" i="0" u="none" strike="noStrike" baseline="30000">
              <a:solidFill>
                <a:srgbClr val="000000"/>
              </a:solidFill>
              <a:latin typeface="Arial"/>
              <a:cs typeface="Arial"/>
            </a:rPr>
            <a:t>*d</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 defined as the total contaminant mass per unit dry solid mass) adjusting for leachable fraction and effective clay fraction.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q</a:t>
          </a:r>
          <a:r>
            <a:rPr lang="en-US" sz="1000" b="0" i="0" u="none" strike="noStrike" baseline="30000">
              <a:solidFill>
                <a:srgbClr val="000000"/>
              </a:solidFill>
              <a:latin typeface="Arial"/>
              <a:cs typeface="Arial"/>
            </a:rPr>
            <a:t>*d</a:t>
          </a:r>
          <a:r>
            <a:rPr lang="en-US" sz="1000" b="0" i="0" u="none" strike="noStrike" baseline="-25000">
              <a:solidFill>
                <a:srgbClr val="000000"/>
              </a:solidFill>
              <a:latin typeface="Arial"/>
              <a:cs typeface="Arial"/>
            </a:rPr>
            <a:t>sed </a:t>
          </a:r>
          <a:r>
            <a:rPr lang="en-US" sz="1000" b="0" i="0" u="none" strike="noStrike" baseline="0">
              <a:solidFill>
                <a:srgbClr val="000000"/>
              </a:solidFill>
              <a:latin typeface="Arial"/>
              <a:cs typeface="Arial"/>
            </a:rPr>
            <a:t>= (q*LF</a:t>
          </a:r>
          <a:r>
            <a:rPr lang="en-US" sz="1000" b="0" i="0" u="none" strike="noStrike" baseline="30000">
              <a:solidFill>
                <a:srgbClr val="000000"/>
              </a:solidFill>
              <a:latin typeface="Arial"/>
              <a:cs typeface="Arial"/>
            </a:rPr>
            <a:t>ox</a:t>
          </a:r>
          <a:r>
            <a:rPr lang="en-US" sz="1000" b="0" i="0" u="none" strike="noStrike" baseline="0">
              <a:solidFill>
                <a:srgbClr val="000000"/>
              </a:solidFill>
              <a:latin typeface="Arial"/>
              <a:cs typeface="Arial"/>
            </a:rPr>
            <a:t>)/(CF</a:t>
          </a:r>
          <a:r>
            <a:rPr lang="en-US" sz="1000" b="0" i="0" u="none" strike="noStrike" baseline="-25000">
              <a:solidFill>
                <a:srgbClr val="000000"/>
              </a:solidFill>
              <a:latin typeface="Arial"/>
              <a:cs typeface="Arial"/>
            </a:rPr>
            <a:t>eff</a:t>
          </a:r>
          <a:r>
            <a:rPr lang="en-US" sz="1000" b="0" i="0" u="none" strike="noStrike" baseline="0">
              <a:solidFill>
                <a:srgbClr val="000000"/>
              </a:solidFill>
              <a:latin typeface="Arial"/>
              <a:cs typeface="Arial"/>
            </a:rPr>
            <a:t>/100)</a:t>
          </a:r>
        </a:p>
      </xdr:txBody>
    </xdr:sp>
    <xdr:clientData/>
  </xdr:twoCellAnchor>
  <xdr:twoCellAnchor>
    <xdr:from>
      <xdr:col>4</xdr:col>
      <xdr:colOff>180975</xdr:colOff>
      <xdr:row>264</xdr:row>
      <xdr:rowOff>95250</xdr:rowOff>
    </xdr:from>
    <xdr:to>
      <xdr:col>9</xdr:col>
      <xdr:colOff>447675</xdr:colOff>
      <xdr:row>272</xdr:row>
      <xdr:rowOff>47625</xdr:rowOff>
    </xdr:to>
    <xdr:sp macro="" textlink="">
      <xdr:nvSpPr>
        <xdr:cNvPr id="16965" name="Text Box 581">
          <a:extLst>
            <a:ext uri="{FF2B5EF4-FFF2-40B4-BE49-F238E27FC236}">
              <a16:creationId xmlns:a16="http://schemas.microsoft.com/office/drawing/2014/main" id="{00000000-0008-0000-0900-000045420000}"/>
            </a:ext>
          </a:extLst>
        </xdr:cNvPr>
        <xdr:cNvSpPr txBox="1">
          <a:spLocks noChangeArrowheads="1"/>
        </xdr:cNvSpPr>
      </xdr:nvSpPr>
      <xdr:spPr bwMode="auto">
        <a:xfrm>
          <a:off x="2619375" y="42843450"/>
          <a:ext cx="2914650" cy="1247775"/>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The volatile flux equation under drying conditions has been seperated into three parts (A, B, and C) for convenience.</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Part A = 1000*K</a:t>
          </a:r>
          <a:r>
            <a:rPr lang="en-US" sz="800" b="0" i="0" u="none" strike="noStrike" baseline="-25000">
              <a:solidFill>
                <a:srgbClr val="000000"/>
              </a:solidFill>
              <a:latin typeface="Arial"/>
              <a:cs typeface="Arial"/>
            </a:rPr>
            <a:t>d</a:t>
          </a:r>
          <a:r>
            <a:rPr lang="en-US" sz="800" b="0" i="0" u="none" strike="noStrike" baseline="0">
              <a:solidFill>
                <a:srgbClr val="000000"/>
              </a:solidFill>
              <a:latin typeface="Arial"/>
              <a:cs typeface="Arial"/>
            </a:rPr>
            <a:t>/H'</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Part B = (86400*</a:t>
          </a:r>
          <a:r>
            <a:rPr lang="en-US" sz="800" b="0" i="0" u="none" strike="noStrike" baseline="0">
              <a:solidFill>
                <a:srgbClr val="000000"/>
              </a:solidFill>
              <a:latin typeface="Symbol"/>
            </a:rPr>
            <a:t>p</a:t>
          </a:r>
          <a:r>
            <a:rPr lang="en-US" sz="800" b="0" i="0" u="none" strike="noStrike" baseline="0">
              <a:solidFill>
                <a:srgbClr val="000000"/>
              </a:solidFill>
              <a:latin typeface="Arial"/>
              <a:cs typeface="Arial"/>
            </a:rPr>
            <a:t>*T</a:t>
          </a:r>
          <a:r>
            <a:rPr lang="en-US" sz="800" b="0" i="0" u="none" strike="noStrike" baseline="-25000">
              <a:solidFill>
                <a:srgbClr val="000000"/>
              </a:solidFill>
              <a:latin typeface="Arial"/>
              <a:cs typeface="Arial"/>
            </a:rPr>
            <a:t>c,on </a:t>
          </a:r>
          <a:r>
            <a:rPr lang="en-US" sz="800" b="0" i="0" u="none" strike="noStrike" baseline="0">
              <a:solidFill>
                <a:srgbClr val="000000"/>
              </a:solidFill>
              <a:latin typeface="Arial"/>
              <a:cs typeface="Arial"/>
            </a:rPr>
            <a:t>/(D</a:t>
          </a:r>
          <a:r>
            <a:rPr lang="en-US" sz="800" b="0" i="0" u="none" strike="noStrike" baseline="-25000">
              <a:solidFill>
                <a:srgbClr val="000000"/>
              </a:solidFill>
              <a:latin typeface="Arial"/>
              <a:cs typeface="Arial"/>
            </a:rPr>
            <a:t>A3</a:t>
          </a:r>
          <a:r>
            <a:rPr lang="en-US" sz="800" b="0" i="0" u="none" strike="noStrike" baseline="0">
              <a:solidFill>
                <a:srgbClr val="000000"/>
              </a:solidFill>
              <a:latin typeface="Arial"/>
              <a:cs typeface="Arial"/>
            </a:rPr>
            <a:t>*(n</a:t>
          </a:r>
          <a:r>
            <a:rPr lang="en-US" sz="800" b="0" i="0" u="none" strike="noStrike" baseline="-25000">
              <a:solidFill>
                <a:srgbClr val="000000"/>
              </a:solidFill>
              <a:latin typeface="Arial"/>
              <a:cs typeface="Arial"/>
            </a:rPr>
            <a:t>a </a:t>
          </a:r>
          <a:r>
            <a:rPr lang="en-US" sz="800" b="0" i="0" u="none" strike="noStrike" baseline="0">
              <a:solidFill>
                <a:srgbClr val="000000"/>
              </a:solidFill>
              <a:latin typeface="Arial"/>
              <a:cs typeface="Arial"/>
            </a:rPr>
            <a:t>+ (K</a:t>
          </a:r>
          <a:r>
            <a:rPr lang="en-US" sz="800" b="0" i="0" u="none" strike="noStrike" baseline="-25000">
              <a:solidFill>
                <a:srgbClr val="000000"/>
              </a:solidFill>
              <a:latin typeface="Arial"/>
              <a:cs typeface="Arial"/>
            </a:rPr>
            <a:t>d</a:t>
          </a:r>
          <a:r>
            <a:rPr lang="en-US" sz="800" b="0" i="0" u="none" strike="noStrike" baseline="0">
              <a:solidFill>
                <a:srgbClr val="000000"/>
              </a:solidFill>
              <a:latin typeface="Arial"/>
              <a:cs typeface="Arial"/>
            </a:rPr>
            <a:t>* TSS</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/(H'*1000)))))</a:t>
          </a:r>
          <a:r>
            <a:rPr lang="en-US" sz="800" b="0" i="0" u="none" strike="noStrike" baseline="30000">
              <a:solidFill>
                <a:srgbClr val="000000"/>
              </a:solidFill>
              <a:latin typeface="Arial"/>
              <a:cs typeface="Arial"/>
            </a:rPr>
            <a:t>0.5</a:t>
          </a: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Part C = q</a:t>
          </a:r>
          <a:r>
            <a:rPr lang="en-US" sz="800" b="0" i="0" u="none" strike="noStrike" baseline="30000">
              <a:solidFill>
                <a:srgbClr val="000000"/>
              </a:solidFill>
              <a:latin typeface="Arial"/>
              <a:cs typeface="Arial"/>
            </a:rPr>
            <a:t>*d</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/Part A</a:t>
          </a:r>
        </a:p>
      </xdr:txBody>
    </xdr:sp>
    <xdr:clientData/>
  </xdr:twoCellAnchor>
  <xdr:twoCellAnchor>
    <xdr:from>
      <xdr:col>7</xdr:col>
      <xdr:colOff>209550</xdr:colOff>
      <xdr:row>260</xdr:row>
      <xdr:rowOff>9525</xdr:rowOff>
    </xdr:from>
    <xdr:to>
      <xdr:col>11</xdr:col>
      <xdr:colOff>600075</xdr:colOff>
      <xdr:row>264</xdr:row>
      <xdr:rowOff>95250</xdr:rowOff>
    </xdr:to>
    <xdr:cxnSp macro="">
      <xdr:nvCxnSpPr>
        <xdr:cNvPr id="17298" name="AutoShape 584">
          <a:extLst>
            <a:ext uri="{FF2B5EF4-FFF2-40B4-BE49-F238E27FC236}">
              <a16:creationId xmlns:a16="http://schemas.microsoft.com/office/drawing/2014/main" id="{00000000-0008-0000-0900-000092430000}"/>
            </a:ext>
          </a:extLst>
        </xdr:cNvPr>
        <xdr:cNvCxnSpPr>
          <a:cxnSpLocks noChangeShapeType="1"/>
          <a:stCxn id="16963" idx="2"/>
          <a:endCxn id="16965" idx="0"/>
        </xdr:cNvCxnSpPr>
      </xdr:nvCxnSpPr>
      <xdr:spPr bwMode="auto">
        <a:xfrm rot="5400000">
          <a:off x="5124450" y="41062275"/>
          <a:ext cx="733425" cy="2828925"/>
        </a:xfrm>
        <a:prstGeom prst="bentConnector3">
          <a:avLst>
            <a:gd name="adj1" fmla="val 49352"/>
          </a:avLst>
        </a:prstGeom>
        <a:noFill/>
        <a:ln w="9525">
          <a:solidFill>
            <a:srgbClr val="000000"/>
          </a:solidFill>
          <a:miter lim="800000"/>
          <a:headEnd/>
          <a:tailEnd type="stealth" w="med" len="med"/>
        </a:ln>
      </xdr:spPr>
    </xdr:cxnSp>
    <xdr:clientData/>
  </xdr:twoCellAnchor>
  <xdr:twoCellAnchor>
    <xdr:from>
      <xdr:col>11</xdr:col>
      <xdr:colOff>47625</xdr:colOff>
      <xdr:row>264</xdr:row>
      <xdr:rowOff>114300</xdr:rowOff>
    </xdr:from>
    <xdr:to>
      <xdr:col>16</xdr:col>
      <xdr:colOff>95250</xdr:colOff>
      <xdr:row>272</xdr:row>
      <xdr:rowOff>47625</xdr:rowOff>
    </xdr:to>
    <xdr:sp macro="" textlink="">
      <xdr:nvSpPr>
        <xdr:cNvPr id="16971" name="Text Box 587">
          <a:extLst>
            <a:ext uri="{FF2B5EF4-FFF2-40B4-BE49-F238E27FC236}">
              <a16:creationId xmlns:a16="http://schemas.microsoft.com/office/drawing/2014/main" id="{00000000-0008-0000-0900-00004B420000}"/>
            </a:ext>
          </a:extLst>
        </xdr:cNvPr>
        <xdr:cNvSpPr txBox="1">
          <a:spLocks noChangeArrowheads="1"/>
        </xdr:cNvSpPr>
      </xdr:nvSpPr>
      <xdr:spPr bwMode="auto">
        <a:xfrm>
          <a:off x="6353175" y="42862500"/>
          <a:ext cx="3095625" cy="1228725"/>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The volatile flux equation under drying conditions has been seperated into three parts (A, B, and C) for convenience.</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Part A = 1000*K</a:t>
          </a:r>
          <a:r>
            <a:rPr lang="en-US" sz="800" b="0" i="0" u="none" strike="noStrike" baseline="-25000">
              <a:solidFill>
                <a:srgbClr val="000000"/>
              </a:solidFill>
              <a:latin typeface="Arial"/>
              <a:cs typeface="Arial"/>
            </a:rPr>
            <a:t>d</a:t>
          </a:r>
          <a:r>
            <a:rPr lang="en-US" sz="800" b="0" i="0" u="none" strike="noStrike" baseline="0">
              <a:solidFill>
                <a:srgbClr val="000000"/>
              </a:solidFill>
              <a:latin typeface="Arial"/>
              <a:cs typeface="Arial"/>
            </a:rPr>
            <a:t>/H'</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Part B = 86400*</a:t>
          </a:r>
          <a:r>
            <a:rPr lang="en-US" sz="800" b="0" i="0" u="none" strike="noStrike" baseline="0">
              <a:solidFill>
                <a:srgbClr val="000000"/>
              </a:solidFill>
              <a:latin typeface="Symbol"/>
            </a:rPr>
            <a:t>p</a:t>
          </a:r>
          <a:r>
            <a:rPr lang="en-US" sz="800" b="0" i="0" u="none" strike="noStrike" baseline="0">
              <a:solidFill>
                <a:srgbClr val="000000"/>
              </a:solidFill>
              <a:latin typeface="Arial"/>
              <a:cs typeface="Arial"/>
            </a:rPr>
            <a:t>*T</a:t>
          </a:r>
          <a:r>
            <a:rPr lang="en-US" sz="800" b="0" i="0" u="none" strike="noStrike" baseline="-25000">
              <a:solidFill>
                <a:srgbClr val="000000"/>
              </a:solidFill>
              <a:latin typeface="Arial"/>
              <a:cs typeface="Arial"/>
            </a:rPr>
            <a:t>c,off</a:t>
          </a:r>
          <a:r>
            <a:rPr lang="en-US" sz="800" b="0" i="0" u="none" strike="noStrike" baseline="0">
              <a:solidFill>
                <a:srgbClr val="000000"/>
              </a:solidFill>
              <a:latin typeface="Arial"/>
              <a:cs typeface="Arial"/>
            </a:rPr>
            <a:t>/(D</a:t>
          </a:r>
          <a:r>
            <a:rPr lang="en-US" sz="800" b="0" i="0" u="none" strike="noStrike" baseline="-25000">
              <a:solidFill>
                <a:srgbClr val="000000"/>
              </a:solidFill>
              <a:latin typeface="Arial"/>
              <a:cs typeface="Arial"/>
            </a:rPr>
            <a:t>A3</a:t>
          </a:r>
          <a:r>
            <a:rPr lang="en-US" sz="800" b="0" i="0" u="none" strike="noStrike" baseline="0">
              <a:solidFill>
                <a:srgbClr val="000000"/>
              </a:solidFill>
              <a:latin typeface="Arial"/>
              <a:cs typeface="Arial"/>
            </a:rPr>
            <a:t>*(n</a:t>
          </a:r>
          <a:r>
            <a:rPr lang="en-US" sz="800" b="0" i="0" u="none" strike="noStrike" baseline="-25000">
              <a:solidFill>
                <a:srgbClr val="000000"/>
              </a:solidFill>
              <a:latin typeface="Arial"/>
              <a:cs typeface="Arial"/>
            </a:rPr>
            <a:t>a </a:t>
          </a:r>
          <a:r>
            <a:rPr lang="en-US" sz="800" b="0" i="0" u="none" strike="noStrike" baseline="0">
              <a:solidFill>
                <a:srgbClr val="000000"/>
              </a:solidFill>
              <a:latin typeface="Arial"/>
              <a:cs typeface="Arial"/>
            </a:rPr>
            <a:t>+ (K</a:t>
          </a:r>
          <a:r>
            <a:rPr lang="en-US" sz="800" b="0" i="0" u="none" strike="noStrike" baseline="-25000">
              <a:solidFill>
                <a:srgbClr val="000000"/>
              </a:solidFill>
              <a:latin typeface="Arial"/>
              <a:cs typeface="Arial"/>
            </a:rPr>
            <a:t>d</a:t>
          </a:r>
          <a:r>
            <a:rPr lang="en-US" sz="800" b="0" i="0" u="none" strike="noStrike" baseline="0">
              <a:solidFill>
                <a:srgbClr val="000000"/>
              </a:solidFill>
              <a:latin typeface="Arial"/>
              <a:cs typeface="Arial"/>
            </a:rPr>
            <a:t>*TSS</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/H'*1000)))))</a:t>
          </a:r>
          <a:r>
            <a:rPr lang="en-US" sz="800" b="0" i="0" u="none" strike="noStrike" baseline="30000">
              <a:solidFill>
                <a:srgbClr val="000000"/>
              </a:solidFill>
              <a:latin typeface="Arial"/>
              <a:cs typeface="Arial"/>
            </a:rPr>
            <a:t>0.5</a:t>
          </a: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Part C = q</a:t>
          </a:r>
          <a:r>
            <a:rPr lang="en-US" sz="800" b="0" i="0" u="none" strike="noStrike" baseline="30000">
              <a:solidFill>
                <a:srgbClr val="000000"/>
              </a:solidFill>
              <a:latin typeface="Arial"/>
              <a:cs typeface="Arial"/>
            </a:rPr>
            <a:t>*d</a:t>
          </a:r>
          <a:r>
            <a:rPr lang="en-US" sz="800" b="0" i="0" u="none" strike="noStrike" baseline="-25000">
              <a:solidFill>
                <a:srgbClr val="000000"/>
              </a:solidFill>
              <a:latin typeface="Arial"/>
              <a:cs typeface="Arial"/>
            </a:rPr>
            <a:t>sed</a:t>
          </a:r>
          <a:r>
            <a:rPr lang="en-US" sz="800" b="0" i="0" u="none" strike="noStrike" baseline="0">
              <a:solidFill>
                <a:srgbClr val="000000"/>
              </a:solidFill>
              <a:latin typeface="Arial"/>
              <a:cs typeface="Arial"/>
            </a:rPr>
            <a:t>/Part A</a:t>
          </a:r>
        </a:p>
      </xdr:txBody>
    </xdr:sp>
    <xdr:clientData/>
  </xdr:twoCellAnchor>
  <xdr:twoCellAnchor>
    <xdr:from>
      <xdr:col>11</xdr:col>
      <xdr:colOff>600075</xdr:colOff>
      <xdr:row>260</xdr:row>
      <xdr:rowOff>9525</xdr:rowOff>
    </xdr:from>
    <xdr:to>
      <xdr:col>13</xdr:col>
      <xdr:colOff>381000</xdr:colOff>
      <xdr:row>264</xdr:row>
      <xdr:rowOff>114300</xdr:rowOff>
    </xdr:to>
    <xdr:cxnSp macro="">
      <xdr:nvCxnSpPr>
        <xdr:cNvPr id="17300" name="AutoShape 590">
          <a:extLst>
            <a:ext uri="{FF2B5EF4-FFF2-40B4-BE49-F238E27FC236}">
              <a16:creationId xmlns:a16="http://schemas.microsoft.com/office/drawing/2014/main" id="{00000000-0008-0000-0900-000094430000}"/>
            </a:ext>
          </a:extLst>
        </xdr:cNvPr>
        <xdr:cNvCxnSpPr>
          <a:cxnSpLocks noChangeShapeType="1"/>
          <a:stCxn id="16963" idx="2"/>
          <a:endCxn id="16971" idx="0"/>
        </xdr:cNvCxnSpPr>
      </xdr:nvCxnSpPr>
      <xdr:spPr bwMode="auto">
        <a:xfrm rot="16200000" flipH="1">
          <a:off x="7029450" y="41986200"/>
          <a:ext cx="752475" cy="1000125"/>
        </a:xfrm>
        <a:prstGeom prst="bentConnector3">
          <a:avLst>
            <a:gd name="adj1" fmla="val 49366"/>
          </a:avLst>
        </a:prstGeom>
        <a:noFill/>
        <a:ln w="9525">
          <a:solidFill>
            <a:srgbClr val="000000"/>
          </a:solidFill>
          <a:miter lim="800000"/>
          <a:headEnd/>
          <a:tailEnd type="stealth" w="med" len="med"/>
        </a:ln>
      </xdr:spPr>
    </xdr:cxnSp>
    <xdr:clientData/>
  </xdr:twoCellAnchor>
  <xdr:twoCellAnchor>
    <xdr:from>
      <xdr:col>4</xdr:col>
      <xdr:colOff>200025</xdr:colOff>
      <xdr:row>274</xdr:row>
      <xdr:rowOff>104775</xdr:rowOff>
    </xdr:from>
    <xdr:to>
      <xdr:col>9</xdr:col>
      <xdr:colOff>428625</xdr:colOff>
      <xdr:row>280</xdr:row>
      <xdr:rowOff>47625</xdr:rowOff>
    </xdr:to>
    <xdr:sp macro="" textlink="">
      <xdr:nvSpPr>
        <xdr:cNvPr id="16976" name="Text Box 592">
          <a:extLst>
            <a:ext uri="{FF2B5EF4-FFF2-40B4-BE49-F238E27FC236}">
              <a16:creationId xmlns:a16="http://schemas.microsoft.com/office/drawing/2014/main" id="{00000000-0008-0000-0900-000050420000}"/>
            </a:ext>
          </a:extLst>
        </xdr:cNvPr>
        <xdr:cNvSpPr txBox="1">
          <a:spLocks noChangeArrowheads="1"/>
        </xdr:cNvSpPr>
      </xdr:nvSpPr>
      <xdr:spPr bwMode="auto">
        <a:xfrm>
          <a:off x="2638425" y="44472225"/>
          <a:ext cx="2876550" cy="914400"/>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Calculate the allowable </a:t>
          </a:r>
          <a:r>
            <a:rPr lang="en-US" sz="800" b="0" i="1" u="sng" strike="noStrike" baseline="0">
              <a:solidFill>
                <a:srgbClr val="000000"/>
              </a:solidFill>
              <a:latin typeface="Arial"/>
              <a:cs typeface="Arial"/>
            </a:rPr>
            <a:t>on-site</a:t>
          </a:r>
          <a:r>
            <a:rPr lang="en-US" sz="800" b="0" i="0" u="none" strike="noStrike" baseline="0">
              <a:solidFill>
                <a:srgbClr val="000000"/>
              </a:solidFill>
              <a:latin typeface="Arial"/>
              <a:cs typeface="Arial"/>
            </a:rPr>
            <a:t> volatile flux (N</a:t>
          </a:r>
          <a:r>
            <a:rPr lang="en-US" sz="800" b="0" i="0" u="none" strike="noStrike" baseline="-25000">
              <a:solidFill>
                <a:srgbClr val="000000"/>
              </a:solidFill>
              <a:latin typeface="Arial"/>
              <a:cs typeface="Arial"/>
            </a:rPr>
            <a:t>on</a:t>
          </a:r>
          <a:r>
            <a:rPr lang="en-US" sz="800" b="0" i="0" u="none" strike="noStrike" baseline="0">
              <a:solidFill>
                <a:srgbClr val="000000"/>
              </a:solidFill>
              <a:latin typeface="Arial"/>
              <a:cs typeface="Arial"/>
            </a:rPr>
            <a:t>) from the surface based on the sediment concentration.</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r>
            <a:rPr lang="en-US" sz="800" b="0" i="0" u="none" strike="noStrike" baseline="0">
              <a:solidFill>
                <a:srgbClr val="000000"/>
              </a:solidFill>
              <a:latin typeface="Arial"/>
              <a:cs typeface="Arial"/>
            </a:rPr>
            <a:t>N</a:t>
          </a:r>
          <a:r>
            <a:rPr lang="en-US" sz="800" b="0" i="0" u="none" strike="noStrike" baseline="30000">
              <a:solidFill>
                <a:srgbClr val="000000"/>
              </a:solidFill>
              <a:latin typeface="Arial"/>
              <a:cs typeface="Arial"/>
            </a:rPr>
            <a:t>d</a:t>
          </a:r>
          <a:r>
            <a:rPr lang="en-US" sz="800" b="0" i="0" u="none" strike="noStrike" baseline="-25000">
              <a:solidFill>
                <a:srgbClr val="000000"/>
              </a:solidFill>
              <a:latin typeface="Arial"/>
              <a:cs typeface="Arial"/>
            </a:rPr>
            <a:t>on </a:t>
          </a:r>
          <a:r>
            <a:rPr lang="en-US" sz="800" b="0" i="0" u="none" strike="noStrike" baseline="0">
              <a:solidFill>
                <a:srgbClr val="000000"/>
              </a:solidFill>
              <a:latin typeface="Arial"/>
              <a:cs typeface="Arial"/>
            </a:rPr>
            <a:t>= (2*Part C) / (1000*(1/K</a:t>
          </a:r>
          <a:r>
            <a:rPr lang="en-US" sz="800" b="0" i="0" u="none" strike="noStrike" baseline="-25000">
              <a:solidFill>
                <a:srgbClr val="000000"/>
              </a:solidFill>
              <a:latin typeface="Arial"/>
              <a:cs typeface="Arial"/>
            </a:rPr>
            <a:t>G </a:t>
          </a:r>
          <a:r>
            <a:rPr lang="en-US" sz="800" b="0" i="0" u="none" strike="noStrike" baseline="0">
              <a:solidFill>
                <a:srgbClr val="000000"/>
              </a:solidFill>
              <a:latin typeface="Arial"/>
              <a:cs typeface="Arial"/>
            </a:rPr>
            <a:t>+ Part B))</a:t>
          </a:r>
        </a:p>
      </xdr:txBody>
    </xdr:sp>
    <xdr:clientData/>
  </xdr:twoCellAnchor>
  <xdr:twoCellAnchor>
    <xdr:from>
      <xdr:col>4</xdr:col>
      <xdr:colOff>266700</xdr:colOff>
      <xdr:row>282</xdr:row>
      <xdr:rowOff>9525</xdr:rowOff>
    </xdr:from>
    <xdr:to>
      <xdr:col>9</xdr:col>
      <xdr:colOff>352425</xdr:colOff>
      <xdr:row>287</xdr:row>
      <xdr:rowOff>114300</xdr:rowOff>
    </xdr:to>
    <xdr:sp macro="" textlink="">
      <xdr:nvSpPr>
        <xdr:cNvPr id="16977" name="Text Box 593">
          <a:extLst>
            <a:ext uri="{FF2B5EF4-FFF2-40B4-BE49-F238E27FC236}">
              <a16:creationId xmlns:a16="http://schemas.microsoft.com/office/drawing/2014/main" id="{00000000-0008-0000-0900-000051420000}"/>
            </a:ext>
          </a:extLst>
        </xdr:cNvPr>
        <xdr:cNvSpPr txBox="1">
          <a:spLocks noChangeArrowheads="1"/>
        </xdr:cNvSpPr>
      </xdr:nvSpPr>
      <xdr:spPr bwMode="auto">
        <a:xfrm>
          <a:off x="2705100" y="45672375"/>
          <a:ext cx="2733675" cy="914400"/>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Calculate the allowable </a:t>
          </a:r>
          <a:r>
            <a:rPr lang="en-US" sz="800" b="0" i="1" u="sng" strike="noStrike" baseline="0">
              <a:solidFill>
                <a:srgbClr val="000000"/>
              </a:solidFill>
              <a:latin typeface="Arial"/>
              <a:cs typeface="Arial"/>
            </a:rPr>
            <a:t>on-site</a:t>
          </a:r>
          <a:r>
            <a:rPr lang="en-US" sz="800" b="0" i="0" u="none" strike="noStrike" baseline="0">
              <a:solidFill>
                <a:srgbClr val="000000"/>
              </a:solidFill>
              <a:latin typeface="Arial"/>
              <a:cs typeface="Arial"/>
            </a:rPr>
            <a:t> air emission (E</a:t>
          </a:r>
          <a:r>
            <a:rPr lang="en-US" sz="800" b="0" i="0" u="none" strike="noStrike" baseline="30000">
              <a:solidFill>
                <a:srgbClr val="000000"/>
              </a:solidFill>
              <a:latin typeface="Arial"/>
              <a:cs typeface="Arial"/>
            </a:rPr>
            <a:t>d</a:t>
          </a:r>
          <a:r>
            <a:rPr lang="en-US" sz="800" b="0" i="0" u="none" strike="noStrike" baseline="-25000">
              <a:solidFill>
                <a:srgbClr val="000000"/>
              </a:solidFill>
              <a:latin typeface="Arial"/>
              <a:cs typeface="Arial"/>
            </a:rPr>
            <a:t>on</a:t>
          </a:r>
          <a:r>
            <a:rPr lang="en-US" sz="800" b="0" i="0" u="none" strike="noStrike" baseline="0">
              <a:solidFill>
                <a:srgbClr val="000000"/>
              </a:solidFill>
              <a:latin typeface="Arial"/>
              <a:cs typeface="Arial"/>
            </a:rPr>
            <a:t>) based on the volatile flux.</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r>
            <a:rPr lang="en-US" sz="800" b="0" i="0" u="none" strike="noStrike" baseline="0">
              <a:solidFill>
                <a:srgbClr val="000000"/>
              </a:solidFill>
              <a:latin typeface="Arial"/>
              <a:cs typeface="Arial"/>
            </a:rPr>
            <a:t>E</a:t>
          </a:r>
          <a:r>
            <a:rPr lang="en-US" sz="800" b="0" i="0" u="none" strike="noStrike" baseline="30000">
              <a:solidFill>
                <a:srgbClr val="000000"/>
              </a:solidFill>
              <a:latin typeface="Arial"/>
              <a:cs typeface="Arial"/>
            </a:rPr>
            <a:t>d</a:t>
          </a:r>
          <a:r>
            <a:rPr lang="en-US" sz="800" b="0" i="0" u="none" strike="noStrike" baseline="-25000">
              <a:solidFill>
                <a:srgbClr val="000000"/>
              </a:solidFill>
              <a:latin typeface="Arial"/>
              <a:cs typeface="Arial"/>
            </a:rPr>
            <a:t>on </a:t>
          </a:r>
          <a:r>
            <a:rPr lang="en-US" sz="800" b="0" i="0" u="none" strike="noStrike" baseline="0">
              <a:solidFill>
                <a:srgbClr val="000000"/>
              </a:solidFill>
              <a:latin typeface="Arial"/>
              <a:cs typeface="Arial"/>
            </a:rPr>
            <a:t>= N</a:t>
          </a:r>
          <a:r>
            <a:rPr lang="en-US" sz="800" b="0" i="0" u="none" strike="noStrike" baseline="30000">
              <a:solidFill>
                <a:srgbClr val="000000"/>
              </a:solidFill>
              <a:latin typeface="Arial"/>
              <a:cs typeface="Arial"/>
            </a:rPr>
            <a:t>d</a:t>
          </a:r>
          <a:r>
            <a:rPr lang="en-US" sz="800" b="0" i="0" u="none" strike="noStrike" baseline="-25000">
              <a:solidFill>
                <a:srgbClr val="000000"/>
              </a:solidFill>
              <a:latin typeface="Arial"/>
              <a:cs typeface="Arial"/>
            </a:rPr>
            <a:t>on</a:t>
          </a:r>
          <a:r>
            <a:rPr lang="en-US" sz="800" b="0" i="0" u="none" strike="noStrike" baseline="0">
              <a:solidFill>
                <a:srgbClr val="000000"/>
              </a:solidFill>
              <a:latin typeface="Arial"/>
              <a:cs typeface="Arial"/>
            </a:rPr>
            <a:t>*(L*W*10000)</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323850</xdr:colOff>
      <xdr:row>289</xdr:row>
      <xdr:rowOff>38100</xdr:rowOff>
    </xdr:from>
    <xdr:to>
      <xdr:col>9</xdr:col>
      <xdr:colOff>314325</xdr:colOff>
      <xdr:row>294</xdr:row>
      <xdr:rowOff>76200</xdr:rowOff>
    </xdr:to>
    <xdr:sp macro="" textlink="">
      <xdr:nvSpPr>
        <xdr:cNvPr id="16978" name="Text Box 594">
          <a:extLst>
            <a:ext uri="{FF2B5EF4-FFF2-40B4-BE49-F238E27FC236}">
              <a16:creationId xmlns:a16="http://schemas.microsoft.com/office/drawing/2014/main" id="{00000000-0008-0000-0900-000052420000}"/>
            </a:ext>
          </a:extLst>
        </xdr:cNvPr>
        <xdr:cNvSpPr txBox="1">
          <a:spLocks noChangeArrowheads="1"/>
        </xdr:cNvSpPr>
      </xdr:nvSpPr>
      <xdr:spPr bwMode="auto">
        <a:xfrm>
          <a:off x="2762250" y="46834425"/>
          <a:ext cx="2638425" cy="847725"/>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Calculate the predicted </a:t>
          </a:r>
          <a:r>
            <a:rPr lang="en-US" sz="800" b="0" i="1" u="sng" strike="noStrike" baseline="0">
              <a:solidFill>
                <a:srgbClr val="000000"/>
              </a:solidFill>
              <a:latin typeface="Arial"/>
              <a:cs typeface="Arial"/>
            </a:rPr>
            <a:t>on-site</a:t>
          </a:r>
          <a:r>
            <a:rPr lang="en-US" sz="800" b="0" i="0" u="none" strike="noStrike" baseline="0">
              <a:solidFill>
                <a:srgbClr val="000000"/>
              </a:solidFill>
              <a:latin typeface="Arial"/>
              <a:cs typeface="Arial"/>
            </a:rPr>
            <a:t> air concentration under drying conditions, C</a:t>
          </a:r>
          <a:r>
            <a:rPr lang="en-US" sz="800" b="0" i="0" u="none" strike="noStrike" baseline="30000">
              <a:solidFill>
                <a:srgbClr val="000000"/>
              </a:solidFill>
              <a:latin typeface="Arial"/>
              <a:cs typeface="Arial"/>
            </a:rPr>
            <a:t>d</a:t>
          </a:r>
          <a:r>
            <a:rPr lang="en-US" sz="800" b="0" i="0" u="none" strike="noStrike" baseline="-25000">
              <a:solidFill>
                <a:srgbClr val="000000"/>
              </a:solidFill>
              <a:latin typeface="Arial"/>
              <a:cs typeface="Arial"/>
            </a:rPr>
            <a:t>a,on</a:t>
          </a:r>
          <a:r>
            <a:rPr lang="en-US" sz="800" b="0" i="0" u="none" strike="noStrike" baseline="0">
              <a:solidFill>
                <a:srgbClr val="000000"/>
              </a:solidFill>
              <a:latin typeface="Arial"/>
              <a:cs typeface="Arial"/>
            </a:rPr>
            <a: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r>
            <a:rPr lang="en-US" sz="800" b="0" i="0" u="none" strike="noStrike" baseline="0">
              <a:solidFill>
                <a:srgbClr val="000000"/>
              </a:solidFill>
              <a:latin typeface="Arial"/>
              <a:cs typeface="Arial"/>
            </a:rPr>
            <a:t>C</a:t>
          </a:r>
          <a:r>
            <a:rPr lang="en-US" sz="800" b="0" i="0" u="none" strike="noStrike" baseline="30000">
              <a:solidFill>
                <a:srgbClr val="000000"/>
              </a:solidFill>
              <a:latin typeface="Arial"/>
              <a:cs typeface="Arial"/>
            </a:rPr>
            <a:t>d</a:t>
          </a:r>
          <a:r>
            <a:rPr lang="en-US" sz="800" b="0" i="0" u="none" strike="noStrike" baseline="-25000">
              <a:solidFill>
                <a:srgbClr val="000000"/>
              </a:solidFill>
              <a:latin typeface="Arial"/>
              <a:cs typeface="Arial"/>
            </a:rPr>
            <a:t>a,on </a:t>
          </a:r>
          <a:r>
            <a:rPr lang="en-US" sz="800" b="0" i="0" u="none" strike="noStrike" baseline="0">
              <a:solidFill>
                <a:srgbClr val="000000"/>
              </a:solidFill>
              <a:latin typeface="Arial"/>
              <a:cs typeface="Arial"/>
            </a:rPr>
            <a:t>= (E</a:t>
          </a:r>
          <a:r>
            <a:rPr lang="en-US" sz="800" b="0" i="0" u="none" strike="noStrike" baseline="30000">
              <a:solidFill>
                <a:srgbClr val="000000"/>
              </a:solidFill>
              <a:latin typeface="Arial"/>
              <a:cs typeface="Arial"/>
            </a:rPr>
            <a:t>d</a:t>
          </a:r>
          <a:r>
            <a:rPr lang="en-US" sz="800" b="0" i="0" u="none" strike="noStrike" baseline="-25000">
              <a:solidFill>
                <a:srgbClr val="000000"/>
              </a:solidFill>
              <a:latin typeface="Arial"/>
              <a:cs typeface="Arial"/>
            </a:rPr>
            <a:t>on</a:t>
          </a:r>
          <a:r>
            <a:rPr lang="en-US" sz="800" b="0" i="0" u="none" strike="noStrike" baseline="0">
              <a:solidFill>
                <a:srgbClr val="000000"/>
              </a:solidFill>
              <a:latin typeface="Arial"/>
              <a:cs typeface="Arial"/>
            </a:rPr>
            <a:t>*1000)/(v</a:t>
          </a:r>
          <a:r>
            <a:rPr lang="en-US" sz="800" b="0" i="0" u="none" strike="noStrike" baseline="-25000">
              <a:solidFill>
                <a:srgbClr val="000000"/>
              </a:solidFill>
              <a:latin typeface="Arial"/>
              <a:cs typeface="Arial"/>
            </a:rPr>
            <a:t>a</a:t>
          </a:r>
          <a:r>
            <a:rPr lang="en-US" sz="800" b="0" i="0" u="none" strike="noStrike" baseline="0">
              <a:solidFill>
                <a:srgbClr val="000000"/>
              </a:solidFill>
              <a:latin typeface="Arial"/>
              <a:cs typeface="Arial"/>
            </a:rPr>
            <a:t>*3*W)</a:t>
          </a:r>
        </a:p>
      </xdr:txBody>
    </xdr:sp>
    <xdr:clientData/>
  </xdr:twoCellAnchor>
  <xdr:twoCellAnchor>
    <xdr:from>
      <xdr:col>11</xdr:col>
      <xdr:colOff>123825</xdr:colOff>
      <xdr:row>274</xdr:row>
      <xdr:rowOff>114300</xdr:rowOff>
    </xdr:from>
    <xdr:to>
      <xdr:col>16</xdr:col>
      <xdr:colOff>28575</xdr:colOff>
      <xdr:row>280</xdr:row>
      <xdr:rowOff>66675</xdr:rowOff>
    </xdr:to>
    <xdr:sp macro="" textlink="">
      <xdr:nvSpPr>
        <xdr:cNvPr id="16979" name="Text Box 595">
          <a:extLst>
            <a:ext uri="{FF2B5EF4-FFF2-40B4-BE49-F238E27FC236}">
              <a16:creationId xmlns:a16="http://schemas.microsoft.com/office/drawing/2014/main" id="{00000000-0008-0000-0900-000053420000}"/>
            </a:ext>
          </a:extLst>
        </xdr:cNvPr>
        <xdr:cNvSpPr txBox="1">
          <a:spLocks noChangeArrowheads="1"/>
        </xdr:cNvSpPr>
      </xdr:nvSpPr>
      <xdr:spPr bwMode="auto">
        <a:xfrm>
          <a:off x="6429375" y="44481750"/>
          <a:ext cx="2952750" cy="923925"/>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Calculate the allowable </a:t>
          </a:r>
          <a:r>
            <a:rPr lang="en-US" sz="800" b="0" i="1" u="sng" strike="noStrike" baseline="0">
              <a:solidFill>
                <a:srgbClr val="000000"/>
              </a:solidFill>
              <a:latin typeface="Arial"/>
              <a:cs typeface="Arial"/>
            </a:rPr>
            <a:t>off-site</a:t>
          </a:r>
          <a:r>
            <a:rPr lang="en-US" sz="800" b="0" i="0" u="none" strike="noStrike" baseline="0">
              <a:solidFill>
                <a:srgbClr val="000000"/>
              </a:solidFill>
              <a:latin typeface="Arial"/>
              <a:cs typeface="Arial"/>
            </a:rPr>
            <a:t> volatile flux (N</a:t>
          </a:r>
          <a:r>
            <a:rPr lang="en-US" sz="800" b="0" i="0" u="none" strike="noStrike" baseline="-25000">
              <a:solidFill>
                <a:srgbClr val="000000"/>
              </a:solidFill>
              <a:latin typeface="Arial"/>
              <a:cs typeface="Arial"/>
            </a:rPr>
            <a:t>off</a:t>
          </a:r>
          <a:r>
            <a:rPr lang="en-US" sz="800" b="0" i="0" u="none" strike="noStrike" baseline="0">
              <a:solidFill>
                <a:srgbClr val="000000"/>
              </a:solidFill>
              <a:latin typeface="Arial"/>
              <a:cs typeface="Arial"/>
            </a:rPr>
            <a:t>) from the ponded surface based on the sediment concentration.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r>
            <a:rPr lang="en-US" sz="800" b="0" i="0" u="none" strike="noStrike" baseline="0">
              <a:solidFill>
                <a:srgbClr val="000000"/>
              </a:solidFill>
              <a:latin typeface="Arial"/>
              <a:cs typeface="Arial"/>
            </a:rPr>
            <a:t>N</a:t>
          </a:r>
          <a:r>
            <a:rPr lang="en-US" sz="800" b="0" i="0" u="none" strike="noStrike" baseline="30000">
              <a:solidFill>
                <a:srgbClr val="000000"/>
              </a:solidFill>
              <a:latin typeface="Arial"/>
              <a:cs typeface="Arial"/>
            </a:rPr>
            <a:t>d</a:t>
          </a:r>
          <a:r>
            <a:rPr lang="en-US" sz="800" b="0" i="0" u="none" strike="noStrike" baseline="-25000">
              <a:solidFill>
                <a:srgbClr val="000000"/>
              </a:solidFill>
              <a:latin typeface="Arial"/>
              <a:cs typeface="Arial"/>
            </a:rPr>
            <a:t>off </a:t>
          </a:r>
          <a:r>
            <a:rPr lang="en-US" sz="800" b="0" i="0" u="none" strike="noStrike" baseline="0">
              <a:solidFill>
                <a:srgbClr val="000000"/>
              </a:solidFill>
              <a:latin typeface="Arial"/>
              <a:cs typeface="Arial"/>
            </a:rPr>
            <a:t>= (2*Part C) / (1000*(1/K</a:t>
          </a:r>
          <a:r>
            <a:rPr lang="en-US" sz="800" b="0" i="0" u="none" strike="noStrike" baseline="-25000">
              <a:solidFill>
                <a:srgbClr val="000000"/>
              </a:solidFill>
              <a:latin typeface="Arial"/>
              <a:cs typeface="Arial"/>
            </a:rPr>
            <a:t>G </a:t>
          </a:r>
          <a:r>
            <a:rPr lang="en-US" sz="800" b="0" i="0" u="none" strike="noStrike" baseline="0">
              <a:solidFill>
                <a:srgbClr val="000000"/>
              </a:solidFill>
              <a:latin typeface="Arial"/>
              <a:cs typeface="Arial"/>
            </a:rPr>
            <a:t>+ Part B))</a:t>
          </a:r>
        </a:p>
      </xdr:txBody>
    </xdr:sp>
    <xdr:clientData/>
  </xdr:twoCellAnchor>
  <xdr:twoCellAnchor>
    <xdr:from>
      <xdr:col>11</xdr:col>
      <xdr:colOff>161925</xdr:colOff>
      <xdr:row>282</xdr:row>
      <xdr:rowOff>47625</xdr:rowOff>
    </xdr:from>
    <xdr:to>
      <xdr:col>15</xdr:col>
      <xdr:colOff>590550</xdr:colOff>
      <xdr:row>287</xdr:row>
      <xdr:rowOff>152400</xdr:rowOff>
    </xdr:to>
    <xdr:sp macro="" textlink="">
      <xdr:nvSpPr>
        <xdr:cNvPr id="16980" name="Text Box 596">
          <a:extLst>
            <a:ext uri="{FF2B5EF4-FFF2-40B4-BE49-F238E27FC236}">
              <a16:creationId xmlns:a16="http://schemas.microsoft.com/office/drawing/2014/main" id="{00000000-0008-0000-0900-000054420000}"/>
            </a:ext>
          </a:extLst>
        </xdr:cNvPr>
        <xdr:cNvSpPr txBox="1">
          <a:spLocks noChangeArrowheads="1"/>
        </xdr:cNvSpPr>
      </xdr:nvSpPr>
      <xdr:spPr bwMode="auto">
        <a:xfrm>
          <a:off x="6467475" y="45710475"/>
          <a:ext cx="2867025" cy="914400"/>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Calculate the allowable </a:t>
          </a:r>
          <a:r>
            <a:rPr lang="en-US" sz="800" b="0" i="1" u="sng" strike="noStrike" baseline="0">
              <a:solidFill>
                <a:srgbClr val="000000"/>
              </a:solidFill>
              <a:latin typeface="Arial"/>
              <a:cs typeface="Arial"/>
            </a:rPr>
            <a:t>off-site</a:t>
          </a:r>
          <a:r>
            <a:rPr lang="en-US" sz="800" b="0" i="0" u="none" strike="noStrike" baseline="0">
              <a:solidFill>
                <a:srgbClr val="000000"/>
              </a:solidFill>
              <a:latin typeface="Arial"/>
              <a:cs typeface="Arial"/>
            </a:rPr>
            <a:t> air emission (E</a:t>
          </a:r>
          <a:r>
            <a:rPr lang="en-US" sz="800" b="0" i="0" u="none" strike="noStrike" baseline="30000">
              <a:solidFill>
                <a:srgbClr val="000000"/>
              </a:solidFill>
              <a:latin typeface="Arial"/>
              <a:cs typeface="Arial"/>
            </a:rPr>
            <a:t>d</a:t>
          </a:r>
          <a:r>
            <a:rPr lang="en-US" sz="800" b="0" i="0" u="none" strike="noStrike" baseline="-25000">
              <a:solidFill>
                <a:srgbClr val="000000"/>
              </a:solidFill>
              <a:latin typeface="Arial"/>
              <a:cs typeface="Arial"/>
            </a:rPr>
            <a:t>off</a:t>
          </a:r>
          <a:r>
            <a:rPr lang="en-US" sz="800" b="0" i="0" u="none" strike="noStrike" baseline="0">
              <a:solidFill>
                <a:srgbClr val="000000"/>
              </a:solidFill>
              <a:latin typeface="Arial"/>
              <a:cs typeface="Arial"/>
            </a:rPr>
            <a:t>) based on the volatile flux.</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r>
            <a:rPr lang="en-US" sz="800" b="0" i="0" u="none" strike="noStrike" baseline="0">
              <a:solidFill>
                <a:srgbClr val="000000"/>
              </a:solidFill>
              <a:latin typeface="Arial"/>
              <a:cs typeface="Arial"/>
            </a:rPr>
            <a:t>E</a:t>
          </a:r>
          <a:r>
            <a:rPr lang="en-US" sz="800" b="0" i="0" u="none" strike="noStrike" baseline="30000">
              <a:solidFill>
                <a:srgbClr val="000000"/>
              </a:solidFill>
              <a:latin typeface="Arial"/>
              <a:cs typeface="Arial"/>
            </a:rPr>
            <a:t>d</a:t>
          </a:r>
          <a:r>
            <a:rPr lang="en-US" sz="800" b="0" i="0" u="none" strike="noStrike" baseline="-25000">
              <a:solidFill>
                <a:srgbClr val="000000"/>
              </a:solidFill>
              <a:latin typeface="Arial"/>
              <a:cs typeface="Arial"/>
            </a:rPr>
            <a:t>off  </a:t>
          </a:r>
          <a:r>
            <a:rPr lang="en-US" sz="800" b="0" i="0" u="none" strike="noStrike" baseline="0">
              <a:solidFill>
                <a:srgbClr val="000000"/>
              </a:solidFill>
              <a:latin typeface="Arial"/>
              <a:cs typeface="Arial"/>
            </a:rPr>
            <a:t>= N</a:t>
          </a:r>
          <a:r>
            <a:rPr lang="en-US" sz="800" b="0" i="0" u="none" strike="noStrike" baseline="30000">
              <a:solidFill>
                <a:srgbClr val="000000"/>
              </a:solidFill>
              <a:latin typeface="Arial"/>
              <a:cs typeface="Arial"/>
            </a:rPr>
            <a:t>d</a:t>
          </a:r>
          <a:r>
            <a:rPr lang="en-US" sz="800" b="0" i="0" u="none" strike="noStrike" baseline="-25000">
              <a:solidFill>
                <a:srgbClr val="000000"/>
              </a:solidFill>
              <a:latin typeface="Arial"/>
              <a:cs typeface="Arial"/>
            </a:rPr>
            <a:t>off</a:t>
          </a:r>
          <a:r>
            <a:rPr lang="en-US" sz="800" b="0" i="0" u="none" strike="noStrike" baseline="0">
              <a:solidFill>
                <a:srgbClr val="000000"/>
              </a:solidFill>
              <a:latin typeface="Arial"/>
              <a:cs typeface="Arial"/>
            </a:rPr>
            <a:t>*(L*W*10000)</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11</xdr:col>
      <xdr:colOff>238125</xdr:colOff>
      <xdr:row>289</xdr:row>
      <xdr:rowOff>76200</xdr:rowOff>
    </xdr:from>
    <xdr:to>
      <xdr:col>15</xdr:col>
      <xdr:colOff>514350</xdr:colOff>
      <xdr:row>294</xdr:row>
      <xdr:rowOff>76200</xdr:rowOff>
    </xdr:to>
    <xdr:sp macro="" textlink="">
      <xdr:nvSpPr>
        <xdr:cNvPr id="16981" name="Text Box 597">
          <a:extLst>
            <a:ext uri="{FF2B5EF4-FFF2-40B4-BE49-F238E27FC236}">
              <a16:creationId xmlns:a16="http://schemas.microsoft.com/office/drawing/2014/main" id="{00000000-0008-0000-0900-000055420000}"/>
            </a:ext>
          </a:extLst>
        </xdr:cNvPr>
        <xdr:cNvSpPr txBox="1">
          <a:spLocks noChangeArrowheads="1"/>
        </xdr:cNvSpPr>
      </xdr:nvSpPr>
      <xdr:spPr bwMode="auto">
        <a:xfrm>
          <a:off x="6543675" y="46872525"/>
          <a:ext cx="2714625" cy="809625"/>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Calculate the predicted </a:t>
          </a:r>
          <a:r>
            <a:rPr lang="en-US" sz="800" b="0" i="1" u="sng" strike="noStrike" baseline="0">
              <a:solidFill>
                <a:srgbClr val="000000"/>
              </a:solidFill>
              <a:latin typeface="Arial"/>
              <a:cs typeface="Arial"/>
            </a:rPr>
            <a:t>off-site</a:t>
          </a:r>
          <a:r>
            <a:rPr lang="en-US" sz="800" b="0" i="0" u="none" strike="noStrike" baseline="0">
              <a:solidFill>
                <a:srgbClr val="000000"/>
              </a:solidFill>
              <a:latin typeface="Arial"/>
              <a:cs typeface="Arial"/>
            </a:rPr>
            <a:t> air concentration under drying conditions, C</a:t>
          </a:r>
          <a:r>
            <a:rPr lang="en-US" sz="800" b="0" i="0" u="none" strike="noStrike" baseline="30000">
              <a:solidFill>
                <a:srgbClr val="000000"/>
              </a:solidFill>
              <a:latin typeface="Arial"/>
              <a:cs typeface="Arial"/>
            </a:rPr>
            <a:t>d</a:t>
          </a:r>
          <a:r>
            <a:rPr lang="en-US" sz="800" b="0" i="0" u="none" strike="noStrike" baseline="-25000">
              <a:solidFill>
                <a:srgbClr val="000000"/>
              </a:solidFill>
              <a:latin typeface="Arial"/>
              <a:cs typeface="Arial"/>
            </a:rPr>
            <a:t>a,off</a:t>
          </a:r>
          <a:r>
            <a:rPr lang="en-US" sz="800" b="0" i="0" u="none" strike="noStrike" baseline="0">
              <a:solidFill>
                <a:srgbClr val="000000"/>
              </a:solidFill>
              <a:latin typeface="Arial"/>
              <a:cs typeface="Arial"/>
            </a:rPr>
            <a:t>.</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a:t>
          </a:r>
          <a:r>
            <a:rPr lang="en-US" sz="800" b="0" i="0" u="none" strike="noStrike" baseline="30000">
              <a:solidFill>
                <a:srgbClr val="000000"/>
              </a:solidFill>
              <a:latin typeface="Arial"/>
              <a:cs typeface="Arial"/>
            </a:rPr>
            <a:t>d</a:t>
          </a:r>
          <a:r>
            <a:rPr lang="en-US" sz="800" b="0" i="0" u="none" strike="noStrike" baseline="-25000">
              <a:solidFill>
                <a:srgbClr val="000000"/>
              </a:solidFill>
              <a:latin typeface="Arial"/>
              <a:cs typeface="Arial"/>
            </a:rPr>
            <a:t>a,off </a:t>
          </a:r>
          <a:r>
            <a:rPr lang="en-US" sz="800" b="0" i="0" u="none" strike="noStrike" baseline="0">
              <a:solidFill>
                <a:srgbClr val="000000"/>
              </a:solidFill>
              <a:latin typeface="Arial"/>
              <a:cs typeface="Arial"/>
            </a:rPr>
            <a:t>= E</a:t>
          </a:r>
          <a:r>
            <a:rPr lang="en-US" sz="800" b="0" i="0" u="none" strike="noStrike" baseline="30000">
              <a:solidFill>
                <a:srgbClr val="000000"/>
              </a:solidFill>
              <a:latin typeface="Arial"/>
              <a:cs typeface="Arial"/>
            </a:rPr>
            <a:t>d</a:t>
          </a:r>
          <a:r>
            <a:rPr lang="en-US" sz="800" b="0" i="0" u="none" strike="noStrike" baseline="-25000">
              <a:solidFill>
                <a:srgbClr val="000000"/>
              </a:solidFill>
              <a:latin typeface="Arial"/>
              <a:cs typeface="Arial"/>
            </a:rPr>
            <a:t>off</a:t>
          </a:r>
          <a:r>
            <a:rPr lang="en-US" sz="800" b="0" i="0" u="none" strike="noStrike" baseline="0">
              <a:solidFill>
                <a:srgbClr val="000000"/>
              </a:solidFill>
              <a:latin typeface="Arial"/>
              <a:cs typeface="Arial"/>
            </a:rPr>
            <a:t>*U</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7</xdr:col>
      <xdr:colOff>209550</xdr:colOff>
      <xdr:row>272</xdr:row>
      <xdr:rowOff>47625</xdr:rowOff>
    </xdr:from>
    <xdr:to>
      <xdr:col>7</xdr:col>
      <xdr:colOff>209550</xdr:colOff>
      <xdr:row>274</xdr:row>
      <xdr:rowOff>104775</xdr:rowOff>
    </xdr:to>
    <xdr:cxnSp macro="">
      <xdr:nvCxnSpPr>
        <xdr:cNvPr id="17307" name="AutoShape 600">
          <a:extLst>
            <a:ext uri="{FF2B5EF4-FFF2-40B4-BE49-F238E27FC236}">
              <a16:creationId xmlns:a16="http://schemas.microsoft.com/office/drawing/2014/main" id="{00000000-0008-0000-0900-00009B430000}"/>
            </a:ext>
          </a:extLst>
        </xdr:cNvPr>
        <xdr:cNvCxnSpPr>
          <a:cxnSpLocks noChangeShapeType="1"/>
          <a:stCxn id="16965" idx="2"/>
          <a:endCxn id="16976" idx="0"/>
        </xdr:cNvCxnSpPr>
      </xdr:nvCxnSpPr>
      <xdr:spPr bwMode="auto">
        <a:xfrm>
          <a:off x="4076700" y="44091225"/>
          <a:ext cx="0" cy="381000"/>
        </a:xfrm>
        <a:prstGeom prst="straightConnector1">
          <a:avLst/>
        </a:prstGeom>
        <a:noFill/>
        <a:ln w="9525">
          <a:solidFill>
            <a:srgbClr val="000000"/>
          </a:solidFill>
          <a:round/>
          <a:headEnd/>
          <a:tailEnd type="stealth" w="med" len="med"/>
        </a:ln>
      </xdr:spPr>
    </xdr:cxnSp>
    <xdr:clientData/>
  </xdr:twoCellAnchor>
  <xdr:twoCellAnchor>
    <xdr:from>
      <xdr:col>13</xdr:col>
      <xdr:colOff>381000</xdr:colOff>
      <xdr:row>272</xdr:row>
      <xdr:rowOff>47625</xdr:rowOff>
    </xdr:from>
    <xdr:to>
      <xdr:col>13</xdr:col>
      <xdr:colOff>381000</xdr:colOff>
      <xdr:row>274</xdr:row>
      <xdr:rowOff>114300</xdr:rowOff>
    </xdr:to>
    <xdr:cxnSp macro="">
      <xdr:nvCxnSpPr>
        <xdr:cNvPr id="17308" name="AutoShape 603">
          <a:extLst>
            <a:ext uri="{FF2B5EF4-FFF2-40B4-BE49-F238E27FC236}">
              <a16:creationId xmlns:a16="http://schemas.microsoft.com/office/drawing/2014/main" id="{00000000-0008-0000-0900-00009C430000}"/>
            </a:ext>
          </a:extLst>
        </xdr:cNvPr>
        <xdr:cNvCxnSpPr>
          <a:cxnSpLocks noChangeShapeType="1"/>
          <a:stCxn id="16971" idx="2"/>
          <a:endCxn id="16979" idx="0"/>
        </xdr:cNvCxnSpPr>
      </xdr:nvCxnSpPr>
      <xdr:spPr bwMode="auto">
        <a:xfrm>
          <a:off x="7905750" y="44091225"/>
          <a:ext cx="0" cy="390525"/>
        </a:xfrm>
        <a:prstGeom prst="straightConnector1">
          <a:avLst/>
        </a:prstGeom>
        <a:noFill/>
        <a:ln w="9525">
          <a:solidFill>
            <a:srgbClr val="000000"/>
          </a:solidFill>
          <a:round/>
          <a:headEnd/>
          <a:tailEnd type="stealth" w="med" len="med"/>
        </a:ln>
      </xdr:spPr>
    </xdr:cxnSp>
    <xdr:clientData/>
  </xdr:twoCellAnchor>
  <xdr:twoCellAnchor>
    <xdr:from>
      <xdr:col>7</xdr:col>
      <xdr:colOff>209550</xdr:colOff>
      <xdr:row>280</xdr:row>
      <xdr:rowOff>47625</xdr:rowOff>
    </xdr:from>
    <xdr:to>
      <xdr:col>7</xdr:col>
      <xdr:colOff>209550</xdr:colOff>
      <xdr:row>282</xdr:row>
      <xdr:rowOff>9525</xdr:rowOff>
    </xdr:to>
    <xdr:cxnSp macro="">
      <xdr:nvCxnSpPr>
        <xdr:cNvPr id="17309" name="AutoShape 605">
          <a:extLst>
            <a:ext uri="{FF2B5EF4-FFF2-40B4-BE49-F238E27FC236}">
              <a16:creationId xmlns:a16="http://schemas.microsoft.com/office/drawing/2014/main" id="{00000000-0008-0000-0900-00009D430000}"/>
            </a:ext>
          </a:extLst>
        </xdr:cNvPr>
        <xdr:cNvCxnSpPr>
          <a:cxnSpLocks noChangeShapeType="1"/>
          <a:stCxn id="16976" idx="2"/>
          <a:endCxn id="16977" idx="0"/>
        </xdr:cNvCxnSpPr>
      </xdr:nvCxnSpPr>
      <xdr:spPr bwMode="auto">
        <a:xfrm>
          <a:off x="4076700" y="45386625"/>
          <a:ext cx="0" cy="285750"/>
        </a:xfrm>
        <a:prstGeom prst="straightConnector1">
          <a:avLst/>
        </a:prstGeom>
        <a:noFill/>
        <a:ln w="9525">
          <a:solidFill>
            <a:srgbClr val="000000"/>
          </a:solidFill>
          <a:round/>
          <a:headEnd/>
          <a:tailEnd type="stealth" w="med" len="med"/>
        </a:ln>
      </xdr:spPr>
    </xdr:cxnSp>
    <xdr:clientData/>
  </xdr:twoCellAnchor>
  <xdr:twoCellAnchor>
    <xdr:from>
      <xdr:col>7</xdr:col>
      <xdr:colOff>209550</xdr:colOff>
      <xdr:row>287</xdr:row>
      <xdr:rowOff>114300</xdr:rowOff>
    </xdr:from>
    <xdr:to>
      <xdr:col>7</xdr:col>
      <xdr:colOff>219075</xdr:colOff>
      <xdr:row>289</xdr:row>
      <xdr:rowOff>38100</xdr:rowOff>
    </xdr:to>
    <xdr:cxnSp macro="">
      <xdr:nvCxnSpPr>
        <xdr:cNvPr id="17310" name="AutoShape 606">
          <a:extLst>
            <a:ext uri="{FF2B5EF4-FFF2-40B4-BE49-F238E27FC236}">
              <a16:creationId xmlns:a16="http://schemas.microsoft.com/office/drawing/2014/main" id="{00000000-0008-0000-0900-00009E430000}"/>
            </a:ext>
          </a:extLst>
        </xdr:cNvPr>
        <xdr:cNvCxnSpPr>
          <a:cxnSpLocks noChangeShapeType="1"/>
          <a:stCxn id="16977" idx="2"/>
          <a:endCxn id="16978" idx="0"/>
        </xdr:cNvCxnSpPr>
      </xdr:nvCxnSpPr>
      <xdr:spPr bwMode="auto">
        <a:xfrm>
          <a:off x="4076700" y="46586775"/>
          <a:ext cx="9525" cy="247650"/>
        </a:xfrm>
        <a:prstGeom prst="straightConnector1">
          <a:avLst/>
        </a:prstGeom>
        <a:noFill/>
        <a:ln w="9525">
          <a:solidFill>
            <a:srgbClr val="000000"/>
          </a:solidFill>
          <a:round/>
          <a:headEnd/>
          <a:tailEnd type="stealth" w="med" len="med"/>
        </a:ln>
      </xdr:spPr>
    </xdr:cxnSp>
    <xdr:clientData/>
  </xdr:twoCellAnchor>
  <xdr:twoCellAnchor>
    <xdr:from>
      <xdr:col>13</xdr:col>
      <xdr:colOff>381000</xdr:colOff>
      <xdr:row>280</xdr:row>
      <xdr:rowOff>66675</xdr:rowOff>
    </xdr:from>
    <xdr:to>
      <xdr:col>13</xdr:col>
      <xdr:colOff>381000</xdr:colOff>
      <xdr:row>282</xdr:row>
      <xdr:rowOff>47625</xdr:rowOff>
    </xdr:to>
    <xdr:cxnSp macro="">
      <xdr:nvCxnSpPr>
        <xdr:cNvPr id="17311" name="AutoShape 607">
          <a:extLst>
            <a:ext uri="{FF2B5EF4-FFF2-40B4-BE49-F238E27FC236}">
              <a16:creationId xmlns:a16="http://schemas.microsoft.com/office/drawing/2014/main" id="{00000000-0008-0000-0900-00009F430000}"/>
            </a:ext>
          </a:extLst>
        </xdr:cNvPr>
        <xdr:cNvCxnSpPr>
          <a:cxnSpLocks noChangeShapeType="1"/>
          <a:stCxn id="16979" idx="2"/>
          <a:endCxn id="16980" idx="0"/>
        </xdr:cNvCxnSpPr>
      </xdr:nvCxnSpPr>
      <xdr:spPr bwMode="auto">
        <a:xfrm>
          <a:off x="7905750" y="45405675"/>
          <a:ext cx="0" cy="304800"/>
        </a:xfrm>
        <a:prstGeom prst="straightConnector1">
          <a:avLst/>
        </a:prstGeom>
        <a:noFill/>
        <a:ln w="9525">
          <a:solidFill>
            <a:srgbClr val="000000"/>
          </a:solidFill>
          <a:round/>
          <a:headEnd/>
          <a:tailEnd type="stealth" w="med" len="med"/>
        </a:ln>
      </xdr:spPr>
    </xdr:cxnSp>
    <xdr:clientData/>
  </xdr:twoCellAnchor>
  <xdr:twoCellAnchor>
    <xdr:from>
      <xdr:col>13</xdr:col>
      <xdr:colOff>381000</xdr:colOff>
      <xdr:row>287</xdr:row>
      <xdr:rowOff>152400</xdr:rowOff>
    </xdr:from>
    <xdr:to>
      <xdr:col>13</xdr:col>
      <xdr:colOff>381000</xdr:colOff>
      <xdr:row>289</xdr:row>
      <xdr:rowOff>76200</xdr:rowOff>
    </xdr:to>
    <xdr:cxnSp macro="">
      <xdr:nvCxnSpPr>
        <xdr:cNvPr id="17312" name="AutoShape 608">
          <a:extLst>
            <a:ext uri="{FF2B5EF4-FFF2-40B4-BE49-F238E27FC236}">
              <a16:creationId xmlns:a16="http://schemas.microsoft.com/office/drawing/2014/main" id="{00000000-0008-0000-0900-0000A0430000}"/>
            </a:ext>
          </a:extLst>
        </xdr:cNvPr>
        <xdr:cNvCxnSpPr>
          <a:cxnSpLocks noChangeShapeType="1"/>
          <a:stCxn id="16980" idx="2"/>
          <a:endCxn id="16981" idx="0"/>
        </xdr:cNvCxnSpPr>
      </xdr:nvCxnSpPr>
      <xdr:spPr bwMode="auto">
        <a:xfrm>
          <a:off x="7905750" y="46624875"/>
          <a:ext cx="0" cy="247650"/>
        </a:xfrm>
        <a:prstGeom prst="straightConnector1">
          <a:avLst/>
        </a:prstGeom>
        <a:noFill/>
        <a:ln w="9525">
          <a:solidFill>
            <a:srgbClr val="000000"/>
          </a:solidFill>
          <a:round/>
          <a:headEnd/>
          <a:tailEnd type="stealth" w="med" len="med"/>
        </a:ln>
      </xdr:spPr>
    </xdr:cxnSp>
    <xdr:clientData/>
  </xdr:twoCellAnchor>
  <xdr:twoCellAnchor>
    <xdr:from>
      <xdr:col>7</xdr:col>
      <xdr:colOff>400050</xdr:colOff>
      <xdr:row>137</xdr:row>
      <xdr:rowOff>47625</xdr:rowOff>
    </xdr:from>
    <xdr:to>
      <xdr:col>12</xdr:col>
      <xdr:colOff>561975</xdr:colOff>
      <xdr:row>143</xdr:row>
      <xdr:rowOff>104775</xdr:rowOff>
    </xdr:to>
    <xdr:sp macro="" textlink="">
      <xdr:nvSpPr>
        <xdr:cNvPr id="16995" name="Rectangle 611">
          <a:extLst>
            <a:ext uri="{FF2B5EF4-FFF2-40B4-BE49-F238E27FC236}">
              <a16:creationId xmlns:a16="http://schemas.microsoft.com/office/drawing/2014/main" id="{00000000-0008-0000-0900-000063420000}"/>
            </a:ext>
          </a:extLst>
        </xdr:cNvPr>
        <xdr:cNvSpPr>
          <a:spLocks noChangeArrowheads="1"/>
        </xdr:cNvSpPr>
      </xdr:nvSpPr>
      <xdr:spPr bwMode="auto">
        <a:xfrm>
          <a:off x="4267200" y="22231350"/>
          <a:ext cx="3209925" cy="1028700"/>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Calculate the dissolved concentration in the vadose zone, C</a:t>
          </a:r>
          <a:r>
            <a:rPr lang="en-US" sz="800" b="0" i="0" u="none" strike="noStrike" baseline="-25000">
              <a:solidFill>
                <a:srgbClr val="000000"/>
              </a:solidFill>
              <a:latin typeface="Arial"/>
              <a:cs typeface="Arial"/>
            </a:rPr>
            <a:t>V,i</a:t>
          </a:r>
          <a:r>
            <a:rPr lang="en-US" sz="800" b="0" i="0" u="none" strike="noStrike" baseline="0">
              <a:solidFill>
                <a:srgbClr val="000000"/>
              </a:solidFill>
              <a:latin typeface="Arial"/>
              <a:cs typeface="Arial"/>
            </a:rPr>
            <a:t>, at the period of interest, t</a:t>
          </a:r>
          <a:r>
            <a:rPr lang="en-US" sz="800" b="0" i="0" u="none" strike="noStrike" baseline="-25000">
              <a:solidFill>
                <a:srgbClr val="000000"/>
              </a:solidFill>
              <a:latin typeface="Arial"/>
              <a:cs typeface="Arial"/>
            </a:rPr>
            <a:t>i</a:t>
          </a:r>
          <a:r>
            <a:rPr lang="en-US" sz="800" b="0" i="0" u="none" strike="noStrike" baseline="0">
              <a:solidFill>
                <a:srgbClr val="000000"/>
              </a:solidFill>
              <a:latin typeface="Arial"/>
              <a:cs typeface="Arial"/>
            </a:rPr>
            <a:t>, based on the vadose zone diffusion factor, VDF, and time to reach the peak concentration, t</a:t>
          </a:r>
          <a:r>
            <a:rPr lang="en-US" sz="800" b="0" i="0" u="none" strike="noStrike" baseline="-25000">
              <a:solidFill>
                <a:srgbClr val="000000"/>
              </a:solidFill>
              <a:latin typeface="Arial"/>
              <a:cs typeface="Arial"/>
            </a:rPr>
            <a:t>P</a:t>
          </a:r>
          <a:r>
            <a:rPr lang="en-US" sz="800" b="0" i="0" u="none" strike="noStrike" baseline="0">
              <a:solidFill>
                <a:srgbClr val="000000"/>
              </a:solidFill>
              <a:latin typeface="Arial"/>
              <a:cs typeface="Arial"/>
            </a:rPr>
            <a:t>.</a:t>
          </a:r>
          <a:endParaRPr lang="en-US" sz="10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a:t>
          </a:r>
          <a:r>
            <a:rPr lang="en-US" sz="800" b="0" i="0" u="none" strike="noStrike" baseline="-25000">
              <a:solidFill>
                <a:srgbClr val="000000"/>
              </a:solidFill>
              <a:latin typeface="Arial"/>
              <a:cs typeface="Arial"/>
            </a:rPr>
            <a:t>V, i</a:t>
          </a:r>
          <a:r>
            <a:rPr lang="en-US" sz="800" b="0" i="0" u="none" strike="noStrike" baseline="0">
              <a:solidFill>
                <a:srgbClr val="000000"/>
              </a:solidFill>
              <a:latin typeface="Arial"/>
              <a:cs typeface="Arial"/>
            </a:rPr>
            <a:t> = C</a:t>
          </a:r>
          <a:r>
            <a:rPr lang="en-US" sz="800" b="0" i="0" u="none" strike="noStrike" baseline="-25000">
              <a:solidFill>
                <a:srgbClr val="000000"/>
              </a:solidFill>
              <a:latin typeface="Arial"/>
              <a:cs typeface="Arial"/>
            </a:rPr>
            <a:t>sed </a:t>
          </a:r>
          <a:r>
            <a:rPr lang="en-US" sz="800" b="0" i="0" u="none" strike="noStrike" baseline="0">
              <a:solidFill>
                <a:srgbClr val="000000"/>
              </a:solidFill>
              <a:latin typeface="Arial"/>
              <a:cs typeface="Arial"/>
            </a:rPr>
            <a:t>* (t</a:t>
          </a:r>
          <a:r>
            <a:rPr lang="en-US" sz="800" b="0" i="0" u="none" strike="noStrike" baseline="-25000">
              <a:solidFill>
                <a:srgbClr val="000000"/>
              </a:solidFill>
              <a:latin typeface="Arial"/>
              <a:cs typeface="Arial"/>
            </a:rPr>
            <a:t>i</a:t>
          </a:r>
          <a:r>
            <a:rPr lang="en-US" sz="800" b="0" i="0" u="none" strike="noStrike" baseline="0">
              <a:solidFill>
                <a:srgbClr val="000000"/>
              </a:solidFill>
              <a:latin typeface="Arial"/>
              <a:cs typeface="Arial"/>
            </a:rPr>
            <a:t>/t</a:t>
          </a:r>
          <a:r>
            <a:rPr lang="en-US" sz="800" b="0" i="0" u="none" strike="noStrike" baseline="-25000">
              <a:solidFill>
                <a:srgbClr val="000000"/>
              </a:solidFill>
              <a:latin typeface="Arial"/>
              <a:cs typeface="Arial"/>
            </a:rPr>
            <a:t>p</a:t>
          </a:r>
          <a:r>
            <a:rPr lang="en-US" sz="800" b="0" i="0" u="none" strike="noStrike" baseline="0">
              <a:solidFill>
                <a:srgbClr val="000000"/>
              </a:solidFill>
              <a:latin typeface="Arial"/>
              <a:cs typeface="Arial"/>
            </a:rPr>
            <a:t>) / VDF</a:t>
          </a:r>
        </a:p>
      </xdr:txBody>
    </xdr:sp>
    <xdr:clientData/>
  </xdr:twoCellAnchor>
  <xdr:twoCellAnchor>
    <xdr:from>
      <xdr:col>7</xdr:col>
      <xdr:colOff>438150</xdr:colOff>
      <xdr:row>137</xdr:row>
      <xdr:rowOff>85725</xdr:rowOff>
    </xdr:from>
    <xdr:to>
      <xdr:col>8</xdr:col>
      <xdr:colOff>76200</xdr:colOff>
      <xdr:row>139</xdr:row>
      <xdr:rowOff>19050</xdr:rowOff>
    </xdr:to>
    <xdr:grpSp>
      <xdr:nvGrpSpPr>
        <xdr:cNvPr id="17314" name="Group 613">
          <a:extLst>
            <a:ext uri="{FF2B5EF4-FFF2-40B4-BE49-F238E27FC236}">
              <a16:creationId xmlns:a16="http://schemas.microsoft.com/office/drawing/2014/main" id="{00000000-0008-0000-0900-0000A2430000}"/>
            </a:ext>
          </a:extLst>
        </xdr:cNvPr>
        <xdr:cNvGrpSpPr>
          <a:grpSpLocks/>
        </xdr:cNvGrpSpPr>
      </xdr:nvGrpSpPr>
      <xdr:grpSpPr bwMode="auto">
        <a:xfrm>
          <a:off x="4309110" y="23052405"/>
          <a:ext cx="247650" cy="268605"/>
          <a:chOff x="186" y="2460"/>
          <a:chExt cx="26" cy="27"/>
        </a:xfrm>
      </xdr:grpSpPr>
      <xdr:sp macro="" textlink="">
        <xdr:nvSpPr>
          <xdr:cNvPr id="17416" name="Oval 614">
            <a:extLst>
              <a:ext uri="{FF2B5EF4-FFF2-40B4-BE49-F238E27FC236}">
                <a16:creationId xmlns:a16="http://schemas.microsoft.com/office/drawing/2014/main" id="{00000000-0008-0000-0900-000008440000}"/>
              </a:ext>
            </a:extLst>
          </xdr:cNvPr>
          <xdr:cNvSpPr>
            <a:spLocks noChangeArrowheads="1"/>
          </xdr:cNvSpPr>
        </xdr:nvSpPr>
        <xdr:spPr bwMode="auto">
          <a:xfrm>
            <a:off x="186" y="2461"/>
            <a:ext cx="26" cy="26"/>
          </a:xfrm>
          <a:prstGeom prst="ellipse">
            <a:avLst/>
          </a:prstGeom>
          <a:solidFill>
            <a:srgbClr val="FFFFCC"/>
          </a:solidFill>
          <a:ln w="9525">
            <a:solidFill>
              <a:srgbClr val="000000"/>
            </a:solidFill>
            <a:round/>
            <a:headEnd/>
            <a:tailEnd/>
          </a:ln>
        </xdr:spPr>
      </xdr:sp>
      <xdr:sp macro="" textlink="">
        <xdr:nvSpPr>
          <xdr:cNvPr id="16999" name="Text Box 615">
            <a:extLst>
              <a:ext uri="{FF2B5EF4-FFF2-40B4-BE49-F238E27FC236}">
                <a16:creationId xmlns:a16="http://schemas.microsoft.com/office/drawing/2014/main" id="{00000000-0008-0000-0900-000067420000}"/>
              </a:ext>
            </a:extLst>
          </xdr:cNvPr>
          <xdr:cNvSpPr txBox="1">
            <a:spLocks noChangeArrowheads="1"/>
          </xdr:cNvSpPr>
        </xdr:nvSpPr>
        <xdr:spPr bwMode="auto">
          <a:xfrm>
            <a:off x="190" y="2460"/>
            <a:ext cx="18"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3</a:t>
            </a:r>
          </a:p>
        </xdr:txBody>
      </xdr:sp>
    </xdr:grpSp>
    <xdr:clientData/>
  </xdr:twoCellAnchor>
  <xdr:twoCellAnchor>
    <xdr:from>
      <xdr:col>7</xdr:col>
      <xdr:colOff>400050</xdr:colOff>
      <xdr:row>145</xdr:row>
      <xdr:rowOff>95250</xdr:rowOff>
    </xdr:from>
    <xdr:to>
      <xdr:col>12</xdr:col>
      <xdr:colOff>552450</xdr:colOff>
      <xdr:row>151</xdr:row>
      <xdr:rowOff>19050</xdr:rowOff>
    </xdr:to>
    <xdr:sp macro="" textlink="">
      <xdr:nvSpPr>
        <xdr:cNvPr id="17001" name="Text Box 617">
          <a:extLst>
            <a:ext uri="{FF2B5EF4-FFF2-40B4-BE49-F238E27FC236}">
              <a16:creationId xmlns:a16="http://schemas.microsoft.com/office/drawing/2014/main" id="{00000000-0008-0000-0900-000069420000}"/>
            </a:ext>
          </a:extLst>
        </xdr:cNvPr>
        <xdr:cNvSpPr txBox="1">
          <a:spLocks noChangeArrowheads="1"/>
        </xdr:cNvSpPr>
      </xdr:nvSpPr>
      <xdr:spPr bwMode="auto">
        <a:xfrm>
          <a:off x="4267200" y="23574375"/>
          <a:ext cx="3200400" cy="895350"/>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Calculate the contaminant concentration reaching the receptor, C</a:t>
          </a:r>
          <a:r>
            <a:rPr lang="en-US" sz="800" b="0" i="0" u="none" strike="noStrike" baseline="-25000">
              <a:solidFill>
                <a:srgbClr val="000000"/>
              </a:solidFill>
              <a:latin typeface="Arial"/>
              <a:cs typeface="Arial"/>
            </a:rPr>
            <a:t>R, i</a:t>
          </a:r>
          <a:r>
            <a:rPr lang="en-US" sz="800" b="0" i="0" u="none" strike="noStrike" baseline="0">
              <a:solidFill>
                <a:srgbClr val="000000"/>
              </a:solidFill>
              <a:latin typeface="Arial"/>
              <a:cs typeface="Arial"/>
            </a:rPr>
            <a:t> based on the aquifer dilution factor, ADF.</a:t>
          </a:r>
        </a:p>
        <a:p>
          <a:pPr algn="l" rtl="0">
            <a:defRPr sz="1000"/>
          </a:pPr>
          <a:r>
            <a:rPr lang="en-US" sz="800" b="0" i="0" u="none" strike="noStrike" baseline="0">
              <a:solidFill>
                <a:srgbClr val="000000"/>
              </a:solidFill>
              <a:latin typeface="Arial"/>
              <a:cs typeface="Arial"/>
            </a:rPr>
            <a:t> </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r>
            <a:rPr lang="en-US" sz="800" b="0" i="0" u="none" strike="noStrike" baseline="0">
              <a:solidFill>
                <a:srgbClr val="000000"/>
              </a:solidFill>
              <a:latin typeface="Arial"/>
              <a:cs typeface="Arial"/>
            </a:rPr>
            <a:t>C</a:t>
          </a:r>
          <a:r>
            <a:rPr lang="en-US" sz="800" b="0" i="0" u="none" strike="noStrike" baseline="-25000">
              <a:solidFill>
                <a:srgbClr val="000000"/>
              </a:solidFill>
              <a:latin typeface="Arial"/>
              <a:cs typeface="Arial"/>
            </a:rPr>
            <a:t>R, i</a:t>
          </a:r>
          <a:r>
            <a:rPr lang="en-US" sz="800" b="0" i="0" u="none" strike="noStrike" baseline="0">
              <a:solidFill>
                <a:srgbClr val="000000"/>
              </a:solidFill>
              <a:latin typeface="Arial"/>
              <a:cs typeface="Arial"/>
            </a:rPr>
            <a:t> = C</a:t>
          </a:r>
          <a:r>
            <a:rPr lang="en-US" sz="800" b="0" i="0" u="none" strike="noStrike" baseline="-25000">
              <a:solidFill>
                <a:srgbClr val="000000"/>
              </a:solidFill>
              <a:latin typeface="Arial"/>
              <a:cs typeface="Arial"/>
            </a:rPr>
            <a:t>V, i </a:t>
          </a:r>
          <a:r>
            <a:rPr lang="en-US" sz="800" b="0" i="0" u="none" strike="noStrike" baseline="0">
              <a:solidFill>
                <a:srgbClr val="000000"/>
              </a:solidFill>
              <a:latin typeface="Arial"/>
              <a:cs typeface="Arial"/>
            </a:rPr>
            <a:t>/ ADF</a:t>
          </a:r>
        </a:p>
      </xdr:txBody>
    </xdr:sp>
    <xdr:clientData/>
  </xdr:twoCellAnchor>
  <xdr:twoCellAnchor>
    <xdr:from>
      <xdr:col>7</xdr:col>
      <xdr:colOff>438150</xdr:colOff>
      <xdr:row>145</xdr:row>
      <xdr:rowOff>123825</xdr:rowOff>
    </xdr:from>
    <xdr:to>
      <xdr:col>8</xdr:col>
      <xdr:colOff>85725</xdr:colOff>
      <xdr:row>147</xdr:row>
      <xdr:rowOff>76200</xdr:rowOff>
    </xdr:to>
    <xdr:grpSp>
      <xdr:nvGrpSpPr>
        <xdr:cNvPr id="17316" name="Group 618">
          <a:extLst>
            <a:ext uri="{FF2B5EF4-FFF2-40B4-BE49-F238E27FC236}">
              <a16:creationId xmlns:a16="http://schemas.microsoft.com/office/drawing/2014/main" id="{00000000-0008-0000-0900-0000A4430000}"/>
            </a:ext>
          </a:extLst>
        </xdr:cNvPr>
        <xdr:cNvGrpSpPr>
          <a:grpSpLocks/>
        </xdr:cNvGrpSpPr>
      </xdr:nvGrpSpPr>
      <xdr:grpSpPr bwMode="auto">
        <a:xfrm>
          <a:off x="4309110" y="24431625"/>
          <a:ext cx="257175" cy="287655"/>
          <a:chOff x="186" y="2460"/>
          <a:chExt cx="26" cy="27"/>
        </a:xfrm>
      </xdr:grpSpPr>
      <xdr:sp macro="" textlink="">
        <xdr:nvSpPr>
          <xdr:cNvPr id="17414" name="Oval 619">
            <a:extLst>
              <a:ext uri="{FF2B5EF4-FFF2-40B4-BE49-F238E27FC236}">
                <a16:creationId xmlns:a16="http://schemas.microsoft.com/office/drawing/2014/main" id="{00000000-0008-0000-0900-000006440000}"/>
              </a:ext>
            </a:extLst>
          </xdr:cNvPr>
          <xdr:cNvSpPr>
            <a:spLocks noChangeArrowheads="1"/>
          </xdr:cNvSpPr>
        </xdr:nvSpPr>
        <xdr:spPr bwMode="auto">
          <a:xfrm>
            <a:off x="186" y="2461"/>
            <a:ext cx="26" cy="26"/>
          </a:xfrm>
          <a:prstGeom prst="ellipse">
            <a:avLst/>
          </a:prstGeom>
          <a:solidFill>
            <a:srgbClr val="FFFFCC"/>
          </a:solidFill>
          <a:ln w="9525">
            <a:solidFill>
              <a:srgbClr val="000000"/>
            </a:solidFill>
            <a:round/>
            <a:headEnd/>
            <a:tailEnd/>
          </a:ln>
        </xdr:spPr>
      </xdr:sp>
      <xdr:sp macro="" textlink="">
        <xdr:nvSpPr>
          <xdr:cNvPr id="17004" name="Text Box 620">
            <a:extLst>
              <a:ext uri="{FF2B5EF4-FFF2-40B4-BE49-F238E27FC236}">
                <a16:creationId xmlns:a16="http://schemas.microsoft.com/office/drawing/2014/main" id="{00000000-0008-0000-0900-00006C420000}"/>
              </a:ext>
            </a:extLst>
          </xdr:cNvPr>
          <xdr:cNvSpPr txBox="1">
            <a:spLocks noChangeArrowheads="1"/>
          </xdr:cNvSpPr>
        </xdr:nvSpPr>
        <xdr:spPr bwMode="auto">
          <a:xfrm>
            <a:off x="190" y="2460"/>
            <a:ext cx="18"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4</a:t>
            </a:r>
          </a:p>
        </xdr:txBody>
      </xdr:sp>
    </xdr:grpSp>
    <xdr:clientData/>
  </xdr:twoCellAnchor>
  <xdr:twoCellAnchor>
    <xdr:from>
      <xdr:col>10</xdr:col>
      <xdr:colOff>180975</xdr:colOff>
      <xdr:row>135</xdr:row>
      <xdr:rowOff>9525</xdr:rowOff>
    </xdr:from>
    <xdr:to>
      <xdr:col>10</xdr:col>
      <xdr:colOff>180975</xdr:colOff>
      <xdr:row>137</xdr:row>
      <xdr:rowOff>47625</xdr:rowOff>
    </xdr:to>
    <xdr:cxnSp macro="">
      <xdr:nvCxnSpPr>
        <xdr:cNvPr id="17317" name="AutoShape 621">
          <a:extLst>
            <a:ext uri="{FF2B5EF4-FFF2-40B4-BE49-F238E27FC236}">
              <a16:creationId xmlns:a16="http://schemas.microsoft.com/office/drawing/2014/main" id="{00000000-0008-0000-0900-0000A5430000}"/>
            </a:ext>
          </a:extLst>
        </xdr:cNvPr>
        <xdr:cNvCxnSpPr>
          <a:cxnSpLocks noChangeShapeType="1"/>
          <a:stCxn id="16529" idx="2"/>
          <a:endCxn id="16995" idx="0"/>
        </xdr:cNvCxnSpPr>
      </xdr:nvCxnSpPr>
      <xdr:spPr bwMode="auto">
        <a:xfrm>
          <a:off x="5876925" y="21869400"/>
          <a:ext cx="0" cy="361950"/>
        </a:xfrm>
        <a:prstGeom prst="straightConnector1">
          <a:avLst/>
        </a:prstGeom>
        <a:noFill/>
        <a:ln w="9525">
          <a:solidFill>
            <a:srgbClr val="000000"/>
          </a:solidFill>
          <a:round/>
          <a:headEnd/>
          <a:tailEnd type="stealth" w="med" len="med"/>
        </a:ln>
      </xdr:spPr>
    </xdr:cxnSp>
    <xdr:clientData/>
  </xdr:twoCellAnchor>
  <xdr:twoCellAnchor>
    <xdr:from>
      <xdr:col>2</xdr:col>
      <xdr:colOff>276225</xdr:colOff>
      <xdr:row>130</xdr:row>
      <xdr:rowOff>9525</xdr:rowOff>
    </xdr:from>
    <xdr:to>
      <xdr:col>2</xdr:col>
      <xdr:colOff>523875</xdr:colOff>
      <xdr:row>131</xdr:row>
      <xdr:rowOff>104775</xdr:rowOff>
    </xdr:to>
    <xdr:grpSp>
      <xdr:nvGrpSpPr>
        <xdr:cNvPr id="17318" name="Group 629">
          <a:extLst>
            <a:ext uri="{FF2B5EF4-FFF2-40B4-BE49-F238E27FC236}">
              <a16:creationId xmlns:a16="http://schemas.microsoft.com/office/drawing/2014/main" id="{00000000-0008-0000-0900-0000A6430000}"/>
            </a:ext>
          </a:extLst>
        </xdr:cNvPr>
        <xdr:cNvGrpSpPr>
          <a:grpSpLocks/>
        </xdr:cNvGrpSpPr>
      </xdr:nvGrpSpPr>
      <xdr:grpSpPr bwMode="auto">
        <a:xfrm>
          <a:off x="1495425" y="21802725"/>
          <a:ext cx="247650" cy="262890"/>
          <a:chOff x="632" y="114"/>
          <a:chExt cx="26" cy="27"/>
        </a:xfrm>
      </xdr:grpSpPr>
      <xdr:sp macro="" textlink="">
        <xdr:nvSpPr>
          <xdr:cNvPr id="17412" name="Oval 630">
            <a:extLst>
              <a:ext uri="{FF2B5EF4-FFF2-40B4-BE49-F238E27FC236}">
                <a16:creationId xmlns:a16="http://schemas.microsoft.com/office/drawing/2014/main" id="{00000000-0008-0000-0900-000004440000}"/>
              </a:ext>
            </a:extLst>
          </xdr:cNvPr>
          <xdr:cNvSpPr>
            <a:spLocks noChangeArrowheads="1"/>
          </xdr:cNvSpPr>
        </xdr:nvSpPr>
        <xdr:spPr bwMode="auto">
          <a:xfrm>
            <a:off x="632" y="115"/>
            <a:ext cx="26" cy="26"/>
          </a:xfrm>
          <a:prstGeom prst="ellipse">
            <a:avLst/>
          </a:prstGeom>
          <a:solidFill>
            <a:srgbClr val="FFFFCC"/>
          </a:solidFill>
          <a:ln w="9525">
            <a:solidFill>
              <a:srgbClr val="000000"/>
            </a:solidFill>
            <a:round/>
            <a:headEnd/>
            <a:tailEnd/>
          </a:ln>
        </xdr:spPr>
      </xdr:sp>
      <xdr:sp macro="" textlink="">
        <xdr:nvSpPr>
          <xdr:cNvPr id="17015" name="Text Box 631">
            <a:extLst>
              <a:ext uri="{FF2B5EF4-FFF2-40B4-BE49-F238E27FC236}">
                <a16:creationId xmlns:a16="http://schemas.microsoft.com/office/drawing/2014/main" id="{00000000-0008-0000-0900-000077420000}"/>
              </a:ext>
            </a:extLst>
          </xdr:cNvPr>
          <xdr:cNvSpPr txBox="1">
            <a:spLocks noChangeArrowheads="1"/>
          </xdr:cNvSpPr>
        </xdr:nvSpPr>
        <xdr:spPr bwMode="auto">
          <a:xfrm>
            <a:off x="636" y="114"/>
            <a:ext cx="18"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3</a:t>
            </a:r>
          </a:p>
        </xdr:txBody>
      </xdr:sp>
    </xdr:grpSp>
    <xdr:clientData/>
  </xdr:twoCellAnchor>
  <xdr:twoCellAnchor>
    <xdr:from>
      <xdr:col>6</xdr:col>
      <xdr:colOff>19050</xdr:colOff>
      <xdr:row>125</xdr:row>
      <xdr:rowOff>38100</xdr:rowOff>
    </xdr:from>
    <xdr:to>
      <xdr:col>6</xdr:col>
      <xdr:colOff>95250</xdr:colOff>
      <xdr:row>132</xdr:row>
      <xdr:rowOff>152400</xdr:rowOff>
    </xdr:to>
    <xdr:sp macro="" textlink="">
      <xdr:nvSpPr>
        <xdr:cNvPr id="17319" name="Rectangle 632">
          <a:extLst>
            <a:ext uri="{FF2B5EF4-FFF2-40B4-BE49-F238E27FC236}">
              <a16:creationId xmlns:a16="http://schemas.microsoft.com/office/drawing/2014/main" id="{00000000-0008-0000-0900-0000A7430000}"/>
            </a:ext>
          </a:extLst>
        </xdr:cNvPr>
        <xdr:cNvSpPr>
          <a:spLocks noChangeArrowheads="1"/>
        </xdr:cNvSpPr>
      </xdr:nvSpPr>
      <xdr:spPr bwMode="auto">
        <a:xfrm>
          <a:off x="3276600" y="20278725"/>
          <a:ext cx="76200" cy="1247775"/>
        </a:xfrm>
        <a:prstGeom prst="rect">
          <a:avLst/>
        </a:prstGeom>
        <a:solidFill>
          <a:srgbClr val="99CCFF"/>
        </a:solidFill>
        <a:ln w="9525">
          <a:solidFill>
            <a:srgbClr val="000000"/>
          </a:solidFill>
          <a:miter lim="800000"/>
          <a:headEnd/>
          <a:tailEnd/>
        </a:ln>
      </xdr:spPr>
    </xdr:sp>
    <xdr:clientData/>
  </xdr:twoCellAnchor>
  <xdr:twoCellAnchor>
    <xdr:from>
      <xdr:col>4</xdr:col>
      <xdr:colOff>95250</xdr:colOff>
      <xdr:row>132</xdr:row>
      <xdr:rowOff>76200</xdr:rowOff>
    </xdr:from>
    <xdr:to>
      <xdr:col>5</xdr:col>
      <xdr:colOff>590550</xdr:colOff>
      <xdr:row>132</xdr:row>
      <xdr:rowOff>76200</xdr:rowOff>
    </xdr:to>
    <xdr:sp macro="" textlink="">
      <xdr:nvSpPr>
        <xdr:cNvPr id="17320" name="Line 633">
          <a:extLst>
            <a:ext uri="{FF2B5EF4-FFF2-40B4-BE49-F238E27FC236}">
              <a16:creationId xmlns:a16="http://schemas.microsoft.com/office/drawing/2014/main" id="{00000000-0008-0000-0900-0000A8430000}"/>
            </a:ext>
          </a:extLst>
        </xdr:cNvPr>
        <xdr:cNvSpPr>
          <a:spLocks noChangeShapeType="1"/>
        </xdr:cNvSpPr>
      </xdr:nvSpPr>
      <xdr:spPr bwMode="auto">
        <a:xfrm>
          <a:off x="2533650" y="21450300"/>
          <a:ext cx="723900" cy="0"/>
        </a:xfrm>
        <a:prstGeom prst="line">
          <a:avLst/>
        </a:prstGeom>
        <a:noFill/>
        <a:ln w="9525">
          <a:solidFill>
            <a:srgbClr val="FFFF00"/>
          </a:solidFill>
          <a:prstDash val="dash"/>
          <a:round/>
          <a:headEnd/>
          <a:tailEnd type="triangle" w="med" len="med"/>
        </a:ln>
      </xdr:spPr>
    </xdr:sp>
    <xdr:clientData/>
  </xdr:twoCellAnchor>
  <xdr:twoCellAnchor>
    <xdr:from>
      <xdr:col>6</xdr:col>
      <xdr:colOff>9525</xdr:colOff>
      <xdr:row>132</xdr:row>
      <xdr:rowOff>85725</xdr:rowOff>
    </xdr:from>
    <xdr:to>
      <xdr:col>6</xdr:col>
      <xdr:colOff>266700</xdr:colOff>
      <xdr:row>134</xdr:row>
      <xdr:rowOff>19050</xdr:rowOff>
    </xdr:to>
    <xdr:grpSp>
      <xdr:nvGrpSpPr>
        <xdr:cNvPr id="17321" name="Group 635">
          <a:extLst>
            <a:ext uri="{FF2B5EF4-FFF2-40B4-BE49-F238E27FC236}">
              <a16:creationId xmlns:a16="http://schemas.microsoft.com/office/drawing/2014/main" id="{00000000-0008-0000-0900-0000A9430000}"/>
            </a:ext>
          </a:extLst>
        </xdr:cNvPr>
        <xdr:cNvGrpSpPr>
          <a:grpSpLocks/>
        </xdr:cNvGrpSpPr>
      </xdr:nvGrpSpPr>
      <xdr:grpSpPr bwMode="auto">
        <a:xfrm>
          <a:off x="3270885" y="22214205"/>
          <a:ext cx="257175" cy="268605"/>
          <a:chOff x="632" y="114"/>
          <a:chExt cx="26" cy="27"/>
        </a:xfrm>
      </xdr:grpSpPr>
      <xdr:sp macro="" textlink="">
        <xdr:nvSpPr>
          <xdr:cNvPr id="17410" name="Oval 636">
            <a:extLst>
              <a:ext uri="{FF2B5EF4-FFF2-40B4-BE49-F238E27FC236}">
                <a16:creationId xmlns:a16="http://schemas.microsoft.com/office/drawing/2014/main" id="{00000000-0008-0000-0900-000002440000}"/>
              </a:ext>
            </a:extLst>
          </xdr:cNvPr>
          <xdr:cNvSpPr>
            <a:spLocks noChangeArrowheads="1"/>
          </xdr:cNvSpPr>
        </xdr:nvSpPr>
        <xdr:spPr bwMode="auto">
          <a:xfrm>
            <a:off x="632" y="115"/>
            <a:ext cx="26" cy="26"/>
          </a:xfrm>
          <a:prstGeom prst="ellipse">
            <a:avLst/>
          </a:prstGeom>
          <a:solidFill>
            <a:srgbClr val="FFFFCC"/>
          </a:solidFill>
          <a:ln w="9525">
            <a:solidFill>
              <a:srgbClr val="000000"/>
            </a:solidFill>
            <a:round/>
            <a:headEnd/>
            <a:tailEnd/>
          </a:ln>
        </xdr:spPr>
      </xdr:sp>
      <xdr:sp macro="" textlink="">
        <xdr:nvSpPr>
          <xdr:cNvPr id="17021" name="Text Box 637">
            <a:extLst>
              <a:ext uri="{FF2B5EF4-FFF2-40B4-BE49-F238E27FC236}">
                <a16:creationId xmlns:a16="http://schemas.microsoft.com/office/drawing/2014/main" id="{00000000-0008-0000-0900-00007D420000}"/>
              </a:ext>
            </a:extLst>
          </xdr:cNvPr>
          <xdr:cNvSpPr txBox="1">
            <a:spLocks noChangeArrowheads="1"/>
          </xdr:cNvSpPr>
        </xdr:nvSpPr>
        <xdr:spPr bwMode="auto">
          <a:xfrm>
            <a:off x="636" y="114"/>
            <a:ext cx="18"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4</a:t>
            </a:r>
          </a:p>
        </xdr:txBody>
      </xdr:sp>
    </xdr:grpSp>
    <xdr:clientData/>
  </xdr:twoCellAnchor>
  <xdr:oneCellAnchor>
    <xdr:from>
      <xdr:col>6</xdr:col>
      <xdr:colOff>0</xdr:colOff>
      <xdr:row>124</xdr:row>
      <xdr:rowOff>28575</xdr:rowOff>
    </xdr:from>
    <xdr:ext cx="574260" cy="170560"/>
    <xdr:sp macro="" textlink="">
      <xdr:nvSpPr>
        <xdr:cNvPr id="17022" name="Text Box 638">
          <a:extLst>
            <a:ext uri="{FF2B5EF4-FFF2-40B4-BE49-F238E27FC236}">
              <a16:creationId xmlns:a16="http://schemas.microsoft.com/office/drawing/2014/main" id="{00000000-0008-0000-0900-00007E420000}"/>
            </a:ext>
          </a:extLst>
        </xdr:cNvPr>
        <xdr:cNvSpPr txBox="1">
          <a:spLocks noChangeArrowheads="1"/>
        </xdr:cNvSpPr>
      </xdr:nvSpPr>
      <xdr:spPr bwMode="auto">
        <a:xfrm>
          <a:off x="3257550" y="20107275"/>
          <a:ext cx="574260" cy="170560"/>
        </a:xfrm>
        <a:prstGeom prst="rect">
          <a:avLst/>
        </a:prstGeom>
        <a:noFill/>
        <a:ln w="9525">
          <a:noFill/>
          <a:miter lim="800000"/>
          <a:headEnd/>
          <a:tailEnd/>
        </a:ln>
        <a:effectLst/>
      </xdr:spPr>
      <xdr:txBody>
        <a:bodyPr wrap="none" lIns="18288" tIns="22860" rIns="0" bIns="0" anchor="t" upright="1">
          <a:spAutoFit/>
        </a:bodyPr>
        <a:lstStyle/>
        <a:p>
          <a:pPr algn="l" rtl="0">
            <a:defRPr sz="1000"/>
          </a:pPr>
          <a:r>
            <a:rPr lang="en-US" sz="1000" b="1" i="0" u="none" strike="noStrike" baseline="0">
              <a:solidFill>
                <a:srgbClr val="000000"/>
              </a:solidFill>
              <a:latin typeface="Arial"/>
              <a:cs typeface="Arial"/>
            </a:rPr>
            <a:t>Receptor</a:t>
          </a:r>
        </a:p>
      </xdr:txBody>
    </xdr:sp>
    <xdr:clientData/>
  </xdr:oneCellAnchor>
  <xdr:oneCellAnchor>
    <xdr:from>
      <xdr:col>1</xdr:col>
      <xdr:colOff>9661</xdr:colOff>
      <xdr:row>131</xdr:row>
      <xdr:rowOff>66675</xdr:rowOff>
    </xdr:from>
    <xdr:ext cx="628377" cy="318036"/>
    <xdr:sp macro="" textlink="">
      <xdr:nvSpPr>
        <xdr:cNvPr id="17023" name="Text Box 639">
          <a:extLst>
            <a:ext uri="{FF2B5EF4-FFF2-40B4-BE49-F238E27FC236}">
              <a16:creationId xmlns:a16="http://schemas.microsoft.com/office/drawing/2014/main" id="{00000000-0008-0000-0900-00007F420000}"/>
            </a:ext>
          </a:extLst>
        </xdr:cNvPr>
        <xdr:cNvSpPr txBox="1">
          <a:spLocks noChangeArrowheads="1"/>
        </xdr:cNvSpPr>
      </xdr:nvSpPr>
      <xdr:spPr bwMode="auto">
        <a:xfrm>
          <a:off x="619261" y="21278850"/>
          <a:ext cx="628377" cy="318036"/>
        </a:xfrm>
        <a:prstGeom prst="rect">
          <a:avLst/>
        </a:prstGeom>
        <a:noFill/>
        <a:ln w="9525">
          <a:noFill/>
          <a:miter lim="800000"/>
          <a:headEnd/>
          <a:tailEnd/>
        </a:ln>
        <a:effectLst/>
      </xdr:spPr>
      <xdr:txBody>
        <a:bodyPr wrap="none" lIns="18288" tIns="22860" rIns="18288" bIns="0" anchor="t" upright="1">
          <a:spAutoFit/>
        </a:bodyPr>
        <a:lstStyle/>
        <a:p>
          <a:pPr algn="ctr" rtl="0">
            <a:defRPr sz="1000"/>
          </a:pPr>
          <a:r>
            <a:rPr lang="en-US" sz="1000" b="1" i="0" u="none" strike="noStrike" baseline="0">
              <a:solidFill>
                <a:srgbClr val="000000"/>
              </a:solidFill>
              <a:latin typeface="Arial"/>
              <a:cs typeface="Arial"/>
            </a:rPr>
            <a:t>Saturated</a:t>
          </a:r>
        </a:p>
        <a:p>
          <a:pPr algn="ctr" rtl="0">
            <a:defRPr sz="1000"/>
          </a:pPr>
          <a:r>
            <a:rPr lang="en-US" sz="1000" b="1" i="0" u="none" strike="noStrike" baseline="0">
              <a:solidFill>
                <a:srgbClr val="000000"/>
              </a:solidFill>
              <a:latin typeface="Arial"/>
              <a:cs typeface="Arial"/>
            </a:rPr>
            <a:t>Zone</a:t>
          </a:r>
        </a:p>
      </xdr:txBody>
    </xdr:sp>
    <xdr:clientData/>
  </xdr:oneCellAnchor>
  <xdr:oneCellAnchor>
    <xdr:from>
      <xdr:col>1</xdr:col>
      <xdr:colOff>101121</xdr:colOff>
      <xdr:row>127</xdr:row>
      <xdr:rowOff>38100</xdr:rowOff>
    </xdr:from>
    <xdr:ext cx="493084" cy="318036"/>
    <xdr:sp macro="" textlink="">
      <xdr:nvSpPr>
        <xdr:cNvPr id="17025" name="Text Box 641">
          <a:extLst>
            <a:ext uri="{FF2B5EF4-FFF2-40B4-BE49-F238E27FC236}">
              <a16:creationId xmlns:a16="http://schemas.microsoft.com/office/drawing/2014/main" id="{00000000-0008-0000-0900-000081420000}"/>
            </a:ext>
          </a:extLst>
        </xdr:cNvPr>
        <xdr:cNvSpPr txBox="1">
          <a:spLocks noChangeArrowheads="1"/>
        </xdr:cNvSpPr>
      </xdr:nvSpPr>
      <xdr:spPr bwMode="auto">
        <a:xfrm>
          <a:off x="710721" y="20602575"/>
          <a:ext cx="493084" cy="318036"/>
        </a:xfrm>
        <a:prstGeom prst="rect">
          <a:avLst/>
        </a:prstGeom>
        <a:noFill/>
        <a:ln w="9525">
          <a:noFill/>
          <a:miter lim="800000"/>
          <a:headEnd/>
          <a:tailEnd/>
        </a:ln>
        <a:effectLst/>
      </xdr:spPr>
      <xdr:txBody>
        <a:bodyPr wrap="none" lIns="18288" tIns="22860" rIns="18288" bIns="0" anchor="t" upright="1">
          <a:spAutoFit/>
        </a:bodyPr>
        <a:lstStyle/>
        <a:p>
          <a:pPr algn="ctr" rtl="0">
            <a:defRPr sz="1000"/>
          </a:pPr>
          <a:r>
            <a:rPr lang="en-US" sz="1000" b="1" i="0" u="none" strike="noStrike" baseline="0">
              <a:solidFill>
                <a:srgbClr val="000000"/>
              </a:solidFill>
              <a:latin typeface="Arial"/>
              <a:cs typeface="Arial"/>
            </a:rPr>
            <a:t>Vadose</a:t>
          </a:r>
        </a:p>
        <a:p>
          <a:pPr algn="ctr" rtl="0">
            <a:defRPr sz="1000"/>
          </a:pPr>
          <a:r>
            <a:rPr lang="en-US" sz="1000" b="1" i="0" u="none" strike="noStrike" baseline="0">
              <a:solidFill>
                <a:srgbClr val="000000"/>
              </a:solidFill>
              <a:latin typeface="Arial"/>
              <a:cs typeface="Arial"/>
            </a:rPr>
            <a:t>Zone</a:t>
          </a:r>
        </a:p>
      </xdr:txBody>
    </xdr:sp>
    <xdr:clientData/>
  </xdr:oneCellAnchor>
  <xdr:twoCellAnchor>
    <xdr:from>
      <xdr:col>5</xdr:col>
      <xdr:colOff>381000</xdr:colOff>
      <xdr:row>130</xdr:row>
      <xdr:rowOff>152400</xdr:rowOff>
    </xdr:from>
    <xdr:to>
      <xdr:col>6</xdr:col>
      <xdr:colOff>76200</xdr:colOff>
      <xdr:row>132</xdr:row>
      <xdr:rowOff>47625</xdr:rowOff>
    </xdr:to>
    <xdr:sp macro="" textlink="">
      <xdr:nvSpPr>
        <xdr:cNvPr id="17026" name="Text Box 642">
          <a:extLst>
            <a:ext uri="{FF2B5EF4-FFF2-40B4-BE49-F238E27FC236}">
              <a16:creationId xmlns:a16="http://schemas.microsoft.com/office/drawing/2014/main" id="{00000000-0008-0000-0900-000082420000}"/>
            </a:ext>
          </a:extLst>
        </xdr:cNvPr>
        <xdr:cNvSpPr txBox="1">
          <a:spLocks noChangeArrowheads="1"/>
        </xdr:cNvSpPr>
      </xdr:nvSpPr>
      <xdr:spPr bwMode="auto">
        <a:xfrm>
          <a:off x="3257550" y="21202650"/>
          <a:ext cx="76200" cy="219075"/>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1000" b="0" i="0" u="none" strike="noStrike" baseline="0">
              <a:solidFill>
                <a:srgbClr val="FFFF00"/>
              </a:solidFill>
              <a:latin typeface="Arial"/>
              <a:cs typeface="Arial"/>
            </a:rPr>
            <a:t>C</a:t>
          </a:r>
          <a:r>
            <a:rPr lang="en-US" sz="1000" b="0" i="0" u="none" strike="noStrike" baseline="-25000">
              <a:solidFill>
                <a:srgbClr val="FFFF00"/>
              </a:solidFill>
              <a:latin typeface="Arial"/>
              <a:cs typeface="Arial"/>
            </a:rPr>
            <a:t>R</a:t>
          </a:r>
        </a:p>
      </xdr:txBody>
    </xdr:sp>
    <xdr:clientData/>
  </xdr:twoCellAnchor>
  <xdr:twoCellAnchor>
    <xdr:from>
      <xdr:col>6</xdr:col>
      <xdr:colOff>438150</xdr:colOff>
      <xdr:row>68</xdr:row>
      <xdr:rowOff>47625</xdr:rowOff>
    </xdr:from>
    <xdr:to>
      <xdr:col>7</xdr:col>
      <xdr:colOff>247650</xdr:colOff>
      <xdr:row>70</xdr:row>
      <xdr:rowOff>95250</xdr:rowOff>
    </xdr:to>
    <xdr:grpSp>
      <xdr:nvGrpSpPr>
        <xdr:cNvPr id="17326" name="Group 648">
          <a:extLst>
            <a:ext uri="{FF2B5EF4-FFF2-40B4-BE49-F238E27FC236}">
              <a16:creationId xmlns:a16="http://schemas.microsoft.com/office/drawing/2014/main" id="{00000000-0008-0000-0900-0000AE430000}"/>
            </a:ext>
          </a:extLst>
        </xdr:cNvPr>
        <xdr:cNvGrpSpPr>
          <a:grpSpLocks/>
        </xdr:cNvGrpSpPr>
      </xdr:nvGrpSpPr>
      <xdr:grpSpPr bwMode="auto">
        <a:xfrm>
          <a:off x="3699510" y="11447145"/>
          <a:ext cx="419100" cy="382905"/>
          <a:chOff x="408" y="1789"/>
          <a:chExt cx="54" cy="50"/>
        </a:xfrm>
      </xdr:grpSpPr>
      <xdr:sp macro="" textlink="">
        <xdr:nvSpPr>
          <xdr:cNvPr id="17408" name="Oval 649">
            <a:extLst>
              <a:ext uri="{FF2B5EF4-FFF2-40B4-BE49-F238E27FC236}">
                <a16:creationId xmlns:a16="http://schemas.microsoft.com/office/drawing/2014/main" id="{00000000-0008-0000-0900-000000440000}"/>
              </a:ext>
            </a:extLst>
          </xdr:cNvPr>
          <xdr:cNvSpPr>
            <a:spLocks noChangeArrowheads="1"/>
          </xdr:cNvSpPr>
        </xdr:nvSpPr>
        <xdr:spPr bwMode="auto">
          <a:xfrm>
            <a:off x="408" y="1789"/>
            <a:ext cx="54" cy="50"/>
          </a:xfrm>
          <a:prstGeom prst="ellipse">
            <a:avLst/>
          </a:prstGeom>
          <a:solidFill>
            <a:srgbClr val="FFFFCC"/>
          </a:solidFill>
          <a:ln w="9525">
            <a:solidFill>
              <a:srgbClr val="000000"/>
            </a:solidFill>
            <a:round/>
            <a:headEnd/>
            <a:tailEnd/>
          </a:ln>
        </xdr:spPr>
      </xdr:sp>
      <xdr:sp macro="" textlink="">
        <xdr:nvSpPr>
          <xdr:cNvPr id="17034" name="Text Box 650">
            <a:extLst>
              <a:ext uri="{FF2B5EF4-FFF2-40B4-BE49-F238E27FC236}">
                <a16:creationId xmlns:a16="http://schemas.microsoft.com/office/drawing/2014/main" id="{00000000-0008-0000-0900-00008A420000}"/>
              </a:ext>
            </a:extLst>
          </xdr:cNvPr>
          <xdr:cNvSpPr txBox="1">
            <a:spLocks noChangeArrowheads="1"/>
          </xdr:cNvSpPr>
        </xdr:nvSpPr>
        <xdr:spPr bwMode="auto">
          <a:xfrm>
            <a:off x="410" y="1792"/>
            <a:ext cx="50" cy="45"/>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3a &amp; 3b</a:t>
            </a:r>
          </a:p>
        </xdr:txBody>
      </xdr:sp>
    </xdr:grpSp>
    <xdr:clientData/>
  </xdr:twoCellAnchor>
  <xdr:twoCellAnchor>
    <xdr:from>
      <xdr:col>8</xdr:col>
      <xdr:colOff>133350</xdr:colOff>
      <xdr:row>182</xdr:row>
      <xdr:rowOff>104775</xdr:rowOff>
    </xdr:from>
    <xdr:to>
      <xdr:col>8</xdr:col>
      <xdr:colOff>371475</xdr:colOff>
      <xdr:row>184</xdr:row>
      <xdr:rowOff>19050</xdr:rowOff>
    </xdr:to>
    <xdr:grpSp>
      <xdr:nvGrpSpPr>
        <xdr:cNvPr id="17327" name="Group 654">
          <a:extLst>
            <a:ext uri="{FF2B5EF4-FFF2-40B4-BE49-F238E27FC236}">
              <a16:creationId xmlns:a16="http://schemas.microsoft.com/office/drawing/2014/main" id="{00000000-0008-0000-0900-0000AF430000}"/>
            </a:ext>
          </a:extLst>
        </xdr:cNvPr>
        <xdr:cNvGrpSpPr>
          <a:grpSpLocks/>
        </xdr:cNvGrpSpPr>
      </xdr:nvGrpSpPr>
      <xdr:grpSpPr bwMode="auto">
        <a:xfrm>
          <a:off x="4613910" y="30615255"/>
          <a:ext cx="238125" cy="249555"/>
          <a:chOff x="159" y="3243"/>
          <a:chExt cx="26" cy="27"/>
        </a:xfrm>
      </xdr:grpSpPr>
      <xdr:sp macro="" textlink="">
        <xdr:nvSpPr>
          <xdr:cNvPr id="17406" name="Oval 655">
            <a:extLst>
              <a:ext uri="{FF2B5EF4-FFF2-40B4-BE49-F238E27FC236}">
                <a16:creationId xmlns:a16="http://schemas.microsoft.com/office/drawing/2014/main" id="{00000000-0008-0000-0900-0000FE430000}"/>
              </a:ext>
            </a:extLst>
          </xdr:cNvPr>
          <xdr:cNvSpPr>
            <a:spLocks noChangeArrowheads="1"/>
          </xdr:cNvSpPr>
        </xdr:nvSpPr>
        <xdr:spPr bwMode="auto">
          <a:xfrm>
            <a:off x="159" y="3244"/>
            <a:ext cx="26" cy="26"/>
          </a:xfrm>
          <a:prstGeom prst="ellipse">
            <a:avLst/>
          </a:prstGeom>
          <a:solidFill>
            <a:srgbClr val="FFFFCC"/>
          </a:solidFill>
          <a:ln w="9525">
            <a:solidFill>
              <a:srgbClr val="000000"/>
            </a:solidFill>
            <a:round/>
            <a:headEnd/>
            <a:tailEnd/>
          </a:ln>
        </xdr:spPr>
      </xdr:sp>
      <xdr:sp macro="" textlink="">
        <xdr:nvSpPr>
          <xdr:cNvPr id="17040" name="Text Box 656">
            <a:extLst>
              <a:ext uri="{FF2B5EF4-FFF2-40B4-BE49-F238E27FC236}">
                <a16:creationId xmlns:a16="http://schemas.microsoft.com/office/drawing/2014/main" id="{00000000-0008-0000-0900-000090420000}"/>
              </a:ext>
            </a:extLst>
          </xdr:cNvPr>
          <xdr:cNvSpPr txBox="1">
            <a:spLocks noChangeArrowheads="1"/>
          </xdr:cNvSpPr>
        </xdr:nvSpPr>
        <xdr:spPr bwMode="auto">
          <a:xfrm>
            <a:off x="163" y="3243"/>
            <a:ext cx="21"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1</a:t>
            </a:r>
          </a:p>
        </xdr:txBody>
      </xdr:sp>
    </xdr:grpSp>
    <xdr:clientData/>
  </xdr:twoCellAnchor>
  <xdr:twoCellAnchor>
    <xdr:from>
      <xdr:col>5</xdr:col>
      <xdr:colOff>57150</xdr:colOff>
      <xdr:row>191</xdr:row>
      <xdr:rowOff>47625</xdr:rowOff>
    </xdr:from>
    <xdr:to>
      <xdr:col>6</xdr:col>
      <xdr:colOff>114300</xdr:colOff>
      <xdr:row>192</xdr:row>
      <xdr:rowOff>142875</xdr:rowOff>
    </xdr:to>
    <xdr:grpSp>
      <xdr:nvGrpSpPr>
        <xdr:cNvPr id="17328" name="Group 657">
          <a:extLst>
            <a:ext uri="{FF2B5EF4-FFF2-40B4-BE49-F238E27FC236}">
              <a16:creationId xmlns:a16="http://schemas.microsoft.com/office/drawing/2014/main" id="{00000000-0008-0000-0900-0000B0430000}"/>
            </a:ext>
          </a:extLst>
        </xdr:cNvPr>
        <xdr:cNvGrpSpPr>
          <a:grpSpLocks/>
        </xdr:cNvGrpSpPr>
      </xdr:nvGrpSpPr>
      <xdr:grpSpPr bwMode="auto">
        <a:xfrm>
          <a:off x="3105150" y="32066865"/>
          <a:ext cx="270510" cy="262890"/>
          <a:chOff x="150" y="3314"/>
          <a:chExt cx="26" cy="27"/>
        </a:xfrm>
      </xdr:grpSpPr>
      <xdr:sp macro="" textlink="">
        <xdr:nvSpPr>
          <xdr:cNvPr id="17404" name="Oval 658">
            <a:extLst>
              <a:ext uri="{FF2B5EF4-FFF2-40B4-BE49-F238E27FC236}">
                <a16:creationId xmlns:a16="http://schemas.microsoft.com/office/drawing/2014/main" id="{00000000-0008-0000-0900-0000FC430000}"/>
              </a:ext>
            </a:extLst>
          </xdr:cNvPr>
          <xdr:cNvSpPr>
            <a:spLocks noChangeArrowheads="1"/>
          </xdr:cNvSpPr>
        </xdr:nvSpPr>
        <xdr:spPr bwMode="auto">
          <a:xfrm>
            <a:off x="150" y="3315"/>
            <a:ext cx="26" cy="26"/>
          </a:xfrm>
          <a:prstGeom prst="ellipse">
            <a:avLst/>
          </a:prstGeom>
          <a:solidFill>
            <a:srgbClr val="FFFFCC"/>
          </a:solidFill>
          <a:ln w="9525">
            <a:solidFill>
              <a:srgbClr val="000000"/>
            </a:solidFill>
            <a:round/>
            <a:headEnd/>
            <a:tailEnd/>
          </a:ln>
        </xdr:spPr>
      </xdr:sp>
      <xdr:sp macro="" textlink="">
        <xdr:nvSpPr>
          <xdr:cNvPr id="17043" name="Text Box 659">
            <a:extLst>
              <a:ext uri="{FF2B5EF4-FFF2-40B4-BE49-F238E27FC236}">
                <a16:creationId xmlns:a16="http://schemas.microsoft.com/office/drawing/2014/main" id="{00000000-0008-0000-0900-000093420000}"/>
              </a:ext>
            </a:extLst>
          </xdr:cNvPr>
          <xdr:cNvSpPr txBox="1">
            <a:spLocks noChangeArrowheads="1"/>
          </xdr:cNvSpPr>
        </xdr:nvSpPr>
        <xdr:spPr bwMode="auto">
          <a:xfrm>
            <a:off x="154" y="3314"/>
            <a:ext cx="21"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4</a:t>
            </a:r>
          </a:p>
        </xdr:txBody>
      </xdr:sp>
    </xdr:grpSp>
    <xdr:clientData/>
  </xdr:twoCellAnchor>
  <xdr:twoCellAnchor>
    <xdr:from>
      <xdr:col>11</xdr:col>
      <xdr:colOff>247650</xdr:colOff>
      <xdr:row>191</xdr:row>
      <xdr:rowOff>66675</xdr:rowOff>
    </xdr:from>
    <xdr:to>
      <xdr:col>11</xdr:col>
      <xdr:colOff>495300</xdr:colOff>
      <xdr:row>193</xdr:row>
      <xdr:rowOff>0</xdr:rowOff>
    </xdr:to>
    <xdr:grpSp>
      <xdr:nvGrpSpPr>
        <xdr:cNvPr id="17329" name="Group 660">
          <a:extLst>
            <a:ext uri="{FF2B5EF4-FFF2-40B4-BE49-F238E27FC236}">
              <a16:creationId xmlns:a16="http://schemas.microsoft.com/office/drawing/2014/main" id="{00000000-0008-0000-0900-0000B1430000}"/>
            </a:ext>
          </a:extLst>
        </xdr:cNvPr>
        <xdr:cNvGrpSpPr>
          <a:grpSpLocks/>
        </xdr:cNvGrpSpPr>
      </xdr:nvGrpSpPr>
      <xdr:grpSpPr bwMode="auto">
        <a:xfrm>
          <a:off x="6557010" y="32085915"/>
          <a:ext cx="247650" cy="268605"/>
          <a:chOff x="150" y="3314"/>
          <a:chExt cx="26" cy="27"/>
        </a:xfrm>
      </xdr:grpSpPr>
      <xdr:sp macro="" textlink="">
        <xdr:nvSpPr>
          <xdr:cNvPr id="17402" name="Oval 661">
            <a:extLst>
              <a:ext uri="{FF2B5EF4-FFF2-40B4-BE49-F238E27FC236}">
                <a16:creationId xmlns:a16="http://schemas.microsoft.com/office/drawing/2014/main" id="{00000000-0008-0000-0900-0000FA430000}"/>
              </a:ext>
            </a:extLst>
          </xdr:cNvPr>
          <xdr:cNvSpPr>
            <a:spLocks noChangeArrowheads="1"/>
          </xdr:cNvSpPr>
        </xdr:nvSpPr>
        <xdr:spPr bwMode="auto">
          <a:xfrm>
            <a:off x="150" y="3315"/>
            <a:ext cx="26" cy="26"/>
          </a:xfrm>
          <a:prstGeom prst="ellipse">
            <a:avLst/>
          </a:prstGeom>
          <a:solidFill>
            <a:srgbClr val="FFFFCC"/>
          </a:solidFill>
          <a:ln w="9525">
            <a:solidFill>
              <a:srgbClr val="000000"/>
            </a:solidFill>
            <a:round/>
            <a:headEnd/>
            <a:tailEnd/>
          </a:ln>
        </xdr:spPr>
      </xdr:sp>
      <xdr:sp macro="" textlink="">
        <xdr:nvSpPr>
          <xdr:cNvPr id="17046" name="Text Box 662">
            <a:extLst>
              <a:ext uri="{FF2B5EF4-FFF2-40B4-BE49-F238E27FC236}">
                <a16:creationId xmlns:a16="http://schemas.microsoft.com/office/drawing/2014/main" id="{00000000-0008-0000-0900-000096420000}"/>
              </a:ext>
            </a:extLst>
          </xdr:cNvPr>
          <xdr:cNvSpPr txBox="1">
            <a:spLocks noChangeArrowheads="1"/>
          </xdr:cNvSpPr>
        </xdr:nvSpPr>
        <xdr:spPr bwMode="auto">
          <a:xfrm>
            <a:off x="154" y="3314"/>
            <a:ext cx="21"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2</a:t>
            </a:r>
          </a:p>
        </xdr:txBody>
      </xdr:sp>
    </xdr:grpSp>
    <xdr:clientData/>
  </xdr:twoCellAnchor>
  <xdr:twoCellAnchor>
    <xdr:from>
      <xdr:col>5</xdr:col>
      <xdr:colOff>161925</xdr:colOff>
      <xdr:row>199</xdr:row>
      <xdr:rowOff>9525</xdr:rowOff>
    </xdr:from>
    <xdr:to>
      <xdr:col>6</xdr:col>
      <xdr:colOff>219075</xdr:colOff>
      <xdr:row>200</xdr:row>
      <xdr:rowOff>104775</xdr:rowOff>
    </xdr:to>
    <xdr:grpSp>
      <xdr:nvGrpSpPr>
        <xdr:cNvPr id="17330" name="Group 663">
          <a:extLst>
            <a:ext uri="{FF2B5EF4-FFF2-40B4-BE49-F238E27FC236}">
              <a16:creationId xmlns:a16="http://schemas.microsoft.com/office/drawing/2014/main" id="{00000000-0008-0000-0900-0000B2430000}"/>
            </a:ext>
          </a:extLst>
        </xdr:cNvPr>
        <xdr:cNvGrpSpPr>
          <a:grpSpLocks/>
        </xdr:cNvGrpSpPr>
      </xdr:nvGrpSpPr>
      <xdr:grpSpPr bwMode="auto">
        <a:xfrm>
          <a:off x="3209925" y="33369885"/>
          <a:ext cx="270510" cy="262890"/>
          <a:chOff x="150" y="3314"/>
          <a:chExt cx="26" cy="27"/>
        </a:xfrm>
      </xdr:grpSpPr>
      <xdr:sp macro="" textlink="">
        <xdr:nvSpPr>
          <xdr:cNvPr id="17400" name="Oval 664">
            <a:extLst>
              <a:ext uri="{FF2B5EF4-FFF2-40B4-BE49-F238E27FC236}">
                <a16:creationId xmlns:a16="http://schemas.microsoft.com/office/drawing/2014/main" id="{00000000-0008-0000-0900-0000F8430000}"/>
              </a:ext>
            </a:extLst>
          </xdr:cNvPr>
          <xdr:cNvSpPr>
            <a:spLocks noChangeArrowheads="1"/>
          </xdr:cNvSpPr>
        </xdr:nvSpPr>
        <xdr:spPr bwMode="auto">
          <a:xfrm>
            <a:off x="150" y="3315"/>
            <a:ext cx="26" cy="26"/>
          </a:xfrm>
          <a:prstGeom prst="ellipse">
            <a:avLst/>
          </a:prstGeom>
          <a:solidFill>
            <a:srgbClr val="FFFFCC"/>
          </a:solidFill>
          <a:ln w="9525">
            <a:solidFill>
              <a:srgbClr val="000000"/>
            </a:solidFill>
            <a:round/>
            <a:headEnd/>
            <a:tailEnd/>
          </a:ln>
        </xdr:spPr>
      </xdr:sp>
      <xdr:sp macro="" textlink="">
        <xdr:nvSpPr>
          <xdr:cNvPr id="17049" name="Text Box 665">
            <a:extLst>
              <a:ext uri="{FF2B5EF4-FFF2-40B4-BE49-F238E27FC236}">
                <a16:creationId xmlns:a16="http://schemas.microsoft.com/office/drawing/2014/main" id="{00000000-0008-0000-0900-000099420000}"/>
              </a:ext>
            </a:extLst>
          </xdr:cNvPr>
          <xdr:cNvSpPr txBox="1">
            <a:spLocks noChangeArrowheads="1"/>
          </xdr:cNvSpPr>
        </xdr:nvSpPr>
        <xdr:spPr bwMode="auto">
          <a:xfrm>
            <a:off x="154" y="3314"/>
            <a:ext cx="21"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5</a:t>
            </a:r>
          </a:p>
        </xdr:txBody>
      </xdr:sp>
    </xdr:grpSp>
    <xdr:clientData/>
  </xdr:twoCellAnchor>
  <xdr:twoCellAnchor>
    <xdr:from>
      <xdr:col>11</xdr:col>
      <xdr:colOff>266700</xdr:colOff>
      <xdr:row>198</xdr:row>
      <xdr:rowOff>142875</xdr:rowOff>
    </xdr:from>
    <xdr:to>
      <xdr:col>11</xdr:col>
      <xdr:colOff>514350</xdr:colOff>
      <xdr:row>200</xdr:row>
      <xdr:rowOff>76200</xdr:rowOff>
    </xdr:to>
    <xdr:grpSp>
      <xdr:nvGrpSpPr>
        <xdr:cNvPr id="17331" name="Group 666">
          <a:extLst>
            <a:ext uri="{FF2B5EF4-FFF2-40B4-BE49-F238E27FC236}">
              <a16:creationId xmlns:a16="http://schemas.microsoft.com/office/drawing/2014/main" id="{00000000-0008-0000-0900-0000B3430000}"/>
            </a:ext>
          </a:extLst>
        </xdr:cNvPr>
        <xdr:cNvGrpSpPr>
          <a:grpSpLocks/>
        </xdr:cNvGrpSpPr>
      </xdr:nvGrpSpPr>
      <xdr:grpSpPr bwMode="auto">
        <a:xfrm>
          <a:off x="6576060" y="33335595"/>
          <a:ext cx="247650" cy="268605"/>
          <a:chOff x="150" y="3314"/>
          <a:chExt cx="26" cy="27"/>
        </a:xfrm>
      </xdr:grpSpPr>
      <xdr:sp macro="" textlink="">
        <xdr:nvSpPr>
          <xdr:cNvPr id="17398" name="Oval 667">
            <a:extLst>
              <a:ext uri="{FF2B5EF4-FFF2-40B4-BE49-F238E27FC236}">
                <a16:creationId xmlns:a16="http://schemas.microsoft.com/office/drawing/2014/main" id="{00000000-0008-0000-0900-0000F6430000}"/>
              </a:ext>
            </a:extLst>
          </xdr:cNvPr>
          <xdr:cNvSpPr>
            <a:spLocks noChangeArrowheads="1"/>
          </xdr:cNvSpPr>
        </xdr:nvSpPr>
        <xdr:spPr bwMode="auto">
          <a:xfrm>
            <a:off x="150" y="3315"/>
            <a:ext cx="26" cy="26"/>
          </a:xfrm>
          <a:prstGeom prst="ellipse">
            <a:avLst/>
          </a:prstGeom>
          <a:solidFill>
            <a:srgbClr val="FFFFCC"/>
          </a:solidFill>
          <a:ln w="9525">
            <a:solidFill>
              <a:srgbClr val="000000"/>
            </a:solidFill>
            <a:round/>
            <a:headEnd/>
            <a:tailEnd/>
          </a:ln>
        </xdr:spPr>
      </xdr:sp>
      <xdr:sp macro="" textlink="">
        <xdr:nvSpPr>
          <xdr:cNvPr id="17052" name="Text Box 668">
            <a:extLst>
              <a:ext uri="{FF2B5EF4-FFF2-40B4-BE49-F238E27FC236}">
                <a16:creationId xmlns:a16="http://schemas.microsoft.com/office/drawing/2014/main" id="{00000000-0008-0000-0900-00009C420000}"/>
              </a:ext>
            </a:extLst>
          </xdr:cNvPr>
          <xdr:cNvSpPr txBox="1">
            <a:spLocks noChangeArrowheads="1"/>
          </xdr:cNvSpPr>
        </xdr:nvSpPr>
        <xdr:spPr bwMode="auto">
          <a:xfrm>
            <a:off x="154" y="3314"/>
            <a:ext cx="21"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3</a:t>
            </a:r>
          </a:p>
        </xdr:txBody>
      </xdr:sp>
    </xdr:grpSp>
    <xdr:clientData/>
  </xdr:twoCellAnchor>
  <xdr:twoCellAnchor>
    <xdr:from>
      <xdr:col>7</xdr:col>
      <xdr:colOff>409575</xdr:colOff>
      <xdr:row>206</xdr:row>
      <xdr:rowOff>133350</xdr:rowOff>
    </xdr:from>
    <xdr:to>
      <xdr:col>8</xdr:col>
      <xdr:colOff>47625</xdr:colOff>
      <xdr:row>208</xdr:row>
      <xdr:rowOff>66675</xdr:rowOff>
    </xdr:to>
    <xdr:grpSp>
      <xdr:nvGrpSpPr>
        <xdr:cNvPr id="17332" name="Group 669">
          <a:extLst>
            <a:ext uri="{FF2B5EF4-FFF2-40B4-BE49-F238E27FC236}">
              <a16:creationId xmlns:a16="http://schemas.microsoft.com/office/drawing/2014/main" id="{00000000-0008-0000-0900-0000B4430000}"/>
            </a:ext>
          </a:extLst>
        </xdr:cNvPr>
        <xdr:cNvGrpSpPr>
          <a:grpSpLocks/>
        </xdr:cNvGrpSpPr>
      </xdr:nvGrpSpPr>
      <xdr:grpSpPr bwMode="auto">
        <a:xfrm>
          <a:off x="4280535" y="34667190"/>
          <a:ext cx="247650" cy="268605"/>
          <a:chOff x="150" y="3314"/>
          <a:chExt cx="26" cy="27"/>
        </a:xfrm>
      </xdr:grpSpPr>
      <xdr:sp macro="" textlink="">
        <xdr:nvSpPr>
          <xdr:cNvPr id="17396" name="Oval 670">
            <a:extLst>
              <a:ext uri="{FF2B5EF4-FFF2-40B4-BE49-F238E27FC236}">
                <a16:creationId xmlns:a16="http://schemas.microsoft.com/office/drawing/2014/main" id="{00000000-0008-0000-0900-0000F4430000}"/>
              </a:ext>
            </a:extLst>
          </xdr:cNvPr>
          <xdr:cNvSpPr>
            <a:spLocks noChangeArrowheads="1"/>
          </xdr:cNvSpPr>
        </xdr:nvSpPr>
        <xdr:spPr bwMode="auto">
          <a:xfrm>
            <a:off x="150" y="3315"/>
            <a:ext cx="26" cy="26"/>
          </a:xfrm>
          <a:prstGeom prst="ellipse">
            <a:avLst/>
          </a:prstGeom>
          <a:solidFill>
            <a:srgbClr val="FFFFCC"/>
          </a:solidFill>
          <a:ln w="9525">
            <a:solidFill>
              <a:srgbClr val="000000"/>
            </a:solidFill>
            <a:round/>
            <a:headEnd/>
            <a:tailEnd/>
          </a:ln>
        </xdr:spPr>
      </xdr:sp>
      <xdr:sp macro="" textlink="">
        <xdr:nvSpPr>
          <xdr:cNvPr id="17055" name="Text Box 671">
            <a:extLst>
              <a:ext uri="{FF2B5EF4-FFF2-40B4-BE49-F238E27FC236}">
                <a16:creationId xmlns:a16="http://schemas.microsoft.com/office/drawing/2014/main" id="{00000000-0008-0000-0900-00009F420000}"/>
              </a:ext>
            </a:extLst>
          </xdr:cNvPr>
          <xdr:cNvSpPr txBox="1">
            <a:spLocks noChangeArrowheads="1"/>
          </xdr:cNvSpPr>
        </xdr:nvSpPr>
        <xdr:spPr bwMode="auto">
          <a:xfrm>
            <a:off x="154" y="3314"/>
            <a:ext cx="21"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6</a:t>
            </a:r>
          </a:p>
        </xdr:txBody>
      </xdr:sp>
    </xdr:grpSp>
    <xdr:clientData/>
  </xdr:twoCellAnchor>
  <xdr:twoCellAnchor>
    <xdr:from>
      <xdr:col>9</xdr:col>
      <xdr:colOff>133350</xdr:colOff>
      <xdr:row>227</xdr:row>
      <xdr:rowOff>38100</xdr:rowOff>
    </xdr:from>
    <xdr:to>
      <xdr:col>9</xdr:col>
      <xdr:colOff>361950</xdr:colOff>
      <xdr:row>228</xdr:row>
      <xdr:rowOff>114300</xdr:rowOff>
    </xdr:to>
    <xdr:grpSp>
      <xdr:nvGrpSpPr>
        <xdr:cNvPr id="17333" name="Group 675">
          <a:extLst>
            <a:ext uri="{FF2B5EF4-FFF2-40B4-BE49-F238E27FC236}">
              <a16:creationId xmlns:a16="http://schemas.microsoft.com/office/drawing/2014/main" id="{00000000-0008-0000-0900-0000B5430000}"/>
            </a:ext>
          </a:extLst>
        </xdr:cNvPr>
        <xdr:cNvGrpSpPr>
          <a:grpSpLocks/>
        </xdr:cNvGrpSpPr>
      </xdr:nvGrpSpPr>
      <xdr:grpSpPr bwMode="auto">
        <a:xfrm>
          <a:off x="5223510" y="38092380"/>
          <a:ext cx="228600" cy="243840"/>
          <a:chOff x="150" y="3314"/>
          <a:chExt cx="26" cy="27"/>
        </a:xfrm>
      </xdr:grpSpPr>
      <xdr:sp macro="" textlink="">
        <xdr:nvSpPr>
          <xdr:cNvPr id="17394" name="Oval 676">
            <a:extLst>
              <a:ext uri="{FF2B5EF4-FFF2-40B4-BE49-F238E27FC236}">
                <a16:creationId xmlns:a16="http://schemas.microsoft.com/office/drawing/2014/main" id="{00000000-0008-0000-0900-0000F2430000}"/>
              </a:ext>
            </a:extLst>
          </xdr:cNvPr>
          <xdr:cNvSpPr>
            <a:spLocks noChangeArrowheads="1"/>
          </xdr:cNvSpPr>
        </xdr:nvSpPr>
        <xdr:spPr bwMode="auto">
          <a:xfrm>
            <a:off x="150" y="3315"/>
            <a:ext cx="26" cy="26"/>
          </a:xfrm>
          <a:prstGeom prst="ellipse">
            <a:avLst/>
          </a:prstGeom>
          <a:solidFill>
            <a:srgbClr val="FFFFCC"/>
          </a:solidFill>
          <a:ln w="9525">
            <a:solidFill>
              <a:srgbClr val="000000"/>
            </a:solidFill>
            <a:round/>
            <a:headEnd/>
            <a:tailEnd/>
          </a:ln>
        </xdr:spPr>
      </xdr:sp>
      <xdr:sp macro="" textlink="">
        <xdr:nvSpPr>
          <xdr:cNvPr id="17061" name="Text Box 677">
            <a:extLst>
              <a:ext uri="{FF2B5EF4-FFF2-40B4-BE49-F238E27FC236}">
                <a16:creationId xmlns:a16="http://schemas.microsoft.com/office/drawing/2014/main" id="{00000000-0008-0000-0900-0000A5420000}"/>
              </a:ext>
            </a:extLst>
          </xdr:cNvPr>
          <xdr:cNvSpPr txBox="1">
            <a:spLocks noChangeArrowheads="1"/>
          </xdr:cNvSpPr>
        </xdr:nvSpPr>
        <xdr:spPr bwMode="auto">
          <a:xfrm>
            <a:off x="154" y="3314"/>
            <a:ext cx="21"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8</a:t>
            </a:r>
          </a:p>
        </xdr:txBody>
      </xdr:sp>
    </xdr:grpSp>
    <xdr:clientData/>
  </xdr:twoCellAnchor>
  <xdr:twoCellAnchor>
    <xdr:from>
      <xdr:col>7</xdr:col>
      <xdr:colOff>504825</xdr:colOff>
      <xdr:row>211</xdr:row>
      <xdr:rowOff>104775</xdr:rowOff>
    </xdr:from>
    <xdr:to>
      <xdr:col>8</xdr:col>
      <xdr:colOff>142875</xdr:colOff>
      <xdr:row>213</xdr:row>
      <xdr:rowOff>38100</xdr:rowOff>
    </xdr:to>
    <xdr:grpSp>
      <xdr:nvGrpSpPr>
        <xdr:cNvPr id="17334" name="Group 681">
          <a:extLst>
            <a:ext uri="{FF2B5EF4-FFF2-40B4-BE49-F238E27FC236}">
              <a16:creationId xmlns:a16="http://schemas.microsoft.com/office/drawing/2014/main" id="{00000000-0008-0000-0900-0000B6430000}"/>
            </a:ext>
          </a:extLst>
        </xdr:cNvPr>
        <xdr:cNvGrpSpPr>
          <a:grpSpLocks/>
        </xdr:cNvGrpSpPr>
      </xdr:nvGrpSpPr>
      <xdr:grpSpPr bwMode="auto">
        <a:xfrm>
          <a:off x="4375785" y="35476815"/>
          <a:ext cx="247650" cy="268605"/>
          <a:chOff x="150" y="3314"/>
          <a:chExt cx="26" cy="27"/>
        </a:xfrm>
      </xdr:grpSpPr>
      <xdr:sp macro="" textlink="">
        <xdr:nvSpPr>
          <xdr:cNvPr id="17392" name="Oval 682">
            <a:extLst>
              <a:ext uri="{FF2B5EF4-FFF2-40B4-BE49-F238E27FC236}">
                <a16:creationId xmlns:a16="http://schemas.microsoft.com/office/drawing/2014/main" id="{00000000-0008-0000-0900-0000F0430000}"/>
              </a:ext>
            </a:extLst>
          </xdr:cNvPr>
          <xdr:cNvSpPr>
            <a:spLocks noChangeArrowheads="1"/>
          </xdr:cNvSpPr>
        </xdr:nvSpPr>
        <xdr:spPr bwMode="auto">
          <a:xfrm>
            <a:off x="150" y="3315"/>
            <a:ext cx="26" cy="26"/>
          </a:xfrm>
          <a:prstGeom prst="ellipse">
            <a:avLst/>
          </a:prstGeom>
          <a:solidFill>
            <a:srgbClr val="FFFFCC"/>
          </a:solidFill>
          <a:ln w="9525">
            <a:solidFill>
              <a:srgbClr val="000000"/>
            </a:solidFill>
            <a:round/>
            <a:headEnd/>
            <a:tailEnd/>
          </a:ln>
        </xdr:spPr>
      </xdr:sp>
      <xdr:sp macro="" textlink="">
        <xdr:nvSpPr>
          <xdr:cNvPr id="17067" name="Text Box 683">
            <a:extLst>
              <a:ext uri="{FF2B5EF4-FFF2-40B4-BE49-F238E27FC236}">
                <a16:creationId xmlns:a16="http://schemas.microsoft.com/office/drawing/2014/main" id="{00000000-0008-0000-0900-0000AB420000}"/>
              </a:ext>
            </a:extLst>
          </xdr:cNvPr>
          <xdr:cNvSpPr txBox="1">
            <a:spLocks noChangeArrowheads="1"/>
          </xdr:cNvSpPr>
        </xdr:nvSpPr>
        <xdr:spPr bwMode="auto">
          <a:xfrm>
            <a:off x="154" y="3314"/>
            <a:ext cx="21"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7</a:t>
            </a:r>
          </a:p>
        </xdr:txBody>
      </xdr:sp>
    </xdr:grpSp>
    <xdr:clientData/>
  </xdr:twoCellAnchor>
  <xdr:twoCellAnchor>
    <xdr:from>
      <xdr:col>11</xdr:col>
      <xdr:colOff>342900</xdr:colOff>
      <xdr:row>234</xdr:row>
      <xdr:rowOff>95250</xdr:rowOff>
    </xdr:from>
    <xdr:to>
      <xdr:col>11</xdr:col>
      <xdr:colOff>590550</xdr:colOff>
      <xdr:row>236</xdr:row>
      <xdr:rowOff>28575</xdr:rowOff>
    </xdr:to>
    <xdr:grpSp>
      <xdr:nvGrpSpPr>
        <xdr:cNvPr id="17335" name="Group 684">
          <a:extLst>
            <a:ext uri="{FF2B5EF4-FFF2-40B4-BE49-F238E27FC236}">
              <a16:creationId xmlns:a16="http://schemas.microsoft.com/office/drawing/2014/main" id="{00000000-0008-0000-0900-0000B7430000}"/>
            </a:ext>
          </a:extLst>
        </xdr:cNvPr>
        <xdr:cNvGrpSpPr>
          <a:grpSpLocks/>
        </xdr:cNvGrpSpPr>
      </xdr:nvGrpSpPr>
      <xdr:grpSpPr bwMode="auto">
        <a:xfrm>
          <a:off x="6652260" y="39323010"/>
          <a:ext cx="247650" cy="268605"/>
          <a:chOff x="150" y="3314"/>
          <a:chExt cx="26" cy="27"/>
        </a:xfrm>
      </xdr:grpSpPr>
      <xdr:sp macro="" textlink="">
        <xdr:nvSpPr>
          <xdr:cNvPr id="17390" name="Oval 685">
            <a:extLst>
              <a:ext uri="{FF2B5EF4-FFF2-40B4-BE49-F238E27FC236}">
                <a16:creationId xmlns:a16="http://schemas.microsoft.com/office/drawing/2014/main" id="{00000000-0008-0000-0900-0000EE430000}"/>
              </a:ext>
            </a:extLst>
          </xdr:cNvPr>
          <xdr:cNvSpPr>
            <a:spLocks noChangeArrowheads="1"/>
          </xdr:cNvSpPr>
        </xdr:nvSpPr>
        <xdr:spPr bwMode="auto">
          <a:xfrm>
            <a:off x="150" y="3315"/>
            <a:ext cx="26" cy="26"/>
          </a:xfrm>
          <a:prstGeom prst="ellipse">
            <a:avLst/>
          </a:prstGeom>
          <a:solidFill>
            <a:srgbClr val="FFFFCC"/>
          </a:solidFill>
          <a:ln w="9525">
            <a:solidFill>
              <a:srgbClr val="000000"/>
            </a:solidFill>
            <a:round/>
            <a:headEnd/>
            <a:tailEnd/>
          </a:ln>
        </xdr:spPr>
      </xdr:sp>
      <xdr:sp macro="" textlink="">
        <xdr:nvSpPr>
          <xdr:cNvPr id="17070" name="Text Box 686">
            <a:extLst>
              <a:ext uri="{FF2B5EF4-FFF2-40B4-BE49-F238E27FC236}">
                <a16:creationId xmlns:a16="http://schemas.microsoft.com/office/drawing/2014/main" id="{00000000-0008-0000-0900-0000AE420000}"/>
              </a:ext>
            </a:extLst>
          </xdr:cNvPr>
          <xdr:cNvSpPr txBox="1">
            <a:spLocks noChangeArrowheads="1"/>
          </xdr:cNvSpPr>
        </xdr:nvSpPr>
        <xdr:spPr bwMode="auto">
          <a:xfrm>
            <a:off x="154" y="3314"/>
            <a:ext cx="21"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9</a:t>
            </a:r>
          </a:p>
        </xdr:txBody>
      </xdr:sp>
    </xdr:grpSp>
    <xdr:clientData/>
  </xdr:twoCellAnchor>
  <xdr:twoCellAnchor>
    <xdr:from>
      <xdr:col>6</xdr:col>
      <xdr:colOff>361950</xdr:colOff>
      <xdr:row>234</xdr:row>
      <xdr:rowOff>85725</xdr:rowOff>
    </xdr:from>
    <xdr:to>
      <xdr:col>7</xdr:col>
      <xdr:colOff>0</xdr:colOff>
      <xdr:row>236</xdr:row>
      <xdr:rowOff>19050</xdr:rowOff>
    </xdr:to>
    <xdr:grpSp>
      <xdr:nvGrpSpPr>
        <xdr:cNvPr id="17336" name="Group 687">
          <a:extLst>
            <a:ext uri="{FF2B5EF4-FFF2-40B4-BE49-F238E27FC236}">
              <a16:creationId xmlns:a16="http://schemas.microsoft.com/office/drawing/2014/main" id="{00000000-0008-0000-0900-0000B8430000}"/>
            </a:ext>
          </a:extLst>
        </xdr:cNvPr>
        <xdr:cNvGrpSpPr>
          <a:grpSpLocks/>
        </xdr:cNvGrpSpPr>
      </xdr:nvGrpSpPr>
      <xdr:grpSpPr bwMode="auto">
        <a:xfrm>
          <a:off x="3623310" y="39313485"/>
          <a:ext cx="247650" cy="268605"/>
          <a:chOff x="150" y="3314"/>
          <a:chExt cx="26" cy="27"/>
        </a:xfrm>
      </xdr:grpSpPr>
      <xdr:sp macro="" textlink="">
        <xdr:nvSpPr>
          <xdr:cNvPr id="17388" name="Oval 688">
            <a:extLst>
              <a:ext uri="{FF2B5EF4-FFF2-40B4-BE49-F238E27FC236}">
                <a16:creationId xmlns:a16="http://schemas.microsoft.com/office/drawing/2014/main" id="{00000000-0008-0000-0900-0000EC430000}"/>
              </a:ext>
            </a:extLst>
          </xdr:cNvPr>
          <xdr:cNvSpPr>
            <a:spLocks noChangeArrowheads="1"/>
          </xdr:cNvSpPr>
        </xdr:nvSpPr>
        <xdr:spPr bwMode="auto">
          <a:xfrm>
            <a:off x="150" y="3315"/>
            <a:ext cx="26" cy="26"/>
          </a:xfrm>
          <a:prstGeom prst="ellipse">
            <a:avLst/>
          </a:prstGeom>
          <a:solidFill>
            <a:srgbClr val="FFFFCC"/>
          </a:solidFill>
          <a:ln w="9525">
            <a:solidFill>
              <a:srgbClr val="000000"/>
            </a:solidFill>
            <a:round/>
            <a:headEnd/>
            <a:tailEnd/>
          </a:ln>
        </xdr:spPr>
      </xdr:sp>
      <xdr:sp macro="" textlink="">
        <xdr:nvSpPr>
          <xdr:cNvPr id="17073" name="Text Box 689">
            <a:extLst>
              <a:ext uri="{FF2B5EF4-FFF2-40B4-BE49-F238E27FC236}">
                <a16:creationId xmlns:a16="http://schemas.microsoft.com/office/drawing/2014/main" id="{00000000-0008-0000-0900-0000B1420000}"/>
              </a:ext>
            </a:extLst>
          </xdr:cNvPr>
          <xdr:cNvSpPr txBox="1">
            <a:spLocks noChangeArrowheads="1"/>
          </xdr:cNvSpPr>
        </xdr:nvSpPr>
        <xdr:spPr bwMode="auto">
          <a:xfrm>
            <a:off x="154" y="3314"/>
            <a:ext cx="21"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10</a:t>
            </a:r>
          </a:p>
        </xdr:txBody>
      </xdr:sp>
    </xdr:grpSp>
    <xdr:clientData/>
  </xdr:twoCellAnchor>
  <xdr:twoCellAnchor>
    <xdr:from>
      <xdr:col>9</xdr:col>
      <xdr:colOff>428625</xdr:colOff>
      <xdr:row>252</xdr:row>
      <xdr:rowOff>28575</xdr:rowOff>
    </xdr:from>
    <xdr:to>
      <xdr:col>10</xdr:col>
      <xdr:colOff>66675</xdr:colOff>
      <xdr:row>253</xdr:row>
      <xdr:rowOff>123825</xdr:rowOff>
    </xdr:to>
    <xdr:grpSp>
      <xdr:nvGrpSpPr>
        <xdr:cNvPr id="17337" name="Group 690">
          <a:extLst>
            <a:ext uri="{FF2B5EF4-FFF2-40B4-BE49-F238E27FC236}">
              <a16:creationId xmlns:a16="http://schemas.microsoft.com/office/drawing/2014/main" id="{00000000-0008-0000-0900-0000B9430000}"/>
            </a:ext>
          </a:extLst>
        </xdr:cNvPr>
        <xdr:cNvGrpSpPr>
          <a:grpSpLocks/>
        </xdr:cNvGrpSpPr>
      </xdr:nvGrpSpPr>
      <xdr:grpSpPr bwMode="auto">
        <a:xfrm>
          <a:off x="5518785" y="42273855"/>
          <a:ext cx="247650" cy="262890"/>
          <a:chOff x="263" y="5366"/>
          <a:chExt cx="26" cy="27"/>
        </a:xfrm>
      </xdr:grpSpPr>
      <xdr:sp macro="" textlink="">
        <xdr:nvSpPr>
          <xdr:cNvPr id="17386" name="Oval 691">
            <a:extLst>
              <a:ext uri="{FF2B5EF4-FFF2-40B4-BE49-F238E27FC236}">
                <a16:creationId xmlns:a16="http://schemas.microsoft.com/office/drawing/2014/main" id="{00000000-0008-0000-0900-0000EA430000}"/>
              </a:ext>
            </a:extLst>
          </xdr:cNvPr>
          <xdr:cNvSpPr>
            <a:spLocks noChangeArrowheads="1"/>
          </xdr:cNvSpPr>
        </xdr:nvSpPr>
        <xdr:spPr bwMode="auto">
          <a:xfrm>
            <a:off x="263" y="5367"/>
            <a:ext cx="26" cy="26"/>
          </a:xfrm>
          <a:prstGeom prst="ellipse">
            <a:avLst/>
          </a:prstGeom>
          <a:solidFill>
            <a:srgbClr val="FFFFCC"/>
          </a:solidFill>
          <a:ln w="9525">
            <a:solidFill>
              <a:srgbClr val="000000"/>
            </a:solidFill>
            <a:round/>
            <a:headEnd/>
            <a:tailEnd/>
          </a:ln>
        </xdr:spPr>
      </xdr:sp>
      <xdr:sp macro="" textlink="">
        <xdr:nvSpPr>
          <xdr:cNvPr id="17076" name="Text Box 692">
            <a:extLst>
              <a:ext uri="{FF2B5EF4-FFF2-40B4-BE49-F238E27FC236}">
                <a16:creationId xmlns:a16="http://schemas.microsoft.com/office/drawing/2014/main" id="{00000000-0008-0000-0900-0000B4420000}"/>
              </a:ext>
            </a:extLst>
          </xdr:cNvPr>
          <xdr:cNvSpPr txBox="1">
            <a:spLocks noChangeArrowheads="1"/>
          </xdr:cNvSpPr>
        </xdr:nvSpPr>
        <xdr:spPr bwMode="auto">
          <a:xfrm>
            <a:off x="267" y="5366"/>
            <a:ext cx="18"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11</a:t>
            </a:r>
          </a:p>
        </xdr:txBody>
      </xdr:sp>
    </xdr:grpSp>
    <xdr:clientData/>
  </xdr:twoCellAnchor>
  <xdr:twoCellAnchor>
    <xdr:from>
      <xdr:col>1</xdr:col>
      <xdr:colOff>361950</xdr:colOff>
      <xdr:row>210</xdr:row>
      <xdr:rowOff>9525</xdr:rowOff>
    </xdr:from>
    <xdr:to>
      <xdr:col>2</xdr:col>
      <xdr:colOff>0</xdr:colOff>
      <xdr:row>211</xdr:row>
      <xdr:rowOff>104775</xdr:rowOff>
    </xdr:to>
    <xdr:grpSp>
      <xdr:nvGrpSpPr>
        <xdr:cNvPr id="17338" name="Group 693">
          <a:extLst>
            <a:ext uri="{FF2B5EF4-FFF2-40B4-BE49-F238E27FC236}">
              <a16:creationId xmlns:a16="http://schemas.microsoft.com/office/drawing/2014/main" id="{00000000-0008-0000-0900-0000BA430000}"/>
            </a:ext>
          </a:extLst>
        </xdr:cNvPr>
        <xdr:cNvGrpSpPr>
          <a:grpSpLocks/>
        </xdr:cNvGrpSpPr>
      </xdr:nvGrpSpPr>
      <xdr:grpSpPr bwMode="auto">
        <a:xfrm>
          <a:off x="971550" y="35213925"/>
          <a:ext cx="247650" cy="262890"/>
          <a:chOff x="75" y="3860"/>
          <a:chExt cx="26" cy="27"/>
        </a:xfrm>
      </xdr:grpSpPr>
      <xdr:sp macro="" textlink="">
        <xdr:nvSpPr>
          <xdr:cNvPr id="17384" name="Oval 694">
            <a:extLst>
              <a:ext uri="{FF2B5EF4-FFF2-40B4-BE49-F238E27FC236}">
                <a16:creationId xmlns:a16="http://schemas.microsoft.com/office/drawing/2014/main" id="{00000000-0008-0000-0900-0000E8430000}"/>
              </a:ext>
            </a:extLst>
          </xdr:cNvPr>
          <xdr:cNvSpPr>
            <a:spLocks noChangeArrowheads="1"/>
          </xdr:cNvSpPr>
        </xdr:nvSpPr>
        <xdr:spPr bwMode="auto">
          <a:xfrm>
            <a:off x="75" y="3861"/>
            <a:ext cx="26" cy="26"/>
          </a:xfrm>
          <a:prstGeom prst="ellipse">
            <a:avLst/>
          </a:prstGeom>
          <a:solidFill>
            <a:srgbClr val="FFFFCC"/>
          </a:solidFill>
          <a:ln w="9525">
            <a:solidFill>
              <a:srgbClr val="000000"/>
            </a:solidFill>
            <a:round/>
            <a:headEnd/>
            <a:tailEnd/>
          </a:ln>
        </xdr:spPr>
      </xdr:sp>
      <xdr:sp macro="" textlink="">
        <xdr:nvSpPr>
          <xdr:cNvPr id="17079" name="Text Box 695">
            <a:extLst>
              <a:ext uri="{FF2B5EF4-FFF2-40B4-BE49-F238E27FC236}">
                <a16:creationId xmlns:a16="http://schemas.microsoft.com/office/drawing/2014/main" id="{00000000-0008-0000-0900-0000B7420000}"/>
              </a:ext>
            </a:extLst>
          </xdr:cNvPr>
          <xdr:cNvSpPr txBox="1">
            <a:spLocks noChangeArrowheads="1"/>
          </xdr:cNvSpPr>
        </xdr:nvSpPr>
        <xdr:spPr bwMode="auto">
          <a:xfrm>
            <a:off x="79" y="3860"/>
            <a:ext cx="21"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11</a:t>
            </a:r>
          </a:p>
        </xdr:txBody>
      </xdr:sp>
    </xdr:grpSp>
    <xdr:clientData/>
  </xdr:twoCellAnchor>
  <xdr:twoCellAnchor>
    <xdr:from>
      <xdr:col>11</xdr:col>
      <xdr:colOff>171450</xdr:colOff>
      <xdr:row>274</xdr:row>
      <xdr:rowOff>152400</xdr:rowOff>
    </xdr:from>
    <xdr:to>
      <xdr:col>11</xdr:col>
      <xdr:colOff>419100</xdr:colOff>
      <xdr:row>276</xdr:row>
      <xdr:rowOff>85725</xdr:rowOff>
    </xdr:to>
    <xdr:grpSp>
      <xdr:nvGrpSpPr>
        <xdr:cNvPr id="17339" name="Group 696">
          <a:extLst>
            <a:ext uri="{FF2B5EF4-FFF2-40B4-BE49-F238E27FC236}">
              <a16:creationId xmlns:a16="http://schemas.microsoft.com/office/drawing/2014/main" id="{00000000-0008-0000-0900-0000BB430000}"/>
            </a:ext>
          </a:extLst>
        </xdr:cNvPr>
        <xdr:cNvGrpSpPr>
          <a:grpSpLocks/>
        </xdr:cNvGrpSpPr>
      </xdr:nvGrpSpPr>
      <xdr:grpSpPr bwMode="auto">
        <a:xfrm>
          <a:off x="6480810" y="46085760"/>
          <a:ext cx="247650" cy="268605"/>
          <a:chOff x="263" y="5366"/>
          <a:chExt cx="26" cy="27"/>
        </a:xfrm>
      </xdr:grpSpPr>
      <xdr:sp macro="" textlink="">
        <xdr:nvSpPr>
          <xdr:cNvPr id="17382" name="Oval 697">
            <a:extLst>
              <a:ext uri="{FF2B5EF4-FFF2-40B4-BE49-F238E27FC236}">
                <a16:creationId xmlns:a16="http://schemas.microsoft.com/office/drawing/2014/main" id="{00000000-0008-0000-0900-0000E6430000}"/>
              </a:ext>
            </a:extLst>
          </xdr:cNvPr>
          <xdr:cNvSpPr>
            <a:spLocks noChangeArrowheads="1"/>
          </xdr:cNvSpPr>
        </xdr:nvSpPr>
        <xdr:spPr bwMode="auto">
          <a:xfrm>
            <a:off x="263" y="5367"/>
            <a:ext cx="26" cy="26"/>
          </a:xfrm>
          <a:prstGeom prst="ellipse">
            <a:avLst/>
          </a:prstGeom>
          <a:solidFill>
            <a:srgbClr val="FFFFCC"/>
          </a:solidFill>
          <a:ln w="9525">
            <a:solidFill>
              <a:srgbClr val="000000"/>
            </a:solidFill>
            <a:round/>
            <a:headEnd/>
            <a:tailEnd/>
          </a:ln>
        </xdr:spPr>
      </xdr:sp>
      <xdr:sp macro="" textlink="">
        <xdr:nvSpPr>
          <xdr:cNvPr id="17082" name="Text Box 698">
            <a:extLst>
              <a:ext uri="{FF2B5EF4-FFF2-40B4-BE49-F238E27FC236}">
                <a16:creationId xmlns:a16="http://schemas.microsoft.com/office/drawing/2014/main" id="{00000000-0008-0000-0900-0000BA420000}"/>
              </a:ext>
            </a:extLst>
          </xdr:cNvPr>
          <xdr:cNvSpPr txBox="1">
            <a:spLocks noChangeArrowheads="1"/>
          </xdr:cNvSpPr>
        </xdr:nvSpPr>
        <xdr:spPr bwMode="auto">
          <a:xfrm>
            <a:off x="267" y="5366"/>
            <a:ext cx="18"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15</a:t>
            </a:r>
          </a:p>
        </xdr:txBody>
      </xdr:sp>
    </xdr:grpSp>
    <xdr:clientData/>
  </xdr:twoCellAnchor>
  <xdr:twoCellAnchor>
    <xdr:from>
      <xdr:col>4</xdr:col>
      <xdr:colOff>247650</xdr:colOff>
      <xdr:row>274</xdr:row>
      <xdr:rowOff>152400</xdr:rowOff>
    </xdr:from>
    <xdr:to>
      <xdr:col>4</xdr:col>
      <xdr:colOff>495300</xdr:colOff>
      <xdr:row>276</xdr:row>
      <xdr:rowOff>85725</xdr:rowOff>
    </xdr:to>
    <xdr:grpSp>
      <xdr:nvGrpSpPr>
        <xdr:cNvPr id="17340" name="Group 699">
          <a:extLst>
            <a:ext uri="{FF2B5EF4-FFF2-40B4-BE49-F238E27FC236}">
              <a16:creationId xmlns:a16="http://schemas.microsoft.com/office/drawing/2014/main" id="{00000000-0008-0000-0900-0000BC430000}"/>
            </a:ext>
          </a:extLst>
        </xdr:cNvPr>
        <xdr:cNvGrpSpPr>
          <a:grpSpLocks/>
        </xdr:cNvGrpSpPr>
      </xdr:nvGrpSpPr>
      <xdr:grpSpPr bwMode="auto">
        <a:xfrm>
          <a:off x="2686050" y="46085760"/>
          <a:ext cx="247650" cy="268605"/>
          <a:chOff x="263" y="5366"/>
          <a:chExt cx="26" cy="27"/>
        </a:xfrm>
      </xdr:grpSpPr>
      <xdr:sp macro="" textlink="">
        <xdr:nvSpPr>
          <xdr:cNvPr id="17380" name="Oval 700">
            <a:extLst>
              <a:ext uri="{FF2B5EF4-FFF2-40B4-BE49-F238E27FC236}">
                <a16:creationId xmlns:a16="http://schemas.microsoft.com/office/drawing/2014/main" id="{00000000-0008-0000-0900-0000E4430000}"/>
              </a:ext>
            </a:extLst>
          </xdr:cNvPr>
          <xdr:cNvSpPr>
            <a:spLocks noChangeArrowheads="1"/>
          </xdr:cNvSpPr>
        </xdr:nvSpPr>
        <xdr:spPr bwMode="auto">
          <a:xfrm>
            <a:off x="263" y="5367"/>
            <a:ext cx="26" cy="26"/>
          </a:xfrm>
          <a:prstGeom prst="ellipse">
            <a:avLst/>
          </a:prstGeom>
          <a:solidFill>
            <a:srgbClr val="FFFFCC"/>
          </a:solidFill>
          <a:ln w="9525">
            <a:solidFill>
              <a:srgbClr val="000000"/>
            </a:solidFill>
            <a:round/>
            <a:headEnd/>
            <a:tailEnd/>
          </a:ln>
        </xdr:spPr>
      </xdr:sp>
      <xdr:sp macro="" textlink="">
        <xdr:nvSpPr>
          <xdr:cNvPr id="17085" name="Text Box 701">
            <a:extLst>
              <a:ext uri="{FF2B5EF4-FFF2-40B4-BE49-F238E27FC236}">
                <a16:creationId xmlns:a16="http://schemas.microsoft.com/office/drawing/2014/main" id="{00000000-0008-0000-0900-0000BD420000}"/>
              </a:ext>
            </a:extLst>
          </xdr:cNvPr>
          <xdr:cNvSpPr txBox="1">
            <a:spLocks noChangeArrowheads="1"/>
          </xdr:cNvSpPr>
        </xdr:nvSpPr>
        <xdr:spPr bwMode="auto">
          <a:xfrm>
            <a:off x="267" y="5366"/>
            <a:ext cx="18"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12</a:t>
            </a:r>
          </a:p>
        </xdr:txBody>
      </xdr:sp>
    </xdr:grpSp>
    <xdr:clientData/>
  </xdr:twoCellAnchor>
  <xdr:twoCellAnchor>
    <xdr:from>
      <xdr:col>11</xdr:col>
      <xdr:colOff>219075</xdr:colOff>
      <xdr:row>282</xdr:row>
      <xdr:rowOff>85725</xdr:rowOff>
    </xdr:from>
    <xdr:to>
      <xdr:col>11</xdr:col>
      <xdr:colOff>466725</xdr:colOff>
      <xdr:row>284</xdr:row>
      <xdr:rowOff>19050</xdr:rowOff>
    </xdr:to>
    <xdr:grpSp>
      <xdr:nvGrpSpPr>
        <xdr:cNvPr id="17341" name="Group 702">
          <a:extLst>
            <a:ext uri="{FF2B5EF4-FFF2-40B4-BE49-F238E27FC236}">
              <a16:creationId xmlns:a16="http://schemas.microsoft.com/office/drawing/2014/main" id="{00000000-0008-0000-0900-0000BD430000}"/>
            </a:ext>
          </a:extLst>
        </xdr:cNvPr>
        <xdr:cNvGrpSpPr>
          <a:grpSpLocks/>
        </xdr:cNvGrpSpPr>
      </xdr:nvGrpSpPr>
      <xdr:grpSpPr bwMode="auto">
        <a:xfrm>
          <a:off x="6528435" y="47360205"/>
          <a:ext cx="247650" cy="268605"/>
          <a:chOff x="263" y="5366"/>
          <a:chExt cx="26" cy="27"/>
        </a:xfrm>
      </xdr:grpSpPr>
      <xdr:sp macro="" textlink="">
        <xdr:nvSpPr>
          <xdr:cNvPr id="17378" name="Oval 703">
            <a:extLst>
              <a:ext uri="{FF2B5EF4-FFF2-40B4-BE49-F238E27FC236}">
                <a16:creationId xmlns:a16="http://schemas.microsoft.com/office/drawing/2014/main" id="{00000000-0008-0000-0900-0000E2430000}"/>
              </a:ext>
            </a:extLst>
          </xdr:cNvPr>
          <xdr:cNvSpPr>
            <a:spLocks noChangeArrowheads="1"/>
          </xdr:cNvSpPr>
        </xdr:nvSpPr>
        <xdr:spPr bwMode="auto">
          <a:xfrm>
            <a:off x="263" y="5367"/>
            <a:ext cx="26" cy="26"/>
          </a:xfrm>
          <a:prstGeom prst="ellipse">
            <a:avLst/>
          </a:prstGeom>
          <a:solidFill>
            <a:srgbClr val="FFFFCC"/>
          </a:solidFill>
          <a:ln w="9525">
            <a:solidFill>
              <a:srgbClr val="000000"/>
            </a:solidFill>
            <a:round/>
            <a:headEnd/>
            <a:tailEnd/>
          </a:ln>
        </xdr:spPr>
      </xdr:sp>
      <xdr:sp macro="" textlink="">
        <xdr:nvSpPr>
          <xdr:cNvPr id="17088" name="Text Box 704">
            <a:extLst>
              <a:ext uri="{FF2B5EF4-FFF2-40B4-BE49-F238E27FC236}">
                <a16:creationId xmlns:a16="http://schemas.microsoft.com/office/drawing/2014/main" id="{00000000-0008-0000-0900-0000C0420000}"/>
              </a:ext>
            </a:extLst>
          </xdr:cNvPr>
          <xdr:cNvSpPr txBox="1">
            <a:spLocks noChangeArrowheads="1"/>
          </xdr:cNvSpPr>
        </xdr:nvSpPr>
        <xdr:spPr bwMode="auto">
          <a:xfrm>
            <a:off x="267" y="5366"/>
            <a:ext cx="18"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16</a:t>
            </a:r>
          </a:p>
        </xdr:txBody>
      </xdr:sp>
    </xdr:grpSp>
    <xdr:clientData/>
  </xdr:twoCellAnchor>
  <xdr:twoCellAnchor>
    <xdr:from>
      <xdr:col>4</xdr:col>
      <xdr:colOff>304800</xdr:colOff>
      <xdr:row>282</xdr:row>
      <xdr:rowOff>57150</xdr:rowOff>
    </xdr:from>
    <xdr:to>
      <xdr:col>4</xdr:col>
      <xdr:colOff>552450</xdr:colOff>
      <xdr:row>283</xdr:row>
      <xdr:rowOff>152400</xdr:rowOff>
    </xdr:to>
    <xdr:grpSp>
      <xdr:nvGrpSpPr>
        <xdr:cNvPr id="17342" name="Group 705">
          <a:extLst>
            <a:ext uri="{FF2B5EF4-FFF2-40B4-BE49-F238E27FC236}">
              <a16:creationId xmlns:a16="http://schemas.microsoft.com/office/drawing/2014/main" id="{00000000-0008-0000-0900-0000BE430000}"/>
            </a:ext>
          </a:extLst>
        </xdr:cNvPr>
        <xdr:cNvGrpSpPr>
          <a:grpSpLocks/>
        </xdr:cNvGrpSpPr>
      </xdr:nvGrpSpPr>
      <xdr:grpSpPr bwMode="auto">
        <a:xfrm>
          <a:off x="2743200" y="47331630"/>
          <a:ext cx="247650" cy="262890"/>
          <a:chOff x="263" y="5366"/>
          <a:chExt cx="26" cy="27"/>
        </a:xfrm>
      </xdr:grpSpPr>
      <xdr:sp macro="" textlink="">
        <xdr:nvSpPr>
          <xdr:cNvPr id="17376" name="Oval 706">
            <a:extLst>
              <a:ext uri="{FF2B5EF4-FFF2-40B4-BE49-F238E27FC236}">
                <a16:creationId xmlns:a16="http://schemas.microsoft.com/office/drawing/2014/main" id="{00000000-0008-0000-0900-0000E0430000}"/>
              </a:ext>
            </a:extLst>
          </xdr:cNvPr>
          <xdr:cNvSpPr>
            <a:spLocks noChangeArrowheads="1"/>
          </xdr:cNvSpPr>
        </xdr:nvSpPr>
        <xdr:spPr bwMode="auto">
          <a:xfrm>
            <a:off x="263" y="5367"/>
            <a:ext cx="26" cy="26"/>
          </a:xfrm>
          <a:prstGeom prst="ellipse">
            <a:avLst/>
          </a:prstGeom>
          <a:solidFill>
            <a:srgbClr val="FFFFCC"/>
          </a:solidFill>
          <a:ln w="9525">
            <a:solidFill>
              <a:srgbClr val="000000"/>
            </a:solidFill>
            <a:round/>
            <a:headEnd/>
            <a:tailEnd/>
          </a:ln>
        </xdr:spPr>
      </xdr:sp>
      <xdr:sp macro="" textlink="">
        <xdr:nvSpPr>
          <xdr:cNvPr id="17091" name="Text Box 707">
            <a:extLst>
              <a:ext uri="{FF2B5EF4-FFF2-40B4-BE49-F238E27FC236}">
                <a16:creationId xmlns:a16="http://schemas.microsoft.com/office/drawing/2014/main" id="{00000000-0008-0000-0900-0000C3420000}"/>
              </a:ext>
            </a:extLst>
          </xdr:cNvPr>
          <xdr:cNvSpPr txBox="1">
            <a:spLocks noChangeArrowheads="1"/>
          </xdr:cNvSpPr>
        </xdr:nvSpPr>
        <xdr:spPr bwMode="auto">
          <a:xfrm>
            <a:off x="267" y="5366"/>
            <a:ext cx="18"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13</a:t>
            </a:r>
          </a:p>
        </xdr:txBody>
      </xdr:sp>
    </xdr:grpSp>
    <xdr:clientData/>
  </xdr:twoCellAnchor>
  <xdr:twoCellAnchor>
    <xdr:from>
      <xdr:col>11</xdr:col>
      <xdr:colOff>276225</xdr:colOff>
      <xdr:row>289</xdr:row>
      <xdr:rowOff>123825</xdr:rowOff>
    </xdr:from>
    <xdr:to>
      <xdr:col>11</xdr:col>
      <xdr:colOff>523875</xdr:colOff>
      <xdr:row>291</xdr:row>
      <xdr:rowOff>57150</xdr:rowOff>
    </xdr:to>
    <xdr:grpSp>
      <xdr:nvGrpSpPr>
        <xdr:cNvPr id="17343" name="Group 708">
          <a:extLst>
            <a:ext uri="{FF2B5EF4-FFF2-40B4-BE49-F238E27FC236}">
              <a16:creationId xmlns:a16="http://schemas.microsoft.com/office/drawing/2014/main" id="{00000000-0008-0000-0900-0000BF430000}"/>
            </a:ext>
          </a:extLst>
        </xdr:cNvPr>
        <xdr:cNvGrpSpPr>
          <a:grpSpLocks/>
        </xdr:cNvGrpSpPr>
      </xdr:nvGrpSpPr>
      <xdr:grpSpPr bwMode="auto">
        <a:xfrm>
          <a:off x="6585585" y="48571785"/>
          <a:ext cx="247650" cy="268605"/>
          <a:chOff x="263" y="5366"/>
          <a:chExt cx="26" cy="27"/>
        </a:xfrm>
      </xdr:grpSpPr>
      <xdr:sp macro="" textlink="">
        <xdr:nvSpPr>
          <xdr:cNvPr id="17374" name="Oval 709">
            <a:extLst>
              <a:ext uri="{FF2B5EF4-FFF2-40B4-BE49-F238E27FC236}">
                <a16:creationId xmlns:a16="http://schemas.microsoft.com/office/drawing/2014/main" id="{00000000-0008-0000-0900-0000DE430000}"/>
              </a:ext>
            </a:extLst>
          </xdr:cNvPr>
          <xdr:cNvSpPr>
            <a:spLocks noChangeArrowheads="1"/>
          </xdr:cNvSpPr>
        </xdr:nvSpPr>
        <xdr:spPr bwMode="auto">
          <a:xfrm>
            <a:off x="263" y="5367"/>
            <a:ext cx="26" cy="26"/>
          </a:xfrm>
          <a:prstGeom prst="ellipse">
            <a:avLst/>
          </a:prstGeom>
          <a:solidFill>
            <a:srgbClr val="FFFFCC"/>
          </a:solidFill>
          <a:ln w="9525">
            <a:solidFill>
              <a:srgbClr val="000000"/>
            </a:solidFill>
            <a:round/>
            <a:headEnd/>
            <a:tailEnd/>
          </a:ln>
        </xdr:spPr>
      </xdr:sp>
      <xdr:sp macro="" textlink="">
        <xdr:nvSpPr>
          <xdr:cNvPr id="17094" name="Text Box 710">
            <a:extLst>
              <a:ext uri="{FF2B5EF4-FFF2-40B4-BE49-F238E27FC236}">
                <a16:creationId xmlns:a16="http://schemas.microsoft.com/office/drawing/2014/main" id="{00000000-0008-0000-0900-0000C6420000}"/>
              </a:ext>
            </a:extLst>
          </xdr:cNvPr>
          <xdr:cNvSpPr txBox="1">
            <a:spLocks noChangeArrowheads="1"/>
          </xdr:cNvSpPr>
        </xdr:nvSpPr>
        <xdr:spPr bwMode="auto">
          <a:xfrm>
            <a:off x="267" y="5366"/>
            <a:ext cx="18"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17</a:t>
            </a:r>
          </a:p>
        </xdr:txBody>
      </xdr:sp>
    </xdr:grpSp>
    <xdr:clientData/>
  </xdr:twoCellAnchor>
  <xdr:twoCellAnchor>
    <xdr:from>
      <xdr:col>4</xdr:col>
      <xdr:colOff>381000</xdr:colOff>
      <xdr:row>289</xdr:row>
      <xdr:rowOff>76200</xdr:rowOff>
    </xdr:from>
    <xdr:to>
      <xdr:col>5</xdr:col>
      <xdr:colOff>19050</xdr:colOff>
      <xdr:row>291</xdr:row>
      <xdr:rowOff>9525</xdr:rowOff>
    </xdr:to>
    <xdr:grpSp>
      <xdr:nvGrpSpPr>
        <xdr:cNvPr id="17344" name="Group 711">
          <a:extLst>
            <a:ext uri="{FF2B5EF4-FFF2-40B4-BE49-F238E27FC236}">
              <a16:creationId xmlns:a16="http://schemas.microsoft.com/office/drawing/2014/main" id="{00000000-0008-0000-0900-0000C0430000}"/>
            </a:ext>
          </a:extLst>
        </xdr:cNvPr>
        <xdr:cNvGrpSpPr>
          <a:grpSpLocks/>
        </xdr:cNvGrpSpPr>
      </xdr:nvGrpSpPr>
      <xdr:grpSpPr bwMode="auto">
        <a:xfrm>
          <a:off x="2819400" y="48524160"/>
          <a:ext cx="247650" cy="268605"/>
          <a:chOff x="263" y="5366"/>
          <a:chExt cx="26" cy="27"/>
        </a:xfrm>
      </xdr:grpSpPr>
      <xdr:sp macro="" textlink="">
        <xdr:nvSpPr>
          <xdr:cNvPr id="17372" name="Oval 712">
            <a:extLst>
              <a:ext uri="{FF2B5EF4-FFF2-40B4-BE49-F238E27FC236}">
                <a16:creationId xmlns:a16="http://schemas.microsoft.com/office/drawing/2014/main" id="{00000000-0008-0000-0900-0000DC430000}"/>
              </a:ext>
            </a:extLst>
          </xdr:cNvPr>
          <xdr:cNvSpPr>
            <a:spLocks noChangeArrowheads="1"/>
          </xdr:cNvSpPr>
        </xdr:nvSpPr>
        <xdr:spPr bwMode="auto">
          <a:xfrm>
            <a:off x="263" y="5367"/>
            <a:ext cx="26" cy="26"/>
          </a:xfrm>
          <a:prstGeom prst="ellipse">
            <a:avLst/>
          </a:prstGeom>
          <a:solidFill>
            <a:srgbClr val="FFFFCC"/>
          </a:solidFill>
          <a:ln w="9525">
            <a:solidFill>
              <a:srgbClr val="000000"/>
            </a:solidFill>
            <a:round/>
            <a:headEnd/>
            <a:tailEnd/>
          </a:ln>
        </xdr:spPr>
      </xdr:sp>
      <xdr:sp macro="" textlink="">
        <xdr:nvSpPr>
          <xdr:cNvPr id="17097" name="Text Box 713">
            <a:extLst>
              <a:ext uri="{FF2B5EF4-FFF2-40B4-BE49-F238E27FC236}">
                <a16:creationId xmlns:a16="http://schemas.microsoft.com/office/drawing/2014/main" id="{00000000-0008-0000-0900-0000C9420000}"/>
              </a:ext>
            </a:extLst>
          </xdr:cNvPr>
          <xdr:cNvSpPr txBox="1">
            <a:spLocks noChangeArrowheads="1"/>
          </xdr:cNvSpPr>
        </xdr:nvSpPr>
        <xdr:spPr bwMode="auto">
          <a:xfrm>
            <a:off x="267" y="5366"/>
            <a:ext cx="18"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14</a:t>
            </a:r>
          </a:p>
        </xdr:txBody>
      </xdr:sp>
    </xdr:grpSp>
    <xdr:clientData/>
  </xdr:twoCellAnchor>
  <xdr:twoCellAnchor>
    <xdr:from>
      <xdr:col>2</xdr:col>
      <xdr:colOff>561975</xdr:colOff>
      <xdr:row>250</xdr:row>
      <xdr:rowOff>104775</xdr:rowOff>
    </xdr:from>
    <xdr:to>
      <xdr:col>3</xdr:col>
      <xdr:colOff>200025</xdr:colOff>
      <xdr:row>252</xdr:row>
      <xdr:rowOff>38100</xdr:rowOff>
    </xdr:to>
    <xdr:grpSp>
      <xdr:nvGrpSpPr>
        <xdr:cNvPr id="17345" name="Group 714">
          <a:extLst>
            <a:ext uri="{FF2B5EF4-FFF2-40B4-BE49-F238E27FC236}">
              <a16:creationId xmlns:a16="http://schemas.microsoft.com/office/drawing/2014/main" id="{00000000-0008-0000-0900-0000C1430000}"/>
            </a:ext>
          </a:extLst>
        </xdr:cNvPr>
        <xdr:cNvGrpSpPr>
          <a:grpSpLocks/>
        </xdr:cNvGrpSpPr>
      </xdr:nvGrpSpPr>
      <xdr:grpSpPr bwMode="auto">
        <a:xfrm>
          <a:off x="1781175" y="42014775"/>
          <a:ext cx="247650" cy="268605"/>
          <a:chOff x="263" y="5366"/>
          <a:chExt cx="26" cy="27"/>
        </a:xfrm>
      </xdr:grpSpPr>
      <xdr:sp macro="" textlink="">
        <xdr:nvSpPr>
          <xdr:cNvPr id="17370" name="Oval 715">
            <a:extLst>
              <a:ext uri="{FF2B5EF4-FFF2-40B4-BE49-F238E27FC236}">
                <a16:creationId xmlns:a16="http://schemas.microsoft.com/office/drawing/2014/main" id="{00000000-0008-0000-0900-0000DA430000}"/>
              </a:ext>
            </a:extLst>
          </xdr:cNvPr>
          <xdr:cNvSpPr>
            <a:spLocks noChangeArrowheads="1"/>
          </xdr:cNvSpPr>
        </xdr:nvSpPr>
        <xdr:spPr bwMode="auto">
          <a:xfrm>
            <a:off x="263" y="5367"/>
            <a:ext cx="26" cy="26"/>
          </a:xfrm>
          <a:prstGeom prst="ellipse">
            <a:avLst/>
          </a:prstGeom>
          <a:solidFill>
            <a:srgbClr val="FFFFCC"/>
          </a:solidFill>
          <a:ln w="9525">
            <a:solidFill>
              <a:srgbClr val="000000"/>
            </a:solidFill>
            <a:round/>
            <a:headEnd/>
            <a:tailEnd/>
          </a:ln>
        </xdr:spPr>
      </xdr:sp>
      <xdr:sp macro="" textlink="">
        <xdr:nvSpPr>
          <xdr:cNvPr id="17100" name="Text Box 716">
            <a:extLst>
              <a:ext uri="{FF2B5EF4-FFF2-40B4-BE49-F238E27FC236}">
                <a16:creationId xmlns:a16="http://schemas.microsoft.com/office/drawing/2014/main" id="{00000000-0008-0000-0900-0000CC420000}"/>
              </a:ext>
            </a:extLst>
          </xdr:cNvPr>
          <xdr:cNvSpPr txBox="1">
            <a:spLocks noChangeArrowheads="1"/>
          </xdr:cNvSpPr>
        </xdr:nvSpPr>
        <xdr:spPr bwMode="auto">
          <a:xfrm>
            <a:off x="267" y="5366"/>
            <a:ext cx="18"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15</a:t>
            </a:r>
          </a:p>
        </xdr:txBody>
      </xdr:sp>
    </xdr:grpSp>
    <xdr:clientData/>
  </xdr:twoCellAnchor>
  <xdr:twoCellAnchor>
    <xdr:from>
      <xdr:col>2</xdr:col>
      <xdr:colOff>323850</xdr:colOff>
      <xdr:row>250</xdr:row>
      <xdr:rowOff>95250</xdr:rowOff>
    </xdr:from>
    <xdr:to>
      <xdr:col>2</xdr:col>
      <xdr:colOff>571500</xdr:colOff>
      <xdr:row>252</xdr:row>
      <xdr:rowOff>28575</xdr:rowOff>
    </xdr:to>
    <xdr:grpSp>
      <xdr:nvGrpSpPr>
        <xdr:cNvPr id="17346" name="Group 717">
          <a:extLst>
            <a:ext uri="{FF2B5EF4-FFF2-40B4-BE49-F238E27FC236}">
              <a16:creationId xmlns:a16="http://schemas.microsoft.com/office/drawing/2014/main" id="{00000000-0008-0000-0900-0000C2430000}"/>
            </a:ext>
          </a:extLst>
        </xdr:cNvPr>
        <xdr:cNvGrpSpPr>
          <a:grpSpLocks/>
        </xdr:cNvGrpSpPr>
      </xdr:nvGrpSpPr>
      <xdr:grpSpPr bwMode="auto">
        <a:xfrm>
          <a:off x="1543050" y="42005250"/>
          <a:ext cx="247650" cy="268605"/>
          <a:chOff x="263" y="5366"/>
          <a:chExt cx="26" cy="27"/>
        </a:xfrm>
      </xdr:grpSpPr>
      <xdr:sp macro="" textlink="">
        <xdr:nvSpPr>
          <xdr:cNvPr id="17368" name="Oval 718">
            <a:extLst>
              <a:ext uri="{FF2B5EF4-FFF2-40B4-BE49-F238E27FC236}">
                <a16:creationId xmlns:a16="http://schemas.microsoft.com/office/drawing/2014/main" id="{00000000-0008-0000-0900-0000D8430000}"/>
              </a:ext>
            </a:extLst>
          </xdr:cNvPr>
          <xdr:cNvSpPr>
            <a:spLocks noChangeArrowheads="1"/>
          </xdr:cNvSpPr>
        </xdr:nvSpPr>
        <xdr:spPr bwMode="auto">
          <a:xfrm>
            <a:off x="263" y="5367"/>
            <a:ext cx="26" cy="26"/>
          </a:xfrm>
          <a:prstGeom prst="ellipse">
            <a:avLst/>
          </a:prstGeom>
          <a:solidFill>
            <a:srgbClr val="FFFFCC"/>
          </a:solidFill>
          <a:ln w="9525">
            <a:solidFill>
              <a:srgbClr val="000000"/>
            </a:solidFill>
            <a:round/>
            <a:headEnd/>
            <a:tailEnd/>
          </a:ln>
        </xdr:spPr>
      </xdr:sp>
      <xdr:sp macro="" textlink="">
        <xdr:nvSpPr>
          <xdr:cNvPr id="17103" name="Text Box 719">
            <a:extLst>
              <a:ext uri="{FF2B5EF4-FFF2-40B4-BE49-F238E27FC236}">
                <a16:creationId xmlns:a16="http://schemas.microsoft.com/office/drawing/2014/main" id="{00000000-0008-0000-0900-0000CF420000}"/>
              </a:ext>
            </a:extLst>
          </xdr:cNvPr>
          <xdr:cNvSpPr txBox="1">
            <a:spLocks noChangeArrowheads="1"/>
          </xdr:cNvSpPr>
        </xdr:nvSpPr>
        <xdr:spPr bwMode="auto">
          <a:xfrm>
            <a:off x="267" y="5366"/>
            <a:ext cx="18"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12</a:t>
            </a:r>
          </a:p>
        </xdr:txBody>
      </xdr:sp>
    </xdr:grpSp>
    <xdr:clientData/>
  </xdr:twoCellAnchor>
  <xdr:twoCellAnchor>
    <xdr:from>
      <xdr:col>4</xdr:col>
      <xdr:colOff>314325</xdr:colOff>
      <xdr:row>249</xdr:row>
      <xdr:rowOff>95250</xdr:rowOff>
    </xdr:from>
    <xdr:to>
      <xdr:col>4</xdr:col>
      <xdr:colOff>561975</xdr:colOff>
      <xdr:row>251</xdr:row>
      <xdr:rowOff>28575</xdr:rowOff>
    </xdr:to>
    <xdr:grpSp>
      <xdr:nvGrpSpPr>
        <xdr:cNvPr id="17347" name="Group 720">
          <a:extLst>
            <a:ext uri="{FF2B5EF4-FFF2-40B4-BE49-F238E27FC236}">
              <a16:creationId xmlns:a16="http://schemas.microsoft.com/office/drawing/2014/main" id="{00000000-0008-0000-0900-0000C3430000}"/>
            </a:ext>
          </a:extLst>
        </xdr:cNvPr>
        <xdr:cNvGrpSpPr>
          <a:grpSpLocks/>
        </xdr:cNvGrpSpPr>
      </xdr:nvGrpSpPr>
      <xdr:grpSpPr bwMode="auto">
        <a:xfrm>
          <a:off x="2752725" y="41837610"/>
          <a:ext cx="247650" cy="268605"/>
          <a:chOff x="263" y="5366"/>
          <a:chExt cx="26" cy="27"/>
        </a:xfrm>
      </xdr:grpSpPr>
      <xdr:sp macro="" textlink="">
        <xdr:nvSpPr>
          <xdr:cNvPr id="17366" name="Oval 721">
            <a:extLst>
              <a:ext uri="{FF2B5EF4-FFF2-40B4-BE49-F238E27FC236}">
                <a16:creationId xmlns:a16="http://schemas.microsoft.com/office/drawing/2014/main" id="{00000000-0008-0000-0900-0000D6430000}"/>
              </a:ext>
            </a:extLst>
          </xdr:cNvPr>
          <xdr:cNvSpPr>
            <a:spLocks noChangeArrowheads="1"/>
          </xdr:cNvSpPr>
        </xdr:nvSpPr>
        <xdr:spPr bwMode="auto">
          <a:xfrm>
            <a:off x="263" y="5367"/>
            <a:ext cx="26" cy="26"/>
          </a:xfrm>
          <a:prstGeom prst="ellipse">
            <a:avLst/>
          </a:prstGeom>
          <a:solidFill>
            <a:srgbClr val="FFFFCC"/>
          </a:solidFill>
          <a:ln w="9525">
            <a:solidFill>
              <a:srgbClr val="000000"/>
            </a:solidFill>
            <a:round/>
            <a:headEnd/>
            <a:tailEnd/>
          </a:ln>
        </xdr:spPr>
      </xdr:sp>
      <xdr:sp macro="" textlink="">
        <xdr:nvSpPr>
          <xdr:cNvPr id="17106" name="Text Box 722">
            <a:extLst>
              <a:ext uri="{FF2B5EF4-FFF2-40B4-BE49-F238E27FC236}">
                <a16:creationId xmlns:a16="http://schemas.microsoft.com/office/drawing/2014/main" id="{00000000-0008-0000-0900-0000D2420000}"/>
              </a:ext>
            </a:extLst>
          </xdr:cNvPr>
          <xdr:cNvSpPr txBox="1">
            <a:spLocks noChangeArrowheads="1"/>
          </xdr:cNvSpPr>
        </xdr:nvSpPr>
        <xdr:spPr bwMode="auto">
          <a:xfrm>
            <a:off x="267" y="5366"/>
            <a:ext cx="18"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16</a:t>
            </a:r>
          </a:p>
        </xdr:txBody>
      </xdr:sp>
    </xdr:grpSp>
    <xdr:clientData/>
  </xdr:twoCellAnchor>
  <xdr:twoCellAnchor>
    <xdr:from>
      <xdr:col>4</xdr:col>
      <xdr:colOff>57150</xdr:colOff>
      <xdr:row>249</xdr:row>
      <xdr:rowOff>95250</xdr:rowOff>
    </xdr:from>
    <xdr:to>
      <xdr:col>4</xdr:col>
      <xdr:colOff>304800</xdr:colOff>
      <xdr:row>251</xdr:row>
      <xdr:rowOff>28575</xdr:rowOff>
    </xdr:to>
    <xdr:grpSp>
      <xdr:nvGrpSpPr>
        <xdr:cNvPr id="17348" name="Group 723">
          <a:extLst>
            <a:ext uri="{FF2B5EF4-FFF2-40B4-BE49-F238E27FC236}">
              <a16:creationId xmlns:a16="http://schemas.microsoft.com/office/drawing/2014/main" id="{00000000-0008-0000-0900-0000C4430000}"/>
            </a:ext>
          </a:extLst>
        </xdr:cNvPr>
        <xdr:cNvGrpSpPr>
          <a:grpSpLocks/>
        </xdr:cNvGrpSpPr>
      </xdr:nvGrpSpPr>
      <xdr:grpSpPr bwMode="auto">
        <a:xfrm>
          <a:off x="2495550" y="41837610"/>
          <a:ext cx="247650" cy="268605"/>
          <a:chOff x="263" y="5366"/>
          <a:chExt cx="26" cy="27"/>
        </a:xfrm>
      </xdr:grpSpPr>
      <xdr:sp macro="" textlink="">
        <xdr:nvSpPr>
          <xdr:cNvPr id="17364" name="Oval 724">
            <a:extLst>
              <a:ext uri="{FF2B5EF4-FFF2-40B4-BE49-F238E27FC236}">
                <a16:creationId xmlns:a16="http://schemas.microsoft.com/office/drawing/2014/main" id="{00000000-0008-0000-0900-0000D4430000}"/>
              </a:ext>
            </a:extLst>
          </xdr:cNvPr>
          <xdr:cNvSpPr>
            <a:spLocks noChangeArrowheads="1"/>
          </xdr:cNvSpPr>
        </xdr:nvSpPr>
        <xdr:spPr bwMode="auto">
          <a:xfrm>
            <a:off x="263" y="5367"/>
            <a:ext cx="26" cy="26"/>
          </a:xfrm>
          <a:prstGeom prst="ellipse">
            <a:avLst/>
          </a:prstGeom>
          <a:solidFill>
            <a:srgbClr val="FFFFCC"/>
          </a:solidFill>
          <a:ln w="9525">
            <a:solidFill>
              <a:srgbClr val="000000"/>
            </a:solidFill>
            <a:round/>
            <a:headEnd/>
            <a:tailEnd/>
          </a:ln>
        </xdr:spPr>
      </xdr:sp>
      <xdr:sp macro="" textlink="">
        <xdr:nvSpPr>
          <xdr:cNvPr id="17109" name="Text Box 725">
            <a:extLst>
              <a:ext uri="{FF2B5EF4-FFF2-40B4-BE49-F238E27FC236}">
                <a16:creationId xmlns:a16="http://schemas.microsoft.com/office/drawing/2014/main" id="{00000000-0008-0000-0900-0000D5420000}"/>
              </a:ext>
            </a:extLst>
          </xdr:cNvPr>
          <xdr:cNvSpPr txBox="1">
            <a:spLocks noChangeArrowheads="1"/>
          </xdr:cNvSpPr>
        </xdr:nvSpPr>
        <xdr:spPr bwMode="auto">
          <a:xfrm>
            <a:off x="267" y="5366"/>
            <a:ext cx="18" cy="27"/>
          </a:xfrm>
          <a:prstGeom prst="rect">
            <a:avLst/>
          </a:prstGeom>
          <a:noFill/>
          <a:ln w="9525">
            <a:noFill/>
            <a:miter lim="800000"/>
            <a:headEnd/>
            <a:tailEnd/>
          </a:ln>
          <a:effectLst/>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13</a:t>
            </a:r>
          </a:p>
        </xdr:txBody>
      </xdr:sp>
    </xdr:grpSp>
    <xdr:clientData/>
  </xdr:twoCellAnchor>
  <xdr:twoCellAnchor>
    <xdr:from>
      <xdr:col>4</xdr:col>
      <xdr:colOff>485775</xdr:colOff>
      <xdr:row>28</xdr:row>
      <xdr:rowOff>95250</xdr:rowOff>
    </xdr:from>
    <xdr:to>
      <xdr:col>10</xdr:col>
      <xdr:colOff>76200</xdr:colOff>
      <xdr:row>33</xdr:row>
      <xdr:rowOff>95250</xdr:rowOff>
    </xdr:to>
    <xdr:sp macro="" textlink="">
      <xdr:nvSpPr>
        <xdr:cNvPr id="17114" name="Text Box 730">
          <a:extLst>
            <a:ext uri="{FF2B5EF4-FFF2-40B4-BE49-F238E27FC236}">
              <a16:creationId xmlns:a16="http://schemas.microsoft.com/office/drawing/2014/main" id="{00000000-0008-0000-0900-0000DA420000}"/>
            </a:ext>
          </a:extLst>
        </xdr:cNvPr>
        <xdr:cNvSpPr txBox="1">
          <a:spLocks noChangeArrowheads="1"/>
        </xdr:cNvSpPr>
      </xdr:nvSpPr>
      <xdr:spPr bwMode="auto">
        <a:xfrm>
          <a:off x="2924175" y="4629150"/>
          <a:ext cx="2847975" cy="809625"/>
        </a:xfrm>
        <a:prstGeom prst="rect">
          <a:avLst/>
        </a:prstGeom>
        <a:solidFill>
          <a:srgbClr val="FFFFCC"/>
        </a:solidFill>
        <a:ln w="9525">
          <a:solidFill>
            <a:srgbClr val="000000"/>
          </a:solidFill>
          <a:miter lim="800000"/>
          <a:headEnd/>
          <a:tailEnd/>
        </a:ln>
        <a:effectLst/>
      </xdr:spPr>
      <xdr:txBody>
        <a:bodyPr vertOverflow="clip" wrap="square" lIns="27432" tIns="22860" rIns="0" bIns="0" anchor="t" upright="1"/>
        <a:lstStyle/>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Calculate the dissolved contaminant concentration at the weir based on equilibrium partitioning, Ceff</a:t>
          </a:r>
          <a:r>
            <a:rPr lang="en-US" sz="800" b="0" i="0" u="none" strike="noStrike" baseline="-25000">
              <a:solidFill>
                <a:srgbClr val="000000"/>
              </a:solidFill>
              <a:latin typeface="Arial"/>
              <a:cs typeface="Arial"/>
            </a:rPr>
            <a:t>1</a:t>
          </a:r>
          <a:r>
            <a:rPr lang="en-US" sz="800" b="0" i="0" u="none" strike="noStrike" baseline="0">
              <a:solidFill>
                <a:srgbClr val="000000"/>
              </a:solidFill>
              <a:latin typeface="Arial"/>
              <a:cs typeface="Arial"/>
            </a:rPr>
            <a:t> (</a:t>
          </a:r>
          <a:r>
            <a:rPr lang="el-GR" sz="800" b="0" i="0" u="none" strike="noStrike" baseline="0">
              <a:solidFill>
                <a:srgbClr val="000000"/>
              </a:solidFill>
              <a:latin typeface="Arial"/>
              <a:cs typeface="Arial"/>
            </a:rPr>
            <a:t>μ</a:t>
          </a:r>
          <a:r>
            <a:rPr lang="en-US" sz="800" b="0" i="0" u="none" strike="noStrike" baseline="0">
              <a:solidFill>
                <a:srgbClr val="000000"/>
              </a:solidFill>
              <a:latin typeface="Arial"/>
              <a:cs typeface="Arial"/>
            </a:rPr>
            <a:t>g/L).</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a:t>
          </a:r>
          <a:r>
            <a:rPr lang="en-US" sz="800" b="0" i="0" u="none" strike="noStrike" baseline="-25000">
              <a:solidFill>
                <a:srgbClr val="000000"/>
              </a:solidFill>
              <a:latin typeface="Arial"/>
              <a:cs typeface="Arial"/>
            </a:rPr>
            <a:t>eff1 </a:t>
          </a:r>
          <a:r>
            <a:rPr lang="en-US" sz="800" b="0" i="0" u="none" strike="noStrike" baseline="0">
              <a:solidFill>
                <a:srgbClr val="000000"/>
              </a:solidFill>
              <a:latin typeface="Arial"/>
              <a:cs typeface="Arial"/>
            </a:rPr>
            <a:t>= (q*</a:t>
          </a:r>
          <a:r>
            <a:rPr lang="en-US" sz="800" b="0" i="0" u="none" strike="noStrike" baseline="-25000">
              <a:solidFill>
                <a:srgbClr val="000000"/>
              </a:solidFill>
              <a:latin typeface="Arial"/>
              <a:cs typeface="Arial"/>
            </a:rPr>
            <a:t>sl</a:t>
          </a:r>
          <a:r>
            <a:rPr lang="en-US" sz="800" b="0" i="0" u="none" strike="noStrike" baseline="0">
              <a:solidFill>
                <a:srgbClr val="000000"/>
              </a:solidFill>
              <a:latin typeface="Arial"/>
              <a:cs typeface="Arial"/>
            </a:rPr>
            <a:t> *(1 - n</a:t>
          </a:r>
          <a:r>
            <a:rPr lang="en-US" sz="800" b="0" i="0" u="none" strike="noStrike" baseline="-25000">
              <a:solidFill>
                <a:srgbClr val="000000"/>
              </a:solidFill>
              <a:latin typeface="Arial"/>
              <a:cs typeface="Arial"/>
            </a:rPr>
            <a:t>sl</a:t>
          </a:r>
          <a:r>
            <a:rPr lang="en-US" sz="800" b="0" i="0" u="none" strike="noStrike" baseline="0">
              <a:solidFill>
                <a:srgbClr val="000000"/>
              </a:solidFill>
              <a:latin typeface="Arial"/>
              <a:cs typeface="Arial"/>
            </a:rPr>
            <a:t>)*SG*</a:t>
          </a:r>
          <a:r>
            <a:rPr lang="el-GR" sz="800" b="0" i="1" u="none" strike="noStrike" baseline="0">
              <a:solidFill>
                <a:srgbClr val="000000"/>
              </a:solidFill>
              <a:latin typeface="Arial"/>
              <a:cs typeface="Arial"/>
            </a:rPr>
            <a:t>ρ</a:t>
          </a:r>
          <a:r>
            <a:rPr lang="en-US" sz="800" b="0" i="0" u="none" strike="noStrike" baseline="-25000">
              <a:solidFill>
                <a:srgbClr val="000000"/>
              </a:solidFill>
              <a:latin typeface="Arial"/>
              <a:cs typeface="Arial"/>
            </a:rPr>
            <a:t>w</a:t>
          </a:r>
          <a:r>
            <a:rPr lang="en-US" sz="800" b="0" i="0" u="none" strike="noStrike" baseline="0">
              <a:solidFill>
                <a:srgbClr val="000000"/>
              </a:solidFill>
              <a:latin typeface="Arial"/>
              <a:cs typeface="Arial"/>
            </a:rPr>
            <a:t>*1000)/(n</a:t>
          </a:r>
          <a:r>
            <a:rPr lang="en-US" sz="800" b="0" i="0" u="none" strike="noStrike" baseline="-25000">
              <a:solidFill>
                <a:srgbClr val="000000"/>
              </a:solidFill>
              <a:latin typeface="Arial"/>
              <a:cs typeface="Arial"/>
            </a:rPr>
            <a:t>sl</a:t>
          </a:r>
          <a:r>
            <a:rPr lang="en-US" sz="800" b="0" i="0" u="none" strike="noStrike" baseline="0">
              <a:solidFill>
                <a:srgbClr val="000000"/>
              </a:solidFill>
              <a:latin typeface="Arial"/>
              <a:cs typeface="Arial"/>
            </a:rPr>
            <a:t> + (1 - n</a:t>
          </a:r>
          <a:r>
            <a:rPr lang="en-US" sz="800" b="0" i="0" u="none" strike="noStrike" baseline="-25000">
              <a:solidFill>
                <a:srgbClr val="000000"/>
              </a:solidFill>
              <a:latin typeface="Arial"/>
              <a:cs typeface="Arial"/>
            </a:rPr>
            <a:t>sl</a:t>
          </a:r>
          <a:r>
            <a:rPr lang="en-US" sz="800" b="0" i="0" u="none" strike="noStrike" baseline="0">
              <a:solidFill>
                <a:srgbClr val="000000"/>
              </a:solidFill>
              <a:latin typeface="Arial"/>
              <a:cs typeface="Arial"/>
            </a:rPr>
            <a:t>)*SG*</a:t>
          </a:r>
          <a:r>
            <a:rPr lang="el-GR" sz="800" b="0" i="1" u="none" strike="noStrike" baseline="0">
              <a:solidFill>
                <a:srgbClr val="000000"/>
              </a:solidFill>
              <a:latin typeface="Arial"/>
              <a:cs typeface="Arial"/>
            </a:rPr>
            <a:t>ρ</a:t>
          </a:r>
          <a:r>
            <a:rPr lang="en-US" sz="800" b="0" i="0" u="none" strike="noStrike" baseline="-25000">
              <a:solidFill>
                <a:srgbClr val="000000"/>
              </a:solidFill>
              <a:latin typeface="Arial"/>
              <a:cs typeface="Arial"/>
            </a:rPr>
            <a:t>w</a:t>
          </a:r>
          <a:r>
            <a:rPr lang="en-US" sz="800" b="0" i="0" u="none" strike="noStrike" baseline="0">
              <a:solidFill>
                <a:srgbClr val="000000"/>
              </a:solidFill>
              <a:latin typeface="Arial"/>
              <a:cs typeface="Arial"/>
            </a:rPr>
            <a:t>*K</a:t>
          </a:r>
          <a:r>
            <a:rPr lang="en-US" sz="800" b="0" i="0" u="none" strike="noStrike" baseline="-25000">
              <a:solidFill>
                <a:srgbClr val="000000"/>
              </a:solidFill>
              <a:latin typeface="Arial"/>
              <a:cs typeface="Arial"/>
            </a:rPr>
            <a:t>d</a:t>
          </a:r>
          <a:r>
            <a:rPr lang="en-US" sz="800" b="0" i="0" u="none" strike="noStrike" baseline="0">
              <a:solidFill>
                <a:srgbClr val="000000"/>
              </a:solidFill>
              <a:latin typeface="Arial"/>
              <a:cs typeface="Arial"/>
            </a:rPr>
            <a:t>)</a:t>
          </a:r>
        </a:p>
      </xdr:txBody>
    </xdr:sp>
    <xdr:clientData/>
  </xdr:twoCellAnchor>
  <xdr:twoCellAnchor>
    <xdr:from>
      <xdr:col>4</xdr:col>
      <xdr:colOff>542925</xdr:colOff>
      <xdr:row>28</xdr:row>
      <xdr:rowOff>142875</xdr:rowOff>
    </xdr:from>
    <xdr:to>
      <xdr:col>5</xdr:col>
      <xdr:colOff>152400</xdr:colOff>
      <xdr:row>30</xdr:row>
      <xdr:rowOff>47625</xdr:rowOff>
    </xdr:to>
    <xdr:sp macro="" textlink="">
      <xdr:nvSpPr>
        <xdr:cNvPr id="17115" name="Oval 731">
          <a:extLst>
            <a:ext uri="{FF2B5EF4-FFF2-40B4-BE49-F238E27FC236}">
              <a16:creationId xmlns:a16="http://schemas.microsoft.com/office/drawing/2014/main" id="{00000000-0008-0000-0900-0000DB420000}"/>
            </a:ext>
          </a:extLst>
        </xdr:cNvPr>
        <xdr:cNvSpPr>
          <a:spLocks noChangeArrowheads="1"/>
        </xdr:cNvSpPr>
      </xdr:nvSpPr>
      <xdr:spPr bwMode="auto">
        <a:xfrm>
          <a:off x="2981325" y="4676775"/>
          <a:ext cx="219075" cy="228600"/>
        </a:xfrm>
        <a:prstGeom prst="ellipse">
          <a:avLst/>
        </a:prstGeom>
        <a:solidFill>
          <a:srgbClr val="FFFFCC"/>
        </a:solidFill>
        <a:ln w="9525">
          <a:solidFill>
            <a:srgbClr val="000000"/>
          </a:solidFill>
          <a:round/>
          <a:headEnd/>
          <a:tailEnd/>
        </a:ln>
        <a:effectLst/>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 3</a:t>
          </a:r>
        </a:p>
      </xdr:txBody>
    </xdr:sp>
    <xdr:clientData/>
  </xdr:twoCellAnchor>
  <xdr:twoCellAnchor>
    <xdr:from>
      <xdr:col>10</xdr:col>
      <xdr:colOff>66675</xdr:colOff>
      <xdr:row>23</xdr:row>
      <xdr:rowOff>133350</xdr:rowOff>
    </xdr:from>
    <xdr:to>
      <xdr:col>11</xdr:col>
      <xdr:colOff>142875</xdr:colOff>
      <xdr:row>23</xdr:row>
      <xdr:rowOff>133350</xdr:rowOff>
    </xdr:to>
    <xdr:sp macro="" textlink="">
      <xdr:nvSpPr>
        <xdr:cNvPr id="17351" name="Line 734">
          <a:extLst>
            <a:ext uri="{FF2B5EF4-FFF2-40B4-BE49-F238E27FC236}">
              <a16:creationId xmlns:a16="http://schemas.microsoft.com/office/drawing/2014/main" id="{00000000-0008-0000-0900-0000C7430000}"/>
            </a:ext>
          </a:extLst>
        </xdr:cNvPr>
        <xdr:cNvSpPr>
          <a:spLocks noChangeShapeType="1"/>
        </xdr:cNvSpPr>
      </xdr:nvSpPr>
      <xdr:spPr bwMode="auto">
        <a:xfrm>
          <a:off x="5762625" y="3857625"/>
          <a:ext cx="685800" cy="0"/>
        </a:xfrm>
        <a:prstGeom prst="line">
          <a:avLst/>
        </a:prstGeom>
        <a:noFill/>
        <a:ln w="9525">
          <a:solidFill>
            <a:srgbClr val="000000"/>
          </a:solidFill>
          <a:round/>
          <a:headEnd type="stealth" w="med" len="med"/>
          <a:tailEnd type="stealth" w="med" len="med"/>
        </a:ln>
      </xdr:spPr>
    </xdr:sp>
    <xdr:clientData/>
  </xdr:twoCellAnchor>
  <xdr:twoCellAnchor>
    <xdr:from>
      <xdr:col>10</xdr:col>
      <xdr:colOff>428625</xdr:colOff>
      <xdr:row>19</xdr:row>
      <xdr:rowOff>28575</xdr:rowOff>
    </xdr:from>
    <xdr:to>
      <xdr:col>10</xdr:col>
      <xdr:colOff>428625</xdr:colOff>
      <xdr:row>23</xdr:row>
      <xdr:rowOff>123825</xdr:rowOff>
    </xdr:to>
    <xdr:sp macro="" textlink="">
      <xdr:nvSpPr>
        <xdr:cNvPr id="17352" name="Line 736">
          <a:extLst>
            <a:ext uri="{FF2B5EF4-FFF2-40B4-BE49-F238E27FC236}">
              <a16:creationId xmlns:a16="http://schemas.microsoft.com/office/drawing/2014/main" id="{00000000-0008-0000-0900-0000C8430000}"/>
            </a:ext>
          </a:extLst>
        </xdr:cNvPr>
        <xdr:cNvSpPr>
          <a:spLocks noChangeShapeType="1"/>
        </xdr:cNvSpPr>
      </xdr:nvSpPr>
      <xdr:spPr bwMode="auto">
        <a:xfrm>
          <a:off x="6124575" y="3105150"/>
          <a:ext cx="0" cy="742950"/>
        </a:xfrm>
        <a:prstGeom prst="line">
          <a:avLst/>
        </a:prstGeom>
        <a:noFill/>
        <a:ln w="9525">
          <a:solidFill>
            <a:srgbClr val="000000"/>
          </a:solidFill>
          <a:round/>
          <a:headEnd/>
          <a:tailEnd/>
        </a:ln>
      </xdr:spPr>
    </xdr:sp>
    <xdr:clientData/>
  </xdr:twoCellAnchor>
  <xdr:twoCellAnchor>
    <xdr:from>
      <xdr:col>7</xdr:col>
      <xdr:colOff>552450</xdr:colOff>
      <xdr:row>26</xdr:row>
      <xdr:rowOff>104775</xdr:rowOff>
    </xdr:from>
    <xdr:to>
      <xdr:col>7</xdr:col>
      <xdr:colOff>552450</xdr:colOff>
      <xdr:row>28</xdr:row>
      <xdr:rowOff>85725</xdr:rowOff>
    </xdr:to>
    <xdr:sp macro="" textlink="">
      <xdr:nvSpPr>
        <xdr:cNvPr id="17353" name="Line 737">
          <a:extLst>
            <a:ext uri="{FF2B5EF4-FFF2-40B4-BE49-F238E27FC236}">
              <a16:creationId xmlns:a16="http://schemas.microsoft.com/office/drawing/2014/main" id="{00000000-0008-0000-0900-0000C9430000}"/>
            </a:ext>
          </a:extLst>
        </xdr:cNvPr>
        <xdr:cNvSpPr>
          <a:spLocks noChangeShapeType="1"/>
        </xdr:cNvSpPr>
      </xdr:nvSpPr>
      <xdr:spPr bwMode="auto">
        <a:xfrm>
          <a:off x="4419600" y="4314825"/>
          <a:ext cx="0" cy="304800"/>
        </a:xfrm>
        <a:prstGeom prst="line">
          <a:avLst/>
        </a:prstGeom>
        <a:noFill/>
        <a:ln w="9525">
          <a:solidFill>
            <a:srgbClr val="000000"/>
          </a:solidFill>
          <a:round/>
          <a:headEnd/>
          <a:tailEnd type="stealth" w="med" len="med"/>
        </a:ln>
      </xdr:spPr>
    </xdr:sp>
    <xdr:clientData/>
  </xdr:twoCellAnchor>
  <xdr:twoCellAnchor>
    <xdr:from>
      <xdr:col>10</xdr:col>
      <xdr:colOff>447675</xdr:colOff>
      <xdr:row>40</xdr:row>
      <xdr:rowOff>66675</xdr:rowOff>
    </xdr:from>
    <xdr:to>
      <xdr:col>10</xdr:col>
      <xdr:colOff>457200</xdr:colOff>
      <xdr:row>43</xdr:row>
      <xdr:rowOff>57150</xdr:rowOff>
    </xdr:to>
    <xdr:sp macro="" textlink="">
      <xdr:nvSpPr>
        <xdr:cNvPr id="17354" name="Line 739">
          <a:extLst>
            <a:ext uri="{FF2B5EF4-FFF2-40B4-BE49-F238E27FC236}">
              <a16:creationId xmlns:a16="http://schemas.microsoft.com/office/drawing/2014/main" id="{00000000-0008-0000-0900-0000CA430000}"/>
            </a:ext>
          </a:extLst>
        </xdr:cNvPr>
        <xdr:cNvSpPr>
          <a:spLocks noChangeShapeType="1"/>
        </xdr:cNvSpPr>
      </xdr:nvSpPr>
      <xdr:spPr bwMode="auto">
        <a:xfrm>
          <a:off x="6143625" y="6543675"/>
          <a:ext cx="9525" cy="476250"/>
        </a:xfrm>
        <a:prstGeom prst="line">
          <a:avLst/>
        </a:prstGeom>
        <a:noFill/>
        <a:ln w="9525">
          <a:solidFill>
            <a:srgbClr val="000000"/>
          </a:solidFill>
          <a:round/>
          <a:headEnd/>
          <a:tailEnd type="stealth" w="med" len="med"/>
        </a:ln>
      </xdr:spPr>
    </xdr:sp>
    <xdr:clientData/>
  </xdr:twoCellAnchor>
  <xdr:twoCellAnchor>
    <xdr:from>
      <xdr:col>6</xdr:col>
      <xdr:colOff>104775</xdr:colOff>
      <xdr:row>97</xdr:row>
      <xdr:rowOff>104775</xdr:rowOff>
    </xdr:from>
    <xdr:to>
      <xdr:col>6</xdr:col>
      <xdr:colOff>371475</xdr:colOff>
      <xdr:row>99</xdr:row>
      <xdr:rowOff>28575</xdr:rowOff>
    </xdr:to>
    <xdr:sp macro="" textlink="">
      <xdr:nvSpPr>
        <xdr:cNvPr id="17124" name="Oval 740">
          <a:extLst>
            <a:ext uri="{FF2B5EF4-FFF2-40B4-BE49-F238E27FC236}">
              <a16:creationId xmlns:a16="http://schemas.microsoft.com/office/drawing/2014/main" id="{00000000-0008-0000-0900-0000E4420000}"/>
            </a:ext>
          </a:extLst>
        </xdr:cNvPr>
        <xdr:cNvSpPr>
          <a:spLocks noChangeArrowheads="1"/>
        </xdr:cNvSpPr>
      </xdr:nvSpPr>
      <xdr:spPr bwMode="auto">
        <a:xfrm>
          <a:off x="3362325" y="15811500"/>
          <a:ext cx="266700" cy="247650"/>
        </a:xfrm>
        <a:prstGeom prst="ellipse">
          <a:avLst/>
        </a:prstGeom>
        <a:solidFill>
          <a:srgbClr val="FFFFCC"/>
        </a:solidFill>
        <a:ln w="9525">
          <a:solidFill>
            <a:srgbClr val="000000"/>
          </a:solidFill>
          <a:round/>
          <a:headEnd/>
          <a:tailEnd/>
        </a:ln>
        <a:effectLst/>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3b</a:t>
          </a:r>
        </a:p>
      </xdr:txBody>
    </xdr:sp>
    <xdr:clientData/>
  </xdr:twoCellAnchor>
  <xdr:twoCellAnchor>
    <xdr:from>
      <xdr:col>10</xdr:col>
      <xdr:colOff>180975</xdr:colOff>
      <xdr:row>143</xdr:row>
      <xdr:rowOff>114300</xdr:rowOff>
    </xdr:from>
    <xdr:to>
      <xdr:col>10</xdr:col>
      <xdr:colOff>180975</xdr:colOff>
      <xdr:row>145</xdr:row>
      <xdr:rowOff>104775</xdr:rowOff>
    </xdr:to>
    <xdr:sp macro="" textlink="">
      <xdr:nvSpPr>
        <xdr:cNvPr id="17356" name="Line 742">
          <a:extLst>
            <a:ext uri="{FF2B5EF4-FFF2-40B4-BE49-F238E27FC236}">
              <a16:creationId xmlns:a16="http://schemas.microsoft.com/office/drawing/2014/main" id="{00000000-0008-0000-0900-0000CC430000}"/>
            </a:ext>
          </a:extLst>
        </xdr:cNvPr>
        <xdr:cNvSpPr>
          <a:spLocks noChangeShapeType="1"/>
        </xdr:cNvSpPr>
      </xdr:nvSpPr>
      <xdr:spPr bwMode="auto">
        <a:xfrm>
          <a:off x="5876925" y="23269575"/>
          <a:ext cx="0" cy="314325"/>
        </a:xfrm>
        <a:prstGeom prst="line">
          <a:avLst/>
        </a:prstGeom>
        <a:noFill/>
        <a:ln w="9525">
          <a:solidFill>
            <a:srgbClr val="000000"/>
          </a:solidFill>
          <a:round/>
          <a:headEnd/>
          <a:tailEnd type="stealth" w="med" len="med"/>
        </a:ln>
      </xdr:spPr>
    </xdr:sp>
    <xdr:clientData/>
  </xdr:twoCellAnchor>
  <xdr:twoCellAnchor>
    <xdr:from>
      <xdr:col>13</xdr:col>
      <xdr:colOff>438150</xdr:colOff>
      <xdr:row>26</xdr:row>
      <xdr:rowOff>76200</xdr:rowOff>
    </xdr:from>
    <xdr:to>
      <xdr:col>13</xdr:col>
      <xdr:colOff>438150</xdr:colOff>
      <xdr:row>28</xdr:row>
      <xdr:rowOff>85725</xdr:rowOff>
    </xdr:to>
    <xdr:sp macro="" textlink="">
      <xdr:nvSpPr>
        <xdr:cNvPr id="17357" name="Line 743">
          <a:extLst>
            <a:ext uri="{FF2B5EF4-FFF2-40B4-BE49-F238E27FC236}">
              <a16:creationId xmlns:a16="http://schemas.microsoft.com/office/drawing/2014/main" id="{00000000-0008-0000-0900-0000CD430000}"/>
            </a:ext>
          </a:extLst>
        </xdr:cNvPr>
        <xdr:cNvSpPr>
          <a:spLocks noChangeShapeType="1"/>
        </xdr:cNvSpPr>
      </xdr:nvSpPr>
      <xdr:spPr bwMode="auto">
        <a:xfrm flipH="1">
          <a:off x="7962900" y="4286250"/>
          <a:ext cx="0" cy="333375"/>
        </a:xfrm>
        <a:prstGeom prst="line">
          <a:avLst/>
        </a:prstGeom>
        <a:noFill/>
        <a:ln w="9525">
          <a:solidFill>
            <a:srgbClr val="000000"/>
          </a:solidFill>
          <a:round/>
          <a:headEnd/>
          <a:tailEnd type="stealth" w="med" len="med"/>
        </a:ln>
      </xdr:spPr>
    </xdr:sp>
    <xdr:clientData/>
  </xdr:twoCellAnchor>
  <xdr:twoCellAnchor>
    <xdr:from>
      <xdr:col>7</xdr:col>
      <xdr:colOff>523875</xdr:colOff>
      <xdr:row>188</xdr:row>
      <xdr:rowOff>123825</xdr:rowOff>
    </xdr:from>
    <xdr:to>
      <xdr:col>10</xdr:col>
      <xdr:colOff>466725</xdr:colOff>
      <xdr:row>191</xdr:row>
      <xdr:rowOff>19050</xdr:rowOff>
    </xdr:to>
    <xdr:cxnSp macro="">
      <xdr:nvCxnSpPr>
        <xdr:cNvPr id="17358" name="AutoShape 744">
          <a:extLst>
            <a:ext uri="{FF2B5EF4-FFF2-40B4-BE49-F238E27FC236}">
              <a16:creationId xmlns:a16="http://schemas.microsoft.com/office/drawing/2014/main" id="{00000000-0008-0000-0900-0000CE430000}"/>
            </a:ext>
          </a:extLst>
        </xdr:cNvPr>
        <xdr:cNvCxnSpPr>
          <a:cxnSpLocks noChangeShapeType="1"/>
          <a:stCxn id="16934" idx="2"/>
          <a:endCxn id="16937" idx="0"/>
        </xdr:cNvCxnSpPr>
      </xdr:nvCxnSpPr>
      <xdr:spPr bwMode="auto">
        <a:xfrm rot="5400000">
          <a:off x="5086350" y="29870400"/>
          <a:ext cx="381000" cy="1771650"/>
        </a:xfrm>
        <a:prstGeom prst="bentConnector3">
          <a:avLst>
            <a:gd name="adj1" fmla="val 47500"/>
          </a:avLst>
        </a:prstGeom>
        <a:noFill/>
        <a:ln w="9525">
          <a:solidFill>
            <a:srgbClr val="000000"/>
          </a:solidFill>
          <a:miter lim="800000"/>
          <a:headEnd/>
          <a:tailEnd type="stealth" w="med" len="med"/>
        </a:ln>
      </xdr:spPr>
    </xdr:cxnSp>
    <xdr:clientData/>
  </xdr:twoCellAnchor>
  <xdr:twoCellAnchor>
    <xdr:from>
      <xdr:col>10</xdr:col>
      <xdr:colOff>466725</xdr:colOff>
      <xdr:row>188</xdr:row>
      <xdr:rowOff>123825</xdr:rowOff>
    </xdr:from>
    <xdr:to>
      <xdr:col>13</xdr:col>
      <xdr:colOff>400050</xdr:colOff>
      <xdr:row>189</xdr:row>
      <xdr:rowOff>142875</xdr:rowOff>
    </xdr:to>
    <xdr:cxnSp macro="">
      <xdr:nvCxnSpPr>
        <xdr:cNvPr id="17359" name="AutoShape 745">
          <a:extLst>
            <a:ext uri="{FF2B5EF4-FFF2-40B4-BE49-F238E27FC236}">
              <a16:creationId xmlns:a16="http://schemas.microsoft.com/office/drawing/2014/main" id="{00000000-0008-0000-0900-0000CF430000}"/>
            </a:ext>
          </a:extLst>
        </xdr:cNvPr>
        <xdr:cNvCxnSpPr>
          <a:cxnSpLocks noChangeShapeType="1"/>
          <a:stCxn id="16934" idx="2"/>
        </xdr:cNvCxnSpPr>
      </xdr:nvCxnSpPr>
      <xdr:spPr bwMode="auto">
        <a:xfrm rot="16200000" flipH="1">
          <a:off x="6953250" y="29775150"/>
          <a:ext cx="180975" cy="1762125"/>
        </a:xfrm>
        <a:prstGeom prst="bentConnector2">
          <a:avLst/>
        </a:prstGeom>
        <a:noFill/>
        <a:ln w="9525">
          <a:solidFill>
            <a:srgbClr val="000000"/>
          </a:solidFill>
          <a:miter lim="800000"/>
          <a:headEnd/>
          <a:tailEnd/>
        </a:ln>
      </xdr:spPr>
    </xdr:cxnSp>
    <xdr:clientData/>
  </xdr:twoCellAnchor>
  <xdr:twoCellAnchor>
    <xdr:from>
      <xdr:col>13</xdr:col>
      <xdr:colOff>400050</xdr:colOff>
      <xdr:row>189</xdr:row>
      <xdr:rowOff>142875</xdr:rowOff>
    </xdr:from>
    <xdr:to>
      <xdr:col>13</xdr:col>
      <xdr:colOff>400050</xdr:colOff>
      <xdr:row>191</xdr:row>
      <xdr:rowOff>38100</xdr:rowOff>
    </xdr:to>
    <xdr:sp macro="" textlink="">
      <xdr:nvSpPr>
        <xdr:cNvPr id="17360" name="Line 746">
          <a:extLst>
            <a:ext uri="{FF2B5EF4-FFF2-40B4-BE49-F238E27FC236}">
              <a16:creationId xmlns:a16="http://schemas.microsoft.com/office/drawing/2014/main" id="{00000000-0008-0000-0900-0000D0430000}"/>
            </a:ext>
          </a:extLst>
        </xdr:cNvPr>
        <xdr:cNvSpPr>
          <a:spLocks noChangeShapeType="1"/>
        </xdr:cNvSpPr>
      </xdr:nvSpPr>
      <xdr:spPr bwMode="auto">
        <a:xfrm>
          <a:off x="7924800" y="30746700"/>
          <a:ext cx="0" cy="219075"/>
        </a:xfrm>
        <a:prstGeom prst="line">
          <a:avLst/>
        </a:prstGeom>
        <a:noFill/>
        <a:ln w="9525">
          <a:solidFill>
            <a:srgbClr val="000000"/>
          </a:solidFill>
          <a:round/>
          <a:headEnd/>
          <a:tailEnd type="stealth" w="med" len="med"/>
        </a:ln>
      </xdr:spPr>
    </xdr:sp>
    <xdr:clientData/>
  </xdr:twoCellAnchor>
  <xdr:twoCellAnchor>
    <xdr:from>
      <xdr:col>7</xdr:col>
      <xdr:colOff>523875</xdr:colOff>
      <xdr:row>197</xdr:row>
      <xdr:rowOff>123825</xdr:rowOff>
    </xdr:from>
    <xdr:to>
      <xdr:col>7</xdr:col>
      <xdr:colOff>523875</xdr:colOff>
      <xdr:row>198</xdr:row>
      <xdr:rowOff>123825</xdr:rowOff>
    </xdr:to>
    <xdr:sp macro="" textlink="">
      <xdr:nvSpPr>
        <xdr:cNvPr id="17361" name="Line 748">
          <a:extLst>
            <a:ext uri="{FF2B5EF4-FFF2-40B4-BE49-F238E27FC236}">
              <a16:creationId xmlns:a16="http://schemas.microsoft.com/office/drawing/2014/main" id="{00000000-0008-0000-0900-0000D1430000}"/>
            </a:ext>
          </a:extLst>
        </xdr:cNvPr>
        <xdr:cNvSpPr>
          <a:spLocks noChangeShapeType="1"/>
        </xdr:cNvSpPr>
      </xdr:nvSpPr>
      <xdr:spPr bwMode="auto">
        <a:xfrm>
          <a:off x="4391025" y="32023050"/>
          <a:ext cx="0" cy="161925"/>
        </a:xfrm>
        <a:prstGeom prst="line">
          <a:avLst/>
        </a:prstGeom>
        <a:noFill/>
        <a:ln w="9525">
          <a:solidFill>
            <a:srgbClr val="000000"/>
          </a:solidFill>
          <a:round/>
          <a:headEnd/>
          <a:tailEnd type="stealth" w="med" len="med"/>
        </a:ln>
      </xdr:spPr>
    </xdr:sp>
    <xdr:clientData/>
  </xdr:twoCellAnchor>
  <xdr:twoCellAnchor>
    <xdr:from>
      <xdr:col>13</xdr:col>
      <xdr:colOff>400050</xdr:colOff>
      <xdr:row>196</xdr:row>
      <xdr:rowOff>123825</xdr:rowOff>
    </xdr:from>
    <xdr:to>
      <xdr:col>13</xdr:col>
      <xdr:colOff>400050</xdr:colOff>
      <xdr:row>198</xdr:row>
      <xdr:rowOff>114300</xdr:rowOff>
    </xdr:to>
    <xdr:sp macro="" textlink="">
      <xdr:nvSpPr>
        <xdr:cNvPr id="17362" name="Line 749">
          <a:extLst>
            <a:ext uri="{FF2B5EF4-FFF2-40B4-BE49-F238E27FC236}">
              <a16:creationId xmlns:a16="http://schemas.microsoft.com/office/drawing/2014/main" id="{00000000-0008-0000-0900-0000D2430000}"/>
            </a:ext>
          </a:extLst>
        </xdr:cNvPr>
        <xdr:cNvSpPr>
          <a:spLocks noChangeShapeType="1"/>
        </xdr:cNvSpPr>
      </xdr:nvSpPr>
      <xdr:spPr bwMode="auto">
        <a:xfrm>
          <a:off x="7924800" y="31861125"/>
          <a:ext cx="0" cy="314325"/>
        </a:xfrm>
        <a:prstGeom prst="line">
          <a:avLst/>
        </a:prstGeom>
        <a:noFill/>
        <a:ln w="9525">
          <a:solidFill>
            <a:srgbClr val="000000"/>
          </a:solidFill>
          <a:round/>
          <a:headEnd/>
          <a:tailEnd type="stealth" w="med" len="med"/>
        </a:ln>
      </xdr:spPr>
    </xdr:sp>
    <xdr:clientData/>
  </xdr:twoCellAnchor>
  <xdr:twoCellAnchor>
    <xdr:from>
      <xdr:col>10</xdr:col>
      <xdr:colOff>276225</xdr:colOff>
      <xdr:row>210</xdr:row>
      <xdr:rowOff>38100</xdr:rowOff>
    </xdr:from>
    <xdr:to>
      <xdr:col>10</xdr:col>
      <xdr:colOff>276225</xdr:colOff>
      <xdr:row>211</xdr:row>
      <xdr:rowOff>66675</xdr:rowOff>
    </xdr:to>
    <xdr:sp macro="" textlink="">
      <xdr:nvSpPr>
        <xdr:cNvPr id="17363" name="Line 750">
          <a:extLst>
            <a:ext uri="{FF2B5EF4-FFF2-40B4-BE49-F238E27FC236}">
              <a16:creationId xmlns:a16="http://schemas.microsoft.com/office/drawing/2014/main" id="{00000000-0008-0000-0900-0000D3430000}"/>
            </a:ext>
          </a:extLst>
        </xdr:cNvPr>
        <xdr:cNvSpPr>
          <a:spLocks noChangeShapeType="1"/>
        </xdr:cNvSpPr>
      </xdr:nvSpPr>
      <xdr:spPr bwMode="auto">
        <a:xfrm>
          <a:off x="5972175" y="34042350"/>
          <a:ext cx="0" cy="190500"/>
        </a:xfrm>
        <a:prstGeom prst="line">
          <a:avLst/>
        </a:prstGeom>
        <a:noFill/>
        <a:ln w="9525">
          <a:solidFill>
            <a:srgbClr val="000000"/>
          </a:solidFill>
          <a:round/>
          <a:headEnd/>
          <a:tailEnd type="stealth" w="med" len="me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104775</xdr:colOff>
      <xdr:row>0</xdr:row>
      <xdr:rowOff>38100</xdr:rowOff>
    </xdr:from>
    <xdr:to>
      <xdr:col>4</xdr:col>
      <xdr:colOff>323850</xdr:colOff>
      <xdr:row>2</xdr:row>
      <xdr:rowOff>142875</xdr:rowOff>
    </xdr:to>
    <xdr:sp macro="" textlink="">
      <xdr:nvSpPr>
        <xdr:cNvPr id="2139" name="Text Box 91">
          <a:extLst>
            <a:ext uri="{FF2B5EF4-FFF2-40B4-BE49-F238E27FC236}">
              <a16:creationId xmlns:a16="http://schemas.microsoft.com/office/drawing/2014/main" id="{00000000-0008-0000-0100-00005B080000}"/>
            </a:ext>
          </a:extLst>
        </xdr:cNvPr>
        <xdr:cNvSpPr txBox="1">
          <a:spLocks noChangeArrowheads="1"/>
        </xdr:cNvSpPr>
      </xdr:nvSpPr>
      <xdr:spPr bwMode="auto">
        <a:xfrm>
          <a:off x="104775" y="38100"/>
          <a:ext cx="5591175" cy="561975"/>
        </a:xfrm>
        <a:prstGeom prst="rect">
          <a:avLst/>
        </a:prstGeom>
        <a:solidFill>
          <a:srgbClr val="FFFFFF"/>
        </a:solidFill>
        <a:ln w="19050">
          <a:solidFill>
            <a:srgbClr val="FF0000"/>
          </a:solidFill>
          <a:miter lim="800000"/>
          <a:headEnd/>
          <a:tailEnd/>
        </a:ln>
      </xdr:spPr>
      <xdr:txBody>
        <a:bodyPr vertOverflow="clip" wrap="square" lIns="36576" tIns="27432" rIns="36576" bIns="0" anchor="t" upright="1"/>
        <a:lstStyle/>
        <a:p>
          <a:pPr algn="ctr" rtl="0">
            <a:defRPr sz="1000"/>
          </a:pPr>
          <a:r>
            <a:rPr lang="en-US" sz="1400" b="0" i="0" u="none" strike="noStrike" baseline="0">
              <a:solidFill>
                <a:srgbClr val="000000"/>
              </a:solidFill>
              <a:latin typeface="Arial"/>
              <a:cs typeface="Arial"/>
            </a:rPr>
            <a:t>Tier II Screening Evaluations for CDF Pathway Migration</a:t>
          </a:r>
        </a:p>
        <a:p>
          <a:pPr algn="ctr" rtl="0">
            <a:defRPr sz="1000"/>
          </a:pPr>
          <a:r>
            <a:rPr lang="en-US" sz="1400" b="0" i="0" u="none" strike="noStrike" baseline="0">
              <a:solidFill>
                <a:srgbClr val="000000"/>
              </a:solidFill>
              <a:latin typeface="Arial"/>
              <a:cs typeface="Arial"/>
            </a:rPr>
            <a:t>Data Input Sheet</a:t>
          </a:r>
        </a:p>
      </xdr:txBody>
    </xdr:sp>
    <xdr:clientData/>
  </xdr:twoCellAnchor>
  <xdr:twoCellAnchor editAs="oneCell">
    <xdr:from>
      <xdr:col>5</xdr:col>
      <xdr:colOff>428625</xdr:colOff>
      <xdr:row>62</xdr:row>
      <xdr:rowOff>76200</xdr:rowOff>
    </xdr:from>
    <xdr:to>
      <xdr:col>10</xdr:col>
      <xdr:colOff>381000</xdr:colOff>
      <xdr:row>75</xdr:row>
      <xdr:rowOff>161925</xdr:rowOff>
    </xdr:to>
    <xdr:pic>
      <xdr:nvPicPr>
        <xdr:cNvPr id="2201" name="Picture 105">
          <a:extLst>
            <a:ext uri="{FF2B5EF4-FFF2-40B4-BE49-F238E27FC236}">
              <a16:creationId xmlns:a16="http://schemas.microsoft.com/office/drawing/2014/main" id="{00000000-0008-0000-0100-000099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600825" y="15001875"/>
          <a:ext cx="4067175" cy="30099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0</xdr:row>
      <xdr:rowOff>47625</xdr:rowOff>
    </xdr:from>
    <xdr:to>
      <xdr:col>0</xdr:col>
      <xdr:colOff>2000250</xdr:colOff>
      <xdr:row>7</xdr:row>
      <xdr:rowOff>85725</xdr:rowOff>
    </xdr:to>
    <xdr:sp macro="" textlink="">
      <xdr:nvSpPr>
        <xdr:cNvPr id="11282" name="Text Box 18">
          <a:extLst>
            <a:ext uri="{FF2B5EF4-FFF2-40B4-BE49-F238E27FC236}">
              <a16:creationId xmlns:a16="http://schemas.microsoft.com/office/drawing/2014/main" id="{00000000-0008-0000-0200-0000122C0000}"/>
            </a:ext>
          </a:extLst>
        </xdr:cNvPr>
        <xdr:cNvSpPr txBox="1">
          <a:spLocks noChangeArrowheads="1"/>
        </xdr:cNvSpPr>
      </xdr:nvSpPr>
      <xdr:spPr bwMode="auto">
        <a:xfrm>
          <a:off x="114300" y="47625"/>
          <a:ext cx="1885950" cy="1285875"/>
        </a:xfrm>
        <a:prstGeom prst="rect">
          <a:avLst/>
        </a:prstGeom>
        <a:solidFill>
          <a:srgbClr val="FFFFFF"/>
        </a:solidFill>
        <a:ln w="19050">
          <a:solidFill>
            <a:srgbClr val="FF0000"/>
          </a:solidFill>
          <a:miter lim="800000"/>
          <a:headEnd/>
          <a:tailEnd/>
        </a:ln>
      </xdr:spPr>
      <xdr:txBody>
        <a:bodyPr vertOverflow="clip" wrap="square" lIns="0" tIns="22860" rIns="0" bIns="0" anchor="t" upright="1"/>
        <a:lstStyle/>
        <a:p>
          <a:pPr rtl="0">
            <a:defRPr sz="1000"/>
          </a:pPr>
          <a:r>
            <a:rPr lang="en-US" sz="12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  </a:t>
          </a:r>
          <a:r>
            <a:rPr lang="en-US" sz="1200" b="1" i="0" u="none" strike="noStrike" baseline="0">
              <a:solidFill>
                <a:srgbClr val="000000"/>
              </a:solidFill>
              <a:latin typeface="Arial"/>
              <a:cs typeface="Arial"/>
            </a:rPr>
            <a:t>Chemical Data Base</a:t>
          </a:r>
          <a:endParaRPr lang="en-US" sz="1000" b="1" i="0" u="none" strike="noStrike" baseline="0">
            <a:solidFill>
              <a:srgbClr val="000000"/>
            </a:solidFill>
            <a:latin typeface="Arial"/>
            <a:cs typeface="Arial"/>
          </a:endParaRPr>
        </a:p>
        <a:p>
          <a:pPr rtl="0">
            <a:defRPr sz="1000"/>
          </a:pPr>
          <a:endParaRPr lang="en-US" sz="1000" b="1" i="0" u="none" strike="noStrike" baseline="0">
            <a:solidFill>
              <a:srgbClr val="000000"/>
            </a:solidFill>
            <a:latin typeface="Arial"/>
            <a:cs typeface="Arial"/>
          </a:endParaRPr>
        </a:p>
        <a:p>
          <a:pPr rtl="0">
            <a:defRPr sz="1000"/>
          </a:pPr>
          <a:r>
            <a:rPr lang="en-US" sz="1000" b="1" i="0" u="sng" strike="noStrike" baseline="0">
              <a:solidFill>
                <a:srgbClr val="000000"/>
              </a:solidFill>
              <a:latin typeface="Arial"/>
              <a:cs typeface="Arial"/>
            </a:rPr>
            <a:t>Step 3</a:t>
          </a:r>
          <a:r>
            <a:rPr lang="en-US" sz="1000" b="1" i="0" u="none" strike="noStrike" baseline="0">
              <a:solidFill>
                <a:srgbClr val="000000"/>
              </a:solidFill>
              <a:latin typeface="Arial"/>
              <a:cs typeface="Arial"/>
            </a:rPr>
            <a:t>. </a:t>
          </a:r>
        </a:p>
        <a:p>
          <a:pPr rtl="0">
            <a:defRPr sz="1000"/>
          </a:pPr>
          <a:r>
            <a:rPr lang="en-US" sz="900" b="1" i="0" u="none" strike="noStrike" baseline="0">
              <a:solidFill>
                <a:srgbClr val="000000"/>
              </a:solidFill>
              <a:latin typeface="Arial"/>
              <a:cs typeface="Arial"/>
            </a:rPr>
            <a:t>For the contaminants of concern, enter the data requested in columns B through G (and AA if desired).  </a:t>
          </a:r>
          <a:endParaRPr lang="en-US" sz="800" b="0" i="0" u="none" strike="noStrike" baseline="0">
            <a:solidFill>
              <a:srgbClr val="000000"/>
            </a:solidFill>
            <a:latin typeface="Arial"/>
            <a:cs typeface="Arial"/>
          </a:endParaRPr>
        </a:p>
        <a:p>
          <a:pPr rtl="0">
            <a:defRPr sz="1000"/>
          </a:pPr>
          <a:endParaRPr lang="en-US" sz="800" b="0" i="0" u="none" strike="noStrike" baseline="0">
            <a:solidFill>
              <a:srgbClr val="000000"/>
            </a:solidFill>
            <a:latin typeface="Arial"/>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0</xdr:row>
      <xdr:rowOff>152400</xdr:rowOff>
    </xdr:from>
    <xdr:to>
      <xdr:col>0</xdr:col>
      <xdr:colOff>2000250</xdr:colOff>
      <xdr:row>8</xdr:row>
      <xdr:rowOff>9525</xdr:rowOff>
    </xdr:to>
    <xdr:sp macro="" textlink="">
      <xdr:nvSpPr>
        <xdr:cNvPr id="15361" name="Text Box 1">
          <a:extLst>
            <a:ext uri="{FF2B5EF4-FFF2-40B4-BE49-F238E27FC236}">
              <a16:creationId xmlns:a16="http://schemas.microsoft.com/office/drawing/2014/main" id="{00000000-0008-0000-0300-0000013C0000}"/>
            </a:ext>
          </a:extLst>
        </xdr:cNvPr>
        <xdr:cNvSpPr txBox="1">
          <a:spLocks noChangeArrowheads="1"/>
        </xdr:cNvSpPr>
      </xdr:nvSpPr>
      <xdr:spPr bwMode="auto">
        <a:xfrm>
          <a:off x="142875" y="152400"/>
          <a:ext cx="1857375" cy="1276350"/>
        </a:xfrm>
        <a:prstGeom prst="rect">
          <a:avLst/>
        </a:prstGeom>
        <a:solidFill>
          <a:srgbClr val="FFFFFF"/>
        </a:solidFill>
        <a:ln w="19050">
          <a:solidFill>
            <a:srgbClr val="FF0000"/>
          </a:solidFill>
          <a:miter lim="800000"/>
          <a:headEnd/>
          <a:tailEnd/>
        </a:ln>
      </xdr:spPr>
      <xdr:txBody>
        <a:bodyPr vertOverflow="clip" wrap="square" lIns="36576" tIns="22860" rIns="36576" bIns="0" anchor="t" upright="1"/>
        <a:lstStyle/>
        <a:p>
          <a:pPr algn="ctr" rtl="0">
            <a:defRPr sz="1000"/>
          </a:pPr>
          <a:r>
            <a:rPr lang="en-US" sz="1200" b="0" i="0" u="none" strike="noStrike" baseline="0">
              <a:solidFill>
                <a:srgbClr val="000000"/>
              </a:solidFill>
              <a:latin typeface="Arial"/>
              <a:cs typeface="Arial"/>
            </a:rPr>
            <a:t>SUMMARY</a:t>
          </a:r>
        </a:p>
        <a:p>
          <a:pPr algn="ctr" rtl="0">
            <a:defRPr sz="1000"/>
          </a:pPr>
          <a:endParaRPr lang="en-US" sz="1400" b="0" i="0" u="none" strike="noStrike" baseline="0">
            <a:solidFill>
              <a:srgbClr val="000000"/>
            </a:solidFill>
            <a:latin typeface="Arial"/>
            <a:cs typeface="Arial"/>
          </a:endParaRPr>
        </a:p>
        <a:p>
          <a:pPr algn="ctr" rtl="0">
            <a:defRPr sz="1000"/>
          </a:pPr>
          <a:r>
            <a:rPr lang="en-US" sz="1000" b="0" i="0" u="none" strike="noStrike" baseline="0">
              <a:solidFill>
                <a:srgbClr val="000000"/>
              </a:solidFill>
              <a:latin typeface="Arial"/>
              <a:cs typeface="Arial"/>
            </a:rPr>
            <a:t>HYDRAULIC PLACEMENT</a:t>
          </a: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a:p>
          <a:pPr algn="ctr" rtl="0">
            <a:defRPr sz="1000"/>
          </a:pPr>
          <a:r>
            <a:rPr lang="en-US" sz="800" b="1" i="0" u="none" strike="noStrike" baseline="0">
              <a:solidFill>
                <a:srgbClr val="000000"/>
              </a:solidFill>
              <a:latin typeface="Arial"/>
              <a:cs typeface="Arial"/>
            </a:rPr>
            <a:t>Screening Evaluations for Confined Disposal Facility </a:t>
          </a:r>
        </a:p>
        <a:p>
          <a:pPr algn="ctr" rtl="0">
            <a:defRPr sz="1000"/>
          </a:pPr>
          <a:endParaRPr lang="en-US" sz="800" b="1" i="0" u="none" strike="noStrike" baseline="0">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104775</xdr:colOff>
      <xdr:row>0</xdr:row>
      <xdr:rowOff>114300</xdr:rowOff>
    </xdr:from>
    <xdr:to>
      <xdr:col>0</xdr:col>
      <xdr:colOff>1924050</xdr:colOff>
      <xdr:row>7</xdr:row>
      <xdr:rowOff>123825</xdr:rowOff>
    </xdr:to>
    <xdr:sp macro="" textlink="">
      <xdr:nvSpPr>
        <xdr:cNvPr id="3075" name="Text Box 3">
          <a:extLst>
            <a:ext uri="{FF2B5EF4-FFF2-40B4-BE49-F238E27FC236}">
              <a16:creationId xmlns:a16="http://schemas.microsoft.com/office/drawing/2014/main" id="{00000000-0008-0000-0400-0000030C0000}"/>
            </a:ext>
          </a:extLst>
        </xdr:cNvPr>
        <xdr:cNvSpPr txBox="1">
          <a:spLocks noChangeArrowheads="1"/>
        </xdr:cNvSpPr>
      </xdr:nvSpPr>
      <xdr:spPr bwMode="auto">
        <a:xfrm>
          <a:off x="104775" y="114300"/>
          <a:ext cx="1819275" cy="1190625"/>
        </a:xfrm>
        <a:prstGeom prst="rect">
          <a:avLst/>
        </a:prstGeom>
        <a:solidFill>
          <a:srgbClr val="FFFFFF"/>
        </a:solidFill>
        <a:ln w="19050">
          <a:solidFill>
            <a:srgbClr val="FF0000"/>
          </a:solidFill>
          <a:miter lim="800000"/>
          <a:headEnd/>
          <a:tailEnd/>
        </a:ln>
      </xdr:spPr>
      <xdr:txBody>
        <a:bodyPr vertOverflow="clip" wrap="square" lIns="36576" tIns="22860" rIns="36576" bIns="0" anchor="t" upright="1"/>
        <a:lstStyle/>
        <a:p>
          <a:pPr algn="ctr" rtl="0">
            <a:defRPr sz="1000"/>
          </a:pPr>
          <a:r>
            <a:rPr lang="en-US" sz="1200" b="0" i="0" u="none" strike="noStrike" baseline="0">
              <a:solidFill>
                <a:srgbClr val="000000"/>
              </a:solidFill>
              <a:latin typeface="Arial"/>
              <a:cs typeface="Arial"/>
            </a:rPr>
            <a:t>EFFLUENT PATHWAY</a:t>
          </a:r>
          <a:endParaRPr lang="en-US" sz="1400" b="0" i="0" u="none" strike="noStrike" baseline="0">
            <a:solidFill>
              <a:srgbClr val="000000"/>
            </a:solidFill>
            <a:latin typeface="Arial"/>
            <a:cs typeface="Arial"/>
          </a:endParaRPr>
        </a:p>
        <a:p>
          <a:pPr algn="ctr" rtl="0">
            <a:defRPr sz="1000"/>
          </a:pPr>
          <a:r>
            <a:rPr lang="en-US" sz="1000" b="0" i="0" u="none" strike="noStrike" baseline="0">
              <a:solidFill>
                <a:srgbClr val="000000"/>
              </a:solidFill>
              <a:latin typeface="Arial"/>
              <a:cs typeface="Arial"/>
            </a:rPr>
            <a:t>HYDRAULIC PLACEMENT</a:t>
          </a: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a:p>
          <a:pPr algn="ctr" rtl="0">
            <a:defRPr sz="1000"/>
          </a:pPr>
          <a:r>
            <a:rPr lang="en-US" sz="800" b="1" i="0" u="none" strike="noStrike" baseline="0">
              <a:solidFill>
                <a:srgbClr val="000000"/>
              </a:solidFill>
              <a:latin typeface="Arial"/>
              <a:cs typeface="Arial"/>
            </a:rPr>
            <a:t>Screening Evaluations for Confined Disposal Facility </a:t>
          </a:r>
        </a:p>
        <a:p>
          <a:pPr algn="ctr" rtl="0">
            <a:defRPr sz="1000"/>
          </a:pPr>
          <a:r>
            <a:rPr lang="en-US" sz="800" b="1" i="0" u="none" strike="noStrike" baseline="0">
              <a:solidFill>
                <a:srgbClr val="000000"/>
              </a:solidFill>
              <a:latin typeface="Arial"/>
              <a:cs typeface="Arial"/>
            </a:rPr>
            <a:t>Effluent Quality</a:t>
          </a:r>
          <a:r>
            <a:rPr lang="en-US" sz="800" b="0" i="0" u="none" strike="noStrike" baseline="0">
              <a:solidFill>
                <a:srgbClr val="000000"/>
              </a:solidFill>
              <a:latin typeface="Arial"/>
              <a:cs typeface="Arial"/>
            </a:rPr>
            <a:t> </a:t>
          </a:r>
        </a:p>
        <a:p>
          <a:pPr algn="ctr" rtl="0">
            <a:defRPr sz="1000"/>
          </a:pPr>
          <a:r>
            <a:rPr lang="en-US" sz="800" b="0" i="0" u="none" strike="noStrike" baseline="0">
              <a:solidFill>
                <a:srgbClr val="000000"/>
              </a:solidFill>
              <a:latin typeface="Arial"/>
              <a:cs typeface="Arial"/>
            </a:rPr>
            <a:t>(See reference below)</a:t>
          </a:r>
        </a:p>
      </xdr:txBody>
    </xdr:sp>
    <xdr:clientData/>
  </xdr:twoCellAnchor>
  <xdr:twoCellAnchor>
    <xdr:from>
      <xdr:col>0</xdr:col>
      <xdr:colOff>66675</xdr:colOff>
      <xdr:row>310</xdr:row>
      <xdr:rowOff>104775</xdr:rowOff>
    </xdr:from>
    <xdr:to>
      <xdr:col>0</xdr:col>
      <xdr:colOff>1885950</xdr:colOff>
      <xdr:row>318</xdr:row>
      <xdr:rowOff>133350</xdr:rowOff>
    </xdr:to>
    <xdr:sp macro="" textlink="">
      <xdr:nvSpPr>
        <xdr:cNvPr id="3081" name="Text Box 9">
          <a:extLst>
            <a:ext uri="{FF2B5EF4-FFF2-40B4-BE49-F238E27FC236}">
              <a16:creationId xmlns:a16="http://schemas.microsoft.com/office/drawing/2014/main" id="{00000000-0008-0000-0400-0000090C0000}"/>
            </a:ext>
          </a:extLst>
        </xdr:cNvPr>
        <xdr:cNvSpPr txBox="1">
          <a:spLocks noChangeArrowheads="1"/>
        </xdr:cNvSpPr>
      </xdr:nvSpPr>
      <xdr:spPr bwMode="auto">
        <a:xfrm>
          <a:off x="66675" y="50530125"/>
          <a:ext cx="1819275" cy="1323975"/>
        </a:xfrm>
        <a:prstGeom prst="rect">
          <a:avLst/>
        </a:prstGeom>
        <a:solidFill>
          <a:srgbClr val="FFFFFF"/>
        </a:solidFill>
        <a:ln w="19050">
          <a:solidFill>
            <a:srgbClr val="FF0000"/>
          </a:solidFill>
          <a:miter lim="800000"/>
          <a:headEnd/>
          <a:tailEnd/>
        </a:ln>
      </xdr:spPr>
      <xdr:txBody>
        <a:bodyPr vertOverflow="clip" wrap="square" lIns="27432" tIns="22860" rIns="0" bIns="0" anchor="t" upright="1"/>
        <a:lstStyle/>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Schroeder, P. R., T. J. Estes, and S. E. Bailey. (2006).  </a:t>
          </a:r>
          <a:r>
            <a:rPr lang="en-US" sz="800" b="0" i="1" u="none" strike="noStrike" baseline="0">
              <a:solidFill>
                <a:srgbClr val="000000"/>
              </a:solidFill>
              <a:latin typeface="Arial"/>
              <a:cs typeface="Arial"/>
            </a:rPr>
            <a:t>Screening Evaluations for Upland Confined Disposal Facility Effluent Quality</a:t>
          </a:r>
          <a:r>
            <a:rPr lang="en-US" sz="800" b="0" i="0" u="none" strike="noStrike" baseline="0">
              <a:solidFill>
                <a:srgbClr val="000000"/>
              </a:solidFill>
              <a:latin typeface="Arial"/>
              <a:cs typeface="Arial"/>
            </a:rPr>
            <a:t>, DOER Technical Note (ERDC TN DOER-R11), U.S. Army Engineer Research and Development Center, Vicksburg, MS.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133350</xdr:colOff>
      <xdr:row>0</xdr:row>
      <xdr:rowOff>85725</xdr:rowOff>
    </xdr:from>
    <xdr:to>
      <xdr:col>0</xdr:col>
      <xdr:colOff>1933575</xdr:colOff>
      <xdr:row>7</xdr:row>
      <xdr:rowOff>66675</xdr:rowOff>
    </xdr:to>
    <xdr:sp macro="" textlink="">
      <xdr:nvSpPr>
        <xdr:cNvPr id="12290" name="Text Box 2">
          <a:extLst>
            <a:ext uri="{FF2B5EF4-FFF2-40B4-BE49-F238E27FC236}">
              <a16:creationId xmlns:a16="http://schemas.microsoft.com/office/drawing/2014/main" id="{00000000-0008-0000-0500-000002300000}"/>
            </a:ext>
          </a:extLst>
        </xdr:cNvPr>
        <xdr:cNvSpPr txBox="1">
          <a:spLocks noChangeArrowheads="1"/>
        </xdr:cNvSpPr>
      </xdr:nvSpPr>
      <xdr:spPr bwMode="auto">
        <a:xfrm>
          <a:off x="133350" y="85725"/>
          <a:ext cx="1800225" cy="1133475"/>
        </a:xfrm>
        <a:prstGeom prst="rect">
          <a:avLst/>
        </a:prstGeom>
        <a:solidFill>
          <a:srgbClr val="FFFFFF"/>
        </a:solidFill>
        <a:ln w="19050">
          <a:solidFill>
            <a:srgbClr val="FF0000"/>
          </a:solidFill>
          <a:miter lim="800000"/>
          <a:headEnd/>
          <a:tailEnd/>
        </a:ln>
      </xdr:spPr>
      <xdr:txBody>
        <a:bodyPr vertOverflow="clip" wrap="square" lIns="36576" tIns="22860" rIns="36576" bIns="0" anchor="t" upright="1"/>
        <a:lstStyle/>
        <a:p>
          <a:pPr algn="ctr" rtl="0">
            <a:defRPr sz="1000"/>
          </a:pPr>
          <a:r>
            <a:rPr lang="en-US" sz="1200" b="0" i="0" u="none" strike="noStrike" baseline="0">
              <a:solidFill>
                <a:srgbClr val="000000"/>
              </a:solidFill>
              <a:latin typeface="Arial"/>
              <a:cs typeface="Arial"/>
            </a:rPr>
            <a:t>RUNOFF PATHWAY</a:t>
          </a:r>
          <a:endParaRPr lang="en-US" sz="1400" b="0" i="0" u="none" strike="noStrike" baseline="0">
            <a:solidFill>
              <a:srgbClr val="000000"/>
            </a:solidFill>
            <a:latin typeface="Arial"/>
            <a:cs typeface="Arial"/>
          </a:endParaRPr>
        </a:p>
        <a:p>
          <a:pPr algn="ctr" rtl="0">
            <a:defRPr sz="1000"/>
          </a:pPr>
          <a:r>
            <a:rPr lang="en-US" sz="1000" b="0" i="0" u="none" strike="noStrike" baseline="0">
              <a:solidFill>
                <a:srgbClr val="000000"/>
              </a:solidFill>
              <a:latin typeface="Arial"/>
              <a:cs typeface="Arial"/>
            </a:rPr>
            <a:t>HYDRAULIC PLACEMENT</a:t>
          </a: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a:p>
          <a:pPr algn="ctr" rtl="0">
            <a:defRPr sz="1000"/>
          </a:pPr>
          <a:r>
            <a:rPr lang="en-US" sz="800" b="1" i="0" u="none" strike="noStrike" baseline="0">
              <a:solidFill>
                <a:srgbClr val="000000"/>
              </a:solidFill>
              <a:latin typeface="Arial"/>
              <a:cs typeface="Arial"/>
            </a:rPr>
            <a:t>Screening Evaluations for Confined Disposal Facility </a:t>
          </a:r>
        </a:p>
        <a:p>
          <a:pPr algn="ctr" rtl="0">
            <a:defRPr sz="1000"/>
          </a:pPr>
          <a:r>
            <a:rPr lang="en-US" sz="800" b="1" i="0" u="none" strike="noStrike" baseline="0">
              <a:solidFill>
                <a:srgbClr val="000000"/>
              </a:solidFill>
              <a:latin typeface="Arial"/>
              <a:cs typeface="Arial"/>
            </a:rPr>
            <a:t>Surface Runoff Quality</a:t>
          </a:r>
          <a:r>
            <a:rPr lang="en-US" sz="800" b="0" i="0" u="none" strike="noStrike" baseline="0">
              <a:solidFill>
                <a:srgbClr val="000000"/>
              </a:solidFill>
              <a:latin typeface="Arial"/>
              <a:cs typeface="Arial"/>
            </a:rPr>
            <a:t> </a:t>
          </a:r>
        </a:p>
        <a:p>
          <a:pPr algn="ctr" rtl="0">
            <a:defRPr sz="1000"/>
          </a:pPr>
          <a:r>
            <a:rPr lang="en-US" sz="800" b="0" i="0" u="none" strike="noStrike" baseline="0">
              <a:solidFill>
                <a:srgbClr val="000000"/>
              </a:solidFill>
              <a:latin typeface="Arial"/>
              <a:cs typeface="Arial"/>
            </a:rPr>
            <a:t>(See reference below)</a:t>
          </a:r>
        </a:p>
      </xdr:txBody>
    </xdr:sp>
    <xdr:clientData/>
  </xdr:twoCellAnchor>
  <xdr:twoCellAnchor>
    <xdr:from>
      <xdr:col>0</xdr:col>
      <xdr:colOff>95250</xdr:colOff>
      <xdr:row>311</xdr:row>
      <xdr:rowOff>19050</xdr:rowOff>
    </xdr:from>
    <xdr:to>
      <xdr:col>0</xdr:col>
      <xdr:colOff>1914525</xdr:colOff>
      <xdr:row>319</xdr:row>
      <xdr:rowOff>47625</xdr:rowOff>
    </xdr:to>
    <xdr:sp macro="" textlink="">
      <xdr:nvSpPr>
        <xdr:cNvPr id="12294" name="Text Box 6">
          <a:extLst>
            <a:ext uri="{FF2B5EF4-FFF2-40B4-BE49-F238E27FC236}">
              <a16:creationId xmlns:a16="http://schemas.microsoft.com/office/drawing/2014/main" id="{00000000-0008-0000-0500-000006300000}"/>
            </a:ext>
          </a:extLst>
        </xdr:cNvPr>
        <xdr:cNvSpPr txBox="1">
          <a:spLocks noChangeArrowheads="1"/>
        </xdr:cNvSpPr>
      </xdr:nvSpPr>
      <xdr:spPr bwMode="auto">
        <a:xfrm>
          <a:off x="95250" y="50539650"/>
          <a:ext cx="1819275" cy="1323975"/>
        </a:xfrm>
        <a:prstGeom prst="rect">
          <a:avLst/>
        </a:prstGeom>
        <a:solidFill>
          <a:srgbClr val="FFFFFF"/>
        </a:solidFill>
        <a:ln w="19050">
          <a:solidFill>
            <a:srgbClr val="FF0000"/>
          </a:solidFill>
          <a:miter lim="800000"/>
          <a:headEnd/>
          <a:tailEnd/>
        </a:ln>
      </xdr:spPr>
      <xdr:txBody>
        <a:bodyPr vertOverflow="clip" wrap="square" lIns="27432" tIns="22860" rIns="0" bIns="0" anchor="t" upright="1"/>
        <a:lstStyle/>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Schroeder, P. R., S. E. Bailey T. J. Estes, and R. A. Price. 2006. “Screening evaluations for confined disposal facility surface runoff quality,” DOER Technical Notes Collection (ERDC TN DOER-CXX), U.S. Army Engineer Research and Development Center, Vicksburg, MS.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0</xdr:col>
      <xdr:colOff>1924050</xdr:colOff>
      <xdr:row>7</xdr:row>
      <xdr:rowOff>142875</xdr:rowOff>
    </xdr:to>
    <xdr:sp macro="" textlink="">
      <xdr:nvSpPr>
        <xdr:cNvPr id="7169" name="Text Box 1">
          <a:extLst>
            <a:ext uri="{FF2B5EF4-FFF2-40B4-BE49-F238E27FC236}">
              <a16:creationId xmlns:a16="http://schemas.microsoft.com/office/drawing/2014/main" id="{00000000-0008-0000-0600-0000011C0000}"/>
            </a:ext>
          </a:extLst>
        </xdr:cNvPr>
        <xdr:cNvSpPr txBox="1">
          <a:spLocks noChangeArrowheads="1"/>
        </xdr:cNvSpPr>
      </xdr:nvSpPr>
      <xdr:spPr bwMode="auto">
        <a:xfrm>
          <a:off x="104775" y="76200"/>
          <a:ext cx="1819275" cy="1219200"/>
        </a:xfrm>
        <a:prstGeom prst="rect">
          <a:avLst/>
        </a:prstGeom>
        <a:solidFill>
          <a:srgbClr val="FFFFFF"/>
        </a:solidFill>
        <a:ln w="19050">
          <a:solidFill>
            <a:srgbClr val="FF0000"/>
          </a:solidFill>
          <a:miter lim="800000"/>
          <a:headEnd/>
          <a:tailEnd/>
        </a:ln>
      </xdr:spPr>
      <xdr:txBody>
        <a:bodyPr vertOverflow="clip" wrap="square" lIns="36576" tIns="22860" rIns="36576" bIns="0" anchor="t" upright="1"/>
        <a:lstStyle/>
        <a:p>
          <a:pPr algn="ctr" rtl="0">
            <a:defRPr sz="1000"/>
          </a:pPr>
          <a:r>
            <a:rPr lang="en-US" sz="1200" b="0" i="0" u="none" strike="noStrike" baseline="0">
              <a:solidFill>
                <a:srgbClr val="000000"/>
              </a:solidFill>
              <a:latin typeface="Arial"/>
              <a:cs typeface="Arial"/>
            </a:rPr>
            <a:t>LEACHATE PATHWAY</a:t>
          </a:r>
          <a:endParaRPr lang="en-US" sz="1400" b="0" i="0" u="none" strike="noStrike" baseline="0">
            <a:solidFill>
              <a:srgbClr val="000000"/>
            </a:solidFill>
            <a:latin typeface="Arial"/>
            <a:cs typeface="Arial"/>
          </a:endParaRPr>
        </a:p>
        <a:p>
          <a:pPr algn="ctr" rtl="0">
            <a:defRPr sz="1000"/>
          </a:pPr>
          <a:r>
            <a:rPr lang="en-US" sz="1000" b="0" i="0" u="none" strike="noStrike" baseline="0">
              <a:solidFill>
                <a:srgbClr val="000000"/>
              </a:solidFill>
              <a:latin typeface="Arial"/>
              <a:cs typeface="Arial"/>
            </a:rPr>
            <a:t>HYDRAULIC PLACEMENT</a:t>
          </a: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a:p>
          <a:pPr algn="ctr" rtl="0">
            <a:defRPr sz="1000"/>
          </a:pPr>
          <a:r>
            <a:rPr lang="en-US" sz="800" b="1" i="0" u="none" strike="noStrike" baseline="0">
              <a:solidFill>
                <a:srgbClr val="000000"/>
              </a:solidFill>
              <a:latin typeface="Arial"/>
              <a:cs typeface="Arial"/>
            </a:rPr>
            <a:t>Screening Evaluations for Confined Disposal Facility </a:t>
          </a:r>
        </a:p>
        <a:p>
          <a:pPr algn="ctr" rtl="0">
            <a:defRPr sz="1000"/>
          </a:pPr>
          <a:r>
            <a:rPr lang="en-US" sz="800" b="1" i="0" u="none" strike="noStrike" baseline="0">
              <a:solidFill>
                <a:srgbClr val="000000"/>
              </a:solidFill>
              <a:latin typeface="Arial"/>
              <a:cs typeface="Arial"/>
            </a:rPr>
            <a:t>Leachate Quality</a:t>
          </a:r>
          <a:r>
            <a:rPr lang="en-US" sz="800" b="0" i="0" u="none" strike="noStrike" baseline="0">
              <a:solidFill>
                <a:srgbClr val="000000"/>
              </a:solidFill>
              <a:latin typeface="Arial"/>
              <a:cs typeface="Arial"/>
            </a:rPr>
            <a:t> </a:t>
          </a:r>
        </a:p>
        <a:p>
          <a:pPr algn="ctr" rtl="0">
            <a:defRPr sz="1000"/>
          </a:pPr>
          <a:r>
            <a:rPr lang="en-US" sz="800" b="0" i="0" u="none" strike="noStrike" baseline="0">
              <a:solidFill>
                <a:srgbClr val="000000"/>
              </a:solidFill>
              <a:latin typeface="Arial"/>
              <a:cs typeface="Arial"/>
            </a:rPr>
            <a:t>(See reference below)</a:t>
          </a:r>
        </a:p>
      </xdr:txBody>
    </xdr:sp>
    <xdr:clientData/>
  </xdr:twoCellAnchor>
  <xdr:twoCellAnchor>
    <xdr:from>
      <xdr:col>0</xdr:col>
      <xdr:colOff>95250</xdr:colOff>
      <xdr:row>311</xdr:row>
      <xdr:rowOff>9525</xdr:rowOff>
    </xdr:from>
    <xdr:to>
      <xdr:col>0</xdr:col>
      <xdr:colOff>1914525</xdr:colOff>
      <xdr:row>319</xdr:row>
      <xdr:rowOff>38100</xdr:rowOff>
    </xdr:to>
    <xdr:sp macro="" textlink="">
      <xdr:nvSpPr>
        <xdr:cNvPr id="7196" name="Text Box 28">
          <a:extLst>
            <a:ext uri="{FF2B5EF4-FFF2-40B4-BE49-F238E27FC236}">
              <a16:creationId xmlns:a16="http://schemas.microsoft.com/office/drawing/2014/main" id="{00000000-0008-0000-0600-00001C1C0000}"/>
            </a:ext>
          </a:extLst>
        </xdr:cNvPr>
        <xdr:cNvSpPr txBox="1">
          <a:spLocks noChangeArrowheads="1"/>
        </xdr:cNvSpPr>
      </xdr:nvSpPr>
      <xdr:spPr bwMode="auto">
        <a:xfrm>
          <a:off x="95250" y="50492025"/>
          <a:ext cx="1819275" cy="1323975"/>
        </a:xfrm>
        <a:prstGeom prst="rect">
          <a:avLst/>
        </a:prstGeom>
        <a:solidFill>
          <a:srgbClr val="FFFFFF"/>
        </a:solidFill>
        <a:ln w="19050">
          <a:solidFill>
            <a:srgbClr val="FF0000"/>
          </a:solidFill>
          <a:miter lim="800000"/>
          <a:headEnd/>
          <a:tailEnd/>
        </a:ln>
      </xdr:spPr>
      <xdr:txBody>
        <a:bodyPr vertOverflow="clip" wrap="square" lIns="27432" tIns="22860" rIns="0" bIns="0" anchor="t" upright="1"/>
        <a:lstStyle/>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Myers, T. E., T. J. Estes, P. R. Schroeder and S. E. Bailey.  2006. Screening evaluations for confined disposal facility leachate quality. DOER Technical Notes Collection (ERDC TN DOER-CXX). Vicksburg, MS: U.S. Army Engineer Research and Development Center.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95250</xdr:colOff>
      <xdr:row>0</xdr:row>
      <xdr:rowOff>95250</xdr:rowOff>
    </xdr:from>
    <xdr:to>
      <xdr:col>0</xdr:col>
      <xdr:colOff>1838325</xdr:colOff>
      <xdr:row>7</xdr:row>
      <xdr:rowOff>114300</xdr:rowOff>
    </xdr:to>
    <xdr:sp macro="" textlink="">
      <xdr:nvSpPr>
        <xdr:cNvPr id="8195" name="Text Box 3">
          <a:extLst>
            <a:ext uri="{FF2B5EF4-FFF2-40B4-BE49-F238E27FC236}">
              <a16:creationId xmlns:a16="http://schemas.microsoft.com/office/drawing/2014/main" id="{00000000-0008-0000-0700-000003200000}"/>
            </a:ext>
          </a:extLst>
        </xdr:cNvPr>
        <xdr:cNvSpPr txBox="1">
          <a:spLocks noChangeArrowheads="1"/>
        </xdr:cNvSpPr>
      </xdr:nvSpPr>
      <xdr:spPr bwMode="auto">
        <a:xfrm>
          <a:off x="95250" y="95250"/>
          <a:ext cx="1743075" cy="1247775"/>
        </a:xfrm>
        <a:prstGeom prst="rect">
          <a:avLst/>
        </a:prstGeom>
        <a:solidFill>
          <a:srgbClr val="FFFFFF"/>
        </a:solidFill>
        <a:ln w="19050">
          <a:solidFill>
            <a:srgbClr val="FF0000"/>
          </a:solidFill>
          <a:miter lim="800000"/>
          <a:headEnd/>
          <a:tailEnd/>
        </a:ln>
      </xdr:spPr>
      <xdr:txBody>
        <a:bodyPr vertOverflow="clip" wrap="square" lIns="36576" tIns="22860" rIns="36576" bIns="0" anchor="t" upright="1"/>
        <a:lstStyle/>
        <a:p>
          <a:pPr algn="ctr" rtl="0">
            <a:defRPr sz="1000"/>
          </a:pPr>
          <a:r>
            <a:rPr lang="en-US" sz="1200" b="0" i="0" u="none" strike="noStrike" baseline="0">
              <a:solidFill>
                <a:srgbClr val="000000"/>
              </a:solidFill>
              <a:latin typeface="Arial"/>
              <a:cs typeface="Arial"/>
            </a:rPr>
            <a:t>VOLATILIZATION PATHWAY</a:t>
          </a:r>
          <a:endParaRPr lang="en-US" sz="1400" b="0" i="0" u="none" strike="noStrike" baseline="0">
            <a:solidFill>
              <a:srgbClr val="000000"/>
            </a:solidFill>
            <a:latin typeface="Arial"/>
            <a:cs typeface="Arial"/>
          </a:endParaRPr>
        </a:p>
        <a:p>
          <a:pPr algn="ctr" rtl="0">
            <a:defRPr sz="1000"/>
          </a:pPr>
          <a:r>
            <a:rPr lang="en-US" sz="1000" b="0" i="0" u="none" strike="noStrike" baseline="0">
              <a:solidFill>
                <a:srgbClr val="000000"/>
              </a:solidFill>
              <a:latin typeface="Arial"/>
              <a:cs typeface="Arial"/>
            </a:rPr>
            <a:t>HYDRAULIC PLACEMENT</a:t>
          </a:r>
          <a:endParaRPr lang="en-US" sz="1000" b="1" i="0" u="none" strike="noStrike" baseline="0">
            <a:solidFill>
              <a:srgbClr val="000000"/>
            </a:solidFill>
            <a:latin typeface="Arial"/>
            <a:cs typeface="Arial"/>
          </a:endParaRPr>
        </a:p>
        <a:p>
          <a:pPr algn="ctr" rtl="0">
            <a:defRPr sz="1000"/>
          </a:pPr>
          <a:r>
            <a:rPr lang="en-US" sz="800" b="1" i="0" u="none" strike="noStrike" baseline="0">
              <a:solidFill>
                <a:srgbClr val="000000"/>
              </a:solidFill>
              <a:latin typeface="Arial"/>
              <a:cs typeface="Arial"/>
            </a:rPr>
            <a:t>Screening Evaluations for Confined Disposal Facility </a:t>
          </a:r>
        </a:p>
        <a:p>
          <a:pPr algn="ctr" rtl="0">
            <a:defRPr sz="1000"/>
          </a:pPr>
          <a:r>
            <a:rPr lang="en-US" sz="800" b="1" i="0" u="none" strike="noStrike" baseline="0">
              <a:solidFill>
                <a:srgbClr val="000000"/>
              </a:solidFill>
              <a:latin typeface="Arial"/>
              <a:cs typeface="Arial"/>
            </a:rPr>
            <a:t>Volatile Losses</a:t>
          </a:r>
          <a:r>
            <a:rPr lang="en-US" sz="800" b="0" i="0" u="none" strike="noStrike" baseline="0">
              <a:solidFill>
                <a:srgbClr val="000000"/>
              </a:solidFill>
              <a:latin typeface="Arial"/>
              <a:cs typeface="Arial"/>
            </a:rPr>
            <a:t> </a:t>
          </a:r>
        </a:p>
        <a:p>
          <a:pPr algn="ctr" rtl="0">
            <a:defRPr sz="1000"/>
          </a:pPr>
          <a:r>
            <a:rPr lang="en-US" sz="800" b="0" i="0" u="none" strike="noStrike" baseline="0">
              <a:solidFill>
                <a:srgbClr val="000000"/>
              </a:solidFill>
              <a:latin typeface="Arial"/>
              <a:cs typeface="Arial"/>
            </a:rPr>
            <a:t>(See reference below)</a:t>
          </a:r>
        </a:p>
      </xdr:txBody>
    </xdr:sp>
    <xdr:clientData/>
  </xdr:twoCellAnchor>
  <xdr:twoCellAnchor>
    <xdr:from>
      <xdr:col>0</xdr:col>
      <xdr:colOff>85725</xdr:colOff>
      <xdr:row>310</xdr:row>
      <xdr:rowOff>114300</xdr:rowOff>
    </xdr:from>
    <xdr:to>
      <xdr:col>0</xdr:col>
      <xdr:colOff>1905000</xdr:colOff>
      <xdr:row>318</xdr:row>
      <xdr:rowOff>142875</xdr:rowOff>
    </xdr:to>
    <xdr:sp macro="" textlink="">
      <xdr:nvSpPr>
        <xdr:cNvPr id="8197" name="Text Box 5">
          <a:extLst>
            <a:ext uri="{FF2B5EF4-FFF2-40B4-BE49-F238E27FC236}">
              <a16:creationId xmlns:a16="http://schemas.microsoft.com/office/drawing/2014/main" id="{00000000-0008-0000-0700-000005200000}"/>
            </a:ext>
          </a:extLst>
        </xdr:cNvPr>
        <xdr:cNvSpPr txBox="1">
          <a:spLocks noChangeArrowheads="1"/>
        </xdr:cNvSpPr>
      </xdr:nvSpPr>
      <xdr:spPr bwMode="auto">
        <a:xfrm>
          <a:off x="85725" y="50511075"/>
          <a:ext cx="1819275" cy="1323975"/>
        </a:xfrm>
        <a:prstGeom prst="rect">
          <a:avLst/>
        </a:prstGeom>
        <a:solidFill>
          <a:srgbClr val="FFFFFF"/>
        </a:solidFill>
        <a:ln w="19050">
          <a:solidFill>
            <a:srgbClr val="FF0000"/>
          </a:solidFill>
          <a:miter lim="800000"/>
          <a:headEnd/>
          <a:tailEnd/>
        </a:ln>
      </xdr:spPr>
      <xdr:txBody>
        <a:bodyPr vertOverflow="clip" wrap="square" lIns="27432" tIns="22860" rIns="0" bIns="0" anchor="t" upright="1"/>
        <a:lstStyle/>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Myers, T. E., Estes, T. J., Schroeder, P. R. and Bailey, S. E. (2005). “Screening evaluations for confined disposal facility volatile losses,” DOER Technical Notes Collection (ERDC TN DOER-CXX), U.S. Army Engineer Research and Development Center, Vicksburg, MS. </a:t>
          </a:r>
        </a:p>
      </xdr:txBody>
    </xdr:sp>
    <xdr:clientData/>
  </xdr:twoCellAnchor>
  <xdr:twoCellAnchor>
    <xdr:from>
      <xdr:col>47</xdr:col>
      <xdr:colOff>0</xdr:colOff>
      <xdr:row>395</xdr:row>
      <xdr:rowOff>0</xdr:rowOff>
    </xdr:from>
    <xdr:to>
      <xdr:col>47</xdr:col>
      <xdr:colOff>0</xdr:colOff>
      <xdr:row>395</xdr:row>
      <xdr:rowOff>0</xdr:rowOff>
    </xdr:to>
    <xdr:cxnSp macro="">
      <xdr:nvCxnSpPr>
        <xdr:cNvPr id="8646" name="AutoShape 63">
          <a:extLst>
            <a:ext uri="{FF2B5EF4-FFF2-40B4-BE49-F238E27FC236}">
              <a16:creationId xmlns:a16="http://schemas.microsoft.com/office/drawing/2014/main" id="{00000000-0008-0000-0700-0000C6210000}"/>
            </a:ext>
          </a:extLst>
        </xdr:cNvPr>
        <xdr:cNvCxnSpPr>
          <a:cxnSpLocks noChangeShapeType="1"/>
        </xdr:cNvCxnSpPr>
      </xdr:nvCxnSpPr>
      <xdr:spPr bwMode="auto">
        <a:xfrm>
          <a:off x="34832925" y="64160400"/>
          <a:ext cx="0" cy="0"/>
        </a:xfrm>
        <a:prstGeom prst="straightConnector1">
          <a:avLst/>
        </a:prstGeom>
        <a:noFill/>
        <a:ln w="9525">
          <a:solidFill>
            <a:srgbClr val="969696"/>
          </a:solidFill>
          <a:round/>
          <a:headEnd/>
          <a:tailEnd type="stealth" w="med" len="med"/>
        </a:ln>
      </xdr:spPr>
    </xdr:cxnSp>
    <xdr:clientData/>
  </xdr:twoCellAnchor>
  <xdr:twoCellAnchor>
    <xdr:from>
      <xdr:col>47</xdr:col>
      <xdr:colOff>0</xdr:colOff>
      <xdr:row>395</xdr:row>
      <xdr:rowOff>0</xdr:rowOff>
    </xdr:from>
    <xdr:to>
      <xdr:col>47</xdr:col>
      <xdr:colOff>0</xdr:colOff>
      <xdr:row>395</xdr:row>
      <xdr:rowOff>0</xdr:rowOff>
    </xdr:to>
    <xdr:grpSp>
      <xdr:nvGrpSpPr>
        <xdr:cNvPr id="8647" name="Group 334">
          <a:extLst>
            <a:ext uri="{FF2B5EF4-FFF2-40B4-BE49-F238E27FC236}">
              <a16:creationId xmlns:a16="http://schemas.microsoft.com/office/drawing/2014/main" id="{00000000-0008-0000-0700-0000C7210000}"/>
            </a:ext>
          </a:extLst>
        </xdr:cNvPr>
        <xdr:cNvGrpSpPr>
          <a:grpSpLocks/>
        </xdr:cNvGrpSpPr>
      </xdr:nvGrpSpPr>
      <xdr:grpSpPr bwMode="auto">
        <a:xfrm>
          <a:off x="35326320" y="66377820"/>
          <a:ext cx="0" cy="0"/>
          <a:chOff x="1520" y="5986"/>
          <a:chExt cx="739" cy="1555"/>
        </a:xfrm>
      </xdr:grpSpPr>
      <xdr:sp macro="" textlink="">
        <xdr:nvSpPr>
          <xdr:cNvPr id="8349" name="Text Box 157">
            <a:extLst>
              <a:ext uri="{FF2B5EF4-FFF2-40B4-BE49-F238E27FC236}">
                <a16:creationId xmlns:a16="http://schemas.microsoft.com/office/drawing/2014/main" id="{00000000-0008-0000-0700-00009D200000}"/>
              </a:ext>
            </a:extLst>
          </xdr:cNvPr>
          <xdr:cNvSpPr txBox="1">
            <a:spLocks noChangeArrowheads="1"/>
          </xdr:cNvSpPr>
        </xdr:nvSpPr>
        <xdr:spPr bwMode="auto">
          <a:xfrm>
            <a:off x="34832925" y="64160400"/>
            <a:ext cx="0" cy="0"/>
          </a:xfrm>
          <a:prstGeom prst="rect">
            <a:avLst/>
          </a:prstGeom>
          <a:solidFill>
            <a:srgbClr val="FFFFCC"/>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sng" strike="noStrike" baseline="0">
                <a:solidFill>
                  <a:srgbClr val="000000"/>
                </a:solidFill>
                <a:latin typeface="Arial"/>
                <a:cs typeface="Arial"/>
              </a:rPr>
              <a:t>Step 11a</a:t>
            </a:r>
            <a:r>
              <a:rPr lang="en-US" sz="1000" b="0" i="0" u="sng" strike="noStrike" baseline="0">
                <a:solidFill>
                  <a:srgbClr val="000000"/>
                </a:solidFill>
                <a:latin typeface="Arial"/>
                <a:cs typeface="Arial"/>
              </a:rPr>
              <a:t>: (Column AG)</a:t>
            </a:r>
            <a:r>
              <a:rPr lang="en-US" sz="1000" b="0" i="0" u="none" strike="noStrike" baseline="0">
                <a:solidFill>
                  <a:srgbClr val="000000"/>
                </a:solidFill>
                <a:latin typeface="Arial"/>
                <a:cs typeface="Arial"/>
              </a:rPr>
              <a:t>  Calculate the allowable </a:t>
            </a:r>
            <a:r>
              <a:rPr lang="en-US" sz="1000" b="0" i="1" u="sng" strike="noStrike" baseline="0">
                <a:solidFill>
                  <a:srgbClr val="000000"/>
                </a:solidFill>
                <a:latin typeface="Arial"/>
                <a:cs typeface="Arial"/>
              </a:rPr>
              <a:t>on-site</a:t>
            </a:r>
            <a:r>
              <a:rPr lang="en-US" sz="1000" b="0" i="0" u="none" strike="noStrike" baseline="0">
                <a:solidFill>
                  <a:srgbClr val="000000"/>
                </a:solidFill>
                <a:latin typeface="Arial"/>
                <a:cs typeface="Arial"/>
              </a:rPr>
              <a:t> air concentration (C</a:t>
            </a:r>
            <a:r>
              <a:rPr lang="en-US" sz="1000" b="0" i="0" u="none" strike="noStrike" baseline="30000">
                <a:solidFill>
                  <a:srgbClr val="000000"/>
                </a:solidFill>
                <a:latin typeface="Arial"/>
                <a:cs typeface="Arial"/>
              </a:rPr>
              <a:t>d</a:t>
            </a:r>
            <a:r>
              <a:rPr lang="en-US" sz="1000" b="0" i="0" u="none" strike="noStrike" baseline="-25000">
                <a:solidFill>
                  <a:srgbClr val="000000"/>
                </a:solidFill>
                <a:latin typeface="Arial"/>
                <a:cs typeface="Arial"/>
              </a:rPr>
              <a:t>a, on</a:t>
            </a: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t>
            </a:r>
            <a:r>
              <a:rPr lang="en-US" sz="1000" b="0" i="0" u="none" strike="noStrike" baseline="30000">
                <a:solidFill>
                  <a:srgbClr val="000000"/>
                </a:solidFill>
                <a:latin typeface="Arial"/>
                <a:cs typeface="Arial"/>
              </a:rPr>
              <a:t>d</a:t>
            </a:r>
            <a:r>
              <a:rPr lang="en-US" sz="1000" b="0" i="0" u="none" strike="noStrike" baseline="-25000">
                <a:solidFill>
                  <a:srgbClr val="000000"/>
                </a:solidFill>
                <a:latin typeface="Arial"/>
                <a:cs typeface="Arial"/>
              </a:rPr>
              <a:t>a, on</a:t>
            </a:r>
            <a:r>
              <a:rPr lang="en-US" sz="1000" b="0" i="0" u="none" strike="noStrike" baseline="0">
                <a:solidFill>
                  <a:srgbClr val="000000"/>
                </a:solidFill>
                <a:latin typeface="Arial"/>
                <a:cs typeface="Arial"/>
              </a:rPr>
              <a:t> = IRD / (Drying breathing rate of on-site adult)</a:t>
            </a:r>
          </a:p>
          <a:p>
            <a:pPr algn="l" rtl="0">
              <a:defRPr sz="1000"/>
            </a:pPr>
            <a:endParaRPr lang="en-US" sz="10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[Equation ?, Technical Note X]</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sp macro="" textlink="">
        <xdr:nvSpPr>
          <xdr:cNvPr id="8350" name="Text Box 158">
            <a:extLst>
              <a:ext uri="{FF2B5EF4-FFF2-40B4-BE49-F238E27FC236}">
                <a16:creationId xmlns:a16="http://schemas.microsoft.com/office/drawing/2014/main" id="{00000000-0008-0000-0700-00009E200000}"/>
              </a:ext>
            </a:extLst>
          </xdr:cNvPr>
          <xdr:cNvSpPr txBox="1">
            <a:spLocks noChangeArrowheads="1"/>
          </xdr:cNvSpPr>
        </xdr:nvSpPr>
        <xdr:spPr bwMode="auto">
          <a:xfrm>
            <a:off x="34832925" y="64160400"/>
            <a:ext cx="0" cy="0"/>
          </a:xfrm>
          <a:prstGeom prst="rect">
            <a:avLst/>
          </a:prstGeom>
          <a:solidFill>
            <a:srgbClr val="FFFFCC"/>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sng" strike="noStrike" baseline="0">
                <a:solidFill>
                  <a:srgbClr val="000000"/>
                </a:solidFill>
                <a:latin typeface="Arial"/>
                <a:cs typeface="Arial"/>
              </a:rPr>
              <a:t>Step 11b </a:t>
            </a:r>
            <a:r>
              <a:rPr lang="en-US" sz="1000" b="0" i="0" u="sng" strike="noStrike" baseline="0">
                <a:solidFill>
                  <a:srgbClr val="000000"/>
                </a:solidFill>
                <a:latin typeface="Arial"/>
                <a:cs typeface="Arial"/>
              </a:rPr>
              <a:t>(Column AH):</a:t>
            </a:r>
            <a:r>
              <a:rPr lang="en-US" sz="1000" b="0" i="0" u="none" strike="noStrike" baseline="0">
                <a:solidFill>
                  <a:srgbClr val="000000"/>
                </a:solidFill>
                <a:latin typeface="Arial"/>
                <a:cs typeface="Arial"/>
              </a:rPr>
              <a:t>  Calculate the allowable </a:t>
            </a:r>
            <a:r>
              <a:rPr lang="en-US" sz="1000" b="0" i="1" u="sng" strike="noStrike" baseline="0">
                <a:solidFill>
                  <a:srgbClr val="000000"/>
                </a:solidFill>
                <a:latin typeface="Arial"/>
                <a:cs typeface="Arial"/>
              </a:rPr>
              <a:t>on-site</a:t>
            </a:r>
            <a:r>
              <a:rPr lang="en-US" sz="1000" b="0" i="0" u="none" strike="noStrike" baseline="0">
                <a:solidFill>
                  <a:srgbClr val="000000"/>
                </a:solidFill>
                <a:latin typeface="Arial"/>
                <a:cs typeface="Arial"/>
              </a:rPr>
              <a:t> air emission (E</a:t>
            </a:r>
            <a:r>
              <a:rPr lang="en-US" sz="1000" b="0" i="0" u="none" strike="noStrike" baseline="30000">
                <a:solidFill>
                  <a:srgbClr val="000000"/>
                </a:solidFill>
                <a:latin typeface="Arial"/>
                <a:cs typeface="Arial"/>
              </a:rPr>
              <a:t>d</a:t>
            </a:r>
            <a:r>
              <a:rPr lang="en-US" sz="1000" b="0" i="0" u="none" strike="noStrike" baseline="-25000">
                <a:solidFill>
                  <a:srgbClr val="000000"/>
                </a:solidFill>
                <a:latin typeface="Arial"/>
                <a:cs typeface="Arial"/>
              </a:rPr>
              <a:t>on</a:t>
            </a:r>
            <a:r>
              <a:rPr lang="en-US" sz="1000" b="0" i="0" u="none" strike="noStrike" baseline="0">
                <a:solidFill>
                  <a:srgbClr val="000000"/>
                </a:solidFill>
                <a:latin typeface="Arial"/>
                <a:cs typeface="Arial"/>
              </a:rPr>
              <a:t>) based on the allowable on-site air concentration from Step 11a.</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E</a:t>
            </a:r>
            <a:r>
              <a:rPr lang="en-US" sz="1000" b="0" i="0" u="none" strike="noStrike" baseline="30000">
                <a:solidFill>
                  <a:srgbClr val="000000"/>
                </a:solidFill>
                <a:latin typeface="Arial"/>
                <a:cs typeface="Arial"/>
              </a:rPr>
              <a:t>d</a:t>
            </a:r>
            <a:r>
              <a:rPr lang="en-US" sz="1000" b="0" i="0" u="none" strike="noStrike" baseline="-25000">
                <a:solidFill>
                  <a:srgbClr val="000000"/>
                </a:solidFill>
                <a:latin typeface="Arial"/>
                <a:cs typeface="Arial"/>
              </a:rPr>
              <a:t>on</a:t>
            </a:r>
            <a:r>
              <a:rPr lang="en-US" sz="1000" b="0" i="0" u="none" strike="noStrike" baseline="0">
                <a:solidFill>
                  <a:srgbClr val="000000"/>
                </a:solidFill>
                <a:latin typeface="Arial"/>
                <a:cs typeface="Arial"/>
              </a:rPr>
              <a:t> = [ C</a:t>
            </a:r>
            <a:r>
              <a:rPr lang="en-US" sz="1000" b="0" i="0" u="none" strike="noStrike" baseline="30000">
                <a:solidFill>
                  <a:srgbClr val="000000"/>
                </a:solidFill>
                <a:latin typeface="Arial"/>
                <a:cs typeface="Arial"/>
              </a:rPr>
              <a:t>d</a:t>
            </a:r>
            <a:r>
              <a:rPr lang="en-US" sz="1000" b="0" i="0" u="none" strike="noStrike" baseline="-25000">
                <a:solidFill>
                  <a:srgbClr val="000000"/>
                </a:solidFill>
                <a:latin typeface="Arial"/>
                <a:cs typeface="Arial"/>
              </a:rPr>
              <a:t>a, on</a:t>
            </a:r>
            <a:r>
              <a:rPr lang="en-US" sz="1000" b="0" i="0" u="none" strike="noStrike" baseline="0">
                <a:solidFill>
                  <a:srgbClr val="000000"/>
                </a:solidFill>
                <a:latin typeface="Arial"/>
                <a:cs typeface="Arial"/>
              </a:rPr>
              <a:t> * (CDF Width) * 3 * v</a:t>
            </a:r>
            <a:r>
              <a:rPr lang="en-US" sz="1000" b="0" i="0" u="none" strike="noStrike" baseline="-25000">
                <a:solidFill>
                  <a:srgbClr val="000000"/>
                </a:solidFill>
                <a:latin typeface="Arial"/>
                <a:cs typeface="Arial"/>
              </a:rPr>
              <a:t>x</a:t>
            </a:r>
            <a:r>
              <a:rPr lang="en-US" sz="1000" b="0" i="0" u="none" strike="noStrike" baseline="0">
                <a:solidFill>
                  <a:srgbClr val="000000"/>
                </a:solidFill>
                <a:latin typeface="Arial"/>
                <a:cs typeface="Arial"/>
              </a:rPr>
              <a:t> ] / (1000 mg/g)</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[Equation ?, Technical Note X]</a:t>
            </a:r>
          </a:p>
        </xdr:txBody>
      </xdr:sp>
      <xdr:cxnSp macro="">
        <xdr:nvCxnSpPr>
          <xdr:cNvPr id="8650" name="AutoShape 163">
            <a:extLst>
              <a:ext uri="{FF2B5EF4-FFF2-40B4-BE49-F238E27FC236}">
                <a16:creationId xmlns:a16="http://schemas.microsoft.com/office/drawing/2014/main" id="{00000000-0008-0000-0700-0000CA210000}"/>
              </a:ext>
            </a:extLst>
          </xdr:cNvPr>
          <xdr:cNvCxnSpPr>
            <a:cxnSpLocks noChangeShapeType="1"/>
            <a:stCxn id="8349" idx="2"/>
            <a:endCxn id="8350" idx="0"/>
          </xdr:cNvCxnSpPr>
        </xdr:nvCxnSpPr>
        <xdr:spPr bwMode="auto">
          <a:xfrm>
            <a:off x="1701" y="6486"/>
            <a:ext cx="0" cy="25"/>
          </a:xfrm>
          <a:prstGeom prst="straightConnector1">
            <a:avLst/>
          </a:prstGeom>
          <a:noFill/>
          <a:ln w="9525">
            <a:solidFill>
              <a:srgbClr val="000000"/>
            </a:solidFill>
            <a:round/>
            <a:headEnd/>
            <a:tailEnd type="stealth" w="med" len="med"/>
          </a:ln>
        </xdr:spPr>
      </xdr:cxnSp>
      <xdr:sp macro="" textlink="">
        <xdr:nvSpPr>
          <xdr:cNvPr id="8374" name="Text Box 182">
            <a:extLst>
              <a:ext uri="{FF2B5EF4-FFF2-40B4-BE49-F238E27FC236}">
                <a16:creationId xmlns:a16="http://schemas.microsoft.com/office/drawing/2014/main" id="{00000000-0008-0000-0700-0000B6200000}"/>
              </a:ext>
            </a:extLst>
          </xdr:cNvPr>
          <xdr:cNvSpPr txBox="1">
            <a:spLocks noChangeArrowheads="1"/>
          </xdr:cNvSpPr>
        </xdr:nvSpPr>
        <xdr:spPr bwMode="auto">
          <a:xfrm>
            <a:off x="34832925" y="64160400"/>
            <a:ext cx="0" cy="0"/>
          </a:xfrm>
          <a:prstGeom prst="rect">
            <a:avLst/>
          </a:prstGeom>
          <a:solidFill>
            <a:srgbClr val="FFFFCC"/>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sng" strike="noStrike" baseline="0">
                <a:solidFill>
                  <a:srgbClr val="000000"/>
                </a:solidFill>
                <a:latin typeface="Arial"/>
                <a:cs typeface="Arial"/>
              </a:rPr>
              <a:t>Step 11c </a:t>
            </a:r>
            <a:r>
              <a:rPr lang="en-US" sz="1000" b="0" i="0" u="sng" strike="noStrike" baseline="0">
                <a:solidFill>
                  <a:srgbClr val="000000"/>
                </a:solidFill>
                <a:latin typeface="Arial"/>
                <a:cs typeface="Arial"/>
              </a:rPr>
              <a:t>(Column AI):</a:t>
            </a:r>
            <a:r>
              <a:rPr lang="en-US" sz="1000" b="0" i="0" u="none" strike="noStrike" baseline="0">
                <a:solidFill>
                  <a:srgbClr val="000000"/>
                </a:solidFill>
                <a:latin typeface="Arial"/>
                <a:cs typeface="Arial"/>
              </a:rPr>
              <a:t>  Calculate the allowable</a:t>
            </a:r>
            <a:r>
              <a:rPr lang="en-US" sz="1000" b="0" i="1" u="sng" strike="noStrike" baseline="0">
                <a:solidFill>
                  <a:srgbClr val="000000"/>
                </a:solidFill>
                <a:latin typeface="Arial"/>
                <a:cs typeface="Arial"/>
              </a:rPr>
              <a:t> on-site</a:t>
            </a:r>
            <a:r>
              <a:rPr lang="en-US" sz="1000" b="0" i="0" u="none" strike="noStrike" baseline="0">
                <a:solidFill>
                  <a:srgbClr val="000000"/>
                </a:solidFill>
                <a:latin typeface="Arial"/>
                <a:cs typeface="Arial"/>
              </a:rPr>
              <a:t> volatile flux (N</a:t>
            </a:r>
            <a:r>
              <a:rPr lang="en-US" sz="1000" b="0" i="0" u="none" strike="noStrike" baseline="-25000">
                <a:solidFill>
                  <a:srgbClr val="000000"/>
                </a:solidFill>
                <a:latin typeface="Arial"/>
                <a:cs typeface="Arial"/>
              </a:rPr>
              <a:t>on</a:t>
            </a:r>
            <a:r>
              <a:rPr lang="en-US" sz="1000" b="0" i="0" u="none" strike="noStrike" baseline="0">
                <a:solidFill>
                  <a:srgbClr val="000000"/>
                </a:solidFill>
                <a:latin typeface="Arial"/>
                <a:cs typeface="Arial"/>
              </a:rPr>
              <a:t>) from the ponded surface based on the allowable on-site air emission from Step 2:</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a:t>
            </a:r>
            <a:r>
              <a:rPr lang="en-US" sz="1000" b="0" i="0" u="none" strike="noStrike" baseline="30000">
                <a:solidFill>
                  <a:srgbClr val="000000"/>
                </a:solidFill>
                <a:latin typeface="Arial"/>
                <a:cs typeface="Arial"/>
              </a:rPr>
              <a:t>d</a:t>
            </a:r>
            <a:r>
              <a:rPr lang="en-US" sz="1000" b="0" i="0" u="none" strike="noStrike" baseline="-25000">
                <a:solidFill>
                  <a:srgbClr val="000000"/>
                </a:solidFill>
                <a:latin typeface="Arial"/>
                <a:cs typeface="Arial"/>
              </a:rPr>
              <a:t>on</a:t>
            </a:r>
            <a:r>
              <a:rPr lang="en-US" sz="1000" b="0" i="0" u="none" strike="noStrike" baseline="0">
                <a:solidFill>
                  <a:srgbClr val="000000"/>
                </a:solidFill>
                <a:latin typeface="Arial"/>
                <a:cs typeface="Arial"/>
              </a:rPr>
              <a:t> = E</a:t>
            </a:r>
            <a:r>
              <a:rPr lang="en-US" sz="1000" b="0" i="0" u="none" strike="noStrike" baseline="30000">
                <a:solidFill>
                  <a:srgbClr val="000000"/>
                </a:solidFill>
                <a:latin typeface="Arial"/>
                <a:cs typeface="Arial"/>
              </a:rPr>
              <a:t>d</a:t>
            </a:r>
            <a:r>
              <a:rPr lang="en-US" sz="1000" b="0" i="0" u="none" strike="noStrike" baseline="-25000">
                <a:solidFill>
                  <a:srgbClr val="000000"/>
                </a:solidFill>
                <a:latin typeface="Arial"/>
                <a:cs typeface="Arial"/>
              </a:rPr>
              <a:t>on</a:t>
            </a:r>
            <a:r>
              <a:rPr lang="en-US" sz="1000" b="0" i="0" u="none" strike="noStrike" baseline="0">
                <a:solidFill>
                  <a:srgbClr val="000000"/>
                </a:solidFill>
                <a:latin typeface="Arial"/>
                <a:cs typeface="Arial"/>
              </a:rPr>
              <a:t> / [ L *W * (100 cm/m)</a:t>
            </a:r>
            <a:r>
              <a:rPr lang="en-US" sz="1000" b="0" i="0" u="none" strike="noStrike" baseline="30000">
                <a:solidFill>
                  <a:srgbClr val="000000"/>
                </a:solidFill>
                <a:latin typeface="Arial"/>
                <a:cs typeface="Arial"/>
              </a:rPr>
              <a:t>2</a:t>
            </a: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[Equation ?, Technical Note X]</a:t>
            </a:r>
          </a:p>
        </xdr:txBody>
      </xdr:sp>
      <xdr:cxnSp macro="">
        <xdr:nvCxnSpPr>
          <xdr:cNvPr id="8652" name="AutoShape 183">
            <a:extLst>
              <a:ext uri="{FF2B5EF4-FFF2-40B4-BE49-F238E27FC236}">
                <a16:creationId xmlns:a16="http://schemas.microsoft.com/office/drawing/2014/main" id="{00000000-0008-0000-0700-0000CC210000}"/>
              </a:ext>
            </a:extLst>
          </xdr:cNvPr>
          <xdr:cNvCxnSpPr>
            <a:cxnSpLocks noChangeShapeType="1"/>
          </xdr:cNvCxnSpPr>
        </xdr:nvCxnSpPr>
        <xdr:spPr bwMode="auto">
          <a:xfrm>
            <a:off x="1696" y="6660"/>
            <a:ext cx="0" cy="21"/>
          </a:xfrm>
          <a:prstGeom prst="straightConnector1">
            <a:avLst/>
          </a:prstGeom>
          <a:noFill/>
          <a:ln w="9525">
            <a:solidFill>
              <a:srgbClr val="000000"/>
            </a:solidFill>
            <a:round/>
            <a:headEnd/>
            <a:tailEnd type="stealth" w="med" len="med"/>
          </a:ln>
        </xdr:spPr>
      </xdr:cxnSp>
      <xdr:sp macro="" textlink="">
        <xdr:nvSpPr>
          <xdr:cNvPr id="8376" name="Text Box 184">
            <a:extLst>
              <a:ext uri="{FF2B5EF4-FFF2-40B4-BE49-F238E27FC236}">
                <a16:creationId xmlns:a16="http://schemas.microsoft.com/office/drawing/2014/main" id="{00000000-0008-0000-0700-0000B8200000}"/>
              </a:ext>
            </a:extLst>
          </xdr:cNvPr>
          <xdr:cNvSpPr txBox="1">
            <a:spLocks noChangeArrowheads="1"/>
          </xdr:cNvSpPr>
        </xdr:nvSpPr>
        <xdr:spPr bwMode="auto">
          <a:xfrm>
            <a:off x="34832925" y="64160400"/>
            <a:ext cx="0" cy="0"/>
          </a:xfrm>
          <a:prstGeom prst="rect">
            <a:avLst/>
          </a:prstGeom>
          <a:solidFill>
            <a:srgbClr val="FFFFCC"/>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sng" strike="noStrike" baseline="0">
                <a:solidFill>
                  <a:srgbClr val="000000"/>
                </a:solidFill>
                <a:latin typeface="Arial"/>
                <a:cs typeface="Arial"/>
              </a:rPr>
              <a:t>Step 13 </a:t>
            </a:r>
            <a:r>
              <a:rPr lang="en-US" sz="1000" b="0" i="0" u="sng" strike="noStrike" baseline="0">
                <a:solidFill>
                  <a:srgbClr val="000000"/>
                </a:solidFill>
                <a:latin typeface="Arial"/>
                <a:cs typeface="Arial"/>
              </a:rPr>
              <a:t>(Column AS):</a:t>
            </a:r>
            <a:r>
              <a:rPr lang="en-US" sz="1000" b="0" i="0" u="none" strike="noStrike" baseline="0">
                <a:solidFill>
                  <a:srgbClr val="000000"/>
                </a:solidFill>
                <a:latin typeface="Arial"/>
                <a:cs typeface="Arial"/>
              </a:rPr>
              <a:t>   Select the Smaller of q</a:t>
            </a:r>
            <a:r>
              <a:rPr lang="en-US" sz="1000" b="0" i="0" u="none" strike="noStrike" baseline="30000">
                <a:solidFill>
                  <a:srgbClr val="000000"/>
                </a:solidFill>
                <a:latin typeface="Arial"/>
                <a:cs typeface="Arial"/>
              </a:rPr>
              <a:t>d</a:t>
            </a:r>
            <a:r>
              <a:rPr lang="en-US" sz="1000" b="0" i="0" u="none" strike="noStrike" baseline="-25000">
                <a:solidFill>
                  <a:srgbClr val="000000"/>
                </a:solidFill>
                <a:latin typeface="Arial"/>
                <a:cs typeface="Arial"/>
              </a:rPr>
              <a:t>sed,on</a:t>
            </a:r>
            <a:r>
              <a:rPr lang="en-US" sz="1000" b="0" i="0" u="none" strike="noStrike" baseline="0">
                <a:solidFill>
                  <a:srgbClr val="000000"/>
                </a:solidFill>
                <a:latin typeface="Arial"/>
                <a:cs typeface="Arial"/>
              </a:rPr>
              <a:t> or q</a:t>
            </a:r>
            <a:r>
              <a:rPr lang="en-US" sz="1000" b="0" i="0" u="none" strike="noStrike" baseline="30000">
                <a:solidFill>
                  <a:srgbClr val="000000"/>
                </a:solidFill>
                <a:latin typeface="Arial"/>
                <a:cs typeface="Arial"/>
              </a:rPr>
              <a:t>d</a:t>
            </a:r>
            <a:r>
              <a:rPr lang="en-US" sz="1000" b="0" i="0" u="none" strike="noStrike" baseline="-25000">
                <a:solidFill>
                  <a:srgbClr val="000000"/>
                </a:solidFill>
                <a:latin typeface="Arial"/>
                <a:cs typeface="Arial"/>
              </a:rPr>
              <a:t>sed,off</a:t>
            </a:r>
            <a:r>
              <a:rPr lang="en-US" sz="1000" b="0" i="0" u="none" strike="noStrike" baseline="0">
                <a:solidFill>
                  <a:srgbClr val="000000"/>
                </a:solidFill>
                <a:latin typeface="Arial"/>
                <a:cs typeface="Arial"/>
              </a:rPr>
              <a:t>, and adjust for leachable fraction (LF) and SCF.</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sp macro="" textlink="">
        <xdr:nvSpPr>
          <xdr:cNvPr id="8377" name="Text Box 185">
            <a:extLst>
              <a:ext uri="{FF2B5EF4-FFF2-40B4-BE49-F238E27FC236}">
                <a16:creationId xmlns:a16="http://schemas.microsoft.com/office/drawing/2014/main" id="{00000000-0008-0000-0700-0000B9200000}"/>
              </a:ext>
            </a:extLst>
          </xdr:cNvPr>
          <xdr:cNvSpPr txBox="1">
            <a:spLocks noChangeArrowheads="1"/>
          </xdr:cNvSpPr>
        </xdr:nvSpPr>
        <xdr:spPr bwMode="auto">
          <a:xfrm>
            <a:off x="34832925" y="64160400"/>
            <a:ext cx="0" cy="0"/>
          </a:xfrm>
          <a:prstGeom prst="rect">
            <a:avLst/>
          </a:prstGeom>
          <a:solidFill>
            <a:srgbClr val="FFFFCC"/>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sng" strike="noStrike" baseline="0">
                <a:solidFill>
                  <a:srgbClr val="000000"/>
                </a:solidFill>
                <a:latin typeface="Arial"/>
                <a:cs typeface="Arial"/>
              </a:rPr>
              <a:t>Step 12a </a:t>
            </a:r>
            <a:r>
              <a:rPr lang="en-US" sz="1000" b="0" i="0" u="sng" strike="noStrike" baseline="0">
                <a:solidFill>
                  <a:srgbClr val="000000"/>
                </a:solidFill>
                <a:latin typeface="Arial"/>
                <a:cs typeface="Arial"/>
              </a:rPr>
              <a:t>(Column AM):</a:t>
            </a:r>
            <a:r>
              <a:rPr lang="en-US" sz="1000" b="0" i="0" u="none" strike="noStrike" baseline="0">
                <a:solidFill>
                  <a:srgbClr val="000000"/>
                </a:solidFill>
                <a:latin typeface="Arial"/>
                <a:cs typeface="Arial"/>
              </a:rPr>
              <a:t>  Calculate the allowable </a:t>
            </a:r>
            <a:r>
              <a:rPr lang="en-US" sz="1000" b="0" i="1" u="sng" strike="noStrike" baseline="0">
                <a:solidFill>
                  <a:srgbClr val="000000"/>
                </a:solidFill>
                <a:latin typeface="Arial"/>
                <a:cs typeface="Arial"/>
              </a:rPr>
              <a:t>off-site</a:t>
            </a:r>
            <a:r>
              <a:rPr lang="en-US" sz="1000" b="0" i="0" u="none" strike="noStrike" baseline="0">
                <a:solidFill>
                  <a:srgbClr val="000000"/>
                </a:solidFill>
                <a:latin typeface="Arial"/>
                <a:cs typeface="Arial"/>
              </a:rPr>
              <a:t> air concentration (C</a:t>
            </a:r>
            <a:r>
              <a:rPr lang="en-US" sz="1000" b="0" i="0" u="none" strike="noStrike" baseline="30000">
                <a:solidFill>
                  <a:srgbClr val="000000"/>
                </a:solidFill>
                <a:latin typeface="Arial"/>
                <a:cs typeface="Arial"/>
              </a:rPr>
              <a:t>d</a:t>
            </a:r>
            <a:r>
              <a:rPr lang="en-US" sz="1000" b="0" i="0" u="none" strike="noStrike" baseline="-25000">
                <a:solidFill>
                  <a:srgbClr val="000000"/>
                </a:solidFill>
                <a:latin typeface="Arial"/>
                <a:cs typeface="Arial"/>
              </a:rPr>
              <a:t>a, off</a:t>
            </a: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t>
            </a:r>
            <a:r>
              <a:rPr lang="en-US" sz="1000" b="0" i="0" u="none" strike="noStrike" baseline="30000">
                <a:solidFill>
                  <a:srgbClr val="000000"/>
                </a:solidFill>
                <a:latin typeface="Arial"/>
                <a:cs typeface="Arial"/>
              </a:rPr>
              <a:t>d</a:t>
            </a:r>
            <a:r>
              <a:rPr lang="en-US" sz="1000" b="0" i="0" u="none" strike="noStrike" baseline="-25000">
                <a:solidFill>
                  <a:srgbClr val="000000"/>
                </a:solidFill>
                <a:latin typeface="Arial"/>
                <a:cs typeface="Arial"/>
              </a:rPr>
              <a:t>a, off</a:t>
            </a:r>
            <a:r>
              <a:rPr lang="en-US" sz="1000" b="0" i="0" u="none" strike="noStrike" baseline="0">
                <a:solidFill>
                  <a:srgbClr val="000000"/>
                </a:solidFill>
                <a:latin typeface="Arial"/>
                <a:cs typeface="Arial"/>
              </a:rPr>
              <a:t> = IRD / (Drying breathing rate of off-site child)</a:t>
            </a:r>
          </a:p>
          <a:p>
            <a:pPr algn="l" rtl="0">
              <a:defRPr sz="1000"/>
            </a:pPr>
            <a:endParaRPr lang="en-US" sz="10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[Equation ?, Technical Note X]</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sp macro="" textlink="">
        <xdr:nvSpPr>
          <xdr:cNvPr id="8378" name="Text Box 186">
            <a:extLst>
              <a:ext uri="{FF2B5EF4-FFF2-40B4-BE49-F238E27FC236}">
                <a16:creationId xmlns:a16="http://schemas.microsoft.com/office/drawing/2014/main" id="{00000000-0008-0000-0700-0000BA200000}"/>
              </a:ext>
            </a:extLst>
          </xdr:cNvPr>
          <xdr:cNvSpPr txBox="1">
            <a:spLocks noChangeArrowheads="1"/>
          </xdr:cNvSpPr>
        </xdr:nvSpPr>
        <xdr:spPr bwMode="auto">
          <a:xfrm>
            <a:off x="34832925" y="64160400"/>
            <a:ext cx="0" cy="0"/>
          </a:xfrm>
          <a:prstGeom prst="rect">
            <a:avLst/>
          </a:prstGeom>
          <a:solidFill>
            <a:srgbClr val="FFFFCC"/>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sng" strike="noStrike" baseline="0">
                <a:solidFill>
                  <a:srgbClr val="000000"/>
                </a:solidFill>
                <a:latin typeface="Arial"/>
                <a:cs typeface="Arial"/>
              </a:rPr>
              <a:t>Step 12b </a:t>
            </a:r>
            <a:r>
              <a:rPr lang="en-US" sz="1000" b="0" i="0" u="sng" strike="noStrike" baseline="0">
                <a:solidFill>
                  <a:srgbClr val="000000"/>
                </a:solidFill>
                <a:latin typeface="Arial"/>
                <a:cs typeface="Arial"/>
              </a:rPr>
              <a:t>(Column AN):</a:t>
            </a:r>
            <a:r>
              <a:rPr lang="en-US" sz="1000" b="0" i="0" u="none" strike="noStrike" baseline="0">
                <a:solidFill>
                  <a:srgbClr val="000000"/>
                </a:solidFill>
                <a:latin typeface="Arial"/>
                <a:cs typeface="Arial"/>
              </a:rPr>
              <a:t>  Calculate the allowable </a:t>
            </a:r>
            <a:r>
              <a:rPr lang="en-US" sz="1000" b="0" i="1" u="sng" strike="noStrike" baseline="0">
                <a:solidFill>
                  <a:srgbClr val="000000"/>
                </a:solidFill>
                <a:latin typeface="Arial"/>
                <a:cs typeface="Arial"/>
              </a:rPr>
              <a:t>off-site</a:t>
            </a:r>
            <a:r>
              <a:rPr lang="en-US" sz="1000" b="0" i="0" u="none" strike="noStrike" baseline="0">
                <a:solidFill>
                  <a:srgbClr val="000000"/>
                </a:solidFill>
                <a:latin typeface="Arial"/>
                <a:cs typeface="Arial"/>
              </a:rPr>
              <a:t> air emission (E</a:t>
            </a:r>
            <a:r>
              <a:rPr lang="en-US" sz="1000" b="0" i="0" u="none" strike="noStrike" baseline="30000">
                <a:solidFill>
                  <a:srgbClr val="000000"/>
                </a:solidFill>
                <a:latin typeface="Arial"/>
                <a:cs typeface="Arial"/>
              </a:rPr>
              <a:t>d</a:t>
            </a:r>
            <a:r>
              <a:rPr lang="en-US" sz="1000" b="0" i="0" u="none" strike="noStrike" baseline="-25000">
                <a:solidFill>
                  <a:srgbClr val="000000"/>
                </a:solidFill>
                <a:latin typeface="Arial"/>
                <a:cs typeface="Arial"/>
              </a:rPr>
              <a:t>off</a:t>
            </a:r>
            <a:r>
              <a:rPr lang="en-US" sz="1000" b="0" i="0" u="none" strike="noStrike" baseline="0">
                <a:solidFill>
                  <a:srgbClr val="000000"/>
                </a:solidFill>
                <a:latin typeface="Arial"/>
                <a:cs typeface="Arial"/>
              </a:rPr>
              <a:t>) based on the allowable off-site air concentration from Step 1.</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E</a:t>
            </a:r>
            <a:r>
              <a:rPr lang="en-US" sz="1000" b="0" i="0" u="none" strike="noStrike" baseline="30000">
                <a:solidFill>
                  <a:srgbClr val="000000"/>
                </a:solidFill>
                <a:latin typeface="Arial"/>
                <a:cs typeface="Arial"/>
              </a:rPr>
              <a:t>d</a:t>
            </a:r>
            <a:r>
              <a:rPr lang="en-US" sz="1000" b="0" i="0" u="none" strike="noStrike" baseline="-25000">
                <a:solidFill>
                  <a:srgbClr val="000000"/>
                </a:solidFill>
                <a:latin typeface="Arial"/>
                <a:cs typeface="Arial"/>
              </a:rPr>
              <a:t>off</a:t>
            </a:r>
            <a:r>
              <a:rPr lang="en-US" sz="1000" b="0" i="0" u="none" strike="noStrike" baseline="0">
                <a:solidFill>
                  <a:srgbClr val="000000"/>
                </a:solidFill>
                <a:latin typeface="Arial"/>
                <a:cs typeface="Arial"/>
              </a:rPr>
              <a:t> = C</a:t>
            </a:r>
            <a:r>
              <a:rPr lang="en-US" sz="1000" b="0" i="0" u="none" strike="noStrike" baseline="30000">
                <a:solidFill>
                  <a:srgbClr val="000000"/>
                </a:solidFill>
                <a:latin typeface="Arial"/>
                <a:cs typeface="Arial"/>
              </a:rPr>
              <a:t>d</a:t>
            </a:r>
            <a:r>
              <a:rPr lang="en-US" sz="1000" b="0" i="0" u="none" strike="noStrike" baseline="-25000">
                <a:solidFill>
                  <a:srgbClr val="000000"/>
                </a:solidFill>
                <a:latin typeface="Arial"/>
                <a:cs typeface="Arial"/>
              </a:rPr>
              <a:t>a, off</a:t>
            </a:r>
            <a:r>
              <a:rPr lang="en-US" sz="1000" b="0" i="0" u="none" strike="noStrike" baseline="0">
                <a:solidFill>
                  <a:srgbClr val="000000"/>
                </a:solidFill>
                <a:latin typeface="Arial"/>
                <a:cs typeface="Arial"/>
              </a:rPr>
              <a:t> / U</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[Equation ?, Technical Note X]</a:t>
            </a:r>
          </a:p>
        </xdr:txBody>
      </xdr:sp>
      <xdr:sp macro="" textlink="">
        <xdr:nvSpPr>
          <xdr:cNvPr id="8379" name="Text Box 187">
            <a:extLst>
              <a:ext uri="{FF2B5EF4-FFF2-40B4-BE49-F238E27FC236}">
                <a16:creationId xmlns:a16="http://schemas.microsoft.com/office/drawing/2014/main" id="{00000000-0008-0000-0700-0000BB200000}"/>
              </a:ext>
            </a:extLst>
          </xdr:cNvPr>
          <xdr:cNvSpPr txBox="1">
            <a:spLocks noChangeArrowheads="1"/>
          </xdr:cNvSpPr>
        </xdr:nvSpPr>
        <xdr:spPr bwMode="auto">
          <a:xfrm>
            <a:off x="34832925" y="64160400"/>
            <a:ext cx="0" cy="0"/>
          </a:xfrm>
          <a:prstGeom prst="rect">
            <a:avLst/>
          </a:prstGeom>
          <a:solidFill>
            <a:srgbClr val="FFFFCC"/>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sng" strike="noStrike" baseline="0">
                <a:solidFill>
                  <a:srgbClr val="000000"/>
                </a:solidFill>
                <a:latin typeface="Arial"/>
                <a:cs typeface="Arial"/>
              </a:rPr>
              <a:t>Step 12c </a:t>
            </a:r>
            <a:r>
              <a:rPr lang="en-US" sz="1000" b="0" i="0" u="sng" strike="noStrike" baseline="0">
                <a:solidFill>
                  <a:srgbClr val="000000"/>
                </a:solidFill>
                <a:latin typeface="Arial"/>
                <a:cs typeface="Arial"/>
              </a:rPr>
              <a:t>(Column AO):</a:t>
            </a:r>
            <a:r>
              <a:rPr lang="en-US" sz="1000" b="0" i="0" u="none" strike="noStrike" baseline="0">
                <a:solidFill>
                  <a:srgbClr val="000000"/>
                </a:solidFill>
                <a:latin typeface="Arial"/>
                <a:cs typeface="Arial"/>
              </a:rPr>
              <a:t>  Calculate the allowable </a:t>
            </a:r>
            <a:r>
              <a:rPr lang="en-US" sz="1000" b="0" i="1" u="sng" strike="noStrike" baseline="0">
                <a:solidFill>
                  <a:srgbClr val="000000"/>
                </a:solidFill>
                <a:latin typeface="Arial"/>
                <a:cs typeface="Arial"/>
              </a:rPr>
              <a:t>off-site</a:t>
            </a:r>
            <a:r>
              <a:rPr lang="en-US" sz="1000" b="0" i="0" u="none" strike="noStrike" baseline="0">
                <a:solidFill>
                  <a:srgbClr val="000000"/>
                </a:solidFill>
                <a:latin typeface="Arial"/>
                <a:cs typeface="Arial"/>
              </a:rPr>
              <a:t> volatile flux (N</a:t>
            </a:r>
            <a:r>
              <a:rPr lang="en-US" sz="1000" b="0" i="0" u="none" strike="noStrike" baseline="30000">
                <a:solidFill>
                  <a:srgbClr val="000000"/>
                </a:solidFill>
                <a:latin typeface="Arial"/>
                <a:cs typeface="Arial"/>
              </a:rPr>
              <a:t>d</a:t>
            </a:r>
            <a:r>
              <a:rPr lang="en-US" sz="1000" b="0" i="0" u="none" strike="noStrike" baseline="-25000">
                <a:solidFill>
                  <a:srgbClr val="000000"/>
                </a:solidFill>
                <a:latin typeface="Arial"/>
                <a:cs typeface="Arial"/>
              </a:rPr>
              <a:t>off</a:t>
            </a:r>
            <a:r>
              <a:rPr lang="en-US" sz="1000" b="0" i="0" u="none" strike="noStrike" baseline="0">
                <a:solidFill>
                  <a:srgbClr val="000000"/>
                </a:solidFill>
                <a:latin typeface="Arial"/>
                <a:cs typeface="Arial"/>
              </a:rPr>
              <a:t>) from the ponded surface based on the allowable off-site air emission from Step 12b:</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a:t>
            </a:r>
            <a:r>
              <a:rPr lang="en-US" sz="1000" b="0" i="0" u="none" strike="noStrike" baseline="30000">
                <a:solidFill>
                  <a:srgbClr val="000000"/>
                </a:solidFill>
                <a:latin typeface="Arial"/>
                <a:cs typeface="Arial"/>
              </a:rPr>
              <a:t>d</a:t>
            </a:r>
            <a:r>
              <a:rPr lang="en-US" sz="1000" b="0" i="0" u="none" strike="noStrike" baseline="-25000">
                <a:solidFill>
                  <a:srgbClr val="000000"/>
                </a:solidFill>
                <a:latin typeface="Arial"/>
                <a:cs typeface="Arial"/>
              </a:rPr>
              <a:t>off</a:t>
            </a:r>
            <a:r>
              <a:rPr lang="en-US" sz="1000" b="0" i="0" u="none" strike="noStrike" baseline="0">
                <a:solidFill>
                  <a:srgbClr val="000000"/>
                </a:solidFill>
                <a:latin typeface="Arial"/>
                <a:cs typeface="Arial"/>
              </a:rPr>
              <a:t> = E</a:t>
            </a:r>
            <a:r>
              <a:rPr lang="en-US" sz="1000" b="0" i="0" u="none" strike="noStrike" baseline="30000">
                <a:solidFill>
                  <a:srgbClr val="000000"/>
                </a:solidFill>
                <a:latin typeface="Arial"/>
                <a:cs typeface="Arial"/>
              </a:rPr>
              <a:t>d</a:t>
            </a:r>
            <a:r>
              <a:rPr lang="en-US" sz="1000" b="0" i="0" u="none" strike="noStrike" baseline="-25000">
                <a:solidFill>
                  <a:srgbClr val="000000"/>
                </a:solidFill>
                <a:latin typeface="Arial"/>
                <a:cs typeface="Arial"/>
              </a:rPr>
              <a:t>off</a:t>
            </a:r>
            <a:r>
              <a:rPr lang="en-US" sz="1000" b="0" i="0" u="none" strike="noStrike" baseline="0">
                <a:solidFill>
                  <a:srgbClr val="000000"/>
                </a:solidFill>
                <a:latin typeface="Arial"/>
                <a:cs typeface="Arial"/>
              </a:rPr>
              <a:t> / [ L *W * (100 cm/m)</a:t>
            </a:r>
            <a:r>
              <a:rPr lang="en-US" sz="1000" b="0" i="0" u="none" strike="noStrike" baseline="30000">
                <a:solidFill>
                  <a:srgbClr val="000000"/>
                </a:solidFill>
                <a:latin typeface="Arial"/>
                <a:cs typeface="Arial"/>
              </a:rPr>
              <a:t>2</a:t>
            </a: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[Equation ?, Technical Note X]</a:t>
            </a:r>
          </a:p>
        </xdr:txBody>
      </xdr:sp>
      <xdr:sp macro="" textlink="">
        <xdr:nvSpPr>
          <xdr:cNvPr id="8391" name="Text Box 199">
            <a:extLst>
              <a:ext uri="{FF2B5EF4-FFF2-40B4-BE49-F238E27FC236}">
                <a16:creationId xmlns:a16="http://schemas.microsoft.com/office/drawing/2014/main" id="{00000000-0008-0000-0700-0000C7200000}"/>
              </a:ext>
            </a:extLst>
          </xdr:cNvPr>
          <xdr:cNvSpPr txBox="1">
            <a:spLocks noChangeArrowheads="1"/>
          </xdr:cNvSpPr>
        </xdr:nvSpPr>
        <xdr:spPr bwMode="auto">
          <a:xfrm>
            <a:off x="34832925" y="64160400"/>
            <a:ext cx="0" cy="0"/>
          </a:xfrm>
          <a:prstGeom prst="rect">
            <a:avLst/>
          </a:prstGeom>
          <a:solidFill>
            <a:srgbClr val="FFFFCC"/>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sng" strike="noStrike" baseline="0">
                <a:solidFill>
                  <a:srgbClr val="000000"/>
                </a:solidFill>
                <a:latin typeface="Arial"/>
                <a:cs typeface="Arial"/>
              </a:rPr>
              <a:t>Step 9 </a:t>
            </a:r>
            <a:r>
              <a:rPr lang="en-US" sz="1000" b="0" i="0" u="sng" strike="noStrike" baseline="0">
                <a:solidFill>
                  <a:srgbClr val="000000"/>
                </a:solidFill>
                <a:latin typeface="Arial"/>
                <a:cs typeface="Arial"/>
              </a:rPr>
              <a:t>(Column AE):</a:t>
            </a:r>
            <a:r>
              <a:rPr lang="en-US" sz="1000" b="0" i="0" u="none" strike="noStrike" baseline="0">
                <a:solidFill>
                  <a:srgbClr val="000000"/>
                </a:solidFill>
                <a:latin typeface="Arial"/>
                <a:cs typeface="Arial"/>
              </a:rPr>
              <a:t>  Calculate the effective diffusivity in air: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D</a:t>
            </a:r>
            <a:r>
              <a:rPr lang="en-US" sz="1000" b="0" i="0" u="none" strike="noStrike" baseline="-25000">
                <a:solidFill>
                  <a:srgbClr val="000000"/>
                </a:solidFill>
                <a:latin typeface="Arial"/>
                <a:cs typeface="Arial"/>
              </a:rPr>
              <a:t>A3</a:t>
            </a:r>
            <a:r>
              <a:rPr lang="en-US" sz="1000" b="0" i="0" u="none" strike="noStrike" baseline="0">
                <a:solidFill>
                  <a:srgbClr val="000000"/>
                </a:solidFill>
                <a:latin typeface="Arial"/>
                <a:cs typeface="Arial"/>
              </a:rPr>
              <a:t> = D</a:t>
            </a:r>
            <a:r>
              <a:rPr lang="en-US" sz="1000" b="0" i="0" u="none" strike="noStrike" baseline="-25000">
                <a:solidFill>
                  <a:srgbClr val="000000"/>
                </a:solidFill>
                <a:latin typeface="Arial"/>
                <a:cs typeface="Arial"/>
              </a:rPr>
              <a:t>A1</a:t>
            </a:r>
            <a:r>
              <a:rPr lang="en-US" sz="1000" b="0" i="0" u="none" strike="noStrike" baseline="0">
                <a:solidFill>
                  <a:srgbClr val="000000"/>
                </a:solidFill>
                <a:latin typeface="Arial"/>
                <a:cs typeface="Arial"/>
              </a:rPr>
              <a:t> * (n</a:t>
            </a:r>
            <a:r>
              <a:rPr lang="en-US" sz="1000" b="0" i="0" u="none" strike="noStrike" baseline="-25000">
                <a:solidFill>
                  <a:srgbClr val="000000"/>
                </a:solidFill>
                <a:latin typeface="Arial"/>
                <a:cs typeface="Arial"/>
              </a:rPr>
              <a:t>a</a:t>
            </a:r>
            <a:r>
              <a:rPr lang="en-US" sz="1000" b="0" i="0" u="none" strike="noStrike" baseline="30000">
                <a:solidFill>
                  <a:srgbClr val="000000"/>
                </a:solidFill>
                <a:latin typeface="Arial"/>
                <a:cs typeface="Arial"/>
              </a:rPr>
              <a:t>3.33</a:t>
            </a:r>
            <a:r>
              <a:rPr lang="en-US" sz="1000" b="0" i="0" u="none" strike="noStrike" baseline="0">
                <a:solidFill>
                  <a:srgbClr val="000000"/>
                </a:solidFill>
                <a:latin typeface="Arial"/>
                <a:cs typeface="Arial"/>
              </a:rPr>
              <a:t>)/(n</a:t>
            </a:r>
            <a:r>
              <a:rPr lang="en-US" sz="1000" b="0" i="0" u="none" strike="noStrike" baseline="-25000">
                <a:solidFill>
                  <a:srgbClr val="000000"/>
                </a:solidFill>
                <a:latin typeface="Arial"/>
                <a:cs typeface="Arial"/>
              </a:rPr>
              <a:t>sed</a:t>
            </a:r>
            <a:r>
              <a:rPr lang="en-US" sz="1000" b="0" i="0" u="none" strike="noStrike" baseline="30000">
                <a:solidFill>
                  <a:srgbClr val="000000"/>
                </a:solidFill>
                <a:latin typeface="Arial"/>
                <a:cs typeface="Arial"/>
              </a:rPr>
              <a:t>2</a:t>
            </a:r>
            <a:r>
              <a:rPr lang="en-US" sz="1000" b="0" i="0" u="none" strike="noStrike" baseline="0">
                <a:solidFill>
                  <a:srgbClr val="000000"/>
                </a:solidFill>
                <a:latin typeface="Arial"/>
                <a:cs typeface="Arial"/>
              </a:rPr>
              <a:t>)</a:t>
            </a:r>
          </a:p>
          <a:p>
            <a:pPr algn="l" rtl="0">
              <a:defRPr sz="1000"/>
            </a:pPr>
            <a:endParaRPr lang="en-US" sz="10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[Equation ?, Technical Note X]</a:t>
            </a:r>
          </a:p>
        </xdr:txBody>
      </xdr:sp>
      <xdr:sp macro="" textlink="">
        <xdr:nvSpPr>
          <xdr:cNvPr id="8392" name="Text Box 200">
            <a:extLst>
              <a:ext uri="{FF2B5EF4-FFF2-40B4-BE49-F238E27FC236}">
                <a16:creationId xmlns:a16="http://schemas.microsoft.com/office/drawing/2014/main" id="{00000000-0008-0000-0700-0000C8200000}"/>
              </a:ext>
            </a:extLst>
          </xdr:cNvPr>
          <xdr:cNvSpPr txBox="1">
            <a:spLocks noChangeArrowheads="1"/>
          </xdr:cNvSpPr>
        </xdr:nvSpPr>
        <xdr:spPr bwMode="auto">
          <a:xfrm>
            <a:off x="34832925" y="64160400"/>
            <a:ext cx="0" cy="0"/>
          </a:xfrm>
          <a:prstGeom prst="rect">
            <a:avLst/>
          </a:prstGeom>
          <a:solidFill>
            <a:srgbClr val="FFFFCC"/>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sng" strike="noStrike" baseline="0">
                <a:solidFill>
                  <a:srgbClr val="000000"/>
                </a:solidFill>
                <a:latin typeface="Arial"/>
                <a:cs typeface="Arial"/>
              </a:rPr>
              <a:t>Step 11f </a:t>
            </a:r>
            <a:r>
              <a:rPr lang="en-US" sz="1000" b="0" i="0" u="sng" strike="noStrike" baseline="0">
                <a:solidFill>
                  <a:srgbClr val="000000"/>
                </a:solidFill>
                <a:latin typeface="Arial"/>
                <a:cs typeface="Arial"/>
              </a:rPr>
              <a:t>(Column AL):</a:t>
            </a:r>
            <a:r>
              <a:rPr lang="en-US" sz="1000" b="0" i="0" u="none" strike="noStrike" baseline="0">
                <a:solidFill>
                  <a:srgbClr val="000000"/>
                </a:solidFill>
                <a:latin typeface="Arial"/>
                <a:cs typeface="Arial"/>
              </a:rPr>
              <a:t> Calculate the allowable on-site sediment concentration under drying conditions: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q</a:t>
            </a:r>
            <a:r>
              <a:rPr lang="en-US" sz="1000" b="0" i="0" u="none" strike="noStrike" baseline="30000">
                <a:solidFill>
                  <a:srgbClr val="000000"/>
                </a:solidFill>
                <a:latin typeface="Arial"/>
                <a:cs typeface="Arial"/>
              </a:rPr>
              <a:t>d</a:t>
            </a:r>
            <a:r>
              <a:rPr lang="en-US" sz="1000" b="0" i="0" u="none" strike="noStrike" baseline="-25000">
                <a:solidFill>
                  <a:srgbClr val="000000"/>
                </a:solidFill>
                <a:latin typeface="Arial"/>
                <a:cs typeface="Arial"/>
              </a:rPr>
              <a:t>sed,on </a:t>
            </a:r>
            <a:r>
              <a:rPr lang="en-US" sz="1000" b="0" i="0" u="none" strike="noStrike" baseline="0">
                <a:solidFill>
                  <a:srgbClr val="000000"/>
                </a:solidFill>
                <a:latin typeface="Arial"/>
                <a:cs typeface="Arial"/>
              </a:rPr>
              <a:t>= Part A * On-site Part C</a:t>
            </a:r>
          </a:p>
          <a:p>
            <a:pPr algn="l" rtl="0">
              <a:defRPr sz="1000"/>
            </a:pPr>
            <a:endParaRPr lang="en-US" sz="10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[Equation ?, Technical Note X]</a:t>
            </a:r>
          </a:p>
        </xdr:txBody>
      </xdr:sp>
      <xdr:sp macro="" textlink="">
        <xdr:nvSpPr>
          <xdr:cNvPr id="8393" name="Text Box 201">
            <a:extLst>
              <a:ext uri="{FF2B5EF4-FFF2-40B4-BE49-F238E27FC236}">
                <a16:creationId xmlns:a16="http://schemas.microsoft.com/office/drawing/2014/main" id="{00000000-0008-0000-0700-0000C9200000}"/>
              </a:ext>
            </a:extLst>
          </xdr:cNvPr>
          <xdr:cNvSpPr txBox="1">
            <a:spLocks noChangeArrowheads="1"/>
          </xdr:cNvSpPr>
        </xdr:nvSpPr>
        <xdr:spPr bwMode="auto">
          <a:xfrm>
            <a:off x="34832925" y="64160400"/>
            <a:ext cx="0" cy="0"/>
          </a:xfrm>
          <a:prstGeom prst="rect">
            <a:avLst/>
          </a:prstGeom>
          <a:solidFill>
            <a:srgbClr val="FFFFCC"/>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sng" strike="noStrike" baseline="0">
                <a:solidFill>
                  <a:srgbClr val="000000"/>
                </a:solidFill>
                <a:latin typeface="Arial"/>
                <a:cs typeface="Arial"/>
              </a:rPr>
              <a:t>Step 12f </a:t>
            </a:r>
            <a:r>
              <a:rPr lang="en-US" sz="1000" b="0" i="0" u="sng" strike="noStrike" baseline="0">
                <a:solidFill>
                  <a:srgbClr val="000000"/>
                </a:solidFill>
                <a:latin typeface="Arial"/>
                <a:cs typeface="Arial"/>
              </a:rPr>
              <a:t>(Column AR):</a:t>
            </a:r>
            <a:r>
              <a:rPr lang="en-US" sz="1000" b="0" i="0" u="none" strike="noStrike" baseline="0">
                <a:solidFill>
                  <a:srgbClr val="000000"/>
                </a:solidFill>
                <a:latin typeface="Arial"/>
                <a:cs typeface="Arial"/>
              </a:rPr>
              <a:t> Calculate the allowable off-site sediment concentration under drying conditions: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q</a:t>
            </a:r>
            <a:r>
              <a:rPr lang="en-US" sz="1000" b="0" i="0" u="none" strike="noStrike" baseline="30000">
                <a:solidFill>
                  <a:srgbClr val="000000"/>
                </a:solidFill>
                <a:latin typeface="Arial"/>
                <a:cs typeface="Arial"/>
              </a:rPr>
              <a:t>d</a:t>
            </a:r>
            <a:r>
              <a:rPr lang="en-US" sz="1000" b="0" i="0" u="none" strike="noStrike" baseline="-25000">
                <a:solidFill>
                  <a:srgbClr val="000000"/>
                </a:solidFill>
                <a:latin typeface="Arial"/>
                <a:cs typeface="Arial"/>
              </a:rPr>
              <a:t>sed,off</a:t>
            </a:r>
            <a:r>
              <a:rPr lang="en-US" sz="1000" b="0" i="0" u="none" strike="noStrike" baseline="0">
                <a:solidFill>
                  <a:srgbClr val="000000"/>
                </a:solidFill>
                <a:latin typeface="Arial"/>
                <a:cs typeface="Arial"/>
              </a:rPr>
              <a:t> = Part A * Off-site Part C</a:t>
            </a:r>
          </a:p>
          <a:p>
            <a:pPr algn="l" rtl="0">
              <a:defRPr sz="1000"/>
            </a:pPr>
            <a:endParaRPr lang="en-US" sz="10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[Equation ?, Technical Note X]</a:t>
            </a:r>
          </a:p>
        </xdr:txBody>
      </xdr:sp>
      <xdr:cxnSp macro="">
        <xdr:nvCxnSpPr>
          <xdr:cNvPr id="8660" name="AutoShape 202">
            <a:extLst>
              <a:ext uri="{FF2B5EF4-FFF2-40B4-BE49-F238E27FC236}">
                <a16:creationId xmlns:a16="http://schemas.microsoft.com/office/drawing/2014/main" id="{00000000-0008-0000-0700-0000D4210000}"/>
              </a:ext>
            </a:extLst>
          </xdr:cNvPr>
          <xdr:cNvCxnSpPr>
            <a:cxnSpLocks noChangeShapeType="1"/>
          </xdr:cNvCxnSpPr>
        </xdr:nvCxnSpPr>
        <xdr:spPr bwMode="auto">
          <a:xfrm>
            <a:off x="2096" y="6485"/>
            <a:ext cx="0" cy="26"/>
          </a:xfrm>
          <a:prstGeom prst="straightConnector1">
            <a:avLst/>
          </a:prstGeom>
          <a:noFill/>
          <a:ln w="9525">
            <a:solidFill>
              <a:srgbClr val="000000"/>
            </a:solidFill>
            <a:round/>
            <a:headEnd/>
            <a:tailEnd type="stealth" w="med" len="med"/>
          </a:ln>
        </xdr:spPr>
      </xdr:cxnSp>
      <xdr:cxnSp macro="">
        <xdr:nvCxnSpPr>
          <xdr:cNvPr id="8661" name="AutoShape 203">
            <a:extLst>
              <a:ext uri="{FF2B5EF4-FFF2-40B4-BE49-F238E27FC236}">
                <a16:creationId xmlns:a16="http://schemas.microsoft.com/office/drawing/2014/main" id="{00000000-0008-0000-0700-0000D5210000}"/>
              </a:ext>
            </a:extLst>
          </xdr:cNvPr>
          <xdr:cNvCxnSpPr>
            <a:cxnSpLocks noChangeShapeType="1"/>
          </xdr:cNvCxnSpPr>
        </xdr:nvCxnSpPr>
        <xdr:spPr bwMode="auto">
          <a:xfrm>
            <a:off x="2096" y="6660"/>
            <a:ext cx="0" cy="21"/>
          </a:xfrm>
          <a:prstGeom prst="straightConnector1">
            <a:avLst/>
          </a:prstGeom>
          <a:noFill/>
          <a:ln w="9525">
            <a:solidFill>
              <a:srgbClr val="000000"/>
            </a:solidFill>
            <a:round/>
            <a:headEnd/>
            <a:tailEnd type="stealth" w="med" len="med"/>
          </a:ln>
        </xdr:spPr>
      </xdr:cxnSp>
      <xdr:cxnSp macro="">
        <xdr:nvCxnSpPr>
          <xdr:cNvPr id="8662" name="AutoShape 204">
            <a:extLst>
              <a:ext uri="{FF2B5EF4-FFF2-40B4-BE49-F238E27FC236}">
                <a16:creationId xmlns:a16="http://schemas.microsoft.com/office/drawing/2014/main" id="{00000000-0008-0000-0700-0000D6210000}"/>
              </a:ext>
            </a:extLst>
          </xdr:cNvPr>
          <xdr:cNvCxnSpPr>
            <a:cxnSpLocks noChangeShapeType="1"/>
            <a:endCxn id="8512" idx="0"/>
          </xdr:cNvCxnSpPr>
        </xdr:nvCxnSpPr>
        <xdr:spPr bwMode="auto">
          <a:xfrm>
            <a:off x="1700" y="6811"/>
            <a:ext cx="0" cy="19"/>
          </a:xfrm>
          <a:prstGeom prst="straightConnector1">
            <a:avLst/>
          </a:prstGeom>
          <a:noFill/>
          <a:ln w="9525">
            <a:solidFill>
              <a:srgbClr val="000000"/>
            </a:solidFill>
            <a:round/>
            <a:headEnd/>
            <a:tailEnd type="stealth" w="med" len="med"/>
          </a:ln>
        </xdr:spPr>
      </xdr:cxnSp>
      <xdr:cxnSp macro="">
        <xdr:nvCxnSpPr>
          <xdr:cNvPr id="8663" name="AutoShape 205">
            <a:extLst>
              <a:ext uri="{FF2B5EF4-FFF2-40B4-BE49-F238E27FC236}">
                <a16:creationId xmlns:a16="http://schemas.microsoft.com/office/drawing/2014/main" id="{00000000-0008-0000-0700-0000D7210000}"/>
              </a:ext>
            </a:extLst>
          </xdr:cNvPr>
          <xdr:cNvCxnSpPr>
            <a:cxnSpLocks noChangeShapeType="1"/>
            <a:stCxn id="8518" idx="2"/>
            <a:endCxn id="8393" idx="0"/>
          </xdr:cNvCxnSpPr>
        </xdr:nvCxnSpPr>
        <xdr:spPr bwMode="auto">
          <a:xfrm>
            <a:off x="2079" y="7134"/>
            <a:ext cx="0" cy="22"/>
          </a:xfrm>
          <a:prstGeom prst="straightConnector1">
            <a:avLst/>
          </a:prstGeom>
          <a:noFill/>
          <a:ln w="9525">
            <a:solidFill>
              <a:srgbClr val="000000"/>
            </a:solidFill>
            <a:round/>
            <a:headEnd/>
            <a:tailEnd type="stealth" w="med" len="med"/>
          </a:ln>
        </xdr:spPr>
      </xdr:cxnSp>
      <xdr:cxnSp macro="">
        <xdr:nvCxnSpPr>
          <xdr:cNvPr id="8664" name="AutoShape 206">
            <a:extLst>
              <a:ext uri="{FF2B5EF4-FFF2-40B4-BE49-F238E27FC236}">
                <a16:creationId xmlns:a16="http://schemas.microsoft.com/office/drawing/2014/main" id="{00000000-0008-0000-0700-0000D8210000}"/>
              </a:ext>
            </a:extLst>
          </xdr:cNvPr>
          <xdr:cNvCxnSpPr>
            <a:cxnSpLocks noChangeShapeType="1"/>
            <a:stCxn id="8376" idx="0"/>
            <a:endCxn id="8392" idx="2"/>
          </xdr:cNvCxnSpPr>
        </xdr:nvCxnSpPr>
        <xdr:spPr bwMode="auto">
          <a:xfrm rot="5400000" flipH="1">
            <a:off x="1776" y="7210"/>
            <a:ext cx="52" cy="204"/>
          </a:xfrm>
          <a:prstGeom prst="bentConnector3">
            <a:avLst>
              <a:gd name="adj1" fmla="val 50000"/>
            </a:avLst>
          </a:prstGeom>
          <a:noFill/>
          <a:ln w="9525">
            <a:solidFill>
              <a:srgbClr val="000000"/>
            </a:solidFill>
            <a:miter lim="800000"/>
            <a:headEnd type="stealth" w="med" len="med"/>
            <a:tailEnd/>
          </a:ln>
        </xdr:spPr>
      </xdr:cxnSp>
      <xdr:cxnSp macro="">
        <xdr:nvCxnSpPr>
          <xdr:cNvPr id="8665" name="AutoShape 207">
            <a:extLst>
              <a:ext uri="{FF2B5EF4-FFF2-40B4-BE49-F238E27FC236}">
                <a16:creationId xmlns:a16="http://schemas.microsoft.com/office/drawing/2014/main" id="{00000000-0008-0000-0700-0000D9210000}"/>
              </a:ext>
            </a:extLst>
          </xdr:cNvPr>
          <xdr:cNvCxnSpPr>
            <a:cxnSpLocks noChangeShapeType="1"/>
            <a:stCxn id="8376" idx="0"/>
            <a:endCxn id="8393" idx="2"/>
          </xdr:cNvCxnSpPr>
        </xdr:nvCxnSpPr>
        <xdr:spPr bwMode="auto">
          <a:xfrm rot="-5400000">
            <a:off x="1966" y="7224"/>
            <a:ext cx="52" cy="175"/>
          </a:xfrm>
          <a:prstGeom prst="bentConnector3">
            <a:avLst>
              <a:gd name="adj1" fmla="val 50000"/>
            </a:avLst>
          </a:prstGeom>
          <a:noFill/>
          <a:ln w="9525">
            <a:solidFill>
              <a:srgbClr val="000000"/>
            </a:solidFill>
            <a:miter lim="800000"/>
            <a:headEnd type="stealth" w="med" len="med"/>
            <a:tailEnd/>
          </a:ln>
        </xdr:spPr>
      </xdr:cxnSp>
      <xdr:cxnSp macro="">
        <xdr:nvCxnSpPr>
          <xdr:cNvPr id="8666" name="AutoShape 208">
            <a:extLst>
              <a:ext uri="{FF2B5EF4-FFF2-40B4-BE49-F238E27FC236}">
                <a16:creationId xmlns:a16="http://schemas.microsoft.com/office/drawing/2014/main" id="{00000000-0008-0000-0700-0000DA210000}"/>
              </a:ext>
            </a:extLst>
          </xdr:cNvPr>
          <xdr:cNvCxnSpPr>
            <a:cxnSpLocks noChangeShapeType="1"/>
          </xdr:cNvCxnSpPr>
        </xdr:nvCxnSpPr>
        <xdr:spPr bwMode="auto">
          <a:xfrm rot="16200000" flipH="1">
            <a:off x="1957" y="6227"/>
            <a:ext cx="68" cy="210"/>
          </a:xfrm>
          <a:prstGeom prst="bentConnector3">
            <a:avLst>
              <a:gd name="adj1" fmla="val 50000"/>
            </a:avLst>
          </a:prstGeom>
          <a:noFill/>
          <a:ln w="9525">
            <a:solidFill>
              <a:srgbClr val="000000"/>
            </a:solidFill>
            <a:miter lim="800000"/>
            <a:headEnd/>
            <a:tailEnd type="stealth" w="med" len="med"/>
          </a:ln>
        </xdr:spPr>
      </xdr:cxnSp>
      <xdr:cxnSp macro="">
        <xdr:nvCxnSpPr>
          <xdr:cNvPr id="8667" name="AutoShape 209">
            <a:extLst>
              <a:ext uri="{FF2B5EF4-FFF2-40B4-BE49-F238E27FC236}">
                <a16:creationId xmlns:a16="http://schemas.microsoft.com/office/drawing/2014/main" id="{00000000-0008-0000-0700-0000DB210000}"/>
              </a:ext>
            </a:extLst>
          </xdr:cNvPr>
          <xdr:cNvCxnSpPr>
            <a:cxnSpLocks noChangeShapeType="1"/>
          </xdr:cNvCxnSpPr>
        </xdr:nvCxnSpPr>
        <xdr:spPr bwMode="auto">
          <a:xfrm rot="5400000">
            <a:off x="1757" y="6237"/>
            <a:ext cx="68" cy="190"/>
          </a:xfrm>
          <a:prstGeom prst="bentConnector3">
            <a:avLst>
              <a:gd name="adj1" fmla="val 50000"/>
            </a:avLst>
          </a:prstGeom>
          <a:noFill/>
          <a:ln w="9525">
            <a:solidFill>
              <a:srgbClr val="000000"/>
            </a:solidFill>
            <a:miter lim="800000"/>
            <a:headEnd/>
            <a:tailEnd type="stealth" w="med" len="med"/>
          </a:ln>
        </xdr:spPr>
      </xdr:cxnSp>
      <xdr:sp macro="" textlink="">
        <xdr:nvSpPr>
          <xdr:cNvPr id="8510" name="Text Box 318">
            <a:extLst>
              <a:ext uri="{FF2B5EF4-FFF2-40B4-BE49-F238E27FC236}">
                <a16:creationId xmlns:a16="http://schemas.microsoft.com/office/drawing/2014/main" id="{00000000-0008-0000-0700-00003E210000}"/>
              </a:ext>
            </a:extLst>
          </xdr:cNvPr>
          <xdr:cNvSpPr txBox="1">
            <a:spLocks noChangeArrowheads="1"/>
          </xdr:cNvSpPr>
        </xdr:nvSpPr>
        <xdr:spPr bwMode="auto">
          <a:xfrm>
            <a:off x="34832925" y="64160400"/>
            <a:ext cx="0" cy="0"/>
          </a:xfrm>
          <a:prstGeom prst="rect">
            <a:avLst/>
          </a:prstGeom>
          <a:solidFill>
            <a:srgbClr val="FFFFCC"/>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sng" strike="noStrike" baseline="0">
                <a:solidFill>
                  <a:srgbClr val="000000"/>
                </a:solidFill>
                <a:latin typeface="Arial"/>
                <a:cs typeface="Arial"/>
              </a:rPr>
              <a:t>Step 10 </a:t>
            </a:r>
            <a:r>
              <a:rPr lang="en-US" sz="1000" b="0" i="0" u="sng" strike="noStrike" baseline="0">
                <a:solidFill>
                  <a:srgbClr val="000000"/>
                </a:solidFill>
                <a:latin typeface="Arial"/>
                <a:cs typeface="Arial"/>
              </a:rPr>
              <a:t>(Column AF):</a:t>
            </a:r>
            <a:r>
              <a:rPr lang="en-US" sz="1000" b="0" i="0" u="none" strike="noStrike" baseline="0">
                <a:solidFill>
                  <a:srgbClr val="000000"/>
                </a:solidFill>
                <a:latin typeface="Arial"/>
                <a:cs typeface="Arial"/>
              </a:rPr>
              <a:t>  The volatile flux equation under drying conditions has been seperated into three parts (A, B, and C) for convenience.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Part A = 1000*K</a:t>
            </a:r>
            <a:r>
              <a:rPr lang="en-US" sz="1000" b="0" i="0" u="none" strike="noStrike" baseline="-25000">
                <a:solidFill>
                  <a:srgbClr val="000000"/>
                </a:solidFill>
                <a:latin typeface="Arial"/>
                <a:cs typeface="Arial"/>
              </a:rPr>
              <a:t>D</a:t>
            </a:r>
            <a:r>
              <a:rPr lang="en-US" sz="1000" b="0" i="0" u="none" strike="noStrike" baseline="0">
                <a:solidFill>
                  <a:srgbClr val="000000"/>
                </a:solidFill>
                <a:latin typeface="Arial"/>
                <a:cs typeface="Arial"/>
              </a:rPr>
              <a:t> / H'</a:t>
            </a:r>
          </a:p>
          <a:p>
            <a:pPr algn="l" rtl="0">
              <a:defRPr sz="1000"/>
            </a:pPr>
            <a:endParaRPr lang="en-US" sz="10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[Equation ?, Technical Note X]</a:t>
            </a:r>
          </a:p>
        </xdr:txBody>
      </xdr:sp>
      <xdr:cxnSp macro="">
        <xdr:nvCxnSpPr>
          <xdr:cNvPr id="8669" name="AutoShape 319">
            <a:extLst>
              <a:ext uri="{FF2B5EF4-FFF2-40B4-BE49-F238E27FC236}">
                <a16:creationId xmlns:a16="http://schemas.microsoft.com/office/drawing/2014/main" id="{00000000-0008-0000-0700-0000DD210000}"/>
              </a:ext>
            </a:extLst>
          </xdr:cNvPr>
          <xdr:cNvCxnSpPr>
            <a:cxnSpLocks noChangeShapeType="1"/>
            <a:stCxn id="8391" idx="2"/>
            <a:endCxn id="8510" idx="0"/>
          </xdr:cNvCxnSpPr>
        </xdr:nvCxnSpPr>
        <xdr:spPr bwMode="auto">
          <a:xfrm>
            <a:off x="1891" y="6127"/>
            <a:ext cx="0" cy="32"/>
          </a:xfrm>
          <a:prstGeom prst="straightConnector1">
            <a:avLst/>
          </a:prstGeom>
          <a:noFill/>
          <a:ln w="9525">
            <a:solidFill>
              <a:srgbClr val="000000"/>
            </a:solidFill>
            <a:round/>
            <a:headEnd/>
            <a:tailEnd type="triangle" w="med" len="med"/>
          </a:ln>
        </xdr:spPr>
      </xdr:cxnSp>
      <xdr:sp macro="" textlink="">
        <xdr:nvSpPr>
          <xdr:cNvPr id="8512" name="Text Box 320">
            <a:extLst>
              <a:ext uri="{FF2B5EF4-FFF2-40B4-BE49-F238E27FC236}">
                <a16:creationId xmlns:a16="http://schemas.microsoft.com/office/drawing/2014/main" id="{00000000-0008-0000-0700-000040210000}"/>
              </a:ext>
            </a:extLst>
          </xdr:cNvPr>
          <xdr:cNvSpPr txBox="1">
            <a:spLocks noChangeArrowheads="1"/>
          </xdr:cNvSpPr>
        </xdr:nvSpPr>
        <xdr:spPr bwMode="auto">
          <a:xfrm>
            <a:off x="34832925" y="64160400"/>
            <a:ext cx="0" cy="0"/>
          </a:xfrm>
          <a:prstGeom prst="rect">
            <a:avLst/>
          </a:prstGeom>
          <a:solidFill>
            <a:srgbClr val="FFFFCC"/>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sng" strike="noStrike" baseline="0">
                <a:solidFill>
                  <a:srgbClr val="000000"/>
                </a:solidFill>
                <a:latin typeface="Arial"/>
                <a:cs typeface="Arial"/>
              </a:rPr>
              <a:t>Step 11d </a:t>
            </a:r>
            <a:r>
              <a:rPr lang="en-US" sz="1000" b="0" i="0" u="sng" strike="noStrike" baseline="0">
                <a:solidFill>
                  <a:srgbClr val="000000"/>
                </a:solidFill>
                <a:latin typeface="Arial"/>
                <a:cs typeface="Arial"/>
              </a:rPr>
              <a:t>(Column AJ):</a:t>
            </a:r>
            <a:r>
              <a:rPr lang="en-US" sz="1000" b="0" i="0" u="none" strike="noStrike" baseline="0">
                <a:solidFill>
                  <a:srgbClr val="000000"/>
                </a:solidFill>
                <a:latin typeface="Arial"/>
                <a:cs typeface="Arial"/>
              </a:rPr>
              <a:t>  The volatile flux equation under drying conditions has been seperated into three parts (A, B, and C) for convenience.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On-site Part B = {[</a:t>
            </a:r>
            <a:r>
              <a:rPr lang="en-US" sz="1000" b="0" i="0" u="none" strike="noStrike" baseline="0">
                <a:solidFill>
                  <a:srgbClr val="000000"/>
                </a:solidFill>
                <a:latin typeface="Symbol"/>
              </a:rPr>
              <a:t>p</a:t>
            </a:r>
            <a:r>
              <a:rPr lang="en-US" sz="1000" b="0" i="0" u="none" strike="noStrike" baseline="0">
                <a:solidFill>
                  <a:srgbClr val="000000"/>
                </a:solidFill>
                <a:latin typeface="Arial"/>
                <a:cs typeface="Arial"/>
              </a:rPr>
              <a:t>*T</a:t>
            </a:r>
            <a:r>
              <a:rPr lang="en-US" sz="1000" b="0" i="0" u="none" strike="noStrike" baseline="-25000">
                <a:solidFill>
                  <a:srgbClr val="000000"/>
                </a:solidFill>
                <a:latin typeface="Arial"/>
                <a:cs typeface="Arial"/>
              </a:rPr>
              <a:t>c, on</a:t>
            </a:r>
            <a:r>
              <a:rPr lang="en-US" sz="1000" b="0" i="0" u="none" strike="noStrike" baseline="0">
                <a:solidFill>
                  <a:srgbClr val="000000"/>
                </a:solidFill>
                <a:latin typeface="Arial"/>
                <a:cs typeface="Arial"/>
              </a:rPr>
              <a:t>*( 86400 sec/day)]/{D</a:t>
            </a:r>
            <a:r>
              <a:rPr lang="en-US" sz="1000" b="0" i="0" u="none" strike="noStrike" baseline="-25000">
                <a:solidFill>
                  <a:srgbClr val="000000"/>
                </a:solidFill>
                <a:latin typeface="Arial"/>
                <a:cs typeface="Arial"/>
              </a:rPr>
              <a:t>A3</a:t>
            </a:r>
            <a:r>
              <a:rPr lang="en-US" sz="1000" b="0" i="0" u="none" strike="noStrike" baseline="0">
                <a:solidFill>
                  <a:srgbClr val="000000"/>
                </a:solidFill>
                <a:latin typeface="Arial"/>
                <a:cs typeface="Arial"/>
              </a:rPr>
              <a:t>*[n</a:t>
            </a:r>
            <a:r>
              <a:rPr lang="en-US" sz="1000" b="0" i="0" u="none" strike="noStrike" baseline="-25000">
                <a:solidFill>
                  <a:srgbClr val="000000"/>
                </a:solidFill>
                <a:latin typeface="Arial"/>
                <a:cs typeface="Arial"/>
              </a:rPr>
              <a:t>a</a:t>
            </a:r>
            <a:r>
              <a:rPr lang="en-US" sz="1000" b="0" i="0" u="none" strike="noStrike" baseline="0">
                <a:solidFill>
                  <a:srgbClr val="000000"/>
                </a:solidFill>
                <a:latin typeface="Arial"/>
                <a:cs typeface="Arial"/>
              </a:rPr>
              <a:t> + 1000*K</a:t>
            </a:r>
            <a:r>
              <a:rPr lang="en-US" sz="1000" b="0" i="0" u="none" strike="noStrike" baseline="-25000">
                <a:solidFill>
                  <a:srgbClr val="000000"/>
                </a:solidFill>
                <a:latin typeface="Arial"/>
                <a:cs typeface="Arial"/>
              </a:rPr>
              <a:t>D</a:t>
            </a:r>
            <a:r>
              <a:rPr lang="en-US" sz="1000" b="0" i="0" u="none" strike="noStrike" baseline="0">
                <a:solidFill>
                  <a:srgbClr val="000000"/>
                </a:solidFill>
                <a:latin typeface="Arial"/>
                <a:cs typeface="Arial"/>
              </a:rPr>
              <a:t>*TSS</a:t>
            </a:r>
            <a:r>
              <a:rPr lang="en-US" sz="1000" b="0" i="0" u="none" strike="noStrike" baseline="-25000">
                <a:solidFill>
                  <a:srgbClr val="000000"/>
                </a:solidFill>
                <a:latin typeface="Arial"/>
                <a:cs typeface="Arial"/>
              </a:rPr>
              <a:t>sed</a:t>
            </a:r>
            <a:r>
              <a:rPr lang="en-US" sz="1000" b="0" i="0" u="none" strike="noStrike" baseline="0">
                <a:solidFill>
                  <a:srgbClr val="000000"/>
                </a:solidFill>
                <a:latin typeface="Arial"/>
                <a:cs typeface="Arial"/>
              </a:rPr>
              <a:t> / H']}}</a:t>
            </a:r>
            <a:r>
              <a:rPr lang="en-US" sz="1000" b="0" i="0" u="none" strike="noStrike" baseline="30000">
                <a:solidFill>
                  <a:srgbClr val="000000"/>
                </a:solidFill>
                <a:latin typeface="Arial"/>
                <a:cs typeface="Arial"/>
              </a:rPr>
              <a:t>1 / 2</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[Equation ?, Technical Note X]</a:t>
            </a:r>
          </a:p>
        </xdr:txBody>
      </xdr:sp>
      <xdr:sp macro="" textlink="">
        <xdr:nvSpPr>
          <xdr:cNvPr id="8513" name="Text Box 321">
            <a:extLst>
              <a:ext uri="{FF2B5EF4-FFF2-40B4-BE49-F238E27FC236}">
                <a16:creationId xmlns:a16="http://schemas.microsoft.com/office/drawing/2014/main" id="{00000000-0008-0000-0700-000041210000}"/>
              </a:ext>
            </a:extLst>
          </xdr:cNvPr>
          <xdr:cNvSpPr txBox="1">
            <a:spLocks noChangeArrowheads="1"/>
          </xdr:cNvSpPr>
        </xdr:nvSpPr>
        <xdr:spPr bwMode="auto">
          <a:xfrm>
            <a:off x="34832925" y="64160400"/>
            <a:ext cx="0" cy="0"/>
          </a:xfrm>
          <a:prstGeom prst="rect">
            <a:avLst/>
          </a:prstGeom>
          <a:solidFill>
            <a:srgbClr val="FFFFCC"/>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sng" strike="noStrike" baseline="0">
                <a:solidFill>
                  <a:srgbClr val="000000"/>
                </a:solidFill>
                <a:latin typeface="Arial"/>
                <a:cs typeface="Arial"/>
              </a:rPr>
              <a:t>Step 11e </a:t>
            </a:r>
            <a:r>
              <a:rPr lang="en-US" sz="1000" b="0" i="0" u="sng" strike="noStrike" baseline="0">
                <a:solidFill>
                  <a:srgbClr val="000000"/>
                </a:solidFill>
                <a:latin typeface="Arial"/>
                <a:cs typeface="Arial"/>
              </a:rPr>
              <a:t>(Column AK):</a:t>
            </a:r>
            <a:r>
              <a:rPr lang="en-US" sz="1000" b="0" i="0" u="none" strike="noStrike" baseline="0">
                <a:solidFill>
                  <a:srgbClr val="000000"/>
                </a:solidFill>
                <a:latin typeface="Arial"/>
                <a:cs typeface="Arial"/>
              </a:rPr>
              <a:t>  The volatile flux equation under drying conditions has been seperated into three parts (A, B, and C) for convenience.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On-site Part C =[ N</a:t>
            </a:r>
            <a:r>
              <a:rPr lang="en-US" sz="1000" b="0" i="0" u="none" strike="noStrike" baseline="30000">
                <a:solidFill>
                  <a:srgbClr val="000000"/>
                </a:solidFill>
                <a:latin typeface="Arial"/>
                <a:cs typeface="Arial"/>
              </a:rPr>
              <a:t>d</a:t>
            </a:r>
            <a:r>
              <a:rPr lang="en-US" sz="1000" b="0" i="0" u="none" strike="noStrike" baseline="-25000">
                <a:solidFill>
                  <a:srgbClr val="000000"/>
                </a:solidFill>
                <a:latin typeface="Arial"/>
                <a:cs typeface="Arial"/>
              </a:rPr>
              <a:t>on</a:t>
            </a:r>
            <a:r>
              <a:rPr lang="en-US" sz="1000" b="0" i="0" u="none" strike="noStrike" baseline="0">
                <a:solidFill>
                  <a:srgbClr val="000000"/>
                </a:solidFill>
                <a:latin typeface="Arial"/>
                <a:cs typeface="Arial"/>
              </a:rPr>
              <a:t>*1000*(1/K</a:t>
            </a:r>
            <a:r>
              <a:rPr lang="en-US" sz="1000" b="0" i="0" u="none" strike="noStrike" baseline="-25000">
                <a:solidFill>
                  <a:srgbClr val="000000"/>
                </a:solidFill>
                <a:latin typeface="Arial"/>
                <a:cs typeface="Arial"/>
              </a:rPr>
              <a:t>G</a:t>
            </a:r>
            <a:r>
              <a:rPr lang="en-US" sz="1000" b="0" i="0" u="none" strike="noStrike" baseline="0">
                <a:solidFill>
                  <a:srgbClr val="000000"/>
                </a:solidFill>
                <a:latin typeface="Arial"/>
                <a:cs typeface="Arial"/>
              </a:rPr>
              <a:t> + Onsite Part B)]/2</a:t>
            </a:r>
          </a:p>
          <a:p>
            <a:pPr algn="l" rtl="0">
              <a:defRPr sz="1000"/>
            </a:pPr>
            <a:endParaRPr lang="en-US" sz="10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[Equation ?, Technical Note X]</a:t>
            </a:r>
          </a:p>
        </xdr:txBody>
      </xdr:sp>
      <xdr:cxnSp macro="">
        <xdr:nvCxnSpPr>
          <xdr:cNvPr id="8672" name="AutoShape 322">
            <a:extLst>
              <a:ext uri="{FF2B5EF4-FFF2-40B4-BE49-F238E27FC236}">
                <a16:creationId xmlns:a16="http://schemas.microsoft.com/office/drawing/2014/main" id="{00000000-0008-0000-0700-0000E0210000}"/>
              </a:ext>
            </a:extLst>
          </xdr:cNvPr>
          <xdr:cNvCxnSpPr>
            <a:cxnSpLocks noChangeShapeType="1"/>
            <a:stCxn id="8513" idx="2"/>
            <a:endCxn id="8392" idx="0"/>
          </xdr:cNvCxnSpPr>
        </xdr:nvCxnSpPr>
        <xdr:spPr bwMode="auto">
          <a:xfrm>
            <a:off x="1700" y="7133"/>
            <a:ext cx="0" cy="23"/>
          </a:xfrm>
          <a:prstGeom prst="straightConnector1">
            <a:avLst/>
          </a:prstGeom>
          <a:noFill/>
          <a:ln w="9525">
            <a:solidFill>
              <a:srgbClr val="000000"/>
            </a:solidFill>
            <a:round/>
            <a:headEnd/>
            <a:tailEnd type="stealth" w="med" len="med"/>
          </a:ln>
        </xdr:spPr>
      </xdr:cxnSp>
      <xdr:cxnSp macro="">
        <xdr:nvCxnSpPr>
          <xdr:cNvPr id="8673" name="AutoShape 323">
            <a:extLst>
              <a:ext uri="{FF2B5EF4-FFF2-40B4-BE49-F238E27FC236}">
                <a16:creationId xmlns:a16="http://schemas.microsoft.com/office/drawing/2014/main" id="{00000000-0008-0000-0700-0000E1210000}"/>
              </a:ext>
            </a:extLst>
          </xdr:cNvPr>
          <xdr:cNvCxnSpPr>
            <a:cxnSpLocks noChangeShapeType="1"/>
            <a:stCxn id="8512" idx="2"/>
            <a:endCxn id="8513" idx="0"/>
          </xdr:cNvCxnSpPr>
        </xdr:nvCxnSpPr>
        <xdr:spPr bwMode="auto">
          <a:xfrm>
            <a:off x="1700" y="6974"/>
            <a:ext cx="0" cy="15"/>
          </a:xfrm>
          <a:prstGeom prst="straightConnector1">
            <a:avLst/>
          </a:prstGeom>
          <a:noFill/>
          <a:ln w="9525">
            <a:solidFill>
              <a:srgbClr val="000000"/>
            </a:solidFill>
            <a:round/>
            <a:headEnd/>
            <a:tailEnd type="stealth" w="med" len="med"/>
          </a:ln>
        </xdr:spPr>
      </xdr:cxnSp>
      <xdr:cxnSp macro="">
        <xdr:nvCxnSpPr>
          <xdr:cNvPr id="8674" name="AutoShape 324">
            <a:extLst>
              <a:ext uri="{FF2B5EF4-FFF2-40B4-BE49-F238E27FC236}">
                <a16:creationId xmlns:a16="http://schemas.microsoft.com/office/drawing/2014/main" id="{00000000-0008-0000-0700-0000E2210000}"/>
              </a:ext>
            </a:extLst>
          </xdr:cNvPr>
          <xdr:cNvCxnSpPr>
            <a:cxnSpLocks noChangeShapeType="1"/>
            <a:stCxn id="8379" idx="2"/>
            <a:endCxn id="8517" idx="0"/>
          </xdr:cNvCxnSpPr>
        </xdr:nvCxnSpPr>
        <xdr:spPr bwMode="auto">
          <a:xfrm>
            <a:off x="2079" y="6811"/>
            <a:ext cx="0" cy="19"/>
          </a:xfrm>
          <a:prstGeom prst="straightConnector1">
            <a:avLst/>
          </a:prstGeom>
          <a:noFill/>
          <a:ln w="9525">
            <a:solidFill>
              <a:srgbClr val="000000"/>
            </a:solidFill>
            <a:round/>
            <a:headEnd/>
            <a:tailEnd type="stealth" w="med" len="med"/>
          </a:ln>
        </xdr:spPr>
      </xdr:cxnSp>
      <xdr:sp macro="" textlink="">
        <xdr:nvSpPr>
          <xdr:cNvPr id="8517" name="Text Box 325">
            <a:extLst>
              <a:ext uri="{FF2B5EF4-FFF2-40B4-BE49-F238E27FC236}">
                <a16:creationId xmlns:a16="http://schemas.microsoft.com/office/drawing/2014/main" id="{00000000-0008-0000-0700-000045210000}"/>
              </a:ext>
            </a:extLst>
          </xdr:cNvPr>
          <xdr:cNvSpPr txBox="1">
            <a:spLocks noChangeArrowheads="1"/>
          </xdr:cNvSpPr>
        </xdr:nvSpPr>
        <xdr:spPr bwMode="auto">
          <a:xfrm>
            <a:off x="34832925" y="64160400"/>
            <a:ext cx="0" cy="0"/>
          </a:xfrm>
          <a:prstGeom prst="rect">
            <a:avLst/>
          </a:prstGeom>
          <a:solidFill>
            <a:srgbClr val="FFFFCC"/>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sng" strike="noStrike" baseline="0">
                <a:solidFill>
                  <a:srgbClr val="000000"/>
                </a:solidFill>
                <a:latin typeface="Arial"/>
                <a:cs typeface="Arial"/>
              </a:rPr>
              <a:t>Step 12d </a:t>
            </a:r>
            <a:r>
              <a:rPr lang="en-US" sz="1000" b="0" i="0" u="sng" strike="noStrike" baseline="0">
                <a:solidFill>
                  <a:srgbClr val="000000"/>
                </a:solidFill>
                <a:latin typeface="Arial"/>
                <a:cs typeface="Arial"/>
              </a:rPr>
              <a:t>(Column AP):</a:t>
            </a:r>
            <a:r>
              <a:rPr lang="en-US" sz="1000" b="0" i="0" u="none" strike="noStrike" baseline="0">
                <a:solidFill>
                  <a:srgbClr val="000000"/>
                </a:solidFill>
                <a:latin typeface="Arial"/>
                <a:cs typeface="Arial"/>
              </a:rPr>
              <a:t>  The volatile flux equation under drying conditions has been seperated into three parts (A, B, and C) for convenience.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Off-site Part B = [</a:t>
            </a:r>
            <a:r>
              <a:rPr lang="en-US" sz="1000" b="0" i="0" u="none" strike="noStrike" baseline="0">
                <a:solidFill>
                  <a:srgbClr val="000000"/>
                </a:solidFill>
                <a:latin typeface="Symbol"/>
              </a:rPr>
              <a:t>p</a:t>
            </a:r>
            <a:r>
              <a:rPr lang="en-US" sz="1000" b="0" i="0" u="none" strike="noStrike" baseline="0">
                <a:solidFill>
                  <a:srgbClr val="000000"/>
                </a:solidFill>
                <a:latin typeface="Arial"/>
                <a:cs typeface="Arial"/>
              </a:rPr>
              <a:t>*T</a:t>
            </a:r>
            <a:r>
              <a:rPr lang="en-US" sz="1000" b="0" i="0" u="none" strike="noStrike" baseline="-25000">
                <a:solidFill>
                  <a:srgbClr val="000000"/>
                </a:solidFill>
                <a:latin typeface="Arial"/>
                <a:cs typeface="Arial"/>
              </a:rPr>
              <a:t>c, off</a:t>
            </a:r>
            <a:r>
              <a:rPr lang="en-US" sz="1000" b="0" i="0" u="none" strike="noStrike" baseline="0">
                <a:solidFill>
                  <a:srgbClr val="000000"/>
                </a:solidFill>
                <a:latin typeface="Arial"/>
                <a:cs typeface="Arial"/>
              </a:rPr>
              <a:t>*( 86400 sec/day)]/{D</a:t>
            </a:r>
            <a:r>
              <a:rPr lang="en-US" sz="1000" b="0" i="0" u="none" strike="noStrike" baseline="-25000">
                <a:solidFill>
                  <a:srgbClr val="000000"/>
                </a:solidFill>
                <a:latin typeface="Arial"/>
                <a:cs typeface="Arial"/>
              </a:rPr>
              <a:t>A3</a:t>
            </a:r>
            <a:r>
              <a:rPr lang="en-US" sz="1000" b="0" i="0" u="none" strike="noStrike" baseline="0">
                <a:solidFill>
                  <a:srgbClr val="000000"/>
                </a:solidFill>
                <a:latin typeface="Arial"/>
                <a:cs typeface="Arial"/>
              </a:rPr>
              <a:t>*[n</a:t>
            </a:r>
            <a:r>
              <a:rPr lang="en-US" sz="1000" b="0" i="0" u="none" strike="noStrike" baseline="-25000">
                <a:solidFill>
                  <a:srgbClr val="000000"/>
                </a:solidFill>
                <a:latin typeface="Arial"/>
                <a:cs typeface="Arial"/>
              </a:rPr>
              <a:t>a</a:t>
            </a:r>
            <a:r>
              <a:rPr lang="en-US" sz="1000" b="0" i="0" u="none" strike="noStrike" baseline="0">
                <a:solidFill>
                  <a:srgbClr val="000000"/>
                </a:solidFill>
                <a:latin typeface="Arial"/>
                <a:cs typeface="Arial"/>
              </a:rPr>
              <a:t>+(1000*K</a:t>
            </a:r>
            <a:r>
              <a:rPr lang="en-US" sz="1000" b="0" i="0" u="none" strike="noStrike" baseline="-25000">
                <a:solidFill>
                  <a:srgbClr val="000000"/>
                </a:solidFill>
                <a:latin typeface="Arial"/>
                <a:cs typeface="Arial"/>
              </a:rPr>
              <a:t>D</a:t>
            </a:r>
            <a:r>
              <a:rPr lang="en-US" sz="1000" b="0" i="0" u="none" strike="noStrike" baseline="0">
                <a:solidFill>
                  <a:srgbClr val="000000"/>
                </a:solidFill>
                <a:latin typeface="Arial"/>
                <a:cs typeface="Arial"/>
              </a:rPr>
              <a:t>/TSS</a:t>
            </a:r>
            <a:r>
              <a:rPr lang="en-US" sz="1000" b="0" i="0" u="none" strike="noStrike" baseline="-25000">
                <a:solidFill>
                  <a:srgbClr val="000000"/>
                </a:solidFill>
                <a:latin typeface="Arial"/>
                <a:cs typeface="Arial"/>
              </a:rPr>
              <a:t>sed</a:t>
            </a:r>
            <a:r>
              <a:rPr lang="en-US" sz="1000" b="0" i="0" u="none" strike="noStrike" baseline="0">
                <a:solidFill>
                  <a:srgbClr val="000000"/>
                </a:solidFill>
                <a:latin typeface="Arial"/>
                <a:cs typeface="Arial"/>
              </a:rPr>
              <a:t>)]}</a:t>
            </a:r>
          </a:p>
          <a:p>
            <a:pPr algn="l" rtl="0">
              <a:defRPr sz="1000"/>
            </a:pPr>
            <a:endParaRPr lang="en-US" sz="10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[Equation ?, Technical Note X]</a:t>
            </a:r>
          </a:p>
        </xdr:txBody>
      </xdr:sp>
      <xdr:sp macro="" textlink="">
        <xdr:nvSpPr>
          <xdr:cNvPr id="8518" name="Text Box 326">
            <a:extLst>
              <a:ext uri="{FF2B5EF4-FFF2-40B4-BE49-F238E27FC236}">
                <a16:creationId xmlns:a16="http://schemas.microsoft.com/office/drawing/2014/main" id="{00000000-0008-0000-0700-000046210000}"/>
              </a:ext>
            </a:extLst>
          </xdr:cNvPr>
          <xdr:cNvSpPr txBox="1">
            <a:spLocks noChangeArrowheads="1"/>
          </xdr:cNvSpPr>
        </xdr:nvSpPr>
        <xdr:spPr bwMode="auto">
          <a:xfrm>
            <a:off x="34832925" y="64160400"/>
            <a:ext cx="0" cy="0"/>
          </a:xfrm>
          <a:prstGeom prst="rect">
            <a:avLst/>
          </a:prstGeom>
          <a:solidFill>
            <a:srgbClr val="FFFFCC"/>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sng" strike="noStrike" baseline="0">
                <a:solidFill>
                  <a:srgbClr val="000000"/>
                </a:solidFill>
                <a:latin typeface="Arial"/>
                <a:cs typeface="Arial"/>
              </a:rPr>
              <a:t>Step 12e </a:t>
            </a:r>
            <a:r>
              <a:rPr lang="en-US" sz="1000" b="0" i="0" u="sng" strike="noStrike" baseline="0">
                <a:solidFill>
                  <a:srgbClr val="000000"/>
                </a:solidFill>
                <a:latin typeface="Arial"/>
                <a:cs typeface="Arial"/>
              </a:rPr>
              <a:t>(Column AQ):</a:t>
            </a:r>
            <a:r>
              <a:rPr lang="en-US" sz="1000" b="0" i="0" u="none" strike="noStrike" baseline="0">
                <a:solidFill>
                  <a:srgbClr val="000000"/>
                </a:solidFill>
                <a:latin typeface="Arial"/>
                <a:cs typeface="Arial"/>
              </a:rPr>
              <a:t>  The volatile flux equation under drying conditions has been seperated into three parts (A, B, and C) for convenience.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Off-site Part C =[ N</a:t>
            </a:r>
            <a:r>
              <a:rPr lang="en-US" sz="1000" b="0" i="0" u="none" strike="noStrike" baseline="30000">
                <a:solidFill>
                  <a:srgbClr val="000000"/>
                </a:solidFill>
                <a:latin typeface="Arial"/>
                <a:cs typeface="Arial"/>
              </a:rPr>
              <a:t>d</a:t>
            </a:r>
            <a:r>
              <a:rPr lang="en-US" sz="1000" b="0" i="0" u="none" strike="noStrike" baseline="-25000">
                <a:solidFill>
                  <a:srgbClr val="000000"/>
                </a:solidFill>
                <a:latin typeface="Arial"/>
                <a:cs typeface="Arial"/>
              </a:rPr>
              <a:t>off</a:t>
            </a:r>
            <a:r>
              <a:rPr lang="en-US" sz="1000" b="0" i="0" u="none" strike="noStrike" baseline="0">
                <a:solidFill>
                  <a:srgbClr val="000000"/>
                </a:solidFill>
                <a:latin typeface="Arial"/>
                <a:cs typeface="Arial"/>
              </a:rPr>
              <a:t>*1000*(1/K</a:t>
            </a:r>
            <a:r>
              <a:rPr lang="en-US" sz="1000" b="0" i="0" u="none" strike="noStrike" baseline="-25000">
                <a:solidFill>
                  <a:srgbClr val="000000"/>
                </a:solidFill>
                <a:latin typeface="Arial"/>
                <a:cs typeface="Arial"/>
              </a:rPr>
              <a:t>G</a:t>
            </a:r>
            <a:r>
              <a:rPr lang="en-US" sz="1000" b="0" i="0" u="none" strike="noStrike" baseline="0">
                <a:solidFill>
                  <a:srgbClr val="000000"/>
                </a:solidFill>
                <a:latin typeface="Arial"/>
                <a:cs typeface="Arial"/>
              </a:rPr>
              <a:t> + Offsite Part B)]/2</a:t>
            </a:r>
          </a:p>
          <a:p>
            <a:pPr algn="l" rtl="0">
              <a:defRPr sz="1000"/>
            </a:pPr>
            <a:endParaRPr lang="en-US" sz="10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[Equation ?, Technical Note X]</a:t>
            </a:r>
          </a:p>
        </xdr:txBody>
      </xdr:sp>
      <xdr:cxnSp macro="">
        <xdr:nvCxnSpPr>
          <xdr:cNvPr id="8677" name="AutoShape 327">
            <a:extLst>
              <a:ext uri="{FF2B5EF4-FFF2-40B4-BE49-F238E27FC236}">
                <a16:creationId xmlns:a16="http://schemas.microsoft.com/office/drawing/2014/main" id="{00000000-0008-0000-0700-0000E5210000}"/>
              </a:ext>
            </a:extLst>
          </xdr:cNvPr>
          <xdr:cNvCxnSpPr>
            <a:cxnSpLocks noChangeShapeType="1"/>
            <a:stCxn id="8517" idx="2"/>
            <a:endCxn id="8518" idx="0"/>
          </xdr:cNvCxnSpPr>
        </xdr:nvCxnSpPr>
        <xdr:spPr bwMode="auto">
          <a:xfrm>
            <a:off x="2079" y="6974"/>
            <a:ext cx="0" cy="16"/>
          </a:xfrm>
          <a:prstGeom prst="straightConnector1">
            <a:avLst/>
          </a:prstGeom>
          <a:noFill/>
          <a:ln w="9525">
            <a:solidFill>
              <a:srgbClr val="000000"/>
            </a:solidFill>
            <a:round/>
            <a:headEnd/>
            <a:tailEnd type="stealth" w="med" len="med"/>
          </a:ln>
        </xdr:spPr>
      </xdr:cxnSp>
      <xdr:sp macro="" textlink="">
        <xdr:nvSpPr>
          <xdr:cNvPr id="8520" name="Text Box 328">
            <a:extLst>
              <a:ext uri="{FF2B5EF4-FFF2-40B4-BE49-F238E27FC236}">
                <a16:creationId xmlns:a16="http://schemas.microsoft.com/office/drawing/2014/main" id="{00000000-0008-0000-0700-000048210000}"/>
              </a:ext>
            </a:extLst>
          </xdr:cNvPr>
          <xdr:cNvSpPr txBox="1">
            <a:spLocks noChangeArrowheads="1"/>
          </xdr:cNvSpPr>
        </xdr:nvSpPr>
        <xdr:spPr bwMode="auto">
          <a:xfrm>
            <a:off x="34832925" y="64160400"/>
            <a:ext cx="0" cy="0"/>
          </a:xfrm>
          <a:prstGeom prst="rect">
            <a:avLst/>
          </a:prstGeom>
          <a:solidFill>
            <a:srgbClr val="FFFFCC"/>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sng" strike="noStrike" baseline="0">
                <a:solidFill>
                  <a:srgbClr val="000000"/>
                </a:solidFill>
                <a:latin typeface="Arial"/>
                <a:cs typeface="Arial"/>
              </a:rPr>
              <a:t>Step 13 </a:t>
            </a:r>
            <a:r>
              <a:rPr lang="en-US" sz="1000" b="0" i="0" u="sng" strike="noStrike" baseline="0">
                <a:solidFill>
                  <a:srgbClr val="000000"/>
                </a:solidFill>
                <a:latin typeface="Arial"/>
                <a:cs typeface="Arial"/>
              </a:rPr>
              <a:t>(Column AT):</a:t>
            </a:r>
            <a:r>
              <a:rPr lang="en-US" sz="1000" b="0" i="0" u="none" strike="noStrike" baseline="0">
                <a:solidFill>
                  <a:srgbClr val="000000"/>
                </a:solidFill>
                <a:latin typeface="Arial"/>
                <a:cs typeface="Arial"/>
              </a:rPr>
              <a:t>   Select the smaller of q</a:t>
            </a:r>
            <a:r>
              <a:rPr lang="en-US" sz="1000" b="0" i="0" u="none" strike="noStrike" baseline="30000">
                <a:solidFill>
                  <a:srgbClr val="000000"/>
                </a:solidFill>
                <a:latin typeface="Arial"/>
                <a:cs typeface="Arial"/>
              </a:rPr>
              <a:t>d</a:t>
            </a:r>
            <a:r>
              <a:rPr lang="en-US" sz="1000" b="0" i="0" u="none" strike="noStrike" baseline="-25000">
                <a:solidFill>
                  <a:srgbClr val="000000"/>
                </a:solidFill>
                <a:latin typeface="Arial"/>
                <a:cs typeface="Arial"/>
              </a:rPr>
              <a:t>sed</a:t>
            </a:r>
            <a:r>
              <a:rPr lang="en-US" sz="1000" b="0" i="0" u="none" strike="noStrike" baseline="0">
                <a:solidFill>
                  <a:srgbClr val="000000"/>
                </a:solidFill>
                <a:latin typeface="Arial"/>
                <a:cs typeface="Arial"/>
              </a:rPr>
              <a:t> or q</a:t>
            </a:r>
            <a:r>
              <a:rPr lang="en-US" sz="1000" b="0" i="0" u="none" strike="noStrike" baseline="30000">
                <a:solidFill>
                  <a:srgbClr val="000000"/>
                </a:solidFill>
                <a:latin typeface="Arial"/>
                <a:cs typeface="Arial"/>
              </a:rPr>
              <a:t>p</a:t>
            </a:r>
            <a:r>
              <a:rPr lang="en-US" sz="1000" b="0" i="0" u="none" strike="noStrike" baseline="-25000">
                <a:solidFill>
                  <a:srgbClr val="000000"/>
                </a:solidFill>
                <a:latin typeface="Arial"/>
                <a:cs typeface="Arial"/>
              </a:rPr>
              <a:t>sed. </a:t>
            </a:r>
            <a:r>
              <a:rPr lang="en-US" sz="1000" b="0" i="0" u="none" strike="noStrike" baseline="0">
                <a:solidFill>
                  <a:srgbClr val="000000"/>
                </a:solidFill>
                <a:latin typeface="Arial"/>
                <a:cs typeface="Arial"/>
              </a:rPr>
              <a:t> This is the allowable sediment concentration needed to meet the air screening requirements.</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xnSp macro="">
        <xdr:nvCxnSpPr>
          <xdr:cNvPr id="8679" name="AutoShape 329">
            <a:extLst>
              <a:ext uri="{FF2B5EF4-FFF2-40B4-BE49-F238E27FC236}">
                <a16:creationId xmlns:a16="http://schemas.microsoft.com/office/drawing/2014/main" id="{00000000-0008-0000-0700-0000E7210000}"/>
              </a:ext>
            </a:extLst>
          </xdr:cNvPr>
          <xdr:cNvCxnSpPr>
            <a:cxnSpLocks noChangeShapeType="1"/>
            <a:stCxn id="8376" idx="2"/>
            <a:endCxn id="8520" idx="0"/>
          </xdr:cNvCxnSpPr>
        </xdr:nvCxnSpPr>
        <xdr:spPr bwMode="auto">
          <a:xfrm>
            <a:off x="1904" y="7428"/>
            <a:ext cx="0" cy="23"/>
          </a:xfrm>
          <a:prstGeom prst="straightConnector1">
            <a:avLst/>
          </a:prstGeom>
          <a:noFill/>
          <a:ln w="9525">
            <a:solidFill>
              <a:srgbClr val="000000"/>
            </a:solidFill>
            <a:round/>
            <a:headEnd/>
            <a:tailEnd type="triangle" w="med" len="med"/>
          </a:ln>
        </xdr:spPr>
      </xdr:cxn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123825</xdr:colOff>
      <xdr:row>0</xdr:row>
      <xdr:rowOff>85725</xdr:rowOff>
    </xdr:from>
    <xdr:to>
      <xdr:col>0</xdr:col>
      <xdr:colOff>1866900</xdr:colOff>
      <xdr:row>7</xdr:row>
      <xdr:rowOff>114300</xdr:rowOff>
    </xdr:to>
    <xdr:sp macro="" textlink="">
      <xdr:nvSpPr>
        <xdr:cNvPr id="5122" name="Text Box 2">
          <a:extLst>
            <a:ext uri="{FF2B5EF4-FFF2-40B4-BE49-F238E27FC236}">
              <a16:creationId xmlns:a16="http://schemas.microsoft.com/office/drawing/2014/main" id="{00000000-0008-0000-0800-000002140000}"/>
            </a:ext>
          </a:extLst>
        </xdr:cNvPr>
        <xdr:cNvSpPr txBox="1">
          <a:spLocks noChangeArrowheads="1"/>
        </xdr:cNvSpPr>
      </xdr:nvSpPr>
      <xdr:spPr bwMode="auto">
        <a:xfrm>
          <a:off x="123825" y="85725"/>
          <a:ext cx="1743075" cy="1247775"/>
        </a:xfrm>
        <a:prstGeom prst="rect">
          <a:avLst/>
        </a:prstGeom>
        <a:solidFill>
          <a:srgbClr val="FFFFFF"/>
        </a:solidFill>
        <a:ln w="19050">
          <a:solidFill>
            <a:srgbClr val="FF0000"/>
          </a:solidFill>
          <a:miter lim="800000"/>
          <a:headEnd/>
          <a:tailEnd/>
        </a:ln>
      </xdr:spPr>
      <xdr:txBody>
        <a:bodyPr vertOverflow="clip" wrap="square" lIns="36576" tIns="22860" rIns="36576" bIns="0" anchor="t" upright="1"/>
        <a:lstStyle/>
        <a:p>
          <a:pPr algn="ctr" rtl="0">
            <a:defRPr sz="1000"/>
          </a:pPr>
          <a:r>
            <a:rPr lang="en-US" sz="1200" b="0" i="0" u="none" strike="noStrike" baseline="0">
              <a:solidFill>
                <a:srgbClr val="000000"/>
              </a:solidFill>
              <a:latin typeface="Arial"/>
              <a:cs typeface="Arial"/>
            </a:rPr>
            <a:t>PLANT &amp; ANIMAL UPTAKE PATHWAY</a:t>
          </a:r>
          <a:endParaRPr lang="en-US" sz="1400" b="0" i="0" u="none" strike="noStrike" baseline="0">
            <a:solidFill>
              <a:srgbClr val="000000"/>
            </a:solidFill>
            <a:latin typeface="Arial"/>
            <a:cs typeface="Arial"/>
          </a:endParaRPr>
        </a:p>
        <a:p>
          <a:pPr algn="ctr" rtl="0">
            <a:defRPr sz="1000"/>
          </a:pPr>
          <a:r>
            <a:rPr lang="en-US" sz="1000" b="0" i="0" u="none" strike="noStrike" baseline="0">
              <a:solidFill>
                <a:srgbClr val="000000"/>
              </a:solidFill>
              <a:latin typeface="Arial"/>
              <a:cs typeface="Arial"/>
            </a:rPr>
            <a:t>HYDRAULIC PLACEMENT</a:t>
          </a:r>
          <a:endParaRPr lang="en-US" sz="1000" b="1" i="0" u="none" strike="noStrike" baseline="0">
            <a:solidFill>
              <a:srgbClr val="000000"/>
            </a:solidFill>
            <a:latin typeface="Arial"/>
            <a:cs typeface="Arial"/>
          </a:endParaRPr>
        </a:p>
        <a:p>
          <a:pPr algn="ctr" rtl="0">
            <a:defRPr sz="1000"/>
          </a:pPr>
          <a:r>
            <a:rPr lang="en-US" sz="800" b="1" i="1" u="none" strike="noStrike" baseline="0">
              <a:solidFill>
                <a:srgbClr val="000000"/>
              </a:solidFill>
              <a:latin typeface="Arial"/>
              <a:cs typeface="Arial"/>
            </a:rPr>
            <a:t>Screening Evaluations for Confined Disposal Facility </a:t>
          </a:r>
        </a:p>
        <a:p>
          <a:pPr algn="ctr" rtl="0">
            <a:defRPr sz="1000"/>
          </a:pPr>
          <a:r>
            <a:rPr lang="en-US" sz="800" b="1" i="1" u="none" strike="noStrike" baseline="0">
              <a:solidFill>
                <a:srgbClr val="000000"/>
              </a:solidFill>
              <a:latin typeface="Arial"/>
              <a:cs typeface="Arial"/>
            </a:rPr>
            <a:t>Volatile Losses ?????????</a:t>
          </a:r>
          <a:r>
            <a:rPr lang="en-US" sz="800" b="0" i="1" u="none" strike="noStrike" baseline="0">
              <a:solidFill>
                <a:srgbClr val="000000"/>
              </a:solidFill>
              <a:latin typeface="Arial"/>
              <a:cs typeface="Arial"/>
            </a:rPr>
            <a:t> </a:t>
          </a:r>
          <a:endParaRPr lang="en-US" sz="800" b="0" i="0" u="none" strike="noStrike" baseline="0">
            <a:solidFill>
              <a:srgbClr val="000000"/>
            </a:solidFill>
            <a:latin typeface="Arial"/>
            <a:cs typeface="Arial"/>
          </a:endParaRPr>
        </a:p>
        <a:p>
          <a:pPr algn="ctr" rtl="0">
            <a:defRPr sz="1000"/>
          </a:pPr>
          <a:r>
            <a:rPr lang="en-US" sz="800" b="0" i="0" u="none" strike="noStrike" baseline="0">
              <a:solidFill>
                <a:srgbClr val="000000"/>
              </a:solidFill>
              <a:latin typeface="Arial"/>
              <a:cs typeface="Arial"/>
            </a:rPr>
            <a:t>(See reference below)</a:t>
          </a:r>
        </a:p>
      </xdr:txBody>
    </xdr:sp>
    <xdr:clientData/>
  </xdr:twoCellAnchor>
  <xdr:twoCellAnchor>
    <xdr:from>
      <xdr:col>0</xdr:col>
      <xdr:colOff>76200</xdr:colOff>
      <xdr:row>311</xdr:row>
      <xdr:rowOff>9525</xdr:rowOff>
    </xdr:from>
    <xdr:to>
      <xdr:col>0</xdr:col>
      <xdr:colOff>1905000</xdr:colOff>
      <xdr:row>319</xdr:row>
      <xdr:rowOff>38100</xdr:rowOff>
    </xdr:to>
    <xdr:sp macro="" textlink="">
      <xdr:nvSpPr>
        <xdr:cNvPr id="5123" name="Text Box 3">
          <a:extLst>
            <a:ext uri="{FF2B5EF4-FFF2-40B4-BE49-F238E27FC236}">
              <a16:creationId xmlns:a16="http://schemas.microsoft.com/office/drawing/2014/main" id="{00000000-0008-0000-0800-000003140000}"/>
            </a:ext>
          </a:extLst>
        </xdr:cNvPr>
        <xdr:cNvSpPr txBox="1">
          <a:spLocks noChangeArrowheads="1"/>
        </xdr:cNvSpPr>
      </xdr:nvSpPr>
      <xdr:spPr bwMode="auto">
        <a:xfrm>
          <a:off x="76200" y="50558700"/>
          <a:ext cx="1828800" cy="1323975"/>
        </a:xfrm>
        <a:prstGeom prst="rect">
          <a:avLst/>
        </a:prstGeom>
        <a:solidFill>
          <a:srgbClr val="FFFFFF"/>
        </a:solidFill>
        <a:ln w="19050">
          <a:solidFill>
            <a:srgbClr val="FF0000"/>
          </a:solidFill>
          <a:miter lim="800000"/>
          <a:headEnd/>
          <a:tailEnd/>
        </a:ln>
      </xdr:spPr>
      <xdr:txBody>
        <a:bodyPr vertOverflow="clip" wrap="square" lIns="27432" tIns="22860" rIns="0" bIns="0" anchor="t" upright="1"/>
        <a:lstStyle/>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Schroeder, P. R., Estes, T. J., Bailey, S. E. and ??  (2006). “Screening evaluations for potential contamination of plants and animals at confined disposal facilities,” DOER Technical Notes Collection (ERDC TN DOER-CXX), U.S. Army Engineer Research and Development Center, Vicksburg, MS.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CC"/>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CC"/>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B8:D20"/>
  <sheetViews>
    <sheetView showGridLines="0" workbookViewId="0">
      <selection activeCell="C24" sqref="C24"/>
    </sheetView>
  </sheetViews>
  <sheetFormatPr defaultRowHeight="13.2" x14ac:dyDescent="0.25"/>
  <cols>
    <col min="2" max="2" width="21.44140625" customWidth="1"/>
    <col min="3" max="3" width="11.44140625" bestFit="1" customWidth="1"/>
    <col min="4" max="4" width="33.44140625" bestFit="1" customWidth="1"/>
    <col min="6" max="6" width="13.88671875" customWidth="1"/>
  </cols>
  <sheetData>
    <row r="8" spans="2:4" ht="15" x14ac:dyDescent="0.25">
      <c r="B8" s="87" t="s">
        <v>0</v>
      </c>
      <c r="C8" s="10"/>
      <c r="D8" s="10"/>
    </row>
    <row r="9" spans="2:4" ht="15" x14ac:dyDescent="0.25">
      <c r="B9" s="87" t="s">
        <v>1</v>
      </c>
      <c r="C9" s="10"/>
      <c r="D9" s="10"/>
    </row>
    <row r="10" spans="2:4" ht="15" x14ac:dyDescent="0.25">
      <c r="B10" s="87" t="s">
        <v>2</v>
      </c>
      <c r="C10" s="10"/>
      <c r="D10" s="10"/>
    </row>
    <row r="11" spans="2:4" ht="13.8" thickBot="1" x14ac:dyDescent="0.3"/>
    <row r="12" spans="2:4" x14ac:dyDescent="0.25">
      <c r="B12" s="186" t="s">
        <v>3</v>
      </c>
      <c r="C12" s="187"/>
      <c r="D12" s="188"/>
    </row>
    <row r="13" spans="2:4" x14ac:dyDescent="0.25">
      <c r="B13" s="189" t="s">
        <v>4</v>
      </c>
      <c r="C13" s="190"/>
      <c r="D13" s="191"/>
    </row>
    <row r="14" spans="2:4" ht="18" x14ac:dyDescent="0.35">
      <c r="B14" s="93"/>
      <c r="C14" s="91" t="s">
        <v>5</v>
      </c>
      <c r="D14" s="92"/>
    </row>
    <row r="15" spans="2:4" ht="15" x14ac:dyDescent="0.25">
      <c r="B15" s="88" t="s">
        <v>6</v>
      </c>
      <c r="C15" s="89"/>
      <c r="D15" s="90" t="str">
        <f>IF($C$15="x","Further Screening Required","No Further Screening Required")</f>
        <v>No Further Screening Required</v>
      </c>
    </row>
    <row r="16" spans="2:4" ht="15" x14ac:dyDescent="0.25">
      <c r="B16" s="86" t="s">
        <v>7</v>
      </c>
      <c r="C16" s="89"/>
      <c r="D16" s="85" t="str">
        <f>IF($C$16="x","Further Screening Required","No Further Screening Required")</f>
        <v>No Further Screening Required</v>
      </c>
    </row>
    <row r="17" spans="2:4" ht="15" x14ac:dyDescent="0.25">
      <c r="B17" s="86" t="s">
        <v>8</v>
      </c>
      <c r="C17" s="89" t="s">
        <v>9</v>
      </c>
      <c r="D17" s="85" t="str">
        <f>IF($C$17="x","Further Screening Required","No Further Screening Required")</f>
        <v>Further Screening Required</v>
      </c>
    </row>
    <row r="18" spans="2:4" ht="15" x14ac:dyDescent="0.25">
      <c r="B18" s="86" t="s">
        <v>10</v>
      </c>
      <c r="C18" s="89" t="s">
        <v>9</v>
      </c>
      <c r="D18" s="85" t="str">
        <f>IF($C$18="x","Further Screening Required","No Further Screening Required")</f>
        <v>Further Screening Required</v>
      </c>
    </row>
    <row r="19" spans="2:4" ht="15" x14ac:dyDescent="0.25">
      <c r="B19" s="86" t="s">
        <v>11</v>
      </c>
      <c r="C19" s="89"/>
      <c r="D19" s="85" t="str">
        <f>IF($C$19="x","Further Screening Required","No Further Screening Required")</f>
        <v>No Further Screening Required</v>
      </c>
    </row>
    <row r="20" spans="2:4" ht="15.6" thickBot="1" x14ac:dyDescent="0.3">
      <c r="B20" s="82"/>
      <c r="C20" s="83"/>
      <c r="D20" s="84"/>
    </row>
  </sheetData>
  <phoneticPr fontId="2" type="noConversion"/>
  <conditionalFormatting sqref="D15:D19">
    <cfRule type="cellIs" dxfId="82" priority="1" stopIfTrue="1" operator="equal">
      <formula>"No Further Screening Required"</formula>
    </cfRule>
  </conditionalFormatting>
  <pageMargins left="0.75" right="0.75" top="1" bottom="1" header="0.5" footer="0.5"/>
  <pageSetup orientation="portrait" horizontalDpi="4294967292"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C168:C245"/>
  <sheetViews>
    <sheetView showGridLines="0" topLeftCell="A123" zoomScaleNormal="125" workbookViewId="0">
      <selection activeCell="O143" sqref="O143"/>
    </sheetView>
  </sheetViews>
  <sheetFormatPr defaultRowHeight="13.2" x14ac:dyDescent="0.25"/>
  <cols>
    <col min="6" max="6" width="3.109375" customWidth="1"/>
    <col min="19" max="19" width="11.5546875" customWidth="1"/>
  </cols>
  <sheetData>
    <row r="168" spans="3:3" x14ac:dyDescent="0.25">
      <c r="C168" t="s">
        <v>853</v>
      </c>
    </row>
    <row r="245" spans="3:3" x14ac:dyDescent="0.25">
      <c r="C245" t="s">
        <v>854</v>
      </c>
    </row>
  </sheetData>
  <phoneticPr fontId="0" type="noConversion"/>
  <pageMargins left="0.25" right="0.25" top="0.49" bottom="0.24" header="0.39" footer="0.24"/>
  <pageSetup scale="90" fitToHeight="3" orientation="portrait" r:id="rId1"/>
  <headerFooter alignWithMargins="0"/>
  <rowBreaks count="2" manualBreakCount="2">
    <brk id="111" max="16383" man="1"/>
    <brk id="241"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10"/>
  <sheetViews>
    <sheetView workbookViewId="0">
      <selection activeCell="B2" sqref="B2"/>
    </sheetView>
  </sheetViews>
  <sheetFormatPr defaultRowHeight="13.2" x14ac:dyDescent="0.25"/>
  <cols>
    <col min="1" max="1" width="25.88671875" bestFit="1" customWidth="1"/>
  </cols>
  <sheetData>
    <row r="1" spans="1:3" x14ac:dyDescent="0.25">
      <c r="A1" t="s">
        <v>512</v>
      </c>
      <c r="B1" t="s">
        <v>663</v>
      </c>
      <c r="C1" t="s">
        <v>855</v>
      </c>
    </row>
    <row r="2" spans="1:3" x14ac:dyDescent="0.25">
      <c r="A2" t="s">
        <v>513</v>
      </c>
      <c r="B2">
        <v>0.01</v>
      </c>
      <c r="C2">
        <v>3.15</v>
      </c>
    </row>
    <row r="3" spans="1:3" x14ac:dyDescent="0.25">
      <c r="A3" t="s">
        <v>514</v>
      </c>
      <c r="B3">
        <v>4.1000000000000002E-2</v>
      </c>
      <c r="C3">
        <v>23</v>
      </c>
    </row>
    <row r="4" spans="1:3" x14ac:dyDescent="0.25">
      <c r="A4" t="s">
        <v>515</v>
      </c>
      <c r="B4">
        <v>0.1</v>
      </c>
      <c r="C4">
        <v>32.4</v>
      </c>
    </row>
    <row r="5" spans="1:3" x14ac:dyDescent="0.25">
      <c r="A5" t="s">
        <v>516</v>
      </c>
      <c r="B5">
        <v>0.17</v>
      </c>
      <c r="C5">
        <v>8.2000000000000003E-2</v>
      </c>
    </row>
    <row r="6" spans="1:3" x14ac:dyDescent="0.25">
      <c r="A6" t="s">
        <v>517</v>
      </c>
      <c r="B6" t="s">
        <v>329</v>
      </c>
      <c r="C6">
        <v>0.28000000000000003</v>
      </c>
    </row>
    <row r="7" spans="1:3" x14ac:dyDescent="0.25">
      <c r="A7" t="s">
        <v>518</v>
      </c>
      <c r="B7">
        <v>1.2999999999999999E-2</v>
      </c>
      <c r="C7">
        <v>130</v>
      </c>
    </row>
    <row r="8" spans="1:3" x14ac:dyDescent="0.25">
      <c r="A8" t="s">
        <v>519</v>
      </c>
      <c r="B8">
        <v>0.1</v>
      </c>
      <c r="C8">
        <v>34</v>
      </c>
    </row>
    <row r="9" spans="1:3" x14ac:dyDescent="0.25">
      <c r="A9" t="s">
        <v>520</v>
      </c>
      <c r="B9" t="s">
        <v>329</v>
      </c>
      <c r="C9">
        <v>0.42</v>
      </c>
    </row>
    <row r="10" spans="1:3" x14ac:dyDescent="0.25">
      <c r="A10" t="s">
        <v>521</v>
      </c>
      <c r="B10" t="s">
        <v>329</v>
      </c>
      <c r="C10">
        <v>0.41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C93"/>
  <sheetViews>
    <sheetView showGridLines="0" zoomScaleNormal="100" workbookViewId="0">
      <selection activeCell="F6" sqref="F6"/>
    </sheetView>
  </sheetViews>
  <sheetFormatPr defaultRowHeight="13.2" x14ac:dyDescent="0.25"/>
  <cols>
    <col min="1" max="1" width="41.44140625" style="26" customWidth="1"/>
    <col min="2" max="2" width="11.44140625" customWidth="1"/>
    <col min="3" max="3" width="16.88671875" customWidth="1"/>
    <col min="4" max="4" width="10.88671875" customWidth="1"/>
    <col min="5" max="5" width="12" customWidth="1"/>
    <col min="6" max="6" width="11" bestFit="1" customWidth="1"/>
    <col min="7" max="7" width="14" customWidth="1"/>
    <col min="8" max="8" width="15.44140625" customWidth="1"/>
    <col min="9" max="9" width="12" customWidth="1"/>
    <col min="10" max="10" width="9.44140625" customWidth="1"/>
    <col min="11" max="11" width="11.44140625" customWidth="1"/>
    <col min="12" max="12" width="9.88671875" customWidth="1"/>
    <col min="13" max="13" width="12.88671875" customWidth="1"/>
    <col min="15" max="15" width="9.88671875" customWidth="1"/>
    <col min="20" max="20" width="11.44140625" customWidth="1"/>
    <col min="23" max="23" width="28.88671875" customWidth="1"/>
    <col min="25" max="25" width="12.5546875" customWidth="1"/>
    <col min="26" max="27" width="12.44140625" customWidth="1"/>
    <col min="28" max="28" width="13.5546875" customWidth="1"/>
  </cols>
  <sheetData>
    <row r="1" spans="1:24" ht="17.399999999999999" x14ac:dyDescent="0.3">
      <c r="A1" s="27"/>
      <c r="B1" s="27"/>
      <c r="C1" s="41"/>
      <c r="D1" s="42"/>
      <c r="E1" s="42"/>
      <c r="F1" s="42"/>
      <c r="G1" s="42"/>
      <c r="H1" s="42"/>
      <c r="I1" s="42"/>
      <c r="K1" s="12"/>
      <c r="R1" s="1"/>
      <c r="S1" s="1"/>
      <c r="T1" s="12"/>
      <c r="U1" s="1"/>
      <c r="V1" s="1"/>
      <c r="W1" s="1"/>
      <c r="X1" s="1"/>
    </row>
    <row r="2" spans="1:24" ht="17.399999999999999" x14ac:dyDescent="0.3">
      <c r="A2" s="27"/>
      <c r="B2" s="27"/>
      <c r="C2" s="41"/>
      <c r="D2" s="42"/>
      <c r="E2" s="42"/>
      <c r="F2" s="42"/>
      <c r="G2" s="42"/>
      <c r="H2" s="42"/>
      <c r="I2" s="42"/>
      <c r="K2" s="12"/>
      <c r="R2" s="1"/>
      <c r="S2" s="1"/>
      <c r="T2" s="12"/>
      <c r="U2" s="1"/>
      <c r="V2" s="1"/>
      <c r="W2" s="1"/>
      <c r="X2" s="1"/>
    </row>
    <row r="3" spans="1:24" x14ac:dyDescent="0.25">
      <c r="A3" s="53"/>
      <c r="C3" s="1"/>
      <c r="D3" s="2"/>
      <c r="E3" s="2"/>
      <c r="F3" s="2"/>
      <c r="G3" s="2"/>
      <c r="H3" s="2"/>
      <c r="I3" s="2"/>
      <c r="K3" s="2"/>
      <c r="R3" s="1"/>
      <c r="S3" s="1"/>
      <c r="T3" s="2"/>
      <c r="U3" s="1"/>
      <c r="V3" s="1"/>
      <c r="W3" s="1"/>
      <c r="X3" s="1"/>
    </row>
    <row r="4" spans="1:24" x14ac:dyDescent="0.25">
      <c r="A4" s="53"/>
      <c r="C4" s="1"/>
      <c r="D4" s="2"/>
      <c r="E4" s="2"/>
      <c r="F4" s="2"/>
      <c r="G4" s="2"/>
      <c r="H4" s="2"/>
      <c r="I4" s="2"/>
      <c r="K4" s="2"/>
      <c r="R4" s="1"/>
      <c r="S4" s="1"/>
      <c r="T4" s="2"/>
      <c r="U4" s="1"/>
      <c r="V4" s="1"/>
      <c r="W4" s="1"/>
      <c r="X4" s="1"/>
    </row>
    <row r="5" spans="1:24" x14ac:dyDescent="0.25">
      <c r="A5" s="185" t="s">
        <v>12</v>
      </c>
      <c r="B5" s="81"/>
      <c r="C5" s="192"/>
      <c r="D5" s="193"/>
      <c r="E5" s="193"/>
      <c r="F5" s="2"/>
      <c r="G5" s="2"/>
      <c r="H5" s="2"/>
      <c r="I5" s="2"/>
      <c r="K5" s="2"/>
      <c r="R5" s="1"/>
      <c r="S5" s="1"/>
      <c r="T5" s="2"/>
      <c r="U5" s="1"/>
      <c r="V5" s="1"/>
      <c r="W5" s="1"/>
      <c r="X5" s="1"/>
    </row>
    <row r="6" spans="1:24" x14ac:dyDescent="0.25">
      <c r="A6" s="194" t="s">
        <v>13</v>
      </c>
      <c r="B6" s="81"/>
      <c r="C6" s="192"/>
      <c r="D6" s="193"/>
      <c r="E6" s="193"/>
      <c r="F6" s="2"/>
      <c r="G6" s="2"/>
      <c r="H6" s="2"/>
      <c r="I6" s="2"/>
      <c r="K6" s="2"/>
      <c r="R6" s="1"/>
      <c r="S6" s="1"/>
      <c r="T6" s="2"/>
      <c r="U6" s="1"/>
      <c r="V6" s="1"/>
      <c r="W6" s="1"/>
      <c r="X6" s="1"/>
    </row>
    <row r="7" spans="1:24" ht="15.6" thickBot="1" x14ac:dyDescent="0.3">
      <c r="A7" s="36"/>
      <c r="C7" s="1"/>
      <c r="D7" s="2"/>
      <c r="E7" s="2"/>
      <c r="F7" s="2"/>
      <c r="G7" s="2"/>
      <c r="H7" s="2"/>
      <c r="I7" s="2"/>
      <c r="K7" s="2"/>
      <c r="R7" s="1"/>
      <c r="S7" s="1"/>
      <c r="T7" s="2"/>
      <c r="U7" s="1"/>
      <c r="V7" s="1"/>
      <c r="W7" s="1"/>
      <c r="X7" s="1"/>
    </row>
    <row r="8" spans="1:24" ht="19.5" customHeight="1" thickBot="1" x14ac:dyDescent="0.3">
      <c r="A8" s="574" t="s">
        <v>14</v>
      </c>
      <c r="B8" s="574" t="s">
        <v>15</v>
      </c>
      <c r="C8" s="574" t="s">
        <v>16</v>
      </c>
      <c r="D8" s="574" t="s">
        <v>17</v>
      </c>
      <c r="E8" s="574"/>
      <c r="G8" s="21"/>
      <c r="H8" s="21"/>
      <c r="I8" s="20"/>
      <c r="J8" s="8"/>
    </row>
    <row r="9" spans="1:24" ht="19.5" customHeight="1" x14ac:dyDescent="0.25">
      <c r="A9" s="575" t="s">
        <v>18</v>
      </c>
      <c r="B9" s="584" t="s">
        <v>19</v>
      </c>
      <c r="C9" s="588" t="s">
        <v>20</v>
      </c>
      <c r="D9" s="592">
        <v>3</v>
      </c>
      <c r="E9" s="576" t="s">
        <v>21</v>
      </c>
      <c r="F9" s="25"/>
      <c r="G9" s="99" t="s">
        <v>22</v>
      </c>
      <c r="H9" s="142"/>
      <c r="I9" s="142"/>
      <c r="J9" s="143"/>
    </row>
    <row r="10" spans="1:24" ht="19.5" customHeight="1" x14ac:dyDescent="0.25">
      <c r="A10" s="577" t="s">
        <v>23</v>
      </c>
      <c r="B10" s="585" t="s">
        <v>24</v>
      </c>
      <c r="C10" s="589" t="s">
        <v>20</v>
      </c>
      <c r="D10" s="593">
        <v>50</v>
      </c>
      <c r="E10" s="578" t="s">
        <v>21</v>
      </c>
      <c r="F10" s="25"/>
      <c r="G10" s="151" t="s">
        <v>25</v>
      </c>
      <c r="H10" s="149"/>
      <c r="I10" s="149"/>
      <c r="J10" s="150"/>
    </row>
    <row r="11" spans="1:24" ht="19.5" customHeight="1" x14ac:dyDescent="0.25">
      <c r="A11" s="577" t="s">
        <v>26</v>
      </c>
      <c r="B11" s="585" t="s">
        <v>27</v>
      </c>
      <c r="C11" s="589" t="s">
        <v>20</v>
      </c>
      <c r="D11" s="593">
        <v>8</v>
      </c>
      <c r="E11" s="578" t="s">
        <v>21</v>
      </c>
      <c r="F11" s="25"/>
      <c r="G11" s="1063" t="s">
        <v>28</v>
      </c>
      <c r="H11" s="1064"/>
      <c r="I11" s="1064"/>
      <c r="J11" s="1065"/>
    </row>
    <row r="12" spans="1:24" ht="19.5" customHeight="1" x14ac:dyDescent="0.35">
      <c r="A12" s="577" t="s">
        <v>29</v>
      </c>
      <c r="B12" s="585" t="s">
        <v>30</v>
      </c>
      <c r="C12" s="589" t="s">
        <v>20</v>
      </c>
      <c r="D12" s="589">
        <f>D11+(D10-D11)*0.1</f>
        <v>12.2</v>
      </c>
      <c r="E12" s="578"/>
      <c r="F12" s="25"/>
      <c r="G12" s="1066"/>
      <c r="H12" s="1067" t="s">
        <v>31</v>
      </c>
      <c r="I12" s="1068"/>
      <c r="J12" s="1069">
        <f>IF(OR(D12=0,D12=""),"",100/D12)</f>
        <v>8.1967213114754109</v>
      </c>
    </row>
    <row r="13" spans="1:24" ht="19.5" customHeight="1" thickBot="1" x14ac:dyDescent="0.4">
      <c r="A13" s="577" t="s">
        <v>32</v>
      </c>
      <c r="B13" s="585" t="s">
        <v>33</v>
      </c>
      <c r="C13" s="590" t="s">
        <v>34</v>
      </c>
      <c r="D13" s="593">
        <f>IF(OR(D12=0,D12=""),"",100/D12)</f>
        <v>8.1967213114754109</v>
      </c>
      <c r="E13" s="578" t="s">
        <v>21</v>
      </c>
      <c r="F13" s="40">
        <v>444</v>
      </c>
      <c r="G13" s="146" t="s">
        <v>35</v>
      </c>
      <c r="H13" s="147"/>
      <c r="I13" s="147"/>
      <c r="J13" s="156">
        <v>1</v>
      </c>
    </row>
    <row r="14" spans="1:24" ht="19.5" customHeight="1" thickBot="1" x14ac:dyDescent="0.3">
      <c r="A14" s="577" t="s">
        <v>36</v>
      </c>
      <c r="B14" s="585" t="s">
        <v>37</v>
      </c>
      <c r="C14" s="590" t="s">
        <v>34</v>
      </c>
      <c r="D14" s="593">
        <v>2.65</v>
      </c>
      <c r="E14" s="578" t="s">
        <v>21</v>
      </c>
      <c r="F14" s="25"/>
    </row>
    <row r="15" spans="1:24" ht="19.5" customHeight="1" x14ac:dyDescent="0.35">
      <c r="A15" s="577" t="s">
        <v>38</v>
      </c>
      <c r="B15" s="585" t="s">
        <v>39</v>
      </c>
      <c r="C15" s="589" t="s">
        <v>40</v>
      </c>
      <c r="D15" s="593">
        <v>0</v>
      </c>
      <c r="E15" s="578" t="s">
        <v>21</v>
      </c>
      <c r="F15" s="40"/>
      <c r="G15" s="99" t="s">
        <v>22</v>
      </c>
      <c r="H15" s="142"/>
      <c r="I15" s="142"/>
      <c r="J15" s="143"/>
    </row>
    <row r="16" spans="1:24" ht="19.5" customHeight="1" x14ac:dyDescent="0.35">
      <c r="A16" s="577" t="s">
        <v>41</v>
      </c>
      <c r="B16" s="585" t="s">
        <v>42</v>
      </c>
      <c r="C16" s="589" t="s">
        <v>20</v>
      </c>
      <c r="D16" s="593">
        <v>80</v>
      </c>
      <c r="E16" s="578" t="s">
        <v>21</v>
      </c>
      <c r="F16" s="40">
        <v>444</v>
      </c>
      <c r="G16" s="151" t="s">
        <v>43</v>
      </c>
      <c r="H16" s="149"/>
      <c r="I16" s="149"/>
      <c r="J16" s="150"/>
    </row>
    <row r="17" spans="1:11" ht="19.5" customHeight="1" x14ac:dyDescent="0.25">
      <c r="A17" s="579" t="s">
        <v>44</v>
      </c>
      <c r="B17" s="586" t="s">
        <v>45</v>
      </c>
      <c r="C17" s="590" t="s">
        <v>34</v>
      </c>
      <c r="D17" s="589">
        <f>(D16/100)*D14</f>
        <v>2.12</v>
      </c>
      <c r="E17" s="580"/>
      <c r="F17" s="25"/>
      <c r="G17" s="148" t="s">
        <v>46</v>
      </c>
      <c r="H17" s="153"/>
      <c r="I17" s="140" t="s">
        <v>47</v>
      </c>
      <c r="J17" s="144">
        <f>H17/$D$14*100</f>
        <v>0</v>
      </c>
    </row>
    <row r="18" spans="1:11" ht="19.5" customHeight="1" x14ac:dyDescent="0.35">
      <c r="A18" s="581" t="s">
        <v>48</v>
      </c>
      <c r="B18" s="585" t="s">
        <v>49</v>
      </c>
      <c r="C18" s="590" t="s">
        <v>34</v>
      </c>
      <c r="D18" s="594">
        <f>D17/(1+D17)</f>
        <v>0.67948717948717952</v>
      </c>
      <c r="E18" s="580"/>
      <c r="G18" s="145" t="s">
        <v>50</v>
      </c>
      <c r="H18" s="154"/>
      <c r="I18" s="141" t="s">
        <v>47</v>
      </c>
      <c r="J18" s="155">
        <f>-H18/((H18-1)*$D$14)*100</f>
        <v>0</v>
      </c>
    </row>
    <row r="19" spans="1:11" ht="19.5" customHeight="1" thickBot="1" x14ac:dyDescent="0.4">
      <c r="A19" s="582" t="s">
        <v>51</v>
      </c>
      <c r="B19" s="587" t="s">
        <v>52</v>
      </c>
      <c r="C19" s="591" t="s">
        <v>53</v>
      </c>
      <c r="D19" s="595">
        <f>(1-D18)*D14*1000</f>
        <v>849.35897435897425</v>
      </c>
      <c r="E19" s="759"/>
      <c r="G19" s="146" t="s">
        <v>54</v>
      </c>
      <c r="H19" s="152"/>
      <c r="I19" s="147" t="s">
        <v>55</v>
      </c>
      <c r="J19" s="156" t="e">
        <f>100*1000*(1-H19/(D14*1000))/H19</f>
        <v>#DIV/0!</v>
      </c>
    </row>
    <row r="20" spans="1:11" ht="19.5" customHeight="1" thickBot="1" x14ac:dyDescent="0.3">
      <c r="A20" s="231"/>
      <c r="B20" s="1081"/>
      <c r="C20" s="1081"/>
      <c r="D20" s="232"/>
      <c r="E20" s="233"/>
    </row>
    <row r="21" spans="1:11" ht="19.5" customHeight="1" thickBot="1" x14ac:dyDescent="0.3">
      <c r="A21" s="574" t="s">
        <v>56</v>
      </c>
      <c r="B21" s="574" t="s">
        <v>15</v>
      </c>
      <c r="C21" s="574" t="s">
        <v>16</v>
      </c>
      <c r="D21" s="574" t="s">
        <v>17</v>
      </c>
      <c r="E21" s="574"/>
    </row>
    <row r="22" spans="1:11" ht="19.5" customHeight="1" x14ac:dyDescent="0.35">
      <c r="A22" s="584" t="s">
        <v>57</v>
      </c>
      <c r="B22" s="584" t="s">
        <v>58</v>
      </c>
      <c r="C22" s="575" t="s">
        <v>53</v>
      </c>
      <c r="D22" s="592">
        <v>500</v>
      </c>
      <c r="E22" s="576" t="s">
        <v>21</v>
      </c>
      <c r="F22" s="40">
        <v>444</v>
      </c>
      <c r="G22" s="99" t="s">
        <v>22</v>
      </c>
      <c r="H22" s="122"/>
      <c r="I22" s="122"/>
      <c r="J22" s="123"/>
      <c r="K22" s="38"/>
    </row>
    <row r="23" spans="1:11" ht="19.5" customHeight="1" thickBot="1" x14ac:dyDescent="0.4">
      <c r="A23" s="587" t="s">
        <v>59</v>
      </c>
      <c r="B23" s="587" t="s">
        <v>60</v>
      </c>
      <c r="C23" s="596" t="s">
        <v>34</v>
      </c>
      <c r="D23" s="597">
        <f>1-(D22/(D14*1000))</f>
        <v>0.81132075471698117</v>
      </c>
      <c r="E23" s="583"/>
      <c r="F23" s="3"/>
      <c r="G23" s="44" t="s">
        <v>61</v>
      </c>
      <c r="H23" s="124"/>
      <c r="I23" s="124"/>
      <c r="J23" s="125"/>
      <c r="K23" s="39"/>
    </row>
    <row r="24" spans="1:11" ht="19.5" customHeight="1" thickBot="1" x14ac:dyDescent="0.3">
      <c r="A24" s="234"/>
      <c r="B24" s="235"/>
      <c r="C24" s="236"/>
      <c r="D24" s="237"/>
      <c r="E24" s="233"/>
      <c r="F24" s="3"/>
      <c r="G24" s="45" t="s">
        <v>62</v>
      </c>
      <c r="H24" s="126"/>
      <c r="I24" s="126"/>
      <c r="J24" s="127"/>
      <c r="K24" s="38"/>
    </row>
    <row r="25" spans="1:11" ht="19.5" customHeight="1" thickBot="1" x14ac:dyDescent="0.4">
      <c r="A25" s="574" t="s">
        <v>63</v>
      </c>
      <c r="B25" s="574" t="s">
        <v>15</v>
      </c>
      <c r="C25" s="574" t="s">
        <v>16</v>
      </c>
      <c r="D25" s="574" t="s">
        <v>17</v>
      </c>
      <c r="E25" s="574"/>
      <c r="F25" s="3"/>
      <c r="G25" s="128"/>
      <c r="H25" s="129" t="s">
        <v>64</v>
      </c>
      <c r="I25" s="787">
        <f>D10</f>
        <v>50</v>
      </c>
      <c r="J25" s="130"/>
    </row>
    <row r="26" spans="1:11" ht="19.5" customHeight="1" x14ac:dyDescent="0.35">
      <c r="A26" s="584" t="s">
        <v>65</v>
      </c>
      <c r="B26" s="584" t="s">
        <v>66</v>
      </c>
      <c r="C26" s="584" t="s">
        <v>34</v>
      </c>
      <c r="D26" s="592"/>
      <c r="E26" s="599" t="s">
        <v>21</v>
      </c>
      <c r="F26" s="3"/>
      <c r="G26" s="128"/>
      <c r="H26" s="131" t="s">
        <v>67</v>
      </c>
      <c r="I26" s="788">
        <f>100-I25</f>
        <v>50</v>
      </c>
      <c r="J26" s="130"/>
    </row>
    <row r="27" spans="1:11" ht="19.5" customHeight="1" thickBot="1" x14ac:dyDescent="0.4">
      <c r="A27" s="587" t="s">
        <v>68</v>
      </c>
      <c r="B27" s="587" t="s">
        <v>9</v>
      </c>
      <c r="C27" s="587" t="s">
        <v>20</v>
      </c>
      <c r="D27" s="598"/>
      <c r="E27" s="600" t="s">
        <v>21</v>
      </c>
      <c r="F27" s="3"/>
      <c r="G27" s="132"/>
      <c r="H27" s="133" t="s">
        <v>69</v>
      </c>
      <c r="I27" s="126">
        <f>I25+3*I26</f>
        <v>200</v>
      </c>
      <c r="J27" s="127" t="s">
        <v>53</v>
      </c>
      <c r="K27" s="37"/>
    </row>
    <row r="28" spans="1:11" ht="19.5" customHeight="1" thickBot="1" x14ac:dyDescent="0.3">
      <c r="A28" s="238"/>
      <c r="B28" s="235"/>
      <c r="C28" s="235"/>
      <c r="D28" s="236"/>
      <c r="E28" s="237"/>
      <c r="F28" s="3"/>
      <c r="G28" s="45" t="s">
        <v>70</v>
      </c>
      <c r="H28" s="46"/>
      <c r="I28" s="46"/>
      <c r="J28" s="47"/>
    </row>
    <row r="29" spans="1:11" ht="19.5" customHeight="1" thickBot="1" x14ac:dyDescent="0.3">
      <c r="A29" s="574" t="s">
        <v>71</v>
      </c>
      <c r="B29" s="574" t="s">
        <v>15</v>
      </c>
      <c r="C29" s="574" t="s">
        <v>16</v>
      </c>
      <c r="D29" s="574" t="s">
        <v>17</v>
      </c>
      <c r="E29" s="574"/>
      <c r="F29" s="3"/>
      <c r="G29" s="45" t="s">
        <v>72</v>
      </c>
      <c r="H29" s="46"/>
      <c r="I29" s="46"/>
      <c r="J29" s="47"/>
    </row>
    <row r="30" spans="1:11" ht="19.5" customHeight="1" x14ac:dyDescent="0.25">
      <c r="A30" s="584" t="s">
        <v>65</v>
      </c>
      <c r="B30" s="584" t="s">
        <v>66</v>
      </c>
      <c r="C30" s="584" t="s">
        <v>34</v>
      </c>
      <c r="D30" s="592"/>
      <c r="E30" s="599" t="s">
        <v>21</v>
      </c>
      <c r="F30" s="3"/>
      <c r="G30" s="45" t="s">
        <v>73</v>
      </c>
      <c r="H30" s="46"/>
      <c r="I30" s="46"/>
      <c r="J30" s="47"/>
    </row>
    <row r="31" spans="1:11" ht="19.5" customHeight="1" thickBot="1" x14ac:dyDescent="0.4">
      <c r="A31" s="585" t="s">
        <v>68</v>
      </c>
      <c r="B31" s="585" t="s">
        <v>9</v>
      </c>
      <c r="C31" s="585" t="s">
        <v>20</v>
      </c>
      <c r="D31" s="593">
        <f>D27</f>
        <v>0</v>
      </c>
      <c r="E31" s="601" t="s">
        <v>21</v>
      </c>
      <c r="F31" s="3"/>
      <c r="G31" s="48"/>
      <c r="H31" s="49" t="s">
        <v>69</v>
      </c>
      <c r="I31" s="50">
        <f>D19/5.5</f>
        <v>154.42890442890442</v>
      </c>
      <c r="J31" s="134" t="s">
        <v>53</v>
      </c>
    </row>
    <row r="32" spans="1:11" ht="19.5" customHeight="1" x14ac:dyDescent="0.25">
      <c r="A32" s="585" t="s">
        <v>74</v>
      </c>
      <c r="B32" s="585" t="s">
        <v>75</v>
      </c>
      <c r="C32" s="585" t="s">
        <v>53</v>
      </c>
      <c r="D32" s="593">
        <v>20</v>
      </c>
      <c r="E32" s="601" t="s">
        <v>21</v>
      </c>
      <c r="F32" s="3"/>
      <c r="G32" s="3"/>
      <c r="H32" s="3"/>
      <c r="I32" s="21"/>
    </row>
    <row r="33" spans="1:9" ht="19.5" customHeight="1" x14ac:dyDescent="0.25">
      <c r="A33" s="585" t="s">
        <v>76</v>
      </c>
      <c r="B33" s="585" t="s">
        <v>77</v>
      </c>
      <c r="C33" s="585" t="s">
        <v>34</v>
      </c>
      <c r="D33" s="594">
        <f>1-($D$32)/($D$14*1000)</f>
        <v>0.99245283018867925</v>
      </c>
      <c r="E33" s="602"/>
      <c r="F33" s="3"/>
      <c r="G33" s="3"/>
      <c r="H33" s="3"/>
      <c r="I33" s="21"/>
    </row>
    <row r="34" spans="1:9" ht="19.5" customHeight="1" x14ac:dyDescent="0.25">
      <c r="A34" s="585" t="s">
        <v>78</v>
      </c>
      <c r="B34" s="585" t="s">
        <v>79</v>
      </c>
      <c r="C34" s="585" t="s">
        <v>53</v>
      </c>
      <c r="D34" s="593">
        <v>2</v>
      </c>
      <c r="E34" s="601" t="s">
        <v>21</v>
      </c>
      <c r="F34" s="19"/>
      <c r="G34" s="22"/>
      <c r="H34" s="21"/>
      <c r="I34" s="21"/>
    </row>
    <row r="35" spans="1:9" ht="19.5" customHeight="1" thickBot="1" x14ac:dyDescent="0.3">
      <c r="A35" s="587" t="s">
        <v>80</v>
      </c>
      <c r="B35" s="587" t="s">
        <v>81</v>
      </c>
      <c r="C35" s="587" t="s">
        <v>34</v>
      </c>
      <c r="D35" s="597">
        <f>1-($D$34)/($D$14*1000)</f>
        <v>0.99924528301886795</v>
      </c>
      <c r="E35" s="603"/>
      <c r="F35" s="19"/>
      <c r="G35" s="22"/>
      <c r="H35" s="21"/>
      <c r="I35" s="21"/>
    </row>
    <row r="36" spans="1:9" ht="19.5" customHeight="1" thickBot="1" x14ac:dyDescent="0.3">
      <c r="A36" s="239"/>
      <c r="B36" s="240"/>
      <c r="C36" s="1082"/>
      <c r="D36" s="235"/>
      <c r="E36" s="236"/>
      <c r="F36" s="98"/>
      <c r="G36" s="51"/>
      <c r="H36" s="51"/>
      <c r="I36" s="2"/>
    </row>
    <row r="37" spans="1:9" ht="19.5" customHeight="1" thickBot="1" x14ac:dyDescent="0.3">
      <c r="A37" s="574" t="s">
        <v>82</v>
      </c>
      <c r="B37" s="574" t="s">
        <v>15</v>
      </c>
      <c r="C37" s="574" t="s">
        <v>16</v>
      </c>
      <c r="D37" s="574" t="s">
        <v>17</v>
      </c>
      <c r="E37" s="574"/>
      <c r="F37" s="2"/>
      <c r="G37" s="2"/>
      <c r="H37" s="2"/>
      <c r="I37" s="2"/>
    </row>
    <row r="38" spans="1:9" ht="19.5" customHeight="1" x14ac:dyDescent="0.25">
      <c r="A38" s="604" t="s">
        <v>83</v>
      </c>
      <c r="B38" s="584" t="s">
        <v>84</v>
      </c>
      <c r="C38" s="604" t="s">
        <v>85</v>
      </c>
      <c r="D38" s="792">
        <v>19</v>
      </c>
      <c r="E38" s="611"/>
      <c r="F38" s="2"/>
      <c r="G38" s="2"/>
      <c r="H38" s="2"/>
      <c r="I38" s="2"/>
    </row>
    <row r="39" spans="1:9" ht="19.5" customHeight="1" x14ac:dyDescent="0.25">
      <c r="A39" s="605" t="s">
        <v>86</v>
      </c>
      <c r="B39" s="585" t="s">
        <v>87</v>
      </c>
      <c r="C39" s="605" t="s">
        <v>88</v>
      </c>
      <c r="D39" s="610">
        <v>1440</v>
      </c>
      <c r="E39" s="601" t="s">
        <v>21</v>
      </c>
      <c r="F39" s="2"/>
      <c r="G39" s="2"/>
      <c r="H39" s="2"/>
      <c r="I39" s="2"/>
    </row>
    <row r="40" spans="1:9" ht="19.5" customHeight="1" x14ac:dyDescent="0.25">
      <c r="A40" s="605" t="s">
        <v>89</v>
      </c>
      <c r="B40" s="585" t="s">
        <v>90</v>
      </c>
      <c r="C40" s="605" t="s">
        <v>91</v>
      </c>
      <c r="D40" s="757">
        <v>12</v>
      </c>
      <c r="E40" s="612"/>
      <c r="F40" s="2"/>
      <c r="G40" s="2"/>
      <c r="H40" s="2"/>
      <c r="I40" s="2"/>
    </row>
    <row r="41" spans="1:9" ht="19.5" customHeight="1" x14ac:dyDescent="0.25">
      <c r="A41" s="605" t="s">
        <v>92</v>
      </c>
      <c r="B41" s="585" t="s">
        <v>93</v>
      </c>
      <c r="C41" s="605" t="s">
        <v>94</v>
      </c>
      <c r="D41" s="606">
        <f xml:space="preserve"> D39*D40/D38/1000</f>
        <v>0.90947368421052632</v>
      </c>
      <c r="E41" s="612"/>
      <c r="F41" s="2"/>
      <c r="G41" s="2"/>
      <c r="H41" s="2"/>
      <c r="I41" s="2"/>
    </row>
    <row r="42" spans="1:9" ht="19.5" customHeight="1" x14ac:dyDescent="0.25">
      <c r="A42" s="605" t="s">
        <v>95</v>
      </c>
      <c r="B42" s="608" t="s">
        <v>96</v>
      </c>
      <c r="C42" s="605" t="s">
        <v>85</v>
      </c>
      <c r="D42" s="756">
        <v>72.569999999999993</v>
      </c>
      <c r="E42" s="612"/>
      <c r="F42" s="2"/>
      <c r="G42" s="2"/>
      <c r="H42" s="2"/>
      <c r="I42" s="2"/>
    </row>
    <row r="43" spans="1:9" ht="19.5" customHeight="1" x14ac:dyDescent="0.25">
      <c r="A43" s="605" t="s">
        <v>97</v>
      </c>
      <c r="B43" s="585" t="s">
        <v>98</v>
      </c>
      <c r="C43" s="605" t="s">
        <v>91</v>
      </c>
      <c r="D43" s="790">
        <v>28.6</v>
      </c>
      <c r="E43" s="612"/>
      <c r="F43" s="2"/>
      <c r="G43" s="2"/>
      <c r="H43" s="2"/>
      <c r="I43" s="2"/>
    </row>
    <row r="44" spans="1:9" ht="19.5" customHeight="1" thickBot="1" x14ac:dyDescent="0.3">
      <c r="A44" s="605" t="s">
        <v>99</v>
      </c>
      <c r="B44" s="585" t="s">
        <v>100</v>
      </c>
      <c r="C44" s="608" t="s">
        <v>88</v>
      </c>
      <c r="D44" s="610">
        <v>600</v>
      </c>
      <c r="E44" s="601" t="s">
        <v>21</v>
      </c>
      <c r="F44" s="3"/>
      <c r="G44" s="2"/>
      <c r="H44" s="2"/>
      <c r="I44" s="2"/>
    </row>
    <row r="45" spans="1:9" ht="19.5" customHeight="1" x14ac:dyDescent="0.25">
      <c r="A45" s="605" t="s">
        <v>101</v>
      </c>
      <c r="B45" s="585" t="s">
        <v>102</v>
      </c>
      <c r="C45" s="585" t="s">
        <v>88</v>
      </c>
      <c r="D45" s="593">
        <v>480</v>
      </c>
      <c r="E45" s="601" t="s">
        <v>21</v>
      </c>
      <c r="F45" s="3"/>
      <c r="G45" s="99" t="s">
        <v>22</v>
      </c>
      <c r="H45" s="107"/>
      <c r="I45" s="110"/>
    </row>
    <row r="46" spans="1:9" ht="19.5" customHeight="1" x14ac:dyDescent="0.25">
      <c r="A46" s="605" t="s">
        <v>103</v>
      </c>
      <c r="B46" s="585" t="s">
        <v>104</v>
      </c>
      <c r="C46" s="605" t="s">
        <v>94</v>
      </c>
      <c r="D46" s="606">
        <f xml:space="preserve"> D44*D43/D42/1000</f>
        <v>0.23646134766432414</v>
      </c>
      <c r="E46" s="612"/>
      <c r="F46" s="2"/>
      <c r="G46" s="102" t="s">
        <v>105</v>
      </c>
      <c r="H46" s="108" t="s">
        <v>106</v>
      </c>
      <c r="I46" s="111"/>
    </row>
    <row r="47" spans="1:9" ht="19.5" customHeight="1" x14ac:dyDescent="0.25">
      <c r="A47" s="605" t="s">
        <v>107</v>
      </c>
      <c r="B47" s="585" t="s">
        <v>108</v>
      </c>
      <c r="C47" s="605" t="s">
        <v>94</v>
      </c>
      <c r="D47" s="606">
        <f xml:space="preserve"> D45*D43/D42/1000</f>
        <v>0.18916907813145928</v>
      </c>
      <c r="E47" s="612"/>
      <c r="F47" s="2"/>
      <c r="G47" s="100" t="s">
        <v>109</v>
      </c>
      <c r="H47" s="109" t="s">
        <v>110</v>
      </c>
      <c r="I47" s="111"/>
    </row>
    <row r="48" spans="1:9" ht="19.5" customHeight="1" x14ac:dyDescent="0.25">
      <c r="A48" s="605" t="s">
        <v>111</v>
      </c>
      <c r="B48" s="585" t="s">
        <v>112</v>
      </c>
      <c r="C48" s="605" t="s">
        <v>113</v>
      </c>
      <c r="D48" s="790">
        <v>2.5</v>
      </c>
      <c r="E48" s="612"/>
      <c r="F48" s="2"/>
      <c r="G48" s="103" t="s">
        <v>114</v>
      </c>
      <c r="H48" s="105" t="s">
        <v>115</v>
      </c>
      <c r="I48" s="38"/>
    </row>
    <row r="49" spans="1:29" ht="19.5" customHeight="1" x14ac:dyDescent="0.25">
      <c r="A49" s="605" t="s">
        <v>116</v>
      </c>
      <c r="B49" s="585" t="s">
        <v>117</v>
      </c>
      <c r="C49" s="605" t="s">
        <v>113</v>
      </c>
      <c r="D49" s="606">
        <f>0.03*D48</f>
        <v>7.4999999999999997E-2</v>
      </c>
      <c r="E49" s="612"/>
      <c r="F49" s="2"/>
      <c r="G49" s="104">
        <v>20</v>
      </c>
      <c r="H49" s="106">
        <v>6.7949999999999999</v>
      </c>
      <c r="I49" s="38"/>
    </row>
    <row r="50" spans="1:29" ht="19.5" customHeight="1" x14ac:dyDescent="0.25">
      <c r="A50" s="605" t="s">
        <v>118</v>
      </c>
      <c r="B50" s="585" t="s">
        <v>119</v>
      </c>
      <c r="C50" s="605" t="s">
        <v>120</v>
      </c>
      <c r="D50" s="610">
        <v>310</v>
      </c>
      <c r="E50" s="605"/>
      <c r="F50" s="2"/>
      <c r="G50" s="104">
        <v>50</v>
      </c>
      <c r="H50" s="106">
        <v>2.117</v>
      </c>
      <c r="I50" s="38"/>
    </row>
    <row r="51" spans="1:29" ht="19.5" customHeight="1" x14ac:dyDescent="0.25">
      <c r="A51" s="605" t="s">
        <v>121</v>
      </c>
      <c r="B51" s="585" t="s">
        <v>122</v>
      </c>
      <c r="C51" s="605" t="s">
        <v>123</v>
      </c>
      <c r="D51" s="610">
        <v>0.3</v>
      </c>
      <c r="E51" s="601" t="s">
        <v>21</v>
      </c>
      <c r="F51" s="2"/>
      <c r="G51" s="104">
        <v>100</v>
      </c>
      <c r="H51" s="106">
        <v>0.72299999999999998</v>
      </c>
      <c r="I51" s="38"/>
    </row>
    <row r="52" spans="1:29" ht="19.5" customHeight="1" x14ac:dyDescent="0.25">
      <c r="A52" s="589" t="s">
        <v>124</v>
      </c>
      <c r="B52" s="585" t="s">
        <v>125</v>
      </c>
      <c r="C52" s="608" t="s">
        <v>123</v>
      </c>
      <c r="D52" s="610">
        <v>100</v>
      </c>
      <c r="E52" s="601" t="s">
        <v>21</v>
      </c>
      <c r="F52" s="3"/>
      <c r="G52" s="104">
        <v>200</v>
      </c>
      <c r="H52" s="106">
        <v>0.21299999999999999</v>
      </c>
      <c r="I52" s="38"/>
    </row>
    <row r="53" spans="1:29" ht="19.5" customHeight="1" x14ac:dyDescent="0.25">
      <c r="A53" s="606" t="s">
        <v>126</v>
      </c>
      <c r="B53" s="585" t="s">
        <v>127</v>
      </c>
      <c r="C53" s="585" t="s">
        <v>123</v>
      </c>
      <c r="D53" s="593">
        <v>30</v>
      </c>
      <c r="E53" s="601" t="s">
        <v>21</v>
      </c>
      <c r="F53" s="3"/>
      <c r="G53" s="104">
        <v>500</v>
      </c>
      <c r="H53" s="106">
        <v>3.6999999999999998E-2</v>
      </c>
      <c r="I53" s="38"/>
      <c r="J53" s="43"/>
    </row>
    <row r="54" spans="1:29" ht="19.5" customHeight="1" x14ac:dyDescent="0.35">
      <c r="A54" s="606" t="s">
        <v>128</v>
      </c>
      <c r="B54" s="585" t="s">
        <v>129</v>
      </c>
      <c r="C54" s="585" t="s">
        <v>130</v>
      </c>
      <c r="D54" s="593">
        <v>0.7</v>
      </c>
      <c r="E54" s="601" t="s">
        <v>21</v>
      </c>
      <c r="F54" s="40">
        <v>444</v>
      </c>
      <c r="G54" s="137">
        <v>1000</v>
      </c>
      <c r="H54" s="138">
        <v>7.0000000000000001E-3</v>
      </c>
      <c r="I54" s="38"/>
    </row>
    <row r="55" spans="1:29" ht="19.5" customHeight="1" x14ac:dyDescent="0.25">
      <c r="A55" s="589" t="s">
        <v>131</v>
      </c>
      <c r="B55" s="585" t="s">
        <v>132</v>
      </c>
      <c r="C55" s="609" t="s">
        <v>34</v>
      </c>
      <c r="D55" s="585">
        <v>0.2</v>
      </c>
      <c r="E55" s="605"/>
      <c r="G55" s="121" t="s">
        <v>133</v>
      </c>
      <c r="H55" s="101"/>
      <c r="I55" s="38"/>
    </row>
    <row r="56" spans="1:29" ht="19.5" customHeight="1" x14ac:dyDescent="0.25">
      <c r="A56" s="606" t="s">
        <v>134</v>
      </c>
      <c r="B56" s="585" t="s">
        <v>135</v>
      </c>
      <c r="C56" s="606" t="s">
        <v>136</v>
      </c>
      <c r="D56" s="757">
        <v>30</v>
      </c>
      <c r="E56" s="605"/>
      <c r="G56" s="116" t="s">
        <v>137</v>
      </c>
      <c r="H56" s="115"/>
      <c r="I56" s="38"/>
    </row>
    <row r="57" spans="1:29" ht="19.5" customHeight="1" thickBot="1" x14ac:dyDescent="0.3">
      <c r="A57" s="607" t="s">
        <v>138</v>
      </c>
      <c r="B57" s="587" t="s">
        <v>139</v>
      </c>
      <c r="C57" s="607" t="s">
        <v>136</v>
      </c>
      <c r="D57" s="791">
        <v>30</v>
      </c>
      <c r="E57" s="613"/>
      <c r="F57" s="113"/>
      <c r="G57" s="115" t="s">
        <v>140</v>
      </c>
      <c r="H57" s="115"/>
      <c r="I57" s="38"/>
    </row>
    <row r="58" spans="1:29" ht="19.5" customHeight="1" thickBot="1" x14ac:dyDescent="0.3">
      <c r="A58" s="241"/>
      <c r="B58" s="235"/>
      <c r="C58" s="236"/>
      <c r="D58" s="242"/>
      <c r="E58" s="233"/>
      <c r="G58" s="117">
        <f>IF(G59&lt;20,"Out of Range",IF(G59&lt;50,20,IF(G59&lt;100,50,IF(G59&lt;200,100,IF(G59&lt;500,200,IF(G59&lt;1000,500,1000))))))</f>
        <v>200</v>
      </c>
      <c r="H58" s="119">
        <f>IF(G58="Out of Range", "Out of Range",LOOKUP(G59,G49:G54,H49:H54))</f>
        <v>0.21299999999999999</v>
      </c>
      <c r="I58" s="112"/>
    </row>
    <row r="59" spans="1:29" ht="19.5" customHeight="1" thickBot="1" x14ac:dyDescent="0.3">
      <c r="A59" s="574" t="s">
        <v>141</v>
      </c>
      <c r="B59" s="574" t="s">
        <v>15</v>
      </c>
      <c r="C59" s="574" t="s">
        <v>16</v>
      </c>
      <c r="D59" s="574" t="s">
        <v>17</v>
      </c>
      <c r="E59" s="574"/>
      <c r="G59" s="135">
        <v>250</v>
      </c>
      <c r="H59" s="136">
        <f>IF(G60="Out of Range","Out of Range",IF(G58="Out of Range","Out of Range",(G59-G58)/(G60-G58)*(H60-H58)+H58))</f>
        <v>0.18366666666666667</v>
      </c>
      <c r="I59" s="80"/>
    </row>
    <row r="60" spans="1:29" ht="19.5" customHeight="1" thickBot="1" x14ac:dyDescent="0.3">
      <c r="A60" s="584" t="s">
        <v>142</v>
      </c>
      <c r="B60" s="584" t="s">
        <v>143</v>
      </c>
      <c r="C60" s="588" t="s">
        <v>20</v>
      </c>
      <c r="D60" s="592"/>
      <c r="E60" s="599" t="s">
        <v>21</v>
      </c>
      <c r="G60" s="118">
        <f>IF(G59&lt;20,20,IF(G59&lt;50,50,IF(G59&lt;100,100,IF(G59&lt;200,200,IF(G59&lt;500,500,IF(G59&lt;1000,1000,"Out of Range"))))))</f>
        <v>500</v>
      </c>
      <c r="H60" s="120">
        <f>IF(G60="Out of Range","Out of Range",LOOKUP(G60,G49:G54,H49:H54))</f>
        <v>3.6999999999999998E-2</v>
      </c>
      <c r="I60" s="23"/>
    </row>
    <row r="61" spans="1:29" ht="19.5" customHeight="1" thickBot="1" x14ac:dyDescent="0.3">
      <c r="A61" s="587" t="s">
        <v>144</v>
      </c>
      <c r="B61" s="587" t="s">
        <v>145</v>
      </c>
      <c r="C61" s="591" t="s">
        <v>20</v>
      </c>
      <c r="D61" s="598"/>
      <c r="E61" s="600" t="s">
        <v>21</v>
      </c>
      <c r="G61" s="23"/>
      <c r="H61" s="23"/>
      <c r="I61" s="23"/>
    </row>
    <row r="62" spans="1:29" ht="19.5" customHeight="1" thickBot="1" x14ac:dyDescent="0.4">
      <c r="A62" s="1083"/>
      <c r="B62" s="23"/>
      <c r="C62" s="23"/>
      <c r="D62" s="23"/>
      <c r="E62" s="23"/>
      <c r="R62" s="63"/>
      <c r="S62" s="23"/>
      <c r="T62" s="23"/>
      <c r="U62" s="23"/>
      <c r="V62" s="23"/>
      <c r="W62" s="23"/>
      <c r="X62" s="23"/>
      <c r="Y62" s="23"/>
      <c r="Z62" s="23"/>
      <c r="AA62" s="23"/>
      <c r="AB62" s="23"/>
      <c r="AC62" s="23"/>
    </row>
    <row r="63" spans="1:29" ht="19.5" customHeight="1" thickBot="1" x14ac:dyDescent="0.3">
      <c r="A63" s="574" t="s">
        <v>146</v>
      </c>
      <c r="B63" s="574" t="s">
        <v>15</v>
      </c>
      <c r="C63" s="574" t="s">
        <v>16</v>
      </c>
      <c r="D63" s="574" t="s">
        <v>17</v>
      </c>
      <c r="E63" s="574"/>
      <c r="R63" s="23"/>
      <c r="S63" s="23"/>
      <c r="T63" s="23"/>
      <c r="U63" s="23"/>
      <c r="V63" s="23"/>
      <c r="W63" s="23"/>
      <c r="X63" s="23"/>
      <c r="Y63" s="23"/>
      <c r="Z63" s="23"/>
      <c r="AA63" s="23"/>
      <c r="AB63" s="23"/>
      <c r="AC63" s="23"/>
    </row>
    <row r="64" spans="1:29" ht="19.5" customHeight="1" x14ac:dyDescent="0.25">
      <c r="A64" s="584" t="s">
        <v>147</v>
      </c>
      <c r="B64" s="584" t="s">
        <v>148</v>
      </c>
      <c r="C64" s="584" t="s">
        <v>123</v>
      </c>
      <c r="D64" s="592">
        <v>10</v>
      </c>
      <c r="E64" s="599" t="s">
        <v>21</v>
      </c>
      <c r="F64" s="65"/>
      <c r="J64" s="28"/>
      <c r="K64" s="66"/>
      <c r="R64" s="1083"/>
      <c r="S64" s="1083"/>
      <c r="T64" s="67"/>
      <c r="U64" s="1083"/>
      <c r="V64" s="1083"/>
      <c r="W64" s="1083"/>
      <c r="X64" s="1083"/>
      <c r="Y64" s="1083"/>
      <c r="Z64" s="1083"/>
      <c r="AA64" s="1083"/>
      <c r="AB64" s="1083"/>
      <c r="AC64" s="23"/>
    </row>
    <row r="65" spans="1:29" ht="19.5" customHeight="1" x14ac:dyDescent="0.25">
      <c r="A65" s="589" t="s">
        <v>124</v>
      </c>
      <c r="B65" s="585" t="s">
        <v>125</v>
      </c>
      <c r="C65" s="608" t="s">
        <v>123</v>
      </c>
      <c r="D65" s="610">
        <v>100</v>
      </c>
      <c r="E65" s="601" t="s">
        <v>21</v>
      </c>
      <c r="F65" s="114"/>
      <c r="J65" s="28"/>
      <c r="K65" s="66"/>
      <c r="R65" s="1083"/>
      <c r="S65" s="1083"/>
      <c r="T65" s="67"/>
      <c r="U65" s="1083"/>
      <c r="V65" s="1083"/>
      <c r="W65" s="28"/>
      <c r="X65" s="1083"/>
      <c r="Y65" s="1083"/>
      <c r="Z65" s="1083"/>
      <c r="AA65" s="1083"/>
      <c r="AB65" s="1083"/>
      <c r="AC65" s="23"/>
    </row>
    <row r="66" spans="1:29" ht="19.5" customHeight="1" x14ac:dyDescent="0.25">
      <c r="A66" s="606" t="s">
        <v>126</v>
      </c>
      <c r="B66" s="585" t="s">
        <v>127</v>
      </c>
      <c r="C66" s="585" t="s">
        <v>123</v>
      </c>
      <c r="D66" s="593">
        <v>30</v>
      </c>
      <c r="E66" s="601" t="s">
        <v>21</v>
      </c>
      <c r="F66" s="742"/>
      <c r="G66" s="8"/>
      <c r="J66" s="70"/>
      <c r="K66" s="1084"/>
      <c r="R66" s="72"/>
      <c r="S66" s="72"/>
      <c r="T66" s="1085"/>
      <c r="U66" s="1083"/>
      <c r="V66" s="1083"/>
      <c r="W66" s="1083"/>
      <c r="X66" s="1083"/>
      <c r="Y66" s="1083"/>
      <c r="Z66" s="1083"/>
      <c r="AA66" s="1083"/>
      <c r="AB66" s="1083"/>
      <c r="AC66" s="23"/>
    </row>
    <row r="67" spans="1:29" ht="19.5" customHeight="1" x14ac:dyDescent="0.25">
      <c r="A67" s="606" t="s">
        <v>149</v>
      </c>
      <c r="B67" s="585" t="s">
        <v>150</v>
      </c>
      <c r="C67" s="585" t="s">
        <v>151</v>
      </c>
      <c r="D67" s="758">
        <f>D65*D66</f>
        <v>3000</v>
      </c>
      <c r="E67" s="601"/>
      <c r="F67" s="70"/>
      <c r="J67" s="71"/>
      <c r="K67" s="1084"/>
      <c r="R67" s="72"/>
      <c r="S67" s="72"/>
      <c r="T67" s="1085"/>
      <c r="U67" s="1083"/>
      <c r="V67" s="1083"/>
      <c r="W67" s="1083"/>
      <c r="X67" s="71"/>
      <c r="Y67" s="71"/>
      <c r="Z67" s="71"/>
      <c r="AA67" s="71"/>
      <c r="AB67" s="71"/>
      <c r="AC67" s="23"/>
    </row>
    <row r="68" spans="1:29" ht="19.5" customHeight="1" x14ac:dyDescent="0.25">
      <c r="A68" s="606" t="s">
        <v>152</v>
      </c>
      <c r="B68" s="585" t="s">
        <v>153</v>
      </c>
      <c r="C68" s="585" t="s">
        <v>154</v>
      </c>
      <c r="D68" s="593">
        <v>200</v>
      </c>
      <c r="E68" s="578" t="s">
        <v>21</v>
      </c>
      <c r="F68" s="70"/>
      <c r="J68" s="71"/>
      <c r="K68" s="1084"/>
      <c r="R68" s="72"/>
      <c r="S68" s="72"/>
      <c r="T68" s="1085"/>
      <c r="U68" s="1083"/>
      <c r="V68" s="1083"/>
      <c r="W68" s="1083"/>
      <c r="X68" s="71"/>
      <c r="Y68" s="71"/>
      <c r="Z68" s="71"/>
      <c r="AA68" s="71"/>
      <c r="AB68" s="71"/>
      <c r="AC68" s="23"/>
    </row>
    <row r="69" spans="1:29" ht="19.5" customHeight="1" x14ac:dyDescent="0.25">
      <c r="A69" s="606" t="s">
        <v>155</v>
      </c>
      <c r="B69" s="585" t="s">
        <v>156</v>
      </c>
      <c r="C69" s="585" t="s">
        <v>20</v>
      </c>
      <c r="D69" s="593">
        <v>2</v>
      </c>
      <c r="E69" s="578" t="s">
        <v>21</v>
      </c>
      <c r="F69" s="70"/>
      <c r="J69" s="71"/>
      <c r="K69" s="1084"/>
      <c r="R69" s="72"/>
      <c r="S69" s="72"/>
      <c r="T69" s="1085"/>
      <c r="U69" s="1083"/>
      <c r="V69" s="1083"/>
      <c r="W69" s="28"/>
      <c r="X69" s="71"/>
      <c r="Y69" s="71"/>
      <c r="Z69" s="71"/>
      <c r="AA69" s="71"/>
      <c r="AB69" s="71"/>
      <c r="AC69" s="23"/>
    </row>
    <row r="70" spans="1:29" ht="15.6" x14ac:dyDescent="0.25">
      <c r="A70" s="577" t="s">
        <v>157</v>
      </c>
      <c r="B70" s="585" t="s">
        <v>158</v>
      </c>
      <c r="C70" s="589" t="s">
        <v>20</v>
      </c>
      <c r="D70" s="593">
        <v>47</v>
      </c>
      <c r="E70" s="578" t="s">
        <v>21</v>
      </c>
      <c r="F70" s="70"/>
      <c r="G70" s="70"/>
      <c r="H70" s="70"/>
      <c r="I70" s="71"/>
      <c r="J70" s="71"/>
      <c r="K70" s="70"/>
      <c r="R70" s="72"/>
      <c r="S70" s="72"/>
      <c r="T70" s="1085"/>
      <c r="U70" s="1083"/>
      <c r="V70" s="1083"/>
      <c r="W70" s="28"/>
      <c r="X70" s="73"/>
      <c r="Y70" s="73"/>
      <c r="Z70" s="73"/>
      <c r="AA70" s="73"/>
      <c r="AB70" s="73"/>
      <c r="AC70" s="23"/>
    </row>
    <row r="71" spans="1:29" ht="15.6" x14ac:dyDescent="0.25">
      <c r="A71" s="577" t="s">
        <v>159</v>
      </c>
      <c r="B71" s="585" t="s">
        <v>160</v>
      </c>
      <c r="C71" s="590" t="s">
        <v>34</v>
      </c>
      <c r="D71" s="593">
        <v>2.68</v>
      </c>
      <c r="E71" s="578" t="s">
        <v>21</v>
      </c>
      <c r="F71" s="75"/>
      <c r="G71" s="70"/>
      <c r="H71" s="76"/>
      <c r="I71" s="28"/>
      <c r="J71" s="28"/>
      <c r="K71" s="64"/>
      <c r="R71" s="72"/>
      <c r="S71" s="72"/>
      <c r="T71" s="75"/>
      <c r="U71" s="28"/>
      <c r="V71" s="28"/>
      <c r="W71" s="77"/>
      <c r="X71" s="28"/>
      <c r="Y71" s="28"/>
      <c r="Z71" s="28"/>
      <c r="AA71" s="28"/>
      <c r="AB71" s="28"/>
      <c r="AC71" s="23"/>
    </row>
    <row r="72" spans="1:29" ht="15.6" x14ac:dyDescent="0.25">
      <c r="A72" s="606" t="s">
        <v>161</v>
      </c>
      <c r="B72" s="585" t="s">
        <v>162</v>
      </c>
      <c r="C72" s="606" t="s">
        <v>123</v>
      </c>
      <c r="D72" s="593">
        <v>1</v>
      </c>
      <c r="E72" s="601" t="s">
        <v>21</v>
      </c>
      <c r="F72" s="78"/>
      <c r="G72" s="78"/>
      <c r="H72" s="76"/>
      <c r="I72" s="64"/>
      <c r="J72" s="64"/>
      <c r="K72" s="79"/>
      <c r="R72" s="74"/>
      <c r="S72" s="74"/>
      <c r="T72" s="76"/>
      <c r="U72" s="28"/>
      <c r="V72" s="28"/>
      <c r="W72" s="28"/>
      <c r="X72" s="71"/>
      <c r="Y72" s="71"/>
      <c r="Z72" s="71"/>
      <c r="AA72" s="71"/>
      <c r="AB72" s="71"/>
      <c r="AC72" s="23"/>
    </row>
    <row r="73" spans="1:29" s="10" customFormat="1" ht="15.6" x14ac:dyDescent="0.25">
      <c r="A73" s="606" t="s">
        <v>163</v>
      </c>
      <c r="B73" s="585" t="s">
        <v>164</v>
      </c>
      <c r="C73" s="606" t="s">
        <v>123</v>
      </c>
      <c r="D73" s="593">
        <v>5</v>
      </c>
      <c r="E73" s="601" t="s">
        <v>21</v>
      </c>
      <c r="F73" s="78"/>
      <c r="G73" s="78"/>
      <c r="H73" s="76"/>
      <c r="I73" s="64"/>
      <c r="J73" s="28"/>
      <c r="K73" s="79"/>
      <c r="L73"/>
      <c r="M73"/>
      <c r="N73"/>
      <c r="O73"/>
      <c r="P73"/>
      <c r="Q73"/>
      <c r="R73" s="74"/>
      <c r="S73" s="74"/>
      <c r="T73" s="76"/>
      <c r="U73" s="28"/>
      <c r="V73" s="28"/>
      <c r="W73" s="28"/>
      <c r="X73" s="71"/>
      <c r="Y73" s="71"/>
      <c r="Z73" s="71"/>
      <c r="AA73" s="71"/>
      <c r="AB73" s="71"/>
      <c r="AC73" s="23"/>
    </row>
    <row r="74" spans="1:29" s="10" customFormat="1" ht="15" x14ac:dyDescent="0.25">
      <c r="A74" s="606" t="s">
        <v>165</v>
      </c>
      <c r="B74" s="585" t="s">
        <v>166</v>
      </c>
      <c r="C74" s="606" t="s">
        <v>123</v>
      </c>
      <c r="D74" s="593">
        <v>2</v>
      </c>
      <c r="E74" s="601" t="s">
        <v>21</v>
      </c>
      <c r="F74" s="78"/>
      <c r="G74" s="78"/>
      <c r="H74" s="76"/>
      <c r="I74" s="64"/>
      <c r="J74" s="64"/>
      <c r="K74" s="79"/>
      <c r="L74"/>
      <c r="M74"/>
      <c r="N74"/>
      <c r="O74"/>
      <c r="P74"/>
      <c r="Q74"/>
      <c r="R74" s="74"/>
      <c r="S74" s="74"/>
      <c r="T74" s="76"/>
      <c r="U74" s="28"/>
      <c r="V74" s="28"/>
      <c r="W74" s="28"/>
      <c r="X74" s="71"/>
      <c r="Y74" s="71"/>
      <c r="Z74" s="71"/>
      <c r="AA74" s="71"/>
      <c r="AB74" s="71"/>
      <c r="AC74" s="23"/>
    </row>
    <row r="75" spans="1:29" s="10" customFormat="1" ht="15.6" x14ac:dyDescent="0.25">
      <c r="A75" s="606" t="s">
        <v>167</v>
      </c>
      <c r="B75" s="585" t="s">
        <v>168</v>
      </c>
      <c r="C75" s="606" t="s">
        <v>34</v>
      </c>
      <c r="D75" s="593">
        <v>0.4</v>
      </c>
      <c r="E75" s="601" t="s">
        <v>21</v>
      </c>
      <c r="F75" s="78"/>
      <c r="G75" s="78"/>
      <c r="H75" s="76"/>
      <c r="I75" s="64"/>
      <c r="J75" s="64"/>
      <c r="K75" s="79"/>
      <c r="L75"/>
      <c r="M75"/>
      <c r="N75"/>
      <c r="O75"/>
      <c r="P75"/>
      <c r="Q75"/>
      <c r="R75" s="74"/>
      <c r="S75" s="74"/>
      <c r="T75" s="76"/>
      <c r="U75" s="28"/>
      <c r="V75" s="28"/>
      <c r="W75" s="28"/>
      <c r="X75" s="71"/>
      <c r="Y75" s="71"/>
      <c r="Z75" s="71"/>
      <c r="AA75" s="71"/>
      <c r="AB75" s="71"/>
      <c r="AC75" s="23"/>
    </row>
    <row r="76" spans="1:29" s="10" customFormat="1" ht="15.6" x14ac:dyDescent="0.25">
      <c r="A76" s="606" t="s">
        <v>169</v>
      </c>
      <c r="B76" s="585" t="s">
        <v>170</v>
      </c>
      <c r="C76" s="606" t="s">
        <v>34</v>
      </c>
      <c r="D76" s="593">
        <v>0.6</v>
      </c>
      <c r="E76" s="601" t="s">
        <v>171</v>
      </c>
      <c r="F76" s="78"/>
      <c r="G76" s="78"/>
      <c r="H76" s="76"/>
      <c r="I76" s="64"/>
      <c r="J76" s="28"/>
      <c r="K76" s="79"/>
      <c r="L76"/>
      <c r="M76"/>
      <c r="N76"/>
      <c r="O76"/>
      <c r="P76"/>
      <c r="Q76"/>
      <c r="R76" s="74"/>
      <c r="S76" s="74"/>
      <c r="T76" s="76"/>
      <c r="U76" s="28"/>
      <c r="V76" s="28"/>
      <c r="W76" s="28"/>
      <c r="X76" s="71"/>
      <c r="Y76" s="71"/>
      <c r="Z76" s="71"/>
      <c r="AA76" s="71"/>
      <c r="AB76" s="71"/>
      <c r="AC76" s="23"/>
    </row>
    <row r="77" spans="1:29" s="10" customFormat="1" ht="15" x14ac:dyDescent="0.25">
      <c r="A77" s="606" t="s">
        <v>172</v>
      </c>
      <c r="B77" s="585" t="s">
        <v>173</v>
      </c>
      <c r="C77" s="606" t="s">
        <v>174</v>
      </c>
      <c r="D77" s="755">
        <v>30000</v>
      </c>
      <c r="E77" s="601" t="s">
        <v>21</v>
      </c>
      <c r="F77" s="78"/>
      <c r="G77" s="78"/>
      <c r="H77" s="76"/>
      <c r="I77" s="64"/>
      <c r="J77" s="28"/>
      <c r="K77" s="79"/>
      <c r="L77"/>
      <c r="M77"/>
      <c r="N77"/>
      <c r="O77"/>
      <c r="P77"/>
      <c r="Q77"/>
      <c r="R77" s="74"/>
      <c r="S77" s="74"/>
      <c r="T77" s="76"/>
      <c r="U77" s="28"/>
      <c r="V77" s="28"/>
      <c r="W77" s="28"/>
      <c r="X77" s="71"/>
      <c r="Y77" s="71"/>
      <c r="Z77" s="71"/>
      <c r="AA77" s="71"/>
      <c r="AB77" s="71"/>
      <c r="AC77" s="23"/>
    </row>
    <row r="78" spans="1:29" s="10" customFormat="1" ht="15" x14ac:dyDescent="0.25">
      <c r="A78" s="606" t="s">
        <v>175</v>
      </c>
      <c r="B78" s="585" t="s">
        <v>176</v>
      </c>
      <c r="C78" s="609" t="s">
        <v>34</v>
      </c>
      <c r="D78" s="593">
        <v>1E-3</v>
      </c>
      <c r="E78" s="601" t="s">
        <v>21</v>
      </c>
      <c r="F78" s="78"/>
      <c r="G78" s="78"/>
      <c r="H78" s="76"/>
      <c r="I78" s="64"/>
      <c r="J78" s="28"/>
      <c r="K78" s="79"/>
      <c r="L78"/>
      <c r="M78"/>
      <c r="N78"/>
      <c r="O78"/>
      <c r="P78"/>
      <c r="Q78"/>
      <c r="R78" s="74"/>
      <c r="S78" s="74"/>
      <c r="T78" s="76"/>
      <c r="U78" s="28"/>
      <c r="V78" s="28"/>
      <c r="W78" s="28"/>
      <c r="X78" s="71"/>
      <c r="Y78" s="71"/>
      <c r="Z78" s="71"/>
      <c r="AA78" s="71"/>
      <c r="AB78" s="71"/>
      <c r="AC78" s="23"/>
    </row>
    <row r="79" spans="1:29" s="10" customFormat="1" ht="15" thickBot="1" x14ac:dyDescent="0.3">
      <c r="A79" s="606" t="s">
        <v>177</v>
      </c>
      <c r="B79" s="585" t="s">
        <v>178</v>
      </c>
      <c r="C79" s="606" t="s">
        <v>174</v>
      </c>
      <c r="D79" s="756">
        <f>D77*D78</f>
        <v>30</v>
      </c>
      <c r="E79" s="601"/>
      <c r="F79" s="78"/>
      <c r="G79" s="78"/>
      <c r="H79" s="76"/>
      <c r="I79" s="64"/>
      <c r="J79" s="64"/>
      <c r="K79" s="79"/>
      <c r="L79"/>
      <c r="M79"/>
      <c r="N79"/>
      <c r="O79"/>
      <c r="P79"/>
      <c r="Q79"/>
      <c r="R79" s="74"/>
      <c r="S79" s="74"/>
      <c r="T79" s="76"/>
      <c r="U79" s="28"/>
      <c r="V79" s="28"/>
      <c r="W79" s="28"/>
      <c r="X79" s="71"/>
      <c r="Y79" s="71"/>
      <c r="Z79" s="71"/>
      <c r="AA79" s="71"/>
      <c r="AB79" s="71"/>
      <c r="AC79" s="23"/>
    </row>
    <row r="80" spans="1:29" s="10" customFormat="1" ht="18" x14ac:dyDescent="0.35">
      <c r="A80" s="606" t="s">
        <v>179</v>
      </c>
      <c r="B80" s="585" t="s">
        <v>180</v>
      </c>
      <c r="C80" s="606" t="s">
        <v>174</v>
      </c>
      <c r="D80" s="593">
        <v>0.3</v>
      </c>
      <c r="E80" s="601" t="s">
        <v>21</v>
      </c>
      <c r="F80" s="40">
        <v>444</v>
      </c>
      <c r="G80" s="745" t="s">
        <v>22</v>
      </c>
      <c r="H80" s="746"/>
      <c r="I80" s="64"/>
      <c r="J80" s="64"/>
      <c r="K80" s="79"/>
      <c r="L80"/>
      <c r="M80"/>
      <c r="N80"/>
      <c r="O80"/>
      <c r="P80"/>
      <c r="Q80"/>
      <c r="R80" s="74"/>
      <c r="S80" s="74"/>
      <c r="T80" s="76"/>
      <c r="U80" s="28"/>
      <c r="V80" s="28"/>
      <c r="W80" s="28"/>
      <c r="X80" s="71"/>
      <c r="Y80" s="71"/>
      <c r="Z80" s="71"/>
      <c r="AA80" s="71"/>
      <c r="AB80" s="71"/>
      <c r="AC80" s="23"/>
    </row>
    <row r="81" spans="1:29" s="10" customFormat="1" ht="15.6" x14ac:dyDescent="0.35">
      <c r="A81" s="606" t="s">
        <v>181</v>
      </c>
      <c r="B81" s="585" t="s">
        <v>182</v>
      </c>
      <c r="C81" s="606" t="s">
        <v>174</v>
      </c>
      <c r="D81" s="593">
        <v>0.6</v>
      </c>
      <c r="E81" s="601" t="s">
        <v>21</v>
      </c>
      <c r="F81" s="78"/>
      <c r="G81" s="750" t="s">
        <v>183</v>
      </c>
      <c r="H81" s="751"/>
      <c r="I81" s="64"/>
      <c r="J81" s="28"/>
      <c r="K81" s="79"/>
      <c r="L81"/>
      <c r="M81"/>
      <c r="N81"/>
      <c r="O81"/>
      <c r="P81"/>
      <c r="Q81"/>
      <c r="R81" s="74"/>
      <c r="S81" s="74"/>
      <c r="T81" s="76"/>
      <c r="U81" s="28"/>
      <c r="V81" s="28"/>
      <c r="W81" s="28"/>
      <c r="X81" s="71"/>
      <c r="Y81" s="71"/>
      <c r="Z81" s="71"/>
      <c r="AA81" s="71"/>
      <c r="AB81" s="71"/>
      <c r="AC81" s="23"/>
    </row>
    <row r="82" spans="1:29" s="10" customFormat="1" ht="15.6" x14ac:dyDescent="0.25">
      <c r="A82" s="606" t="s">
        <v>184</v>
      </c>
      <c r="B82" s="739" t="s">
        <v>185</v>
      </c>
      <c r="C82" s="606" t="s">
        <v>123</v>
      </c>
      <c r="D82" s="593">
        <f>D83/10</f>
        <v>0.15</v>
      </c>
      <c r="E82" s="601" t="s">
        <v>21</v>
      </c>
      <c r="F82" s="78"/>
      <c r="G82" s="752" t="s">
        <v>186</v>
      </c>
      <c r="H82" s="749"/>
      <c r="I82" s="64"/>
      <c r="J82" s="64"/>
      <c r="K82" s="79"/>
      <c r="L82"/>
      <c r="M82"/>
      <c r="N82"/>
      <c r="O82"/>
      <c r="P82"/>
      <c r="Q82"/>
      <c r="R82" s="74"/>
      <c r="S82" s="74"/>
      <c r="T82" s="76"/>
      <c r="U82" s="28"/>
      <c r="V82" s="28"/>
      <c r="W82" s="28"/>
      <c r="X82" s="71"/>
      <c r="Y82" s="71"/>
      <c r="Z82" s="71"/>
      <c r="AA82" s="71"/>
      <c r="AB82" s="71"/>
      <c r="AC82" s="23"/>
    </row>
    <row r="83" spans="1:29" ht="15.6" x14ac:dyDescent="0.25">
      <c r="A83" s="606" t="s">
        <v>187</v>
      </c>
      <c r="B83" s="739" t="s">
        <v>188</v>
      </c>
      <c r="C83" s="606" t="s">
        <v>123</v>
      </c>
      <c r="D83" s="593">
        <v>1.5</v>
      </c>
      <c r="E83" s="601" t="s">
        <v>21</v>
      </c>
      <c r="G83" s="744" t="s">
        <v>189</v>
      </c>
      <c r="H83" s="743" t="s">
        <v>190</v>
      </c>
    </row>
    <row r="84" spans="1:29" ht="15.6" x14ac:dyDescent="0.35">
      <c r="A84" s="606" t="s">
        <v>191</v>
      </c>
      <c r="B84" s="585" t="s">
        <v>192</v>
      </c>
      <c r="C84" s="606" t="s">
        <v>123</v>
      </c>
      <c r="D84" s="606">
        <f>(2*D82*D65)^0.5 + D74*(1-EXP(-D65*D81/(D79*D76*D74)))</f>
        <v>7.0994743693765372</v>
      </c>
      <c r="E84" s="605"/>
      <c r="G84" s="744" t="s">
        <v>193</v>
      </c>
      <c r="H84" s="743" t="s">
        <v>180</v>
      </c>
    </row>
    <row r="85" spans="1:29" x14ac:dyDescent="0.25">
      <c r="A85" s="606" t="s">
        <v>194</v>
      </c>
      <c r="B85" s="585" t="s">
        <v>195</v>
      </c>
      <c r="C85" s="606" t="s">
        <v>123</v>
      </c>
      <c r="D85" s="606">
        <f>(2*D82*(D65+D64))^0.5 + D74*(1-EXP(-(D65*D81+D64*D80)/(D79*D76*D74)))</f>
        <v>7.3970147596371385</v>
      </c>
      <c r="E85" s="605"/>
      <c r="G85" s="748" t="s">
        <v>196</v>
      </c>
      <c r="H85" s="749" t="s">
        <v>196</v>
      </c>
    </row>
    <row r="86" spans="1:29" ht="16.2" thickBot="1" x14ac:dyDescent="0.3">
      <c r="A86" s="606" t="s">
        <v>197</v>
      </c>
      <c r="B86" s="585" t="s">
        <v>198</v>
      </c>
      <c r="C86" s="606" t="s">
        <v>199</v>
      </c>
      <c r="D86" s="606">
        <f>D80*D64</f>
        <v>3</v>
      </c>
      <c r="E86" s="605"/>
      <c r="G86" s="747"/>
      <c r="H86" s="753">
        <f>G86*0.1</f>
        <v>0</v>
      </c>
    </row>
    <row r="87" spans="1:29" ht="15.6" x14ac:dyDescent="0.25">
      <c r="A87" s="606" t="s">
        <v>200</v>
      </c>
      <c r="B87" s="585" t="s">
        <v>201</v>
      </c>
      <c r="C87" s="606" t="s">
        <v>199</v>
      </c>
      <c r="D87" s="757">
        <f>D74*D77*D78</f>
        <v>60</v>
      </c>
      <c r="E87" s="605"/>
    </row>
    <row r="88" spans="1:29" ht="15.6" x14ac:dyDescent="0.25">
      <c r="A88" s="606" t="s">
        <v>202</v>
      </c>
      <c r="B88" s="585" t="s">
        <v>203</v>
      </c>
      <c r="C88" s="606" t="s">
        <v>34</v>
      </c>
      <c r="D88" s="606">
        <f>1/(0.99562+8.95506*(((D64*D83)^0.5)/D66)^1.5)</f>
        <v>0.7087126674570764</v>
      </c>
      <c r="E88" s="605"/>
      <c r="F88" s="754"/>
      <c r="G88" s="8"/>
    </row>
    <row r="89" spans="1:29" ht="15.6" x14ac:dyDescent="0.25">
      <c r="A89" s="606" t="s">
        <v>204</v>
      </c>
      <c r="B89" s="585" t="s">
        <v>205</v>
      </c>
      <c r="C89" s="606" t="s">
        <v>34</v>
      </c>
      <c r="D89" s="606">
        <f>IF(D84&gt;=D74,1,IF(AND(D84&lt;D85,D74&lt;D85),D84/D74,(1.303*(D65/(D65+D64))^0.5-0.1733)))</f>
        <v>1</v>
      </c>
      <c r="E89" s="605"/>
    </row>
    <row r="90" spans="1:29" ht="15.6" x14ac:dyDescent="0.25">
      <c r="A90" s="606" t="s">
        <v>206</v>
      </c>
      <c r="B90" s="585" t="s">
        <v>207</v>
      </c>
      <c r="C90" s="606" t="s">
        <v>34</v>
      </c>
      <c r="D90" s="606">
        <f>1-0.9877*D86/(D87*D85/D74+D86)</f>
        <v>0.98682542276270235</v>
      </c>
      <c r="E90" s="605"/>
    </row>
    <row r="91" spans="1:29" ht="15" thickBot="1" x14ac:dyDescent="0.3">
      <c r="A91" s="587" t="s">
        <v>208</v>
      </c>
      <c r="B91" s="587" t="s">
        <v>209</v>
      </c>
      <c r="C91" s="587" t="s">
        <v>34</v>
      </c>
      <c r="D91" s="607">
        <f>IF(D84&gt;D74,((D67*D81+D79*D76*D74*(D66/6)*(2*PI())^0.5)/(D88*D89*D90*D67*D81)),((D67*D81+D79*D76*D84*(D66/6)*(2*PI())^0.5)/(D88*D89*D90*D67*D81)))</f>
        <v>1.7882561080916626</v>
      </c>
      <c r="E91" s="600"/>
      <c r="G91" s="23"/>
    </row>
    <row r="92" spans="1:29" x14ac:dyDescent="0.25">
      <c r="A92" s="1094" t="s">
        <v>210</v>
      </c>
      <c r="B92" s="1095"/>
      <c r="C92" s="1095"/>
      <c r="D92" s="1095"/>
      <c r="E92" s="1095"/>
    </row>
    <row r="93" spans="1:29" x14ac:dyDescent="0.25">
      <c r="A93" s="1096"/>
      <c r="B93" s="1096"/>
      <c r="C93" s="1096"/>
      <c r="D93" s="1096"/>
      <c r="E93" s="1096"/>
    </row>
  </sheetData>
  <mergeCells count="1">
    <mergeCell ref="A92:E93"/>
  </mergeCells>
  <phoneticPr fontId="2" type="noConversion"/>
  <conditionalFormatting sqref="A8:E8 A21:E21 A25:E25 A29:E29 A37:E37 A59:E59 A63:E63">
    <cfRule type="cellIs" dxfId="81" priority="3" stopIfTrue="1" operator="equal">
      <formula>0</formula>
    </cfRule>
  </conditionalFormatting>
  <conditionalFormatting sqref="G58 H58:H60">
    <cfRule type="cellIs" dxfId="80" priority="1" stopIfTrue="1" operator="equal">
      <formula>"Out of Range"</formula>
    </cfRule>
  </conditionalFormatting>
  <conditionalFormatting sqref="G60">
    <cfRule type="cellIs" dxfId="79" priority="2" stopIfTrue="1" operator="equal">
      <formula>"Out of Range"</formula>
    </cfRule>
  </conditionalFormatting>
  <pageMargins left="0.25" right="0.3" top="0.39" bottom="0.43" header="0" footer="0"/>
  <pageSetup scale="62" fitToHeight="2" orientation="portrait" horizontalDpi="300" verticalDpi="300" r:id="rId1"/>
  <headerFooter alignWithMargins="0"/>
  <rowBreaks count="1" manualBreakCount="1">
    <brk id="62" max="16383"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dimension ref="A1:AZ350"/>
  <sheetViews>
    <sheetView showGridLines="0" tabSelected="1" zoomScaleNormal="100" workbookViewId="0">
      <pane xSplit="1" ySplit="9" topLeftCell="B169" activePane="bottomRight" state="frozen"/>
      <selection pane="topRight" activeCell="B1" sqref="B1"/>
      <selection pane="bottomLeft" activeCell="A10" sqref="A10"/>
      <selection pane="bottomRight" activeCell="K117" sqref="K117"/>
    </sheetView>
  </sheetViews>
  <sheetFormatPr defaultColWidth="9.109375" defaultRowHeight="13.2" x14ac:dyDescent="0.25"/>
  <cols>
    <col min="1" max="1" width="34.6640625" style="26" customWidth="1"/>
    <col min="2" max="7" width="10.5546875" style="26" customWidth="1"/>
    <col min="8" max="8" width="12.109375" style="26" customWidth="1"/>
    <col min="9" max="9" width="12.5546875" style="26" customWidth="1"/>
    <col min="10" max="11" width="12.109375" style="26" customWidth="1"/>
    <col min="12" max="12" width="12.44140625" style="26" customWidth="1"/>
    <col min="13" max="13" width="10.5546875" style="53" customWidth="1"/>
    <col min="14" max="14" width="11.44140625" style="53" customWidth="1"/>
    <col min="15" max="15" width="10.5546875" style="642" customWidth="1"/>
    <col min="16" max="16" width="10.5546875" style="634" customWidth="1"/>
    <col min="17" max="18" width="10.5546875" style="620" customWidth="1"/>
    <col min="19" max="20" width="10.5546875" style="53" customWidth="1"/>
    <col min="21" max="26" width="10.5546875" style="642" customWidth="1"/>
    <col min="27" max="27" width="10.5546875" style="53" customWidth="1"/>
    <col min="28" max="36" width="10.5546875" style="26" customWidth="1"/>
    <col min="37" max="41" width="11.109375" style="26" customWidth="1"/>
    <col min="42" max="43" width="10.5546875" style="26" customWidth="1"/>
    <col min="44" max="44" width="8.5546875" style="26" customWidth="1"/>
    <col min="45" max="45" width="6.88671875" style="26" customWidth="1"/>
    <col min="46" max="47" width="9.109375" style="26"/>
    <col min="48" max="52" width="10.5546875" style="26" customWidth="1"/>
    <col min="53" max="16384" width="9.109375" style="26"/>
  </cols>
  <sheetData>
    <row r="1" spans="1:52" s="53" customFormat="1" ht="16.2" thickBot="1" x14ac:dyDescent="0.35">
      <c r="H1" s="81"/>
      <c r="I1" s="62"/>
      <c r="O1" s="642"/>
      <c r="P1" s="634"/>
      <c r="Q1" s="620"/>
      <c r="R1" s="620"/>
      <c r="U1" s="642"/>
      <c r="V1" s="642"/>
      <c r="W1" s="642"/>
      <c r="X1" s="642"/>
      <c r="Y1" s="642"/>
      <c r="Z1" s="642"/>
      <c r="AW1" s="43"/>
    </row>
    <row r="2" spans="1:52" ht="13.8" thickBot="1" x14ac:dyDescent="0.3">
      <c r="A2" s="52"/>
      <c r="B2" s="212" t="s">
        <v>211</v>
      </c>
      <c r="C2" s="243"/>
      <c r="D2" s="243"/>
      <c r="E2" s="244" t="s">
        <v>211</v>
      </c>
      <c r="F2" s="243" t="s">
        <v>212</v>
      </c>
      <c r="G2" s="243" t="s">
        <v>213</v>
      </c>
      <c r="H2" s="1109" t="s">
        <v>214</v>
      </c>
      <c r="I2" s="1110"/>
      <c r="J2" s="1110"/>
      <c r="K2" s="1110"/>
      <c r="L2" s="1111"/>
      <c r="M2" s="245"/>
      <c r="N2" s="246"/>
      <c r="O2" s="1055"/>
      <c r="P2" s="635"/>
      <c r="Q2" s="1076" t="s">
        <v>215</v>
      </c>
      <c r="R2" s="621"/>
      <c r="S2" s="246"/>
      <c r="T2" s="246"/>
      <c r="U2" s="643"/>
      <c r="V2" s="1121" t="s">
        <v>216</v>
      </c>
      <c r="W2" s="1122"/>
      <c r="X2" s="1122"/>
      <c r="Y2" s="1122"/>
      <c r="Z2" s="1122"/>
      <c r="AA2" s="1123"/>
      <c r="AB2" s="1086"/>
      <c r="AC2" s="1087"/>
      <c r="AD2" s="1087"/>
      <c r="AE2" s="1087"/>
      <c r="AF2" s="1087"/>
      <c r="AG2" s="1075" t="s">
        <v>217</v>
      </c>
      <c r="AH2" s="1087"/>
      <c r="AI2" s="1088"/>
      <c r="AJ2" s="1088"/>
      <c r="AK2" s="1088"/>
      <c r="AL2" s="1086"/>
      <c r="AM2" s="1087"/>
      <c r="AN2" s="1087"/>
      <c r="AO2" s="1089"/>
      <c r="AP2" s="1087"/>
      <c r="AQ2" s="1087"/>
      <c r="AR2" s="1088"/>
      <c r="AS2" s="1088"/>
      <c r="AT2" s="1088"/>
      <c r="AU2" s="1088"/>
      <c r="AV2" s="1087"/>
      <c r="AW2" s="1087"/>
      <c r="AX2" s="1087"/>
      <c r="AY2" s="1087"/>
      <c r="AZ2" s="1089"/>
    </row>
    <row r="3" spans="1:52" ht="13.8" thickBot="1" x14ac:dyDescent="0.3">
      <c r="A3" s="52"/>
      <c r="B3" s="217" t="s">
        <v>218</v>
      </c>
      <c r="C3" s="247" t="s">
        <v>219</v>
      </c>
      <c r="D3" s="247" t="s">
        <v>220</v>
      </c>
      <c r="E3" s="248" t="s">
        <v>213</v>
      </c>
      <c r="F3" s="248" t="s">
        <v>221</v>
      </c>
      <c r="G3" s="247" t="s">
        <v>222</v>
      </c>
      <c r="H3" s="1112" t="s">
        <v>223</v>
      </c>
      <c r="I3" s="1113"/>
      <c r="J3" s="1113"/>
      <c r="K3" s="1113"/>
      <c r="L3" s="1114"/>
      <c r="M3" s="250"/>
      <c r="N3" s="251"/>
      <c r="O3" s="1056"/>
      <c r="P3" s="636"/>
      <c r="Q3" s="622"/>
      <c r="R3" s="623"/>
      <c r="S3" s="252"/>
      <c r="T3" s="253"/>
      <c r="U3" s="644"/>
      <c r="V3" s="740" t="s">
        <v>224</v>
      </c>
      <c r="W3" s="740" t="s">
        <v>225</v>
      </c>
      <c r="X3" s="740" t="s">
        <v>226</v>
      </c>
      <c r="Y3" s="644" t="s">
        <v>227</v>
      </c>
      <c r="Z3" s="644" t="s">
        <v>228</v>
      </c>
      <c r="AA3" s="258" t="s">
        <v>229</v>
      </c>
      <c r="AB3" s="254">
        <v>1</v>
      </c>
      <c r="AC3" s="255">
        <v>2</v>
      </c>
      <c r="AD3" s="255">
        <v>3</v>
      </c>
      <c r="AE3" s="255">
        <v>4</v>
      </c>
      <c r="AF3" s="697">
        <v>5</v>
      </c>
      <c r="AG3" s="256">
        <v>6</v>
      </c>
      <c r="AH3" s="255">
        <v>7</v>
      </c>
      <c r="AI3" s="255">
        <v>8</v>
      </c>
      <c r="AJ3" s="697">
        <v>9</v>
      </c>
      <c r="AK3" s="255">
        <v>10</v>
      </c>
      <c r="AL3" s="255">
        <v>11</v>
      </c>
      <c r="AM3" s="255">
        <v>12</v>
      </c>
      <c r="AN3" s="697">
        <v>13</v>
      </c>
      <c r="AO3" s="1047">
        <v>14</v>
      </c>
      <c r="AP3" s="256">
        <v>15</v>
      </c>
      <c r="AQ3" s="255">
        <v>16</v>
      </c>
      <c r="AR3" s="721">
        <v>17</v>
      </c>
      <c r="AS3" s="722">
        <v>18</v>
      </c>
      <c r="AT3" s="721">
        <v>19</v>
      </c>
      <c r="AU3" s="722">
        <v>20</v>
      </c>
      <c r="AV3" s="256">
        <v>21</v>
      </c>
      <c r="AW3" s="256">
        <v>22</v>
      </c>
      <c r="AX3" s="256">
        <v>23</v>
      </c>
      <c r="AY3" s="256">
        <v>24</v>
      </c>
      <c r="AZ3" s="255">
        <v>25</v>
      </c>
    </row>
    <row r="4" spans="1:52" x14ac:dyDescent="0.25">
      <c r="A4" s="1083"/>
      <c r="B4" s="217" t="s">
        <v>212</v>
      </c>
      <c r="C4" s="247" t="s">
        <v>230</v>
      </c>
      <c r="D4" s="247" t="s">
        <v>231</v>
      </c>
      <c r="E4" s="248" t="s">
        <v>232</v>
      </c>
      <c r="F4" s="248" t="s">
        <v>233</v>
      </c>
      <c r="G4" s="247" t="s">
        <v>233</v>
      </c>
      <c r="H4" s="1115" t="s">
        <v>234</v>
      </c>
      <c r="I4" s="1116"/>
      <c r="J4" s="1116"/>
      <c r="K4" s="1116"/>
      <c r="L4" s="1117"/>
      <c r="M4" s="257"/>
      <c r="N4" s="214"/>
      <c r="O4" s="214"/>
      <c r="P4" s="636" t="s">
        <v>235</v>
      </c>
      <c r="Q4" s="624"/>
      <c r="R4" s="625"/>
      <c r="S4" s="215"/>
      <c r="T4" s="215"/>
      <c r="U4" s="214"/>
      <c r="V4" s="415" t="s">
        <v>236</v>
      </c>
      <c r="W4" s="415" t="s">
        <v>237</v>
      </c>
      <c r="X4" s="415" t="s">
        <v>238</v>
      </c>
      <c r="Y4" s="211" t="s">
        <v>239</v>
      </c>
      <c r="Z4" s="211" t="s">
        <v>239</v>
      </c>
      <c r="AA4" s="258" t="s">
        <v>240</v>
      </c>
      <c r="AB4" s="1073"/>
      <c r="AC4" s="1073" t="s">
        <v>241</v>
      </c>
      <c r="AD4" s="259"/>
      <c r="AE4" s="259"/>
      <c r="AF4" s="259"/>
      <c r="AG4" s="1074"/>
      <c r="AH4" s="259" t="s">
        <v>242</v>
      </c>
      <c r="AI4" s="259" t="s">
        <v>242</v>
      </c>
      <c r="AJ4" s="259" t="s">
        <v>243</v>
      </c>
      <c r="AK4" s="259" t="s">
        <v>243</v>
      </c>
      <c r="AL4" s="1124" t="s">
        <v>244</v>
      </c>
      <c r="AM4" s="1125"/>
      <c r="AN4" s="1125"/>
      <c r="AO4" s="1126"/>
      <c r="AP4" s="260" t="s">
        <v>10</v>
      </c>
      <c r="AQ4" s="259" t="s">
        <v>245</v>
      </c>
      <c r="AR4" s="1119" t="s">
        <v>246</v>
      </c>
      <c r="AS4" s="1120"/>
      <c r="AT4" s="1105" t="s">
        <v>247</v>
      </c>
      <c r="AU4" s="1106"/>
      <c r="AV4" s="261"/>
      <c r="AW4" s="259"/>
      <c r="AX4" s="1074"/>
      <c r="AY4" s="1074"/>
      <c r="AZ4" s="1074"/>
    </row>
    <row r="5" spans="1:52" ht="13.8" thickBot="1" x14ac:dyDescent="0.3">
      <c r="A5" s="1083"/>
      <c r="B5" s="217" t="s">
        <v>248</v>
      </c>
      <c r="C5" s="247" t="s">
        <v>249</v>
      </c>
      <c r="D5" s="247" t="s">
        <v>249</v>
      </c>
      <c r="E5" s="248" t="s">
        <v>248</v>
      </c>
      <c r="F5" s="248" t="s">
        <v>250</v>
      </c>
      <c r="G5" s="247" t="s">
        <v>251</v>
      </c>
      <c r="H5" s="262" t="s">
        <v>252</v>
      </c>
      <c r="I5" s="263" t="s">
        <v>252</v>
      </c>
      <c r="J5" s="263" t="s">
        <v>252</v>
      </c>
      <c r="K5" s="263" t="s">
        <v>252</v>
      </c>
      <c r="L5" s="264" t="s">
        <v>252</v>
      </c>
      <c r="M5" s="257"/>
      <c r="N5" s="214" t="s">
        <v>253</v>
      </c>
      <c r="O5" s="214"/>
      <c r="P5" s="636" t="s">
        <v>230</v>
      </c>
      <c r="Q5" s="624"/>
      <c r="R5" s="625"/>
      <c r="S5" s="215" t="s">
        <v>236</v>
      </c>
      <c r="T5" s="215" t="s">
        <v>254</v>
      </c>
      <c r="U5" s="214" t="s">
        <v>255</v>
      </c>
      <c r="V5" s="415" t="s">
        <v>256</v>
      </c>
      <c r="W5" s="415" t="s">
        <v>257</v>
      </c>
      <c r="X5" s="415" t="s">
        <v>258</v>
      </c>
      <c r="Y5" s="211" t="s">
        <v>259</v>
      </c>
      <c r="Z5" s="211" t="s">
        <v>259</v>
      </c>
      <c r="AA5" s="258" t="s">
        <v>239</v>
      </c>
      <c r="AB5" s="1073" t="s">
        <v>241</v>
      </c>
      <c r="AC5" s="1073" t="s">
        <v>260</v>
      </c>
      <c r="AD5" s="259" t="s">
        <v>242</v>
      </c>
      <c r="AE5" s="259" t="s">
        <v>242</v>
      </c>
      <c r="AF5" s="259" t="s">
        <v>243</v>
      </c>
      <c r="AG5" s="1074" t="s">
        <v>243</v>
      </c>
      <c r="AH5" s="259" t="s">
        <v>230</v>
      </c>
      <c r="AI5" s="259" t="s">
        <v>230</v>
      </c>
      <c r="AJ5" s="259" t="s">
        <v>230</v>
      </c>
      <c r="AK5" s="259" t="s">
        <v>230</v>
      </c>
      <c r="AL5" s="1127"/>
      <c r="AM5" s="1128"/>
      <c r="AN5" s="1128"/>
      <c r="AO5" s="1129"/>
      <c r="AP5" s="260" t="s">
        <v>261</v>
      </c>
      <c r="AQ5" s="259" t="s">
        <v>262</v>
      </c>
      <c r="AR5" s="1103" t="s">
        <v>263</v>
      </c>
      <c r="AS5" s="1118"/>
      <c r="AT5" s="1103" t="s">
        <v>264</v>
      </c>
      <c r="AU5" s="1104"/>
      <c r="AV5" s="261" t="s">
        <v>265</v>
      </c>
      <c r="AW5" s="259" t="s">
        <v>265</v>
      </c>
      <c r="AX5" s="259" t="s">
        <v>265</v>
      </c>
      <c r="AY5" s="259" t="s">
        <v>265</v>
      </c>
      <c r="AZ5" s="259" t="s">
        <v>265</v>
      </c>
    </row>
    <row r="6" spans="1:52" ht="13.8" thickBot="1" x14ac:dyDescent="0.3">
      <c r="A6" s="1083"/>
      <c r="B6" s="217" t="s">
        <v>266</v>
      </c>
      <c r="C6" s="247" t="s">
        <v>267</v>
      </c>
      <c r="D6" s="247" t="s">
        <v>268</v>
      </c>
      <c r="E6" s="265" t="s">
        <v>269</v>
      </c>
      <c r="F6" s="266" t="s">
        <v>270</v>
      </c>
      <c r="G6" s="677" t="s">
        <v>270</v>
      </c>
      <c r="H6" s="267">
        <v>6</v>
      </c>
      <c r="I6" s="268">
        <v>6</v>
      </c>
      <c r="J6" s="268">
        <v>6</v>
      </c>
      <c r="K6" s="268">
        <v>6</v>
      </c>
      <c r="L6" s="269">
        <v>6</v>
      </c>
      <c r="M6" s="257" t="s">
        <v>271</v>
      </c>
      <c r="N6" s="214" t="s">
        <v>272</v>
      </c>
      <c r="O6" s="214" t="s">
        <v>273</v>
      </c>
      <c r="P6" s="636" t="s">
        <v>274</v>
      </c>
      <c r="Q6" s="624" t="s">
        <v>236</v>
      </c>
      <c r="R6" s="626" t="s">
        <v>254</v>
      </c>
      <c r="S6" s="215" t="s">
        <v>275</v>
      </c>
      <c r="T6" s="215" t="s">
        <v>275</v>
      </c>
      <c r="U6" s="214" t="s">
        <v>276</v>
      </c>
      <c r="V6" s="415" t="s">
        <v>277</v>
      </c>
      <c r="W6" s="415" t="s">
        <v>278</v>
      </c>
      <c r="X6" s="415" t="s">
        <v>248</v>
      </c>
      <c r="Y6" s="211" t="s">
        <v>278</v>
      </c>
      <c r="Z6" s="211" t="s">
        <v>278</v>
      </c>
      <c r="AA6" s="258" t="s">
        <v>259</v>
      </c>
      <c r="AB6" s="1073" t="s">
        <v>260</v>
      </c>
      <c r="AC6" s="1073" t="s">
        <v>230</v>
      </c>
      <c r="AD6" s="259" t="s">
        <v>230</v>
      </c>
      <c r="AE6" s="259" t="s">
        <v>230</v>
      </c>
      <c r="AF6" s="259" t="s">
        <v>230</v>
      </c>
      <c r="AG6" s="1074" t="s">
        <v>230</v>
      </c>
      <c r="AH6" s="259" t="s">
        <v>279</v>
      </c>
      <c r="AI6" s="259" t="s">
        <v>280</v>
      </c>
      <c r="AJ6" s="259" t="s">
        <v>279</v>
      </c>
      <c r="AK6" s="259" t="s">
        <v>280</v>
      </c>
      <c r="AL6" s="1107" t="s">
        <v>281</v>
      </c>
      <c r="AM6" s="1108"/>
      <c r="AN6" s="1107" t="s">
        <v>282</v>
      </c>
      <c r="AO6" s="1108"/>
      <c r="AP6" s="260" t="s">
        <v>213</v>
      </c>
      <c r="AQ6" s="259" t="s">
        <v>283</v>
      </c>
      <c r="AR6" s="1090"/>
      <c r="AS6" s="1091"/>
      <c r="AT6" s="1103"/>
      <c r="AU6" s="1104"/>
      <c r="AV6" s="261" t="s">
        <v>284</v>
      </c>
      <c r="AW6" s="259" t="s">
        <v>284</v>
      </c>
      <c r="AX6" s="259" t="s">
        <v>284</v>
      </c>
      <c r="AY6" s="259" t="s">
        <v>284</v>
      </c>
      <c r="AZ6" s="259" t="s">
        <v>284</v>
      </c>
    </row>
    <row r="7" spans="1:52" ht="13.8" thickBot="1" x14ac:dyDescent="0.3">
      <c r="A7" s="1083"/>
      <c r="B7" s="217" t="s">
        <v>285</v>
      </c>
      <c r="C7" s="247" t="s">
        <v>286</v>
      </c>
      <c r="D7" s="247" t="s">
        <v>286</v>
      </c>
      <c r="E7" s="247" t="s">
        <v>285</v>
      </c>
      <c r="F7" s="247" t="s">
        <v>287</v>
      </c>
      <c r="G7" s="247" t="s">
        <v>287</v>
      </c>
      <c r="H7" s="270">
        <v>7</v>
      </c>
      <c r="I7" s="270">
        <v>8</v>
      </c>
      <c r="J7" s="270">
        <v>8</v>
      </c>
      <c r="K7" s="270">
        <v>15</v>
      </c>
      <c r="L7" s="270">
        <v>19</v>
      </c>
      <c r="M7" s="257" t="s">
        <v>288</v>
      </c>
      <c r="N7" s="214" t="s">
        <v>289</v>
      </c>
      <c r="O7" s="214" t="s">
        <v>290</v>
      </c>
      <c r="P7" s="636" t="s">
        <v>277</v>
      </c>
      <c r="Q7" s="624" t="s">
        <v>291</v>
      </c>
      <c r="R7" s="626" t="s">
        <v>291</v>
      </c>
      <c r="S7" s="215" t="s">
        <v>292</v>
      </c>
      <c r="T7" s="215" t="s">
        <v>292</v>
      </c>
      <c r="U7" s="214"/>
      <c r="V7" s="415" t="s">
        <v>293</v>
      </c>
      <c r="W7" s="415" t="s">
        <v>294</v>
      </c>
      <c r="X7" s="415" t="s">
        <v>295</v>
      </c>
      <c r="Y7" s="211" t="s">
        <v>296</v>
      </c>
      <c r="Z7" s="211" t="s">
        <v>297</v>
      </c>
      <c r="AA7" s="258" t="s">
        <v>278</v>
      </c>
      <c r="AB7" s="1073" t="s">
        <v>230</v>
      </c>
      <c r="AC7" s="1073" t="s">
        <v>298</v>
      </c>
      <c r="AD7" s="259" t="s">
        <v>279</v>
      </c>
      <c r="AE7" s="259" t="s">
        <v>280</v>
      </c>
      <c r="AF7" s="259" t="s">
        <v>279</v>
      </c>
      <c r="AG7" s="1074" t="s">
        <v>280</v>
      </c>
      <c r="AH7" s="259" t="s">
        <v>298</v>
      </c>
      <c r="AI7" s="259" t="s">
        <v>298</v>
      </c>
      <c r="AJ7" s="259" t="s">
        <v>298</v>
      </c>
      <c r="AK7" s="259" t="s">
        <v>298</v>
      </c>
      <c r="AL7" s="259" t="s">
        <v>279</v>
      </c>
      <c r="AM7" s="259" t="s">
        <v>280</v>
      </c>
      <c r="AN7" s="259" t="s">
        <v>279</v>
      </c>
      <c r="AO7" s="1074" t="s">
        <v>280</v>
      </c>
      <c r="AP7" s="260" t="s">
        <v>299</v>
      </c>
      <c r="AQ7" s="259" t="s">
        <v>300</v>
      </c>
      <c r="AR7" s="723" t="s">
        <v>301</v>
      </c>
      <c r="AS7" s="724" t="s">
        <v>302</v>
      </c>
      <c r="AT7" s="1103" t="s">
        <v>303</v>
      </c>
      <c r="AU7" s="1104"/>
      <c r="AV7" s="688" t="s">
        <v>300</v>
      </c>
      <c r="AW7" s="259" t="s">
        <v>300</v>
      </c>
      <c r="AX7" s="259" t="s">
        <v>300</v>
      </c>
      <c r="AY7" s="259" t="s">
        <v>300</v>
      </c>
      <c r="AZ7" s="1074" t="s">
        <v>300</v>
      </c>
    </row>
    <row r="8" spans="1:52" ht="13.8" thickBot="1" x14ac:dyDescent="0.3">
      <c r="A8" s="1092"/>
      <c r="B8" s="271" t="s">
        <v>252</v>
      </c>
      <c r="C8" s="272" t="s">
        <v>252</v>
      </c>
      <c r="D8" s="273" t="s">
        <v>252</v>
      </c>
      <c r="E8" s="273" t="s">
        <v>252</v>
      </c>
      <c r="F8" s="273" t="s">
        <v>252</v>
      </c>
      <c r="G8" s="273" t="s">
        <v>252</v>
      </c>
      <c r="H8" s="249" t="s">
        <v>6</v>
      </c>
      <c r="I8" s="274" t="s">
        <v>7</v>
      </c>
      <c r="J8" s="274" t="s">
        <v>8</v>
      </c>
      <c r="K8" s="274" t="s">
        <v>10</v>
      </c>
      <c r="L8" s="275" t="s">
        <v>11</v>
      </c>
      <c r="M8" s="276" t="s">
        <v>304</v>
      </c>
      <c r="N8" s="214" t="s">
        <v>192</v>
      </c>
      <c r="O8" s="214" t="s">
        <v>305</v>
      </c>
      <c r="P8" s="636" t="s">
        <v>306</v>
      </c>
      <c r="Q8" s="624" t="s">
        <v>307</v>
      </c>
      <c r="R8" s="626" t="s">
        <v>308</v>
      </c>
      <c r="S8" s="215" t="s">
        <v>309</v>
      </c>
      <c r="T8" s="215" t="s">
        <v>310</v>
      </c>
      <c r="U8" s="214"/>
      <c r="V8" s="214"/>
      <c r="W8" s="214"/>
      <c r="X8" s="214"/>
      <c r="Y8" s="214"/>
      <c r="Z8" s="214"/>
      <c r="AA8" s="211" t="s">
        <v>311</v>
      </c>
      <c r="AB8" s="1073" t="s">
        <v>298</v>
      </c>
      <c r="AC8" s="275" t="s">
        <v>312</v>
      </c>
      <c r="AD8" s="259" t="s">
        <v>298</v>
      </c>
      <c r="AE8" s="259" t="s">
        <v>298</v>
      </c>
      <c r="AF8" s="259" t="s">
        <v>298</v>
      </c>
      <c r="AG8" s="1074" t="s">
        <v>298</v>
      </c>
      <c r="AH8" s="275" t="s">
        <v>312</v>
      </c>
      <c r="AI8" s="275" t="s">
        <v>312</v>
      </c>
      <c r="AJ8" s="275" t="s">
        <v>312</v>
      </c>
      <c r="AK8" s="275" t="s">
        <v>312</v>
      </c>
      <c r="AL8" s="259" t="s">
        <v>298</v>
      </c>
      <c r="AM8" s="259" t="s">
        <v>298</v>
      </c>
      <c r="AN8" s="259" t="s">
        <v>298</v>
      </c>
      <c r="AO8" s="1074" t="s">
        <v>298</v>
      </c>
      <c r="AP8" s="260" t="s">
        <v>313</v>
      </c>
      <c r="AQ8" s="259" t="s">
        <v>314</v>
      </c>
      <c r="AR8" s="1073" t="s">
        <v>315</v>
      </c>
      <c r="AS8" s="259" t="s">
        <v>316</v>
      </c>
      <c r="AT8" s="724" t="s">
        <v>317</v>
      </c>
      <c r="AU8" s="724" t="s">
        <v>318</v>
      </c>
      <c r="AV8" s="261" t="s">
        <v>314</v>
      </c>
      <c r="AW8" s="259" t="s">
        <v>314</v>
      </c>
      <c r="AX8" s="259" t="s">
        <v>314</v>
      </c>
      <c r="AY8" s="259" t="s">
        <v>314</v>
      </c>
      <c r="AZ8" s="259" t="s">
        <v>314</v>
      </c>
    </row>
    <row r="9" spans="1:52" ht="13.8" thickBot="1" x14ac:dyDescent="0.3">
      <c r="A9" s="54" t="s">
        <v>319</v>
      </c>
      <c r="B9" s="678">
        <v>6</v>
      </c>
      <c r="C9" s="679">
        <v>6</v>
      </c>
      <c r="D9" s="680">
        <v>6</v>
      </c>
      <c r="E9" s="680">
        <v>6</v>
      </c>
      <c r="F9" s="680">
        <v>6</v>
      </c>
      <c r="G9" s="680">
        <v>6</v>
      </c>
      <c r="H9" s="277" t="s">
        <v>286</v>
      </c>
      <c r="I9" s="278" t="s">
        <v>286</v>
      </c>
      <c r="J9" s="278" t="s">
        <v>286</v>
      </c>
      <c r="K9" s="278" t="s">
        <v>320</v>
      </c>
      <c r="L9" s="279" t="s">
        <v>285</v>
      </c>
      <c r="M9" s="280" t="s">
        <v>321</v>
      </c>
      <c r="N9" s="227" t="s">
        <v>322</v>
      </c>
      <c r="O9" s="227" t="s">
        <v>323</v>
      </c>
      <c r="P9" s="763"/>
      <c r="Q9" s="627" t="s">
        <v>324</v>
      </c>
      <c r="R9" s="628" t="s">
        <v>324</v>
      </c>
      <c r="S9" s="282"/>
      <c r="T9" s="282"/>
      <c r="U9" s="227" t="s">
        <v>287</v>
      </c>
      <c r="V9" s="627" t="s">
        <v>324</v>
      </c>
      <c r="W9" s="420"/>
      <c r="X9" s="420" t="s">
        <v>325</v>
      </c>
      <c r="Y9" s="227"/>
      <c r="Z9" s="227"/>
      <c r="AA9" s="258"/>
      <c r="AB9" s="720" t="s">
        <v>287</v>
      </c>
      <c r="AC9" s="720" t="s">
        <v>287</v>
      </c>
      <c r="AD9" s="720" t="s">
        <v>287</v>
      </c>
      <c r="AE9" s="720" t="s">
        <v>287</v>
      </c>
      <c r="AF9" s="279" t="s">
        <v>287</v>
      </c>
      <c r="AG9" s="279" t="s">
        <v>287</v>
      </c>
      <c r="AH9" s="720" t="s">
        <v>287</v>
      </c>
      <c r="AI9" s="279" t="s">
        <v>287</v>
      </c>
      <c r="AJ9" s="720" t="s">
        <v>287</v>
      </c>
      <c r="AK9" s="279" t="s">
        <v>287</v>
      </c>
      <c r="AL9" s="720" t="s">
        <v>287</v>
      </c>
      <c r="AM9" s="720" t="s">
        <v>287</v>
      </c>
      <c r="AN9" s="279" t="s">
        <v>287</v>
      </c>
      <c r="AO9" s="279" t="s">
        <v>287</v>
      </c>
      <c r="AP9" s="278" t="s">
        <v>320</v>
      </c>
      <c r="AQ9" s="279" t="s">
        <v>285</v>
      </c>
      <c r="AR9" s="279" t="s">
        <v>285</v>
      </c>
      <c r="AS9" s="279" t="s">
        <v>285</v>
      </c>
      <c r="AT9" s="279" t="s">
        <v>285</v>
      </c>
      <c r="AU9" s="279" t="s">
        <v>285</v>
      </c>
      <c r="AV9" s="279" t="s">
        <v>287</v>
      </c>
      <c r="AW9" s="279" t="s">
        <v>287</v>
      </c>
      <c r="AX9" s="279" t="s">
        <v>287</v>
      </c>
      <c r="AY9" s="278" t="s">
        <v>320</v>
      </c>
      <c r="AZ9" s="279" t="s">
        <v>285</v>
      </c>
    </row>
    <row r="10" spans="1:52" s="55" customFormat="1" x14ac:dyDescent="0.25">
      <c r="A10" s="573" t="s">
        <v>326</v>
      </c>
      <c r="B10" s="671"/>
      <c r="C10" s="670"/>
      <c r="D10" s="670"/>
      <c r="E10" s="672"/>
      <c r="F10" s="674"/>
      <c r="G10" s="675"/>
      <c r="H10" s="511"/>
      <c r="I10" s="512"/>
      <c r="J10" s="512"/>
      <c r="K10" s="512"/>
      <c r="L10" s="513"/>
      <c r="M10" s="511"/>
      <c r="N10" s="512"/>
      <c r="O10" s="534"/>
      <c r="P10" s="639"/>
      <c r="Q10" s="631"/>
      <c r="R10" s="631"/>
      <c r="S10" s="512"/>
      <c r="T10" s="512"/>
      <c r="U10" s="534"/>
      <c r="V10" s="856"/>
      <c r="W10" s="857"/>
      <c r="X10" s="857"/>
      <c r="Y10" s="857"/>
      <c r="Z10" s="858"/>
      <c r="AA10" s="859"/>
      <c r="AB10" s="671"/>
      <c r="AC10" s="671"/>
      <c r="AD10" s="671"/>
      <c r="AE10" s="670"/>
      <c r="AF10" s="670"/>
      <c r="AG10" s="513"/>
      <c r="AH10" s="671"/>
      <c r="AI10" s="670"/>
      <c r="AJ10" s="670"/>
      <c r="AK10" s="672"/>
      <c r="AL10" s="671"/>
      <c r="AM10" s="670"/>
      <c r="AN10" s="670"/>
      <c r="AO10" s="513"/>
      <c r="AP10" s="512"/>
      <c r="AQ10" s="512"/>
      <c r="AR10" s="687"/>
      <c r="AS10" s="692"/>
      <c r="AT10" s="687"/>
      <c r="AU10" s="692"/>
      <c r="AV10" s="687"/>
      <c r="AW10" s="741"/>
      <c r="AX10" s="741"/>
      <c r="AY10" s="741"/>
      <c r="AZ10" s="692"/>
    </row>
    <row r="11" spans="1:52" s="55" customFormat="1" x14ac:dyDescent="0.25">
      <c r="A11" s="307" t="s">
        <v>327</v>
      </c>
      <c r="B11" s="1018"/>
      <c r="C11" s="1019"/>
      <c r="D11" s="1020"/>
      <c r="E11" s="1021"/>
      <c r="F11" s="874"/>
      <c r="G11" s="1017"/>
      <c r="H11" s="1040">
        <f t="shared" ref="H11:L20" si="0">IF(INDEX($AB$11:$AZ$310,,H$7)=0,"NA",INDEX($AB$11:$AZ$310,,H$7))</f>
        <v>750</v>
      </c>
      <c r="I11" s="1041">
        <f t="shared" si="0"/>
        <v>87</v>
      </c>
      <c r="J11" s="1041">
        <f t="shared" si="0"/>
        <v>87</v>
      </c>
      <c r="K11" s="1041">
        <f t="shared" si="0"/>
        <v>1.4E-2</v>
      </c>
      <c r="L11" s="1042">
        <f t="shared" si="0"/>
        <v>190000</v>
      </c>
      <c r="M11" s="289">
        <v>26.98</v>
      </c>
      <c r="N11" s="1016" t="s">
        <v>328</v>
      </c>
      <c r="O11" s="645">
        <f>IF(M11="NA","NA",(IF(N11="NA","NA",((((28.97+M11)/(28.97*M11))^0.5)*(10^-3)*(Data!$D$50^1.75)/((2*(20.1^(1/3)))^2)))))</f>
        <v>0.20721940694417185</v>
      </c>
      <c r="P11" s="637" t="s">
        <v>329</v>
      </c>
      <c r="Q11" s="637">
        <f>R11</f>
        <v>1500</v>
      </c>
      <c r="R11" s="637">
        <v>1500</v>
      </c>
      <c r="S11" s="290">
        <f>0.005</f>
        <v>5.0000000000000001E-3</v>
      </c>
      <c r="T11" s="290">
        <f>IF(S11= "NA", "NA", S11)</f>
        <v>5.0000000000000001E-3</v>
      </c>
      <c r="U11" s="847">
        <v>310000000</v>
      </c>
      <c r="V11" s="862">
        <f>IF(TRUE=ISBLANK(Q11),"",(Q11))</f>
        <v>1500</v>
      </c>
      <c r="W11" s="847">
        <f>IF(OR(Q11="NA",Q11="",V11="NA",V11=""),"NA",(1+(V11/Q11)^1.5*((1-Data!$D$75)/(1-Data!$D$18))^1.5*(Data!$D$71/Data!$D$14)^1.5*(Data!$D$73/Data!$D$72)*(1/(39.37*Data!$D$72))^0.25))</f>
        <v>6.1996103238863176</v>
      </c>
      <c r="X11" s="847">
        <f>IF(W11="NA","NA",0.15*Data!$D$71*(1-Data!$D$75)*V11*((13.12*Data!$D$73)^(0.112*LN(Data!$D$71*(1-Data!$D$75)*V11)+1.38))/(W11*Data!$D$81))</f>
        <v>1202620.3365629693</v>
      </c>
      <c r="Y11" s="847">
        <f>IF(OR(W11="NA",W11="",Data!$D$91="NA",Data!$D$91=""),"NA",W11*Data!$D$91)</f>
        <v>11.086491029477838</v>
      </c>
      <c r="Z11" s="847">
        <f>IF(OR(W11="NA",W11="",Data!$D$91="NA",Data!$D$91=""),"NA",IF(Data!$D$68&lt;X11,W11*X11/Data!$D$68*Data!$D$91,W11*Data!$D$91))</f>
        <v>66664.197865864888</v>
      </c>
      <c r="AA11" s="853"/>
      <c r="AB11" s="292" t="s">
        <v>329</v>
      </c>
      <c r="AC11" s="786">
        <v>50</v>
      </c>
      <c r="AD11" s="786">
        <v>750</v>
      </c>
      <c r="AE11" s="815">
        <v>87</v>
      </c>
      <c r="AF11" s="287" t="s">
        <v>329</v>
      </c>
      <c r="AG11" s="288" t="s">
        <v>329</v>
      </c>
      <c r="AH11" s="786">
        <v>750</v>
      </c>
      <c r="AI11" s="828">
        <v>87</v>
      </c>
      <c r="AJ11" s="287" t="s">
        <v>329</v>
      </c>
      <c r="AK11" s="288" t="s">
        <v>329</v>
      </c>
      <c r="AL11" s="786">
        <v>750</v>
      </c>
      <c r="AM11" s="815">
        <v>87</v>
      </c>
      <c r="AN11" s="815"/>
      <c r="AO11" s="816"/>
      <c r="AP11" s="287">
        <v>1.4E-2</v>
      </c>
      <c r="AQ11" s="689" t="s">
        <v>329</v>
      </c>
      <c r="AR11" s="292" t="s">
        <v>329</v>
      </c>
      <c r="AS11" s="288" t="s">
        <v>329</v>
      </c>
      <c r="AT11" s="786">
        <v>190000</v>
      </c>
      <c r="AU11" s="926">
        <v>190000</v>
      </c>
      <c r="AV11" s="874"/>
      <c r="AW11" s="663"/>
      <c r="AX11" s="663"/>
      <c r="AY11" s="663"/>
      <c r="AZ11" s="664"/>
    </row>
    <row r="12" spans="1:52" s="55" customFormat="1" x14ac:dyDescent="0.25">
      <c r="A12" s="307" t="s">
        <v>330</v>
      </c>
      <c r="B12" s="1018"/>
      <c r="C12" s="1019"/>
      <c r="D12" s="1020"/>
      <c r="E12" s="1021"/>
      <c r="F12" s="874"/>
      <c r="G12" s="1017"/>
      <c r="H12" s="1040">
        <f t="shared" si="0"/>
        <v>180</v>
      </c>
      <c r="I12" s="1041">
        <f t="shared" si="0"/>
        <v>30</v>
      </c>
      <c r="J12" s="1041">
        <f t="shared" si="0"/>
        <v>30</v>
      </c>
      <c r="K12" s="1041">
        <f t="shared" si="0"/>
        <v>4.0000000000000002E-4</v>
      </c>
      <c r="L12" s="1042">
        <f t="shared" si="0"/>
        <v>27</v>
      </c>
      <c r="M12" s="289">
        <v>121.75</v>
      </c>
      <c r="N12" s="1016" t="s">
        <v>328</v>
      </c>
      <c r="O12" s="645">
        <f>IF(M12="NA","NA",(IF(N12="NA","NA",((((28.97+M12)/(28.97*M12))^0.5)*(10^-3)*(Data!$D$50^1.75)/((2*(20.1^(1/3)))^2)))))</f>
        <v>0.16010404758698238</v>
      </c>
      <c r="P12" s="637" t="s">
        <v>329</v>
      </c>
      <c r="Q12" s="629">
        <v>270</v>
      </c>
      <c r="R12" s="629">
        <v>170</v>
      </c>
      <c r="S12" s="290">
        <f>0.1</f>
        <v>0.1</v>
      </c>
      <c r="T12" s="290">
        <f>IF(S12= "NA", "NA", S12)</f>
        <v>0.1</v>
      </c>
      <c r="U12" s="847">
        <v>5000</v>
      </c>
      <c r="V12" s="862">
        <f t="shared" ref="V12:V37" si="1">IF(TRUE=ISBLANK(Q12),"",(Q12))</f>
        <v>270</v>
      </c>
      <c r="W12" s="847">
        <f>IF(OR(Q12="NA",Q12="",V12="NA",V12=""),"NA",(1+(V12/Q12)^1.5*((1-Data!$D$75)/(1-Data!$D$18))^1.5*(Data!$D$71/Data!$D$14)^1.5*(Data!$D$73/Data!$D$72)*(1/(39.37*Data!$D$72))^0.25))</f>
        <v>6.1996103238863176</v>
      </c>
      <c r="X12" s="847">
        <f>IF(W12="NA","NA",0.15*Data!$D$71*(1-Data!$D$75)*V12*((13.12*Data!$D$73)^(0.112*LN(Data!$D$71*(1-Data!$D$75)*V12)+1.38))/(W12*Data!$D$81))</f>
        <v>96928.429874077949</v>
      </c>
      <c r="Y12" s="847">
        <f>IF(OR(W12="NA",W12="",Data!$D$91="NA",Data!$D$91=""),"NA",W12*Data!$D$91)</f>
        <v>11.086491029477838</v>
      </c>
      <c r="Z12" s="847">
        <f>IF(OR(W12="NA",W12="",Data!$D$91="NA",Data!$D$91=""),"NA",IF(Data!$D$68&lt;X12,W12*X12/Data!$D$68*Data!$D$91,W12*Data!$D$91))</f>
        <v>5372.9808415016851</v>
      </c>
      <c r="AA12" s="867"/>
      <c r="AB12" s="718">
        <v>6</v>
      </c>
      <c r="AC12" s="718">
        <v>6</v>
      </c>
      <c r="AD12" s="292" t="s">
        <v>329</v>
      </c>
      <c r="AE12" s="287" t="s">
        <v>329</v>
      </c>
      <c r="AF12" s="287" t="s">
        <v>329</v>
      </c>
      <c r="AG12" s="288" t="s">
        <v>329</v>
      </c>
      <c r="AH12" s="786">
        <v>180</v>
      </c>
      <c r="AI12" s="879">
        <v>30</v>
      </c>
      <c r="AJ12" s="287" t="s">
        <v>329</v>
      </c>
      <c r="AK12" s="288" t="s">
        <v>329</v>
      </c>
      <c r="AL12" s="786">
        <v>1300</v>
      </c>
      <c r="AM12" s="815">
        <v>160</v>
      </c>
      <c r="AN12" s="815"/>
      <c r="AO12" s="816"/>
      <c r="AP12" s="694">
        <v>4.0000000000000002E-4</v>
      </c>
      <c r="AQ12" s="828">
        <v>37</v>
      </c>
      <c r="AR12" s="292" t="s">
        <v>329</v>
      </c>
      <c r="AS12" s="288" t="s">
        <v>329</v>
      </c>
      <c r="AT12" s="786">
        <v>27</v>
      </c>
      <c r="AU12" s="926">
        <v>27</v>
      </c>
      <c r="AV12" s="874"/>
      <c r="AW12" s="663"/>
      <c r="AX12" s="663"/>
      <c r="AY12" s="663"/>
      <c r="AZ12" s="664"/>
    </row>
    <row r="13" spans="1:52" s="55" customFormat="1" x14ac:dyDescent="0.25">
      <c r="A13" s="307" t="s">
        <v>331</v>
      </c>
      <c r="B13" s="1018"/>
      <c r="C13" s="1019"/>
      <c r="D13" s="1020"/>
      <c r="E13" s="1021"/>
      <c r="F13" s="874"/>
      <c r="G13" s="1017"/>
      <c r="H13" s="1040">
        <f t="shared" si="0"/>
        <v>66</v>
      </c>
      <c r="I13" s="1041">
        <f t="shared" si="0"/>
        <v>3.1</v>
      </c>
      <c r="J13" s="1041">
        <f t="shared" si="0"/>
        <v>3.1</v>
      </c>
      <c r="K13" s="1041" t="str">
        <f t="shared" si="0"/>
        <v>NA</v>
      </c>
      <c r="L13" s="1042">
        <f t="shared" si="0"/>
        <v>41</v>
      </c>
      <c r="M13" s="289">
        <v>74.92</v>
      </c>
      <c r="N13" s="1016" t="s">
        <v>328</v>
      </c>
      <c r="O13" s="645">
        <f>IF(M13="NA","NA",(IF(N13="NA","NA",((((28.97+M13)/(28.97*M13))^0.5)*(10^-3)*(Data!$D$50^1.75)/((2*(20.1^(1/3)))^2)))))</f>
        <v>0.16944912963387734</v>
      </c>
      <c r="P13" s="637" t="s">
        <v>329</v>
      </c>
      <c r="Q13" s="629">
        <v>70</v>
      </c>
      <c r="R13" s="629">
        <v>20.649000000000001</v>
      </c>
      <c r="S13" s="290">
        <f>0.2</f>
        <v>0.2</v>
      </c>
      <c r="T13" s="290">
        <f>IF(S13= "NA", "NA", S13)</f>
        <v>0.2</v>
      </c>
      <c r="U13" s="847">
        <v>18200000</v>
      </c>
      <c r="V13" s="862">
        <f t="shared" si="1"/>
        <v>70</v>
      </c>
      <c r="W13" s="847">
        <f>IF(OR(Q13="NA",Q13="",V13="NA",V13=""),"NA",(1+(V13/Q13)^1.5*((1-Data!$D$75)/(1-Data!$D$18))^1.5*(Data!$D$71/Data!$D$14)^1.5*(Data!$D$73/Data!$D$72)*(1/(39.37*Data!$D$72))^0.25))</f>
        <v>6.1996103238863176</v>
      </c>
      <c r="X13" s="847">
        <f>IF(W13="NA","NA",0.15*Data!$D$71*(1-Data!$D$75)*V13*((13.12*Data!$D$73)^(0.112*LN(Data!$D$71*(1-Data!$D$75)*V13)+1.38))/(W13*Data!$D$81))</f>
        <v>13350.099595869611</v>
      </c>
      <c r="Y13" s="847">
        <f>IF(OR(W13="NA",W13="",Data!$D$91="NA",Data!$D$91=""),"NA",W13*Data!$D$91)</f>
        <v>11.086491029477838</v>
      </c>
      <c r="Z13" s="847">
        <f>IF(OR(W13="NA",W13="",Data!$D$91="NA",Data!$D$91=""),"NA",IF(Data!$D$68&lt;X13,W13*X13/Data!$D$68*Data!$D$91,W13*Data!$D$91))</f>
        <v>740.02879706122064</v>
      </c>
      <c r="AA13" s="853"/>
      <c r="AB13" s="718">
        <v>10</v>
      </c>
      <c r="AC13" s="718">
        <v>10</v>
      </c>
      <c r="AD13" s="786">
        <v>340</v>
      </c>
      <c r="AE13" s="815">
        <v>150</v>
      </c>
      <c r="AF13" s="815">
        <v>69</v>
      </c>
      <c r="AG13" s="816">
        <v>36</v>
      </c>
      <c r="AH13" s="838">
        <v>66</v>
      </c>
      <c r="AI13" s="880">
        <v>3.1</v>
      </c>
      <c r="AJ13" s="815">
        <v>69</v>
      </c>
      <c r="AK13" s="816">
        <v>36</v>
      </c>
      <c r="AL13" s="786">
        <v>340</v>
      </c>
      <c r="AM13" s="815">
        <v>150</v>
      </c>
      <c r="AN13" s="815">
        <v>69</v>
      </c>
      <c r="AO13" s="816">
        <v>36</v>
      </c>
      <c r="AP13" s="287" t="s">
        <v>329</v>
      </c>
      <c r="AQ13" s="828" t="s">
        <v>329</v>
      </c>
      <c r="AR13" s="922">
        <v>41</v>
      </c>
      <c r="AS13" s="923">
        <v>73</v>
      </c>
      <c r="AT13" s="786">
        <v>41</v>
      </c>
      <c r="AU13" s="926">
        <v>53</v>
      </c>
      <c r="AV13" s="874"/>
      <c r="AW13" s="663"/>
      <c r="AX13" s="663"/>
      <c r="AY13" s="663"/>
      <c r="AZ13" s="664"/>
    </row>
    <row r="14" spans="1:52" s="55" customFormat="1" x14ac:dyDescent="0.25">
      <c r="A14" s="307" t="s">
        <v>332</v>
      </c>
      <c r="B14" s="1018"/>
      <c r="C14" s="1019"/>
      <c r="D14" s="1020"/>
      <c r="E14" s="1021"/>
      <c r="F14" s="874"/>
      <c r="G14" s="1017"/>
      <c r="H14" s="1040">
        <f t="shared" si="0"/>
        <v>110</v>
      </c>
      <c r="I14" s="1041">
        <f t="shared" si="0"/>
        <v>4</v>
      </c>
      <c r="J14" s="1041">
        <f t="shared" si="0"/>
        <v>4</v>
      </c>
      <c r="K14" s="1041" t="str">
        <f t="shared" si="0"/>
        <v>NA</v>
      </c>
      <c r="L14" s="1042">
        <f t="shared" si="0"/>
        <v>8200</v>
      </c>
      <c r="M14" s="289">
        <v>137.33000000000001</v>
      </c>
      <c r="N14" s="1016" t="s">
        <v>328</v>
      </c>
      <c r="O14" s="645">
        <f>IF(M14="NA","NA",(IF(N14="NA","NA",((((28.97+M14)/(28.97*M14))^0.5)*(10^-3)*(Data!$D$50^1.75)/((2*(20.1^(1/3)))^2)))))</f>
        <v>0.15834879697397442</v>
      </c>
      <c r="P14" s="637" t="s">
        <v>329</v>
      </c>
      <c r="Q14" s="637">
        <v>100</v>
      </c>
      <c r="R14" s="637">
        <v>41</v>
      </c>
      <c r="S14" s="290">
        <v>0.2</v>
      </c>
      <c r="T14" s="290">
        <f>IF(S14= "NA", "NA", S14)</f>
        <v>0.2</v>
      </c>
      <c r="U14" s="847">
        <v>800000000</v>
      </c>
      <c r="V14" s="862">
        <f t="shared" si="1"/>
        <v>100</v>
      </c>
      <c r="W14" s="847">
        <f>IF(OR(Q14="NA",Q14="",V14="NA",V14=""),"NA",(1+(V14/Q14)^1.5*((1-Data!$D$75)/(1-Data!$D$18))^1.5*(Data!$D$71/Data!$D$14)^1.5*(Data!$D$73/Data!$D$72)*(1/(39.37*Data!$D$72))^0.25))</f>
        <v>6.1996103238863176</v>
      </c>
      <c r="X14" s="847">
        <f>IF(W14="NA","NA",0.15*Data!$D$71*(1-Data!$D$75)*V14*((13.12*Data!$D$73)^(0.112*LN(Data!$D$71*(1-Data!$D$75)*V14)+1.38))/(W14*Data!$D$81))</f>
        <v>22540.700164442085</v>
      </c>
      <c r="Y14" s="847">
        <f>IF(OR(W14="NA",W14="",Data!$D$91="NA",Data!$D$91=""),"NA",W14*Data!$D$91)</f>
        <v>11.086491029477838</v>
      </c>
      <c r="Z14" s="847">
        <f>IF(OR(W14="NA",W14="",Data!$D$91="NA",Data!$D$91=""),"NA",IF(Data!$D$68&lt;X14,W14*X14/Data!$D$68*Data!$D$91,W14*Data!$D$91))</f>
        <v>1249.4863508561841</v>
      </c>
      <c r="AA14" s="853"/>
      <c r="AB14" s="718">
        <v>2000</v>
      </c>
      <c r="AC14" s="718">
        <v>2000</v>
      </c>
      <c r="AD14" s="292" t="s">
        <v>329</v>
      </c>
      <c r="AE14" s="287" t="s">
        <v>329</v>
      </c>
      <c r="AF14" s="287" t="s">
        <v>329</v>
      </c>
      <c r="AG14" s="288" t="s">
        <v>329</v>
      </c>
      <c r="AH14" s="786">
        <v>110</v>
      </c>
      <c r="AI14" s="881">
        <v>4</v>
      </c>
      <c r="AJ14" s="287" t="s">
        <v>329</v>
      </c>
      <c r="AK14" s="288" t="s">
        <v>329</v>
      </c>
      <c r="AL14" s="786"/>
      <c r="AM14" s="815"/>
      <c r="AN14" s="815"/>
      <c r="AO14" s="816"/>
      <c r="AP14" s="287" t="s">
        <v>329</v>
      </c>
      <c r="AQ14" s="828">
        <v>29</v>
      </c>
      <c r="AR14" s="292" t="s">
        <v>329</v>
      </c>
      <c r="AS14" s="288" t="s">
        <v>329</v>
      </c>
      <c r="AT14" s="786">
        <v>8200</v>
      </c>
      <c r="AU14" s="926">
        <v>8200</v>
      </c>
      <c r="AV14" s="874"/>
      <c r="AW14" s="663"/>
      <c r="AX14" s="663"/>
      <c r="AY14" s="663"/>
      <c r="AZ14" s="664"/>
    </row>
    <row r="15" spans="1:52" s="55" customFormat="1" x14ac:dyDescent="0.25">
      <c r="A15" s="307" t="s">
        <v>333</v>
      </c>
      <c r="B15" s="1018"/>
      <c r="C15" s="1019"/>
      <c r="D15" s="1020"/>
      <c r="E15" s="1021"/>
      <c r="F15" s="874"/>
      <c r="G15" s="1017"/>
      <c r="H15" s="1040">
        <f t="shared" si="0"/>
        <v>35</v>
      </c>
      <c r="I15" s="1041">
        <f t="shared" si="0"/>
        <v>0.66</v>
      </c>
      <c r="J15" s="1041">
        <f t="shared" si="0"/>
        <v>0.66</v>
      </c>
      <c r="K15" s="1041" t="str">
        <f t="shared" si="0"/>
        <v>NA</v>
      </c>
      <c r="L15" s="1042">
        <f t="shared" si="0"/>
        <v>320</v>
      </c>
      <c r="M15" s="289">
        <v>9.01</v>
      </c>
      <c r="N15" s="1016" t="s">
        <v>328</v>
      </c>
      <c r="O15" s="645">
        <f>IF(M15="NA","NA",(IF(N15="NA","NA",((((28.97+M15)/(28.97*M15))^0.5)*(10^-3)*(Data!$D$50^1.75)/((2*(20.1^(1/3)))^2)))))</f>
        <v>0.29543805695827713</v>
      </c>
      <c r="P15" s="637" t="s">
        <v>329</v>
      </c>
      <c r="Q15" s="629">
        <v>40</v>
      </c>
      <c r="R15" s="629">
        <v>40</v>
      </c>
      <c r="S15" s="290">
        <f>0.2</f>
        <v>0.2</v>
      </c>
      <c r="T15" s="504">
        <f>IF(S15= "NA", "NA", (IF(S15 = 1,S15,S15*3)))</f>
        <v>0.60000000000000009</v>
      </c>
      <c r="U15" s="847">
        <v>1000000000</v>
      </c>
      <c r="V15" s="862">
        <f t="shared" si="1"/>
        <v>40</v>
      </c>
      <c r="W15" s="847">
        <f>IF(OR(Q15="NA",Q15="",V15="NA",V15=""),"NA",(1+(V15/Q15)^1.5*((1-Data!$D$75)/(1-Data!$D$18))^1.5*(Data!$D$71/Data!$D$14)^1.5*(Data!$D$73/Data!$D$72)*(1/(39.37*Data!$D$72))^0.25))</f>
        <v>6.1996103238863176</v>
      </c>
      <c r="X15" s="847">
        <f>IF(W15="NA","NA",0.15*Data!$D$71*(1-Data!$D$75)*V15*((13.12*Data!$D$73)^(0.112*LN(Data!$D$71*(1-Data!$D$75)*V15)+1.38))/(W15*Data!$D$81))</f>
        <v>5869.0584238980546</v>
      </c>
      <c r="Y15" s="847">
        <f>IF(OR(W15="NA",W15="",Data!$D$91="NA",Data!$D$91=""),"NA",W15*Data!$D$91)</f>
        <v>11.086491029477838</v>
      </c>
      <c r="Z15" s="847">
        <f>IF(OR(W15="NA",W15="",Data!$D$91="NA",Data!$D$91=""),"NA",IF(Data!$D$68&lt;X15,W15*X15/Data!$D$68*Data!$D$91,W15*Data!$D$91))</f>
        <v>325.33631784013562</v>
      </c>
      <c r="AA15" s="853"/>
      <c r="AB15" s="718">
        <v>4</v>
      </c>
      <c r="AC15" s="718">
        <v>4</v>
      </c>
      <c r="AD15" s="292" t="s">
        <v>329</v>
      </c>
      <c r="AE15" s="287" t="s">
        <v>329</v>
      </c>
      <c r="AF15" s="287" t="s">
        <v>329</v>
      </c>
      <c r="AG15" s="288" t="s">
        <v>329</v>
      </c>
      <c r="AH15" s="786">
        <v>35</v>
      </c>
      <c r="AI15" s="882">
        <v>0.66</v>
      </c>
      <c r="AJ15" s="287" t="s">
        <v>329</v>
      </c>
      <c r="AK15" s="288" t="s">
        <v>329</v>
      </c>
      <c r="AL15" s="786">
        <v>16</v>
      </c>
      <c r="AM15" s="287">
        <v>5.2999999999999999E-2</v>
      </c>
      <c r="AN15" s="815"/>
      <c r="AO15" s="816"/>
      <c r="AP15" s="287" t="s">
        <v>329</v>
      </c>
      <c r="AQ15" s="828">
        <v>24</v>
      </c>
      <c r="AR15" s="292" t="s">
        <v>329</v>
      </c>
      <c r="AS15" s="288" t="s">
        <v>329</v>
      </c>
      <c r="AT15" s="786">
        <v>320</v>
      </c>
      <c r="AU15" s="926">
        <v>320</v>
      </c>
      <c r="AV15" s="874"/>
      <c r="AW15" s="663"/>
      <c r="AX15" s="663"/>
      <c r="AY15" s="663"/>
      <c r="AZ15" s="664"/>
    </row>
    <row r="16" spans="1:52" s="55" customFormat="1" x14ac:dyDescent="0.25">
      <c r="A16" s="307" t="s">
        <v>334</v>
      </c>
      <c r="B16" s="1018"/>
      <c r="C16" s="1019"/>
      <c r="D16" s="1020"/>
      <c r="E16" s="1021"/>
      <c r="F16" s="874"/>
      <c r="G16" s="1017"/>
      <c r="H16" s="1040">
        <f t="shared" si="0"/>
        <v>30</v>
      </c>
      <c r="I16" s="1041">
        <f t="shared" si="0"/>
        <v>1.6</v>
      </c>
      <c r="J16" s="1041">
        <f t="shared" si="0"/>
        <v>1.6</v>
      </c>
      <c r="K16" s="1041" t="str">
        <f t="shared" si="0"/>
        <v>NA</v>
      </c>
      <c r="L16" s="1042">
        <f t="shared" si="0"/>
        <v>6.7</v>
      </c>
      <c r="M16" s="289">
        <v>10.81</v>
      </c>
      <c r="N16" s="1016" t="s">
        <v>328</v>
      </c>
      <c r="O16" s="645">
        <f>IF(M16="NA","NA",(IF(N16="NA","NA",((((28.97+M16)/(28.97*M16))^0.5)*(10^-3)*(Data!$D$50^1.75)/((2*(20.1^(1/3)))^2)))))</f>
        <v>0.27603928643835035</v>
      </c>
      <c r="P16" s="637" t="s">
        <v>329</v>
      </c>
      <c r="Q16" s="637">
        <f>R16</f>
        <v>3</v>
      </c>
      <c r="R16" s="637">
        <v>3</v>
      </c>
      <c r="S16" s="637" t="s">
        <v>329</v>
      </c>
      <c r="T16" s="637" t="s">
        <v>329</v>
      </c>
      <c r="U16" s="637" t="s">
        <v>329</v>
      </c>
      <c r="V16" s="862">
        <f t="shared" si="1"/>
        <v>3</v>
      </c>
      <c r="W16" s="847">
        <f>IF(OR(Q16="NA",Q16="",V16="NA",V16=""),"NA",(1+(V16/Q16)^1.5*((1-Data!$D$75)/(1-Data!$D$18))^1.5*(Data!$D$71/Data!$D$14)^1.5*(Data!$D$73/Data!$D$72)*(1/(39.37*Data!$D$72))^0.25))</f>
        <v>6.1996103238863176</v>
      </c>
      <c r="X16" s="847">
        <f>IF(W16="NA","NA",0.15*Data!$D$71*(1-Data!$D$75)*V16*((13.12*Data!$D$73)^(0.112*LN(Data!$D$71*(1-Data!$D$75)*V16)+1.38))/(W16*Data!$D$81))</f>
        <v>130.77594412251659</v>
      </c>
      <c r="Y16" s="847">
        <f>IF(OR(W16="NA",W16="",Data!$D$91="NA",Data!$D$91=""),"NA",W16*Data!$D$91)</f>
        <v>11.086491029477838</v>
      </c>
      <c r="Z16" s="847">
        <f>IF(OR(W16="NA",W16="",Data!$D$91="NA",Data!$D$91=""),"NA",IF(Data!$D$68&lt;X16,W16*X16/Data!$D$68*Data!$D$91,W16*Data!$D$91))</f>
        <v>11.086491029477838</v>
      </c>
      <c r="AA16" s="853"/>
      <c r="AB16" s="292" t="s">
        <v>329</v>
      </c>
      <c r="AC16" s="292" t="s">
        <v>329</v>
      </c>
      <c r="AD16" s="292" t="s">
        <v>329</v>
      </c>
      <c r="AE16" s="287" t="s">
        <v>329</v>
      </c>
      <c r="AF16" s="287" t="s">
        <v>329</v>
      </c>
      <c r="AG16" s="288" t="s">
        <v>329</v>
      </c>
      <c r="AH16" s="786">
        <v>30</v>
      </c>
      <c r="AI16" s="881">
        <v>1.6</v>
      </c>
      <c r="AJ16" s="287" t="s">
        <v>329</v>
      </c>
      <c r="AK16" s="288" t="s">
        <v>329</v>
      </c>
      <c r="AL16" s="786"/>
      <c r="AM16" s="815">
        <v>750</v>
      </c>
      <c r="AN16" s="815"/>
      <c r="AO16" s="816"/>
      <c r="AP16" s="287" t="s">
        <v>329</v>
      </c>
      <c r="AQ16" s="689" t="s">
        <v>329</v>
      </c>
      <c r="AR16" s="292" t="s">
        <v>329</v>
      </c>
      <c r="AS16" s="288" t="s">
        <v>329</v>
      </c>
      <c r="AT16" s="785">
        <v>6.7</v>
      </c>
      <c r="AU16" s="927">
        <v>6.7</v>
      </c>
      <c r="AV16" s="874"/>
      <c r="AW16" s="663"/>
      <c r="AX16" s="663"/>
      <c r="AY16" s="663"/>
      <c r="AZ16" s="664"/>
    </row>
    <row r="17" spans="1:52" s="55" customFormat="1" x14ac:dyDescent="0.25">
      <c r="A17" s="307" t="s">
        <v>335</v>
      </c>
      <c r="B17" s="1018"/>
      <c r="C17" s="1019"/>
      <c r="D17" s="1020"/>
      <c r="E17" s="1021"/>
      <c r="F17" s="874"/>
      <c r="G17" s="1017"/>
      <c r="H17" s="1040">
        <f t="shared" si="0"/>
        <v>4.3</v>
      </c>
      <c r="I17" s="1041">
        <f t="shared" si="0"/>
        <v>2.2000000000000002</v>
      </c>
      <c r="J17" s="1041">
        <f t="shared" si="0"/>
        <v>2.2000000000000002</v>
      </c>
      <c r="K17" s="1041">
        <f t="shared" si="0"/>
        <v>5.0000000000000001E-4</v>
      </c>
      <c r="L17" s="1042">
        <f t="shared" si="0"/>
        <v>38</v>
      </c>
      <c r="M17" s="289">
        <v>112.41</v>
      </c>
      <c r="N17" s="1016" t="s">
        <v>328</v>
      </c>
      <c r="O17" s="645">
        <f>IF(M17="NA","NA",(IF(N17="NA","NA",((((28.97+M17)/(28.97*M17))^0.5)*(10^-3)*(Data!$D$50^1.75)/((2*(20.1^(1/3)))^2)))))</f>
        <v>0.16137745733002248</v>
      </c>
      <c r="P17" s="637" t="s">
        <v>329</v>
      </c>
      <c r="Q17" s="629">
        <v>60</v>
      </c>
      <c r="R17" s="629">
        <v>30</v>
      </c>
      <c r="S17" s="290">
        <f>0.05</f>
        <v>0.05</v>
      </c>
      <c r="T17" s="290">
        <v>0.5</v>
      </c>
      <c r="U17" s="847">
        <v>570000000</v>
      </c>
      <c r="V17" s="862">
        <f t="shared" si="1"/>
        <v>60</v>
      </c>
      <c r="W17" s="847">
        <f>IF(OR(Q17="NA",Q17="",V17="NA",V17=""),"NA",(1+(V17/Q17)^1.5*((1-Data!$D$75)/(1-Data!$D$18))^1.5*(Data!$D$71/Data!$D$14)^1.5*(Data!$D$73/Data!$D$72)*(1/(39.37*Data!$D$72))^0.25))</f>
        <v>6.1996103238863176</v>
      </c>
      <c r="X17" s="847">
        <f>IF(W17="NA","NA",0.15*Data!$D$71*(1-Data!$D$75)*V17*((13.12*Data!$D$73)^(0.112*LN(Data!$D$71*(1-Data!$D$75)*V17)+1.38))/(W17*Data!$D$81))</f>
        <v>10645.574321703813</v>
      </c>
      <c r="Y17" s="847">
        <f>IF(OR(W17="NA",W17="",Data!$D$91="NA",Data!$D$91=""),"NA",W17*Data!$D$91)</f>
        <v>11.086491029477838</v>
      </c>
      <c r="Z17" s="847">
        <f>IF(OR(W17="NA",W17="",Data!$D$91="NA",Data!$D$91=""),"NA",IF(Data!$D$68&lt;X17,W17*X17/Data!$D$68*Data!$D$91,W17*Data!$D$91))</f>
        <v>590.11032110604469</v>
      </c>
      <c r="AA17" s="853"/>
      <c r="AB17" s="718">
        <v>5</v>
      </c>
      <c r="AC17" s="718">
        <v>5</v>
      </c>
      <c r="AD17" s="785">
        <v>4.3</v>
      </c>
      <c r="AE17" s="813">
        <v>2.2000000000000002</v>
      </c>
      <c r="AF17" s="815">
        <v>42</v>
      </c>
      <c r="AG17" s="814">
        <v>9.3000000000000007</v>
      </c>
      <c r="AH17" s="785">
        <v>4.3</v>
      </c>
      <c r="AI17" s="827">
        <v>2.2000000000000002</v>
      </c>
      <c r="AJ17" s="815">
        <v>42</v>
      </c>
      <c r="AK17" s="814">
        <v>9.3000000000000007</v>
      </c>
      <c r="AL17" s="784">
        <v>4.3</v>
      </c>
      <c r="AM17" s="811">
        <v>2.2000000000000002</v>
      </c>
      <c r="AN17" s="815">
        <v>42</v>
      </c>
      <c r="AO17" s="814">
        <v>9.3000000000000007</v>
      </c>
      <c r="AP17" s="694">
        <v>5.0000000000000001E-4</v>
      </c>
      <c r="AQ17" s="689" t="s">
        <v>329</v>
      </c>
      <c r="AR17" s="922">
        <v>39</v>
      </c>
      <c r="AS17" s="288" t="s">
        <v>329</v>
      </c>
      <c r="AT17" s="786">
        <v>38</v>
      </c>
      <c r="AU17" s="926">
        <v>38</v>
      </c>
      <c r="AV17" s="874"/>
      <c r="AW17" s="663"/>
      <c r="AX17" s="663"/>
      <c r="AY17" s="663"/>
      <c r="AZ17" s="664"/>
    </row>
    <row r="18" spans="1:52" s="55" customFormat="1" x14ac:dyDescent="0.25">
      <c r="A18" s="307" t="s">
        <v>336</v>
      </c>
      <c r="B18" s="1018"/>
      <c r="C18" s="1019"/>
      <c r="D18" s="1019"/>
      <c r="E18" s="1021"/>
      <c r="F18" s="874"/>
      <c r="G18" s="1017"/>
      <c r="H18" s="1040">
        <f t="shared" si="0"/>
        <v>570</v>
      </c>
      <c r="I18" s="1041">
        <f t="shared" si="0"/>
        <v>74</v>
      </c>
      <c r="J18" s="1041">
        <f t="shared" si="0"/>
        <v>74</v>
      </c>
      <c r="K18" s="1041">
        <f t="shared" si="0"/>
        <v>5.7000000000000005E-7</v>
      </c>
      <c r="L18" s="1042">
        <f t="shared" si="0"/>
        <v>190000</v>
      </c>
      <c r="M18" s="289">
        <v>52</v>
      </c>
      <c r="N18" s="1016" t="s">
        <v>328</v>
      </c>
      <c r="O18" s="645">
        <f>IF(M18="NA","NA",(IF(N18="NA","NA",((((28.97+M18)/(28.97*M18))^0.5)*(10^-3)*(Data!$D$50^1.75)/((2*(20.1^(1/3)))^2)))))</f>
        <v>0.17956089089141483</v>
      </c>
      <c r="P18" s="637" t="s">
        <v>329</v>
      </c>
      <c r="Q18" s="629">
        <v>200</v>
      </c>
      <c r="R18" s="629">
        <v>120.595</v>
      </c>
      <c r="S18" s="290">
        <v>6.0000000000000001E-3</v>
      </c>
      <c r="T18" s="290">
        <v>0.01</v>
      </c>
      <c r="U18" s="847">
        <v>1000000000</v>
      </c>
      <c r="V18" s="862">
        <f t="shared" si="1"/>
        <v>200</v>
      </c>
      <c r="W18" s="847">
        <f>IF(OR(Q18="NA",Q18="",V18="NA",V18=""),"NA",(1+(V18/Q18)^1.5*((1-Data!$D$75)/(1-Data!$D$18))^1.5*(Data!$D$71/Data!$D$14)^1.5*(Data!$D$73/Data!$D$72)*(1/(39.37*Data!$D$72))^0.25))</f>
        <v>6.1996103238863176</v>
      </c>
      <c r="X18" s="847">
        <f>IF(W18="NA","NA",0.15*Data!$D$71*(1-Data!$D$75)*V18*((13.12*Data!$D$73)^(0.112*LN(Data!$D$71*(1-Data!$D$75)*V18)+1.38))/(W18*Data!$D$81))</f>
        <v>62380.400163745231</v>
      </c>
      <c r="Y18" s="847">
        <f>IF(OR(W18="NA",W18="",Data!$D$91="NA",Data!$D$91=""),"NA",W18*Data!$D$91)</f>
        <v>11.086491029477838</v>
      </c>
      <c r="Z18" s="847">
        <f>IF(OR(W18="NA",W18="",Data!$D$91="NA",Data!$D$91=""),"NA",IF(Data!$D$68&lt;X18,W18*X18/Data!$D$68*Data!$D$91,W18*Data!$D$91))</f>
        <v>3457.8987341529969</v>
      </c>
      <c r="AA18" s="853"/>
      <c r="AB18" s="718">
        <v>100</v>
      </c>
      <c r="AC18" s="718">
        <v>100</v>
      </c>
      <c r="AD18" s="786">
        <v>570</v>
      </c>
      <c r="AE18" s="815">
        <v>74</v>
      </c>
      <c r="AF18" s="287" t="s">
        <v>329</v>
      </c>
      <c r="AG18" s="288" t="s">
        <v>329</v>
      </c>
      <c r="AH18" s="786">
        <v>570</v>
      </c>
      <c r="AI18" s="828">
        <v>74</v>
      </c>
      <c r="AJ18" s="287" t="s">
        <v>329</v>
      </c>
      <c r="AK18" s="288" t="s">
        <v>329</v>
      </c>
      <c r="AL18" s="784">
        <v>570</v>
      </c>
      <c r="AM18" s="811">
        <v>74</v>
      </c>
      <c r="AN18" s="815">
        <v>1030</v>
      </c>
      <c r="AO18" s="816">
        <v>103</v>
      </c>
      <c r="AP18" s="829">
        <v>5.7000000000000005E-7</v>
      </c>
      <c r="AQ18" s="689" t="s">
        <v>329</v>
      </c>
      <c r="AR18" s="922">
        <v>3000</v>
      </c>
      <c r="AS18" s="923">
        <v>600</v>
      </c>
      <c r="AT18" s="786">
        <v>190000</v>
      </c>
      <c r="AU18" s="926">
        <v>190000</v>
      </c>
      <c r="AV18" s="874"/>
      <c r="AW18" s="663"/>
      <c r="AX18" s="663"/>
      <c r="AY18" s="663"/>
      <c r="AZ18" s="664"/>
    </row>
    <row r="19" spans="1:52" s="55" customFormat="1" x14ac:dyDescent="0.25">
      <c r="A19" s="307" t="s">
        <v>337</v>
      </c>
      <c r="B19" s="1018"/>
      <c r="C19" s="1019"/>
      <c r="D19" s="1019"/>
      <c r="E19" s="1021"/>
      <c r="F19" s="874"/>
      <c r="G19" s="1017"/>
      <c r="H19" s="1040">
        <f t="shared" si="0"/>
        <v>16</v>
      </c>
      <c r="I19" s="1041">
        <f t="shared" si="0"/>
        <v>11</v>
      </c>
      <c r="J19" s="1041">
        <f t="shared" si="0"/>
        <v>11</v>
      </c>
      <c r="K19" s="1041">
        <f t="shared" si="0"/>
        <v>5.7000000000000005E-7</v>
      </c>
      <c r="L19" s="1042">
        <f t="shared" si="0"/>
        <v>94</v>
      </c>
      <c r="M19" s="289">
        <v>52</v>
      </c>
      <c r="N19" s="1016" t="s">
        <v>328</v>
      </c>
      <c r="O19" s="645">
        <f>IF(M19="NA","NA",(IF(N19="NA","NA",((((28.97+M19)/(28.97*M19))^0.5)*(10^-3)*(Data!$D$50^1.75)/((2*(20.1^(1/3)))^2)))))</f>
        <v>0.17956089089141483</v>
      </c>
      <c r="P19" s="637" t="s">
        <v>329</v>
      </c>
      <c r="Q19" s="629">
        <v>200</v>
      </c>
      <c r="R19" s="629">
        <v>120.595</v>
      </c>
      <c r="S19" s="290">
        <v>6.0000000000000001E-3</v>
      </c>
      <c r="T19" s="290">
        <v>0.01</v>
      </c>
      <c r="U19" s="847">
        <v>1000000000</v>
      </c>
      <c r="V19" s="862">
        <f t="shared" si="1"/>
        <v>200</v>
      </c>
      <c r="W19" s="847">
        <f>IF(OR(Q19="NA",Q19="",V19="NA",V19=""),"NA",(1+(V19/Q19)^1.5*((1-Data!$D$75)/(1-Data!$D$18))^1.5*(Data!$D$71/Data!$D$14)^1.5*(Data!$D$73/Data!$D$72)*(1/(39.37*Data!$D$72))^0.25))</f>
        <v>6.1996103238863176</v>
      </c>
      <c r="X19" s="847">
        <f>IF(W19="NA","NA",0.15*Data!$D$71*(1-Data!$D$75)*V19*((13.12*Data!$D$73)^(0.112*LN(Data!$D$71*(1-Data!$D$75)*V19)+1.38))/(W19*Data!$D$81))</f>
        <v>62380.400163745231</v>
      </c>
      <c r="Y19" s="847">
        <f>IF(OR(W19="NA",W19="",Data!$D$91="NA",Data!$D$91=""),"NA",W19*Data!$D$91)</f>
        <v>11.086491029477838</v>
      </c>
      <c r="Z19" s="847">
        <f>IF(OR(W19="NA",W19="",Data!$D$91="NA",Data!$D$91=""),"NA",IF(Data!$D$68&lt;X19,W19*X19/Data!$D$68*Data!$D$91,W19*Data!$D$91))</f>
        <v>3457.8987341529969</v>
      </c>
      <c r="AA19" s="853"/>
      <c r="AB19" s="718">
        <v>100</v>
      </c>
      <c r="AC19" s="718">
        <v>100</v>
      </c>
      <c r="AD19" s="786">
        <v>16</v>
      </c>
      <c r="AE19" s="815">
        <v>11</v>
      </c>
      <c r="AF19" s="815">
        <v>1100</v>
      </c>
      <c r="AG19" s="816">
        <v>50</v>
      </c>
      <c r="AH19" s="786">
        <v>16</v>
      </c>
      <c r="AI19" s="828">
        <v>11</v>
      </c>
      <c r="AJ19" s="815">
        <v>1100</v>
      </c>
      <c r="AK19" s="816">
        <v>50</v>
      </c>
      <c r="AL19" s="786">
        <v>16</v>
      </c>
      <c r="AM19" s="815">
        <v>11</v>
      </c>
      <c r="AN19" s="815">
        <v>1100</v>
      </c>
      <c r="AO19" s="816">
        <v>50</v>
      </c>
      <c r="AP19" s="829">
        <v>5.7000000000000005E-7</v>
      </c>
      <c r="AQ19" s="689" t="s">
        <v>329</v>
      </c>
      <c r="AR19" s="292" t="s">
        <v>329</v>
      </c>
      <c r="AS19" s="288" t="s">
        <v>329</v>
      </c>
      <c r="AT19" s="786">
        <v>94</v>
      </c>
      <c r="AU19" s="926">
        <v>190</v>
      </c>
      <c r="AV19" s="874"/>
      <c r="AW19" s="663"/>
      <c r="AX19" s="663"/>
      <c r="AY19" s="663"/>
      <c r="AZ19" s="664"/>
    </row>
    <row r="20" spans="1:52" s="55" customFormat="1" x14ac:dyDescent="0.25">
      <c r="A20" s="307" t="s">
        <v>338</v>
      </c>
      <c r="B20" s="1018"/>
      <c r="C20" s="1019"/>
      <c r="D20" s="1020"/>
      <c r="E20" s="1021"/>
      <c r="F20" s="874"/>
      <c r="G20" s="1017"/>
      <c r="H20" s="1040">
        <f t="shared" si="0"/>
        <v>1500</v>
      </c>
      <c r="I20" s="1041">
        <f t="shared" si="0"/>
        <v>23</v>
      </c>
      <c r="J20" s="1041">
        <f t="shared" si="0"/>
        <v>23</v>
      </c>
      <c r="K20" s="1041" t="str">
        <f t="shared" si="0"/>
        <v>NA</v>
      </c>
      <c r="L20" s="1042">
        <f t="shared" si="0"/>
        <v>8.1</v>
      </c>
      <c r="M20" s="289">
        <v>58.93</v>
      </c>
      <c r="N20" s="1016" t="s">
        <v>328</v>
      </c>
      <c r="O20" s="645">
        <f>IF(M20="NA","NA",(IF(N20="NA","NA",((((28.97+M20)/(28.97*M20))^0.5)*(10^-3)*(Data!$D$50^1.75)/((2*(20.1^(1/3)))^2)))))</f>
        <v>0.17574281181346327</v>
      </c>
      <c r="P20" s="637" t="s">
        <v>329</v>
      </c>
      <c r="Q20" s="637">
        <v>800</v>
      </c>
      <c r="R20" s="629">
        <v>80</v>
      </c>
      <c r="S20" s="290">
        <v>1</v>
      </c>
      <c r="T20" s="290">
        <f>IF(S20= "NA", "NA", S20)</f>
        <v>1</v>
      </c>
      <c r="U20" s="847">
        <v>540000000</v>
      </c>
      <c r="V20" s="862">
        <f t="shared" si="1"/>
        <v>800</v>
      </c>
      <c r="W20" s="847">
        <f>IF(OR(Q20="NA",Q20="",V20="NA",V20=""),"NA",(1+(V20/Q20)^1.5*((1-Data!$D$75)/(1-Data!$D$18))^1.5*(Data!$D$71/Data!$D$14)^1.5*(Data!$D$73/Data!$D$72)*(1/(39.37*Data!$D$72))^0.25))</f>
        <v>6.1996103238863176</v>
      </c>
      <c r="X20" s="847">
        <f>IF(W20="NA","NA",0.15*Data!$D$71*(1-Data!$D$75)*V20*((13.12*Data!$D$73)^(0.112*LN(Data!$D$71*(1-Data!$D$75)*V20)+1.38))/(W20*Data!$D$81))</f>
        <v>477759.86684137449</v>
      </c>
      <c r="Y20" s="847">
        <f>IF(OR(W20="NA",W20="",Data!$D$91="NA",Data!$D$91=""),"NA",W20*Data!$D$91)</f>
        <v>11.086491029477838</v>
      </c>
      <c r="Z20" s="847">
        <f>IF(OR(W20="NA",W20="",Data!$D$91="NA",Data!$D$91=""),"NA",IF(Data!$D$68&lt;X20,W20*X20/Data!$D$68*Data!$D$91,W20*Data!$D$91))</f>
        <v>26483.402389907125</v>
      </c>
      <c r="AA20" s="853"/>
      <c r="AB20" s="292" t="s">
        <v>329</v>
      </c>
      <c r="AC20" s="292" t="s">
        <v>329</v>
      </c>
      <c r="AD20" s="292" t="s">
        <v>329</v>
      </c>
      <c r="AE20" s="287" t="s">
        <v>329</v>
      </c>
      <c r="AF20" s="287" t="s">
        <v>329</v>
      </c>
      <c r="AG20" s="288" t="s">
        <v>329</v>
      </c>
      <c r="AH20" s="786">
        <v>1500</v>
      </c>
      <c r="AI20" s="883">
        <v>23</v>
      </c>
      <c r="AJ20" s="287" t="s">
        <v>329</v>
      </c>
      <c r="AK20" s="288" t="s">
        <v>329</v>
      </c>
      <c r="AL20" s="786"/>
      <c r="AM20" s="815"/>
      <c r="AN20" s="815"/>
      <c r="AO20" s="816"/>
      <c r="AP20" s="287" t="s">
        <v>329</v>
      </c>
      <c r="AQ20" s="689" t="s">
        <v>329</v>
      </c>
      <c r="AR20" s="292" t="s">
        <v>329</v>
      </c>
      <c r="AS20" s="288" t="s">
        <v>329</v>
      </c>
      <c r="AT20" s="785">
        <v>8.1</v>
      </c>
      <c r="AU20" s="926">
        <v>22</v>
      </c>
      <c r="AV20" s="874"/>
      <c r="AW20" s="663"/>
      <c r="AX20" s="663"/>
      <c r="AY20" s="663"/>
      <c r="AZ20" s="664"/>
    </row>
    <row r="21" spans="1:52" s="55" customFormat="1" x14ac:dyDescent="0.25">
      <c r="A21" s="307" t="s">
        <v>339</v>
      </c>
      <c r="B21" s="1018"/>
      <c r="C21" s="1019"/>
      <c r="D21" s="1020"/>
      <c r="E21" s="1021"/>
      <c r="F21" s="874"/>
      <c r="G21" s="1017"/>
      <c r="H21" s="1040">
        <f t="shared" ref="H21:L30" si="2">IF(INDEX($AB$11:$AZ$310,,H$7)=0,"NA",INDEX($AB$11:$AZ$310,,H$7))</f>
        <v>13</v>
      </c>
      <c r="I21" s="1041">
        <f t="shared" si="2"/>
        <v>9</v>
      </c>
      <c r="J21" s="1041">
        <f t="shared" si="2"/>
        <v>9</v>
      </c>
      <c r="K21" s="1041" t="str">
        <f t="shared" si="2"/>
        <v>NA</v>
      </c>
      <c r="L21" s="1042">
        <f t="shared" si="2"/>
        <v>8200</v>
      </c>
      <c r="M21" s="289">
        <v>63.55</v>
      </c>
      <c r="N21" s="1016" t="s">
        <v>328</v>
      </c>
      <c r="O21" s="645">
        <f>IF(M21="NA","NA",(IF(N21="NA","NA",((((28.97+M21)/(28.97*M21))^0.5)*(10^-3)*(Data!$D$50^1.75)/((2*(20.1^(1/3)))^2)))))</f>
        <v>0.17362465199636934</v>
      </c>
      <c r="P21" s="637" t="s">
        <v>329</v>
      </c>
      <c r="Q21" s="629">
        <v>120</v>
      </c>
      <c r="R21" s="629">
        <v>8.4990000000000006</v>
      </c>
      <c r="S21" s="290">
        <v>0.03</v>
      </c>
      <c r="T21" s="290">
        <v>0.15</v>
      </c>
      <c r="U21" s="847">
        <v>2600</v>
      </c>
      <c r="V21" s="862">
        <f t="shared" si="1"/>
        <v>120</v>
      </c>
      <c r="W21" s="847">
        <f>IF(OR(Q21="NA",Q21="",V21="NA",V21=""),"NA",(1+(V21/Q21)^1.5*((1-Data!$D$75)/(1-Data!$D$18))^1.5*(Data!$D$71/Data!$D$14)^1.5*(Data!$D$73/Data!$D$72)*(1/(39.37*Data!$D$72))^0.25))</f>
        <v>6.1996103238863176</v>
      </c>
      <c r="X21" s="847">
        <f>IF(W21="NA","NA",0.15*Data!$D$71*(1-Data!$D$75)*V21*((13.12*Data!$D$73)^(0.112*LN(Data!$D$71*(1-Data!$D$75)*V21)+1.38))/(W21*Data!$D$81))</f>
        <v>29461.160536989541</v>
      </c>
      <c r="Y21" s="847">
        <f>IF(OR(W21="NA",W21="",Data!$D$91="NA",Data!$D$91=""),"NA",W21*Data!$D$91)</f>
        <v>11.086491029477838</v>
      </c>
      <c r="Z21" s="847">
        <f>IF(OR(W21="NA",W21="",Data!$D$91="NA",Data!$D$91=""),"NA",IF(Data!$D$68&lt;X21,W21*X21/Data!$D$68*Data!$D$91,W21*Data!$D$91))</f>
        <v>1633.1044600567052</v>
      </c>
      <c r="AA21" s="853"/>
      <c r="AB21" s="718">
        <v>1300</v>
      </c>
      <c r="AC21" s="718">
        <v>1000</v>
      </c>
      <c r="AD21" s="786">
        <v>13</v>
      </c>
      <c r="AE21" s="815">
        <v>9</v>
      </c>
      <c r="AF21" s="813">
        <v>4.8</v>
      </c>
      <c r="AG21" s="814">
        <v>3.1</v>
      </c>
      <c r="AH21" s="786">
        <v>13</v>
      </c>
      <c r="AI21" s="828">
        <v>9</v>
      </c>
      <c r="AJ21" s="813">
        <v>4.8</v>
      </c>
      <c r="AK21" s="814">
        <v>3.1</v>
      </c>
      <c r="AL21" s="784">
        <v>13</v>
      </c>
      <c r="AM21" s="811">
        <v>9</v>
      </c>
      <c r="AN21" s="813">
        <v>4.8</v>
      </c>
      <c r="AO21" s="814">
        <v>3.1</v>
      </c>
      <c r="AP21" s="287" t="s">
        <v>329</v>
      </c>
      <c r="AQ21" s="689" t="s">
        <v>329</v>
      </c>
      <c r="AR21" s="292" t="s">
        <v>329</v>
      </c>
      <c r="AS21" s="288" t="s">
        <v>329</v>
      </c>
      <c r="AT21" s="786">
        <v>8200</v>
      </c>
      <c r="AU21" s="926">
        <v>36000</v>
      </c>
      <c r="AV21" s="874"/>
      <c r="AW21" s="663"/>
      <c r="AX21" s="663"/>
      <c r="AY21" s="663"/>
      <c r="AZ21" s="664"/>
    </row>
    <row r="22" spans="1:52" s="55" customFormat="1" x14ac:dyDescent="0.25">
      <c r="A22" s="307" t="s">
        <v>340</v>
      </c>
      <c r="B22" s="1018"/>
      <c r="C22" s="1019"/>
      <c r="D22" s="1020"/>
      <c r="E22" s="1021"/>
      <c r="F22" s="874"/>
      <c r="G22" s="1017"/>
      <c r="H22" s="1040" t="str">
        <f t="shared" si="2"/>
        <v>NA</v>
      </c>
      <c r="I22" s="1041">
        <f t="shared" si="2"/>
        <v>1000</v>
      </c>
      <c r="J22" s="1041">
        <f t="shared" si="2"/>
        <v>1000</v>
      </c>
      <c r="K22" s="1041" t="str">
        <f t="shared" si="2"/>
        <v>NA</v>
      </c>
      <c r="L22" s="1042">
        <f t="shared" si="2"/>
        <v>190000</v>
      </c>
      <c r="M22" s="289">
        <v>55.847000000000001</v>
      </c>
      <c r="N22" s="1016" t="s">
        <v>328</v>
      </c>
      <c r="O22" s="645">
        <f>IF(M22="NA","NA",(IF(N22="NA","NA",((((28.97+M22)/(28.97*M22))^0.5)*(10^-3)*(Data!$D$50^1.75)/((2*(20.1^(1/3)))^2)))))</f>
        <v>0.17733435637490885</v>
      </c>
      <c r="P22" s="637" t="s">
        <v>329</v>
      </c>
      <c r="Q22" s="637">
        <f>R22</f>
        <v>25</v>
      </c>
      <c r="R22" s="637">
        <v>25</v>
      </c>
      <c r="S22" s="637" t="s">
        <v>329</v>
      </c>
      <c r="T22" s="637" t="s">
        <v>329</v>
      </c>
      <c r="U22" s="847">
        <v>624000000</v>
      </c>
      <c r="V22" s="862">
        <f t="shared" si="1"/>
        <v>25</v>
      </c>
      <c r="W22" s="847">
        <f>IF(OR(Q22="NA",Q22="",V22="NA",V22=""),"NA",(1+(V22/Q22)^1.5*((1-Data!$D$75)/(1-Data!$D$18))^1.5*(Data!$D$71/Data!$D$14)^1.5*(Data!$D$73/Data!$D$72)*(1/(39.37*Data!$D$72))^0.25))</f>
        <v>6.1996103238863176</v>
      </c>
      <c r="X22" s="847">
        <f>IF(W22="NA","NA",0.15*Data!$D$71*(1-Data!$D$75)*V22*((13.12*Data!$D$73)^(0.112*LN(Data!$D$71*(1-Data!$D$75)*V22)+1.38))/(W22*Data!$D$81))</f>
        <v>2943.1059279320898</v>
      </c>
      <c r="Y22" s="847">
        <f>IF(OR(W22="NA",W22="",Data!$D$91="NA",Data!$D$91=""),"NA",W22*Data!$D$91)</f>
        <v>11.086491029477838</v>
      </c>
      <c r="Z22" s="847">
        <f>IF(OR(W22="NA",W22="",Data!$D$91="NA",Data!$D$91=""),"NA",IF(Data!$D$68&lt;X22,W22*X22/Data!$D$68*Data!$D$91,W22*Data!$D$91))</f>
        <v>163.14358734411081</v>
      </c>
      <c r="AA22" s="853"/>
      <c r="AB22" s="292" t="s">
        <v>329</v>
      </c>
      <c r="AC22" s="786">
        <v>300</v>
      </c>
      <c r="AD22" s="292" t="s">
        <v>329</v>
      </c>
      <c r="AE22" s="815">
        <v>1000</v>
      </c>
      <c r="AF22" s="287" t="s">
        <v>329</v>
      </c>
      <c r="AG22" s="288" t="s">
        <v>329</v>
      </c>
      <c r="AH22" s="292" t="s">
        <v>329</v>
      </c>
      <c r="AI22" s="828">
        <v>1000</v>
      </c>
      <c r="AJ22" s="287" t="s">
        <v>329</v>
      </c>
      <c r="AK22" s="288" t="s">
        <v>329</v>
      </c>
      <c r="AL22" s="786"/>
      <c r="AM22" s="815">
        <v>1000</v>
      </c>
      <c r="AN22" s="815"/>
      <c r="AO22" s="816"/>
      <c r="AP22" s="287" t="s">
        <v>329</v>
      </c>
      <c r="AQ22" s="689" t="s">
        <v>329</v>
      </c>
      <c r="AR22" s="292" t="s">
        <v>329</v>
      </c>
      <c r="AS22" s="288" t="s">
        <v>329</v>
      </c>
      <c r="AT22" s="786">
        <v>190000</v>
      </c>
      <c r="AU22" s="926">
        <v>190000</v>
      </c>
      <c r="AV22" s="874"/>
      <c r="AW22" s="663"/>
      <c r="AX22" s="663"/>
      <c r="AY22" s="663"/>
      <c r="AZ22" s="664"/>
    </row>
    <row r="23" spans="1:52" s="55" customFormat="1" x14ac:dyDescent="0.25">
      <c r="A23" s="307" t="s">
        <v>341</v>
      </c>
      <c r="B23" s="1018"/>
      <c r="C23" s="1019"/>
      <c r="D23" s="1020"/>
      <c r="E23" s="1021"/>
      <c r="F23" s="874"/>
      <c r="G23" s="1017"/>
      <c r="H23" s="1040">
        <f t="shared" si="2"/>
        <v>65</v>
      </c>
      <c r="I23" s="1041">
        <f t="shared" si="2"/>
        <v>2.5</v>
      </c>
      <c r="J23" s="1041">
        <f t="shared" si="2"/>
        <v>2.5</v>
      </c>
      <c r="K23" s="1041" t="str">
        <f t="shared" si="2"/>
        <v>NA</v>
      </c>
      <c r="L23" s="1042">
        <f t="shared" si="2"/>
        <v>450</v>
      </c>
      <c r="M23" s="289">
        <v>207.2</v>
      </c>
      <c r="N23" s="1016" t="s">
        <v>328</v>
      </c>
      <c r="O23" s="645">
        <f>IF(M23="NA","NA",(IF(N23="NA","NA",((((28.97+M23)/(28.97*M23))^0.5)*(10^-3)*(Data!$D$50^1.75)/((2*(20.1^(1/3)))^2)))))</f>
        <v>0.15362745742569633</v>
      </c>
      <c r="P23" s="637" t="s">
        <v>329</v>
      </c>
      <c r="Q23" s="629">
        <v>300</v>
      </c>
      <c r="R23" s="629">
        <v>300</v>
      </c>
      <c r="S23" s="290">
        <f>0.05</f>
        <v>0.05</v>
      </c>
      <c r="T23" s="290">
        <v>0.05</v>
      </c>
      <c r="U23" s="847">
        <v>625000000</v>
      </c>
      <c r="V23" s="862">
        <f t="shared" si="1"/>
        <v>300</v>
      </c>
      <c r="W23" s="847">
        <f>IF(OR(Q23="NA",Q23="",V23="NA",V23=""),"NA",(1+(V23/Q23)^1.5*((1-Data!$D$75)/(1-Data!$D$18))^1.5*(Data!$D$71/Data!$D$14)^1.5*(Data!$D$73/Data!$D$72)*(1/(39.37*Data!$D$72))^0.25))</f>
        <v>6.1996103238863176</v>
      </c>
      <c r="X23" s="847">
        <f>IF(W23="NA","NA",0.15*Data!$D$71*(1-Data!$D$75)*V23*((13.12*Data!$D$73)^(0.112*LN(Data!$D$71*(1-Data!$D$75)*V23)+1.38))/(W23*Data!$D$81))</f>
        <v>113148.50495553871</v>
      </c>
      <c r="Y23" s="847">
        <f>IF(OR(W23="NA",W23="",Data!$D$91="NA",Data!$D$91=""),"NA",W23*Data!$D$91)</f>
        <v>11.086491029477838</v>
      </c>
      <c r="Z23" s="847">
        <f>IF(OR(W23="NA",W23="",Data!$D$91="NA",Data!$D$91=""),"NA",IF(Data!$D$68&lt;X23,W23*X23/Data!$D$68*Data!$D$91,W23*Data!$D$91))</f>
        <v>6272.0994259420431</v>
      </c>
      <c r="AA23" s="853"/>
      <c r="AB23" s="718">
        <v>15</v>
      </c>
      <c r="AC23" s="718">
        <v>15</v>
      </c>
      <c r="AD23" s="786">
        <v>65</v>
      </c>
      <c r="AE23" s="813">
        <v>2.5</v>
      </c>
      <c r="AF23" s="815">
        <v>210</v>
      </c>
      <c r="AG23" s="814">
        <v>8.1</v>
      </c>
      <c r="AH23" s="786">
        <v>65</v>
      </c>
      <c r="AI23" s="827">
        <v>2.5</v>
      </c>
      <c r="AJ23" s="815">
        <v>210</v>
      </c>
      <c r="AK23" s="814">
        <v>8.1</v>
      </c>
      <c r="AL23" s="784">
        <v>65</v>
      </c>
      <c r="AM23" s="811">
        <v>2.5</v>
      </c>
      <c r="AN23" s="815">
        <v>210</v>
      </c>
      <c r="AO23" s="814">
        <v>8.1</v>
      </c>
      <c r="AP23" s="287" t="s">
        <v>329</v>
      </c>
      <c r="AQ23" s="689" t="s">
        <v>329</v>
      </c>
      <c r="AR23" s="922">
        <v>300</v>
      </c>
      <c r="AS23" s="923">
        <v>46000</v>
      </c>
      <c r="AT23" s="786">
        <v>450</v>
      </c>
      <c r="AU23" s="926">
        <v>450</v>
      </c>
      <c r="AV23" s="874"/>
      <c r="AW23" s="663"/>
      <c r="AX23" s="663"/>
      <c r="AY23" s="663"/>
      <c r="AZ23" s="664"/>
    </row>
    <row r="24" spans="1:52" s="55" customFormat="1" x14ac:dyDescent="0.25">
      <c r="A24" s="307" t="s">
        <v>342</v>
      </c>
      <c r="B24" s="1018"/>
      <c r="C24" s="1019"/>
      <c r="D24" s="1022"/>
      <c r="E24" s="1021"/>
      <c r="F24" s="874"/>
      <c r="G24" s="1017"/>
      <c r="H24" s="1040">
        <f t="shared" si="2"/>
        <v>260</v>
      </c>
      <c r="I24" s="1041">
        <f t="shared" si="2"/>
        <v>14</v>
      </c>
      <c r="J24" s="1041">
        <f t="shared" si="2"/>
        <v>14</v>
      </c>
      <c r="K24" s="1041" t="str">
        <f t="shared" si="2"/>
        <v>NA</v>
      </c>
      <c r="L24" s="1042" t="str">
        <f t="shared" si="2"/>
        <v>NA</v>
      </c>
      <c r="M24" s="289">
        <v>6.9409999999999998</v>
      </c>
      <c r="N24" s="1016" t="s">
        <v>328</v>
      </c>
      <c r="O24" s="645">
        <f>IF(M24="NA","NA",(IF(N24="NA","NA",((((28.97+M24)/(28.97*M24))^0.5)*(10^-3)*(Data!$D$50^1.75)/((2*(20.1^(1/3)))^2)))))</f>
        <v>0.3273060861364096</v>
      </c>
      <c r="P24" s="637" t="s">
        <v>329</v>
      </c>
      <c r="Q24" s="637">
        <f>R24</f>
        <v>300</v>
      </c>
      <c r="R24" s="637">
        <v>300</v>
      </c>
      <c r="S24" s="637" t="s">
        <v>329</v>
      </c>
      <c r="T24" s="637" t="s">
        <v>329</v>
      </c>
      <c r="U24" s="847">
        <v>176000000</v>
      </c>
      <c r="V24" s="862">
        <f t="shared" si="1"/>
        <v>300</v>
      </c>
      <c r="W24" s="847">
        <f>IF(OR(Q24="NA",Q24="",V24="NA",V24=""),"NA",(1+(V24/Q24)^1.5*((1-Data!$D$75)/(1-Data!$D$18))^1.5*(Data!$D$71/Data!$D$14)^1.5*(Data!$D$73/Data!$D$72)*(1/(39.37*Data!$D$72))^0.25))</f>
        <v>6.1996103238863176</v>
      </c>
      <c r="X24" s="847">
        <f>IF(W24="NA","NA",0.15*Data!$D$71*(1-Data!$D$75)*V24*((13.12*Data!$D$73)^(0.112*LN(Data!$D$71*(1-Data!$D$75)*V24)+1.38))/(W24*Data!$D$81))</f>
        <v>113148.50495553871</v>
      </c>
      <c r="Y24" s="847">
        <f>IF(OR(W24="NA",W24="",Data!$D$91="NA",Data!$D$91=""),"NA",W24*Data!$D$91)</f>
        <v>11.086491029477838</v>
      </c>
      <c r="Z24" s="847">
        <f>IF(OR(W24="NA",W24="",Data!$D$91="NA",Data!$D$91=""),"NA",IF(Data!$D$68&lt;X24,W24*X24/Data!$D$68*Data!$D$91,W24*Data!$D$91))</f>
        <v>6272.0994259420431</v>
      </c>
      <c r="AA24" s="853"/>
      <c r="AB24" s="292" t="s">
        <v>329</v>
      </c>
      <c r="AC24" s="292" t="s">
        <v>329</v>
      </c>
      <c r="AD24" s="292" t="s">
        <v>329</v>
      </c>
      <c r="AE24" s="287" t="s">
        <v>329</v>
      </c>
      <c r="AF24" s="287" t="s">
        <v>329</v>
      </c>
      <c r="AG24" s="288" t="s">
        <v>329</v>
      </c>
      <c r="AH24" s="786">
        <v>260</v>
      </c>
      <c r="AI24" s="883">
        <v>14</v>
      </c>
      <c r="AJ24" s="287" t="s">
        <v>329</v>
      </c>
      <c r="AK24" s="288" t="s">
        <v>329</v>
      </c>
      <c r="AL24" s="786"/>
      <c r="AM24" s="815"/>
      <c r="AN24" s="815"/>
      <c r="AO24" s="816"/>
      <c r="AP24" s="287" t="s">
        <v>329</v>
      </c>
      <c r="AQ24" s="689" t="s">
        <v>329</v>
      </c>
      <c r="AR24" s="292" t="s">
        <v>329</v>
      </c>
      <c r="AS24" s="288" t="s">
        <v>329</v>
      </c>
      <c r="AT24" s="292" t="s">
        <v>329</v>
      </c>
      <c r="AU24" s="288" t="s">
        <v>329</v>
      </c>
      <c r="AV24" s="874"/>
      <c r="AW24" s="663"/>
      <c r="AX24" s="663"/>
      <c r="AY24" s="663"/>
      <c r="AZ24" s="664"/>
    </row>
    <row r="25" spans="1:52" s="55" customFormat="1" x14ac:dyDescent="0.25">
      <c r="A25" s="307" t="s">
        <v>343</v>
      </c>
      <c r="B25" s="1018"/>
      <c r="C25" s="1019"/>
      <c r="D25" s="1022"/>
      <c r="E25" s="1021"/>
      <c r="F25" s="874"/>
      <c r="G25" s="1017"/>
      <c r="H25" s="1040">
        <f t="shared" si="2"/>
        <v>2300</v>
      </c>
      <c r="I25" s="1041">
        <f t="shared" si="2"/>
        <v>120</v>
      </c>
      <c r="J25" s="1041">
        <f t="shared" si="2"/>
        <v>120</v>
      </c>
      <c r="K25" s="1041" t="str">
        <f t="shared" si="2"/>
        <v>NA</v>
      </c>
      <c r="L25" s="1042">
        <f t="shared" si="2"/>
        <v>31000</v>
      </c>
      <c r="M25" s="289">
        <v>54.938000000000002</v>
      </c>
      <c r="N25" s="1016" t="s">
        <v>328</v>
      </c>
      <c r="O25" s="645">
        <f>IF(M25="NA","NA",(IF(N25="NA","NA",((((28.97+M25)/(28.97*M25))^0.5)*(10^-3)*(Data!$D$50^1.75)/((2*(20.1^(1/3)))^2)))))</f>
        <v>0.17783474475496072</v>
      </c>
      <c r="P25" s="637" t="s">
        <v>329</v>
      </c>
      <c r="Q25" s="637">
        <f>R25</f>
        <v>65</v>
      </c>
      <c r="R25" s="637">
        <v>65</v>
      </c>
      <c r="S25" s="637" t="s">
        <v>329</v>
      </c>
      <c r="T25" s="637" t="s">
        <v>329</v>
      </c>
      <c r="U25" s="637" t="s">
        <v>329</v>
      </c>
      <c r="V25" s="862">
        <f t="shared" si="1"/>
        <v>65</v>
      </c>
      <c r="W25" s="847">
        <f>IF(OR(Q25="NA",Q25="",V25="NA",V25=""),"NA",(1+(V25/Q25)^1.5*((1-Data!$D$75)/(1-Data!$D$18))^1.5*(Data!$D$71/Data!$D$14)^1.5*(Data!$D$73/Data!$D$72)*(1/(39.37*Data!$D$72))^0.25))</f>
        <v>6.1996103238863176</v>
      </c>
      <c r="X25" s="847">
        <f>IF(W25="NA","NA",0.15*Data!$D$71*(1-Data!$D$75)*V25*((13.12*Data!$D$73)^(0.112*LN(Data!$D$71*(1-Data!$D$75)*V25)+1.38))/(W25*Data!$D$81))</f>
        <v>11973.45128814921</v>
      </c>
      <c r="Y25" s="847">
        <f>IF(OR(W25="NA",W25="",Data!$D$91="NA",Data!$D$91=""),"NA",W25*Data!$D$91)</f>
        <v>11.086491029477838</v>
      </c>
      <c r="Z25" s="847">
        <f>IF(OR(W25="NA",W25="",Data!$D$91="NA",Data!$D$91=""),"NA",IF(Data!$D$68&lt;X25,W25*X25/Data!$D$68*Data!$D$91,W25*Data!$D$91))</f>
        <v>663.71780148978041</v>
      </c>
      <c r="AA25" s="853"/>
      <c r="AB25" s="292" t="s">
        <v>329</v>
      </c>
      <c r="AC25" s="786">
        <v>50</v>
      </c>
      <c r="AD25" s="292" t="s">
        <v>329</v>
      </c>
      <c r="AE25" s="287" t="s">
        <v>329</v>
      </c>
      <c r="AF25" s="287" t="s">
        <v>329</v>
      </c>
      <c r="AG25" s="288" t="s">
        <v>329</v>
      </c>
      <c r="AH25" s="786">
        <v>2300</v>
      </c>
      <c r="AI25" s="883">
        <v>120</v>
      </c>
      <c r="AJ25" s="287" t="s">
        <v>329</v>
      </c>
      <c r="AK25" s="288" t="s">
        <v>329</v>
      </c>
      <c r="AL25" s="786"/>
      <c r="AM25" s="815"/>
      <c r="AN25" s="815"/>
      <c r="AO25" s="816"/>
      <c r="AP25" s="287" t="s">
        <v>329</v>
      </c>
      <c r="AQ25" s="689" t="s">
        <v>329</v>
      </c>
      <c r="AR25" s="292" t="s">
        <v>329</v>
      </c>
      <c r="AS25" s="288" t="s">
        <v>329</v>
      </c>
      <c r="AT25" s="786">
        <v>31000</v>
      </c>
      <c r="AU25" s="926">
        <v>190000</v>
      </c>
      <c r="AV25" s="874"/>
      <c r="AW25" s="663"/>
      <c r="AX25" s="663"/>
      <c r="AY25" s="663"/>
      <c r="AZ25" s="664"/>
    </row>
    <row r="26" spans="1:52" s="55" customFormat="1" x14ac:dyDescent="0.25">
      <c r="A26" s="307" t="s">
        <v>344</v>
      </c>
      <c r="B26" s="1018"/>
      <c r="C26" s="1019"/>
      <c r="D26" s="1019"/>
      <c r="E26" s="1021"/>
      <c r="F26" s="874"/>
      <c r="G26" s="1017"/>
      <c r="H26" s="1040">
        <f t="shared" si="2"/>
        <v>1.4</v>
      </c>
      <c r="I26" s="1041">
        <f t="shared" si="2"/>
        <v>0.77</v>
      </c>
      <c r="J26" s="1041">
        <f t="shared" si="2"/>
        <v>0.77</v>
      </c>
      <c r="K26" s="1041">
        <f t="shared" si="2"/>
        <v>8.6000000000000003E-5</v>
      </c>
      <c r="L26" s="1042">
        <f t="shared" si="2"/>
        <v>10</v>
      </c>
      <c r="M26" s="289">
        <v>200.59</v>
      </c>
      <c r="N26" s="645">
        <v>1.1594293688399999E-2</v>
      </c>
      <c r="O26" s="645">
        <v>3.6999999999999998E-2</v>
      </c>
      <c r="P26" s="637" t="s">
        <v>329</v>
      </c>
      <c r="Q26" s="629">
        <v>100</v>
      </c>
      <c r="R26" s="629">
        <v>100</v>
      </c>
      <c r="S26" s="290">
        <f>0.02</f>
        <v>0.02</v>
      </c>
      <c r="T26" s="290">
        <v>0.08</v>
      </c>
      <c r="U26" s="847">
        <v>700000</v>
      </c>
      <c r="V26" s="862">
        <f t="shared" si="1"/>
        <v>100</v>
      </c>
      <c r="W26" s="847">
        <f>IF(OR(Q26="NA",Q26="",V26="NA",V26=""),"NA",(1+(V26/Q26)^1.5*((1-Data!$D$75)/(1-Data!$D$18))^1.5*(Data!$D$71/Data!$D$14)^1.5*(Data!$D$73/Data!$D$72)*(1/(39.37*Data!$D$72))^0.25))</f>
        <v>6.1996103238863176</v>
      </c>
      <c r="X26" s="847">
        <f>IF(W26="NA","NA",0.15*Data!$D$71*(1-Data!$D$75)*V26*((13.12*Data!$D$73)^(0.112*LN(Data!$D$71*(1-Data!$D$75)*V26)+1.38))/(W26*Data!$D$81))</f>
        <v>22540.700164442085</v>
      </c>
      <c r="Y26" s="847">
        <f>IF(OR(W26="NA",W26="",Data!$D$91="NA",Data!$D$91=""),"NA",W26*Data!$D$91)</f>
        <v>11.086491029477838</v>
      </c>
      <c r="Z26" s="847">
        <f>IF(OR(W26="NA",W26="",Data!$D$91="NA",Data!$D$91=""),"NA",IF(Data!$D$68&lt;X26,W26*X26/Data!$D$68*Data!$D$91,W26*Data!$D$91))</f>
        <v>1249.4863508561841</v>
      </c>
      <c r="AA26" s="853"/>
      <c r="AB26" s="718">
        <v>2</v>
      </c>
      <c r="AC26" s="718">
        <v>2</v>
      </c>
      <c r="AD26" s="785">
        <v>1.4</v>
      </c>
      <c r="AE26" s="811">
        <v>0.77</v>
      </c>
      <c r="AF26" s="813">
        <v>1.8</v>
      </c>
      <c r="AG26" s="812">
        <v>0.94</v>
      </c>
      <c r="AH26" s="785">
        <v>1.4</v>
      </c>
      <c r="AI26" s="884">
        <v>0.77</v>
      </c>
      <c r="AJ26" s="813">
        <v>1.8</v>
      </c>
      <c r="AK26" s="812">
        <v>0.94</v>
      </c>
      <c r="AL26" s="785">
        <v>1.4</v>
      </c>
      <c r="AM26" s="694">
        <v>0.77</v>
      </c>
      <c r="AN26" s="813">
        <v>1.8</v>
      </c>
      <c r="AO26" s="288">
        <v>0.94</v>
      </c>
      <c r="AP26" s="826">
        <v>8.6000000000000003E-5</v>
      </c>
      <c r="AQ26" s="689" t="s">
        <v>329</v>
      </c>
      <c r="AR26" s="922">
        <v>17</v>
      </c>
      <c r="AS26" s="288" t="s">
        <v>329</v>
      </c>
      <c r="AT26" s="786">
        <v>10</v>
      </c>
      <c r="AU26" s="926">
        <v>10</v>
      </c>
      <c r="AV26" s="874"/>
      <c r="AW26" s="663"/>
      <c r="AX26" s="663"/>
      <c r="AY26" s="663"/>
      <c r="AZ26" s="664"/>
    </row>
    <row r="27" spans="1:52" s="55" customFormat="1" x14ac:dyDescent="0.25">
      <c r="A27" s="307" t="s">
        <v>345</v>
      </c>
      <c r="B27" s="1018"/>
      <c r="C27" s="1019"/>
      <c r="D27" s="1019"/>
      <c r="E27" s="1021"/>
      <c r="F27" s="874"/>
      <c r="G27" s="1017"/>
      <c r="H27" s="1040">
        <f t="shared" si="2"/>
        <v>16000</v>
      </c>
      <c r="I27" s="1041">
        <f t="shared" si="2"/>
        <v>370</v>
      </c>
      <c r="J27" s="1041">
        <f t="shared" si="2"/>
        <v>370</v>
      </c>
      <c r="K27" s="1041" t="str">
        <f t="shared" si="2"/>
        <v>NA</v>
      </c>
      <c r="L27" s="1042" t="str">
        <f t="shared" si="2"/>
        <v>NA</v>
      </c>
      <c r="M27" s="289">
        <v>95.94</v>
      </c>
      <c r="N27" s="1016" t="s">
        <v>328</v>
      </c>
      <c r="O27" s="645">
        <v>3.6999999999999998E-2</v>
      </c>
      <c r="P27" s="637" t="s">
        <v>329</v>
      </c>
      <c r="Q27" s="637">
        <f>R27</f>
        <v>20</v>
      </c>
      <c r="R27" s="637">
        <v>20</v>
      </c>
      <c r="S27" s="637" t="s">
        <v>329</v>
      </c>
      <c r="T27" s="637" t="s">
        <v>329</v>
      </c>
      <c r="U27" s="847">
        <v>76600000</v>
      </c>
      <c r="V27" s="862">
        <f t="shared" si="1"/>
        <v>20</v>
      </c>
      <c r="W27" s="847">
        <f>IF(OR(Q27="NA",Q27="",V27="NA",V27=""),"NA",(1+(V27/Q27)^1.5*((1-Data!$D$75)/(1-Data!$D$18))^1.5*(Data!$D$71/Data!$D$14)^1.5*(Data!$D$73/Data!$D$72)*(1/(39.37*Data!$D$72))^0.25))</f>
        <v>6.1996103238863176</v>
      </c>
      <c r="X27" s="847">
        <f>IF(W27="NA","NA",0.15*Data!$D$71*(1-Data!$D$75)*V27*((13.12*Data!$D$73)^(0.112*LN(Data!$D$71*(1-Data!$D$75)*V27)+1.38))/(W27*Data!$D$81))</f>
        <v>2120.7412237404346</v>
      </c>
      <c r="Y27" s="847">
        <f>IF(OR(W27="NA",W27="",Data!$D$91="NA",Data!$D$91=""),"NA",W27*Data!$D$91)</f>
        <v>11.086491029477838</v>
      </c>
      <c r="Z27" s="847">
        <f>IF(OR(W27="NA",W27="",Data!$D$91="NA",Data!$D$91=""),"NA",IF(Data!$D$68&lt;X27,W27*X27/Data!$D$68*Data!$D$91,W27*Data!$D$91))</f>
        <v>117.55789276421091</v>
      </c>
      <c r="AA27" s="853"/>
      <c r="AB27" s="292" t="s">
        <v>329</v>
      </c>
      <c r="AC27" s="292" t="s">
        <v>329</v>
      </c>
      <c r="AD27" s="292" t="s">
        <v>329</v>
      </c>
      <c r="AE27" s="287" t="s">
        <v>329</v>
      </c>
      <c r="AF27" s="287" t="s">
        <v>329</v>
      </c>
      <c r="AG27" s="288" t="s">
        <v>329</v>
      </c>
      <c r="AH27" s="786">
        <v>16000</v>
      </c>
      <c r="AI27" s="828">
        <v>370</v>
      </c>
      <c r="AJ27" s="287" t="s">
        <v>329</v>
      </c>
      <c r="AK27" s="288" t="s">
        <v>329</v>
      </c>
      <c r="AL27" s="786"/>
      <c r="AM27" s="815"/>
      <c r="AN27" s="1037"/>
      <c r="AO27" s="1049"/>
      <c r="AP27" s="287" t="s">
        <v>329</v>
      </c>
      <c r="AQ27" s="689" t="s">
        <v>329</v>
      </c>
      <c r="AR27" s="922">
        <v>18</v>
      </c>
      <c r="AS27" s="288" t="s">
        <v>329</v>
      </c>
      <c r="AT27" s="292" t="s">
        <v>329</v>
      </c>
      <c r="AU27" s="288" t="s">
        <v>329</v>
      </c>
      <c r="AV27" s="874"/>
      <c r="AW27" s="663"/>
      <c r="AX27" s="663"/>
      <c r="AY27" s="663"/>
      <c r="AZ27" s="664"/>
    </row>
    <row r="28" spans="1:52" s="55" customFormat="1" x14ac:dyDescent="0.25">
      <c r="A28" s="307" t="s">
        <v>346</v>
      </c>
      <c r="B28" s="1018"/>
      <c r="C28" s="1019"/>
      <c r="D28" s="1020"/>
      <c r="E28" s="1021"/>
      <c r="F28" s="874"/>
      <c r="G28" s="1017"/>
      <c r="H28" s="1040">
        <f t="shared" si="2"/>
        <v>470</v>
      </c>
      <c r="I28" s="1041">
        <f t="shared" si="2"/>
        <v>52</v>
      </c>
      <c r="J28" s="1041">
        <f t="shared" si="2"/>
        <v>52</v>
      </c>
      <c r="K28" s="1041" t="str">
        <f t="shared" si="2"/>
        <v>NA</v>
      </c>
      <c r="L28" s="1042">
        <f t="shared" si="2"/>
        <v>650</v>
      </c>
      <c r="M28" s="289">
        <v>58.69</v>
      </c>
      <c r="N28" s="1016" t="s">
        <v>328</v>
      </c>
      <c r="O28" s="645">
        <f>IF(M28="NA","NA",(IF(N28="NA","NA",((((28.97+M28)/(28.97*M28))^0.5)*(10^-3)*(Data!$D$50^1.75)/((2*(20.1^(1/3)))^2)))))</f>
        <v>0.1758611999192782</v>
      </c>
      <c r="P28" s="637" t="s">
        <v>329</v>
      </c>
      <c r="Q28" s="629">
        <v>70</v>
      </c>
      <c r="R28" s="629">
        <v>20.417000000000002</v>
      </c>
      <c r="S28" s="290">
        <f>0.02</f>
        <v>0.02</v>
      </c>
      <c r="T28" s="290">
        <v>0.3</v>
      </c>
      <c r="U28" s="847">
        <v>642000000</v>
      </c>
      <c r="V28" s="862">
        <f t="shared" si="1"/>
        <v>70</v>
      </c>
      <c r="W28" s="847">
        <f>IF(OR(Q28="NA",Q28="",V28="NA",V28=""),"NA",(1+(V28/Q28)^1.5*((1-Data!$D$75)/(1-Data!$D$18))^1.5*(Data!$D$71/Data!$D$14)^1.5*(Data!$D$73/Data!$D$72)*(1/(39.37*Data!$D$72))^0.25))</f>
        <v>6.1996103238863176</v>
      </c>
      <c r="X28" s="847">
        <f>IF(W28="NA","NA",0.15*Data!$D$71*(1-Data!$D$75)*V28*((13.12*Data!$D$73)^(0.112*LN(Data!$D$71*(1-Data!$D$75)*V28)+1.38))/(W28*Data!$D$81))</f>
        <v>13350.099595869611</v>
      </c>
      <c r="Y28" s="847">
        <f>IF(OR(W28="NA",W28="",Data!$D$91="NA",Data!$D$91=""),"NA",W28*Data!$D$91)</f>
        <v>11.086491029477838</v>
      </c>
      <c r="Z28" s="847">
        <f>IF(OR(W28="NA",W28="",Data!$D$91="NA",Data!$D$91=""),"NA",IF(Data!$D$68&lt;X28,W28*X28/Data!$D$68*Data!$D$91,W28*Data!$D$91))</f>
        <v>740.02879706122064</v>
      </c>
      <c r="AA28" s="853"/>
      <c r="AB28" s="292" t="s">
        <v>329</v>
      </c>
      <c r="AC28" s="292" t="s">
        <v>329</v>
      </c>
      <c r="AD28" s="786">
        <v>470</v>
      </c>
      <c r="AE28" s="815">
        <v>52</v>
      </c>
      <c r="AF28" s="815">
        <v>74</v>
      </c>
      <c r="AG28" s="814">
        <v>8.1999999999999993</v>
      </c>
      <c r="AH28" s="786">
        <v>470</v>
      </c>
      <c r="AI28" s="828">
        <v>52</v>
      </c>
      <c r="AJ28" s="815">
        <v>74</v>
      </c>
      <c r="AK28" s="814">
        <v>8.1999999999999993</v>
      </c>
      <c r="AL28" s="784">
        <v>470</v>
      </c>
      <c r="AM28" s="811">
        <v>52</v>
      </c>
      <c r="AN28" s="1037">
        <v>74</v>
      </c>
      <c r="AO28" s="1049">
        <v>8.1999999999999993</v>
      </c>
      <c r="AP28" s="287" t="s">
        <v>329</v>
      </c>
      <c r="AQ28" s="689" t="s">
        <v>329</v>
      </c>
      <c r="AR28" s="922">
        <v>420</v>
      </c>
      <c r="AS28" s="923">
        <v>690</v>
      </c>
      <c r="AT28" s="786">
        <v>650</v>
      </c>
      <c r="AU28" s="926">
        <v>650</v>
      </c>
      <c r="AV28" s="874"/>
      <c r="AW28" s="663"/>
      <c r="AX28" s="663"/>
      <c r="AY28" s="663"/>
      <c r="AZ28" s="664"/>
    </row>
    <row r="29" spans="1:52" s="55" customFormat="1" x14ac:dyDescent="0.25">
      <c r="A29" s="307" t="s">
        <v>347</v>
      </c>
      <c r="B29" s="1018"/>
      <c r="C29" s="1019"/>
      <c r="D29" s="1020"/>
      <c r="E29" s="1021"/>
      <c r="F29" s="874"/>
      <c r="G29" s="1017"/>
      <c r="H29" s="1040">
        <f t="shared" si="2"/>
        <v>20</v>
      </c>
      <c r="I29" s="1041">
        <f t="shared" si="2"/>
        <v>5</v>
      </c>
      <c r="J29" s="1041">
        <f t="shared" si="2"/>
        <v>5</v>
      </c>
      <c r="K29" s="1041">
        <f t="shared" si="2"/>
        <v>1E-3</v>
      </c>
      <c r="L29" s="1042">
        <f t="shared" si="2"/>
        <v>26</v>
      </c>
      <c r="M29" s="289">
        <v>78.959999999999994</v>
      </c>
      <c r="N29" s="1016" t="s">
        <v>328</v>
      </c>
      <c r="O29" s="645">
        <f>IF(M29="NA","NA",(IF(N29="NA","NA",((((28.97+M29)/(28.97*M29))^0.5)*(10^-3)*(Data!$D$50^1.75)/((2*(20.1^(1/3)))^2)))))</f>
        <v>0.16823597613925553</v>
      </c>
      <c r="P29" s="637" t="s">
        <v>329</v>
      </c>
      <c r="Q29" s="629">
        <v>20</v>
      </c>
      <c r="R29" s="629">
        <v>3</v>
      </c>
      <c r="S29" s="290">
        <f>0.5</f>
        <v>0.5</v>
      </c>
      <c r="T29" s="504">
        <v>0.5</v>
      </c>
      <c r="U29" s="847">
        <v>384000000</v>
      </c>
      <c r="V29" s="862">
        <f t="shared" si="1"/>
        <v>20</v>
      </c>
      <c r="W29" s="847">
        <f>IF(OR(Q29="NA",Q29="",V29="NA",V29=""),"NA",(1+(V29/Q29)^1.5*((1-Data!$D$75)/(1-Data!$D$18))^1.5*(Data!$D$71/Data!$D$14)^1.5*(Data!$D$73/Data!$D$72)*(1/(39.37*Data!$D$72))^0.25))</f>
        <v>6.1996103238863176</v>
      </c>
      <c r="X29" s="847">
        <f>IF(W29="NA","NA",0.15*Data!$D$71*(1-Data!$D$75)*V29*((13.12*Data!$D$73)^(0.112*LN(Data!$D$71*(1-Data!$D$75)*V29)+1.38))/(W29*Data!$D$81))</f>
        <v>2120.7412237404346</v>
      </c>
      <c r="Y29" s="847">
        <f>IF(OR(W29="NA",W29="",Data!$D$91="NA",Data!$D$91=""),"NA",W29*Data!$D$91)</f>
        <v>11.086491029477838</v>
      </c>
      <c r="Z29" s="847">
        <f>IF(OR(W29="NA",W29="",Data!$D$91="NA",Data!$D$91=""),"NA",IF(Data!$D$68&lt;X29,W29*X29/Data!$D$68*Data!$D$91,W29*Data!$D$91))</f>
        <v>117.55789276421091</v>
      </c>
      <c r="AA29" s="853"/>
      <c r="AB29" s="718">
        <v>50</v>
      </c>
      <c r="AC29" s="718">
        <v>50</v>
      </c>
      <c r="AD29" s="292" t="s">
        <v>329</v>
      </c>
      <c r="AE29" s="815">
        <v>5</v>
      </c>
      <c r="AF29" s="815">
        <v>290</v>
      </c>
      <c r="AG29" s="816">
        <v>71</v>
      </c>
      <c r="AH29" s="836">
        <v>20</v>
      </c>
      <c r="AI29" s="883">
        <v>5</v>
      </c>
      <c r="AJ29" s="815">
        <v>290</v>
      </c>
      <c r="AK29" s="816">
        <v>71</v>
      </c>
      <c r="AL29" s="784">
        <v>20</v>
      </c>
      <c r="AM29" s="811">
        <v>5</v>
      </c>
      <c r="AN29" s="1037">
        <v>290</v>
      </c>
      <c r="AO29" s="1049">
        <v>71</v>
      </c>
      <c r="AP29" s="287">
        <v>1E-3</v>
      </c>
      <c r="AQ29" s="828">
        <v>189</v>
      </c>
      <c r="AR29" s="922">
        <v>100</v>
      </c>
      <c r="AS29" s="288" t="s">
        <v>329</v>
      </c>
      <c r="AT29" s="786">
        <v>26</v>
      </c>
      <c r="AU29" s="926">
        <v>26</v>
      </c>
      <c r="AV29" s="874"/>
      <c r="AW29" s="663"/>
      <c r="AX29" s="663"/>
      <c r="AY29" s="663"/>
      <c r="AZ29" s="664"/>
    </row>
    <row r="30" spans="1:52" s="55" customFormat="1" x14ac:dyDescent="0.25">
      <c r="A30" s="307" t="s">
        <v>348</v>
      </c>
      <c r="B30" s="1018"/>
      <c r="C30" s="1019"/>
      <c r="D30" s="1020"/>
      <c r="E30" s="1021"/>
      <c r="F30" s="874"/>
      <c r="G30" s="1017"/>
      <c r="H30" s="1040">
        <f t="shared" si="2"/>
        <v>3.4</v>
      </c>
      <c r="I30" s="1041">
        <f t="shared" si="2"/>
        <v>0.36</v>
      </c>
      <c r="J30" s="1041">
        <f t="shared" si="2"/>
        <v>0.36</v>
      </c>
      <c r="K30" s="1041">
        <f t="shared" si="2"/>
        <v>5.0000000000000001E-3</v>
      </c>
      <c r="L30" s="1042">
        <f t="shared" si="2"/>
        <v>84</v>
      </c>
      <c r="M30" s="289">
        <v>107.87</v>
      </c>
      <c r="N30" s="1016" t="s">
        <v>328</v>
      </c>
      <c r="O30" s="645">
        <v>1.9400000000000001E-2</v>
      </c>
      <c r="P30" s="637" t="s">
        <v>329</v>
      </c>
      <c r="Q30" s="629">
        <v>150</v>
      </c>
      <c r="R30" s="629">
        <v>100</v>
      </c>
      <c r="S30" s="290">
        <f>0.2</f>
        <v>0.2</v>
      </c>
      <c r="T30" s="504">
        <v>0.5</v>
      </c>
      <c r="U30" s="847">
        <v>1000000000</v>
      </c>
      <c r="V30" s="862">
        <f t="shared" si="1"/>
        <v>150</v>
      </c>
      <c r="W30" s="847">
        <f>IF(OR(Q30="NA",Q30="",V30="NA",V30=""),"NA",(1+(V30/Q30)^1.5*((1-Data!$D$75)/(1-Data!$D$18))^1.5*(Data!$D$71/Data!$D$14)^1.5*(Data!$D$73/Data!$D$72)*(1/(39.37*Data!$D$72))^0.25))</f>
        <v>6.1996103238863176</v>
      </c>
      <c r="X30" s="847">
        <f>IF(W30="NA","NA",0.15*Data!$D$71*(1-Data!$D$75)*V30*((13.12*Data!$D$73)^(0.112*LN(Data!$D$71*(1-Data!$D$75)*V30)+1.38))/(W30*Data!$D$81))</f>
        <v>40885.38254905228</v>
      </c>
      <c r="Y30" s="847">
        <f>IF(OR(W30="NA",W30="",Data!$D$91="NA",Data!$D$91=""),"NA",W30*Data!$D$91)</f>
        <v>11.086491029477838</v>
      </c>
      <c r="Z30" s="847">
        <f>IF(OR(W30="NA",W30="",Data!$D$91="NA",Data!$D$91=""),"NA",IF(Data!$D$68&lt;X30,W30*X30/Data!$D$68*Data!$D$91,W30*Data!$D$91))</f>
        <v>2266.3771343341891</v>
      </c>
      <c r="AA30" s="853"/>
      <c r="AB30" s="292" t="s">
        <v>329</v>
      </c>
      <c r="AC30" s="786">
        <v>100</v>
      </c>
      <c r="AD30" s="785">
        <v>3.4</v>
      </c>
      <c r="AE30" s="287" t="s">
        <v>329</v>
      </c>
      <c r="AF30" s="813">
        <v>1.9</v>
      </c>
      <c r="AG30" s="288" t="s">
        <v>329</v>
      </c>
      <c r="AH30" s="785">
        <v>3.4</v>
      </c>
      <c r="AI30" s="886">
        <v>0.36</v>
      </c>
      <c r="AJ30" s="813">
        <v>1.9</v>
      </c>
      <c r="AK30" s="288" t="s">
        <v>329</v>
      </c>
      <c r="AL30" s="784">
        <v>3.4</v>
      </c>
      <c r="AM30" s="287">
        <v>1.2E-2</v>
      </c>
      <c r="AN30" s="1037">
        <v>1.9</v>
      </c>
      <c r="AO30" s="1049">
        <v>0.23</v>
      </c>
      <c r="AP30" s="287">
        <v>5.0000000000000001E-3</v>
      </c>
      <c r="AQ30" s="689" t="s">
        <v>329</v>
      </c>
      <c r="AR30" s="292" t="s">
        <v>329</v>
      </c>
      <c r="AS30" s="288" t="s">
        <v>329</v>
      </c>
      <c r="AT30" s="786">
        <v>84</v>
      </c>
      <c r="AU30" s="926">
        <v>84</v>
      </c>
      <c r="AV30" s="874"/>
      <c r="AW30" s="663"/>
      <c r="AX30" s="663"/>
      <c r="AY30" s="663"/>
      <c r="AZ30" s="664"/>
    </row>
    <row r="31" spans="1:52" s="55" customFormat="1" x14ac:dyDescent="0.25">
      <c r="A31" s="307" t="s">
        <v>349</v>
      </c>
      <c r="B31" s="1018"/>
      <c r="C31" s="1019"/>
      <c r="D31" s="1020"/>
      <c r="E31" s="1021"/>
      <c r="F31" s="874"/>
      <c r="G31" s="1017"/>
      <c r="H31" s="1040">
        <f t="shared" ref="H31:L37" si="3">IF(INDEX($AB$11:$AZ$310,,H$7)=0,"NA",INDEX($AB$11:$AZ$310,,H$7))</f>
        <v>15000</v>
      </c>
      <c r="I31" s="1041">
        <f t="shared" si="3"/>
        <v>1500</v>
      </c>
      <c r="J31" s="1041">
        <f t="shared" si="3"/>
        <v>1500</v>
      </c>
      <c r="K31" s="1041" t="str">
        <f t="shared" si="3"/>
        <v>NA</v>
      </c>
      <c r="L31" s="1042" t="str">
        <f t="shared" si="3"/>
        <v>NA</v>
      </c>
      <c r="M31" s="289">
        <v>87.62</v>
      </c>
      <c r="N31" s="1016" t="s">
        <v>328</v>
      </c>
      <c r="O31" s="645" t="s">
        <v>329</v>
      </c>
      <c r="P31" s="637" t="s">
        <v>329</v>
      </c>
      <c r="Q31" s="637">
        <f>R31</f>
        <v>35</v>
      </c>
      <c r="R31" s="637">
        <v>35</v>
      </c>
      <c r="S31" s="637" t="s">
        <v>329</v>
      </c>
      <c r="T31" s="637" t="s">
        <v>329</v>
      </c>
      <c r="U31" s="637" t="s">
        <v>329</v>
      </c>
      <c r="V31" s="862">
        <f t="shared" si="1"/>
        <v>35</v>
      </c>
      <c r="W31" s="847">
        <f>IF(OR(Q31="NA",Q31="",V31="NA",V31=""),"NA",(1+(V31/Q31)^1.5*((1-Data!$D$75)/(1-Data!$D$18))^1.5*(Data!$D$71/Data!$D$14)^1.5*(Data!$D$73/Data!$D$72)*(1/(39.37*Data!$D$72))^0.25))</f>
        <v>6.1996103238863176</v>
      </c>
      <c r="X31" s="847">
        <f>IF(W31="NA","NA",0.15*Data!$D$71*(1-Data!$D$75)*V31*((13.12*Data!$D$73)^(0.112*LN(Data!$D$71*(1-Data!$D$75)*V31)+1.38))/(W31*Data!$D$81))</f>
        <v>4823.9605928470446</v>
      </c>
      <c r="Y31" s="847">
        <f>IF(OR(W31="NA",W31="",Data!$D$91="NA",Data!$D$91=""),"NA",W31*Data!$D$91)</f>
        <v>11.086491029477838</v>
      </c>
      <c r="Z31" s="847">
        <f>IF(OR(W31="NA",W31="",Data!$D$91="NA",Data!$D$91=""),"NA",IF(Data!$D$68&lt;X31,W31*X31/Data!$D$68*Data!$D$91,W31*Data!$D$91))</f>
        <v>267.40397919576679</v>
      </c>
      <c r="AA31" s="853"/>
      <c r="AB31" s="292" t="s">
        <v>329</v>
      </c>
      <c r="AC31" s="292" t="s">
        <v>329</v>
      </c>
      <c r="AD31" s="292" t="s">
        <v>329</v>
      </c>
      <c r="AE31" s="287" t="s">
        <v>329</v>
      </c>
      <c r="AF31" s="287" t="s">
        <v>329</v>
      </c>
      <c r="AG31" s="288" t="s">
        <v>329</v>
      </c>
      <c r="AH31" s="786">
        <v>15000</v>
      </c>
      <c r="AI31" s="887">
        <v>1500</v>
      </c>
      <c r="AJ31" s="287" t="s">
        <v>329</v>
      </c>
      <c r="AK31" s="288" t="s">
        <v>329</v>
      </c>
      <c r="AL31" s="786"/>
      <c r="AM31" s="815"/>
      <c r="AN31" s="1037"/>
      <c r="AO31" s="1049"/>
      <c r="AP31" s="287" t="s">
        <v>329</v>
      </c>
      <c r="AQ31" s="689" t="s">
        <v>329</v>
      </c>
      <c r="AR31" s="292" t="s">
        <v>329</v>
      </c>
      <c r="AS31" s="288" t="s">
        <v>329</v>
      </c>
      <c r="AT31" s="292" t="s">
        <v>329</v>
      </c>
      <c r="AU31" s="288" t="s">
        <v>329</v>
      </c>
      <c r="AV31" s="874"/>
      <c r="AW31" s="663"/>
      <c r="AX31" s="663"/>
      <c r="AY31" s="663"/>
      <c r="AZ31" s="664"/>
    </row>
    <row r="32" spans="1:52" s="55" customFormat="1" x14ac:dyDescent="0.25">
      <c r="A32" s="307" t="s">
        <v>350</v>
      </c>
      <c r="B32" s="1018"/>
      <c r="C32" s="1019"/>
      <c r="D32" s="1020"/>
      <c r="E32" s="1021"/>
      <c r="F32" s="874"/>
      <c r="G32" s="1017"/>
      <c r="H32" s="1040">
        <f t="shared" si="3"/>
        <v>110</v>
      </c>
      <c r="I32" s="1041">
        <f t="shared" si="3"/>
        <v>12</v>
      </c>
      <c r="J32" s="1041">
        <f t="shared" si="3"/>
        <v>12</v>
      </c>
      <c r="K32" s="1041">
        <f t="shared" si="3"/>
        <v>8.0000000000000007E-5</v>
      </c>
      <c r="L32" s="1042">
        <f t="shared" si="3"/>
        <v>14</v>
      </c>
      <c r="M32" s="289">
        <v>204.38</v>
      </c>
      <c r="N32" s="1016" t="s">
        <v>328</v>
      </c>
      <c r="O32" s="645">
        <f>IF(M32="NA","NA",(IF(N32="NA","NA",((((28.97+M32)/(28.97*M32))^0.5)*(10^-3)*(Data!$D$50^1.75)/((2*(20.1^(1/3)))^2)))))</f>
        <v>0.15375741143404867</v>
      </c>
      <c r="P32" s="637" t="s">
        <v>329</v>
      </c>
      <c r="Q32" s="629">
        <v>40</v>
      </c>
      <c r="R32" s="629">
        <v>40</v>
      </c>
      <c r="S32" s="290">
        <f>0.2</f>
        <v>0.2</v>
      </c>
      <c r="T32" s="504">
        <v>0.2</v>
      </c>
      <c r="U32" s="847">
        <v>48700000</v>
      </c>
      <c r="V32" s="862">
        <f t="shared" si="1"/>
        <v>40</v>
      </c>
      <c r="W32" s="847">
        <f>IF(OR(Q32="NA",Q32="",V32="NA",V32=""),"NA",(1+(V32/Q32)^1.5*((1-Data!$D$75)/(1-Data!$D$18))^1.5*(Data!$D$71/Data!$D$14)^1.5*(Data!$D$73/Data!$D$72)*(1/(39.37*Data!$D$72))^0.25))</f>
        <v>6.1996103238863176</v>
      </c>
      <c r="X32" s="847">
        <f>IF(W32="NA","NA",0.15*Data!$D$71*(1-Data!$D$75)*V32*((13.12*Data!$D$73)^(0.112*LN(Data!$D$71*(1-Data!$D$75)*V32)+1.38))/(W32*Data!$D$81))</f>
        <v>5869.0584238980546</v>
      </c>
      <c r="Y32" s="847">
        <f>IF(OR(W32="NA",W32="",Data!$D$91="NA",Data!$D$91=""),"NA",W32*Data!$D$91)</f>
        <v>11.086491029477838</v>
      </c>
      <c r="Z32" s="847">
        <f>IF(OR(W32="NA",W32="",Data!$D$91="NA",Data!$D$91=""),"NA",IF(Data!$D$68&lt;X32,W32*X32/Data!$D$68*Data!$D$91,W32*Data!$D$91))</f>
        <v>325.33631784013562</v>
      </c>
      <c r="AA32" s="853"/>
      <c r="AB32" s="718">
        <v>2</v>
      </c>
      <c r="AC32" s="718">
        <v>2</v>
      </c>
      <c r="AD32" s="292" t="s">
        <v>329</v>
      </c>
      <c r="AE32" s="287" t="s">
        <v>329</v>
      </c>
      <c r="AF32" s="287" t="s">
        <v>329</v>
      </c>
      <c r="AG32" s="288" t="s">
        <v>329</v>
      </c>
      <c r="AH32" s="786">
        <v>110</v>
      </c>
      <c r="AI32" s="828">
        <v>12</v>
      </c>
      <c r="AJ32" s="887">
        <v>2130</v>
      </c>
      <c r="AK32" s="288" t="s">
        <v>329</v>
      </c>
      <c r="AL32" s="784">
        <v>140</v>
      </c>
      <c r="AM32" s="811">
        <v>4</v>
      </c>
      <c r="AN32" s="1037">
        <v>213</v>
      </c>
      <c r="AO32" s="1049">
        <v>21.3</v>
      </c>
      <c r="AP32" s="825">
        <v>8.0000000000000007E-5</v>
      </c>
      <c r="AQ32" s="689" t="s">
        <v>329</v>
      </c>
      <c r="AR32" s="292" t="s">
        <v>329</v>
      </c>
      <c r="AS32" s="288" t="s">
        <v>329</v>
      </c>
      <c r="AT32" s="786">
        <v>14</v>
      </c>
      <c r="AU32" s="926">
        <v>14</v>
      </c>
      <c r="AV32" s="874"/>
      <c r="AW32" s="663"/>
      <c r="AX32" s="663"/>
      <c r="AY32" s="663"/>
      <c r="AZ32" s="664"/>
    </row>
    <row r="33" spans="1:52" s="55" customFormat="1" x14ac:dyDescent="0.25">
      <c r="A33" s="307" t="s">
        <v>351</v>
      </c>
      <c r="B33" s="1018"/>
      <c r="C33" s="1019"/>
      <c r="D33" s="1020"/>
      <c r="E33" s="1021"/>
      <c r="F33" s="874"/>
      <c r="G33" s="1017"/>
      <c r="H33" s="1040">
        <f t="shared" si="3"/>
        <v>2700</v>
      </c>
      <c r="I33" s="1041">
        <f t="shared" si="3"/>
        <v>73</v>
      </c>
      <c r="J33" s="1041">
        <f t="shared" si="3"/>
        <v>73</v>
      </c>
      <c r="K33" s="1041" t="str">
        <f t="shared" si="3"/>
        <v>NA</v>
      </c>
      <c r="L33" s="1042">
        <f t="shared" si="3"/>
        <v>240</v>
      </c>
      <c r="M33" s="289">
        <v>118.69</v>
      </c>
      <c r="N33" s="1016" t="s">
        <v>328</v>
      </c>
      <c r="O33" s="645">
        <f>IF(M33="NA","NA",(IF(N33="NA","NA",((((28.97+M33)/(28.97*M33))^0.5)*(10^-3)*(Data!$D$50^1.75)/((2*(20.1^(1/3)))^2)))))</f>
        <v>0.16050025280042332</v>
      </c>
      <c r="P33" s="637" t="s">
        <v>329</v>
      </c>
      <c r="Q33" s="629">
        <f>R33</f>
        <v>250</v>
      </c>
      <c r="R33" s="637">
        <v>250</v>
      </c>
      <c r="S33" s="290">
        <v>1</v>
      </c>
      <c r="T33" s="504">
        <f>IF(S33= "NA", "NA", S33)</f>
        <v>1</v>
      </c>
      <c r="U33" s="847">
        <v>18000</v>
      </c>
      <c r="V33" s="862">
        <f t="shared" si="1"/>
        <v>250</v>
      </c>
      <c r="W33" s="847">
        <f>IF(OR(Q33="NA",Q33="",V33="NA",V33=""),"NA",(1+(V33/Q33)^1.5*((1-Data!$D$75)/(1-Data!$D$18))^1.5*(Data!$D$71/Data!$D$14)^1.5*(Data!$D$73/Data!$D$72)*(1/(39.37*Data!$D$72))^0.25))</f>
        <v>6.1996103238863176</v>
      </c>
      <c r="X33" s="847">
        <f>IF(W33="NA","NA",0.15*Data!$D$71*(1-Data!$D$75)*V33*((13.12*Data!$D$73)^(0.112*LN(Data!$D$71*(1-Data!$D$75)*V33)+1.38))/(W33*Data!$D$81))</f>
        <v>86569.791473608464</v>
      </c>
      <c r="Y33" s="847">
        <f>IF(OR(W33="NA",W33="",Data!$D$91="NA",Data!$D$91=""),"NA",W33*Data!$D$91)</f>
        <v>11.086491029477838</v>
      </c>
      <c r="Z33" s="847">
        <f>IF(OR(W33="NA",W33="",Data!$D$91="NA",Data!$D$91=""),"NA",IF(Data!$D$68&lt;X33,W33*X33/Data!$D$68*Data!$D$91,W33*Data!$D$91))</f>
        <v>4798.7760829796362</v>
      </c>
      <c r="AA33" s="853"/>
      <c r="AB33" s="292" t="s">
        <v>329</v>
      </c>
      <c r="AC33" s="292" t="s">
        <v>329</v>
      </c>
      <c r="AD33" s="292" t="s">
        <v>329</v>
      </c>
      <c r="AE33" s="287" t="s">
        <v>329</v>
      </c>
      <c r="AF33" s="287" t="s">
        <v>329</v>
      </c>
      <c r="AG33" s="288" t="s">
        <v>329</v>
      </c>
      <c r="AH33" s="786">
        <v>2700</v>
      </c>
      <c r="AI33" s="828">
        <v>73</v>
      </c>
      <c r="AJ33" s="287" t="s">
        <v>329</v>
      </c>
      <c r="AK33" s="288" t="s">
        <v>329</v>
      </c>
      <c r="AL33" s="786"/>
      <c r="AM33" s="815"/>
      <c r="AN33" s="1037"/>
      <c r="AO33" s="1049"/>
      <c r="AP33" s="287" t="s">
        <v>329</v>
      </c>
      <c r="AQ33" s="689" t="s">
        <v>329</v>
      </c>
      <c r="AR33" s="292" t="s">
        <v>329</v>
      </c>
      <c r="AS33" s="288" t="s">
        <v>329</v>
      </c>
      <c r="AT33" s="786">
        <v>240</v>
      </c>
      <c r="AU33" s="926">
        <v>680</v>
      </c>
      <c r="AV33" s="874"/>
      <c r="AW33" s="663"/>
      <c r="AX33" s="663"/>
      <c r="AY33" s="663"/>
      <c r="AZ33" s="664"/>
    </row>
    <row r="34" spans="1:52" s="55" customFormat="1" x14ac:dyDescent="0.25">
      <c r="A34" s="307" t="s">
        <v>352</v>
      </c>
      <c r="B34" s="1018"/>
      <c r="C34" s="1019"/>
      <c r="D34" s="1020"/>
      <c r="E34" s="1021"/>
      <c r="F34" s="874"/>
      <c r="G34" s="1017"/>
      <c r="H34" s="1040">
        <f t="shared" si="3"/>
        <v>46</v>
      </c>
      <c r="I34" s="1041">
        <f t="shared" si="3"/>
        <v>2.6</v>
      </c>
      <c r="J34" s="1041">
        <f t="shared" si="3"/>
        <v>2.6</v>
      </c>
      <c r="K34" s="1041" t="str">
        <f t="shared" si="3"/>
        <v>NA</v>
      </c>
      <c r="L34" s="1042" t="str">
        <f t="shared" si="3"/>
        <v>NA</v>
      </c>
      <c r="M34" s="289">
        <v>238.029</v>
      </c>
      <c r="N34" s="1016" t="s">
        <v>328</v>
      </c>
      <c r="O34" s="645">
        <f>IF(M34="NA","NA",(IF(N34="NA","NA",((((28.97+M34)/(28.97*M34))^0.5)*(10^-3)*(Data!$D$50^1.75)/((2*(20.1^(1/3)))^2)))))</f>
        <v>0.15240219955309428</v>
      </c>
      <c r="P34" s="637" t="s">
        <v>329</v>
      </c>
      <c r="Q34" s="629">
        <f>R34</f>
        <v>450</v>
      </c>
      <c r="R34" s="637">
        <v>450</v>
      </c>
      <c r="S34" s="629" t="s">
        <v>329</v>
      </c>
      <c r="T34" s="629" t="s">
        <v>329</v>
      </c>
      <c r="U34" s="847" t="s">
        <v>329</v>
      </c>
      <c r="V34" s="862">
        <f t="shared" si="1"/>
        <v>450</v>
      </c>
      <c r="W34" s="847">
        <f>IF(OR(Q34="NA",Q34="",V34="NA",V34=""),"NA",(1+(V34/Q34)^1.5*((1-Data!$D$75)/(1-Data!$D$18))^1.5*(Data!$D$71/Data!$D$14)^1.5*(Data!$D$73/Data!$D$72)*(1/(39.37*Data!$D$72))^0.25))</f>
        <v>6.1996103238863176</v>
      </c>
      <c r="X34" s="847">
        <f>IF(W34="NA","NA",0.15*Data!$D$71*(1-Data!$D$75)*V34*((13.12*Data!$D$73)^(0.112*LN(Data!$D$71*(1-Data!$D$75)*V34)+1.38))/(W34*Data!$D$81))</f>
        <v>205234.08218074014</v>
      </c>
      <c r="Y34" s="847">
        <f>IF(OR(W34="NA",W34="",Data!$D$91="NA",Data!$D$91=""),"NA",W34*Data!$D$91)</f>
        <v>11.086491029477838</v>
      </c>
      <c r="Z34" s="847">
        <f>IF(OR(W34="NA",W34="",Data!$D$91="NA",Data!$D$91=""),"NA",IF(Data!$D$68&lt;X34,W34*X34/Data!$D$68*Data!$D$91,W34*Data!$D$91))</f>
        <v>11376.629055199464</v>
      </c>
      <c r="AA34" s="853"/>
      <c r="AB34" s="718">
        <v>30</v>
      </c>
      <c r="AC34" s="718">
        <v>30</v>
      </c>
      <c r="AD34" s="292" t="s">
        <v>329</v>
      </c>
      <c r="AE34" s="287" t="s">
        <v>329</v>
      </c>
      <c r="AF34" s="287" t="s">
        <v>329</v>
      </c>
      <c r="AG34" s="288" t="s">
        <v>329</v>
      </c>
      <c r="AH34" s="786">
        <v>46</v>
      </c>
      <c r="AI34" s="827">
        <v>2.6</v>
      </c>
      <c r="AJ34" s="287" t="s">
        <v>329</v>
      </c>
      <c r="AK34" s="288" t="s">
        <v>329</v>
      </c>
      <c r="AL34" s="786"/>
      <c r="AM34" s="815"/>
      <c r="AN34" s="1037"/>
      <c r="AO34" s="1049"/>
      <c r="AP34" s="287" t="s">
        <v>329</v>
      </c>
      <c r="AQ34" s="689" t="s">
        <v>329</v>
      </c>
      <c r="AR34" s="292" t="s">
        <v>329</v>
      </c>
      <c r="AS34" s="288" t="s">
        <v>329</v>
      </c>
      <c r="AT34" s="292" t="s">
        <v>329</v>
      </c>
      <c r="AU34" s="288" t="s">
        <v>329</v>
      </c>
      <c r="AV34" s="874"/>
      <c r="AW34" s="663"/>
      <c r="AX34" s="663"/>
      <c r="AY34" s="663"/>
      <c r="AZ34" s="664"/>
    </row>
    <row r="35" spans="1:52" s="55" customFormat="1" x14ac:dyDescent="0.25">
      <c r="A35" s="307" t="s">
        <v>353</v>
      </c>
      <c r="B35" s="1018"/>
      <c r="C35" s="1019"/>
      <c r="D35" s="1020"/>
      <c r="E35" s="1021"/>
      <c r="F35" s="874"/>
      <c r="G35" s="1017"/>
      <c r="H35" s="1040">
        <f t="shared" si="3"/>
        <v>280</v>
      </c>
      <c r="I35" s="1041">
        <f t="shared" si="3"/>
        <v>20</v>
      </c>
      <c r="J35" s="1041">
        <f t="shared" si="3"/>
        <v>20</v>
      </c>
      <c r="K35" s="1041" t="str">
        <f t="shared" si="3"/>
        <v>NA</v>
      </c>
      <c r="L35" s="1042">
        <f t="shared" si="3"/>
        <v>1500</v>
      </c>
      <c r="M35" s="289">
        <v>50.941000000000003</v>
      </c>
      <c r="N35" s="1016" t="s">
        <v>328</v>
      </c>
      <c r="O35" s="645">
        <f>IF(M35="NA","NA",(IF(N35="NA","NA",((((28.97+M35)/(28.97*M35))^0.5)*(10^-3)*(Data!$D$50^1.75)/((2*(20.1^(1/3)))^2)))))</f>
        <v>0.1802274355991158</v>
      </c>
      <c r="P35" s="637" t="s">
        <v>329</v>
      </c>
      <c r="Q35" s="629">
        <v>110</v>
      </c>
      <c r="R35" s="637">
        <v>20</v>
      </c>
      <c r="S35" s="290">
        <v>1</v>
      </c>
      <c r="T35" s="290">
        <f>IF(S35= "NA", "NA", S35)</f>
        <v>1</v>
      </c>
      <c r="U35" s="847">
        <v>8000000</v>
      </c>
      <c r="V35" s="862">
        <f t="shared" si="1"/>
        <v>110</v>
      </c>
      <c r="W35" s="847">
        <f>IF(OR(Q35="NA",Q35="",V35="NA",V35=""),"NA",(1+(V35/Q35)^1.5*((1-Data!$D$75)/(1-Data!$D$18))^1.5*(Data!$D$71/Data!$D$14)^1.5*(Data!$D$73/Data!$D$72)*(1/(39.37*Data!$D$72))^0.25))</f>
        <v>6.1996103238863176</v>
      </c>
      <c r="X35" s="847">
        <f>IF(W35="NA","NA",0.15*Data!$D$71*(1-Data!$D$75)*V35*((13.12*Data!$D$73)^(0.112*LN(Data!$D$71*(1-Data!$D$75)*V35)+1.38))/(W35*Data!$D$81))</f>
        <v>25927.166912848963</v>
      </c>
      <c r="Y35" s="847">
        <f>IF(OR(W35="NA",W35="",Data!$D$91="NA",Data!$D$91=""),"NA",W35*Data!$D$91)</f>
        <v>11.086491029477838</v>
      </c>
      <c r="Z35" s="847">
        <f>IF(OR(W35="NA",W35="",Data!$D$91="NA",Data!$D$91=""),"NA",IF(Data!$D$68&lt;X35,W35*X35/Data!$D$68*Data!$D$91,W35*Data!$D$91))</f>
        <v>1437.2065169953732</v>
      </c>
      <c r="AA35" s="853"/>
      <c r="AB35" s="292" t="s">
        <v>329</v>
      </c>
      <c r="AC35" s="292" t="s">
        <v>329</v>
      </c>
      <c r="AD35" s="292" t="s">
        <v>329</v>
      </c>
      <c r="AE35" s="287" t="s">
        <v>329</v>
      </c>
      <c r="AF35" s="287" t="s">
        <v>329</v>
      </c>
      <c r="AG35" s="288" t="s">
        <v>329</v>
      </c>
      <c r="AH35" s="786">
        <v>280</v>
      </c>
      <c r="AI35" s="828">
        <v>20</v>
      </c>
      <c r="AJ35" s="287" t="s">
        <v>329</v>
      </c>
      <c r="AK35" s="288" t="s">
        <v>329</v>
      </c>
      <c r="AL35" s="784"/>
      <c r="AM35" s="811"/>
      <c r="AN35" s="1037"/>
      <c r="AO35" s="1049"/>
      <c r="AP35" s="287" t="s">
        <v>329</v>
      </c>
      <c r="AQ35" s="884">
        <v>5.42</v>
      </c>
      <c r="AR35" s="292" t="s">
        <v>329</v>
      </c>
      <c r="AS35" s="288" t="s">
        <v>329</v>
      </c>
      <c r="AT35" s="786">
        <v>1500</v>
      </c>
      <c r="AU35" s="926">
        <v>72000</v>
      </c>
      <c r="AV35" s="874"/>
      <c r="AW35" s="663"/>
      <c r="AX35" s="663"/>
      <c r="AY35" s="663"/>
      <c r="AZ35" s="664"/>
    </row>
    <row r="36" spans="1:52" s="55" customFormat="1" x14ac:dyDescent="0.25">
      <c r="A36" s="308" t="s">
        <v>354</v>
      </c>
      <c r="B36" s="1023"/>
      <c r="C36" s="1019"/>
      <c r="D36" s="1020"/>
      <c r="E36" s="1024"/>
      <c r="F36" s="874"/>
      <c r="G36" s="1017"/>
      <c r="H36" s="1040">
        <f t="shared" si="3"/>
        <v>120</v>
      </c>
      <c r="I36" s="1041">
        <f t="shared" si="3"/>
        <v>120</v>
      </c>
      <c r="J36" s="1041">
        <f t="shared" si="3"/>
        <v>120</v>
      </c>
      <c r="K36" s="1041" t="str">
        <f t="shared" si="3"/>
        <v>NA</v>
      </c>
      <c r="L36" s="1042">
        <f t="shared" si="3"/>
        <v>12000</v>
      </c>
      <c r="M36" s="522">
        <v>65.38</v>
      </c>
      <c r="N36" s="1016" t="s">
        <v>328</v>
      </c>
      <c r="O36" s="645" t="s">
        <v>329</v>
      </c>
      <c r="P36" s="637" t="s">
        <v>329</v>
      </c>
      <c r="Q36" s="699">
        <v>130</v>
      </c>
      <c r="R36" s="699">
        <v>80</v>
      </c>
      <c r="S36" s="523">
        <v>0.02</v>
      </c>
      <c r="T36" s="523">
        <v>0.3</v>
      </c>
      <c r="U36" s="848">
        <v>1000000000</v>
      </c>
      <c r="V36" s="862">
        <f t="shared" si="1"/>
        <v>130</v>
      </c>
      <c r="W36" s="847">
        <f>IF(OR(Q36="NA",Q36="",V36="NA",V36=""),"NA",(1+(V36/Q36)^1.5*((1-Data!$D$75)/(1-Data!$D$18))^1.5*(Data!$D$71/Data!$D$14)^1.5*(Data!$D$73/Data!$D$72)*(1/(39.37*Data!$D$72))^0.25))</f>
        <v>6.1996103238863176</v>
      </c>
      <c r="X36" s="847">
        <f>IF(W36="NA","NA",0.15*Data!$D$71*(1-Data!$D$75)*V36*((13.12*Data!$D$73)^(0.112*LN(Data!$D$71*(1-Data!$D$75)*V36)+1.38))/(W36*Data!$D$81))</f>
        <v>33136.001865377089</v>
      </c>
      <c r="Y36" s="847">
        <f>IF(OR(W36="NA",W36="",Data!$D$91="NA",Data!$D$91=""),"NA",W36*Data!$D$91)</f>
        <v>11.086491029477838</v>
      </c>
      <c r="Z36" s="847">
        <f>IF(OR(W36="NA",W36="",Data!$D$91="NA",Data!$D$91=""),"NA",IF(Data!$D$68&lt;X36,W36*X36/Data!$D$68*Data!$D$91,W36*Data!$D$91))</f>
        <v>1836.80993716632</v>
      </c>
      <c r="AA36" s="853"/>
      <c r="AB36" s="292" t="s">
        <v>329</v>
      </c>
      <c r="AC36" s="786">
        <v>5000</v>
      </c>
      <c r="AD36" s="817">
        <v>120</v>
      </c>
      <c r="AE36" s="818">
        <v>120</v>
      </c>
      <c r="AF36" s="818">
        <v>90</v>
      </c>
      <c r="AG36" s="819">
        <v>81</v>
      </c>
      <c r="AH36" s="817">
        <v>120</v>
      </c>
      <c r="AI36" s="879">
        <v>120</v>
      </c>
      <c r="AJ36" s="818">
        <v>90</v>
      </c>
      <c r="AK36" s="819">
        <v>81</v>
      </c>
      <c r="AL36" s="784">
        <v>120</v>
      </c>
      <c r="AM36" s="811">
        <v>120</v>
      </c>
      <c r="AN36" s="1037">
        <v>90</v>
      </c>
      <c r="AO36" s="1049">
        <v>81</v>
      </c>
      <c r="AP36" s="665" t="s">
        <v>329</v>
      </c>
      <c r="AQ36" s="1036">
        <v>13.8</v>
      </c>
      <c r="AR36" s="922">
        <v>2800</v>
      </c>
      <c r="AS36" s="288" t="s">
        <v>329</v>
      </c>
      <c r="AT36" s="817">
        <v>12000</v>
      </c>
      <c r="AU36" s="928">
        <v>12000</v>
      </c>
      <c r="AV36" s="874"/>
      <c r="AW36" s="663"/>
      <c r="AX36" s="663"/>
      <c r="AY36" s="663"/>
      <c r="AZ36" s="664"/>
    </row>
    <row r="37" spans="1:52" s="55" customFormat="1" ht="13.8" thickBot="1" x14ac:dyDescent="0.3">
      <c r="A37" s="308" t="s">
        <v>355</v>
      </c>
      <c r="B37" s="1020"/>
      <c r="C37" s="1019"/>
      <c r="D37" s="1025"/>
      <c r="E37" s="1025"/>
      <c r="F37" s="874"/>
      <c r="G37" s="1017"/>
      <c r="H37" s="1040">
        <f t="shared" si="3"/>
        <v>310</v>
      </c>
      <c r="I37" s="1041">
        <f t="shared" si="3"/>
        <v>17</v>
      </c>
      <c r="J37" s="1041">
        <f t="shared" si="3"/>
        <v>17</v>
      </c>
      <c r="K37" s="1041" t="str">
        <f t="shared" si="3"/>
        <v>NA</v>
      </c>
      <c r="L37" s="1042" t="str">
        <f t="shared" si="3"/>
        <v>NA</v>
      </c>
      <c r="M37" s="296">
        <v>91.22</v>
      </c>
      <c r="N37" s="1016" t="s">
        <v>328</v>
      </c>
      <c r="O37" s="645" t="s">
        <v>329</v>
      </c>
      <c r="P37" s="630" t="s">
        <v>329</v>
      </c>
      <c r="Q37" s="637">
        <f>R37</f>
        <v>3000</v>
      </c>
      <c r="R37" s="637">
        <v>3000</v>
      </c>
      <c r="S37" s="630" t="s">
        <v>329</v>
      </c>
      <c r="T37" s="630" t="s">
        <v>329</v>
      </c>
      <c r="U37" s="847">
        <v>380000000</v>
      </c>
      <c r="V37" s="862">
        <f t="shared" si="1"/>
        <v>3000</v>
      </c>
      <c r="W37" s="847">
        <f>IF(OR(Q37="NA",Q37="",V37="NA",V37=""),"NA",(1+(V37/Q37)^1.5*((1-Data!$D$75)/(1-Data!$D$18))^1.5*(Data!$D$71/Data!$D$14)^1.5*(Data!$D$73/Data!$D$72)*(1/(39.37*Data!$D$72))^0.25))</f>
        <v>6.1996103238863176</v>
      </c>
      <c r="X37" s="847">
        <f>IF(W37="NA","NA",0.15*Data!$D$71*(1-Data!$D$75)*V37*((13.12*Data!$D$73)^(0.112*LN(Data!$D$71*(1-Data!$D$75)*V37)+1.38))/(W37*Data!$D$81))</f>
        <v>3328199.0928657949</v>
      </c>
      <c r="Y37" s="847">
        <f>IF(OR(W37="NA",W37="",Data!$D$91="NA",Data!$D$91=""),"NA",W37*Data!$D$91)</f>
        <v>11.086491029477838</v>
      </c>
      <c r="Z37" s="847">
        <f>IF(OR(W37="NA",W37="",Data!$D$91="NA",Data!$D$91=""),"NA",IF(Data!$D$68&lt;X37,W37*X37/Data!$D$68*Data!$D$91,W37*Data!$D$91))</f>
        <v>184490.24693686457</v>
      </c>
      <c r="AA37" s="853"/>
      <c r="AB37" s="716" t="s">
        <v>329</v>
      </c>
      <c r="AC37" s="716" t="s">
        <v>329</v>
      </c>
      <c r="AD37" s="293" t="s">
        <v>329</v>
      </c>
      <c r="AE37" s="294" t="s">
        <v>329</v>
      </c>
      <c r="AF37" s="294" t="s">
        <v>329</v>
      </c>
      <c r="AG37" s="295" t="s">
        <v>329</v>
      </c>
      <c r="AH37" s="837">
        <v>310</v>
      </c>
      <c r="AI37" s="888">
        <v>17</v>
      </c>
      <c r="AJ37" s="294" t="s">
        <v>329</v>
      </c>
      <c r="AK37" s="295" t="s">
        <v>329</v>
      </c>
      <c r="AL37" s="786"/>
      <c r="AM37" s="815"/>
      <c r="AN37" s="1037"/>
      <c r="AO37" s="1049"/>
      <c r="AP37" s="287" t="s">
        <v>329</v>
      </c>
      <c r="AQ37" s="689" t="s">
        <v>329</v>
      </c>
      <c r="AR37" s="292" t="s">
        <v>329</v>
      </c>
      <c r="AS37" s="288" t="s">
        <v>329</v>
      </c>
      <c r="AT37" s="292" t="s">
        <v>329</v>
      </c>
      <c r="AU37" s="288" t="s">
        <v>329</v>
      </c>
      <c r="AV37" s="944"/>
      <c r="AW37" s="945"/>
      <c r="AX37" s="945"/>
      <c r="AY37" s="945"/>
      <c r="AZ37" s="946"/>
    </row>
    <row r="38" spans="1:52" s="55" customFormat="1" x14ac:dyDescent="0.25">
      <c r="A38" s="573" t="s">
        <v>356</v>
      </c>
      <c r="B38" s="511"/>
      <c r="C38" s="512"/>
      <c r="D38" s="512"/>
      <c r="E38" s="513"/>
      <c r="F38" s="547"/>
      <c r="G38" s="548"/>
      <c r="H38" s="800"/>
      <c r="I38" s="534"/>
      <c r="J38" s="534"/>
      <c r="K38" s="534"/>
      <c r="L38" s="808"/>
      <c r="M38" s="511"/>
      <c r="N38" s="534"/>
      <c r="O38" s="534"/>
      <c r="P38" s="639"/>
      <c r="Q38" s="631"/>
      <c r="R38" s="631"/>
      <c r="S38" s="512"/>
      <c r="T38" s="512"/>
      <c r="U38" s="534"/>
      <c r="V38" s="800"/>
      <c r="W38" s="534"/>
      <c r="X38" s="534"/>
      <c r="Y38" s="534"/>
      <c r="Z38" s="534"/>
      <c r="AA38" s="513"/>
      <c r="AB38" s="527"/>
      <c r="AC38" s="527"/>
      <c r="AD38" s="511"/>
      <c r="AE38" s="512"/>
      <c r="AF38" s="512"/>
      <c r="AG38" s="513"/>
      <c r="AH38" s="511"/>
      <c r="AI38" s="512"/>
      <c r="AJ38" s="512"/>
      <c r="AK38" s="513"/>
      <c r="AL38" s="511"/>
      <c r="AM38" s="512"/>
      <c r="AN38" s="1050"/>
      <c r="AO38" s="1051"/>
      <c r="AP38" s="512"/>
      <c r="AQ38" s="512"/>
      <c r="AR38" s="511"/>
      <c r="AS38" s="513"/>
      <c r="AT38" s="511"/>
      <c r="AU38" s="513"/>
      <c r="AV38" s="511"/>
      <c r="AW38" s="512"/>
      <c r="AX38" s="512"/>
      <c r="AY38" s="512"/>
      <c r="AZ38" s="513"/>
    </row>
    <row r="39" spans="1:52" s="55" customFormat="1" x14ac:dyDescent="0.25">
      <c r="A39" s="307" t="s">
        <v>357</v>
      </c>
      <c r="B39" s="1018"/>
      <c r="C39" s="1019"/>
      <c r="D39" s="1020"/>
      <c r="E39" s="1021"/>
      <c r="F39" s="502"/>
      <c r="G39" s="503"/>
      <c r="H39" s="1040" t="str">
        <f t="shared" ref="H39:L43" si="4">IF(INDEX($AB$11:$AZ$310,,H$7)=0,"NA",INDEX($AB$11:$AZ$310,,H$7))</f>
        <v>NA</v>
      </c>
      <c r="I39" s="1041" t="str">
        <f t="shared" si="4"/>
        <v>NA</v>
      </c>
      <c r="J39" s="1041" t="str">
        <f t="shared" si="4"/>
        <v>NA</v>
      </c>
      <c r="K39" s="1041" t="str">
        <f t="shared" si="4"/>
        <v>NA</v>
      </c>
      <c r="L39" s="1042" t="str">
        <f t="shared" si="4"/>
        <v>NA</v>
      </c>
      <c r="M39" s="289">
        <v>303.85000000000002</v>
      </c>
      <c r="N39" s="645">
        <v>6.5099999999999999E-4</v>
      </c>
      <c r="O39" s="645">
        <f>IF(M39="NA","NA",(IF(N39="NA","NA",((((28.97+M39)/(28.97*M39))^0.5)*(10^-3)*(Data!$D$50^1.75)/((2*(24547^(1/3)))^2)))))</f>
        <v>1.3181298589367812E-3</v>
      </c>
      <c r="P39" s="629">
        <f>10^0.58</f>
        <v>3.8018939632056119</v>
      </c>
      <c r="Q39" s="873">
        <f>IF($P39="NA","NA",(0.617*Data!$D$9*$P39/100)/(1+Data!$D$15*$P39*0.000000617))</f>
        <v>7.0373057258935875E-2</v>
      </c>
      <c r="R39" s="873">
        <f>Q39</f>
        <v>7.0373057258935875E-2</v>
      </c>
      <c r="S39" s="290">
        <v>1</v>
      </c>
      <c r="T39" s="290">
        <f>IF(S39= "NA", "NA", S39)</f>
        <v>1</v>
      </c>
      <c r="U39" s="847">
        <v>92000</v>
      </c>
      <c r="V39" s="860">
        <f>IF(Data!$D$69="",E39,IF(P39="NA","NA",(0.617*Data!$D$69*P39/100)/(1+Data!$D$15*P39*0.000000617)))</f>
        <v>4.6915371505957246E-2</v>
      </c>
      <c r="W39" s="847">
        <f>IF(OR(Q39="NA",Q39="",V39="NA",V39=""),"NA",(1+(V39/Q39)^1.5*((1-Data!$D$75)/(1-Data!$D$18))^1.5*(Data!$D$71/Data!$D$14)^1.5*(Data!$D$73/Data!$D$72)*(1/(39.37*Data!$D$72))^0.25))</f>
        <v>3.8303093677397895</v>
      </c>
      <c r="X39" s="847">
        <f>IF(W39="NA","NA",0.15*Data!$D$71*(1-Data!$D$75)*V39*((13.12*Data!$D$73)^(0.112*LN(Data!$D$71*(1-Data!$D$75)*V39)+1.38))/(W39*Data!$D$81))</f>
        <v>0.47176198512626072</v>
      </c>
      <c r="Y39" s="847">
        <f>IF(OR(W39="NA",W39="",Data!$D$91="NA",Data!$D$91=""),"NA",W39*Data!$D$91)</f>
        <v>6.8495741227413927</v>
      </c>
      <c r="Z39" s="847">
        <f>IF(OR(W39="NA",W39="",Data!$D$91="NA",Data!$D$91=""),"NA",IF(Data!$D$68&lt;X39,W39*X39/Data!$D$68*Data!$D$91,W39*Data!$D$91))</f>
        <v>6.8495741227413927</v>
      </c>
      <c r="AA39" s="853"/>
      <c r="AB39" s="710" t="s">
        <v>329</v>
      </c>
      <c r="AC39" s="710" t="s">
        <v>329</v>
      </c>
      <c r="AD39" s="292" t="s">
        <v>329</v>
      </c>
      <c r="AE39" s="287" t="s">
        <v>329</v>
      </c>
      <c r="AF39" s="287" t="s">
        <v>329</v>
      </c>
      <c r="AG39" s="288" t="s">
        <v>329</v>
      </c>
      <c r="AH39" s="292" t="s">
        <v>329</v>
      </c>
      <c r="AI39" s="689" t="s">
        <v>329</v>
      </c>
      <c r="AJ39" s="287" t="s">
        <v>329</v>
      </c>
      <c r="AK39" s="288" t="s">
        <v>329</v>
      </c>
      <c r="AL39" s="786"/>
      <c r="AM39" s="815"/>
      <c r="AN39" s="1037"/>
      <c r="AO39" s="1049"/>
      <c r="AP39" s="287" t="s">
        <v>329</v>
      </c>
      <c r="AQ39" s="689" t="s">
        <v>329</v>
      </c>
      <c r="AR39" s="292" t="s">
        <v>329</v>
      </c>
      <c r="AS39" s="288" t="s">
        <v>329</v>
      </c>
      <c r="AT39" s="292" t="s">
        <v>329</v>
      </c>
      <c r="AU39" s="288" t="s">
        <v>329</v>
      </c>
      <c r="AV39" s="874"/>
      <c r="AW39" s="663"/>
      <c r="AX39" s="663"/>
      <c r="AY39" s="663"/>
      <c r="AZ39" s="664"/>
    </row>
    <row r="40" spans="1:52" s="55" customFormat="1" x14ac:dyDescent="0.25">
      <c r="A40" s="307" t="s">
        <v>358</v>
      </c>
      <c r="B40" s="1020"/>
      <c r="C40" s="1019"/>
      <c r="D40" s="1025"/>
      <c r="E40" s="1025"/>
      <c r="F40" s="502"/>
      <c r="G40" s="503"/>
      <c r="H40" s="1040" t="str">
        <f t="shared" si="4"/>
        <v>NA</v>
      </c>
      <c r="I40" s="1041" t="str">
        <f t="shared" si="4"/>
        <v>NA</v>
      </c>
      <c r="J40" s="1041" t="str">
        <f t="shared" si="4"/>
        <v>NA</v>
      </c>
      <c r="K40" s="1041" t="str">
        <f t="shared" si="4"/>
        <v>NA</v>
      </c>
      <c r="L40" s="1042" t="str">
        <f t="shared" si="4"/>
        <v>NA</v>
      </c>
      <c r="M40" s="289">
        <v>282.17</v>
      </c>
      <c r="N40" s="645">
        <v>1.9840000000000001E-3</v>
      </c>
      <c r="O40" s="645">
        <f>IF(M40="NA","NA",(IF(N40="NA","NA",((((28.97+M40)/(28.97*M40))^0.5)*(10^-3)*(Data!$D$50^1.75)/((2*(24547^(1/3)))^2)))))</f>
        <v>1.3225302513736915E-3</v>
      </c>
      <c r="P40" s="629">
        <f>10^0.41</f>
        <v>2.5703957827688639</v>
      </c>
      <c r="Q40" s="873">
        <f>IF($P40="NA","NA",(0.617*Data!$D$9*$P40/100)/(1+Data!$D$15*$P40*0.000000617))</f>
        <v>4.7578025939051666E-2</v>
      </c>
      <c r="R40" s="873">
        <f>Q40</f>
        <v>4.7578025939051666E-2</v>
      </c>
      <c r="S40" s="290">
        <v>1</v>
      </c>
      <c r="T40" s="290">
        <f>IF(S40= "NA", "NA", S40)</f>
        <v>1</v>
      </c>
      <c r="U40" s="847">
        <v>8200000</v>
      </c>
      <c r="V40" s="860">
        <f>IF(Data!$D$69="",E40,IF(P40="NA","NA",(0.617*Data!$D$69*P40/100)/(1+Data!$D$15*P40*0.000000617)))</f>
        <v>3.1718683959367777E-2</v>
      </c>
      <c r="W40" s="847">
        <f>IF(OR(Q40="NA",Q40="",V40="NA",V40=""),"NA",(1+(V40/Q40)^1.5*((1-Data!$D$75)/(1-Data!$D$18))^1.5*(Data!$D$71/Data!$D$14)^1.5*(Data!$D$73/Data!$D$72)*(1/(39.37*Data!$D$72))^0.25))</f>
        <v>3.8303093677397895</v>
      </c>
      <c r="X40" s="847">
        <f>IF(W40="NA","NA",0.15*Data!$D$71*(1-Data!$D$75)*V40*((13.12*Data!$D$73)^(0.112*LN(Data!$D$71*(1-Data!$D$75)*V40)+1.38))/(W40*Data!$D$81))</f>
        <v>0.26550191689606856</v>
      </c>
      <c r="Y40" s="847">
        <f>IF(OR(W40="NA",W40="",Data!$D$91="NA",Data!$D$91=""),"NA",W40*Data!$D$91)</f>
        <v>6.8495741227413927</v>
      </c>
      <c r="Z40" s="847">
        <f>IF(OR(W40="NA",W40="",Data!$D$91="NA",Data!$D$91=""),"NA",IF(Data!$D$68&lt;X40,W40*X40/Data!$D$68*Data!$D$91,W40*Data!$D$91))</f>
        <v>6.8495741227413927</v>
      </c>
      <c r="AA40" s="853"/>
      <c r="AB40" s="710" t="s">
        <v>329</v>
      </c>
      <c r="AC40" s="710" t="s">
        <v>329</v>
      </c>
      <c r="AD40" s="292" t="s">
        <v>329</v>
      </c>
      <c r="AE40" s="287" t="s">
        <v>329</v>
      </c>
      <c r="AF40" s="287" t="s">
        <v>329</v>
      </c>
      <c r="AG40" s="288" t="s">
        <v>329</v>
      </c>
      <c r="AH40" s="292" t="s">
        <v>329</v>
      </c>
      <c r="AI40" s="689" t="s">
        <v>329</v>
      </c>
      <c r="AJ40" s="287" t="s">
        <v>329</v>
      </c>
      <c r="AK40" s="288" t="s">
        <v>329</v>
      </c>
      <c r="AL40" s="786"/>
      <c r="AM40" s="815"/>
      <c r="AN40" s="1037"/>
      <c r="AO40" s="1049"/>
      <c r="AP40" s="287" t="s">
        <v>329</v>
      </c>
      <c r="AQ40" s="689" t="s">
        <v>329</v>
      </c>
      <c r="AR40" s="292" t="s">
        <v>329</v>
      </c>
      <c r="AS40" s="288" t="s">
        <v>329</v>
      </c>
      <c r="AT40" s="292" t="s">
        <v>329</v>
      </c>
      <c r="AU40" s="288" t="s">
        <v>329</v>
      </c>
      <c r="AV40" s="874"/>
      <c r="AW40" s="663"/>
      <c r="AX40" s="663"/>
      <c r="AY40" s="663"/>
      <c r="AZ40" s="664"/>
    </row>
    <row r="41" spans="1:52" s="55" customFormat="1" x14ac:dyDescent="0.25">
      <c r="A41" s="307" t="s">
        <v>359</v>
      </c>
      <c r="B41" s="1020"/>
      <c r="C41" s="1019"/>
      <c r="D41" s="1025"/>
      <c r="E41" s="1025"/>
      <c r="F41" s="502"/>
      <c r="G41" s="503"/>
      <c r="H41" s="1040" t="str">
        <f t="shared" si="4"/>
        <v>NA</v>
      </c>
      <c r="I41" s="1041" t="str">
        <f t="shared" si="4"/>
        <v>NA</v>
      </c>
      <c r="J41" s="1041" t="str">
        <f t="shared" si="4"/>
        <v>NA</v>
      </c>
      <c r="K41" s="1041" t="str">
        <f t="shared" si="4"/>
        <v>NA</v>
      </c>
      <c r="L41" s="1042" t="str">
        <f t="shared" si="4"/>
        <v>NA</v>
      </c>
      <c r="M41" s="289">
        <v>347.15</v>
      </c>
      <c r="N41" s="645" t="s">
        <v>329</v>
      </c>
      <c r="O41" s="645" t="str">
        <f>IF(M41="NA","NA",(IF(N41="NA","NA",((((28.97+M41)/(28.97*M41))^0.5)*(10^-3)*(Data!$D$50^1.75)/((2*(24547^(1/3)))^2)))))</f>
        <v>NA</v>
      </c>
      <c r="P41" s="637" t="s">
        <v>329</v>
      </c>
      <c r="Q41" s="629" t="str">
        <f>IF($P41="NA","NA",(0.617*Data!$D$9*$P41/100)/(1+Data!$D$15*$P41*0.000000617))</f>
        <v>NA</v>
      </c>
      <c r="R41" s="629" t="str">
        <f>Q41</f>
        <v>NA</v>
      </c>
      <c r="S41" s="290">
        <v>1</v>
      </c>
      <c r="T41" s="290">
        <f>IF(S41= "NA", "NA", S41)</f>
        <v>1</v>
      </c>
      <c r="U41" s="847" t="s">
        <v>329</v>
      </c>
      <c r="V41" s="860" t="str">
        <f>IF(Data!$D$69="",E41,IF(P41="NA","NA",(0.617*Data!$D$69*P41/100)/(1+Data!$D$15*P41*0.000000617)))</f>
        <v>NA</v>
      </c>
      <c r="W41" s="847" t="str">
        <f>IF(OR(Q41="NA",Q41="",V41="NA",V41=""),"NA",(1+(V41/Q41)^1.5*((1-Data!$D$75)/(1-Data!$D$18))^1.5*(Data!$D$71/Data!$D$14)^1.5*(Data!$D$73/Data!$D$72)*(1/(39.37*Data!$D$72))^0.25))</f>
        <v>NA</v>
      </c>
      <c r="X41" s="847" t="str">
        <f>IF(W41="NA","NA",0.15*Data!$D$71*(1-Data!$D$75)*V41*((13.12*Data!$D$73)^(0.112*LN(Data!$D$71*(1-Data!$D$75)*V41)+1.38))/(W41*Data!$D$81))</f>
        <v>NA</v>
      </c>
      <c r="Y41" s="847" t="str">
        <f>IF(OR(W41="NA",W41="",Data!$D$91="NA",Data!$D$91=""),"NA",W41*Data!$D$91)</f>
        <v>NA</v>
      </c>
      <c r="Z41" s="847" t="str">
        <f>IF(OR(W41="NA",W41="",Data!$D$91="NA",Data!$D$91=""),"NA",IF(Data!$D$68&lt;X41,W41*X41/Data!$D$68*Data!$D$91,W41*Data!$D$91))</f>
        <v>NA</v>
      </c>
      <c r="AA41" s="853"/>
      <c r="AB41" s="710" t="s">
        <v>329</v>
      </c>
      <c r="AC41" s="710" t="s">
        <v>329</v>
      </c>
      <c r="AD41" s="292" t="s">
        <v>329</v>
      </c>
      <c r="AE41" s="287" t="s">
        <v>329</v>
      </c>
      <c r="AF41" s="287" t="s">
        <v>329</v>
      </c>
      <c r="AG41" s="288" t="s">
        <v>329</v>
      </c>
      <c r="AH41" s="292" t="s">
        <v>329</v>
      </c>
      <c r="AI41" s="689" t="s">
        <v>329</v>
      </c>
      <c r="AJ41" s="287" t="s">
        <v>329</v>
      </c>
      <c r="AK41" s="288" t="s">
        <v>329</v>
      </c>
      <c r="AL41" s="786"/>
      <c r="AM41" s="815"/>
      <c r="AN41" s="1037"/>
      <c r="AO41" s="1049"/>
      <c r="AP41" s="287" t="s">
        <v>329</v>
      </c>
      <c r="AQ41" s="689" t="s">
        <v>329</v>
      </c>
      <c r="AR41" s="292" t="s">
        <v>329</v>
      </c>
      <c r="AS41" s="288" t="s">
        <v>329</v>
      </c>
      <c r="AT41" s="292" t="s">
        <v>329</v>
      </c>
      <c r="AU41" s="288" t="s">
        <v>329</v>
      </c>
      <c r="AV41" s="874"/>
      <c r="AW41" s="663"/>
      <c r="AX41" s="663"/>
      <c r="AY41" s="663"/>
      <c r="AZ41" s="664"/>
    </row>
    <row r="42" spans="1:52" s="55" customFormat="1" x14ac:dyDescent="0.25">
      <c r="A42" s="308" t="s">
        <v>360</v>
      </c>
      <c r="B42" s="1020"/>
      <c r="C42" s="1019"/>
      <c r="D42" s="1025"/>
      <c r="E42" s="1025"/>
      <c r="F42" s="502"/>
      <c r="G42" s="503"/>
      <c r="H42" s="1040">
        <f t="shared" si="4"/>
        <v>0.46</v>
      </c>
      <c r="I42" s="1041">
        <f t="shared" si="4"/>
        <v>7.1999999999999995E-2</v>
      </c>
      <c r="J42" s="1041">
        <f t="shared" si="4"/>
        <v>7.1999999999999995E-2</v>
      </c>
      <c r="K42" s="1041" t="str">
        <f t="shared" si="4"/>
        <v>NA</v>
      </c>
      <c r="L42" s="1042" t="str">
        <f t="shared" si="4"/>
        <v>NA</v>
      </c>
      <c r="M42" s="289">
        <v>325.49</v>
      </c>
      <c r="N42" s="645">
        <v>7.6200000000000004E-2</v>
      </c>
      <c r="O42" s="645">
        <f>IF(M42="NA","NA",(IF(N42="NA","NA",((((28.97+M42)/(28.97*M42))^0.5)*(10^-3)*(Data!$D$50^1.75)/((2*(24547^(1/3)))^2)))))</f>
        <v>1.314310270425192E-3</v>
      </c>
      <c r="P42" s="637">
        <v>1300</v>
      </c>
      <c r="Q42" s="629">
        <f>IF($P42="NA","NA",(0.617*Data!$D$9*$P42/100)/(1+Data!$D$15*$P42*0.000000617))</f>
        <v>24.063000000000002</v>
      </c>
      <c r="R42" s="629">
        <f>Q42</f>
        <v>24.063000000000002</v>
      </c>
      <c r="S42" s="290">
        <v>1</v>
      </c>
      <c r="T42" s="290">
        <f>IF(S42= "NA", "NA", S42)</f>
        <v>1</v>
      </c>
      <c r="U42" s="847">
        <v>17000</v>
      </c>
      <c r="V42" s="860">
        <f>IF(Data!$D$69="",E42,IF(P42="NA","NA",(0.617*Data!$D$69*P42/100)/(1+Data!$D$15*P42*0.000000617)))</f>
        <v>16.042000000000002</v>
      </c>
      <c r="W42" s="847">
        <f>IF(OR(Q42="NA",Q42="",V42="NA",V42=""),"NA",(1+(V42/Q42)^1.5*((1-Data!$D$75)/(1-Data!$D$18))^1.5*(Data!$D$71/Data!$D$14)^1.5*(Data!$D$73/Data!$D$72)*(1/(39.37*Data!$D$72))^0.25))</f>
        <v>3.8303093677397895</v>
      </c>
      <c r="X42" s="847">
        <f>IF(W42="NA","NA",0.15*Data!$D$71*(1-Data!$D$75)*V42*((13.12*Data!$D$73)^(0.112*LN(Data!$D$71*(1-Data!$D$75)*V42)+1.38))/(W42*Data!$D$81))</f>
        <v>2482.9730329184977</v>
      </c>
      <c r="Y42" s="847">
        <f>IF(OR(W42="NA",W42="",Data!$D$91="NA",Data!$D$91=""),"NA",W42*Data!$D$91)</f>
        <v>6.8495741227413927</v>
      </c>
      <c r="Z42" s="847">
        <f>IF(OR(W42="NA",W42="",Data!$D$91="NA",Data!$D$91=""),"NA",IF(Data!$D$68&lt;X42,W42*X42/Data!$D$68*Data!$D$91,W42*Data!$D$91))</f>
        <v>85.036539168716274</v>
      </c>
      <c r="AA42" s="853"/>
      <c r="AB42" s="710" t="s">
        <v>329</v>
      </c>
      <c r="AC42" s="710" t="s">
        <v>329</v>
      </c>
      <c r="AD42" s="784">
        <v>0.46</v>
      </c>
      <c r="AE42" s="287">
        <v>7.1999999999999995E-2</v>
      </c>
      <c r="AF42" s="811">
        <v>0.42</v>
      </c>
      <c r="AG42" s="695">
        <v>7.4000000000000003E-3</v>
      </c>
      <c r="AH42" s="292">
        <v>0.46</v>
      </c>
      <c r="AI42" s="689">
        <v>7.1999999999999995E-2</v>
      </c>
      <c r="AJ42" s="287">
        <v>0.42</v>
      </c>
      <c r="AK42" s="288">
        <v>7.4000000000000003E-3</v>
      </c>
      <c r="AL42" s="786"/>
      <c r="AM42" s="287">
        <v>2.5999999999999999E-2</v>
      </c>
      <c r="AN42" s="1037"/>
      <c r="AO42" s="1049">
        <v>0.01</v>
      </c>
      <c r="AP42" s="287" t="s">
        <v>329</v>
      </c>
      <c r="AQ42" s="689" t="s">
        <v>329</v>
      </c>
      <c r="AR42" s="292" t="s">
        <v>329</v>
      </c>
      <c r="AS42" s="288" t="s">
        <v>329</v>
      </c>
      <c r="AT42" s="292" t="s">
        <v>329</v>
      </c>
      <c r="AU42" s="288" t="s">
        <v>329</v>
      </c>
      <c r="AV42" s="874"/>
      <c r="AW42" s="663"/>
      <c r="AX42" s="663"/>
      <c r="AY42" s="663"/>
      <c r="AZ42" s="664"/>
    </row>
    <row r="43" spans="1:52" s="55" customFormat="1" ht="13.8" thickBot="1" x14ac:dyDescent="0.3">
      <c r="A43" s="307" t="s">
        <v>361</v>
      </c>
      <c r="B43" s="1018"/>
      <c r="C43" s="1019"/>
      <c r="D43" s="1019"/>
      <c r="E43" s="1021"/>
      <c r="F43" s="502"/>
      <c r="G43" s="503"/>
      <c r="H43" s="1040">
        <f t="shared" si="4"/>
        <v>9.9000000000000005E-2</v>
      </c>
      <c r="I43" s="1041">
        <f t="shared" si="4"/>
        <v>2.8E-3</v>
      </c>
      <c r="J43" s="1041">
        <f t="shared" si="4"/>
        <v>2.8E-3</v>
      </c>
      <c r="K43" s="1041" t="str">
        <f t="shared" si="4"/>
        <v>NA</v>
      </c>
      <c r="L43" s="1042" t="str">
        <f t="shared" si="4"/>
        <v>NA</v>
      </c>
      <c r="M43" s="289">
        <v>215.63</v>
      </c>
      <c r="N43" s="1016">
        <v>3.6699999999999999E-7</v>
      </c>
      <c r="O43" s="645">
        <v>3.6999999999999998E-2</v>
      </c>
      <c r="P43" s="645">
        <f>10^0.41</f>
        <v>2.5703957827688639</v>
      </c>
      <c r="Q43" s="290">
        <f>IF($P43="NA","NA",(0.617*Data!$D$9*$P43/100)/(1+Data!$D$15*$P43*0.000000617))</f>
        <v>4.7578025939051666E-2</v>
      </c>
      <c r="R43" s="290">
        <f>Q43</f>
        <v>4.7578025939051666E-2</v>
      </c>
      <c r="S43" s="290">
        <v>1</v>
      </c>
      <c r="T43" s="290">
        <f>IF(S43= "NA", "NA", S43)</f>
        <v>1</v>
      </c>
      <c r="U43" s="847">
        <v>31300000</v>
      </c>
      <c r="V43" s="1070">
        <f>IF(TRUE=ISBLANK(Q43),"",(Q43))</f>
        <v>4.7578025939051666E-2</v>
      </c>
      <c r="W43" s="847">
        <f>IF(OR(Q43="NA",Q43="",V43="NA",V43=""),"NA",(1+(V43/Q43)^1.5*((1-Data!$D$75)/(1-Data!$D$18))^1.5*(Data!$D$71/Data!$D$14)^1.5*(Data!$D$73/Data!$D$72)*(1/(39.37*Data!$D$72))^0.25))</f>
        <v>6.1996103238863176</v>
      </c>
      <c r="X43" s="847">
        <f>IF(W43="NA","NA",0.15*Data!$D$71*(1-Data!$D$75)*V43*((13.12*Data!$D$73)^(0.112*LN(Data!$D$71*(1-Data!$D$75)*V43)+1.38))/(W43*Data!$D$81))</f>
        <v>0.29753481080951583</v>
      </c>
      <c r="Y43" s="847">
        <f>IF(OR(W43="NA",W43="",Data!$D$91="NA",Data!$D$91=""),"NA",W43*Data!$D$91)</f>
        <v>11.086491029477838</v>
      </c>
      <c r="Z43" s="847">
        <f>IF(OR(W43="NA",W43="",Data!$D$91="NA",Data!$D$91=""),"NA",IF(Data!$D$68&lt;X43,W43*X43/Data!$D$68*Data!$D$91,W43*Data!$D$91))</f>
        <v>11.086491029477838</v>
      </c>
      <c r="AA43" s="853"/>
      <c r="AB43" s="292" t="s">
        <v>329</v>
      </c>
      <c r="AC43" s="292" t="s">
        <v>329</v>
      </c>
      <c r="AD43" s="292" t="s">
        <v>329</v>
      </c>
      <c r="AE43" s="287" t="s">
        <v>329</v>
      </c>
      <c r="AF43" s="287" t="s">
        <v>329</v>
      </c>
      <c r="AG43" s="288" t="s">
        <v>329</v>
      </c>
      <c r="AH43" s="292">
        <v>9.9000000000000005E-2</v>
      </c>
      <c r="AI43" s="885">
        <v>2.8E-3</v>
      </c>
      <c r="AJ43" s="287" t="s">
        <v>329</v>
      </c>
      <c r="AK43" s="288" t="s">
        <v>329</v>
      </c>
      <c r="AL43" s="786"/>
      <c r="AM43" s="815"/>
      <c r="AN43" s="1037"/>
      <c r="AO43" s="1049"/>
      <c r="AP43" s="287" t="s">
        <v>329</v>
      </c>
      <c r="AQ43" s="689" t="s">
        <v>329</v>
      </c>
      <c r="AR43" s="292" t="s">
        <v>329</v>
      </c>
      <c r="AS43" s="288" t="s">
        <v>329</v>
      </c>
      <c r="AT43" s="292" t="s">
        <v>329</v>
      </c>
      <c r="AU43" s="288" t="s">
        <v>329</v>
      </c>
      <c r="AV43" s="874"/>
      <c r="AW43" s="663"/>
      <c r="AX43" s="663"/>
      <c r="AY43" s="663"/>
      <c r="AZ43" s="664"/>
    </row>
    <row r="44" spans="1:52" s="55" customFormat="1" x14ac:dyDescent="0.25">
      <c r="A44" s="573" t="s">
        <v>362</v>
      </c>
      <c r="B44" s="511"/>
      <c r="C44" s="512"/>
      <c r="D44" s="512"/>
      <c r="E44" s="513"/>
      <c r="F44" s="547"/>
      <c r="G44" s="548"/>
      <c r="H44" s="800"/>
      <c r="I44" s="534"/>
      <c r="J44" s="534"/>
      <c r="K44" s="534"/>
      <c r="L44" s="808"/>
      <c r="M44" s="511"/>
      <c r="N44" s="534"/>
      <c r="O44" s="534"/>
      <c r="P44" s="639"/>
      <c r="Q44" s="631"/>
      <c r="R44" s="631"/>
      <c r="S44" s="512"/>
      <c r="T44" s="512"/>
      <c r="U44" s="534"/>
      <c r="V44" s="800"/>
      <c r="W44" s="534"/>
      <c r="X44" s="534"/>
      <c r="Y44" s="534"/>
      <c r="Z44" s="534"/>
      <c r="AA44" s="513"/>
      <c r="AB44" s="527"/>
      <c r="AC44" s="527"/>
      <c r="AD44" s="511"/>
      <c r="AE44" s="512"/>
      <c r="AF44" s="512"/>
      <c r="AG44" s="513"/>
      <c r="AH44" s="511"/>
      <c r="AI44" s="512"/>
      <c r="AJ44" s="512"/>
      <c r="AK44" s="513"/>
      <c r="AL44" s="511"/>
      <c r="AM44" s="512"/>
      <c r="AN44" s="1050"/>
      <c r="AO44" s="1051"/>
      <c r="AP44" s="512"/>
      <c r="AQ44" s="512"/>
      <c r="AR44" s="511"/>
      <c r="AS44" s="513"/>
      <c r="AT44" s="511"/>
      <c r="AU44" s="513"/>
      <c r="AV44" s="511"/>
      <c r="AW44" s="512"/>
      <c r="AX44" s="512"/>
      <c r="AY44" s="512"/>
      <c r="AZ44" s="513"/>
    </row>
    <row r="45" spans="1:52" s="55" customFormat="1" x14ac:dyDescent="0.25">
      <c r="A45" s="307" t="s">
        <v>363</v>
      </c>
      <c r="B45" s="1020"/>
      <c r="C45" s="1019"/>
      <c r="D45" s="1025"/>
      <c r="E45" s="1025"/>
      <c r="F45" s="502"/>
      <c r="G45" s="503"/>
      <c r="H45" s="1040">
        <f t="shared" ref="H45:L48" si="5">IF(INDEX($AB$11:$AZ$310,,H$7)=0,"NA",INDEX($AB$11:$AZ$310,,H$7))</f>
        <v>22</v>
      </c>
      <c r="I45" s="1041">
        <f t="shared" si="5"/>
        <v>5.2</v>
      </c>
      <c r="J45" s="1041">
        <f t="shared" si="5"/>
        <v>5.2</v>
      </c>
      <c r="K45" s="1041">
        <f t="shared" si="5"/>
        <v>0.02</v>
      </c>
      <c r="L45" s="1042">
        <f t="shared" si="5"/>
        <v>200</v>
      </c>
      <c r="M45" s="289">
        <v>27.03</v>
      </c>
      <c r="N45" s="645">
        <v>1.3300000000000001E-4</v>
      </c>
      <c r="O45" s="645">
        <v>0.17699999999999999</v>
      </c>
      <c r="P45" s="290" t="s">
        <v>329</v>
      </c>
      <c r="Q45" s="733">
        <v>9.9</v>
      </c>
      <c r="R45" s="733">
        <v>9.9</v>
      </c>
      <c r="S45" s="290">
        <v>1</v>
      </c>
      <c r="T45" s="290">
        <f>IF(S45= "NA", "NA", S45)</f>
        <v>1</v>
      </c>
      <c r="U45" s="847">
        <v>1000000000</v>
      </c>
      <c r="V45" s="860" t="str">
        <f>IF(Data!$D$69="",E45,IF(P45="NA","NA",(0.617*Data!$D$69*P45/100)/(1+Data!$D$15*P45*0.000000617)))</f>
        <v>NA</v>
      </c>
      <c r="W45" s="847" t="str">
        <f>IF(OR(Q45="NA",Q45="",V45="NA",V45=""),"NA",(1+(V45/Q45)^1.5*((1-Data!$D$75)/(1-Data!$D$18))^1.5*(Data!$D$71/Data!$D$14)^1.5*(Data!$D$73/Data!$D$72)*(1/(39.37*Data!$D$72))^0.25))</f>
        <v>NA</v>
      </c>
      <c r="X45" s="847" t="str">
        <f>IF(W45="NA","NA",0.15*Data!$D$71*(1-Data!$D$75)*V45*((13.12*Data!$D$73)^(0.112*LN(Data!$D$71*(1-Data!$D$75)*V45)+1.38))/(W45*Data!$D$81))</f>
        <v>NA</v>
      </c>
      <c r="Y45" s="847" t="str">
        <f>IF(OR(W45="NA",W45="",Data!$D$91="NA",Data!$D$91=""),"NA",W45*Data!$D$91)</f>
        <v>NA</v>
      </c>
      <c r="Z45" s="847" t="str">
        <f>IF(OR(W45="NA",W45="",Data!$D$91="NA",Data!$D$91=""),"NA",IF(Data!$D$68&lt;X45,W45*X45/Data!$D$68*Data!$D$91,W45*Data!$D$91))</f>
        <v>NA</v>
      </c>
      <c r="AA45" s="853"/>
      <c r="AB45" s="718">
        <v>200</v>
      </c>
      <c r="AC45" s="718">
        <v>200</v>
      </c>
      <c r="AD45" s="786">
        <v>22</v>
      </c>
      <c r="AE45" s="813">
        <v>5.2</v>
      </c>
      <c r="AF45" s="815">
        <v>1</v>
      </c>
      <c r="AG45" s="816">
        <v>1</v>
      </c>
      <c r="AH45" s="786">
        <v>22</v>
      </c>
      <c r="AI45" s="827">
        <v>5.2</v>
      </c>
      <c r="AJ45" s="815">
        <v>1</v>
      </c>
      <c r="AK45" s="816">
        <v>1</v>
      </c>
      <c r="AL45" s="786">
        <v>22</v>
      </c>
      <c r="AM45" s="813">
        <v>5.2</v>
      </c>
      <c r="AN45" s="1037">
        <v>1</v>
      </c>
      <c r="AO45" s="1049">
        <v>1</v>
      </c>
      <c r="AP45" s="811">
        <v>0.02</v>
      </c>
      <c r="AQ45" s="689" t="s">
        <v>329</v>
      </c>
      <c r="AR45" s="292" t="s">
        <v>329</v>
      </c>
      <c r="AS45" s="288" t="s">
        <v>329</v>
      </c>
      <c r="AT45" s="786">
        <v>200</v>
      </c>
      <c r="AU45" s="926">
        <v>200</v>
      </c>
      <c r="AV45" s="874"/>
      <c r="AW45" s="663"/>
      <c r="AX45" s="663"/>
      <c r="AY45" s="663"/>
      <c r="AZ45" s="664"/>
    </row>
    <row r="46" spans="1:52" s="55" customFormat="1" x14ac:dyDescent="0.25">
      <c r="A46" s="307" t="s">
        <v>364</v>
      </c>
      <c r="B46" s="1020">
        <v>10</v>
      </c>
      <c r="C46" s="1019">
        <v>10</v>
      </c>
      <c r="D46" s="1025">
        <v>2</v>
      </c>
      <c r="E46" s="1025">
        <v>1</v>
      </c>
      <c r="F46" s="502"/>
      <c r="G46" s="503"/>
      <c r="H46" s="1040" t="str">
        <f t="shared" si="5"/>
        <v>NA</v>
      </c>
      <c r="I46" s="1041">
        <f t="shared" si="5"/>
        <v>1700</v>
      </c>
      <c r="J46" s="1041">
        <f t="shared" si="5"/>
        <v>1700</v>
      </c>
      <c r="K46" s="1041">
        <f t="shared" si="5"/>
        <v>2.9000000000000001E-2</v>
      </c>
      <c r="L46" s="1042">
        <f t="shared" si="5"/>
        <v>360</v>
      </c>
      <c r="M46" s="289">
        <v>17.03</v>
      </c>
      <c r="N46" s="645">
        <f>0.00032</f>
        <v>3.2000000000000003E-4</v>
      </c>
      <c r="O46" s="645">
        <v>0.08</v>
      </c>
      <c r="P46" s="290" t="s">
        <v>329</v>
      </c>
      <c r="Q46" s="733">
        <v>8.6999999999999993</v>
      </c>
      <c r="R46" s="733">
        <v>8.6999999999999993</v>
      </c>
      <c r="S46" s="290">
        <v>1</v>
      </c>
      <c r="T46" s="290">
        <f>IF(S46= "NA", "NA", S46)</f>
        <v>1</v>
      </c>
      <c r="U46" s="847">
        <v>530000000</v>
      </c>
      <c r="V46" s="860">
        <v>8.6999999999999993</v>
      </c>
      <c r="W46" s="847">
        <f>IF(OR(Q46="NA",Q46="",V46="NA",V46=""),"NA",(1+(V46/Q46)^1.5*((1-Data!$D$75)/(1-Data!$D$18))^1.5*(Data!$D$71/Data!$D$14)^1.5*(Data!$D$73/Data!$D$72)*(1/(39.37*Data!$D$72))^0.25))</f>
        <v>6.1996103238863176</v>
      </c>
      <c r="X46" s="847">
        <f>IF(W46="NA","NA",0.15*Data!$D$71*(1-Data!$D$75)*V46*((13.12*Data!$D$73)^(0.112*LN(Data!$D$71*(1-Data!$D$75)*V46)+1.38))/(W46*Data!$D$81))</f>
        <v>624.57887177320151</v>
      </c>
      <c r="Y46" s="847">
        <f>IF(OR(W46="NA",W46="",Data!$D$91="NA",Data!$D$91=""),"NA",W46*Data!$D$91)</f>
        <v>11.086491029477838</v>
      </c>
      <c r="Z46" s="847">
        <f>IF(OR(W46="NA",W46="",Data!$D$91="NA",Data!$D$91=""),"NA",IF(Data!$D$68&lt;X46,W46*X46/Data!$D$68*Data!$D$91,W46*Data!$D$91))</f>
        <v>34.621940295574944</v>
      </c>
      <c r="AA46" s="853"/>
      <c r="AB46" s="710" t="s">
        <v>329</v>
      </c>
      <c r="AC46" s="710" t="s">
        <v>329</v>
      </c>
      <c r="AD46" s="292" t="s">
        <v>329</v>
      </c>
      <c r="AE46" s="287" t="s">
        <v>329</v>
      </c>
      <c r="AF46" s="287" t="s">
        <v>329</v>
      </c>
      <c r="AG46" s="288" t="s">
        <v>329</v>
      </c>
      <c r="AH46" s="292" t="s">
        <v>329</v>
      </c>
      <c r="AI46" s="827">
        <v>1700</v>
      </c>
      <c r="AJ46" s="287" t="s">
        <v>329</v>
      </c>
      <c r="AK46" s="288" t="s">
        <v>329</v>
      </c>
      <c r="AL46" s="786"/>
      <c r="AM46" s="815"/>
      <c r="AN46" s="1037"/>
      <c r="AO46" s="1049"/>
      <c r="AP46" s="287">
        <v>2.9000000000000001E-2</v>
      </c>
      <c r="AQ46" s="689" t="s">
        <v>329</v>
      </c>
      <c r="AR46" s="292" t="s">
        <v>329</v>
      </c>
      <c r="AS46" s="288" t="s">
        <v>329</v>
      </c>
      <c r="AT46" s="786">
        <v>360</v>
      </c>
      <c r="AU46" s="926">
        <v>360</v>
      </c>
      <c r="AV46" s="874"/>
      <c r="AW46" s="663"/>
      <c r="AX46" s="663"/>
      <c r="AY46" s="663"/>
      <c r="AZ46" s="664"/>
    </row>
    <row r="47" spans="1:52" s="55" customFormat="1" x14ac:dyDescent="0.25">
      <c r="A47" s="307" t="s">
        <v>365</v>
      </c>
      <c r="B47" s="1020"/>
      <c r="C47" s="1019"/>
      <c r="D47" s="1025"/>
      <c r="E47" s="1025"/>
      <c r="F47" s="502"/>
      <c r="G47" s="503"/>
      <c r="H47" s="1040" t="str">
        <f t="shared" si="5"/>
        <v>NA</v>
      </c>
      <c r="I47" s="1041" t="str">
        <f t="shared" si="5"/>
        <v>NA</v>
      </c>
      <c r="J47" s="1041" t="str">
        <f t="shared" si="5"/>
        <v>NA</v>
      </c>
      <c r="K47" s="1041" t="str">
        <f t="shared" si="5"/>
        <v>NA</v>
      </c>
      <c r="L47" s="1042" t="str">
        <f t="shared" si="5"/>
        <v>NA</v>
      </c>
      <c r="M47" s="289" t="s">
        <v>329</v>
      </c>
      <c r="N47" s="1016" t="s">
        <v>328</v>
      </c>
      <c r="O47" s="645" t="str">
        <f>IF(M47="NA","NA",(IF(N47="NA","NA",((((28.97+M47)/(28.97*M47))^0.5)*(10^-3)*(Data!$D$50^1.75)/((2*(20.1^(1/3)))^2)))))</f>
        <v>NA</v>
      </c>
      <c r="P47" s="637" t="s">
        <v>329</v>
      </c>
      <c r="Q47" s="629" t="s">
        <v>329</v>
      </c>
      <c r="R47" s="629" t="s">
        <v>329</v>
      </c>
      <c r="S47" s="290">
        <f>0.5</f>
        <v>0.5</v>
      </c>
      <c r="T47" s="290">
        <f>IF(S47= "NA", "NA", S47)</f>
        <v>0.5</v>
      </c>
      <c r="U47" s="847" t="s">
        <v>329</v>
      </c>
      <c r="V47" s="860" t="str">
        <f>IF(Data!$D$69="",E47,IF(P47="NA","NA",(0.617*Data!$D$69*P47/100)/(1+Data!$D$15*P47*0.000000617)))</f>
        <v>NA</v>
      </c>
      <c r="W47" s="847" t="str">
        <f>IF(OR(Q47="NA",Q47="",V47="NA",V47=""),"NA",(1+(V47/Q47)^1.5*((1-Data!$D$75)/(1-Data!$D$18))^1.5*(Data!$D$71/Data!$D$14)^1.5*(Data!$D$73/Data!$D$72)*(1/(39.37*Data!$D$72))^0.25))</f>
        <v>NA</v>
      </c>
      <c r="X47" s="847" t="str">
        <f>IF(W47="NA","NA",0.15*Data!$D$71*(1-Data!$D$75)*V47*((13.12*Data!$D$73)^(0.112*LN(Data!$D$71*(1-Data!$D$75)*V47)+1.38))/(W47*Data!$D$81))</f>
        <v>NA</v>
      </c>
      <c r="Y47" s="847" t="str">
        <f>IF(OR(W47="NA",W47="",Data!$D$91="NA",Data!$D$91=""),"NA",W47*Data!$D$91)</f>
        <v>NA</v>
      </c>
      <c r="Z47" s="847" t="str">
        <f>IF(OR(W47="NA",W47="",Data!$D$91="NA",Data!$D$91=""),"NA",IF(Data!$D$68&lt;X47,W47*X47/Data!$D$68*Data!$D$91,W47*Data!$D$91))</f>
        <v>NA</v>
      </c>
      <c r="AA47" s="853"/>
      <c r="AB47" s="710" t="s">
        <v>329</v>
      </c>
      <c r="AC47" s="710" t="s">
        <v>329</v>
      </c>
      <c r="AD47" s="292" t="s">
        <v>329</v>
      </c>
      <c r="AE47" s="287" t="s">
        <v>329</v>
      </c>
      <c r="AF47" s="287" t="s">
        <v>329</v>
      </c>
      <c r="AG47" s="288" t="s">
        <v>329</v>
      </c>
      <c r="AH47" s="292" t="s">
        <v>329</v>
      </c>
      <c r="AI47" s="689" t="s">
        <v>329</v>
      </c>
      <c r="AJ47" s="287" t="s">
        <v>329</v>
      </c>
      <c r="AK47" s="288" t="s">
        <v>329</v>
      </c>
      <c r="AL47" s="786"/>
      <c r="AM47" s="815"/>
      <c r="AN47" s="1037"/>
      <c r="AO47" s="1049"/>
      <c r="AP47" s="287" t="s">
        <v>329</v>
      </c>
      <c r="AQ47" s="828">
        <v>149000</v>
      </c>
      <c r="AR47" s="292" t="s">
        <v>329</v>
      </c>
      <c r="AS47" s="288" t="s">
        <v>329</v>
      </c>
      <c r="AT47" s="292" t="s">
        <v>329</v>
      </c>
      <c r="AU47" s="288" t="s">
        <v>329</v>
      </c>
      <c r="AV47" s="874"/>
      <c r="AW47" s="663"/>
      <c r="AX47" s="663"/>
      <c r="AY47" s="663"/>
      <c r="AZ47" s="664"/>
    </row>
    <row r="48" spans="1:52" s="55" customFormat="1" ht="13.8" thickBot="1" x14ac:dyDescent="0.3">
      <c r="A48" s="308" t="s">
        <v>366</v>
      </c>
      <c r="B48" s="1020"/>
      <c r="C48" s="1019"/>
      <c r="D48" s="1025"/>
      <c r="E48" s="1025"/>
      <c r="F48" s="502"/>
      <c r="G48" s="503"/>
      <c r="H48" s="1040" t="str">
        <f t="shared" si="5"/>
        <v>NA</v>
      </c>
      <c r="I48" s="1041">
        <f t="shared" si="5"/>
        <v>2</v>
      </c>
      <c r="J48" s="1041">
        <f t="shared" si="5"/>
        <v>2</v>
      </c>
      <c r="K48" s="1041" t="str">
        <f t="shared" si="5"/>
        <v>NA</v>
      </c>
      <c r="L48" s="1042" t="str">
        <f t="shared" si="5"/>
        <v>NA</v>
      </c>
      <c r="M48" s="296">
        <v>32</v>
      </c>
      <c r="N48" s="646">
        <v>0.01</v>
      </c>
      <c r="O48" s="645">
        <f>IF(M48="NA","NA",(IF(N48="NA","NA",((((28.97+M48)/(28.97*M48))^0.5)*(10^-3)*(Data!$D$50^1.75)/((2*(20.1^(1/3)))^2)))))</f>
        <v>0.19862525236735804</v>
      </c>
      <c r="P48" s="638" t="s">
        <v>329</v>
      </c>
      <c r="Q48" s="629" t="s">
        <v>329</v>
      </c>
      <c r="R48" s="629" t="s">
        <v>329</v>
      </c>
      <c r="S48" s="297">
        <f>0.001</f>
        <v>1E-3</v>
      </c>
      <c r="T48" s="297">
        <f>IF(S48= "NA", "NA", S48)</f>
        <v>1E-3</v>
      </c>
      <c r="U48" s="849" t="s">
        <v>329</v>
      </c>
      <c r="V48" s="860" t="str">
        <f>IF(Data!$D$69="",E48,IF(P48="NA","NA",(0.617*Data!$D$69*P48/100)/(1+Data!$D$15*P48*0.000000617)))</f>
        <v>NA</v>
      </c>
      <c r="W48" s="847" t="str">
        <f>IF(OR(Q48="NA",Q48="",V48="NA",V48=""),"NA",(1+(V48/Q48)^1.5*((1-Data!$D$75)/(1-Data!$D$18))^1.5*(Data!$D$71/Data!$D$14)^1.5*(Data!$D$73/Data!$D$72)*(1/(39.37*Data!$D$72))^0.25))</f>
        <v>NA</v>
      </c>
      <c r="X48" s="847" t="str">
        <f>IF(W48="NA","NA",0.15*Data!$D$71*(1-Data!$D$75)*V48*((13.12*Data!$D$73)^(0.112*LN(Data!$D$71*(1-Data!$D$75)*V48)+1.38))/(W48*Data!$D$81))</f>
        <v>NA</v>
      </c>
      <c r="Y48" s="847" t="str">
        <f>IF(OR(W48="NA",W48="",Data!$D$91="NA",Data!$D$91=""),"NA",W48*Data!$D$91)</f>
        <v>NA</v>
      </c>
      <c r="Z48" s="847" t="str">
        <f>IF(OR(W48="NA",W48="",Data!$D$91="NA",Data!$D$91=""),"NA",IF(Data!$D$68&lt;X48,W48*X48/Data!$D$68*Data!$D$91,W48*Data!$D$91))</f>
        <v>NA</v>
      </c>
      <c r="AA48" s="853"/>
      <c r="AB48" s="711" t="s">
        <v>329</v>
      </c>
      <c r="AC48" s="711" t="s">
        <v>329</v>
      </c>
      <c r="AD48" s="293" t="s">
        <v>329</v>
      </c>
      <c r="AE48" s="845">
        <v>2</v>
      </c>
      <c r="AF48" s="845" t="s">
        <v>329</v>
      </c>
      <c r="AG48" s="846">
        <v>2</v>
      </c>
      <c r="AH48" s="293" t="s">
        <v>329</v>
      </c>
      <c r="AI48" s="889">
        <v>2</v>
      </c>
      <c r="AJ48" s="845" t="s">
        <v>329</v>
      </c>
      <c r="AK48" s="846">
        <v>2</v>
      </c>
      <c r="AL48" s="786"/>
      <c r="AM48" s="815">
        <v>2</v>
      </c>
      <c r="AN48" s="1037"/>
      <c r="AO48" s="1049">
        <v>2</v>
      </c>
      <c r="AP48" s="294" t="s">
        <v>329</v>
      </c>
      <c r="AQ48" s="690" t="s">
        <v>329</v>
      </c>
      <c r="AR48" s="292" t="s">
        <v>329</v>
      </c>
      <c r="AS48" s="288" t="s">
        <v>329</v>
      </c>
      <c r="AT48" s="292" t="s">
        <v>329</v>
      </c>
      <c r="AU48" s="288" t="s">
        <v>329</v>
      </c>
      <c r="AV48" s="874"/>
      <c r="AW48" s="663"/>
      <c r="AX48" s="663"/>
      <c r="AY48" s="663"/>
      <c r="AZ48" s="664"/>
    </row>
    <row r="49" spans="1:52" s="55" customFormat="1" x14ac:dyDescent="0.25">
      <c r="A49" s="573" t="s">
        <v>367</v>
      </c>
      <c r="B49" s="511"/>
      <c r="C49" s="512"/>
      <c r="D49" s="512"/>
      <c r="E49" s="513"/>
      <c r="F49" s="547"/>
      <c r="G49" s="548"/>
      <c r="H49" s="800"/>
      <c r="I49" s="534"/>
      <c r="J49" s="534"/>
      <c r="K49" s="534"/>
      <c r="L49" s="808"/>
      <c r="M49" s="511"/>
      <c r="N49" s="534"/>
      <c r="O49" s="534"/>
      <c r="P49" s="639"/>
      <c r="Q49" s="631"/>
      <c r="R49" s="631"/>
      <c r="S49" s="512"/>
      <c r="T49" s="512"/>
      <c r="U49" s="534"/>
      <c r="V49" s="800"/>
      <c r="W49" s="534"/>
      <c r="X49" s="864"/>
      <c r="Y49" s="534"/>
      <c r="Z49" s="534"/>
      <c r="AA49" s="513"/>
      <c r="AB49" s="527"/>
      <c r="AC49" s="527"/>
      <c r="AD49" s="511"/>
      <c r="AE49" s="512"/>
      <c r="AF49" s="512"/>
      <c r="AG49" s="513"/>
      <c r="AH49" s="511"/>
      <c r="AI49" s="512"/>
      <c r="AJ49" s="512"/>
      <c r="AK49" s="513"/>
      <c r="AL49" s="511"/>
      <c r="AM49" s="512"/>
      <c r="AN49" s="1050"/>
      <c r="AO49" s="1051"/>
      <c r="AP49" s="512"/>
      <c r="AQ49" s="512"/>
      <c r="AR49" s="511"/>
      <c r="AS49" s="513"/>
      <c r="AT49" s="511"/>
      <c r="AU49" s="513"/>
      <c r="AV49" s="511"/>
      <c r="AW49" s="512"/>
      <c r="AX49" s="512"/>
      <c r="AY49" s="512"/>
      <c r="AZ49" s="513"/>
    </row>
    <row r="50" spans="1:52" s="55" customFormat="1" x14ac:dyDescent="0.25">
      <c r="A50" s="307" t="s">
        <v>368</v>
      </c>
      <c r="B50" s="1018"/>
      <c r="C50" s="1019"/>
      <c r="D50" s="1020"/>
      <c r="E50" s="1021"/>
      <c r="F50" s="502"/>
      <c r="G50" s="503"/>
      <c r="H50" s="1040">
        <f t="shared" ref="H50:L59" si="6">IF(INDEX($AB$11:$AZ$310,,H$7)=0,"NA",INDEX($AB$11:$AZ$310,,H$7))</f>
        <v>80</v>
      </c>
      <c r="I50" s="1041">
        <f t="shared" si="6"/>
        <v>23</v>
      </c>
      <c r="J50" s="1041">
        <f t="shared" si="6"/>
        <v>23</v>
      </c>
      <c r="K50" s="1041">
        <f t="shared" si="6"/>
        <v>0.06</v>
      </c>
      <c r="L50" s="1042">
        <f t="shared" si="6"/>
        <v>2700</v>
      </c>
      <c r="M50" s="289">
        <v>154.19999999999999</v>
      </c>
      <c r="N50" s="645">
        <v>2.3599999999999999E-4</v>
      </c>
      <c r="O50" s="645">
        <v>4.2099999999999999E-2</v>
      </c>
      <c r="P50" s="637">
        <f>10^3.92</f>
        <v>8317.6377110267094</v>
      </c>
      <c r="Q50" s="629">
        <f>IF($P50="NA","NA",(0.617*Data!$D$9*$P50/100)/(1+Data!$D$15*$P50*0.000000617))</f>
        <v>153.95947403110438</v>
      </c>
      <c r="R50" s="629">
        <f t="shared" ref="R50:R82" si="7">Q50</f>
        <v>153.95947403110438</v>
      </c>
      <c r="S50" s="290">
        <v>1</v>
      </c>
      <c r="T50" s="290">
        <f t="shared" ref="T50:T82" si="8">IF(S50= "NA", "NA", S50)</f>
        <v>1</v>
      </c>
      <c r="U50" s="847">
        <v>3800</v>
      </c>
      <c r="V50" s="860">
        <f>IF(Data!$D$69="",E50,IF(P50="NA","NA",(0.617*Data!$D$69*P50/100)/(1+Data!$D$15*P50*0.000000617)))</f>
        <v>102.63964935406959</v>
      </c>
      <c r="W50" s="847">
        <f>IF(OR(Q50="NA",Q50="",V50="NA",V50=""),"NA",(1+(V50/Q50)^1.5*((1-Data!$D$75)/(1-Data!$D$18))^1.5*(Data!$D$71/Data!$D$14)^1.5*(Data!$D$73/Data!$D$72)*(1/(39.37*Data!$D$72))^0.25))</f>
        <v>3.8303093677397904</v>
      </c>
      <c r="X50" s="847">
        <f>IF(W50="NA","NA",0.15*Data!$D$71*(1-Data!$D$75)*V50*((13.12*Data!$D$73)^(0.112*LN(Data!$D$71*(1-Data!$D$75)*V50)+1.38))/(W50*Data!$D$81))</f>
        <v>37906.609258955046</v>
      </c>
      <c r="Y50" s="847">
        <f>IF(OR(W50="NA",W50="",Data!$D$91="NA",Data!$D$91=""),"NA",W50*Data!$D$91)</f>
        <v>6.8495741227413944</v>
      </c>
      <c r="Z50" s="847">
        <f>IF(OR(W50="NA",W50="",Data!$D$91="NA",Data!$D$91=""),"NA",IF(Data!$D$68&lt;X50,W50*X50/Data!$D$68*Data!$D$91,W50*Data!$D$91))</f>
        <v>1298.2206493050389</v>
      </c>
      <c r="AA50" s="853"/>
      <c r="AB50" s="710" t="s">
        <v>329</v>
      </c>
      <c r="AC50" s="710" t="s">
        <v>329</v>
      </c>
      <c r="AD50" s="292" t="s">
        <v>329</v>
      </c>
      <c r="AE50" s="287" t="s">
        <v>329</v>
      </c>
      <c r="AF50" s="287" t="s">
        <v>329</v>
      </c>
      <c r="AG50" s="288" t="s">
        <v>329</v>
      </c>
      <c r="AH50" s="786">
        <v>80</v>
      </c>
      <c r="AI50" s="828">
        <v>23</v>
      </c>
      <c r="AJ50" s="887">
        <v>970</v>
      </c>
      <c r="AK50" s="1052">
        <v>710</v>
      </c>
      <c r="AL50" s="786">
        <v>170</v>
      </c>
      <c r="AM50" s="815">
        <v>17</v>
      </c>
      <c r="AN50" s="1037">
        <v>97</v>
      </c>
      <c r="AO50" s="1049">
        <v>9.6999999999999993</v>
      </c>
      <c r="AP50" s="1046">
        <v>0.06</v>
      </c>
      <c r="AQ50" s="828">
        <v>133</v>
      </c>
      <c r="AR50" s="292" t="s">
        <v>329</v>
      </c>
      <c r="AS50" s="288" t="s">
        <v>329</v>
      </c>
      <c r="AT50" s="786">
        <v>2700</v>
      </c>
      <c r="AU50" s="926">
        <v>4700</v>
      </c>
      <c r="AV50" s="874"/>
      <c r="AW50" s="663"/>
      <c r="AX50" s="663"/>
      <c r="AY50" s="663"/>
      <c r="AZ50" s="664"/>
    </row>
    <row r="51" spans="1:52" s="55" customFormat="1" x14ac:dyDescent="0.25">
      <c r="A51" s="307" t="s">
        <v>369</v>
      </c>
      <c r="B51" s="1018"/>
      <c r="C51" s="1019"/>
      <c r="D51" s="1020"/>
      <c r="E51" s="1021"/>
      <c r="F51" s="502"/>
      <c r="G51" s="503"/>
      <c r="H51" s="1040" t="str">
        <f t="shared" si="6"/>
        <v>NA</v>
      </c>
      <c r="I51" s="1041" t="str">
        <f t="shared" si="6"/>
        <v>NA</v>
      </c>
      <c r="J51" s="1041" t="str">
        <f t="shared" si="6"/>
        <v>NA</v>
      </c>
      <c r="K51" s="1041" t="str">
        <f t="shared" si="6"/>
        <v>NA</v>
      </c>
      <c r="L51" s="1042">
        <f t="shared" si="6"/>
        <v>2500</v>
      </c>
      <c r="M51" s="289">
        <v>152</v>
      </c>
      <c r="N51" s="645">
        <v>1.1400000000000001E-4</v>
      </c>
      <c r="O51" s="645">
        <v>4.3999999999999997E-2</v>
      </c>
      <c r="P51" s="637">
        <f>10^4</f>
        <v>10000</v>
      </c>
      <c r="Q51" s="629">
        <f>IF($P51="NA","NA",(0.617*Data!$D$9*$P51/100)/(1+Data!$D$15*$P51*0.000000617))</f>
        <v>185.1</v>
      </c>
      <c r="R51" s="629">
        <f t="shared" si="7"/>
        <v>185.1</v>
      </c>
      <c r="S51" s="290">
        <v>1</v>
      </c>
      <c r="T51" s="290">
        <f t="shared" si="8"/>
        <v>1</v>
      </c>
      <c r="U51" s="847">
        <v>16100</v>
      </c>
      <c r="V51" s="860">
        <f>IF(Data!$D$69="",E51,IF(P51="NA","NA",(0.617*Data!$D$69*P51/100)/(1+Data!$D$15*P51*0.000000617)))</f>
        <v>123.4</v>
      </c>
      <c r="W51" s="847">
        <f>IF(OR(Q51="NA",Q51="",V51="NA",V51=""),"NA",(1+(V51/Q51)^1.5*((1-Data!$D$75)/(1-Data!$D$18))^1.5*(Data!$D$71/Data!$D$14)^1.5*(Data!$D$73/Data!$D$72)*(1/(39.37*Data!$D$72))^0.25))</f>
        <v>3.8303093677397904</v>
      </c>
      <c r="X51" s="847">
        <f>IF(W51="NA","NA",0.15*Data!$D$71*(1-Data!$D$75)*V51*((13.12*Data!$D$73)^(0.112*LN(Data!$D$71*(1-Data!$D$75)*V51)+1.38))/(W51*Data!$D$81))</f>
        <v>49682.080801633412</v>
      </c>
      <c r="Y51" s="847">
        <f>IF(OR(W51="NA",W51="",Data!$D$91="NA",Data!$D$91=""),"NA",W51*Data!$D$91)</f>
        <v>6.8495741227413944</v>
      </c>
      <c r="Z51" s="847">
        <f>IF(OR(W51="NA",W51="",Data!$D$91="NA",Data!$D$91=""),"NA",IF(Data!$D$68&lt;X51,W51*X51/Data!$D$68*Data!$D$91,W51*Data!$D$91))</f>
        <v>1701.5054751140763</v>
      </c>
      <c r="AA51" s="853"/>
      <c r="AB51" s="710" t="s">
        <v>329</v>
      </c>
      <c r="AC51" s="710" t="s">
        <v>329</v>
      </c>
      <c r="AD51" s="292" t="s">
        <v>329</v>
      </c>
      <c r="AE51" s="287" t="s">
        <v>329</v>
      </c>
      <c r="AF51" s="287" t="s">
        <v>329</v>
      </c>
      <c r="AG51" s="288" t="s">
        <v>329</v>
      </c>
      <c r="AH51" s="292" t="s">
        <v>329</v>
      </c>
      <c r="AI51" s="689" t="s">
        <v>329</v>
      </c>
      <c r="AJ51" s="287" t="s">
        <v>329</v>
      </c>
      <c r="AK51" s="288" t="s">
        <v>329</v>
      </c>
      <c r="AL51" s="786"/>
      <c r="AM51" s="815"/>
      <c r="AN51" s="1037"/>
      <c r="AO51" s="1049"/>
      <c r="AP51" s="287" t="s">
        <v>329</v>
      </c>
      <c r="AQ51" s="827">
        <v>58.9</v>
      </c>
      <c r="AR51" s="292" t="s">
        <v>329</v>
      </c>
      <c r="AS51" s="288" t="s">
        <v>329</v>
      </c>
      <c r="AT51" s="786">
        <v>2500</v>
      </c>
      <c r="AU51" s="926">
        <v>6900</v>
      </c>
      <c r="AV51" s="874"/>
      <c r="AW51" s="663"/>
      <c r="AX51" s="663"/>
      <c r="AY51" s="663"/>
      <c r="AZ51" s="664"/>
    </row>
    <row r="52" spans="1:52" s="55" customFormat="1" x14ac:dyDescent="0.25">
      <c r="A52" s="307" t="s">
        <v>370</v>
      </c>
      <c r="B52" s="1018"/>
      <c r="C52" s="1019"/>
      <c r="D52" s="1020"/>
      <c r="E52" s="1021"/>
      <c r="F52" s="502"/>
      <c r="G52" s="503"/>
      <c r="H52" s="1040">
        <f t="shared" si="6"/>
        <v>13</v>
      </c>
      <c r="I52" s="1041">
        <f t="shared" si="6"/>
        <v>0.73</v>
      </c>
      <c r="J52" s="1041">
        <f t="shared" si="6"/>
        <v>0.73</v>
      </c>
      <c r="K52" s="1041">
        <f t="shared" si="6"/>
        <v>0.3</v>
      </c>
      <c r="L52" s="1042">
        <f t="shared" si="6"/>
        <v>350</v>
      </c>
      <c r="M52" s="289">
        <v>178.2</v>
      </c>
      <c r="N52" s="645">
        <v>5.8999999999999998E-5</v>
      </c>
      <c r="O52" s="645">
        <v>3.2399999999999998E-2</v>
      </c>
      <c r="P52" s="637">
        <f>10^4.5</f>
        <v>31622.77660168384</v>
      </c>
      <c r="Q52" s="629">
        <f>IF($P52="NA","NA",(0.617*Data!$D$9*$P52/100)/(1+Data!$D$15*$P52*0.000000617))</f>
        <v>585.33759489716783</v>
      </c>
      <c r="R52" s="629">
        <f t="shared" si="7"/>
        <v>585.33759489716783</v>
      </c>
      <c r="S52" s="290">
        <v>1</v>
      </c>
      <c r="T52" s="290">
        <f t="shared" si="8"/>
        <v>1</v>
      </c>
      <c r="U52" s="847">
        <v>45</v>
      </c>
      <c r="V52" s="860">
        <f>IF(Data!$D$69="",E52,IF(P52="NA","NA",(0.617*Data!$D$69*P52/100)/(1+Data!$D$15*P52*0.000000617)))</f>
        <v>390.22506326477856</v>
      </c>
      <c r="W52" s="847">
        <f>IF(OR(Q52="NA",Q52="",V52="NA",V52=""),"NA",(1+(V52/Q52)^1.5*((1-Data!$D$75)/(1-Data!$D$18))^1.5*(Data!$D$71/Data!$D$14)^1.5*(Data!$D$73/Data!$D$72)*(1/(39.37*Data!$D$72))^0.25))</f>
        <v>3.8303093677397895</v>
      </c>
      <c r="X52" s="847">
        <f>IF(W52="NA","NA",0.15*Data!$D$71*(1-Data!$D$75)*V52*((13.12*Data!$D$73)^(0.112*LN(Data!$D$71*(1-Data!$D$75)*V52)+1.38))/(W52*Data!$D$81))</f>
        <v>269451.13406334602</v>
      </c>
      <c r="Y52" s="847">
        <f>IF(OR(W52="NA",W52="",Data!$D$91="NA",Data!$D$91=""),"NA",W52*Data!$D$91)</f>
        <v>6.8495741227413927</v>
      </c>
      <c r="Z52" s="847">
        <f>IF(OR(W52="NA",W52="",Data!$D$91="NA",Data!$D$91=""),"NA",IF(Data!$D$68&lt;X52,W52*X52/Data!$D$68*Data!$D$91,W52*Data!$D$91))</f>
        <v>9228.1275761180841</v>
      </c>
      <c r="AA52" s="853"/>
      <c r="AB52" s="710" t="s">
        <v>329</v>
      </c>
      <c r="AC52" s="710" t="s">
        <v>329</v>
      </c>
      <c r="AD52" s="292" t="s">
        <v>329</v>
      </c>
      <c r="AE52" s="287" t="s">
        <v>329</v>
      </c>
      <c r="AF52" s="287" t="s">
        <v>329</v>
      </c>
      <c r="AG52" s="288" t="s">
        <v>329</v>
      </c>
      <c r="AH52" s="786">
        <v>13</v>
      </c>
      <c r="AI52" s="884">
        <v>0.73</v>
      </c>
      <c r="AJ52" s="287" t="s">
        <v>329</v>
      </c>
      <c r="AK52" s="288" t="s">
        <v>329</v>
      </c>
      <c r="AL52" s="786"/>
      <c r="AM52" s="815"/>
      <c r="AN52" s="1037"/>
      <c r="AO52" s="1049"/>
      <c r="AP52" s="813">
        <v>0.3</v>
      </c>
      <c r="AQ52" s="689">
        <v>0.85499999999999998</v>
      </c>
      <c r="AR52" s="292" t="s">
        <v>329</v>
      </c>
      <c r="AS52" s="288" t="s">
        <v>329</v>
      </c>
      <c r="AT52" s="786">
        <v>350</v>
      </c>
      <c r="AU52" s="926">
        <v>350</v>
      </c>
      <c r="AV52" s="874"/>
      <c r="AW52" s="663"/>
      <c r="AX52" s="663"/>
      <c r="AY52" s="663"/>
      <c r="AZ52" s="664"/>
    </row>
    <row r="53" spans="1:52" s="55" customFormat="1" x14ac:dyDescent="0.25">
      <c r="A53" s="307" t="s">
        <v>371</v>
      </c>
      <c r="B53" s="1018"/>
      <c r="C53" s="1019"/>
      <c r="D53" s="1020"/>
      <c r="E53" s="1021"/>
      <c r="F53" s="502"/>
      <c r="G53" s="503"/>
      <c r="H53" s="1040">
        <f t="shared" si="6"/>
        <v>0.49</v>
      </c>
      <c r="I53" s="1041">
        <f t="shared" si="6"/>
        <v>2.7E-2</v>
      </c>
      <c r="J53" s="1041">
        <f t="shared" si="6"/>
        <v>2.7E-2</v>
      </c>
      <c r="K53" s="1041" t="str">
        <f t="shared" si="6"/>
        <v>NA</v>
      </c>
      <c r="L53" s="1042">
        <f t="shared" si="6"/>
        <v>25</v>
      </c>
      <c r="M53" s="289">
        <v>228.2</v>
      </c>
      <c r="N53" s="645">
        <f>0.00000335</f>
        <v>3.3500000000000001E-6</v>
      </c>
      <c r="O53" s="645">
        <v>5.0999999999999997E-2</v>
      </c>
      <c r="P53" s="637">
        <f>10^5.7</f>
        <v>501187.23362727347</v>
      </c>
      <c r="Q53" s="629">
        <f>IF($P53="NA","NA",(0.617*Data!$D$9*$P53/100)/(1+Data!$D$15*$P53*0.000000617))</f>
        <v>9276.9756944408309</v>
      </c>
      <c r="R53" s="629">
        <f t="shared" si="7"/>
        <v>9276.9756944408309</v>
      </c>
      <c r="S53" s="290">
        <v>1</v>
      </c>
      <c r="T53" s="290">
        <f t="shared" si="8"/>
        <v>1</v>
      </c>
      <c r="U53" s="847">
        <v>11</v>
      </c>
      <c r="V53" s="860">
        <f>IF(Data!$D$69="",E53,IF(P53="NA","NA",(0.617*Data!$D$69*P53/100)/(1+Data!$D$15*P53*0.000000617)))</f>
        <v>6184.6504629605543</v>
      </c>
      <c r="W53" s="847">
        <f>IF(OR(Q53="NA",Q53="",V53="NA",V53=""),"NA",(1+(V53/Q53)^1.5*((1-Data!$D$75)/(1-Data!$D$18))^1.5*(Data!$D$71/Data!$D$14)^1.5*(Data!$D$73/Data!$D$72)*(1/(39.37*Data!$D$72))^0.25))</f>
        <v>3.8303093677397904</v>
      </c>
      <c r="X53" s="847">
        <f>IF(W53="NA","NA",0.15*Data!$D$71*(1-Data!$D$75)*V53*((13.12*Data!$D$73)^(0.112*LN(Data!$D$71*(1-Data!$D$75)*V53)+1.38))/(W53*Data!$D$81))</f>
        <v>15586643.035371238</v>
      </c>
      <c r="Y53" s="847">
        <f>IF(OR(W53="NA",W53="",Data!$D$91="NA",Data!$D$91=""),"NA",W53*Data!$D$91)</f>
        <v>6.8495741227413944</v>
      </c>
      <c r="Z53" s="847">
        <f>IF(OR(W53="NA",W53="",Data!$D$91="NA",Data!$D$91=""),"NA",IF(Data!$D$68&lt;X53,W53*X53/Data!$D$68*Data!$D$91,W53*Data!$D$91))</f>
        <v>533809.33397743106</v>
      </c>
      <c r="AA53" s="853"/>
      <c r="AB53" s="710" t="s">
        <v>329</v>
      </c>
      <c r="AC53" s="710" t="s">
        <v>329</v>
      </c>
      <c r="AD53" s="292" t="s">
        <v>329</v>
      </c>
      <c r="AE53" s="287" t="s">
        <v>329</v>
      </c>
      <c r="AF53" s="287" t="s">
        <v>329</v>
      </c>
      <c r="AG53" s="288" t="s">
        <v>329</v>
      </c>
      <c r="AH53" s="784">
        <v>0.49</v>
      </c>
      <c r="AI53" s="689">
        <v>2.7E-2</v>
      </c>
      <c r="AJ53" s="287" t="s">
        <v>329</v>
      </c>
      <c r="AK53" s="288" t="s">
        <v>329</v>
      </c>
      <c r="AL53" s="786"/>
      <c r="AM53" s="815"/>
      <c r="AN53" s="1037"/>
      <c r="AO53" s="1049"/>
      <c r="AP53" s="287" t="s">
        <v>329</v>
      </c>
      <c r="AQ53" s="884">
        <v>6.71</v>
      </c>
      <c r="AR53" s="292" t="s">
        <v>329</v>
      </c>
      <c r="AS53" s="288" t="s">
        <v>329</v>
      </c>
      <c r="AT53" s="786">
        <v>25</v>
      </c>
      <c r="AU53" s="926">
        <v>110</v>
      </c>
      <c r="AV53" s="874"/>
      <c r="AW53" s="663"/>
      <c r="AX53" s="663"/>
      <c r="AY53" s="663"/>
      <c r="AZ53" s="664"/>
    </row>
    <row r="54" spans="1:52" s="55" customFormat="1" x14ac:dyDescent="0.25">
      <c r="A54" s="307" t="s">
        <v>372</v>
      </c>
      <c r="B54" s="1018"/>
      <c r="C54" s="1019"/>
      <c r="D54" s="1020"/>
      <c r="E54" s="1021"/>
      <c r="F54" s="502"/>
      <c r="G54" s="503"/>
      <c r="H54" s="1040" t="str">
        <f t="shared" si="6"/>
        <v>NA</v>
      </c>
      <c r="I54" s="1041" t="str">
        <f t="shared" si="6"/>
        <v>NA</v>
      </c>
      <c r="J54" s="1041" t="str">
        <f t="shared" si="6"/>
        <v>NA</v>
      </c>
      <c r="K54" s="1041" t="str">
        <f t="shared" si="6"/>
        <v>NA</v>
      </c>
      <c r="L54" s="1042">
        <f t="shared" si="6"/>
        <v>25</v>
      </c>
      <c r="M54" s="289">
        <v>252</v>
      </c>
      <c r="N54" s="645">
        <v>3.9400000000000002E-5</v>
      </c>
      <c r="O54" s="645">
        <v>2.2599999999999999E-2</v>
      </c>
      <c r="P54" s="637">
        <f>10^6.2</f>
        <v>1584893.1924611153</v>
      </c>
      <c r="Q54" s="629">
        <f>IF($P54="NA","NA",(0.617*Data!$D$9*$P54/100)/(1+Data!$D$15*$P54*0.000000617))</f>
        <v>29336.372992455243</v>
      </c>
      <c r="R54" s="629">
        <f t="shared" si="7"/>
        <v>29336.372992455243</v>
      </c>
      <c r="S54" s="290">
        <v>1</v>
      </c>
      <c r="T54" s="290">
        <f t="shared" si="8"/>
        <v>1</v>
      </c>
      <c r="U54" s="847">
        <v>1.5</v>
      </c>
      <c r="V54" s="860">
        <f>IF(Data!$D$69="",E54,IF(P54="NA","NA",(0.617*Data!$D$69*P54/100)/(1+Data!$D$15*P54*0.000000617)))</f>
        <v>19557.581994970165</v>
      </c>
      <c r="W54" s="847">
        <f>IF(OR(Q54="NA",Q54="",V54="NA",V54=""),"NA",(1+(V54/Q54)^1.5*((1-Data!$D$75)/(1-Data!$D$18))^1.5*(Data!$D$71/Data!$D$14)^1.5*(Data!$D$73/Data!$D$72)*(1/(39.37*Data!$D$72))^0.25))</f>
        <v>3.8303093677397904</v>
      </c>
      <c r="X54" s="847">
        <f>IF(W54="NA","NA",0.15*Data!$D$71*(1-Data!$D$75)*V54*((13.12*Data!$D$73)^(0.112*LN(Data!$D$71*(1-Data!$D$75)*V54)+1.38))/(W54*Data!$D$81))</f>
        <v>84534274.216293484</v>
      </c>
      <c r="Y54" s="847">
        <f>IF(OR(W54="NA",W54="",Data!$D$91="NA",Data!$D$91=""),"NA",W54*Data!$D$91)</f>
        <v>6.8495741227413944</v>
      </c>
      <c r="Z54" s="847">
        <f>IF(OR(W54="NA",W54="",Data!$D$91="NA",Data!$D$91=""),"NA",IF(Data!$D$68&lt;X54,W54*X54/Data!$D$68*Data!$D$91,W54*Data!$D$91))</f>
        <v>2895118.8857832444</v>
      </c>
      <c r="AA54" s="853"/>
      <c r="AB54" s="710" t="s">
        <v>329</v>
      </c>
      <c r="AC54" s="710" t="s">
        <v>329</v>
      </c>
      <c r="AD54" s="292" t="s">
        <v>329</v>
      </c>
      <c r="AE54" s="287" t="s">
        <v>329</v>
      </c>
      <c r="AF54" s="287" t="s">
        <v>329</v>
      </c>
      <c r="AG54" s="288" t="s">
        <v>329</v>
      </c>
      <c r="AH54" s="292" t="s">
        <v>329</v>
      </c>
      <c r="AI54" s="689" t="s">
        <v>329</v>
      </c>
      <c r="AJ54" s="287" t="s">
        <v>329</v>
      </c>
      <c r="AK54" s="288" t="s">
        <v>329</v>
      </c>
      <c r="AL54" s="786"/>
      <c r="AM54" s="815"/>
      <c r="AN54" s="1037"/>
      <c r="AO54" s="1049"/>
      <c r="AP54" s="287" t="s">
        <v>329</v>
      </c>
      <c r="AQ54" s="884">
        <v>8.64</v>
      </c>
      <c r="AR54" s="292" t="s">
        <v>329</v>
      </c>
      <c r="AS54" s="288" t="s">
        <v>329</v>
      </c>
      <c r="AT54" s="786">
        <v>25</v>
      </c>
      <c r="AU54" s="926">
        <v>110</v>
      </c>
      <c r="AV54" s="874"/>
      <c r="AW54" s="663"/>
      <c r="AX54" s="663"/>
      <c r="AY54" s="663"/>
      <c r="AZ54" s="664"/>
    </row>
    <row r="55" spans="1:52" s="55" customFormat="1" x14ac:dyDescent="0.25">
      <c r="A55" s="307" t="s">
        <v>373</v>
      </c>
      <c r="B55" s="1018"/>
      <c r="C55" s="1019"/>
      <c r="D55" s="1020"/>
      <c r="E55" s="1021"/>
      <c r="F55" s="502"/>
      <c r="G55" s="503"/>
      <c r="H55" s="1040" t="str">
        <f t="shared" si="6"/>
        <v>NA</v>
      </c>
      <c r="I55" s="1041" t="str">
        <f t="shared" si="6"/>
        <v>NA</v>
      </c>
      <c r="J55" s="1041" t="str">
        <f t="shared" si="6"/>
        <v>NA</v>
      </c>
      <c r="K55" s="1041" t="str">
        <f t="shared" si="6"/>
        <v>NA</v>
      </c>
      <c r="L55" s="1042">
        <f t="shared" si="6"/>
        <v>250</v>
      </c>
      <c r="M55" s="289">
        <v>252.32</v>
      </c>
      <c r="N55" s="645">
        <v>3.8699999999999999E-5</v>
      </c>
      <c r="O55" s="645">
        <v>2.2599999999999999E-2</v>
      </c>
      <c r="P55" s="637">
        <f>10^6.2</f>
        <v>1584893.1924611153</v>
      </c>
      <c r="Q55" s="629">
        <f>IF($P55="NA","NA",(0.617*Data!$D$9*$P55/100)/(1+Data!$D$15*$P55*0.000000617))</f>
        <v>29336.372992455243</v>
      </c>
      <c r="R55" s="629">
        <f>Q55</f>
        <v>29336.372992455243</v>
      </c>
      <c r="S55" s="290">
        <v>1</v>
      </c>
      <c r="T55" s="290">
        <f>IF(S55= "NA", "NA", S55)</f>
        <v>1</v>
      </c>
      <c r="U55" s="847">
        <v>0.8</v>
      </c>
      <c r="V55" s="860">
        <f>IF(Data!$D$69="",E55,IF(P55="NA","NA",(0.617*Data!$D$69*P55/100)/(1+Data!$D$15*P55*0.000000617)))</f>
        <v>19557.581994970165</v>
      </c>
      <c r="W55" s="847">
        <f>IF(OR(Q55="NA",Q55="",V55="NA",V55=""),"NA",(1+(V55/Q55)^1.5*((1-Data!$D$75)/(1-Data!$D$18))^1.5*(Data!$D$71/Data!$D$14)^1.5*(Data!$D$73/Data!$D$72)*(1/(39.37*Data!$D$72))^0.25))</f>
        <v>3.8303093677397904</v>
      </c>
      <c r="X55" s="847">
        <f>IF(W55="NA","NA",0.15*Data!$D$71*(1-Data!$D$75)*V55*((13.12*Data!$D$73)^(0.112*LN(Data!$D$71*(1-Data!$D$75)*V55)+1.38))/(W55*Data!$D$81))</f>
        <v>84534274.216293484</v>
      </c>
      <c r="Y55" s="847">
        <f>IF(OR(W55="NA",W55="",Data!$D$91="NA",Data!$D$91=""),"NA",W55*Data!$D$91)</f>
        <v>6.8495741227413944</v>
      </c>
      <c r="Z55" s="847">
        <f>IF(OR(W55="NA",W55="",Data!$D$91="NA",Data!$D$91=""),"NA",IF(Data!$D$68&lt;X55,W55*X55/Data!$D$68*Data!$D$91,W55*Data!$D$91))</f>
        <v>2895118.8857832444</v>
      </c>
      <c r="AA55" s="853"/>
      <c r="AB55" s="710" t="s">
        <v>329</v>
      </c>
      <c r="AC55" s="710" t="s">
        <v>329</v>
      </c>
      <c r="AD55" s="292" t="s">
        <v>329</v>
      </c>
      <c r="AE55" s="287" t="s">
        <v>329</v>
      </c>
      <c r="AF55" s="287" t="s">
        <v>329</v>
      </c>
      <c r="AG55" s="288" t="s">
        <v>329</v>
      </c>
      <c r="AH55" s="292" t="s">
        <v>329</v>
      </c>
      <c r="AI55" s="689" t="s">
        <v>329</v>
      </c>
      <c r="AJ55" s="287" t="s">
        <v>329</v>
      </c>
      <c r="AK55" s="288" t="s">
        <v>329</v>
      </c>
      <c r="AL55" s="786"/>
      <c r="AM55" s="815"/>
      <c r="AN55" s="1037"/>
      <c r="AO55" s="1049"/>
      <c r="AP55" s="287" t="s">
        <v>329</v>
      </c>
      <c r="AQ55" s="689" t="s">
        <v>329</v>
      </c>
      <c r="AR55" s="292" t="s">
        <v>329</v>
      </c>
      <c r="AS55" s="288" t="s">
        <v>329</v>
      </c>
      <c r="AT55" s="786">
        <v>250</v>
      </c>
      <c r="AU55" s="926">
        <v>610</v>
      </c>
      <c r="AV55" s="874"/>
      <c r="AW55" s="663"/>
      <c r="AX55" s="663"/>
      <c r="AY55" s="663"/>
      <c r="AZ55" s="664"/>
    </row>
    <row r="56" spans="1:52" s="55" customFormat="1" x14ac:dyDescent="0.25">
      <c r="A56" s="307" t="s">
        <v>374</v>
      </c>
      <c r="B56" s="1018"/>
      <c r="C56" s="1019"/>
      <c r="D56" s="1020"/>
      <c r="E56" s="1021"/>
      <c r="F56" s="502"/>
      <c r="G56" s="503"/>
      <c r="H56" s="1040" t="str">
        <f t="shared" si="6"/>
        <v>NA</v>
      </c>
      <c r="I56" s="1041" t="str">
        <f t="shared" si="6"/>
        <v>NA</v>
      </c>
      <c r="J56" s="1041" t="str">
        <f t="shared" si="6"/>
        <v>NA</v>
      </c>
      <c r="K56" s="1041" t="str">
        <f t="shared" si="6"/>
        <v>NA</v>
      </c>
      <c r="L56" s="1042">
        <f t="shared" si="6"/>
        <v>180</v>
      </c>
      <c r="M56" s="289">
        <v>276.33999999999997</v>
      </c>
      <c r="N56" s="645">
        <f>1.48*10^(-7)</f>
        <v>1.48E-7</v>
      </c>
      <c r="O56" s="645">
        <v>4.9000000000000002E-2</v>
      </c>
      <c r="P56" s="637">
        <f>10^6.7</f>
        <v>5011872.3362727314</v>
      </c>
      <c r="Q56" s="629">
        <f>IF($P56="NA","NA",(0.617*Data!$D$9*$P56/100)/(1+Data!$D$15*$P56*0.000000617))</f>
        <v>92769.756944408247</v>
      </c>
      <c r="R56" s="629">
        <f>Q56</f>
        <v>92769.756944408247</v>
      </c>
      <c r="S56" s="290">
        <v>1</v>
      </c>
      <c r="T56" s="290">
        <f>IF(S56= "NA", "NA", S56)</f>
        <v>1</v>
      </c>
      <c r="U56" s="847">
        <v>0.26</v>
      </c>
      <c r="V56" s="860">
        <f>IF(Data!$D$69="",E56,IF(P56="NA","NA",(0.617*Data!$D$69*P56/100)/(1+Data!$D$15*P56*0.000000617)))</f>
        <v>61846.504629605508</v>
      </c>
      <c r="W56" s="847">
        <f>IF(OR(Q56="NA",Q56="",V56="NA",V56=""),"NA",(1+(V56/Q56)^1.5*((1-Data!$D$75)/(1-Data!$D$18))^1.5*(Data!$D$71/Data!$D$14)^1.5*(Data!$D$73/Data!$D$72)*(1/(39.37*Data!$D$72))^0.25))</f>
        <v>3.8303093677397904</v>
      </c>
      <c r="X56" s="847">
        <f>IF(W56="NA","NA",0.15*Data!$D$71*(1-Data!$D$75)*V56*((13.12*Data!$D$73)^(0.112*LN(Data!$D$71*(1-Data!$D$75)*V56)+1.38))/(W56*Data!$D$81))</f>
        <v>458472263.7875765</v>
      </c>
      <c r="Y56" s="847">
        <f>IF(OR(W56="NA",W56="",Data!$D$91="NA",Data!$D$91=""),"NA",W56*Data!$D$91)</f>
        <v>6.8495741227413944</v>
      </c>
      <c r="Z56" s="847">
        <f>IF(OR(W56="NA",W56="",Data!$D$91="NA",Data!$D$91=""),"NA",IF(Data!$D$68&lt;X56,W56*X56/Data!$D$68*Data!$D$91,W56*Data!$D$91))</f>
        <v>15701698.770170251</v>
      </c>
      <c r="AA56" s="853"/>
      <c r="AB56" s="710" t="s">
        <v>329</v>
      </c>
      <c r="AC56" s="710" t="s">
        <v>329</v>
      </c>
      <c r="AD56" s="292" t="s">
        <v>329</v>
      </c>
      <c r="AE56" s="287" t="s">
        <v>329</v>
      </c>
      <c r="AF56" s="287" t="s">
        <v>329</v>
      </c>
      <c r="AG56" s="288" t="s">
        <v>329</v>
      </c>
      <c r="AH56" s="292" t="s">
        <v>329</v>
      </c>
      <c r="AI56" s="689" t="s">
        <v>329</v>
      </c>
      <c r="AJ56" s="287" t="s">
        <v>329</v>
      </c>
      <c r="AK56" s="288" t="s">
        <v>329</v>
      </c>
      <c r="AL56" s="786"/>
      <c r="AM56" s="815"/>
      <c r="AN56" s="1037"/>
      <c r="AO56" s="1049"/>
      <c r="AP56" s="287" t="s">
        <v>329</v>
      </c>
      <c r="AQ56" s="828">
        <v>133</v>
      </c>
      <c r="AR56" s="292" t="s">
        <v>329</v>
      </c>
      <c r="AS56" s="288" t="s">
        <v>329</v>
      </c>
      <c r="AT56" s="786">
        <v>180</v>
      </c>
      <c r="AU56" s="926">
        <v>180</v>
      </c>
      <c r="AV56" s="874"/>
      <c r="AW56" s="663"/>
      <c r="AX56" s="663"/>
      <c r="AY56" s="663"/>
      <c r="AZ56" s="664"/>
    </row>
    <row r="57" spans="1:52" s="55" customFormat="1" ht="13.5" customHeight="1" x14ac:dyDescent="0.25">
      <c r="A57" s="307" t="s">
        <v>375</v>
      </c>
      <c r="B57" s="1018"/>
      <c r="C57" s="1019"/>
      <c r="D57" s="1020"/>
      <c r="E57" s="1021"/>
      <c r="F57" s="502"/>
      <c r="G57" s="503"/>
      <c r="H57" s="1040">
        <f t="shared" si="6"/>
        <v>0.24</v>
      </c>
      <c r="I57" s="1041">
        <f t="shared" si="6"/>
        <v>1.4E-2</v>
      </c>
      <c r="J57" s="1041">
        <f t="shared" si="6"/>
        <v>1.4E-2</v>
      </c>
      <c r="K57" s="1041" t="str">
        <f t="shared" si="6"/>
        <v>NA</v>
      </c>
      <c r="L57" s="1042">
        <f t="shared" si="6"/>
        <v>2.5</v>
      </c>
      <c r="M57" s="289">
        <v>252.3</v>
      </c>
      <c r="N57" s="645">
        <f>0.00000045</f>
        <v>4.4999999999999998E-7</v>
      </c>
      <c r="O57" s="645">
        <v>4.2999999999999997E-2</v>
      </c>
      <c r="P57" s="637">
        <f>10^6.04</f>
        <v>1096478.196143186</v>
      </c>
      <c r="Q57" s="629">
        <f>IF($P57="NA","NA",(0.617*Data!$D$9*$P57/100)/(1+Data!$D$15*$P57*0.000000617))</f>
        <v>20295.811410610371</v>
      </c>
      <c r="R57" s="629">
        <f>Q57</f>
        <v>20295.811410610371</v>
      </c>
      <c r="S57" s="290">
        <v>1</v>
      </c>
      <c r="T57" s="290">
        <f>IF(S57= "NA", "NA", S57)</f>
        <v>1</v>
      </c>
      <c r="U57" s="847">
        <v>3.8</v>
      </c>
      <c r="V57" s="860">
        <f>IF(Data!$D$69="",E57,IF(P57="NA","NA",(0.617*Data!$D$69*P57/100)/(1+Data!$D$15*P57*0.000000617)))</f>
        <v>13530.540940406914</v>
      </c>
      <c r="W57" s="847">
        <f>IF(OR(Q57="NA",Q57="",V57="NA",V57=""),"NA",(1+(V57/Q57)^1.5*((1-Data!$D$75)/(1-Data!$D$18))^1.5*(Data!$D$71/Data!$D$14)^1.5*(Data!$D$73/Data!$D$72)*(1/(39.37*Data!$D$72))^0.25))</f>
        <v>3.8303093677397895</v>
      </c>
      <c r="X57" s="847">
        <f>IF(W57="NA","NA",0.15*Data!$D$71*(1-Data!$D$75)*V57*((13.12*Data!$D$73)^(0.112*LN(Data!$D$71*(1-Data!$D$75)*V57)+1.38))/(W57*Data!$D$81))</f>
        <v>49211108.956170365</v>
      </c>
      <c r="Y57" s="847">
        <f>IF(OR(W57="NA",W57="",Data!$D$91="NA",Data!$D$91=""),"NA",W57*Data!$D$91)</f>
        <v>6.8495741227413927</v>
      </c>
      <c r="Z57" s="847">
        <f>IF(OR(W57="NA",W57="",Data!$D$91="NA",Data!$D$91=""),"NA",IF(Data!$D$68&lt;X57,W57*X57/Data!$D$68*Data!$D$91,W57*Data!$D$91))</f>
        <v>1685375.6922879587</v>
      </c>
      <c r="AA57" s="853"/>
      <c r="AB57" s="717">
        <v>0.2</v>
      </c>
      <c r="AC57" s="717">
        <v>0.2</v>
      </c>
      <c r="AD57" s="292" t="s">
        <v>329</v>
      </c>
      <c r="AE57" s="287" t="s">
        <v>329</v>
      </c>
      <c r="AF57" s="287" t="s">
        <v>329</v>
      </c>
      <c r="AG57" s="288" t="s">
        <v>329</v>
      </c>
      <c r="AH57" s="784">
        <v>0.24</v>
      </c>
      <c r="AI57" s="689">
        <v>1.4E-2</v>
      </c>
      <c r="AJ57" s="287" t="s">
        <v>329</v>
      </c>
      <c r="AK57" s="288" t="s">
        <v>329</v>
      </c>
      <c r="AL57" s="786"/>
      <c r="AM57" s="815"/>
      <c r="AN57" s="1037"/>
      <c r="AO57" s="1049"/>
      <c r="AP57" s="287" t="s">
        <v>329</v>
      </c>
      <c r="AQ57" s="828">
        <v>246</v>
      </c>
      <c r="AR57" s="922">
        <v>15</v>
      </c>
      <c r="AS57" s="288" t="s">
        <v>329</v>
      </c>
      <c r="AT57" s="786">
        <v>2.5</v>
      </c>
      <c r="AU57" s="926">
        <v>11</v>
      </c>
      <c r="AV57" s="874"/>
      <c r="AW57" s="663"/>
      <c r="AX57" s="663"/>
      <c r="AY57" s="663"/>
      <c r="AZ57" s="664"/>
    </row>
    <row r="58" spans="1:52" s="55" customFormat="1" x14ac:dyDescent="0.25">
      <c r="A58" s="307" t="s">
        <v>376</v>
      </c>
      <c r="B58" s="1018"/>
      <c r="C58" s="1019"/>
      <c r="D58" s="1020"/>
      <c r="E58" s="1021"/>
      <c r="F58" s="502"/>
      <c r="G58" s="503"/>
      <c r="H58" s="1040" t="str">
        <f t="shared" si="6"/>
        <v>NA</v>
      </c>
      <c r="I58" s="1041" t="str">
        <f t="shared" si="6"/>
        <v>NA</v>
      </c>
      <c r="J58" s="1041" t="str">
        <f t="shared" si="6"/>
        <v>NA</v>
      </c>
      <c r="K58" s="1041" t="str">
        <f t="shared" si="6"/>
        <v>NA</v>
      </c>
      <c r="L58" s="1042" t="str">
        <f t="shared" si="6"/>
        <v>NA</v>
      </c>
      <c r="M58" s="289">
        <v>252.3</v>
      </c>
      <c r="N58" s="645">
        <f>1.97*10^(-7)</f>
        <v>1.9699999999999998E-7</v>
      </c>
      <c r="O58" s="645">
        <f>IF(M58="NA","NA",(IF(N58="NA","NA",((((28.97+M58)/(28.97*M58))^0.5)*(10^-3)*(Data!$D$50^1.75)/((2*(20.1^(1/3)))^2)))))</f>
        <v>0.15193381222063138</v>
      </c>
      <c r="P58" s="637">
        <f>10^6.44</f>
        <v>2754228.7033381732</v>
      </c>
      <c r="Q58" s="629">
        <f>IF($P58="NA","NA",(0.617*Data!$D$9*$P58/100)/(1+Data!$D$15*$P58*0.000000617))</f>
        <v>50980.773298789587</v>
      </c>
      <c r="R58" s="629">
        <f t="shared" si="7"/>
        <v>50980.773298789587</v>
      </c>
      <c r="S58" s="290">
        <v>1</v>
      </c>
      <c r="T58" s="290">
        <f t="shared" si="8"/>
        <v>1</v>
      </c>
      <c r="U58" s="847">
        <v>4</v>
      </c>
      <c r="V58" s="860">
        <f>IF(Data!$D$69="",E58,IF(P58="NA","NA",(0.617*Data!$D$69*P58/100)/(1+Data!$D$15*P58*0.000000617)))</f>
        <v>33987.182199193056</v>
      </c>
      <c r="W58" s="847">
        <f>IF(OR(Q58="NA",Q58="",V58="NA",V58=""),"NA",(1+(V58/Q58)^1.5*((1-Data!$D$75)/(1-Data!$D$18))^1.5*(Data!$D$71/Data!$D$14)^1.5*(Data!$D$73/Data!$D$72)*(1/(39.37*Data!$D$72))^0.25))</f>
        <v>3.8303093677397895</v>
      </c>
      <c r="X58" s="847">
        <f>IF(W58="NA","NA",0.15*Data!$D$71*(1-Data!$D$75)*V58*((13.12*Data!$D$73)^(0.112*LN(Data!$D$71*(1-Data!$D$75)*V58)+1.38))/(W58*Data!$D$81))</f>
        <v>190321276.99064916</v>
      </c>
      <c r="Y58" s="847">
        <f>IF(OR(W58="NA",W58="",Data!$D$91="NA",Data!$D$91=""),"NA",W58*Data!$D$91)</f>
        <v>6.8495741227413927</v>
      </c>
      <c r="Z58" s="847">
        <f>IF(OR(W58="NA",W58="",Data!$D$91="NA",Data!$D$91=""),"NA",IF(Data!$D$68&lt;X58,W58*X58/Data!$D$68*Data!$D$91,W58*Data!$D$91))</f>
        <v>6518098.4694112372</v>
      </c>
      <c r="AA58" s="853"/>
      <c r="AB58" s="710" t="s">
        <v>329</v>
      </c>
      <c r="AC58" s="710" t="s">
        <v>329</v>
      </c>
      <c r="AD58" s="292" t="s">
        <v>329</v>
      </c>
      <c r="AE58" s="287" t="s">
        <v>329</v>
      </c>
      <c r="AF58" s="287" t="s">
        <v>329</v>
      </c>
      <c r="AG58" s="288" t="s">
        <v>329</v>
      </c>
      <c r="AH58" s="292" t="s">
        <v>329</v>
      </c>
      <c r="AI58" s="689" t="s">
        <v>329</v>
      </c>
      <c r="AJ58" s="287" t="s">
        <v>329</v>
      </c>
      <c r="AK58" s="288" t="s">
        <v>329</v>
      </c>
      <c r="AL58" s="786"/>
      <c r="AM58" s="815"/>
      <c r="AN58" s="1037"/>
      <c r="AO58" s="1049"/>
      <c r="AP58" s="287" t="s">
        <v>329</v>
      </c>
      <c r="AQ58" s="884">
        <v>4.59</v>
      </c>
      <c r="AR58" s="292" t="s">
        <v>329</v>
      </c>
      <c r="AS58" s="288" t="s">
        <v>329</v>
      </c>
      <c r="AT58" s="292" t="s">
        <v>329</v>
      </c>
      <c r="AU58" s="288" t="s">
        <v>329</v>
      </c>
      <c r="AV58" s="874"/>
      <c r="AW58" s="663"/>
      <c r="AX58" s="663"/>
      <c r="AY58" s="663"/>
      <c r="AZ58" s="664"/>
    </row>
    <row r="59" spans="1:52" s="55" customFormat="1" x14ac:dyDescent="0.25">
      <c r="A59" s="307" t="s">
        <v>377</v>
      </c>
      <c r="B59" s="1018"/>
      <c r="C59" s="1019"/>
      <c r="D59" s="1020"/>
      <c r="E59" s="1021"/>
      <c r="F59" s="502"/>
      <c r="G59" s="503"/>
      <c r="H59" s="1040" t="str">
        <f t="shared" si="6"/>
        <v>NA</v>
      </c>
      <c r="I59" s="1041">
        <f t="shared" si="6"/>
        <v>14</v>
      </c>
      <c r="J59" s="1041">
        <f t="shared" si="6"/>
        <v>14</v>
      </c>
      <c r="K59" s="1041" t="str">
        <f t="shared" si="6"/>
        <v>NA</v>
      </c>
      <c r="L59" s="1042">
        <f t="shared" si="6"/>
        <v>790</v>
      </c>
      <c r="M59" s="289">
        <v>154.19999999999999</v>
      </c>
      <c r="N59" s="645">
        <v>2.9999999999999997E-4</v>
      </c>
      <c r="O59" s="645">
        <v>4.0399999999999998E-2</v>
      </c>
      <c r="P59" s="637">
        <v>6165.9500186148289</v>
      </c>
      <c r="Q59" s="629">
        <f>IF($P59="NA","NA",(0.617*Data!$D$9*$P59/100)/(1+Data!$D$15*$P59*0.000000617))</f>
        <v>114.13173484456048</v>
      </c>
      <c r="R59" s="629">
        <f t="shared" si="7"/>
        <v>114.13173484456048</v>
      </c>
      <c r="S59" s="290">
        <v>1</v>
      </c>
      <c r="T59" s="290">
        <v>1</v>
      </c>
      <c r="U59" s="847">
        <v>7000</v>
      </c>
      <c r="V59" s="860">
        <f>IF(Data!$D$69="",E59,IF(P59="NA","NA",(0.617*Data!$D$69*P59/100)/(1+Data!$D$15*P59*0.000000617)))</f>
        <v>76.087823229706999</v>
      </c>
      <c r="W59" s="847">
        <f>IF(OR(Q59="NA",Q59="",V59="NA",V59=""),"NA",(1+(V59/Q59)^1.5*((1-Data!$D$75)/(1-Data!$D$18))^1.5*(Data!$D$71/Data!$D$14)^1.5*(Data!$D$73/Data!$D$72)*(1/(39.37*Data!$D$72))^0.25))</f>
        <v>3.8303093677397904</v>
      </c>
      <c r="X59" s="847">
        <f>IF(W59="NA","NA",0.15*Data!$D$71*(1-Data!$D$75)*V59*((13.12*Data!$D$73)^(0.112*LN(Data!$D$71*(1-Data!$D$75)*V59)+1.38))/(W59*Data!$D$81))</f>
        <v>24423.172475744457</v>
      </c>
      <c r="Y59" s="847">
        <f>IF(OR(W59="NA",W59="",Data!$D$91="NA",Data!$D$91=""),"NA",W59*Data!$D$91)</f>
        <v>6.8495741227413944</v>
      </c>
      <c r="Z59" s="847">
        <f>IF(OR(W59="NA",W59="",Data!$D$91="NA",Data!$D$91=""),"NA",IF(Data!$D$68&lt;X59,W59*X59/Data!$D$68*Data!$D$91,W59*Data!$D$91))</f>
        <v>836.44165092554556</v>
      </c>
      <c r="AA59" s="853"/>
      <c r="AB59" s="710" t="s">
        <v>329</v>
      </c>
      <c r="AC59" s="710" t="s">
        <v>329</v>
      </c>
      <c r="AD59" s="292" t="s">
        <v>329</v>
      </c>
      <c r="AE59" s="287" t="s">
        <v>329</v>
      </c>
      <c r="AF59" s="287" t="s">
        <v>329</v>
      </c>
      <c r="AG59" s="288" t="s">
        <v>329</v>
      </c>
      <c r="AH59" s="292" t="s">
        <v>329</v>
      </c>
      <c r="AI59" s="828">
        <v>14</v>
      </c>
      <c r="AJ59" s="287" t="s">
        <v>329</v>
      </c>
      <c r="AK59" s="288" t="s">
        <v>329</v>
      </c>
      <c r="AL59" s="786"/>
      <c r="AM59" s="815"/>
      <c r="AN59" s="1037"/>
      <c r="AO59" s="1049"/>
      <c r="AP59" s="287" t="s">
        <v>329</v>
      </c>
      <c r="AQ59" s="827">
        <v>21.1</v>
      </c>
      <c r="AR59" s="292" t="s">
        <v>329</v>
      </c>
      <c r="AS59" s="288" t="s">
        <v>329</v>
      </c>
      <c r="AT59" s="786">
        <v>790</v>
      </c>
      <c r="AU59" s="926">
        <v>2200</v>
      </c>
      <c r="AV59" s="874"/>
      <c r="AW59" s="663"/>
      <c r="AX59" s="663"/>
      <c r="AY59" s="663"/>
      <c r="AZ59" s="664"/>
    </row>
    <row r="60" spans="1:52" s="55" customFormat="1" x14ac:dyDescent="0.25">
      <c r="A60" s="307" t="s">
        <v>378</v>
      </c>
      <c r="B60" s="1018"/>
      <c r="C60" s="1019"/>
      <c r="D60" s="1020"/>
      <c r="E60" s="1021"/>
      <c r="F60" s="502"/>
      <c r="G60" s="503"/>
      <c r="H60" s="1040" t="str">
        <f t="shared" ref="H60:L69" si="9">IF(INDEX($AB$11:$AZ$310,,H$7)=0,"NA",INDEX($AB$11:$AZ$310,,H$7))</f>
        <v>NA</v>
      </c>
      <c r="I60" s="1041" t="str">
        <f t="shared" si="9"/>
        <v>NA</v>
      </c>
      <c r="J60" s="1041" t="str">
        <f t="shared" si="9"/>
        <v>NA</v>
      </c>
      <c r="K60" s="1041" t="str">
        <f t="shared" si="9"/>
        <v>NA</v>
      </c>
      <c r="L60" s="1042">
        <f t="shared" si="9"/>
        <v>21</v>
      </c>
      <c r="M60" s="289">
        <v>167.2</v>
      </c>
      <c r="N60" s="645">
        <f>1.53*10^(-8)</f>
        <v>1.5300000000000001E-8</v>
      </c>
      <c r="O60" s="645">
        <v>3.9E-2</v>
      </c>
      <c r="P60" s="637">
        <f>10^3.59</f>
        <v>3890.451449942811</v>
      </c>
      <c r="Q60" s="629">
        <f>IF($P60="NA","NA",(0.617*Data!$D$9*$P60/100)/(1+Data!$D$15*$P60*0.000000617))</f>
        <v>72.012256338441432</v>
      </c>
      <c r="R60" s="629">
        <f t="shared" si="7"/>
        <v>72.012256338441432</v>
      </c>
      <c r="S60" s="290">
        <v>1</v>
      </c>
      <c r="T60" s="290">
        <f t="shared" si="8"/>
        <v>1</v>
      </c>
      <c r="U60" s="847">
        <v>7480</v>
      </c>
      <c r="V60" s="860">
        <f>IF(Data!$D$69="",E60,IF(P60="NA","NA",(0.617*Data!$D$69*P60/100)/(1+Data!$D$15*P60*0.000000617)))</f>
        <v>48.008170892294281</v>
      </c>
      <c r="W60" s="847">
        <f>IF(OR(Q60="NA",Q60="",V60="NA",V60=""),"NA",(1+(V60/Q60)^1.5*((1-Data!$D$75)/(1-Data!$D$18))^1.5*(Data!$D$71/Data!$D$14)^1.5*(Data!$D$73/Data!$D$72)*(1/(39.37*Data!$D$72))^0.25))</f>
        <v>3.8303093677397886</v>
      </c>
      <c r="X60" s="847">
        <f>IF(W60="NA","NA",0.15*Data!$D$71*(1-Data!$D$75)*V60*((13.12*Data!$D$73)^(0.112*LN(Data!$D$71*(1-Data!$D$75)*V60)+1.38))/(W60*Data!$D$81))</f>
        <v>12419.095904289945</v>
      </c>
      <c r="Y60" s="847">
        <f>IF(OR(W60="NA",W60="",Data!$D$91="NA",Data!$D$91=""),"NA",W60*Data!$D$91)</f>
        <v>6.8495741227413909</v>
      </c>
      <c r="Z60" s="847">
        <f>IF(OR(W60="NA",W60="",Data!$D$91="NA",Data!$D$91=""),"NA",IF(Data!$D$68&lt;X60,W60*X60/Data!$D$68*Data!$D$91,W60*Data!$D$91))</f>
        <v>425.32758966934</v>
      </c>
      <c r="AA60" s="853"/>
      <c r="AB60" s="710" t="s">
        <v>329</v>
      </c>
      <c r="AC60" s="710" t="s">
        <v>329</v>
      </c>
      <c r="AD60" s="292" t="s">
        <v>329</v>
      </c>
      <c r="AE60" s="287" t="s">
        <v>329</v>
      </c>
      <c r="AF60" s="287" t="s">
        <v>329</v>
      </c>
      <c r="AG60" s="288" t="s">
        <v>329</v>
      </c>
      <c r="AH60" s="292" t="s">
        <v>329</v>
      </c>
      <c r="AI60" s="689" t="s">
        <v>329</v>
      </c>
      <c r="AJ60" s="287" t="s">
        <v>329</v>
      </c>
      <c r="AK60" s="288" t="s">
        <v>329</v>
      </c>
      <c r="AL60" s="786"/>
      <c r="AM60" s="815"/>
      <c r="AN60" s="1037"/>
      <c r="AO60" s="1049"/>
      <c r="AP60" s="287" t="s">
        <v>329</v>
      </c>
      <c r="AQ60" s="827">
        <v>34</v>
      </c>
      <c r="AR60" s="292" t="s">
        <v>329</v>
      </c>
      <c r="AS60" s="288" t="s">
        <v>329</v>
      </c>
      <c r="AT60" s="786">
        <v>21</v>
      </c>
      <c r="AU60" s="926">
        <v>83</v>
      </c>
      <c r="AV60" s="874"/>
      <c r="AW60" s="663"/>
      <c r="AX60" s="663"/>
      <c r="AY60" s="663"/>
      <c r="AZ60" s="664"/>
    </row>
    <row r="61" spans="1:52" s="55" customFormat="1" x14ac:dyDescent="0.25">
      <c r="A61" s="307" t="s">
        <v>379</v>
      </c>
      <c r="B61" s="1018"/>
      <c r="C61" s="1019"/>
      <c r="D61" s="1020"/>
      <c r="E61" s="1021"/>
      <c r="F61" s="502"/>
      <c r="G61" s="503"/>
      <c r="H61" s="1040" t="str">
        <f t="shared" si="9"/>
        <v>NA</v>
      </c>
      <c r="I61" s="1041" t="str">
        <f t="shared" si="9"/>
        <v>NA</v>
      </c>
      <c r="J61" s="1041" t="str">
        <f t="shared" si="9"/>
        <v>NA</v>
      </c>
      <c r="K61" s="1041" t="str">
        <f t="shared" si="9"/>
        <v>NA</v>
      </c>
      <c r="L61" s="1042">
        <f t="shared" si="9"/>
        <v>230</v>
      </c>
      <c r="M61" s="289">
        <v>228.3</v>
      </c>
      <c r="N61" s="645">
        <v>9.4599999999999996E-5</v>
      </c>
      <c r="O61" s="645">
        <v>2.4799999999999999E-2</v>
      </c>
      <c r="P61" s="637">
        <f>10^5.7</f>
        <v>501187.23362727347</v>
      </c>
      <c r="Q61" s="629">
        <f>IF($P61="NA","NA",(0.617*Data!$D$9*$P61/100)/(1+Data!$D$15*$P61*0.000000617))</f>
        <v>9276.9756944408309</v>
      </c>
      <c r="R61" s="629">
        <f t="shared" si="7"/>
        <v>9276.9756944408309</v>
      </c>
      <c r="S61" s="290">
        <v>1</v>
      </c>
      <c r="T61" s="290">
        <f t="shared" si="8"/>
        <v>1</v>
      </c>
      <c r="U61" s="847">
        <v>1.8</v>
      </c>
      <c r="V61" s="860">
        <f>IF(Data!$D$69="",E61,IF(P61="NA","NA",(0.617*Data!$D$69*P61/100)/(1+Data!$D$15*P61*0.000000617)))</f>
        <v>6184.6504629605543</v>
      </c>
      <c r="W61" s="847">
        <f>IF(OR(Q61="NA",Q61="",V61="NA",V61=""),"NA",(1+(V61/Q61)^1.5*((1-Data!$D$75)/(1-Data!$D$18))^1.5*(Data!$D$71/Data!$D$14)^1.5*(Data!$D$73/Data!$D$72)*(1/(39.37*Data!$D$72))^0.25))</f>
        <v>3.8303093677397904</v>
      </c>
      <c r="X61" s="847">
        <f>IF(W61="NA","NA",0.15*Data!$D$71*(1-Data!$D$75)*V61*((13.12*Data!$D$73)^(0.112*LN(Data!$D$71*(1-Data!$D$75)*V61)+1.38))/(W61*Data!$D$81))</f>
        <v>15586643.035371238</v>
      </c>
      <c r="Y61" s="847">
        <f>IF(OR(W61="NA",W61="",Data!$D$91="NA",Data!$D$91=""),"NA",W61*Data!$D$91)</f>
        <v>6.8495741227413944</v>
      </c>
      <c r="Z61" s="847">
        <f>IF(OR(W61="NA",W61="",Data!$D$91="NA",Data!$D$91=""),"NA",IF(Data!$D$68&lt;X61,W61*X61/Data!$D$68*Data!$D$91,W61*Data!$D$91))</f>
        <v>533809.33397743106</v>
      </c>
      <c r="AA61" s="853"/>
      <c r="AB61" s="710" t="s">
        <v>329</v>
      </c>
      <c r="AC61" s="710" t="s">
        <v>329</v>
      </c>
      <c r="AD61" s="292" t="s">
        <v>329</v>
      </c>
      <c r="AE61" s="287" t="s">
        <v>329</v>
      </c>
      <c r="AF61" s="287" t="s">
        <v>329</v>
      </c>
      <c r="AG61" s="288" t="s">
        <v>329</v>
      </c>
      <c r="AH61" s="292" t="s">
        <v>329</v>
      </c>
      <c r="AI61" s="689" t="s">
        <v>329</v>
      </c>
      <c r="AJ61" s="287" t="s">
        <v>329</v>
      </c>
      <c r="AK61" s="288" t="s">
        <v>329</v>
      </c>
      <c r="AL61" s="786"/>
      <c r="AM61" s="815"/>
      <c r="AN61" s="1037"/>
      <c r="AO61" s="1049"/>
      <c r="AP61" s="287" t="s">
        <v>329</v>
      </c>
      <c r="AQ61" s="689" t="s">
        <v>329</v>
      </c>
      <c r="AR61" s="292" t="s">
        <v>329</v>
      </c>
      <c r="AS61" s="288" t="s">
        <v>329</v>
      </c>
      <c r="AT61" s="786">
        <v>230</v>
      </c>
      <c r="AU61" s="926">
        <v>230</v>
      </c>
      <c r="AV61" s="874"/>
      <c r="AW61" s="663"/>
      <c r="AX61" s="663"/>
      <c r="AY61" s="663"/>
      <c r="AZ61" s="664"/>
    </row>
    <row r="62" spans="1:52" s="55" customFormat="1" x14ac:dyDescent="0.25">
      <c r="A62" s="307" t="s">
        <v>380</v>
      </c>
      <c r="B62" s="1018"/>
      <c r="C62" s="1019"/>
      <c r="D62" s="1020"/>
      <c r="E62" s="1021"/>
      <c r="F62" s="502"/>
      <c r="G62" s="503"/>
      <c r="H62" s="1040" t="str">
        <f t="shared" si="9"/>
        <v>NA</v>
      </c>
      <c r="I62" s="1041" t="str">
        <f t="shared" si="9"/>
        <v>NA</v>
      </c>
      <c r="J62" s="1041" t="str">
        <f t="shared" si="9"/>
        <v>NA</v>
      </c>
      <c r="K62" s="1041" t="str">
        <f t="shared" si="9"/>
        <v>NA</v>
      </c>
      <c r="L62" s="1042">
        <f t="shared" si="9"/>
        <v>2.5</v>
      </c>
      <c r="M62" s="289">
        <v>278.3</v>
      </c>
      <c r="N62" s="645">
        <f>0.0000000147</f>
        <v>1.4699999999999999E-8</v>
      </c>
      <c r="O62" s="645">
        <v>2.0199999999999999E-2</v>
      </c>
      <c r="P62" s="637">
        <f>10^6.7</f>
        <v>5011872.3362727314</v>
      </c>
      <c r="Q62" s="629">
        <f>IF($P62="NA","NA",(0.617*Data!$D$9*$P62/100)/(1+Data!$D$15*$P62*0.000000617))</f>
        <v>92769.756944408247</v>
      </c>
      <c r="R62" s="629">
        <f t="shared" si="7"/>
        <v>92769.756944408247</v>
      </c>
      <c r="S62" s="290">
        <v>1</v>
      </c>
      <c r="T62" s="290">
        <f t="shared" si="8"/>
        <v>1</v>
      </c>
      <c r="U62" s="847">
        <v>0.6</v>
      </c>
      <c r="V62" s="860">
        <f>IF(Data!$D$69="",E62,IF(P62="NA","NA",(0.617*Data!$D$69*P62/100)/(1+Data!$D$15*P62*0.000000617)))</f>
        <v>61846.504629605508</v>
      </c>
      <c r="W62" s="847">
        <f>IF(OR(Q62="NA",Q62="",V62="NA",V62=""),"NA",(1+(V62/Q62)^1.5*((1-Data!$D$75)/(1-Data!$D$18))^1.5*(Data!$D$71/Data!$D$14)^1.5*(Data!$D$73/Data!$D$72)*(1/(39.37*Data!$D$72))^0.25))</f>
        <v>3.8303093677397904</v>
      </c>
      <c r="X62" s="847">
        <f>IF(W62="NA","NA",0.15*Data!$D$71*(1-Data!$D$75)*V62*((13.12*Data!$D$73)^(0.112*LN(Data!$D$71*(1-Data!$D$75)*V62)+1.38))/(W62*Data!$D$81))</f>
        <v>458472263.7875765</v>
      </c>
      <c r="Y62" s="847">
        <f>IF(OR(W62="NA",W62="",Data!$D$91="NA",Data!$D$91=""),"NA",W62*Data!$D$91)</f>
        <v>6.8495741227413944</v>
      </c>
      <c r="Z62" s="847">
        <f>IF(OR(W62="NA",W62="",Data!$D$91="NA",Data!$D$91=""),"NA",IF(Data!$D$68&lt;X62,W62*X62/Data!$D$68*Data!$D$91,W62*Data!$D$91))</f>
        <v>15701698.770170251</v>
      </c>
      <c r="AA62" s="853"/>
      <c r="AB62" s="710" t="s">
        <v>329</v>
      </c>
      <c r="AC62" s="710" t="s">
        <v>329</v>
      </c>
      <c r="AD62" s="292" t="s">
        <v>329</v>
      </c>
      <c r="AE62" s="287" t="s">
        <v>329</v>
      </c>
      <c r="AF62" s="287" t="s">
        <v>329</v>
      </c>
      <c r="AG62" s="288" t="s">
        <v>329</v>
      </c>
      <c r="AH62" s="292" t="s">
        <v>329</v>
      </c>
      <c r="AI62" s="689" t="s">
        <v>329</v>
      </c>
      <c r="AJ62" s="287" t="s">
        <v>329</v>
      </c>
      <c r="AK62" s="288" t="s">
        <v>329</v>
      </c>
      <c r="AL62" s="786"/>
      <c r="AM62" s="815"/>
      <c r="AN62" s="1037"/>
      <c r="AO62" s="1049"/>
      <c r="AP62" s="287" t="s">
        <v>329</v>
      </c>
      <c r="AQ62" s="689" t="s">
        <v>329</v>
      </c>
      <c r="AR62" s="292" t="s">
        <v>329</v>
      </c>
      <c r="AS62" s="288" t="s">
        <v>329</v>
      </c>
      <c r="AT62" s="785">
        <v>2.5</v>
      </c>
      <c r="AU62" s="926">
        <v>11</v>
      </c>
      <c r="AV62" s="874"/>
      <c r="AW62" s="663"/>
      <c r="AX62" s="663"/>
      <c r="AY62" s="663"/>
      <c r="AZ62" s="664"/>
    </row>
    <row r="63" spans="1:52" s="55" customFormat="1" x14ac:dyDescent="0.25">
      <c r="A63" s="307" t="s">
        <v>381</v>
      </c>
      <c r="B63" s="1018"/>
      <c r="C63" s="1019"/>
      <c r="D63" s="1020"/>
      <c r="E63" s="1021"/>
      <c r="F63" s="502"/>
      <c r="G63" s="503"/>
      <c r="H63" s="1040" t="str">
        <f t="shared" si="9"/>
        <v>NA</v>
      </c>
      <c r="I63" s="1041" t="str">
        <f t="shared" si="9"/>
        <v>NA</v>
      </c>
      <c r="J63" s="1041" t="str">
        <f t="shared" si="9"/>
        <v>NA</v>
      </c>
      <c r="K63" s="1041" t="str">
        <f t="shared" si="9"/>
        <v>NA</v>
      </c>
      <c r="L63" s="1042" t="str">
        <f t="shared" si="9"/>
        <v>NA</v>
      </c>
      <c r="M63" s="289">
        <v>184.19</v>
      </c>
      <c r="N63" s="645"/>
      <c r="O63" s="645">
        <f>IF(M63="NA","NA",(IF(N63="NA","NA",((((28.97+M63)/(28.97*M63))^0.5)*(10^-3)*(Data!$D$50^1.75)/((2*(20.1^(1/3)))^2)))))</f>
        <v>0.15480008168197598</v>
      </c>
      <c r="P63" s="637" t="s">
        <v>329</v>
      </c>
      <c r="Q63" s="629" t="str">
        <f>IF($P63="NA","NA",(0.617*Data!$D$9*$P63/100)/(1+Data!$D$15*$P63*0.000000617))</f>
        <v>NA</v>
      </c>
      <c r="R63" s="629" t="str">
        <f>Q63</f>
        <v>NA</v>
      </c>
      <c r="S63" s="290">
        <v>1</v>
      </c>
      <c r="T63" s="290">
        <f>IF(S63= "NA", "NA", S63)</f>
        <v>1</v>
      </c>
      <c r="U63" s="847" t="s">
        <v>329</v>
      </c>
      <c r="V63" s="860" t="str">
        <f>IF(Data!$D$69="",E63,IF(P63="NA","NA",(0.617*Data!$D$69*P63/100)/(1+Data!$D$15*P63*0.000000617)))</f>
        <v>NA</v>
      </c>
      <c r="W63" s="847" t="str">
        <f>IF(OR(Q63="NA",Q63="",V63="NA",V63=""),"NA",(1+(V63/Q63)^1.5*((1-Data!$D$75)/(1-Data!$D$18))^1.5*(Data!$D$71/Data!$D$14)^1.5*(Data!$D$73/Data!$D$72)*(1/(39.37*Data!$D$72))^0.25))</f>
        <v>NA</v>
      </c>
      <c r="X63" s="847" t="str">
        <f>IF(W63="NA","NA",0.15*Data!$D$71*(1-Data!$D$75)*V63*((13.12*Data!$D$73)^(0.112*LN(Data!$D$71*(1-Data!$D$75)*V63)+1.38))/(W63*Data!$D$81))</f>
        <v>NA</v>
      </c>
      <c r="Y63" s="847" t="str">
        <f>IF(OR(W63="NA",W63="",Data!$D$91="NA",Data!$D$91=""),"NA",W63*Data!$D$91)</f>
        <v>NA</v>
      </c>
      <c r="Z63" s="847" t="str">
        <f>IF(OR(W63="NA",W63="",Data!$D$91="NA",Data!$D$91=""),"NA",IF(Data!$D$68&lt;X63,W63*X63/Data!$D$68*Data!$D$91,W63*Data!$D$91))</f>
        <v>NA</v>
      </c>
      <c r="AA63" s="853"/>
      <c r="AB63" s="710" t="s">
        <v>329</v>
      </c>
      <c r="AC63" s="710" t="s">
        <v>329</v>
      </c>
      <c r="AD63" s="292" t="s">
        <v>329</v>
      </c>
      <c r="AE63" s="287" t="s">
        <v>329</v>
      </c>
      <c r="AF63" s="287" t="s">
        <v>329</v>
      </c>
      <c r="AG63" s="288" t="s">
        <v>329</v>
      </c>
      <c r="AH63" s="292" t="s">
        <v>329</v>
      </c>
      <c r="AI63" s="689" t="s">
        <v>329</v>
      </c>
      <c r="AJ63" s="287" t="s">
        <v>329</v>
      </c>
      <c r="AK63" s="288" t="s">
        <v>329</v>
      </c>
      <c r="AL63" s="786"/>
      <c r="AM63" s="815"/>
      <c r="AN63" s="1037"/>
      <c r="AO63" s="1049"/>
      <c r="AP63" s="287" t="s">
        <v>329</v>
      </c>
      <c r="AQ63" s="689" t="s">
        <v>329</v>
      </c>
      <c r="AR63" s="292" t="s">
        <v>329</v>
      </c>
      <c r="AS63" s="288" t="s">
        <v>329</v>
      </c>
      <c r="AT63" s="292" t="s">
        <v>329</v>
      </c>
      <c r="AU63" s="288" t="s">
        <v>329</v>
      </c>
      <c r="AV63" s="874"/>
      <c r="AW63" s="663"/>
      <c r="AX63" s="663"/>
      <c r="AY63" s="663"/>
      <c r="AZ63" s="664"/>
    </row>
    <row r="64" spans="1:52" s="55" customFormat="1" x14ac:dyDescent="0.25">
      <c r="A64" s="307" t="s">
        <v>382</v>
      </c>
      <c r="B64" s="1018"/>
      <c r="C64" s="1019"/>
      <c r="D64" s="1020"/>
      <c r="E64" s="1021"/>
      <c r="F64" s="502"/>
      <c r="G64" s="503"/>
      <c r="H64" s="1040">
        <f t="shared" si="9"/>
        <v>66</v>
      </c>
      <c r="I64" s="1041">
        <f t="shared" si="9"/>
        <v>3.7</v>
      </c>
      <c r="J64" s="1041">
        <f t="shared" si="9"/>
        <v>3.7</v>
      </c>
      <c r="K64" s="1041" t="str">
        <f t="shared" si="9"/>
        <v>NA</v>
      </c>
      <c r="L64" s="1042" t="str">
        <f t="shared" si="9"/>
        <v>NA</v>
      </c>
      <c r="M64" s="289">
        <v>168.19</v>
      </c>
      <c r="N64" s="645">
        <v>1.048E-4</v>
      </c>
      <c r="O64" s="645">
        <v>6.0100000000000001E-2</v>
      </c>
      <c r="P64" s="637">
        <f>10^4.12</f>
        <v>13182.567385564091</v>
      </c>
      <c r="Q64" s="629">
        <f>IF($P64="NA","NA",(0.617*Data!$D$9*$P64/100)/(1+Data!$D$15*$P64*0.000000617))</f>
        <v>244.00932230679132</v>
      </c>
      <c r="R64" s="629">
        <f t="shared" si="7"/>
        <v>244.00932230679132</v>
      </c>
      <c r="S64" s="290">
        <v>1</v>
      </c>
      <c r="T64" s="290">
        <f t="shared" si="8"/>
        <v>1</v>
      </c>
      <c r="U64" s="847">
        <v>6560</v>
      </c>
      <c r="V64" s="860">
        <f>IF(Data!$D$69="",E64,IF(P64="NA","NA",(0.617*Data!$D$69*P64/100)/(1+Data!$D$15*P64*0.000000617)))</f>
        <v>162.67288153786089</v>
      </c>
      <c r="W64" s="847">
        <f>IF(OR(Q64="NA",Q64="",V64="NA",V64=""),"NA",(1+(V64/Q64)^1.5*((1-Data!$D$75)/(1-Data!$D$18))^1.5*(Data!$D$71/Data!$D$14)^1.5*(Data!$D$73/Data!$D$72)*(1/(39.37*Data!$D$72))^0.25))</f>
        <v>3.8303093677397904</v>
      </c>
      <c r="X64" s="847">
        <f>IF(W64="NA","NA",0.15*Data!$D$71*(1-Data!$D$75)*V64*((13.12*Data!$D$73)^(0.112*LN(Data!$D$71*(1-Data!$D$75)*V64)+1.38))/(W64*Data!$D$81))</f>
        <v>74546.461597282207</v>
      </c>
      <c r="Y64" s="847">
        <f>IF(OR(W64="NA",W64="",Data!$D$91="NA",Data!$D$91=""),"NA",W64*Data!$D$91)</f>
        <v>6.8495741227413944</v>
      </c>
      <c r="Z64" s="847">
        <f>IF(OR(W64="NA",W64="",Data!$D$91="NA",Data!$D$91=""),"NA",IF(Data!$D$68&lt;X64,W64*X64/Data!$D$68*Data!$D$91,W64*Data!$D$91))</f>
        <v>2553.0575714933966</v>
      </c>
      <c r="AA64" s="853"/>
      <c r="AB64" s="710" t="s">
        <v>329</v>
      </c>
      <c r="AC64" s="710" t="s">
        <v>329</v>
      </c>
      <c r="AD64" s="292" t="s">
        <v>329</v>
      </c>
      <c r="AE64" s="287" t="s">
        <v>329</v>
      </c>
      <c r="AF64" s="287" t="s">
        <v>329</v>
      </c>
      <c r="AG64" s="288" t="s">
        <v>329</v>
      </c>
      <c r="AH64" s="786">
        <v>66</v>
      </c>
      <c r="AI64" s="827">
        <v>3.7</v>
      </c>
      <c r="AJ64" s="287" t="s">
        <v>329</v>
      </c>
      <c r="AK64" s="288" t="s">
        <v>329</v>
      </c>
      <c r="AL64" s="786"/>
      <c r="AM64" s="815"/>
      <c r="AN64" s="1037"/>
      <c r="AO64" s="1049"/>
      <c r="AP64" s="287" t="s">
        <v>329</v>
      </c>
      <c r="AQ64" s="689" t="s">
        <v>329</v>
      </c>
      <c r="AR64" s="292" t="s">
        <v>329</v>
      </c>
      <c r="AS64" s="288" t="s">
        <v>329</v>
      </c>
      <c r="AT64" s="292" t="s">
        <v>329</v>
      </c>
      <c r="AU64" s="288" t="s">
        <v>329</v>
      </c>
      <c r="AV64" s="874"/>
      <c r="AW64" s="663"/>
      <c r="AX64" s="663"/>
      <c r="AY64" s="663"/>
      <c r="AZ64" s="664"/>
    </row>
    <row r="65" spans="1:52" s="55" customFormat="1" x14ac:dyDescent="0.25">
      <c r="A65" s="307" t="s">
        <v>383</v>
      </c>
      <c r="B65" s="1018"/>
      <c r="C65" s="1019"/>
      <c r="D65" s="1020"/>
      <c r="E65" s="1021"/>
      <c r="F65" s="502"/>
      <c r="G65" s="503"/>
      <c r="H65" s="1040" t="str">
        <f t="shared" si="9"/>
        <v>NA</v>
      </c>
      <c r="I65" s="1041" t="str">
        <f t="shared" si="9"/>
        <v>NA</v>
      </c>
      <c r="J65" s="1041" t="str">
        <f t="shared" si="9"/>
        <v>NA</v>
      </c>
      <c r="K65" s="1041" t="str">
        <f t="shared" si="9"/>
        <v>NA</v>
      </c>
      <c r="L65" s="1042" t="str">
        <f t="shared" si="9"/>
        <v>NA</v>
      </c>
      <c r="M65" s="289">
        <v>302.39999999999998</v>
      </c>
      <c r="N65" s="789">
        <v>1.4E-8</v>
      </c>
      <c r="O65" s="645">
        <f>IF(M65="NA","NA",(IF(N65="NA","NA",((((28.97+M65)/(28.97*M65))^0.5)*(10^-3)*(Data!$D$50^1.75)/((2*(20.1^(1/3)))^2)))))</f>
        <v>0.15063193469290961</v>
      </c>
      <c r="P65" s="637">
        <f>10^7.28</f>
        <v>19054607.1796325</v>
      </c>
      <c r="Q65" s="629">
        <f>IF($P65="NA","NA",(0.617*Data!$D$9*$P65/100)/(1+Data!$D$15*$P65*0.000000617))</f>
        <v>352700.77889499755</v>
      </c>
      <c r="R65" s="629">
        <f>Q65</f>
        <v>352700.77889499755</v>
      </c>
      <c r="S65" s="290">
        <v>1</v>
      </c>
      <c r="T65" s="290">
        <f>IF(S65= "NA", "NA", S65)</f>
        <v>1</v>
      </c>
      <c r="U65" s="847">
        <v>0</v>
      </c>
      <c r="V65" s="860">
        <f>IF(Data!$D$69="",E65,IF(P65="NA","NA",(0.617*Data!$D$69*P65/100)/(1+Data!$D$15*P65*0.000000617)))</f>
        <v>235133.85259666506</v>
      </c>
      <c r="W65" s="847">
        <f>IF(OR(Q65="NA",Q65="",V65="NA",V65=""),"NA",(1+(V65/Q65)^1.5*((1-Data!$D$75)/(1-Data!$D$18))^1.5*(Data!$D$71/Data!$D$14)^1.5*(Data!$D$73/Data!$D$72)*(1/(39.37*Data!$D$72))^0.25))</f>
        <v>3.8303093677397904</v>
      </c>
      <c r="X65" s="847">
        <f>IF(W65="NA","NA",0.15*Data!$D$71*(1-Data!$D$75)*V65*((13.12*Data!$D$73)^(0.112*LN(Data!$D$71*(1-Data!$D$75)*V65)+1.38))/(W65*Data!$D$81))</f>
        <v>3258953354.8154931</v>
      </c>
      <c r="Y65" s="847">
        <f>IF(OR(W65="NA",W65="",Data!$D$91="NA",Data!$D$91=""),"NA",W65*Data!$D$91)</f>
        <v>6.8495741227413944</v>
      </c>
      <c r="Z65" s="847">
        <f>IF(OR(W65="NA",W65="",Data!$D$91="NA",Data!$D$91=""),"NA",IF(Data!$D$68&lt;X65,W65*X65/Data!$D$68*Data!$D$91,W65*Data!$D$91))</f>
        <v>111612212.83182728</v>
      </c>
      <c r="AA65" s="853"/>
      <c r="AB65" s="710" t="s">
        <v>329</v>
      </c>
      <c r="AC65" s="710" t="s">
        <v>329</v>
      </c>
      <c r="AD65" s="292" t="s">
        <v>329</v>
      </c>
      <c r="AE65" s="287" t="s">
        <v>329</v>
      </c>
      <c r="AF65" s="287" t="s">
        <v>329</v>
      </c>
      <c r="AG65" s="288" t="s">
        <v>329</v>
      </c>
      <c r="AH65" s="292" t="s">
        <v>329</v>
      </c>
      <c r="AI65" s="689" t="s">
        <v>329</v>
      </c>
      <c r="AJ65" s="287" t="s">
        <v>329</v>
      </c>
      <c r="AK65" s="288" t="s">
        <v>329</v>
      </c>
      <c r="AL65" s="786"/>
      <c r="AM65" s="815"/>
      <c r="AN65" s="1037"/>
      <c r="AO65" s="1049"/>
      <c r="AP65" s="287" t="s">
        <v>329</v>
      </c>
      <c r="AQ65" s="830">
        <v>1.7699999999999999E-4</v>
      </c>
      <c r="AR65" s="292" t="s">
        <v>329</v>
      </c>
      <c r="AS65" s="288" t="s">
        <v>329</v>
      </c>
      <c r="AT65" s="292" t="s">
        <v>329</v>
      </c>
      <c r="AU65" s="288" t="s">
        <v>329</v>
      </c>
      <c r="AV65" s="874"/>
      <c r="AW65" s="663"/>
      <c r="AX65" s="663"/>
      <c r="AY65" s="663"/>
      <c r="AZ65" s="664"/>
    </row>
    <row r="66" spans="1:52" s="55" customFormat="1" x14ac:dyDescent="0.25">
      <c r="A66" s="307" t="s">
        <v>384</v>
      </c>
      <c r="B66" s="1018"/>
      <c r="C66" s="1019"/>
      <c r="D66" s="1020"/>
      <c r="E66" s="1021"/>
      <c r="F66" s="502"/>
      <c r="G66" s="503"/>
      <c r="H66" s="1040" t="str">
        <f t="shared" si="9"/>
        <v>NA</v>
      </c>
      <c r="I66" s="1041" t="str">
        <f t="shared" si="9"/>
        <v>NA</v>
      </c>
      <c r="J66" s="1041" t="str">
        <f t="shared" si="9"/>
        <v>NA</v>
      </c>
      <c r="K66" s="1041" t="str">
        <f t="shared" si="9"/>
        <v>NA</v>
      </c>
      <c r="L66" s="1042" t="str">
        <f t="shared" si="9"/>
        <v>NA</v>
      </c>
      <c r="M66" s="289">
        <v>184.26</v>
      </c>
      <c r="N66" s="645">
        <f>4.37*10^(-4)</f>
        <v>4.3700000000000005E-4</v>
      </c>
      <c r="O66" s="645">
        <f>IF(M66="NA","NA",(IF(N66="NA","NA",((((28.97+M66)/(28.97*M66))^0.5)*(10^-3)*(Data!$D$50^1.75)/((2*(20.1^(1/3)))^2)))))</f>
        <v>0.1547960853960593</v>
      </c>
      <c r="P66" s="637">
        <f>10^4.38</f>
        <v>23988.329190194923</v>
      </c>
      <c r="Q66" s="629">
        <f>IF($P66="NA","NA",(0.617*Data!$D$9*$P66/100)/(1+Data!$D$15*$P66*0.000000617))</f>
        <v>444.02397331050798</v>
      </c>
      <c r="R66" s="629">
        <f t="shared" si="7"/>
        <v>444.02397331050798</v>
      </c>
      <c r="S66" s="290">
        <v>1</v>
      </c>
      <c r="T66" s="290">
        <f t="shared" si="8"/>
        <v>1</v>
      </c>
      <c r="U66" s="847">
        <v>1110</v>
      </c>
      <c r="V66" s="860">
        <f>IF(Data!$D$69="",E66,IF(P66="NA","NA",(0.617*Data!$D$69*P66/100)/(1+Data!$D$15*P66*0.000000617)))</f>
        <v>296.01598220700538</v>
      </c>
      <c r="W66" s="847">
        <f>IF(OR(Q66="NA",Q66="",V66="NA",V66=""),"NA",(1+(V66/Q66)^1.5*((1-Data!$D$75)/(1-Data!$D$18))^1.5*(Data!$D$71/Data!$D$14)^1.5*(Data!$D$73/Data!$D$72)*(1/(39.37*Data!$D$72))^0.25))</f>
        <v>3.8303093677397904</v>
      </c>
      <c r="X66" s="847">
        <f>IF(W66="NA","NA",0.15*Data!$D$71*(1-Data!$D$75)*V66*((13.12*Data!$D$73)^(0.112*LN(Data!$D$71*(1-Data!$D$75)*V66)+1.38))/(W66*Data!$D$81))</f>
        <v>179577.8461886782</v>
      </c>
      <c r="Y66" s="847">
        <f>IF(OR(W66="NA",W66="",Data!$D$91="NA",Data!$D$91=""),"NA",W66*Data!$D$91)</f>
        <v>6.8495741227413944</v>
      </c>
      <c r="Z66" s="847">
        <f>IF(OR(W66="NA",W66="",Data!$D$91="NA",Data!$D$91=""),"NA",IF(Data!$D$68&lt;X66,W66*X66/Data!$D$68*Data!$D$91,W66*Data!$D$91))</f>
        <v>6150.1588413580221</v>
      </c>
      <c r="AA66" s="853"/>
      <c r="AB66" s="710" t="s">
        <v>329</v>
      </c>
      <c r="AC66" s="710" t="s">
        <v>329</v>
      </c>
      <c r="AD66" s="292" t="s">
        <v>329</v>
      </c>
      <c r="AE66" s="287" t="s">
        <v>329</v>
      </c>
      <c r="AF66" s="287" t="s">
        <v>329</v>
      </c>
      <c r="AG66" s="288" t="s">
        <v>329</v>
      </c>
      <c r="AH66" s="292" t="s">
        <v>329</v>
      </c>
      <c r="AI66" s="689" t="s">
        <v>329</v>
      </c>
      <c r="AJ66" s="287" t="s">
        <v>329</v>
      </c>
      <c r="AK66" s="288" t="s">
        <v>329</v>
      </c>
      <c r="AL66" s="786"/>
      <c r="AM66" s="815"/>
      <c r="AN66" s="1037"/>
      <c r="AO66" s="1049"/>
      <c r="AP66" s="287" t="s">
        <v>329</v>
      </c>
      <c r="AQ66" s="689" t="s">
        <v>329</v>
      </c>
      <c r="AR66" s="292" t="s">
        <v>329</v>
      </c>
      <c r="AS66" s="288" t="s">
        <v>329</v>
      </c>
      <c r="AT66" s="292" t="s">
        <v>329</v>
      </c>
      <c r="AU66" s="288" t="s">
        <v>329</v>
      </c>
      <c r="AV66" s="874"/>
      <c r="AW66" s="663"/>
      <c r="AX66" s="663"/>
      <c r="AY66" s="663"/>
      <c r="AZ66" s="664"/>
    </row>
    <row r="67" spans="1:52" s="55" customFormat="1" x14ac:dyDescent="0.25">
      <c r="A67" s="307" t="s">
        <v>385</v>
      </c>
      <c r="B67" s="1018"/>
      <c r="C67" s="1019"/>
      <c r="D67" s="1020"/>
      <c r="E67" s="1021"/>
      <c r="F67" s="502"/>
      <c r="G67" s="503"/>
      <c r="H67" s="1040" t="str">
        <f t="shared" si="9"/>
        <v>NA</v>
      </c>
      <c r="I67" s="1041" t="str">
        <f t="shared" si="9"/>
        <v>NA</v>
      </c>
      <c r="J67" s="1041" t="str">
        <f t="shared" si="9"/>
        <v>NA</v>
      </c>
      <c r="K67" s="1041" t="str">
        <f t="shared" si="9"/>
        <v>NA</v>
      </c>
      <c r="L67" s="1042" t="str">
        <f t="shared" si="9"/>
        <v>NA</v>
      </c>
      <c r="M67" s="289">
        <v>256.3</v>
      </c>
      <c r="N67" s="645">
        <v>3.1100000000000001E-8</v>
      </c>
      <c r="O67" s="645">
        <v>4.6100000000000002E-2</v>
      </c>
      <c r="P67" s="637">
        <f>10^6</f>
        <v>1000000</v>
      </c>
      <c r="Q67" s="629">
        <f>IF($P67="NA","NA",(0.617*Data!$D$9*$P67/100)/(1+Data!$D$15*$P67*0.000000617))</f>
        <v>18510</v>
      </c>
      <c r="R67" s="629">
        <f t="shared" ref="R67:R72" si="10">Q67</f>
        <v>18510</v>
      </c>
      <c r="S67" s="290">
        <v>1</v>
      </c>
      <c r="T67" s="290">
        <f t="shared" ref="T67:T72" si="11">IF(S67= "NA", "NA", S67)</f>
        <v>1</v>
      </c>
      <c r="U67" s="847">
        <v>50</v>
      </c>
      <c r="V67" s="860">
        <f>IF(Data!$D$69="",E67,IF(P67="NA","NA",(0.617*Data!$D$69*P67/100)/(1+Data!$D$15*P67*0.000000617)))</f>
        <v>12340</v>
      </c>
      <c r="W67" s="847">
        <f>IF(OR(Q67="NA",Q67="",V67="NA",V67=""),"NA",(1+(V67/Q67)^1.5*((1-Data!$D$75)/(1-Data!$D$18))^1.5*(Data!$D$71/Data!$D$14)^1.5*(Data!$D$73/Data!$D$72)*(1/(39.37*Data!$D$72))^0.25))</f>
        <v>3.8303093677397895</v>
      </c>
      <c r="X67" s="847">
        <f>IF(W67="NA","NA",0.15*Data!$D$71*(1-Data!$D$75)*V67*((13.12*Data!$D$73)^(0.112*LN(Data!$D$71*(1-Data!$D$75)*V67)+1.38))/(W67*Data!$D$81))</f>
        <v>42985376.274696693</v>
      </c>
      <c r="Y67" s="847">
        <f>IF(OR(W67="NA",W67="",Data!$D$91="NA",Data!$D$91=""),"NA",W67*Data!$D$91)</f>
        <v>6.8495741227413927</v>
      </c>
      <c r="Z67" s="847">
        <f>IF(OR(W67="NA",W67="",Data!$D$91="NA",Data!$D$91=""),"NA",IF(Data!$D$68&lt;X67,W67*X67/Data!$D$68*Data!$D$91,W67*Data!$D$91))</f>
        <v>1472157.6049373213</v>
      </c>
      <c r="AA67" s="853"/>
      <c r="AB67" s="710" t="s">
        <v>329</v>
      </c>
      <c r="AC67" s="710" t="s">
        <v>329</v>
      </c>
      <c r="AD67" s="292" t="s">
        <v>329</v>
      </c>
      <c r="AE67" s="287" t="s">
        <v>329</v>
      </c>
      <c r="AF67" s="287" t="s">
        <v>329</v>
      </c>
      <c r="AG67" s="288" t="s">
        <v>329</v>
      </c>
      <c r="AH67" s="292" t="s">
        <v>329</v>
      </c>
      <c r="AI67" s="689" t="s">
        <v>329</v>
      </c>
      <c r="AJ67" s="287" t="s">
        <v>329</v>
      </c>
      <c r="AK67" s="288" t="s">
        <v>329</v>
      </c>
      <c r="AL67" s="786"/>
      <c r="AM67" s="815"/>
      <c r="AN67" s="1037"/>
      <c r="AO67" s="1049"/>
      <c r="AP67" s="287" t="s">
        <v>329</v>
      </c>
      <c r="AQ67" s="832">
        <v>1.4100000000000001E-4</v>
      </c>
      <c r="AR67" s="292" t="s">
        <v>329</v>
      </c>
      <c r="AS67" s="288" t="s">
        <v>329</v>
      </c>
      <c r="AT67" s="292" t="s">
        <v>329</v>
      </c>
      <c r="AU67" s="288" t="s">
        <v>329</v>
      </c>
      <c r="AV67" s="874"/>
      <c r="AW67" s="663"/>
      <c r="AX67" s="663"/>
      <c r="AY67" s="663"/>
      <c r="AZ67" s="664"/>
    </row>
    <row r="68" spans="1:52" s="55" customFormat="1" x14ac:dyDescent="0.25">
      <c r="A68" s="306" t="s">
        <v>386</v>
      </c>
      <c r="B68" s="1018"/>
      <c r="C68" s="1019"/>
      <c r="D68" s="1020"/>
      <c r="E68" s="1021"/>
      <c r="F68" s="502"/>
      <c r="G68" s="503"/>
      <c r="H68" s="1040" t="str">
        <f t="shared" si="9"/>
        <v>NA</v>
      </c>
      <c r="I68" s="1041" t="str">
        <f t="shared" si="9"/>
        <v>NA</v>
      </c>
      <c r="J68" s="1041" t="str">
        <f t="shared" si="9"/>
        <v>NA</v>
      </c>
      <c r="K68" s="1041" t="str">
        <f t="shared" si="9"/>
        <v>NA</v>
      </c>
      <c r="L68" s="1042" t="str">
        <f t="shared" si="9"/>
        <v>NA</v>
      </c>
      <c r="M68" s="289">
        <v>156.22999999999999</v>
      </c>
      <c r="N68" s="645"/>
      <c r="O68" s="645">
        <f>IF(M68="NA","NA",(IF(N68="NA","NA",((((28.97+M68)/(28.97*M68))^0.5)*(10^-3)*(Data!$D$50^1.75)/((2*(20.1^(1/3)))^2)))))</f>
        <v>0.15667136544089752</v>
      </c>
      <c r="P68" s="637" t="s">
        <v>329</v>
      </c>
      <c r="Q68" s="629" t="str">
        <f>IF($P68="NA","NA",(0.617*Data!$D$9*$P68/100)/(1+Data!$D$15*$P68*0.000000617))</f>
        <v>NA</v>
      </c>
      <c r="R68" s="629" t="str">
        <f t="shared" si="10"/>
        <v>NA</v>
      </c>
      <c r="S68" s="290">
        <v>1</v>
      </c>
      <c r="T68" s="290">
        <f t="shared" si="11"/>
        <v>1</v>
      </c>
      <c r="U68" s="847" t="s">
        <v>329</v>
      </c>
      <c r="V68" s="860" t="str">
        <f>IF(Data!$D$69="",E68,IF(P68="NA","NA",(0.617*Data!$D$69*P68/100)/(1+Data!$D$15*P68*0.000000617)))</f>
        <v>NA</v>
      </c>
      <c r="W68" s="847" t="str">
        <f>IF(OR(Q68="NA",Q68="",V68="NA",V68=""),"NA",(1+(V68/Q68)^1.5*((1-Data!$D$75)/(1-Data!$D$18))^1.5*(Data!$D$71/Data!$D$14)^1.5*(Data!$D$73/Data!$D$72)*(1/(39.37*Data!$D$72))^0.25))</f>
        <v>NA</v>
      </c>
      <c r="X68" s="847" t="str">
        <f>IF(W68="NA","NA",0.15*Data!$D$71*(1-Data!$D$75)*V68*((13.12*Data!$D$73)^(0.112*LN(Data!$D$71*(1-Data!$D$75)*V68)+1.38))/(W68*Data!$D$81))</f>
        <v>NA</v>
      </c>
      <c r="Y68" s="847" t="str">
        <f>IF(OR(W68="NA",W68="",Data!$D$91="NA",Data!$D$91=""),"NA",W68*Data!$D$91)</f>
        <v>NA</v>
      </c>
      <c r="Z68" s="847" t="str">
        <f>IF(OR(W68="NA",W68="",Data!$D$91="NA",Data!$D$91=""),"NA",IF(Data!$D$68&lt;X68,W68*X68/Data!$D$68*Data!$D$91,W68*Data!$D$91))</f>
        <v>NA</v>
      </c>
      <c r="AA68" s="853"/>
      <c r="AB68" s="710" t="s">
        <v>329</v>
      </c>
      <c r="AC68" s="710" t="s">
        <v>329</v>
      </c>
      <c r="AD68" s="292" t="s">
        <v>329</v>
      </c>
      <c r="AE68" s="287" t="s">
        <v>329</v>
      </c>
      <c r="AF68" s="287" t="s">
        <v>329</v>
      </c>
      <c r="AG68" s="288" t="s">
        <v>329</v>
      </c>
      <c r="AH68" s="292" t="s">
        <v>329</v>
      </c>
      <c r="AI68" s="689" t="s">
        <v>329</v>
      </c>
      <c r="AJ68" s="287" t="s">
        <v>329</v>
      </c>
      <c r="AK68" s="288" t="s">
        <v>329</v>
      </c>
      <c r="AL68" s="786"/>
      <c r="AM68" s="815"/>
      <c r="AN68" s="1037"/>
      <c r="AO68" s="1049"/>
      <c r="AP68" s="287" t="s">
        <v>329</v>
      </c>
      <c r="AQ68" s="689" t="s">
        <v>329</v>
      </c>
      <c r="AR68" s="292" t="s">
        <v>329</v>
      </c>
      <c r="AS68" s="288" t="s">
        <v>329</v>
      </c>
      <c r="AT68" s="292" t="s">
        <v>329</v>
      </c>
      <c r="AU68" s="288" t="s">
        <v>329</v>
      </c>
      <c r="AV68" s="874"/>
      <c r="AW68" s="663"/>
      <c r="AX68" s="663"/>
      <c r="AY68" s="663"/>
      <c r="AZ68" s="664"/>
    </row>
    <row r="69" spans="1:52" s="55" customFormat="1" x14ac:dyDescent="0.25">
      <c r="A69" s="307" t="s">
        <v>387</v>
      </c>
      <c r="B69" s="1018"/>
      <c r="C69" s="1019"/>
      <c r="D69" s="1020"/>
      <c r="E69" s="1021"/>
      <c r="F69" s="502"/>
      <c r="G69" s="503"/>
      <c r="H69" s="1040" t="str">
        <f t="shared" si="9"/>
        <v>NA</v>
      </c>
      <c r="I69" s="1041" t="str">
        <f t="shared" si="9"/>
        <v>NA</v>
      </c>
      <c r="J69" s="1041" t="str">
        <f t="shared" si="9"/>
        <v>NA</v>
      </c>
      <c r="K69" s="1041" t="str">
        <f t="shared" si="9"/>
        <v>NA</v>
      </c>
      <c r="L69" s="1042" t="str">
        <f t="shared" si="9"/>
        <v>NA</v>
      </c>
      <c r="M69" s="289">
        <v>156.22999999999999</v>
      </c>
      <c r="N69" s="645">
        <v>5.0000000000000001E-4</v>
      </c>
      <c r="O69" s="645">
        <f>IF(M69="NA","NA",(IF(N69="NA","NA",((((28.97+M69)/(28.97*M69))^0.5)*(10^-3)*(Data!$D$50^1.75)/((2*(20.1^(1/3)))^2)))))</f>
        <v>0.15667136544089752</v>
      </c>
      <c r="P69" s="637" t="s">
        <v>329</v>
      </c>
      <c r="Q69" s="629" t="str">
        <f>IF($P69="NA","NA",(0.617*Data!$D$9*$P69/100)/(1+Data!$D$15*$P69*0.000000617))</f>
        <v>NA</v>
      </c>
      <c r="R69" s="629" t="str">
        <f t="shared" si="10"/>
        <v>NA</v>
      </c>
      <c r="S69" s="290">
        <v>1</v>
      </c>
      <c r="T69" s="290">
        <f t="shared" si="11"/>
        <v>1</v>
      </c>
      <c r="U69" s="847" t="s">
        <v>329</v>
      </c>
      <c r="V69" s="860" t="str">
        <f>IF(Data!$D$69="",E69,IF(P69="NA","NA",(0.617*Data!$D$69*P69/100)/(1+Data!$D$15*P69*0.000000617)))</f>
        <v>NA</v>
      </c>
      <c r="W69" s="847" t="str">
        <f>IF(OR(Q69="NA",Q69="",V69="NA",V69=""),"NA",(1+(V69/Q69)^1.5*((1-Data!$D$75)/(1-Data!$D$18))^1.5*(Data!$D$71/Data!$D$14)^1.5*(Data!$D$73/Data!$D$72)*(1/(39.37*Data!$D$72))^0.25))</f>
        <v>NA</v>
      </c>
      <c r="X69" s="847" t="str">
        <f>IF(W69="NA","NA",0.15*Data!$D$71*(1-Data!$D$75)*V69*((13.12*Data!$D$73)^(0.112*LN(Data!$D$71*(1-Data!$D$75)*V69)+1.38))/(W69*Data!$D$81))</f>
        <v>NA</v>
      </c>
      <c r="Y69" s="847" t="str">
        <f>IF(OR(W69="NA",W69="",Data!$D$91="NA",Data!$D$91=""),"NA",W69*Data!$D$91)</f>
        <v>NA</v>
      </c>
      <c r="Z69" s="847" t="str">
        <f>IF(OR(W69="NA",W69="",Data!$D$91="NA",Data!$D$91=""),"NA",IF(Data!$D$68&lt;X69,W69*X69/Data!$D$68*Data!$D$91,W69*Data!$D$91))</f>
        <v>NA</v>
      </c>
      <c r="AA69" s="853"/>
      <c r="AB69" s="710" t="s">
        <v>329</v>
      </c>
      <c r="AC69" s="710" t="s">
        <v>329</v>
      </c>
      <c r="AD69" s="292" t="s">
        <v>329</v>
      </c>
      <c r="AE69" s="287" t="s">
        <v>329</v>
      </c>
      <c r="AF69" s="287" t="s">
        <v>329</v>
      </c>
      <c r="AG69" s="288" t="s">
        <v>329</v>
      </c>
      <c r="AH69" s="292" t="s">
        <v>329</v>
      </c>
      <c r="AI69" s="689" t="s">
        <v>329</v>
      </c>
      <c r="AJ69" s="287" t="s">
        <v>329</v>
      </c>
      <c r="AK69" s="288" t="s">
        <v>329</v>
      </c>
      <c r="AL69" s="786"/>
      <c r="AM69" s="815"/>
      <c r="AN69" s="1037"/>
      <c r="AO69" s="1049"/>
      <c r="AP69" s="287" t="s">
        <v>329</v>
      </c>
      <c r="AQ69" s="689" t="s">
        <v>329</v>
      </c>
      <c r="AR69" s="292" t="s">
        <v>329</v>
      </c>
      <c r="AS69" s="288" t="s">
        <v>329</v>
      </c>
      <c r="AT69" s="292" t="s">
        <v>329</v>
      </c>
      <c r="AU69" s="288" t="s">
        <v>329</v>
      </c>
      <c r="AV69" s="874"/>
      <c r="AW69" s="663"/>
      <c r="AX69" s="663"/>
      <c r="AY69" s="663"/>
      <c r="AZ69" s="664"/>
    </row>
    <row r="70" spans="1:52" s="55" customFormat="1" x14ac:dyDescent="0.25">
      <c r="A70" s="307" t="s">
        <v>388</v>
      </c>
      <c r="B70" s="1018"/>
      <c r="C70" s="1019"/>
      <c r="D70" s="1020"/>
      <c r="E70" s="1021"/>
      <c r="F70" s="502"/>
      <c r="G70" s="503"/>
      <c r="H70" s="1040" t="str">
        <f t="shared" ref="H70:L82" si="12">IF(INDEX($AB$11:$AZ$310,,H$7)=0,"NA",INDEX($AB$11:$AZ$310,,H$7))</f>
        <v>NA</v>
      </c>
      <c r="I70" s="1041" t="str">
        <f t="shared" si="12"/>
        <v>NA</v>
      </c>
      <c r="J70" s="1041" t="str">
        <f t="shared" si="12"/>
        <v>NA</v>
      </c>
      <c r="K70" s="1041" t="str">
        <f t="shared" si="12"/>
        <v>NA</v>
      </c>
      <c r="L70" s="1042" t="str">
        <f t="shared" si="12"/>
        <v>NA</v>
      </c>
      <c r="M70" s="289">
        <v>156.22999999999999</v>
      </c>
      <c r="N70" s="645">
        <v>1.1999999999999999E-3</v>
      </c>
      <c r="O70" s="645">
        <f>IF(M70="NA","NA",(IF(N70="NA","NA",((((28.97+M70)/(28.97*M70))^0.5)*(10^-3)*(Data!$D$50^1.75)/((2*(20.1^(1/3)))^2)))))</f>
        <v>0.15667136544089752</v>
      </c>
      <c r="P70" s="637" t="s">
        <v>329</v>
      </c>
      <c r="Q70" s="629" t="str">
        <f>IF($P70="NA","NA",(0.617*Data!$D$9*$P70/100)/(1+Data!$D$15*$P70*0.000000617))</f>
        <v>NA</v>
      </c>
      <c r="R70" s="629" t="str">
        <f t="shared" si="10"/>
        <v>NA</v>
      </c>
      <c r="S70" s="290">
        <v>1</v>
      </c>
      <c r="T70" s="290">
        <f t="shared" si="11"/>
        <v>1</v>
      </c>
      <c r="U70" s="847" t="s">
        <v>329</v>
      </c>
      <c r="V70" s="860" t="str">
        <f>IF(Data!$D$69="",E70,IF(P70="NA","NA",(0.617*Data!$D$69*P70/100)/(1+Data!$D$15*P70*0.000000617)))</f>
        <v>NA</v>
      </c>
      <c r="W70" s="847" t="str">
        <f>IF(OR(Q70="NA",Q70="",V70="NA",V70=""),"NA",(1+(V70/Q70)^1.5*((1-Data!$D$75)/(1-Data!$D$18))^1.5*(Data!$D$71/Data!$D$14)^1.5*(Data!$D$73/Data!$D$72)*(1/(39.37*Data!$D$72))^0.25))</f>
        <v>NA</v>
      </c>
      <c r="X70" s="847" t="str">
        <f>IF(W70="NA","NA",0.15*Data!$D$71*(1-Data!$D$75)*V70*((13.12*Data!$D$73)^(0.112*LN(Data!$D$71*(1-Data!$D$75)*V70)+1.38))/(W70*Data!$D$81))</f>
        <v>NA</v>
      </c>
      <c r="Y70" s="847" t="str">
        <f>IF(OR(W70="NA",W70="",Data!$D$91="NA",Data!$D$91=""),"NA",W70*Data!$D$91)</f>
        <v>NA</v>
      </c>
      <c r="Z70" s="847" t="str">
        <f>IF(OR(W70="NA",W70="",Data!$D$91="NA",Data!$D$91=""),"NA",IF(Data!$D$68&lt;X70,W70*X70/Data!$D$68*Data!$D$91,W70*Data!$D$91))</f>
        <v>NA</v>
      </c>
      <c r="AA70" s="853"/>
      <c r="AB70" s="710" t="s">
        <v>329</v>
      </c>
      <c r="AC70" s="710" t="s">
        <v>329</v>
      </c>
      <c r="AD70" s="292" t="s">
        <v>329</v>
      </c>
      <c r="AE70" s="287" t="s">
        <v>329</v>
      </c>
      <c r="AF70" s="287" t="s">
        <v>329</v>
      </c>
      <c r="AG70" s="288" t="s">
        <v>329</v>
      </c>
      <c r="AH70" s="292" t="s">
        <v>329</v>
      </c>
      <c r="AI70" s="689" t="s">
        <v>329</v>
      </c>
      <c r="AJ70" s="287" t="s">
        <v>329</v>
      </c>
      <c r="AK70" s="288" t="s">
        <v>329</v>
      </c>
      <c r="AL70" s="786"/>
      <c r="AM70" s="815"/>
      <c r="AN70" s="1037"/>
      <c r="AO70" s="1049"/>
      <c r="AP70" s="287" t="s">
        <v>329</v>
      </c>
      <c r="AQ70" s="832">
        <v>2.6800000000000001E-5</v>
      </c>
      <c r="AR70" s="292" t="s">
        <v>329</v>
      </c>
      <c r="AS70" s="288" t="s">
        <v>329</v>
      </c>
      <c r="AT70" s="292" t="s">
        <v>329</v>
      </c>
      <c r="AU70" s="288" t="s">
        <v>329</v>
      </c>
      <c r="AV70" s="874"/>
      <c r="AW70" s="663"/>
      <c r="AX70" s="663"/>
      <c r="AY70" s="663"/>
      <c r="AZ70" s="664"/>
    </row>
    <row r="71" spans="1:52" s="55" customFormat="1" x14ac:dyDescent="0.25">
      <c r="A71" s="307" t="s">
        <v>389</v>
      </c>
      <c r="B71" s="1018"/>
      <c r="C71" s="1019"/>
      <c r="D71" s="1020"/>
      <c r="E71" s="1021"/>
      <c r="F71" s="502"/>
      <c r="G71" s="503"/>
      <c r="H71" s="1040" t="str">
        <f t="shared" si="12"/>
        <v>NA</v>
      </c>
      <c r="I71" s="1041" t="str">
        <f t="shared" si="12"/>
        <v>NA</v>
      </c>
      <c r="J71" s="1041" t="str">
        <f t="shared" si="12"/>
        <v>NA</v>
      </c>
      <c r="K71" s="1041" t="str">
        <f t="shared" si="12"/>
        <v>NA</v>
      </c>
      <c r="L71" s="1042" t="str">
        <f t="shared" si="12"/>
        <v>NA</v>
      </c>
      <c r="M71" s="289">
        <v>156.22999999999999</v>
      </c>
      <c r="N71" s="645"/>
      <c r="O71" s="645">
        <f>IF(M71="NA","NA",(IF(N71="NA","NA",((((28.97+M71)/(28.97*M71))^0.5)*(10^-3)*(Data!$D$50^1.75)/((2*(20.1^(1/3)))^2)))))</f>
        <v>0.15667136544089752</v>
      </c>
      <c r="P71" s="637" t="s">
        <v>329</v>
      </c>
      <c r="Q71" s="629" t="str">
        <f>IF($P71="NA","NA",(0.617*Data!$D$9*$P71/100)/(1+Data!$D$15*$P71*0.000000617))</f>
        <v>NA</v>
      </c>
      <c r="R71" s="629" t="str">
        <f t="shared" si="10"/>
        <v>NA</v>
      </c>
      <c r="S71" s="290">
        <v>1</v>
      </c>
      <c r="T71" s="290">
        <f t="shared" si="11"/>
        <v>1</v>
      </c>
      <c r="U71" s="847" t="s">
        <v>329</v>
      </c>
      <c r="V71" s="860" t="str">
        <f>IF(Data!$D$69="",E71,IF(P71="NA","NA",(0.617*Data!$D$69*P71/100)/(1+Data!$D$15*P71*0.000000617)))</f>
        <v>NA</v>
      </c>
      <c r="W71" s="847" t="str">
        <f>IF(OR(Q71="NA",Q71="",V71="NA",V71=""),"NA",(1+(V71/Q71)^1.5*((1-Data!$D$75)/(1-Data!$D$18))^1.5*(Data!$D$71/Data!$D$14)^1.5*(Data!$D$73/Data!$D$72)*(1/(39.37*Data!$D$72))^0.25))</f>
        <v>NA</v>
      </c>
      <c r="X71" s="847" t="str">
        <f>IF(W71="NA","NA",0.15*Data!$D$71*(1-Data!$D$75)*V71*((13.12*Data!$D$73)^(0.112*LN(Data!$D$71*(1-Data!$D$75)*V71)+1.38))/(W71*Data!$D$81))</f>
        <v>NA</v>
      </c>
      <c r="Y71" s="847" t="str">
        <f>IF(OR(W71="NA",W71="",Data!$D$91="NA",Data!$D$91=""),"NA",W71*Data!$D$91)</f>
        <v>NA</v>
      </c>
      <c r="Z71" s="847" t="str">
        <f>IF(OR(W71="NA",W71="",Data!$D$91="NA",Data!$D$91=""),"NA",IF(Data!$D$68&lt;X71,W71*X71/Data!$D$68*Data!$D$91,W71*Data!$D$91))</f>
        <v>NA</v>
      </c>
      <c r="AA71" s="853"/>
      <c r="AB71" s="710" t="s">
        <v>329</v>
      </c>
      <c r="AC71" s="710" t="s">
        <v>329</v>
      </c>
      <c r="AD71" s="292" t="s">
        <v>329</v>
      </c>
      <c r="AE71" s="287" t="s">
        <v>329</v>
      </c>
      <c r="AF71" s="287" t="s">
        <v>329</v>
      </c>
      <c r="AG71" s="288" t="s">
        <v>329</v>
      </c>
      <c r="AH71" s="292" t="s">
        <v>329</v>
      </c>
      <c r="AI71" s="689" t="s">
        <v>329</v>
      </c>
      <c r="AJ71" s="287" t="s">
        <v>329</v>
      </c>
      <c r="AK71" s="288" t="s">
        <v>329</v>
      </c>
      <c r="AL71" s="786"/>
      <c r="AM71" s="815"/>
      <c r="AN71" s="1037"/>
      <c r="AO71" s="1049"/>
      <c r="AP71" s="287" t="s">
        <v>329</v>
      </c>
      <c r="AQ71" s="831">
        <v>1.2999999999999999E-4</v>
      </c>
      <c r="AR71" s="292" t="s">
        <v>329</v>
      </c>
      <c r="AS71" s="288" t="s">
        <v>329</v>
      </c>
      <c r="AT71" s="292" t="s">
        <v>329</v>
      </c>
      <c r="AU71" s="288" t="s">
        <v>329</v>
      </c>
      <c r="AV71" s="874"/>
      <c r="AW71" s="663"/>
      <c r="AX71" s="663"/>
      <c r="AY71" s="663"/>
      <c r="AZ71" s="664"/>
    </row>
    <row r="72" spans="1:52" s="55" customFormat="1" x14ac:dyDescent="0.25">
      <c r="A72" s="307" t="s">
        <v>390</v>
      </c>
      <c r="B72" s="1018"/>
      <c r="C72" s="1019"/>
      <c r="D72" s="1020"/>
      <c r="E72" s="1021"/>
      <c r="F72" s="502"/>
      <c r="G72" s="503"/>
      <c r="H72" s="1040" t="str">
        <f t="shared" si="12"/>
        <v>NA</v>
      </c>
      <c r="I72" s="1041" t="str">
        <f t="shared" si="12"/>
        <v>NA</v>
      </c>
      <c r="J72" s="1041" t="str">
        <f t="shared" si="12"/>
        <v>NA</v>
      </c>
      <c r="K72" s="1041" t="str">
        <f t="shared" si="12"/>
        <v>NA</v>
      </c>
      <c r="L72" s="1042" t="str">
        <f t="shared" si="12"/>
        <v>NA</v>
      </c>
      <c r="M72" s="289">
        <v>156.22999999999999</v>
      </c>
      <c r="N72" s="645"/>
      <c r="O72" s="645">
        <f>IF(M72="NA","NA",(IF(N72="NA","NA",((((28.97+M72)/(28.97*M72))^0.5)*(10^-3)*(Data!$D$50^1.75)/((2*(20.1^(1/3)))^2)))))</f>
        <v>0.15667136544089752</v>
      </c>
      <c r="P72" s="637" t="s">
        <v>329</v>
      </c>
      <c r="Q72" s="629" t="str">
        <f>IF($P72="NA","NA",(0.617*Data!$D$9*$P72/100)/(1+Data!$D$15*$P72*0.000000617))</f>
        <v>NA</v>
      </c>
      <c r="R72" s="629" t="str">
        <f t="shared" si="10"/>
        <v>NA</v>
      </c>
      <c r="S72" s="290">
        <v>1</v>
      </c>
      <c r="T72" s="290">
        <f t="shared" si="11"/>
        <v>1</v>
      </c>
      <c r="U72" s="847" t="s">
        <v>329</v>
      </c>
      <c r="V72" s="860" t="str">
        <f>IF(Data!$D$69="",E72,IF(P72="NA","NA",(0.617*Data!$D$69*P72/100)/(1+Data!$D$15*P72*0.000000617)))</f>
        <v>NA</v>
      </c>
      <c r="W72" s="847" t="str">
        <f>IF(OR(Q72="NA",Q72="",V72="NA",V72=""),"NA",(1+(V72/Q72)^1.5*((1-Data!$D$75)/(1-Data!$D$18))^1.5*(Data!$D$71/Data!$D$14)^1.5*(Data!$D$73/Data!$D$72)*(1/(39.37*Data!$D$72))^0.25))</f>
        <v>NA</v>
      </c>
      <c r="X72" s="847" t="str">
        <f>IF(W72="NA","NA",0.15*Data!$D$71*(1-Data!$D$75)*V72*((13.12*Data!$D$73)^(0.112*LN(Data!$D$71*(1-Data!$D$75)*V72)+1.38))/(W72*Data!$D$81))</f>
        <v>NA</v>
      </c>
      <c r="Y72" s="847" t="str">
        <f>IF(OR(W72="NA",W72="",Data!$D$91="NA",Data!$D$91=""),"NA",W72*Data!$D$91)</f>
        <v>NA</v>
      </c>
      <c r="Z72" s="847" t="str">
        <f>IF(OR(W72="NA",W72="",Data!$D$91="NA",Data!$D$91=""),"NA",IF(Data!$D$68&lt;X72,W72*X72/Data!$D$68*Data!$D$91,W72*Data!$D$91))</f>
        <v>NA</v>
      </c>
      <c r="AA72" s="853"/>
      <c r="AB72" s="710" t="s">
        <v>329</v>
      </c>
      <c r="AC72" s="710" t="s">
        <v>329</v>
      </c>
      <c r="AD72" s="292" t="s">
        <v>329</v>
      </c>
      <c r="AE72" s="287" t="s">
        <v>329</v>
      </c>
      <c r="AF72" s="287" t="s">
        <v>329</v>
      </c>
      <c r="AG72" s="288" t="s">
        <v>329</v>
      </c>
      <c r="AH72" s="292" t="s">
        <v>329</v>
      </c>
      <c r="AI72" s="689" t="s">
        <v>329</v>
      </c>
      <c r="AJ72" s="287" t="s">
        <v>329</v>
      </c>
      <c r="AK72" s="288" t="s">
        <v>329</v>
      </c>
      <c r="AL72" s="786"/>
      <c r="AM72" s="815"/>
      <c r="AN72" s="1037"/>
      <c r="AO72" s="1049"/>
      <c r="AP72" s="287" t="s">
        <v>329</v>
      </c>
      <c r="AQ72" s="832">
        <v>5.4199999999999995E-4</v>
      </c>
      <c r="AR72" s="292" t="s">
        <v>329</v>
      </c>
      <c r="AS72" s="288" t="s">
        <v>329</v>
      </c>
      <c r="AT72" s="292" t="s">
        <v>329</v>
      </c>
      <c r="AU72" s="288" t="s">
        <v>329</v>
      </c>
      <c r="AV72" s="874"/>
      <c r="AW72" s="663"/>
      <c r="AX72" s="663"/>
      <c r="AY72" s="663"/>
      <c r="AZ72" s="664"/>
    </row>
    <row r="73" spans="1:52" s="55" customFormat="1" x14ac:dyDescent="0.25">
      <c r="A73" s="307" t="s">
        <v>391</v>
      </c>
      <c r="B73" s="1018"/>
      <c r="C73" s="1019"/>
      <c r="D73" s="1020"/>
      <c r="E73" s="1021"/>
      <c r="F73" s="502"/>
      <c r="G73" s="503"/>
      <c r="H73" s="1040">
        <f t="shared" si="12"/>
        <v>33.6</v>
      </c>
      <c r="I73" s="1041">
        <f t="shared" si="12"/>
        <v>6.16</v>
      </c>
      <c r="J73" s="1041">
        <f t="shared" si="12"/>
        <v>6.16</v>
      </c>
      <c r="K73" s="1041">
        <f t="shared" si="12"/>
        <v>0.04</v>
      </c>
      <c r="L73" s="1042">
        <f t="shared" si="12"/>
        <v>3200</v>
      </c>
      <c r="M73" s="289">
        <v>202.3</v>
      </c>
      <c r="N73" s="645">
        <v>1.0200000000000001E-5</v>
      </c>
      <c r="O73" s="645">
        <v>3.0200000000000001E-2</v>
      </c>
      <c r="P73" s="637">
        <f>10^5.22</f>
        <v>165958.69074375604</v>
      </c>
      <c r="Q73" s="629">
        <f>IF($P73="NA","NA",(0.617*Data!$D$9*$P73/100)/(1+Data!$D$15*$P73*0.000000617))</f>
        <v>3071.8953656669246</v>
      </c>
      <c r="R73" s="629">
        <f t="shared" si="7"/>
        <v>3071.8953656669246</v>
      </c>
      <c r="S73" s="290">
        <v>1</v>
      </c>
      <c r="T73" s="290">
        <f t="shared" si="8"/>
        <v>1</v>
      </c>
      <c r="U73" s="847">
        <v>260</v>
      </c>
      <c r="V73" s="860">
        <f>IF(Data!$D$69="",E73,IF(P73="NA","NA",(0.617*Data!$D$69*P73/100)/(1+Data!$D$15*P73*0.000000617)))</f>
        <v>2047.9302437779497</v>
      </c>
      <c r="W73" s="847">
        <f>IF(OR(Q73="NA",Q73="",V73="NA",V73=""),"NA",(1+(V73/Q73)^1.5*((1-Data!$D$75)/(1-Data!$D$18))^1.5*(Data!$D$71/Data!$D$14)^1.5*(Data!$D$73/Data!$D$72)*(1/(39.37*Data!$D$72))^0.25))</f>
        <v>3.8303093677397895</v>
      </c>
      <c r="X73" s="847">
        <f>IF(W73="NA","NA",0.15*Data!$D$71*(1-Data!$D$75)*V73*((13.12*Data!$D$73)^(0.112*LN(Data!$D$71*(1-Data!$D$75)*V73)+1.38))/(W73*Data!$D$81))</f>
        <v>3074988.9531052704</v>
      </c>
      <c r="Y73" s="847">
        <f>IF(OR(W73="NA",W73="",Data!$D$91="NA",Data!$D$91=""),"NA",W73*Data!$D$91)</f>
        <v>6.8495741227413927</v>
      </c>
      <c r="Z73" s="847">
        <f>IF(OR(W73="NA",W73="",Data!$D$91="NA",Data!$D$91=""),"NA",IF(Data!$D$68&lt;X73,W73*X73/Data!$D$68*Data!$D$91,W73*Data!$D$91))</f>
        <v>105311.82380452752</v>
      </c>
      <c r="AA73" s="853"/>
      <c r="AB73" s="710" t="s">
        <v>329</v>
      </c>
      <c r="AC73" s="710" t="s">
        <v>329</v>
      </c>
      <c r="AD73" s="292" t="s">
        <v>329</v>
      </c>
      <c r="AE73" s="287" t="s">
        <v>329</v>
      </c>
      <c r="AF73" s="287" t="s">
        <v>329</v>
      </c>
      <c r="AG73" s="288" t="s">
        <v>329</v>
      </c>
      <c r="AH73" s="785">
        <v>33.6</v>
      </c>
      <c r="AI73" s="884">
        <v>6.16</v>
      </c>
      <c r="AJ73" s="287" t="s">
        <v>329</v>
      </c>
      <c r="AK73" s="288" t="s">
        <v>329</v>
      </c>
      <c r="AL73" s="786">
        <v>398</v>
      </c>
      <c r="AM73" s="813">
        <v>39.799999999999997</v>
      </c>
      <c r="AN73" s="1037">
        <v>4</v>
      </c>
      <c r="AO73" s="1049">
        <v>1.6</v>
      </c>
      <c r="AP73" s="811">
        <v>0.04</v>
      </c>
      <c r="AQ73" s="689" t="s">
        <v>329</v>
      </c>
      <c r="AR73" s="292" t="s">
        <v>329</v>
      </c>
      <c r="AS73" s="288" t="s">
        <v>329</v>
      </c>
      <c r="AT73" s="786">
        <v>3200</v>
      </c>
      <c r="AU73" s="926">
        <v>3200</v>
      </c>
      <c r="AV73" s="874"/>
      <c r="AW73" s="663"/>
      <c r="AX73" s="663"/>
      <c r="AY73" s="663"/>
      <c r="AZ73" s="664"/>
    </row>
    <row r="74" spans="1:52" s="55" customFormat="1" x14ac:dyDescent="0.25">
      <c r="A74" s="307" t="s">
        <v>392</v>
      </c>
      <c r="B74" s="1018"/>
      <c r="C74" s="1019"/>
      <c r="D74" s="1020"/>
      <c r="E74" s="1021"/>
      <c r="F74" s="502"/>
      <c r="G74" s="503"/>
      <c r="H74" s="1040">
        <f t="shared" si="12"/>
        <v>70</v>
      </c>
      <c r="I74" s="1041">
        <f t="shared" si="12"/>
        <v>3.9</v>
      </c>
      <c r="J74" s="1041">
        <f t="shared" si="12"/>
        <v>3.9</v>
      </c>
      <c r="K74" s="1041">
        <f t="shared" si="12"/>
        <v>0.04</v>
      </c>
      <c r="L74" s="1042">
        <f t="shared" si="12"/>
        <v>3000</v>
      </c>
      <c r="M74" s="289">
        <v>166.2</v>
      </c>
      <c r="N74" s="645">
        <f>0.000077</f>
        <v>7.7000000000000001E-5</v>
      </c>
      <c r="O74" s="645">
        <v>3.5999999999999997E-2</v>
      </c>
      <c r="P74" s="637">
        <f>10^4.2</f>
        <v>15848.931924611146</v>
      </c>
      <c r="Q74" s="629">
        <f>IF($P74="NA","NA",(0.617*Data!$D$9*$P74/100)/(1+Data!$D$15*$P74*0.000000617))</f>
        <v>293.36372992455233</v>
      </c>
      <c r="R74" s="629">
        <f t="shared" si="7"/>
        <v>293.36372992455233</v>
      </c>
      <c r="S74" s="290">
        <v>1</v>
      </c>
      <c r="T74" s="290">
        <f t="shared" si="8"/>
        <v>1</v>
      </c>
      <c r="U74" s="847">
        <v>1900</v>
      </c>
      <c r="V74" s="860">
        <f>IF(Data!$D$69="",E74,IF(P74="NA","NA",(0.617*Data!$D$69*P74/100)/(1+Data!$D$15*P74*0.000000617)))</f>
        <v>195.57581994970155</v>
      </c>
      <c r="W74" s="847">
        <f>IF(OR(Q74="NA",Q74="",V74="NA",V74=""),"NA",(1+(V74/Q74)^1.5*((1-Data!$D$75)/(1-Data!$D$18))^1.5*(Data!$D$71/Data!$D$14)^1.5*(Data!$D$73/Data!$D$72)*(1/(39.37*Data!$D$72))^0.25))</f>
        <v>3.8303093677397895</v>
      </c>
      <c r="X74" s="847">
        <f>IF(W74="NA","NA",0.15*Data!$D$71*(1-Data!$D$75)*V74*((13.12*Data!$D$73)^(0.112*LN(Data!$D$71*(1-Data!$D$75)*V74)+1.38))/(W74*Data!$D$81))</f>
        <v>97703.893884338526</v>
      </c>
      <c r="Y74" s="847">
        <f>IF(OR(W74="NA",W74="",Data!$D$91="NA",Data!$D$91=""),"NA",W74*Data!$D$91)</f>
        <v>6.8495741227413927</v>
      </c>
      <c r="Z74" s="847">
        <f>IF(OR(W74="NA",W74="",Data!$D$91="NA",Data!$D$91=""),"NA",IF(Data!$D$68&lt;X74,W74*X74/Data!$D$68*Data!$D$91,W74*Data!$D$91))</f>
        <v>3346.1503162061808</v>
      </c>
      <c r="AA74" s="853"/>
      <c r="AB74" s="710" t="s">
        <v>329</v>
      </c>
      <c r="AC74" s="710" t="s">
        <v>329</v>
      </c>
      <c r="AD74" s="292" t="s">
        <v>329</v>
      </c>
      <c r="AE74" s="287" t="s">
        <v>329</v>
      </c>
      <c r="AF74" s="287" t="s">
        <v>329</v>
      </c>
      <c r="AG74" s="288" t="s">
        <v>329</v>
      </c>
      <c r="AH74" s="786">
        <v>70</v>
      </c>
      <c r="AI74" s="827">
        <v>3.9</v>
      </c>
      <c r="AJ74" s="287" t="s">
        <v>329</v>
      </c>
      <c r="AK74" s="288" t="s">
        <v>329</v>
      </c>
      <c r="AL74" s="786"/>
      <c r="AM74" s="815"/>
      <c r="AN74" s="1037"/>
      <c r="AO74" s="1049"/>
      <c r="AP74" s="811">
        <v>0.04</v>
      </c>
      <c r="AQ74" s="689" t="s">
        <v>329</v>
      </c>
      <c r="AR74" s="292" t="s">
        <v>329</v>
      </c>
      <c r="AS74" s="288" t="s">
        <v>329</v>
      </c>
      <c r="AT74" s="786">
        <v>3000</v>
      </c>
      <c r="AU74" s="926">
        <v>3800</v>
      </c>
      <c r="AV74" s="874"/>
      <c r="AW74" s="663"/>
      <c r="AX74" s="663"/>
      <c r="AY74" s="663"/>
      <c r="AZ74" s="664"/>
    </row>
    <row r="75" spans="1:52" s="55" customFormat="1" x14ac:dyDescent="0.25">
      <c r="A75" s="307" t="s">
        <v>393</v>
      </c>
      <c r="B75" s="1018"/>
      <c r="C75" s="1019"/>
      <c r="D75" s="1020"/>
      <c r="E75" s="1021"/>
      <c r="F75" s="502"/>
      <c r="G75" s="503"/>
      <c r="H75" s="1040" t="str">
        <f t="shared" si="12"/>
        <v>NA</v>
      </c>
      <c r="I75" s="1041" t="str">
        <f t="shared" si="12"/>
        <v>NA</v>
      </c>
      <c r="J75" s="1041" t="str">
        <f t="shared" si="12"/>
        <v>NA</v>
      </c>
      <c r="K75" s="1041" t="str">
        <f t="shared" si="12"/>
        <v>NA</v>
      </c>
      <c r="L75" s="1042">
        <f t="shared" si="12"/>
        <v>25</v>
      </c>
      <c r="M75" s="289">
        <v>276</v>
      </c>
      <c r="N75" s="645">
        <v>6.9499999999999994E-8</v>
      </c>
      <c r="O75" s="645">
        <v>1.9E-2</v>
      </c>
      <c r="P75" s="637">
        <f>10^6.65</f>
        <v>4466835.9215096412</v>
      </c>
      <c r="Q75" s="629">
        <f>IF($P75="NA","NA",(0.617*Data!$D$9*$P75/100)/(1+Data!$D$15*$P75*0.000000617))</f>
        <v>82681.132907143459</v>
      </c>
      <c r="R75" s="629">
        <f t="shared" si="7"/>
        <v>82681.132907143459</v>
      </c>
      <c r="S75" s="290">
        <v>1</v>
      </c>
      <c r="T75" s="290">
        <f t="shared" si="8"/>
        <v>1</v>
      </c>
      <c r="U75" s="847">
        <v>62</v>
      </c>
      <c r="V75" s="860">
        <f>IF(Data!$D$69="",E75,IF(P75="NA","NA",(0.617*Data!$D$69*P75/100)/(1+Data!$D$15*P75*0.000000617)))</f>
        <v>55120.75527142897</v>
      </c>
      <c r="W75" s="847">
        <f>IF(OR(Q75="NA",Q75="",V75="NA",V75=""),"NA",(1+(V75/Q75)^1.5*((1-Data!$D$75)/(1-Data!$D$18))^1.5*(Data!$D$71/Data!$D$14)^1.5*(Data!$D$73/Data!$D$72)*(1/(39.37*Data!$D$72))^0.25))</f>
        <v>3.8303093677397895</v>
      </c>
      <c r="X75" s="847">
        <f>IF(W75="NA","NA",0.15*Data!$D$71*(1-Data!$D$75)*V75*((13.12*Data!$D$73)^(0.112*LN(Data!$D$71*(1-Data!$D$75)*V75)+1.38))/(W75*Data!$D$81))</f>
        <v>387155152.3910386</v>
      </c>
      <c r="Y75" s="847">
        <f>IF(OR(W75="NA",W75="",Data!$D$91="NA",Data!$D$91=""),"NA",W75*Data!$D$91)</f>
        <v>6.8495741227413927</v>
      </c>
      <c r="Z75" s="847">
        <f>IF(OR(W75="NA",W75="",Data!$D$91="NA",Data!$D$91=""),"NA",IF(Data!$D$68&lt;X75,W75*X75/Data!$D$68*Data!$D$91,W75*Data!$D$91))</f>
        <v>13259239.566518294</v>
      </c>
      <c r="AA75" s="853"/>
      <c r="AB75" s="710" t="s">
        <v>329</v>
      </c>
      <c r="AC75" s="710" t="s">
        <v>329</v>
      </c>
      <c r="AD75" s="292" t="s">
        <v>329</v>
      </c>
      <c r="AE75" s="287" t="s">
        <v>329</v>
      </c>
      <c r="AF75" s="287" t="s">
        <v>329</v>
      </c>
      <c r="AG75" s="288" t="s">
        <v>329</v>
      </c>
      <c r="AH75" s="292" t="s">
        <v>329</v>
      </c>
      <c r="AI75" s="689" t="s">
        <v>329</v>
      </c>
      <c r="AJ75" s="287" t="s">
        <v>329</v>
      </c>
      <c r="AK75" s="288" t="s">
        <v>329</v>
      </c>
      <c r="AL75" s="786"/>
      <c r="AM75" s="815"/>
      <c r="AN75" s="1037"/>
      <c r="AO75" s="1049"/>
      <c r="AP75" s="287" t="s">
        <v>329</v>
      </c>
      <c r="AQ75" s="689" t="s">
        <v>329</v>
      </c>
      <c r="AR75" s="292" t="s">
        <v>329</v>
      </c>
      <c r="AS75" s="288" t="s">
        <v>329</v>
      </c>
      <c r="AT75" s="786">
        <v>25</v>
      </c>
      <c r="AU75" s="926">
        <v>110</v>
      </c>
      <c r="AV75" s="874"/>
      <c r="AW75" s="663"/>
      <c r="AX75" s="663"/>
      <c r="AY75" s="663"/>
      <c r="AZ75" s="664"/>
    </row>
    <row r="76" spans="1:52" s="55" customFormat="1" x14ac:dyDescent="0.25">
      <c r="A76" s="307" t="s">
        <v>394</v>
      </c>
      <c r="B76" s="1018"/>
      <c r="C76" s="1019"/>
      <c r="D76" s="1020"/>
      <c r="E76" s="1021"/>
      <c r="F76" s="502"/>
      <c r="G76" s="503"/>
      <c r="H76" s="1040" t="str">
        <f t="shared" si="12"/>
        <v>NA</v>
      </c>
      <c r="I76" s="1041" t="str">
        <f t="shared" si="12"/>
        <v>NA</v>
      </c>
      <c r="J76" s="1041" t="str">
        <f t="shared" si="12"/>
        <v>NA</v>
      </c>
      <c r="K76" s="1041" t="str">
        <f t="shared" si="12"/>
        <v>NA</v>
      </c>
      <c r="L76" s="1042" t="str">
        <f t="shared" si="12"/>
        <v>NA</v>
      </c>
      <c r="M76" s="289">
        <v>268.38</v>
      </c>
      <c r="N76" s="645">
        <f>1.4*10^(-6)</f>
        <v>1.3999999999999999E-6</v>
      </c>
      <c r="O76" s="645">
        <v>5.0099999999999999E-2</v>
      </c>
      <c r="P76" s="637">
        <f>10^6.42</f>
        <v>2630267.9918953842</v>
      </c>
      <c r="Q76" s="629">
        <f>IF($P76="NA","NA",(0.617*Data!$D$9*$P76/100)/(1+Data!$D$15*$P76*0.000000617))</f>
        <v>48686.260529983556</v>
      </c>
      <c r="R76" s="629">
        <f>Q76</f>
        <v>48686.260529983556</v>
      </c>
      <c r="S76" s="290">
        <v>1</v>
      </c>
      <c r="T76" s="290">
        <f>IF(S76= "NA", "NA", S76)</f>
        <v>1</v>
      </c>
      <c r="U76" s="847">
        <v>1.9</v>
      </c>
      <c r="V76" s="860">
        <f>IF(Data!$D$69="",E76,IF(P76="NA","NA",(0.617*Data!$D$69*P76/100)/(1+Data!$D$15*P76*0.000000617)))</f>
        <v>32457.50701998904</v>
      </c>
      <c r="W76" s="847">
        <f>IF(OR(Q76="NA",Q76="",V76="NA",V76=""),"NA",(1+(V76/Q76)^1.5*((1-Data!$D$75)/(1-Data!$D$18))^1.5*(Data!$D$71/Data!$D$14)^1.5*(Data!$D$73/Data!$D$72)*(1/(39.37*Data!$D$72))^0.25))</f>
        <v>3.8303093677397904</v>
      </c>
      <c r="X76" s="847">
        <f>IF(W76="NA","NA",0.15*Data!$D$71*(1-Data!$D$75)*V76*((13.12*Data!$D$73)^(0.112*LN(Data!$D$71*(1-Data!$D$75)*V76)+1.38))/(W76*Data!$D$81))</f>
        <v>177875499.82437313</v>
      </c>
      <c r="Y76" s="847">
        <f>IF(OR(W76="NA",W76="",Data!$D$91="NA",Data!$D$91=""),"NA",W76*Data!$D$91)</f>
        <v>6.8495741227413944</v>
      </c>
      <c r="Z76" s="847">
        <f>IF(OR(W76="NA",W76="",Data!$D$91="NA",Data!$D$91=""),"NA",IF(Data!$D$68&lt;X76,W76*X76/Data!$D$68*Data!$D$91,W76*Data!$D$91))</f>
        <v>6091857.1033335878</v>
      </c>
      <c r="AA76" s="853"/>
      <c r="AB76" s="710" t="s">
        <v>329</v>
      </c>
      <c r="AC76" s="710" t="s">
        <v>329</v>
      </c>
      <c r="AD76" s="292" t="s">
        <v>329</v>
      </c>
      <c r="AE76" s="287" t="s">
        <v>329</v>
      </c>
      <c r="AF76" s="287" t="s">
        <v>329</v>
      </c>
      <c r="AG76" s="288" t="s">
        <v>329</v>
      </c>
      <c r="AH76" s="292" t="s">
        <v>329</v>
      </c>
      <c r="AI76" s="689" t="s">
        <v>329</v>
      </c>
      <c r="AJ76" s="287" t="s">
        <v>329</v>
      </c>
      <c r="AK76" s="288" t="s">
        <v>329</v>
      </c>
      <c r="AL76" s="786"/>
      <c r="AM76" s="815"/>
      <c r="AN76" s="1037"/>
      <c r="AO76" s="1049"/>
      <c r="AP76" s="287" t="s">
        <v>329</v>
      </c>
      <c r="AQ76" s="689" t="s">
        <v>329</v>
      </c>
      <c r="AR76" s="292" t="s">
        <v>329</v>
      </c>
      <c r="AS76" s="288" t="s">
        <v>329</v>
      </c>
      <c r="AT76" s="292" t="s">
        <v>329</v>
      </c>
      <c r="AU76" s="288" t="s">
        <v>329</v>
      </c>
      <c r="AV76" s="874"/>
      <c r="AW76" s="663"/>
      <c r="AX76" s="663"/>
      <c r="AY76" s="663"/>
      <c r="AZ76" s="664"/>
    </row>
    <row r="77" spans="1:52" s="55" customFormat="1" x14ac:dyDescent="0.25">
      <c r="A77" s="307" t="s">
        <v>395</v>
      </c>
      <c r="B77" s="1018"/>
      <c r="C77" s="1019"/>
      <c r="D77" s="1020"/>
      <c r="E77" s="1021"/>
      <c r="F77" s="502"/>
      <c r="G77" s="503"/>
      <c r="H77" s="1040">
        <f t="shared" si="12"/>
        <v>37</v>
      </c>
      <c r="I77" s="1041">
        <f t="shared" si="12"/>
        <v>2.1</v>
      </c>
      <c r="J77" s="1041">
        <f t="shared" si="12"/>
        <v>2.1</v>
      </c>
      <c r="K77" s="1041" t="str">
        <f t="shared" si="12"/>
        <v>NA</v>
      </c>
      <c r="L77" s="1042" t="str">
        <f t="shared" si="12"/>
        <v>NA</v>
      </c>
      <c r="M77" s="289">
        <v>142.19999999999999</v>
      </c>
      <c r="N77" s="645">
        <v>4.44E-4</v>
      </c>
      <c r="O77" s="645">
        <v>4.8000000000000001E-2</v>
      </c>
      <c r="P77" s="637">
        <f>10^3.87</f>
        <v>7413.1024130091773</v>
      </c>
      <c r="Q77" s="629">
        <f>IF($P77="NA","NA",(0.617*Data!$D$9*$P77/100)/(1+Data!$D$15*$P77*0.000000617))</f>
        <v>137.21652566479986</v>
      </c>
      <c r="R77" s="629">
        <f>Q77</f>
        <v>137.21652566479986</v>
      </c>
      <c r="S77" s="290">
        <v>1</v>
      </c>
      <c r="T77" s="290">
        <f>IF(S77= "NA", "NA", S77)</f>
        <v>1</v>
      </c>
      <c r="U77" s="847">
        <v>26000</v>
      </c>
      <c r="V77" s="860">
        <f>IF(Data!$D$69="",E77,IF(P77="NA","NA",(0.617*Data!$D$69*P77/100)/(1+Data!$D$15*P77*0.000000617)))</f>
        <v>91.477683776533254</v>
      </c>
      <c r="W77" s="847">
        <f>IF(OR(Q77="NA",Q77="",V77="NA",V77=""),"NA",(1+(V77/Q77)^1.5*((1-Data!$D$75)/(1-Data!$D$18))^1.5*(Data!$D$71/Data!$D$14)^1.5*(Data!$D$73/Data!$D$72)*(1/(39.37*Data!$D$72))^0.25))</f>
        <v>3.8303093677397904</v>
      </c>
      <c r="X77" s="847">
        <f>IF(W77="NA","NA",0.15*Data!$D$71*(1-Data!$D$75)*V77*((13.12*Data!$D$73)^(0.112*LN(Data!$D$71*(1-Data!$D$75)*V77)+1.38))/(W77*Data!$D$81))</f>
        <v>32010.091435057922</v>
      </c>
      <c r="Y77" s="847">
        <f>IF(OR(W77="NA",W77="",Data!$D$91="NA",Data!$D$91=""),"NA",W77*Data!$D$91)</f>
        <v>6.8495741227413944</v>
      </c>
      <c r="Z77" s="847">
        <f>IF(OR(W77="NA",W77="",Data!$D$91="NA",Data!$D$91=""),"NA",IF(Data!$D$68&lt;X77,W77*X77/Data!$D$68*Data!$D$91,W77*Data!$D$91))</f>
        <v>1096.2774698007934</v>
      </c>
      <c r="AA77" s="853"/>
      <c r="AB77" s="710" t="s">
        <v>329</v>
      </c>
      <c r="AC77" s="710" t="s">
        <v>329</v>
      </c>
      <c r="AD77" s="292" t="s">
        <v>329</v>
      </c>
      <c r="AE77" s="287" t="s">
        <v>329</v>
      </c>
      <c r="AF77" s="287" t="s">
        <v>329</v>
      </c>
      <c r="AG77" s="288" t="s">
        <v>329</v>
      </c>
      <c r="AH77" s="786">
        <v>37</v>
      </c>
      <c r="AI77" s="827">
        <v>2.1</v>
      </c>
      <c r="AJ77" s="287" t="s">
        <v>329</v>
      </c>
      <c r="AK77" s="288" t="s">
        <v>329</v>
      </c>
      <c r="AL77" s="786"/>
      <c r="AM77" s="815"/>
      <c r="AN77" s="1037"/>
      <c r="AO77" s="1049"/>
      <c r="AP77" s="287" t="s">
        <v>329</v>
      </c>
      <c r="AQ77" s="828">
        <v>133</v>
      </c>
      <c r="AR77" s="292" t="s">
        <v>329</v>
      </c>
      <c r="AS77" s="288" t="s">
        <v>329</v>
      </c>
      <c r="AT77" s="292" t="s">
        <v>329</v>
      </c>
      <c r="AU77" s="288" t="s">
        <v>329</v>
      </c>
      <c r="AV77" s="874"/>
      <c r="AW77" s="663"/>
      <c r="AX77" s="663"/>
      <c r="AY77" s="663"/>
      <c r="AZ77" s="664"/>
    </row>
    <row r="78" spans="1:52" s="55" customFormat="1" x14ac:dyDescent="0.25">
      <c r="A78" s="307" t="s">
        <v>396</v>
      </c>
      <c r="B78" s="1018"/>
      <c r="C78" s="1019"/>
      <c r="D78" s="1020"/>
      <c r="E78" s="1021"/>
      <c r="F78" s="502"/>
      <c r="G78" s="503"/>
      <c r="H78" s="1040" t="str">
        <f t="shared" si="12"/>
        <v>NA</v>
      </c>
      <c r="I78" s="1041" t="str">
        <f t="shared" si="12"/>
        <v>NA</v>
      </c>
      <c r="J78" s="1041" t="str">
        <f t="shared" si="12"/>
        <v>NA</v>
      </c>
      <c r="K78" s="1041">
        <f t="shared" si="12"/>
        <v>0.06</v>
      </c>
      <c r="L78" s="1042">
        <f t="shared" si="12"/>
        <v>2900</v>
      </c>
      <c r="M78" s="289">
        <v>142.19999999999999</v>
      </c>
      <c r="N78" s="645">
        <v>3.1E-4</v>
      </c>
      <c r="O78" s="645">
        <v>4.8000000000000001E-2</v>
      </c>
      <c r="P78" s="637">
        <f>10^3.86</f>
        <v>7244.3596007499036</v>
      </c>
      <c r="Q78" s="629">
        <f>IF($P78="NA","NA",(0.617*Data!$D$9*$P78/100)/(1+Data!$D$15*$P78*0.000000617))</f>
        <v>134.09309620988071</v>
      </c>
      <c r="R78" s="629">
        <f>Q78</f>
        <v>134.09309620988071</v>
      </c>
      <c r="S78" s="290">
        <v>1</v>
      </c>
      <c r="T78" s="290">
        <f>IF(S78= "NA", "NA", S78)</f>
        <v>1</v>
      </c>
      <c r="U78" s="847">
        <v>25000</v>
      </c>
      <c r="V78" s="860">
        <f>IF(Data!$D$69="",E78,IF(P78="NA","NA",(0.617*Data!$D$69*P78/100)/(1+Data!$D$15*P78*0.000000617)))</f>
        <v>89.395397473253809</v>
      </c>
      <c r="W78" s="847">
        <f>IF(OR(Q78="NA",Q78="",V78="NA",V78=""),"NA",(1+(V78/Q78)^1.5*((1-Data!$D$75)/(1-Data!$D$18))^1.5*(Data!$D$71/Data!$D$14)^1.5*(Data!$D$73/Data!$D$72)*(1/(39.37*Data!$D$72))^0.25))</f>
        <v>3.8303093677397895</v>
      </c>
      <c r="X78" s="847">
        <f>IF(W78="NA","NA",0.15*Data!$D$71*(1-Data!$D$75)*V78*((13.12*Data!$D$73)^(0.112*LN(Data!$D$71*(1-Data!$D$75)*V78)+1.38))/(W78*Data!$D$81))</f>
        <v>30945.771177343664</v>
      </c>
      <c r="Y78" s="847">
        <f>IF(OR(W78="NA",W78="",Data!$D$91="NA",Data!$D$91=""),"NA",W78*Data!$D$91)</f>
        <v>6.8495741227413927</v>
      </c>
      <c r="Z78" s="847">
        <f>IF(OR(W78="NA",W78="",Data!$D$91="NA",Data!$D$91=""),"NA",IF(Data!$D$68&lt;X78,W78*X78/Data!$D$68*Data!$D$91,W78*Data!$D$91))</f>
        <v>1059.826767323048</v>
      </c>
      <c r="AA78" s="853"/>
      <c r="AB78" s="710" t="s">
        <v>329</v>
      </c>
      <c r="AC78" s="710" t="s">
        <v>329</v>
      </c>
      <c r="AD78" s="292" t="s">
        <v>329</v>
      </c>
      <c r="AE78" s="287" t="s">
        <v>329</v>
      </c>
      <c r="AF78" s="287" t="s">
        <v>329</v>
      </c>
      <c r="AG78" s="288" t="s">
        <v>329</v>
      </c>
      <c r="AH78" s="292" t="s">
        <v>329</v>
      </c>
      <c r="AI78" s="689" t="s">
        <v>329</v>
      </c>
      <c r="AJ78" s="287" t="s">
        <v>329</v>
      </c>
      <c r="AK78" s="288" t="s">
        <v>329</v>
      </c>
      <c r="AL78" s="786"/>
      <c r="AM78" s="815"/>
      <c r="AN78" s="1037"/>
      <c r="AO78" s="1049"/>
      <c r="AP78" s="811">
        <v>0.06</v>
      </c>
      <c r="AQ78" s="828">
        <v>133</v>
      </c>
      <c r="AR78" s="292" t="s">
        <v>329</v>
      </c>
      <c r="AS78" s="288" t="s">
        <v>329</v>
      </c>
      <c r="AT78" s="786">
        <v>2900</v>
      </c>
      <c r="AU78" s="926">
        <v>8000</v>
      </c>
      <c r="AV78" s="874"/>
      <c r="AW78" s="663"/>
      <c r="AX78" s="663"/>
      <c r="AY78" s="663"/>
      <c r="AZ78" s="664"/>
    </row>
    <row r="79" spans="1:52" s="55" customFormat="1" x14ac:dyDescent="0.25">
      <c r="A79" s="307" t="s">
        <v>397</v>
      </c>
      <c r="B79" s="1018"/>
      <c r="C79" s="1019"/>
      <c r="D79" s="1020"/>
      <c r="E79" s="1021"/>
      <c r="F79" s="502"/>
      <c r="G79" s="503"/>
      <c r="H79" s="1040">
        <f t="shared" si="12"/>
        <v>190</v>
      </c>
      <c r="I79" s="1041">
        <f t="shared" si="12"/>
        <v>12</v>
      </c>
      <c r="J79" s="1041">
        <f t="shared" si="12"/>
        <v>12</v>
      </c>
      <c r="K79" s="1041">
        <f t="shared" si="12"/>
        <v>0.04</v>
      </c>
      <c r="L79" s="1042">
        <f t="shared" si="12"/>
        <v>25</v>
      </c>
      <c r="M79" s="289">
        <v>128.19999999999999</v>
      </c>
      <c r="N79" s="645">
        <f>0.00046</f>
        <v>4.6000000000000001E-4</v>
      </c>
      <c r="O79" s="645">
        <v>5.8999999999999997E-2</v>
      </c>
      <c r="P79" s="637">
        <f>10^3.34</f>
        <v>2187.7616239495528</v>
      </c>
      <c r="Q79" s="629">
        <f>IF($P79="NA","NA",(0.617*Data!$D$9*$P79/100)/(1+Data!$D$15*$P79*0.000000617))</f>
        <v>40.495467659306222</v>
      </c>
      <c r="R79" s="629">
        <f t="shared" si="7"/>
        <v>40.495467659306222</v>
      </c>
      <c r="S79" s="290">
        <v>1</v>
      </c>
      <c r="T79" s="290">
        <f t="shared" si="8"/>
        <v>1</v>
      </c>
      <c r="U79" s="847">
        <v>31000</v>
      </c>
      <c r="V79" s="860">
        <f>IF(Data!$D$69="",E79,IF(P79="NA","NA",(0.617*Data!$D$69*P79/100)/(1+Data!$D$15*P79*0.000000617)))</f>
        <v>26.996978439537482</v>
      </c>
      <c r="W79" s="847">
        <f>IF(OR(Q79="NA",Q79="",V79="NA",V79=""),"NA",(1+(V79/Q79)^1.5*((1-Data!$D$75)/(1-Data!$D$18))^1.5*(Data!$D$71/Data!$D$14)^1.5*(Data!$D$73/Data!$D$72)*(1/(39.37*Data!$D$72))^0.25))</f>
        <v>3.8303093677397904</v>
      </c>
      <c r="X79" s="847">
        <f>IF(W79="NA","NA",0.15*Data!$D$71*(1-Data!$D$75)*V79*((13.12*Data!$D$73)^(0.112*LN(Data!$D$71*(1-Data!$D$75)*V79)+1.38))/(W79*Data!$D$81))</f>
        <v>5332.7332635137163</v>
      </c>
      <c r="Y79" s="847">
        <f>IF(OR(W79="NA",W79="",Data!$D$91="NA",Data!$D$91=""),"NA",W79*Data!$D$91)</f>
        <v>6.8495741227413944</v>
      </c>
      <c r="Z79" s="847">
        <f>IF(OR(W79="NA",W79="",Data!$D$91="NA",Data!$D$91=""),"NA",IF(Data!$D$68&lt;X79,W79*X79/Data!$D$68*Data!$D$91,W79*Data!$D$91))</f>
        <v>182.6347588262291</v>
      </c>
      <c r="AA79" s="853"/>
      <c r="AB79" s="710" t="s">
        <v>329</v>
      </c>
      <c r="AC79" s="710" t="s">
        <v>329</v>
      </c>
      <c r="AD79" s="292" t="s">
        <v>329</v>
      </c>
      <c r="AE79" s="287" t="s">
        <v>329</v>
      </c>
      <c r="AF79" s="287" t="s">
        <v>329</v>
      </c>
      <c r="AG79" s="288" t="s">
        <v>329</v>
      </c>
      <c r="AH79" s="786">
        <v>190</v>
      </c>
      <c r="AI79" s="828">
        <v>12</v>
      </c>
      <c r="AJ79" s="287" t="s">
        <v>329</v>
      </c>
      <c r="AK79" s="288" t="s">
        <v>329</v>
      </c>
      <c r="AL79" s="786">
        <v>230</v>
      </c>
      <c r="AM79" s="815">
        <v>62</v>
      </c>
      <c r="AN79" s="1037">
        <v>235</v>
      </c>
      <c r="AO79" s="1049">
        <v>23.5</v>
      </c>
      <c r="AP79" s="811">
        <v>0.04</v>
      </c>
      <c r="AQ79" s="884">
        <v>1.5</v>
      </c>
      <c r="AR79" s="292" t="s">
        <v>329</v>
      </c>
      <c r="AS79" s="288" t="s">
        <v>329</v>
      </c>
      <c r="AT79" s="786">
        <v>25</v>
      </c>
      <c r="AU79" s="926">
        <v>25</v>
      </c>
      <c r="AV79" s="874"/>
      <c r="AW79" s="663"/>
      <c r="AX79" s="663"/>
      <c r="AY79" s="663"/>
      <c r="AZ79" s="664"/>
    </row>
    <row r="80" spans="1:52" s="55" customFormat="1" x14ac:dyDescent="0.25">
      <c r="A80" s="307" t="s">
        <v>398</v>
      </c>
      <c r="B80" s="1018"/>
      <c r="C80" s="1019"/>
      <c r="D80" s="1020"/>
      <c r="E80" s="1021"/>
      <c r="F80" s="502"/>
      <c r="G80" s="503"/>
      <c r="H80" s="1040" t="str">
        <f t="shared" si="12"/>
        <v>NA</v>
      </c>
      <c r="I80" s="1041" t="str">
        <f t="shared" si="12"/>
        <v>NA</v>
      </c>
      <c r="J80" s="1041" t="str">
        <f t="shared" si="12"/>
        <v>NA</v>
      </c>
      <c r="K80" s="1041" t="str">
        <f t="shared" si="12"/>
        <v>NA</v>
      </c>
      <c r="L80" s="1042" t="str">
        <f t="shared" si="12"/>
        <v>NA</v>
      </c>
      <c r="M80" s="289">
        <v>278</v>
      </c>
      <c r="N80" s="645">
        <v>2.6099999999999999E-9</v>
      </c>
      <c r="O80" s="645">
        <f>IF(M80="NA","NA",(IF(N80="NA","NA",((((28.97+M80)/(28.97*M80))^0.5)*(10^-3)*(Data!$D$50^1.75)/((2*(20.1^(1/3)))^2)))))</f>
        <v>0.15120874985675184</v>
      </c>
      <c r="P80" s="637" t="s">
        <v>329</v>
      </c>
      <c r="Q80" s="629" t="str">
        <f>IF($P80="NA","NA",(0.617*Data!$D$9*$P80/100)/(1+Data!$D$15*$P80*0.000000617))</f>
        <v>NA</v>
      </c>
      <c r="R80" s="629" t="str">
        <f t="shared" si="7"/>
        <v>NA</v>
      </c>
      <c r="S80" s="290">
        <v>1</v>
      </c>
      <c r="T80" s="290">
        <f t="shared" si="8"/>
        <v>1</v>
      </c>
      <c r="U80" s="847" t="s">
        <v>329</v>
      </c>
      <c r="V80" s="860" t="str">
        <f>IF(Data!$D$69="",E80,IF(P80="NA","NA",(0.617*Data!$D$69*P80/100)/(1+Data!$D$15*P80*0.000000617)))</f>
        <v>NA</v>
      </c>
      <c r="W80" s="847" t="str">
        <f>IF(OR(Q80="NA",Q80="",V80="NA",V80=""),"NA",(1+(V80/Q80)^1.5*((1-Data!$D$75)/(1-Data!$D$18))^1.5*(Data!$D$71/Data!$D$14)^1.5*(Data!$D$73/Data!$D$72)*(1/(39.37*Data!$D$72))^0.25))</f>
        <v>NA</v>
      </c>
      <c r="X80" s="847" t="str">
        <f>IF(W80="NA","NA",0.15*Data!$D$71*(1-Data!$D$75)*V80*((13.12*Data!$D$73)^(0.112*LN(Data!$D$71*(1-Data!$D$75)*V80)+1.38))/(W80*Data!$D$81))</f>
        <v>NA</v>
      </c>
      <c r="Y80" s="847" t="str">
        <f>IF(OR(W80="NA",W80="",Data!$D$91="NA",Data!$D$91=""),"NA",W80*Data!$D$91)</f>
        <v>NA</v>
      </c>
      <c r="Z80" s="847" t="str">
        <f>IF(OR(W80="NA",W80="",Data!$D$91="NA",Data!$D$91=""),"NA",IF(Data!$D$68&lt;X80,W80*X80/Data!$D$68*Data!$D$91,W80*Data!$D$91))</f>
        <v>NA</v>
      </c>
      <c r="AA80" s="853"/>
      <c r="AB80" s="710" t="s">
        <v>329</v>
      </c>
      <c r="AC80" s="710" t="s">
        <v>329</v>
      </c>
      <c r="AD80" s="292" t="s">
        <v>329</v>
      </c>
      <c r="AE80" s="287" t="s">
        <v>329</v>
      </c>
      <c r="AF80" s="287" t="s">
        <v>329</v>
      </c>
      <c r="AG80" s="288" t="s">
        <v>329</v>
      </c>
      <c r="AH80" s="292" t="s">
        <v>329</v>
      </c>
      <c r="AI80" s="689" t="s">
        <v>329</v>
      </c>
      <c r="AJ80" s="287" t="s">
        <v>329</v>
      </c>
      <c r="AK80" s="288" t="s">
        <v>329</v>
      </c>
      <c r="AL80" s="786"/>
      <c r="AM80" s="815"/>
      <c r="AN80" s="1037"/>
      <c r="AO80" s="1049"/>
      <c r="AP80" s="287" t="s">
        <v>329</v>
      </c>
      <c r="AQ80" s="689" t="s">
        <v>329</v>
      </c>
      <c r="AR80" s="292" t="s">
        <v>329</v>
      </c>
      <c r="AS80" s="288" t="s">
        <v>329</v>
      </c>
      <c r="AT80" s="292" t="s">
        <v>329</v>
      </c>
      <c r="AU80" s="288" t="s">
        <v>329</v>
      </c>
      <c r="AV80" s="874"/>
      <c r="AW80" s="663"/>
      <c r="AX80" s="663"/>
      <c r="AY80" s="663"/>
      <c r="AZ80" s="664"/>
    </row>
    <row r="81" spans="1:52" s="55" customFormat="1" x14ac:dyDescent="0.25">
      <c r="A81" s="307" t="s">
        <v>399</v>
      </c>
      <c r="B81" s="1018"/>
      <c r="C81" s="1019"/>
      <c r="D81" s="1020"/>
      <c r="E81" s="1025"/>
      <c r="F81" s="502"/>
      <c r="G81" s="503"/>
      <c r="H81" s="1040">
        <f t="shared" si="12"/>
        <v>30</v>
      </c>
      <c r="I81" s="1041">
        <f t="shared" si="12"/>
        <v>6.3</v>
      </c>
      <c r="J81" s="1041">
        <f t="shared" si="12"/>
        <v>6.3</v>
      </c>
      <c r="K81" s="1041">
        <f t="shared" si="12"/>
        <v>0.04</v>
      </c>
      <c r="L81" s="1042">
        <f t="shared" si="12"/>
        <v>10000</v>
      </c>
      <c r="M81" s="289">
        <v>178</v>
      </c>
      <c r="N81" s="645">
        <v>2.3E-5</v>
      </c>
      <c r="O81" s="645">
        <v>3.3000000000000002E-2</v>
      </c>
      <c r="P81" s="637">
        <f>10^4.46</f>
        <v>28840.315031266062</v>
      </c>
      <c r="Q81" s="629">
        <f>IF($P81="NA","NA",(0.617*Data!$D$9*$P81/100)/(1+Data!$D$15*$P81*0.000000617))</f>
        <v>533.83423122873478</v>
      </c>
      <c r="R81" s="629">
        <f t="shared" si="7"/>
        <v>533.83423122873478</v>
      </c>
      <c r="S81" s="290">
        <v>1</v>
      </c>
      <c r="T81" s="290">
        <f t="shared" si="8"/>
        <v>1</v>
      </c>
      <c r="U81" s="847">
        <v>1150</v>
      </c>
      <c r="V81" s="860">
        <f>IF(Data!$D$69="",E81,IF(P81="NA","NA",(0.617*Data!$D$69*P81/100)/(1+Data!$D$15*P81*0.000000617)))</f>
        <v>355.88948748582317</v>
      </c>
      <c r="W81" s="847">
        <f>IF(OR(Q81="NA",Q81="",V81="NA",V81=""),"NA",(1+(V81/Q81)^1.5*((1-Data!$D$75)/(1-Data!$D$18))^1.5*(Data!$D$71/Data!$D$14)^1.5*(Data!$D$73/Data!$D$72)*(1/(39.37*Data!$D$72))^0.25))</f>
        <v>3.8303093677397895</v>
      </c>
      <c r="X81" s="847">
        <f>IF(W81="NA","NA",0.15*Data!$D$71*(1-Data!$D$75)*V81*((13.12*Data!$D$73)^(0.112*LN(Data!$D$71*(1-Data!$D$75)*V81)+1.38))/(W81*Data!$D$81))</f>
        <v>235362.67787975527</v>
      </c>
      <c r="Y81" s="847">
        <f>IF(OR(W81="NA",W81="",Data!$D$91="NA",Data!$D$91=""),"NA",W81*Data!$D$91)</f>
        <v>6.8495741227413927</v>
      </c>
      <c r="Z81" s="847">
        <f>IF(OR(W81="NA",W81="",Data!$D$91="NA",Data!$D$91=""),"NA",IF(Data!$D$68&lt;X81,W81*X81/Data!$D$68*Data!$D$91,W81*Data!$D$91))</f>
        <v>8060.6705393214488</v>
      </c>
      <c r="AA81" s="853"/>
      <c r="AB81" s="710" t="s">
        <v>329</v>
      </c>
      <c r="AC81" s="710" t="s">
        <v>329</v>
      </c>
      <c r="AD81" s="292" t="s">
        <v>329</v>
      </c>
      <c r="AE81" s="287" t="s">
        <v>329</v>
      </c>
      <c r="AF81" s="287" t="s">
        <v>329</v>
      </c>
      <c r="AG81" s="288" t="s">
        <v>329</v>
      </c>
      <c r="AH81" s="785">
        <v>30</v>
      </c>
      <c r="AI81" s="827">
        <v>6.3</v>
      </c>
      <c r="AJ81" s="287" t="s">
        <v>329</v>
      </c>
      <c r="AK81" s="288" t="s">
        <v>329</v>
      </c>
      <c r="AL81" s="786"/>
      <c r="AM81" s="815"/>
      <c r="AN81" s="1037"/>
      <c r="AO81" s="1049"/>
      <c r="AP81" s="811">
        <v>0.04</v>
      </c>
      <c r="AQ81" s="689">
        <v>0.14199999999999999</v>
      </c>
      <c r="AR81" s="292" t="s">
        <v>329</v>
      </c>
      <c r="AS81" s="288" t="s">
        <v>329</v>
      </c>
      <c r="AT81" s="786">
        <v>10000</v>
      </c>
      <c r="AU81" s="926">
        <v>10000</v>
      </c>
      <c r="AV81" s="874"/>
      <c r="AW81" s="663"/>
      <c r="AX81" s="663"/>
      <c r="AY81" s="663"/>
      <c r="AZ81" s="664"/>
    </row>
    <row r="82" spans="1:52" s="55" customFormat="1" ht="13.8" thickBot="1" x14ac:dyDescent="0.3">
      <c r="A82" s="308" t="s">
        <v>400</v>
      </c>
      <c r="B82" s="1026"/>
      <c r="C82" s="1027"/>
      <c r="D82" s="1028"/>
      <c r="E82" s="1029"/>
      <c r="F82" s="502"/>
      <c r="G82" s="503"/>
      <c r="H82" s="1040" t="str">
        <f t="shared" si="12"/>
        <v>NA</v>
      </c>
      <c r="I82" s="1041" t="str">
        <f t="shared" si="12"/>
        <v>NA</v>
      </c>
      <c r="J82" s="1041" t="str">
        <f t="shared" si="12"/>
        <v>NA</v>
      </c>
      <c r="K82" s="1041">
        <f t="shared" si="12"/>
        <v>0.03</v>
      </c>
      <c r="L82" s="1042">
        <f t="shared" si="12"/>
        <v>2200</v>
      </c>
      <c r="M82" s="522">
        <v>202.3</v>
      </c>
      <c r="N82" s="667">
        <v>5.1000000000000003E-6</v>
      </c>
      <c r="O82" s="667">
        <v>2.7199999999999998E-2</v>
      </c>
      <c r="P82" s="666">
        <f>10^5.1</f>
        <v>125892.54117941685</v>
      </c>
      <c r="Q82" s="699">
        <f>IF($P82="NA","NA",(0.617*Data!$D$9*$P82/100)/(1+Data!$D$15*$P82*0.000000617))</f>
        <v>2330.270937231006</v>
      </c>
      <c r="R82" s="699">
        <f t="shared" si="7"/>
        <v>2330.270937231006</v>
      </c>
      <c r="S82" s="297">
        <v>1</v>
      </c>
      <c r="T82" s="297">
        <f t="shared" si="8"/>
        <v>1</v>
      </c>
      <c r="U82" s="849">
        <v>135</v>
      </c>
      <c r="V82" s="861">
        <f>IF(Data!$D$69="",E82,IF(P82="NA","NA",(0.617*Data!$D$69*P82/100)/(1+Data!$D$15*P82*0.000000617)))</f>
        <v>1553.5139581540038</v>
      </c>
      <c r="W82" s="848">
        <f>IF(OR(Q82="NA",Q82="",V82="NA",V82=""),"NA",(1+(V82/Q82)^1.5*((1-Data!$D$75)/(1-Data!$D$18))^1.5*(Data!$D$71/Data!$D$14)^1.5*(Data!$D$73/Data!$D$72)*(1/(39.37*Data!$D$72))^0.25))</f>
        <v>3.8303093677397895</v>
      </c>
      <c r="X82" s="848">
        <f>IF(W82="NA","NA",0.15*Data!$D$71*(1-Data!$D$75)*V82*((13.12*Data!$D$73)^(0.112*LN(Data!$D$71*(1-Data!$D$75)*V82)+1.38))/(W82*Data!$D$81))</f>
        <v>2049350.7855224116</v>
      </c>
      <c r="Y82" s="848">
        <f>IF(OR(W82="NA",W82="",Data!$D$91="NA",Data!$D$91=""),"NA",W82*Data!$D$91)</f>
        <v>6.8495741227413927</v>
      </c>
      <c r="Z82" s="848">
        <f>IF(OR(W82="NA",W82="",Data!$D$91="NA",Data!$D$91=""),"NA",IF(Data!$D$68&lt;X82,W82*X82/Data!$D$68*Data!$D$91,W82*Data!$D$91))</f>
        <v>70185.900544670279</v>
      </c>
      <c r="AA82" s="855"/>
      <c r="AB82" s="711" t="s">
        <v>329</v>
      </c>
      <c r="AC82" s="711" t="s">
        <v>329</v>
      </c>
      <c r="AD82" s="293" t="s">
        <v>329</v>
      </c>
      <c r="AE82" s="294" t="s">
        <v>329</v>
      </c>
      <c r="AF82" s="294" t="s">
        <v>329</v>
      </c>
      <c r="AG82" s="295" t="s">
        <v>329</v>
      </c>
      <c r="AH82" s="293" t="s">
        <v>329</v>
      </c>
      <c r="AI82" s="690" t="s">
        <v>329</v>
      </c>
      <c r="AJ82" s="294" t="s">
        <v>329</v>
      </c>
      <c r="AK82" s="295" t="s">
        <v>329</v>
      </c>
      <c r="AL82" s="786"/>
      <c r="AM82" s="815"/>
      <c r="AN82" s="1037"/>
      <c r="AO82" s="1049"/>
      <c r="AP82" s="833">
        <v>0.03</v>
      </c>
      <c r="AQ82" s="690" t="s">
        <v>329</v>
      </c>
      <c r="AR82" s="292" t="s">
        <v>329</v>
      </c>
      <c r="AS82" s="288" t="s">
        <v>329</v>
      </c>
      <c r="AT82" s="837">
        <v>2200</v>
      </c>
      <c r="AU82" s="931">
        <v>2200</v>
      </c>
      <c r="AV82" s="875"/>
      <c r="AW82" s="668"/>
      <c r="AX82" s="668"/>
      <c r="AY82" s="668"/>
      <c r="AZ82" s="669"/>
    </row>
    <row r="83" spans="1:52" s="55" customFormat="1" x14ac:dyDescent="0.25">
      <c r="A83" s="573" t="s">
        <v>401</v>
      </c>
      <c r="B83" s="511"/>
      <c r="C83" s="512"/>
      <c r="D83" s="512"/>
      <c r="E83" s="513"/>
      <c r="F83" s="547"/>
      <c r="G83" s="548"/>
      <c r="H83" s="800"/>
      <c r="I83" s="534"/>
      <c r="J83" s="534"/>
      <c r="K83" s="534"/>
      <c r="L83" s="808"/>
      <c r="M83" s="511"/>
      <c r="N83" s="639"/>
      <c r="O83" s="534"/>
      <c r="P83" s="639"/>
      <c r="Q83" s="639"/>
      <c r="R83" s="631"/>
      <c r="S83" s="512"/>
      <c r="T83" s="512"/>
      <c r="U83" s="513"/>
      <c r="V83" s="800"/>
      <c r="W83" s="534"/>
      <c r="X83" s="534"/>
      <c r="Y83" s="534"/>
      <c r="Z83" s="534"/>
      <c r="AA83" s="513"/>
      <c r="AB83" s="527"/>
      <c r="AC83" s="527"/>
      <c r="AD83" s="511"/>
      <c r="AE83" s="512"/>
      <c r="AF83" s="512"/>
      <c r="AG83" s="513"/>
      <c r="AH83" s="511"/>
      <c r="AI83" s="512"/>
      <c r="AJ83" s="512"/>
      <c r="AK83" s="513"/>
      <c r="AL83" s="511"/>
      <c r="AM83" s="512"/>
      <c r="AN83" s="1050"/>
      <c r="AO83" s="1051"/>
      <c r="AP83" s="512"/>
      <c r="AQ83" s="512"/>
      <c r="AR83" s="511"/>
      <c r="AS83" s="513"/>
      <c r="AT83" s="511"/>
      <c r="AU83" s="513"/>
      <c r="AV83" s="511"/>
      <c r="AW83" s="512"/>
      <c r="AX83" s="512"/>
      <c r="AY83" s="512"/>
      <c r="AZ83" s="513"/>
    </row>
    <row r="84" spans="1:52" s="650" customFormat="1" x14ac:dyDescent="0.2">
      <c r="A84" s="307" t="s">
        <v>402</v>
      </c>
      <c r="B84" s="1018"/>
      <c r="C84" s="1019"/>
      <c r="D84" s="1020"/>
      <c r="E84" s="1025"/>
      <c r="F84" s="502"/>
      <c r="G84" s="503"/>
      <c r="H84" s="1040" t="str">
        <f t="shared" ref="H84:L93" si="13">IF(INDEX($AB$11:$AZ$310,,H$7)=0,"NA",INDEX($AB$11:$AZ$310,,H$7))</f>
        <v>NA</v>
      </c>
      <c r="I84" s="1041" t="str">
        <f t="shared" si="13"/>
        <v>NA</v>
      </c>
      <c r="J84" s="1041" t="str">
        <f t="shared" si="13"/>
        <v>NA</v>
      </c>
      <c r="K84" s="1041" t="str">
        <f t="shared" si="13"/>
        <v>NA</v>
      </c>
      <c r="L84" s="1042">
        <f t="shared" si="13"/>
        <v>200</v>
      </c>
      <c r="M84" s="289">
        <v>120.15</v>
      </c>
      <c r="N84" s="645">
        <f>0.0000107</f>
        <v>1.0699999999999999E-5</v>
      </c>
      <c r="O84" s="645">
        <v>0.06</v>
      </c>
      <c r="P84" s="637">
        <f>10^1.59</f>
        <v>38.904514499428075</v>
      </c>
      <c r="Q84" s="629">
        <f>IF($P84="NA","NA",(0.617*Data!$D$9*$P84/100)/(1+Data!$D$15*$P84*0.000000617))</f>
        <v>0.72012256338441361</v>
      </c>
      <c r="R84" s="629">
        <f>Q84</f>
        <v>0.72012256338441361</v>
      </c>
      <c r="S84" s="290">
        <v>1</v>
      </c>
      <c r="T84" s="290">
        <f t="shared" ref="T84:T89" si="14">IF(S84= "NA", "NA", S84)</f>
        <v>1</v>
      </c>
      <c r="U84" s="847">
        <v>5500000</v>
      </c>
      <c r="V84" s="860">
        <f>IF(Data!$D$69="",E84,IF(P84="NA","NA",(0.617*Data!$D$69*P84/100)/(1+Data!$D$15*P84*0.000000617)))</f>
        <v>0.48008170892294244</v>
      </c>
      <c r="W84" s="847">
        <f>IF(OR(Q84="NA",Q84="",V84="NA",V84=""),"NA",(1+(V84/Q84)^1.5*((1-Data!$D$75)/(1-Data!$D$18))^1.5*(Data!$D$71/Data!$D$14)^1.5*(Data!$D$73/Data!$D$72)*(1/(39.37*Data!$D$72))^0.25))</f>
        <v>3.8303093677397904</v>
      </c>
      <c r="X84" s="847">
        <f>IF(W84="NA","NA",0.15*Data!$D$71*(1-Data!$D$75)*V84*((13.12*Data!$D$73)^(0.112*LN(Data!$D$71*(1-Data!$D$75)*V84)+1.38))/(W84*Data!$D$81))</f>
        <v>14.353870540930142</v>
      </c>
      <c r="Y84" s="847">
        <f>IF(OR(W84="NA",W84="",Data!$D$91="NA",Data!$D$91=""),"NA",W84*Data!$D$91)</f>
        <v>6.8495741227413944</v>
      </c>
      <c r="Z84" s="847">
        <f>IF(OR(W84="NA",W84="",Data!$D$91="NA",Data!$D$91=""),"NA",IF(Data!$D$68&lt;X84,W84*X84/Data!$D$68*Data!$D$91,W84*Data!$D$91))</f>
        <v>6.8495741227413944</v>
      </c>
      <c r="AA84" s="853"/>
      <c r="AB84" s="719" t="s">
        <v>329</v>
      </c>
      <c r="AC84" s="719" t="s">
        <v>329</v>
      </c>
      <c r="AD84" s="292" t="s">
        <v>329</v>
      </c>
      <c r="AE84" s="287" t="s">
        <v>329</v>
      </c>
      <c r="AF84" s="287" t="s">
        <v>329</v>
      </c>
      <c r="AG84" s="288" t="s">
        <v>329</v>
      </c>
      <c r="AH84" s="292" t="s">
        <v>329</v>
      </c>
      <c r="AI84" s="689" t="s">
        <v>329</v>
      </c>
      <c r="AJ84" s="287" t="s">
        <v>329</v>
      </c>
      <c r="AK84" s="288" t="s">
        <v>329</v>
      </c>
      <c r="AL84" s="786"/>
      <c r="AM84" s="815"/>
      <c r="AN84" s="1037"/>
      <c r="AO84" s="1049"/>
      <c r="AP84" s="287" t="s">
        <v>329</v>
      </c>
      <c r="AQ84" s="689" t="s">
        <v>329</v>
      </c>
      <c r="AR84" s="292" t="s">
        <v>329</v>
      </c>
      <c r="AS84" s="288" t="s">
        <v>329</v>
      </c>
      <c r="AT84" s="922">
        <v>200</v>
      </c>
      <c r="AU84" s="932">
        <v>540</v>
      </c>
      <c r="AV84" s="874"/>
      <c r="AW84" s="663"/>
      <c r="AX84" s="663"/>
      <c r="AY84" s="663"/>
      <c r="AZ84" s="664"/>
    </row>
    <row r="85" spans="1:52" s="650" customFormat="1" x14ac:dyDescent="0.2">
      <c r="A85" s="307" t="s">
        <v>403</v>
      </c>
      <c r="B85" s="1018"/>
      <c r="C85" s="1019"/>
      <c r="D85" s="1020"/>
      <c r="E85" s="1025"/>
      <c r="F85" s="502"/>
      <c r="G85" s="503"/>
      <c r="H85" s="1040" t="str">
        <f t="shared" si="13"/>
        <v>NA</v>
      </c>
      <c r="I85" s="1041" t="str">
        <f t="shared" si="13"/>
        <v>NA</v>
      </c>
      <c r="J85" s="1041" t="str">
        <f t="shared" si="13"/>
        <v>NA</v>
      </c>
      <c r="K85" s="1041" t="str">
        <f t="shared" si="13"/>
        <v>NA</v>
      </c>
      <c r="L85" s="1042" t="str">
        <f t="shared" si="13"/>
        <v>NA</v>
      </c>
      <c r="M85" s="289">
        <v>106.13</v>
      </c>
      <c r="N85" s="645">
        <f>0.0000267</f>
        <v>2.6699999999999998E-5</v>
      </c>
      <c r="O85" s="645">
        <v>7.2999999999999995E-2</v>
      </c>
      <c r="P85" s="637">
        <f>10^1.48</f>
        <v>30.199517204020164</v>
      </c>
      <c r="Q85" s="629">
        <f>IF($P85="NA","NA",(0.617*Data!$D$9*$P85/100)/(1+Data!$D$15*$P85*0.000000617))</f>
        <v>0.5589930634464132</v>
      </c>
      <c r="R85" s="629">
        <f>Q85</f>
        <v>0.5589930634464132</v>
      </c>
      <c r="S85" s="290">
        <v>1</v>
      </c>
      <c r="T85" s="290">
        <f t="shared" si="14"/>
        <v>1</v>
      </c>
      <c r="U85" s="847">
        <v>3300000</v>
      </c>
      <c r="V85" s="860">
        <f>IF(Data!$D$69="",E85,IF(P85="NA","NA",(0.617*Data!$D$69*P85/100)/(1+Data!$D$15*P85*0.000000617)))</f>
        <v>0.3726620422976088</v>
      </c>
      <c r="W85" s="847">
        <f>IF(OR(Q85="NA",Q85="",V85="NA",V85=""),"NA",(1+(V85/Q85)^1.5*((1-Data!$D$75)/(1-Data!$D$18))^1.5*(Data!$D$71/Data!$D$14)^1.5*(Data!$D$73/Data!$D$72)*(1/(39.37*Data!$D$72))^0.25))</f>
        <v>3.8303093677397895</v>
      </c>
      <c r="X85" s="847">
        <f>IF(W85="NA","NA",0.15*Data!$D$71*(1-Data!$D$75)*V85*((13.12*Data!$D$73)^(0.112*LN(Data!$D$71*(1-Data!$D$75)*V85)+1.38))/(W85*Data!$D$81))</f>
        <v>9.8952637030272008</v>
      </c>
      <c r="Y85" s="847">
        <f>IF(OR(W85="NA",W85="",Data!$D$91="NA",Data!$D$91=""),"NA",W85*Data!$D$91)</f>
        <v>6.8495741227413927</v>
      </c>
      <c r="Z85" s="847">
        <f>IF(OR(W85="NA",W85="",Data!$D$91="NA",Data!$D$91=""),"NA",IF(Data!$D$68&lt;X85,W85*X85/Data!$D$68*Data!$D$91,W85*Data!$D$91))</f>
        <v>6.8495741227413927</v>
      </c>
      <c r="AA85" s="853"/>
      <c r="AB85" s="719" t="s">
        <v>329</v>
      </c>
      <c r="AC85" s="719" t="s">
        <v>329</v>
      </c>
      <c r="AD85" s="292" t="s">
        <v>329</v>
      </c>
      <c r="AE85" s="287" t="s">
        <v>329</v>
      </c>
      <c r="AF85" s="287" t="s">
        <v>329</v>
      </c>
      <c r="AG85" s="288" t="s">
        <v>329</v>
      </c>
      <c r="AH85" s="292" t="s">
        <v>329</v>
      </c>
      <c r="AI85" s="689" t="s">
        <v>329</v>
      </c>
      <c r="AJ85" s="287" t="s">
        <v>329</v>
      </c>
      <c r="AK85" s="288" t="s">
        <v>329</v>
      </c>
      <c r="AL85" s="786"/>
      <c r="AM85" s="815"/>
      <c r="AN85" s="1037"/>
      <c r="AO85" s="1049"/>
      <c r="AP85" s="287" t="s">
        <v>329</v>
      </c>
      <c r="AQ85" s="689" t="s">
        <v>329</v>
      </c>
      <c r="AR85" s="292" t="s">
        <v>329</v>
      </c>
      <c r="AS85" s="288" t="s">
        <v>329</v>
      </c>
      <c r="AT85" s="292" t="s">
        <v>329</v>
      </c>
      <c r="AU85" s="288" t="s">
        <v>329</v>
      </c>
      <c r="AV85" s="874"/>
      <c r="AW85" s="663"/>
      <c r="AX85" s="663"/>
      <c r="AY85" s="663"/>
      <c r="AZ85" s="664"/>
    </row>
    <row r="86" spans="1:52" s="650" customFormat="1" x14ac:dyDescent="0.2">
      <c r="A86" s="308" t="s">
        <v>404</v>
      </c>
      <c r="B86" s="1018"/>
      <c r="C86" s="1019"/>
      <c r="D86" s="1020"/>
      <c r="E86" s="1025"/>
      <c r="F86" s="502"/>
      <c r="G86" s="503"/>
      <c r="H86" s="1040">
        <f t="shared" si="13"/>
        <v>70</v>
      </c>
      <c r="I86" s="1041">
        <f t="shared" si="13"/>
        <v>3.9</v>
      </c>
      <c r="J86" s="1041">
        <f t="shared" si="13"/>
        <v>3.9</v>
      </c>
      <c r="K86" s="1041" t="str">
        <f t="shared" si="13"/>
        <v>NA</v>
      </c>
      <c r="L86" s="1042">
        <f t="shared" si="13"/>
        <v>7.8E-2</v>
      </c>
      <c r="M86" s="522">
        <v>184.2</v>
      </c>
      <c r="N86" s="645">
        <v>3.8799999999999998E-11</v>
      </c>
      <c r="O86" s="645">
        <v>3.4000000000000002E-2</v>
      </c>
      <c r="P86" s="629">
        <f>10^(1.34)</f>
        <v>21.877616239495538</v>
      </c>
      <c r="Q86" s="733">
        <f>IF($P86="NA","NA",(0.617*Data!$D$9*$P86/100)/(1+Data!$D$15*$P86*0.000000617))</f>
        <v>0.40495467659306245</v>
      </c>
      <c r="R86" s="733">
        <f>Q86</f>
        <v>0.40495467659306245</v>
      </c>
      <c r="S86" s="290">
        <v>1</v>
      </c>
      <c r="T86" s="290">
        <f t="shared" si="14"/>
        <v>1</v>
      </c>
      <c r="U86" s="847">
        <v>520000</v>
      </c>
      <c r="V86" s="860">
        <f>IF(Data!$D$69="",E86,IF(P86="NA","NA",(0.617*Data!$D$69*P86/100)/(1+Data!$D$15*P86*0.000000617)))</f>
        <v>0.26996978439537495</v>
      </c>
      <c r="W86" s="847">
        <f>IF(OR(Q86="NA",Q86="",V86="NA",V86=""),"NA",(1+(V86/Q86)^1.5*((1-Data!$D$75)/(1-Data!$D$18))^1.5*(Data!$D$71/Data!$D$14)^1.5*(Data!$D$73/Data!$D$72)*(1/(39.37*Data!$D$72))^0.25))</f>
        <v>3.8303093677397895</v>
      </c>
      <c r="X86" s="847">
        <f>IF(W86="NA","NA",0.15*Data!$D$71*(1-Data!$D$75)*V86*((13.12*Data!$D$73)^(0.112*LN(Data!$D$71*(1-Data!$D$75)*V86)+1.38))/(W86*Data!$D$81))</f>
        <v>6.1635213612729123</v>
      </c>
      <c r="Y86" s="847">
        <f>IF(OR(W86="NA",W86="",Data!$D$91="NA",Data!$D$91=""),"NA",W86*Data!$D$91)</f>
        <v>6.8495741227413927</v>
      </c>
      <c r="Z86" s="847">
        <f>IF(OR(W86="NA",W86="",Data!$D$91="NA",Data!$D$91=""),"NA",IF(Data!$D$68&lt;X86,W86*X86/Data!$D$68*Data!$D$91,W86*Data!$D$91))</f>
        <v>6.8495741227413927</v>
      </c>
      <c r="AA86" s="853"/>
      <c r="AB86" s="719" t="s">
        <v>329</v>
      </c>
      <c r="AC86" s="719" t="s">
        <v>329</v>
      </c>
      <c r="AD86" s="292" t="s">
        <v>329</v>
      </c>
      <c r="AE86" s="287" t="s">
        <v>329</v>
      </c>
      <c r="AF86" s="287" t="s">
        <v>329</v>
      </c>
      <c r="AG86" s="288" t="s">
        <v>329</v>
      </c>
      <c r="AH86" s="841">
        <v>70</v>
      </c>
      <c r="AI86" s="890">
        <v>3.9</v>
      </c>
      <c r="AJ86" s="287" t="s">
        <v>329</v>
      </c>
      <c r="AK86" s="288" t="s">
        <v>329</v>
      </c>
      <c r="AL86" s="786">
        <v>250</v>
      </c>
      <c r="AM86" s="815">
        <v>25</v>
      </c>
      <c r="AN86" s="1037"/>
      <c r="AO86" s="1049"/>
      <c r="AP86" s="287" t="s">
        <v>329</v>
      </c>
      <c r="AQ86" s="689" t="s">
        <v>329</v>
      </c>
      <c r="AR86" s="292" t="s">
        <v>329</v>
      </c>
      <c r="AS86" s="288" t="s">
        <v>329</v>
      </c>
      <c r="AT86" s="922">
        <v>7.8E-2</v>
      </c>
      <c r="AU86" s="932">
        <v>0.34</v>
      </c>
      <c r="AV86" s="874"/>
      <c r="AW86" s="663"/>
      <c r="AX86" s="663"/>
      <c r="AY86" s="663"/>
      <c r="AZ86" s="664"/>
    </row>
    <row r="87" spans="1:52" s="55" customFormat="1" x14ac:dyDescent="0.25">
      <c r="A87" s="307" t="s">
        <v>405</v>
      </c>
      <c r="B87" s="1018"/>
      <c r="C87" s="1019"/>
      <c r="D87" s="1020"/>
      <c r="E87" s="1025"/>
      <c r="F87" s="502"/>
      <c r="G87" s="503"/>
      <c r="H87" s="1040">
        <f t="shared" si="13"/>
        <v>740</v>
      </c>
      <c r="I87" s="1041">
        <f t="shared" si="13"/>
        <v>42</v>
      </c>
      <c r="J87" s="1041">
        <f t="shared" si="13"/>
        <v>42</v>
      </c>
      <c r="K87" s="1041">
        <f t="shared" si="13"/>
        <v>4</v>
      </c>
      <c r="L87" s="1042">
        <f t="shared" si="13"/>
        <v>2900</v>
      </c>
      <c r="M87" s="289">
        <v>122.1</v>
      </c>
      <c r="N87" s="645">
        <v>1.3E-7</v>
      </c>
      <c r="O87" s="645">
        <v>5.3600000000000002E-2</v>
      </c>
      <c r="P87" s="637">
        <f>10^1.87</f>
        <v>74.131024130091816</v>
      </c>
      <c r="Q87" s="629">
        <f>IF($P87="NA","NA",(0.617*Data!$D$9*$P87/100)/(1+Data!$D$15*$P87*0.000000617))</f>
        <v>1.3721652566479994</v>
      </c>
      <c r="R87" s="629">
        <f>Q87</f>
        <v>1.3721652566479994</v>
      </c>
      <c r="S87" s="290">
        <v>1</v>
      </c>
      <c r="T87" s="290">
        <f t="shared" si="14"/>
        <v>1</v>
      </c>
      <c r="U87" s="847">
        <v>3400000</v>
      </c>
      <c r="V87" s="860">
        <f>IF(Data!$D$69="",E87,IF(P87="NA","NA",(0.617*Data!$D$69*P87/100)/(1+Data!$D$15*P87*0.000000617)))</f>
        <v>0.91477683776533292</v>
      </c>
      <c r="W87" s="847">
        <f>IF(OR(Q87="NA",Q87="",V87="NA",V87=""),"NA",(1+(V87/Q87)^1.5*((1-Data!$D$75)/(1-Data!$D$18))^1.5*(Data!$D$71/Data!$D$14)^1.5*(Data!$D$73/Data!$D$72)*(1/(39.37*Data!$D$72))^0.25))</f>
        <v>3.8303093677397895</v>
      </c>
      <c r="X87" s="847">
        <f>IF(W87="NA","NA",0.15*Data!$D$71*(1-Data!$D$75)*V87*((13.12*Data!$D$73)^(0.112*LN(Data!$D$71*(1-Data!$D$75)*V87)+1.38))/(W87*Data!$D$81))</f>
        <v>36.996953079607394</v>
      </c>
      <c r="Y87" s="847">
        <f>IF(OR(W87="NA",W87="",Data!$D$91="NA",Data!$D$91=""),"NA",W87*Data!$D$91)</f>
        <v>6.8495741227413927</v>
      </c>
      <c r="Z87" s="847">
        <f>IF(OR(W87="NA",W87="",Data!$D$91="NA",Data!$D$91=""),"NA",IF(Data!$D$68&lt;X87,W87*X87/Data!$D$68*Data!$D$91,W87*Data!$D$91))</f>
        <v>6.8495741227413927</v>
      </c>
      <c r="AA87" s="853"/>
      <c r="AB87" s="718" t="s">
        <v>329</v>
      </c>
      <c r="AC87" s="718" t="s">
        <v>329</v>
      </c>
      <c r="AD87" s="292" t="s">
        <v>329</v>
      </c>
      <c r="AE87" s="287" t="s">
        <v>329</v>
      </c>
      <c r="AF87" s="287" t="s">
        <v>329</v>
      </c>
      <c r="AG87" s="288" t="s">
        <v>329</v>
      </c>
      <c r="AH87" s="786">
        <v>740</v>
      </c>
      <c r="AI87" s="828">
        <v>42</v>
      </c>
      <c r="AJ87" s="287" t="s">
        <v>329</v>
      </c>
      <c r="AK87" s="288" t="s">
        <v>329</v>
      </c>
      <c r="AL87" s="786"/>
      <c r="AM87" s="815"/>
      <c r="AN87" s="1037"/>
      <c r="AO87" s="1049"/>
      <c r="AP87" s="815">
        <v>4</v>
      </c>
      <c r="AQ87" s="884">
        <v>7.03</v>
      </c>
      <c r="AR87" s="292" t="s">
        <v>329</v>
      </c>
      <c r="AS87" s="288" t="s">
        <v>329</v>
      </c>
      <c r="AT87" s="786">
        <v>2900</v>
      </c>
      <c r="AU87" s="926">
        <v>7800</v>
      </c>
      <c r="AV87" s="874"/>
      <c r="AW87" s="663"/>
      <c r="AX87" s="663"/>
      <c r="AY87" s="663"/>
      <c r="AZ87" s="664"/>
    </row>
    <row r="88" spans="1:52" s="55" customFormat="1" x14ac:dyDescent="0.25">
      <c r="A88" s="307" t="s">
        <v>406</v>
      </c>
      <c r="B88" s="1018"/>
      <c r="C88" s="1019"/>
      <c r="D88" s="1020"/>
      <c r="E88" s="1025"/>
      <c r="F88" s="502"/>
      <c r="G88" s="503"/>
      <c r="H88" s="1040">
        <f t="shared" si="13"/>
        <v>150</v>
      </c>
      <c r="I88" s="1041">
        <f t="shared" si="13"/>
        <v>8.6</v>
      </c>
      <c r="J88" s="1041">
        <f t="shared" si="13"/>
        <v>8.6</v>
      </c>
      <c r="K88" s="1041" t="str">
        <f t="shared" si="13"/>
        <v>NA</v>
      </c>
      <c r="L88" s="1042">
        <f t="shared" si="13"/>
        <v>400</v>
      </c>
      <c r="M88" s="289">
        <v>108.13</v>
      </c>
      <c r="N88" s="645">
        <v>3.9099999999999999E-7</v>
      </c>
      <c r="O88" s="645">
        <v>7.1199999999999999E-2</v>
      </c>
      <c r="P88" s="637">
        <f>10^1.1</f>
        <v>12.58925411794168</v>
      </c>
      <c r="Q88" s="629">
        <f>IF($P88="NA","NA",(0.617*Data!$D$9*$P88/100)/(1+Data!$D$15*$P88*0.000000617))</f>
        <v>0.23302709372310049</v>
      </c>
      <c r="R88" s="629">
        <f t="shared" ref="R88:R140" si="15">Q88</f>
        <v>0.23302709372310049</v>
      </c>
      <c r="S88" s="290">
        <v>1</v>
      </c>
      <c r="T88" s="290">
        <f t="shared" si="14"/>
        <v>1</v>
      </c>
      <c r="U88" s="847">
        <v>40000000</v>
      </c>
      <c r="V88" s="860">
        <f>IF(Data!$D$69="",E88,IF(P88="NA","NA",(0.617*Data!$D$69*P88/100)/(1+Data!$D$15*P88*0.000000617)))</f>
        <v>0.15535139581540033</v>
      </c>
      <c r="W88" s="847">
        <f>IF(OR(Q88="NA",Q88="",V88="NA",V88=""),"NA",(1+(V88/Q88)^1.5*((1-Data!$D$75)/(1-Data!$D$18))^1.5*(Data!$D$71/Data!$D$14)^1.5*(Data!$D$73/Data!$D$72)*(1/(39.37*Data!$D$72))^0.25))</f>
        <v>3.8303093677397904</v>
      </c>
      <c r="X88" s="847">
        <f>IF(W88="NA","NA",0.15*Data!$D$71*(1-Data!$D$75)*V88*((13.12*Data!$D$73)^(0.112*LN(Data!$D$71*(1-Data!$D$75)*V88)+1.38))/(W88*Data!$D$81))</f>
        <v>2.7376277268117928</v>
      </c>
      <c r="Y88" s="847">
        <f>IF(OR(W88="NA",W88="",Data!$D$91="NA",Data!$D$91=""),"NA",W88*Data!$D$91)</f>
        <v>6.8495741227413944</v>
      </c>
      <c r="Z88" s="847">
        <f>IF(OR(W88="NA",W88="",Data!$D$91="NA",Data!$D$91=""),"NA",IF(Data!$D$68&lt;X88,W88*X88/Data!$D$68*Data!$D$91,W88*Data!$D$91))</f>
        <v>6.8495741227413944</v>
      </c>
      <c r="AA88" s="853"/>
      <c r="AB88" s="718" t="s">
        <v>329</v>
      </c>
      <c r="AC88" s="718" t="s">
        <v>329</v>
      </c>
      <c r="AD88" s="292" t="s">
        <v>329</v>
      </c>
      <c r="AE88" s="287" t="s">
        <v>329</v>
      </c>
      <c r="AF88" s="287" t="s">
        <v>329</v>
      </c>
      <c r="AG88" s="288" t="s">
        <v>329</v>
      </c>
      <c r="AH88" s="786">
        <v>150</v>
      </c>
      <c r="AI88" s="827">
        <v>8.6</v>
      </c>
      <c r="AJ88" s="287" t="s">
        <v>329</v>
      </c>
      <c r="AK88" s="288" t="s">
        <v>329</v>
      </c>
      <c r="AL88" s="786"/>
      <c r="AM88" s="815"/>
      <c r="AN88" s="1037"/>
      <c r="AO88" s="1049"/>
      <c r="AP88" s="287" t="s">
        <v>329</v>
      </c>
      <c r="AQ88" s="689" t="s">
        <v>329</v>
      </c>
      <c r="AR88" s="292" t="s">
        <v>329</v>
      </c>
      <c r="AS88" s="288" t="s">
        <v>329</v>
      </c>
      <c r="AT88" s="786">
        <v>400</v>
      </c>
      <c r="AU88" s="926">
        <v>1100</v>
      </c>
      <c r="AV88" s="874"/>
      <c r="AW88" s="663"/>
      <c r="AX88" s="663"/>
      <c r="AY88" s="663"/>
      <c r="AZ88" s="664"/>
    </row>
    <row r="89" spans="1:52" s="55" customFormat="1" x14ac:dyDescent="0.25">
      <c r="A89" s="307" t="s">
        <v>407</v>
      </c>
      <c r="B89" s="1018"/>
      <c r="C89" s="1019"/>
      <c r="D89" s="1020"/>
      <c r="E89" s="1025"/>
      <c r="F89" s="502"/>
      <c r="G89" s="503"/>
      <c r="H89" s="1040" t="str">
        <f t="shared" si="13"/>
        <v>NA</v>
      </c>
      <c r="I89" s="1041">
        <f t="shared" si="13"/>
        <v>19</v>
      </c>
      <c r="J89" s="1041">
        <f t="shared" si="13"/>
        <v>19</v>
      </c>
      <c r="K89" s="1041" t="str">
        <f t="shared" si="13"/>
        <v>NA</v>
      </c>
      <c r="L89" s="1042">
        <f t="shared" si="13"/>
        <v>10000</v>
      </c>
      <c r="M89" s="289">
        <v>312.39999999999998</v>
      </c>
      <c r="N89" s="645">
        <f>0.0000013</f>
        <v>1.3E-6</v>
      </c>
      <c r="O89" s="645">
        <v>1.7399999999999999E-2</v>
      </c>
      <c r="P89" s="637">
        <f>10^4.84</f>
        <v>69183.097091893651</v>
      </c>
      <c r="Q89" s="629">
        <f>IF($P89="NA","NA",(0.617*Data!$D$9*$P89/100)/(1+Data!$D$15*$P89*0.000000617))</f>
        <v>1280.5791271709513</v>
      </c>
      <c r="R89" s="629">
        <f t="shared" si="15"/>
        <v>1280.5791271709513</v>
      </c>
      <c r="S89" s="290">
        <v>1</v>
      </c>
      <c r="T89" s="290">
        <f t="shared" si="14"/>
        <v>1</v>
      </c>
      <c r="U89" s="847">
        <v>2690</v>
      </c>
      <c r="V89" s="860">
        <f>IF(Data!$D$69="",E89,IF(P89="NA","NA",(0.617*Data!$D$69*P89/100)/(1+Data!$D$15*P89*0.000000617)))</f>
        <v>853.71941811396766</v>
      </c>
      <c r="W89" s="847">
        <f>IF(OR(Q89="NA",Q89="",V89="NA",V89=""),"NA",(1+(V89/Q89)^1.5*((1-Data!$D$75)/(1-Data!$D$18))^1.5*(Data!$D$71/Data!$D$14)^1.5*(Data!$D$73/Data!$D$72)*(1/(39.37*Data!$D$72))^0.25))</f>
        <v>3.8303093677397904</v>
      </c>
      <c r="X89" s="847">
        <f>IF(W89="NA","NA",0.15*Data!$D$71*(1-Data!$D$75)*V89*((13.12*Data!$D$73)^(0.112*LN(Data!$D$71*(1-Data!$D$75)*V89)+1.38))/(W89*Data!$D$81))</f>
        <v>850727.7087608712</v>
      </c>
      <c r="Y89" s="847">
        <f>IF(OR(W89="NA",W89="",Data!$D$91="NA",Data!$D$91=""),"NA",W89*Data!$D$91)</f>
        <v>6.8495741227413944</v>
      </c>
      <c r="Z89" s="847">
        <f>IF(OR(W89="NA",W89="",Data!$D$91="NA",Data!$D$91=""),"NA",IF(Data!$D$68&lt;X89,W89*X89/Data!$D$68*Data!$D$91,W89*Data!$D$91))</f>
        <v>29135.612497137707</v>
      </c>
      <c r="AA89" s="853"/>
      <c r="AB89" s="718" t="s">
        <v>329</v>
      </c>
      <c r="AC89" s="718" t="s">
        <v>329</v>
      </c>
      <c r="AD89" s="292" t="s">
        <v>329</v>
      </c>
      <c r="AE89" s="287" t="s">
        <v>329</v>
      </c>
      <c r="AF89" s="287" t="s">
        <v>329</v>
      </c>
      <c r="AG89" s="288" t="s">
        <v>329</v>
      </c>
      <c r="AH89" s="292" t="s">
        <v>329</v>
      </c>
      <c r="AI89" s="828">
        <v>19</v>
      </c>
      <c r="AJ89" s="287" t="s">
        <v>329</v>
      </c>
      <c r="AK89" s="288" t="s">
        <v>329</v>
      </c>
      <c r="AL89" s="786">
        <v>330</v>
      </c>
      <c r="AM89" s="815">
        <v>22</v>
      </c>
      <c r="AN89" s="1037">
        <v>294.39999999999998</v>
      </c>
      <c r="AO89" s="1049">
        <v>29.4</v>
      </c>
      <c r="AP89" s="287" t="s">
        <v>329</v>
      </c>
      <c r="AQ89" s="689" t="s">
        <v>329</v>
      </c>
      <c r="AR89" s="292" t="s">
        <v>329</v>
      </c>
      <c r="AS89" s="288" t="s">
        <v>329</v>
      </c>
      <c r="AT89" s="786">
        <v>10000</v>
      </c>
      <c r="AU89" s="926">
        <v>10000</v>
      </c>
      <c r="AV89" s="874"/>
      <c r="AW89" s="663"/>
      <c r="AX89" s="663"/>
      <c r="AY89" s="663"/>
      <c r="AZ89" s="664"/>
    </row>
    <row r="90" spans="1:52" s="55" customFormat="1" x14ac:dyDescent="0.25">
      <c r="A90" s="307" t="s">
        <v>408</v>
      </c>
      <c r="B90" s="1018"/>
      <c r="C90" s="1019"/>
      <c r="D90" s="1020"/>
      <c r="E90" s="1025"/>
      <c r="F90" s="502"/>
      <c r="G90" s="503"/>
      <c r="H90" s="1040" t="str">
        <f t="shared" si="13"/>
        <v>NA</v>
      </c>
      <c r="I90" s="1041">
        <f t="shared" si="13"/>
        <v>1.5</v>
      </c>
      <c r="J90" s="1041">
        <f t="shared" si="13"/>
        <v>1.5</v>
      </c>
      <c r="K90" s="1041">
        <f t="shared" si="13"/>
        <v>0.1</v>
      </c>
      <c r="L90" s="1042" t="str">
        <f t="shared" si="13"/>
        <v>NA</v>
      </c>
      <c r="M90" s="289">
        <v>249.1</v>
      </c>
      <c r="N90" s="645">
        <v>1E-4</v>
      </c>
      <c r="O90" s="645">
        <f>IF(M90="NA","NA",(IF(N90="NA","NA",((((28.97+M90)/(28.97*M90))^0.5)*(10^-3)*(Data!$D$50^1.75)/((2*(20.1^(1/3)))^2)))))</f>
        <v>0.15203429281300498</v>
      </c>
      <c r="P90" s="637">
        <f>10^5</f>
        <v>100000</v>
      </c>
      <c r="Q90" s="629">
        <f>IF($P90="NA","NA",(0.617*Data!$D$9*$P90/100)/(1+Data!$D$15*$P90*0.000000617))</f>
        <v>1851</v>
      </c>
      <c r="R90" s="629">
        <f t="shared" si="15"/>
        <v>1851</v>
      </c>
      <c r="S90" s="290">
        <v>1</v>
      </c>
      <c r="T90" s="290">
        <f t="shared" ref="T90:T100" si="16">IF(S90= "NA", "NA", S90)</f>
        <v>1</v>
      </c>
      <c r="U90" s="847">
        <v>4800</v>
      </c>
      <c r="V90" s="860">
        <f>IF(Data!$D$69="",E90,IF(P90="NA","NA",(0.617*Data!$D$69*P90/100)/(1+Data!$D$15*P90*0.000000617)))</f>
        <v>1234</v>
      </c>
      <c r="W90" s="847">
        <f>IF(OR(Q90="NA",Q90="",V90="NA",V90=""),"NA",(1+(V90/Q90)^1.5*((1-Data!$D$75)/(1-Data!$D$18))^1.5*(Data!$D$71/Data!$D$14)^1.5*(Data!$D$73/Data!$D$72)*(1/(39.37*Data!$D$72))^0.25))</f>
        <v>3.8303093677397895</v>
      </c>
      <c r="X90" s="847">
        <f>IF(W90="NA","NA",0.15*Data!$D$71*(1-Data!$D$75)*V90*((13.12*Data!$D$73)^(0.112*LN(Data!$D$71*(1-Data!$D$75)*V90)+1.38))/(W90*Data!$D$81))</f>
        <v>1461370.2259756404</v>
      </c>
      <c r="Y90" s="847">
        <f>IF(OR(W90="NA",W90="",Data!$D$91="NA",Data!$D$91=""),"NA",W90*Data!$D$91)</f>
        <v>6.8495741227413927</v>
      </c>
      <c r="Z90" s="847">
        <f>IF(OR(W90="NA",W90="",Data!$D$91="NA",Data!$D$91=""),"NA",IF(Data!$D$68&lt;X90,W90*X90/Data!$D$68*Data!$D$91,W90*Data!$D$91))</f>
        <v>50048.818417937429</v>
      </c>
      <c r="AA90" s="853"/>
      <c r="AB90" s="718" t="s">
        <v>329</v>
      </c>
      <c r="AC90" s="718" t="s">
        <v>329</v>
      </c>
      <c r="AD90" s="292" t="s">
        <v>329</v>
      </c>
      <c r="AE90" s="287" t="s">
        <v>329</v>
      </c>
      <c r="AF90" s="287" t="s">
        <v>329</v>
      </c>
      <c r="AG90" s="288" t="s">
        <v>329</v>
      </c>
      <c r="AH90" s="292" t="s">
        <v>329</v>
      </c>
      <c r="AI90" s="827">
        <v>1.5</v>
      </c>
      <c r="AJ90" s="287" t="s">
        <v>329</v>
      </c>
      <c r="AK90" s="288" t="s">
        <v>329</v>
      </c>
      <c r="AL90" s="786"/>
      <c r="AM90" s="815"/>
      <c r="AN90" s="1037"/>
      <c r="AO90" s="1049"/>
      <c r="AP90" s="813">
        <v>0.1</v>
      </c>
      <c r="AQ90" s="689" t="s">
        <v>329</v>
      </c>
      <c r="AR90" s="292" t="s">
        <v>329</v>
      </c>
      <c r="AS90" s="288" t="s">
        <v>329</v>
      </c>
      <c r="AT90" s="292" t="s">
        <v>329</v>
      </c>
      <c r="AU90" s="288" t="s">
        <v>329</v>
      </c>
      <c r="AV90" s="874"/>
      <c r="AW90" s="663"/>
      <c r="AX90" s="663"/>
      <c r="AY90" s="663"/>
      <c r="AZ90" s="664"/>
    </row>
    <row r="91" spans="1:52" s="55" customFormat="1" x14ac:dyDescent="0.25">
      <c r="A91" s="307" t="s">
        <v>409</v>
      </c>
      <c r="B91" s="1018"/>
      <c r="C91" s="1019"/>
      <c r="D91" s="1020"/>
      <c r="E91" s="1025"/>
      <c r="F91" s="502"/>
      <c r="G91" s="503"/>
      <c r="H91" s="1040" t="str">
        <f t="shared" si="13"/>
        <v>NA</v>
      </c>
      <c r="I91" s="1041" t="str">
        <f t="shared" si="13"/>
        <v>NA</v>
      </c>
      <c r="J91" s="1041" t="str">
        <f t="shared" si="13"/>
        <v>NA</v>
      </c>
      <c r="K91" s="1041" t="str">
        <f t="shared" si="13"/>
        <v>NA</v>
      </c>
      <c r="L91" s="1042" t="str">
        <f t="shared" si="13"/>
        <v>NA</v>
      </c>
      <c r="M91" s="289">
        <v>173</v>
      </c>
      <c r="N91" s="645">
        <f>0.00000028</f>
        <v>2.8000000000000002E-7</v>
      </c>
      <c r="O91" s="645">
        <f>IF(M91="NA","NA",(IF(N91="NA","NA",((((28.97+M91)/(28.97*M91))^0.5)*(10^-3)*(Data!$D$50^1.75)/((2*(20.1^(1/3)))^2)))))</f>
        <v>0.15547899861800335</v>
      </c>
      <c r="P91" s="637">
        <f>10^1.03</f>
        <v>10.715193052376069</v>
      </c>
      <c r="Q91" s="629">
        <f>IF($P91="NA","NA",(0.617*Data!$D$9*$P91/100)/(1+Data!$D$15*$P91*0.000000617))</f>
        <v>0.19833822339948104</v>
      </c>
      <c r="R91" s="629">
        <f t="shared" si="15"/>
        <v>0.19833822339948104</v>
      </c>
      <c r="S91" s="290">
        <v>1</v>
      </c>
      <c r="T91" s="290">
        <f t="shared" si="16"/>
        <v>1</v>
      </c>
      <c r="U91" s="847">
        <v>121000000</v>
      </c>
      <c r="V91" s="860">
        <f>IF(Data!$D$69="",E91,IF(P91="NA","NA",(0.617*Data!$D$69*P91/100)/(1+Data!$D$15*P91*0.000000617)))</f>
        <v>0.13222548226632069</v>
      </c>
      <c r="W91" s="847">
        <f>IF(OR(Q91="NA",Q91="",V91="NA",V91=""),"NA",(1+(V91/Q91)^1.5*((1-Data!$D$75)/(1-Data!$D$18))^1.5*(Data!$D$71/Data!$D$14)^1.5*(Data!$D$73/Data!$D$72)*(1/(39.37*Data!$D$72))^0.25))</f>
        <v>3.8303093677397895</v>
      </c>
      <c r="X91" s="847">
        <f>IF(W91="NA","NA",0.15*Data!$D$71*(1-Data!$D$75)*V91*((13.12*Data!$D$73)^(0.112*LN(Data!$D$71*(1-Data!$D$75)*V91)+1.38))/(W91*Data!$D$81))</f>
        <v>2.1606039081441928</v>
      </c>
      <c r="Y91" s="847">
        <f>IF(OR(W91="NA",W91="",Data!$D$91="NA",Data!$D$91=""),"NA",W91*Data!$D$91)</f>
        <v>6.8495741227413927</v>
      </c>
      <c r="Z91" s="847">
        <f>IF(OR(W91="NA",W91="",Data!$D$91="NA",Data!$D$91=""),"NA",IF(Data!$D$68&lt;X91,W91*X91/Data!$D$68*Data!$D$91,W91*Data!$D$91))</f>
        <v>6.8495741227413927</v>
      </c>
      <c r="AA91" s="853"/>
      <c r="AB91" s="718" t="s">
        <v>329</v>
      </c>
      <c r="AC91" s="718" t="s">
        <v>329</v>
      </c>
      <c r="AD91" s="292" t="s">
        <v>329</v>
      </c>
      <c r="AE91" s="287" t="s">
        <v>329</v>
      </c>
      <c r="AF91" s="287" t="s">
        <v>329</v>
      </c>
      <c r="AG91" s="288" t="s">
        <v>329</v>
      </c>
      <c r="AH91" s="292" t="s">
        <v>329</v>
      </c>
      <c r="AI91" s="689" t="s">
        <v>329</v>
      </c>
      <c r="AJ91" s="287" t="s">
        <v>329</v>
      </c>
      <c r="AK91" s="288" t="s">
        <v>329</v>
      </c>
      <c r="AL91" s="786"/>
      <c r="AM91" s="815"/>
      <c r="AN91" s="1037"/>
      <c r="AO91" s="1049"/>
      <c r="AP91" s="287" t="s">
        <v>329</v>
      </c>
      <c r="AQ91" s="689" t="s">
        <v>329</v>
      </c>
      <c r="AR91" s="292" t="s">
        <v>329</v>
      </c>
      <c r="AS91" s="288" t="s">
        <v>329</v>
      </c>
      <c r="AT91" s="292" t="s">
        <v>329</v>
      </c>
      <c r="AU91" s="288" t="s">
        <v>329</v>
      </c>
      <c r="AV91" s="874"/>
      <c r="AW91" s="663"/>
      <c r="AX91" s="663"/>
      <c r="AY91" s="663"/>
      <c r="AZ91" s="664"/>
    </row>
    <row r="92" spans="1:52" s="55" customFormat="1" x14ac:dyDescent="0.25">
      <c r="A92" s="307" t="s">
        <v>410</v>
      </c>
      <c r="B92" s="1018"/>
      <c r="C92" s="1019"/>
      <c r="D92" s="1020"/>
      <c r="E92" s="1025"/>
      <c r="F92" s="502"/>
      <c r="G92" s="503"/>
      <c r="H92" s="1040" t="str">
        <f t="shared" si="13"/>
        <v>NA</v>
      </c>
      <c r="I92" s="1041" t="str">
        <f t="shared" si="13"/>
        <v>NA</v>
      </c>
      <c r="J92" s="1041" t="str">
        <f t="shared" si="13"/>
        <v>NA</v>
      </c>
      <c r="K92" s="1041" t="str">
        <f t="shared" si="13"/>
        <v>NA</v>
      </c>
      <c r="L92" s="1042">
        <f t="shared" si="13"/>
        <v>3.8999999999999998E-3</v>
      </c>
      <c r="M92" s="289">
        <v>143</v>
      </c>
      <c r="N92" s="645">
        <v>1.31E-5</v>
      </c>
      <c r="O92" s="645">
        <v>6.9199999999999998E-2</v>
      </c>
      <c r="P92" s="637">
        <f>10^1.21</f>
        <v>16.218100973589298</v>
      </c>
      <c r="Q92" s="629">
        <f>IF($P92="NA","NA",(0.617*Data!$D$9*$P92/100)/(1+Data!$D$15*$P92*0.000000617))</f>
        <v>0.30019704902113792</v>
      </c>
      <c r="R92" s="629">
        <f t="shared" si="15"/>
        <v>0.30019704902113792</v>
      </c>
      <c r="S92" s="290">
        <v>1</v>
      </c>
      <c r="T92" s="290">
        <f t="shared" si="16"/>
        <v>1</v>
      </c>
      <c r="U92" s="847">
        <v>10200000</v>
      </c>
      <c r="V92" s="860">
        <f>IF(Data!$D$69="",E92,IF(P92="NA","NA",(0.617*Data!$D$69*P92/100)/(1+Data!$D$15*P92*0.000000617)))</f>
        <v>0.20013136601409193</v>
      </c>
      <c r="W92" s="847">
        <f>IF(OR(Q92="NA",Q92="",V92="NA",V92=""),"NA",(1+(V92/Q92)^1.5*((1-Data!$D$75)/(1-Data!$D$18))^1.5*(Data!$D$71/Data!$D$14)^1.5*(Data!$D$73/Data!$D$72)*(1/(39.37*Data!$D$72))^0.25))</f>
        <v>3.8303093677397895</v>
      </c>
      <c r="X92" s="847">
        <f>IF(W92="NA","NA",0.15*Data!$D$71*(1-Data!$D$75)*V92*((13.12*Data!$D$73)^(0.112*LN(Data!$D$71*(1-Data!$D$75)*V92)+1.38))/(W92*Data!$D$81))</f>
        <v>3.9711477287761232</v>
      </c>
      <c r="Y92" s="847">
        <f>IF(OR(W92="NA",W92="",Data!$D$91="NA",Data!$D$91=""),"NA",W92*Data!$D$91)</f>
        <v>6.8495741227413927</v>
      </c>
      <c r="Z92" s="847">
        <f>IF(OR(W92="NA",W92="",Data!$D$91="NA",Data!$D$91=""),"NA",IF(Data!$D$68&lt;X92,W92*X92/Data!$D$68*Data!$D$91,W92*Data!$D$91))</f>
        <v>6.8495741227413927</v>
      </c>
      <c r="AA92" s="853"/>
      <c r="AB92" s="718" t="s">
        <v>329</v>
      </c>
      <c r="AC92" s="718" t="s">
        <v>329</v>
      </c>
      <c r="AD92" s="292" t="s">
        <v>329</v>
      </c>
      <c r="AE92" s="287" t="s">
        <v>329</v>
      </c>
      <c r="AF92" s="287" t="s">
        <v>329</v>
      </c>
      <c r="AG92" s="288" t="s">
        <v>329</v>
      </c>
      <c r="AH92" s="292" t="s">
        <v>329</v>
      </c>
      <c r="AI92" s="689" t="s">
        <v>329</v>
      </c>
      <c r="AJ92" s="287" t="s">
        <v>329</v>
      </c>
      <c r="AK92" s="288" t="s">
        <v>329</v>
      </c>
      <c r="AL92" s="786">
        <v>23800</v>
      </c>
      <c r="AM92" s="815">
        <v>2380</v>
      </c>
      <c r="AN92" s="1037"/>
      <c r="AO92" s="1049"/>
      <c r="AP92" s="287" t="s">
        <v>329</v>
      </c>
      <c r="AQ92" s="689" t="s">
        <v>329</v>
      </c>
      <c r="AR92" s="292" t="s">
        <v>329</v>
      </c>
      <c r="AS92" s="288" t="s">
        <v>329</v>
      </c>
      <c r="AT92" s="292">
        <v>3.8999999999999998E-3</v>
      </c>
      <c r="AU92" s="930">
        <v>1.7000000000000001E-2</v>
      </c>
      <c r="AV92" s="874"/>
      <c r="AW92" s="663"/>
      <c r="AX92" s="663"/>
      <c r="AY92" s="663"/>
      <c r="AZ92" s="664"/>
    </row>
    <row r="93" spans="1:52" s="650" customFormat="1" x14ac:dyDescent="0.2">
      <c r="A93" s="307" t="s">
        <v>411</v>
      </c>
      <c r="B93" s="1018"/>
      <c r="C93" s="1019"/>
      <c r="D93" s="1020"/>
      <c r="E93" s="1025"/>
      <c r="F93" s="502"/>
      <c r="G93" s="503"/>
      <c r="H93" s="1040" t="str">
        <f t="shared" si="13"/>
        <v>NA</v>
      </c>
      <c r="I93" s="1041" t="str">
        <f t="shared" si="13"/>
        <v>NA</v>
      </c>
      <c r="J93" s="1041" t="str">
        <f t="shared" si="13"/>
        <v>NA</v>
      </c>
      <c r="K93" s="1041" t="str">
        <f t="shared" si="13"/>
        <v>NA</v>
      </c>
      <c r="L93" s="1042">
        <f t="shared" si="13"/>
        <v>8</v>
      </c>
      <c r="M93" s="289">
        <v>171.07</v>
      </c>
      <c r="N93" s="645">
        <f>0.00011</f>
        <v>1.1E-4</v>
      </c>
      <c r="O93" s="645">
        <v>6.3079999999999997E-2</v>
      </c>
      <c r="P93" s="637">
        <f>10^2.58</f>
        <v>380.18939632056163</v>
      </c>
      <c r="Q93" s="629">
        <f>IF($P93="NA","NA",(0.617*Data!$D$9*$P93/100)/(1+Data!$D$15*$P93*0.000000617))</f>
        <v>7.0373057258935958</v>
      </c>
      <c r="R93" s="629">
        <f t="shared" si="15"/>
        <v>7.0373057258935958</v>
      </c>
      <c r="S93" s="290">
        <v>1</v>
      </c>
      <c r="T93" s="290">
        <f>IF(S93= "NA", "NA", S93)</f>
        <v>1</v>
      </c>
      <c r="U93" s="847">
        <v>1700000</v>
      </c>
      <c r="V93" s="860">
        <f>IF(Data!$D$69="",E93,IF(P93="NA","NA",(0.617*Data!$D$69*P93/100)/(1+Data!$D$15*P93*0.000000617)))</f>
        <v>4.69153715059573</v>
      </c>
      <c r="W93" s="847">
        <f>IF(OR(Q93="NA",Q93="",V93="NA",V93=""),"NA",(1+(V93/Q93)^1.5*((1-Data!$D$75)/(1-Data!$D$18))^1.5*(Data!$D$71/Data!$D$14)^1.5*(Data!$D$73/Data!$D$72)*(1/(39.37*Data!$D$72))^0.25))</f>
        <v>3.8303093677397895</v>
      </c>
      <c r="X93" s="847">
        <f>IF(W93="NA","NA",0.15*Data!$D$71*(1-Data!$D$75)*V93*((13.12*Data!$D$73)^(0.112*LN(Data!$D$71*(1-Data!$D$75)*V93)+1.38))/(W93*Data!$D$81))</f>
        <v>408.17264727131806</v>
      </c>
      <c r="Y93" s="847">
        <f>IF(OR(W93="NA",W93="",Data!$D$91="NA",Data!$D$91=""),"NA",W93*Data!$D$91)</f>
        <v>6.8495741227413927</v>
      </c>
      <c r="Z93" s="847">
        <f>IF(OR(W93="NA",W93="",Data!$D$91="NA",Data!$D$91=""),"NA",IF(Data!$D$68&lt;X93,W93*X93/Data!$D$68*Data!$D$91,W93*Data!$D$91))</f>
        <v>13.979044011802351</v>
      </c>
      <c r="AA93" s="853"/>
      <c r="AB93" s="719" t="s">
        <v>329</v>
      </c>
      <c r="AC93" s="719" t="s">
        <v>329</v>
      </c>
      <c r="AD93" s="292" t="s">
        <v>329</v>
      </c>
      <c r="AE93" s="287" t="s">
        <v>329</v>
      </c>
      <c r="AF93" s="287" t="s">
        <v>329</v>
      </c>
      <c r="AG93" s="288" t="s">
        <v>329</v>
      </c>
      <c r="AH93" s="292" t="s">
        <v>329</v>
      </c>
      <c r="AI93" s="689" t="s">
        <v>329</v>
      </c>
      <c r="AJ93" s="287" t="s">
        <v>329</v>
      </c>
      <c r="AK93" s="288" t="s">
        <v>329</v>
      </c>
      <c r="AL93" s="786"/>
      <c r="AM93" s="815"/>
      <c r="AN93" s="1037"/>
      <c r="AO93" s="1049"/>
      <c r="AP93" s="287" t="s">
        <v>329</v>
      </c>
      <c r="AQ93" s="828">
        <v>187</v>
      </c>
      <c r="AR93" s="292" t="s">
        <v>329</v>
      </c>
      <c r="AS93" s="288" t="s">
        <v>329</v>
      </c>
      <c r="AT93" s="922">
        <v>8</v>
      </c>
      <c r="AU93" s="932">
        <v>8</v>
      </c>
      <c r="AV93" s="874"/>
      <c r="AW93" s="663"/>
      <c r="AX93" s="663"/>
      <c r="AY93" s="663"/>
      <c r="AZ93" s="664"/>
    </row>
    <row r="94" spans="1:52" s="55" customFormat="1" x14ac:dyDescent="0.25">
      <c r="A94" s="307" t="s">
        <v>412</v>
      </c>
      <c r="B94" s="1018"/>
      <c r="C94" s="1019"/>
      <c r="D94" s="1020"/>
      <c r="E94" s="1025"/>
      <c r="F94" s="502"/>
      <c r="G94" s="503"/>
      <c r="H94" s="1040">
        <f t="shared" ref="H94:L103" si="17">IF(INDEX($AB$11:$AZ$310,,H$7)=0,"NA",INDEX($AB$11:$AZ$310,,H$7))</f>
        <v>27</v>
      </c>
      <c r="I94" s="1041">
        <f t="shared" si="17"/>
        <v>3</v>
      </c>
      <c r="J94" s="1041">
        <f t="shared" si="17"/>
        <v>3</v>
      </c>
      <c r="K94" s="1041">
        <f t="shared" si="17"/>
        <v>0.02</v>
      </c>
      <c r="L94" s="1042">
        <f t="shared" si="17"/>
        <v>130</v>
      </c>
      <c r="M94" s="289">
        <v>391</v>
      </c>
      <c r="N94" s="645">
        <v>2.9999999999999999E-7</v>
      </c>
      <c r="O94" s="645">
        <v>3.5099999999999999E-2</v>
      </c>
      <c r="P94" s="637">
        <f>10^7.3</f>
        <v>19952623.149688821</v>
      </c>
      <c r="Q94" s="629">
        <f>IF($P94="NA","NA",(0.617*Data!$D$9*$P94/100)/(1+Data!$D$15*$P94*0.000000617))</f>
        <v>369323.05450074008</v>
      </c>
      <c r="R94" s="629">
        <f t="shared" si="15"/>
        <v>369323.05450074008</v>
      </c>
      <c r="S94" s="290">
        <v>1</v>
      </c>
      <c r="T94" s="290">
        <f>IF(S94= "NA", "NA", S94)</f>
        <v>1</v>
      </c>
      <c r="U94" s="847">
        <v>400</v>
      </c>
      <c r="V94" s="860">
        <f>IF(Data!$D$69="",E94,IF(P94="NA","NA",(0.617*Data!$D$69*P94/100)/(1+Data!$D$15*P94*0.000000617)))</f>
        <v>246215.36966716006</v>
      </c>
      <c r="W94" s="847">
        <f>IF(OR(Q94="NA",Q94="",V94="NA",V94=""),"NA",(1+(V94/Q94)^1.5*((1-Data!$D$75)/(1-Data!$D$18))^1.5*(Data!$D$71/Data!$D$14)^1.5*(Data!$D$73/Data!$D$72)*(1/(39.37*Data!$D$72))^0.25))</f>
        <v>3.8303093677397904</v>
      </c>
      <c r="X94" s="847">
        <f>IF(W94="NA","NA",0.15*Data!$D$71*(1-Data!$D$75)*V94*((13.12*Data!$D$73)^(0.112*LN(Data!$D$71*(1-Data!$D$75)*V94)+1.38))/(W94*Data!$D$81))</f>
        <v>3486979177.8735733</v>
      </c>
      <c r="Y94" s="847">
        <f>IF(OR(W94="NA",W94="",Data!$D$91="NA",Data!$D$91=""),"NA",W94*Data!$D$91)</f>
        <v>6.8495741227413944</v>
      </c>
      <c r="Z94" s="847">
        <f>IF(OR(W94="NA",W94="",Data!$D$91="NA",Data!$D$91=""),"NA",IF(Data!$D$68&lt;X94,W94*X94/Data!$D$68*Data!$D$91,W94*Data!$D$91))</f>
        <v>119421611.71650444</v>
      </c>
      <c r="AA94" s="853"/>
      <c r="AB94" s="718">
        <v>6</v>
      </c>
      <c r="AC94" s="718">
        <v>6</v>
      </c>
      <c r="AD94" s="292" t="s">
        <v>329</v>
      </c>
      <c r="AE94" s="287" t="s">
        <v>329</v>
      </c>
      <c r="AF94" s="287" t="s">
        <v>329</v>
      </c>
      <c r="AG94" s="288" t="s">
        <v>329</v>
      </c>
      <c r="AH94" s="786">
        <v>27</v>
      </c>
      <c r="AI94" s="828">
        <v>3</v>
      </c>
      <c r="AJ94" s="287" t="s">
        <v>329</v>
      </c>
      <c r="AK94" s="288" t="s">
        <v>329</v>
      </c>
      <c r="AL94" s="786">
        <v>1110</v>
      </c>
      <c r="AM94" s="813">
        <v>0.3</v>
      </c>
      <c r="AN94" s="1037"/>
      <c r="AO94" s="1049"/>
      <c r="AP94" s="811">
        <v>0.02</v>
      </c>
      <c r="AQ94" s="689" t="s">
        <v>329</v>
      </c>
      <c r="AR94" s="292" t="s">
        <v>329</v>
      </c>
      <c r="AS94" s="288" t="s">
        <v>329</v>
      </c>
      <c r="AT94" s="786">
        <v>130</v>
      </c>
      <c r="AU94" s="926">
        <v>130</v>
      </c>
      <c r="AV94" s="874"/>
      <c r="AW94" s="663"/>
      <c r="AX94" s="663"/>
      <c r="AY94" s="663"/>
      <c r="AZ94" s="664"/>
    </row>
    <row r="95" spans="1:52" s="650" customFormat="1" x14ac:dyDescent="0.2">
      <c r="A95" s="307" t="s">
        <v>413</v>
      </c>
      <c r="B95" s="1018"/>
      <c r="C95" s="1019"/>
      <c r="D95" s="1020"/>
      <c r="E95" s="1025"/>
      <c r="F95" s="502"/>
      <c r="G95" s="503"/>
      <c r="H95" s="1040" t="str">
        <f t="shared" si="17"/>
        <v>NA</v>
      </c>
      <c r="I95" s="1041" t="str">
        <f t="shared" si="17"/>
        <v>NA</v>
      </c>
      <c r="J95" s="1041" t="str">
        <f t="shared" si="17"/>
        <v>NA</v>
      </c>
      <c r="K95" s="1041" t="str">
        <f t="shared" si="17"/>
        <v>NA</v>
      </c>
      <c r="L95" s="1042" t="str">
        <f t="shared" si="17"/>
        <v>NA</v>
      </c>
      <c r="M95" s="289">
        <v>113.16</v>
      </c>
      <c r="N95" s="645">
        <f>0.0000000036</f>
        <v>3.6E-9</v>
      </c>
      <c r="O95" s="645">
        <v>6.54E-2</v>
      </c>
      <c r="P95" s="873">
        <f>10^-0.19</f>
        <v>0.64565422903465541</v>
      </c>
      <c r="Q95" s="290">
        <f>IF($P95="NA","NA",(0.617*Data!$D$9*$P95/100)/(1+Data!$D$15*$P95*0.000000617))</f>
        <v>1.1951059779431472E-2</v>
      </c>
      <c r="R95" s="290">
        <f t="shared" si="15"/>
        <v>1.1951059779431472E-2</v>
      </c>
      <c r="S95" s="290">
        <v>1</v>
      </c>
      <c r="T95" s="290">
        <f>IF(S95= "NA", "NA", S95)</f>
        <v>1</v>
      </c>
      <c r="U95" s="847">
        <v>5250000000</v>
      </c>
      <c r="V95" s="860">
        <f>IF(Data!$D$69="",E95,IF(P95="NA","NA",(0.617*Data!$D$69*P95/100)/(1+Data!$D$15*P95*0.000000617)))</f>
        <v>7.9673731862876466E-3</v>
      </c>
      <c r="W95" s="847">
        <f>IF(OR(Q95="NA",Q95="",V95="NA",V95=""),"NA",(1+(V95/Q95)^1.5*((1-Data!$D$75)/(1-Data!$D$18))^1.5*(Data!$D$71/Data!$D$14)^1.5*(Data!$D$73/Data!$D$72)*(1/(39.37*Data!$D$72))^0.25))</f>
        <v>3.8303093677397886</v>
      </c>
      <c r="X95" s="847">
        <f>IF(W95="NA","NA",0.15*Data!$D$71*(1-Data!$D$75)*V95*((13.12*Data!$D$73)^(0.112*LN(Data!$D$71*(1-Data!$D$75)*V95)+1.38))/(W95*Data!$D$81))</f>
        <v>3.4908514983881256E-2</v>
      </c>
      <c r="Y95" s="847">
        <f>IF(OR(W95="NA",W95="",Data!$D$91="NA",Data!$D$91=""),"NA",W95*Data!$D$91)</f>
        <v>6.8495741227413909</v>
      </c>
      <c r="Z95" s="847">
        <f>IF(OR(W95="NA",W95="",Data!$D$91="NA",Data!$D$91=""),"NA",IF(Data!$D$68&lt;X95,W95*X95/Data!$D$68*Data!$D$91,W95*Data!$D$91))</f>
        <v>6.8495741227413909</v>
      </c>
      <c r="AA95" s="853"/>
      <c r="AB95" s="719" t="s">
        <v>329</v>
      </c>
      <c r="AC95" s="719" t="s">
        <v>329</v>
      </c>
      <c r="AD95" s="292" t="s">
        <v>329</v>
      </c>
      <c r="AE95" s="287" t="s">
        <v>329</v>
      </c>
      <c r="AF95" s="287" t="s">
        <v>329</v>
      </c>
      <c r="AG95" s="288" t="s">
        <v>329</v>
      </c>
      <c r="AH95" s="292" t="s">
        <v>329</v>
      </c>
      <c r="AI95" s="689" t="s">
        <v>329</v>
      </c>
      <c r="AJ95" s="287" t="s">
        <v>329</v>
      </c>
      <c r="AK95" s="288" t="s">
        <v>329</v>
      </c>
      <c r="AL95" s="786"/>
      <c r="AM95" s="815"/>
      <c r="AN95" s="1037"/>
      <c r="AO95" s="1049"/>
      <c r="AP95" s="287" t="s">
        <v>329</v>
      </c>
      <c r="AQ95" s="689" t="s">
        <v>329</v>
      </c>
      <c r="AR95" s="292" t="s">
        <v>329</v>
      </c>
      <c r="AS95" s="288" t="s">
        <v>329</v>
      </c>
      <c r="AT95" s="292" t="s">
        <v>329</v>
      </c>
      <c r="AU95" s="288" t="s">
        <v>329</v>
      </c>
      <c r="AV95" s="874"/>
      <c r="AW95" s="663"/>
      <c r="AX95" s="663"/>
      <c r="AY95" s="663"/>
      <c r="AZ95" s="664"/>
    </row>
    <row r="96" spans="1:52" s="55" customFormat="1" x14ac:dyDescent="0.25">
      <c r="A96" s="307" t="s">
        <v>414</v>
      </c>
      <c r="B96" s="1018"/>
      <c r="C96" s="1019"/>
      <c r="D96" s="1020"/>
      <c r="E96" s="1025"/>
      <c r="F96" s="502"/>
      <c r="G96" s="503"/>
      <c r="H96" s="1040">
        <f t="shared" si="17"/>
        <v>30</v>
      </c>
      <c r="I96" s="1041" t="str">
        <f t="shared" si="17"/>
        <v>NA</v>
      </c>
      <c r="J96" s="1041" t="str">
        <f t="shared" si="17"/>
        <v>NA</v>
      </c>
      <c r="K96" s="1041">
        <f t="shared" si="17"/>
        <v>0.09</v>
      </c>
      <c r="L96" s="1042">
        <f t="shared" si="17"/>
        <v>37</v>
      </c>
      <c r="M96" s="289">
        <v>142.58000000000001</v>
      </c>
      <c r="N96" s="645">
        <v>2.5000000000000002E-6</v>
      </c>
      <c r="O96" s="645">
        <f>IF(M96="NA","NA",(IF(N96="NA","NA",((((28.97+M96)/(28.97*M96))^0.5)*(10^-3)*(Data!$D$50^1.75)/((2*(20.1^(1/3)))^2)))))</f>
        <v>0.15784012263559943</v>
      </c>
      <c r="P96" s="637">
        <f>10^3.1</f>
        <v>1258.925411794168</v>
      </c>
      <c r="Q96" s="629">
        <f>IF($P96="NA","NA",(0.617*Data!$D$9*$P96/100)/(1+Data!$D$15*$P96*0.000000617))</f>
        <v>23.302709372310051</v>
      </c>
      <c r="R96" s="629">
        <f t="shared" si="15"/>
        <v>23.302709372310051</v>
      </c>
      <c r="S96" s="290">
        <v>1</v>
      </c>
      <c r="T96" s="290">
        <f t="shared" si="16"/>
        <v>1</v>
      </c>
      <c r="U96" s="847">
        <v>3846000</v>
      </c>
      <c r="V96" s="860">
        <f>IF(Data!$D$69="",E96,IF(P96="NA","NA",(0.617*Data!$D$69*P96/100)/(1+Data!$D$15*P96*0.000000617)))</f>
        <v>15.535139581540033</v>
      </c>
      <c r="W96" s="847">
        <f>IF(OR(Q96="NA",Q96="",V96="NA",V96=""),"NA",(1+(V96/Q96)^1.5*((1-Data!$D$75)/(1-Data!$D$18))^1.5*(Data!$D$71/Data!$D$14)^1.5*(Data!$D$73/Data!$D$72)*(1/(39.37*Data!$D$72))^0.25))</f>
        <v>3.8303093677397895</v>
      </c>
      <c r="X96" s="847">
        <f>IF(W96="NA","NA",0.15*Data!$D$71*(1-Data!$D$75)*V96*((13.12*Data!$D$73)^(0.112*LN(Data!$D$71*(1-Data!$D$75)*V96)+1.38))/(W96*Data!$D$81))</f>
        <v>2368.6197526005903</v>
      </c>
      <c r="Y96" s="847">
        <f>IF(OR(W96="NA",W96="",Data!$D$91="NA",Data!$D$91=""),"NA",W96*Data!$D$91)</f>
        <v>6.8495741227413927</v>
      </c>
      <c r="Z96" s="847">
        <f>IF(OR(W96="NA",W96="",Data!$D$91="NA",Data!$D$91=""),"NA",IF(Data!$D$68&lt;X96,W96*X96/Data!$D$68*Data!$D$91,W96*Data!$D$91))</f>
        <v>81.120182820135625</v>
      </c>
      <c r="AA96" s="853"/>
      <c r="AB96" s="718" t="s">
        <v>329</v>
      </c>
      <c r="AC96" s="718" t="s">
        <v>329</v>
      </c>
      <c r="AD96" s="292" t="s">
        <v>329</v>
      </c>
      <c r="AE96" s="287" t="s">
        <v>329</v>
      </c>
      <c r="AF96" s="287" t="s">
        <v>329</v>
      </c>
      <c r="AG96" s="288" t="s">
        <v>329</v>
      </c>
      <c r="AH96" s="698">
        <v>30</v>
      </c>
      <c r="AI96" s="689" t="s">
        <v>329</v>
      </c>
      <c r="AJ96" s="287" t="s">
        <v>329</v>
      </c>
      <c r="AK96" s="288" t="s">
        <v>329</v>
      </c>
      <c r="AL96" s="786">
        <v>3</v>
      </c>
      <c r="AM96" s="813">
        <v>0.3</v>
      </c>
      <c r="AN96" s="1037"/>
      <c r="AO96" s="1049"/>
      <c r="AP96" s="811">
        <v>0.09</v>
      </c>
      <c r="AQ96" s="689" t="s">
        <v>329</v>
      </c>
      <c r="AR96" s="292" t="s">
        <v>329</v>
      </c>
      <c r="AS96" s="288" t="s">
        <v>329</v>
      </c>
      <c r="AT96" s="786">
        <v>37</v>
      </c>
      <c r="AU96" s="926">
        <v>110</v>
      </c>
      <c r="AV96" s="874"/>
      <c r="AW96" s="663"/>
      <c r="AX96" s="663"/>
      <c r="AY96" s="663"/>
      <c r="AZ96" s="664"/>
    </row>
    <row r="97" spans="1:52" s="650" customFormat="1" x14ac:dyDescent="0.2">
      <c r="A97" s="307" t="s">
        <v>415</v>
      </c>
      <c r="B97" s="1018"/>
      <c r="C97" s="1019"/>
      <c r="D97" s="1020"/>
      <c r="E97" s="1025"/>
      <c r="F97" s="502"/>
      <c r="G97" s="503"/>
      <c r="H97" s="1040" t="str">
        <f t="shared" si="17"/>
        <v>NA</v>
      </c>
      <c r="I97" s="1041" t="str">
        <f t="shared" si="17"/>
        <v>NA</v>
      </c>
      <c r="J97" s="1041" t="str">
        <f t="shared" si="17"/>
        <v>NA</v>
      </c>
      <c r="K97" s="1041" t="str">
        <f t="shared" si="17"/>
        <v>NA</v>
      </c>
      <c r="L97" s="1042">
        <f t="shared" si="17"/>
        <v>19</v>
      </c>
      <c r="M97" s="289">
        <v>127.57</v>
      </c>
      <c r="N97" s="645">
        <f>0.000000331</f>
        <v>3.3099999999999999E-7</v>
      </c>
      <c r="O97" s="645">
        <v>4.8300000000000003E-2</v>
      </c>
      <c r="P97" s="637">
        <f>10^1.85</f>
        <v>70.794578438413865</v>
      </c>
      <c r="Q97" s="629">
        <f>IF($P97="NA","NA",(0.617*Data!$D$9*$P97/100)/(1+Data!$D$15*$P97*0.000000617))</f>
        <v>1.3104076468950407</v>
      </c>
      <c r="R97" s="629">
        <f t="shared" si="15"/>
        <v>1.3104076468950407</v>
      </c>
      <c r="S97" s="290">
        <v>1</v>
      </c>
      <c r="T97" s="290">
        <f>IF(S97= "NA", "NA", S97)</f>
        <v>1</v>
      </c>
      <c r="U97" s="847">
        <v>5300000</v>
      </c>
      <c r="V97" s="860">
        <f>IF(Data!$D$69="",E97,IF(P97="NA","NA",(0.617*Data!$D$69*P97/100)/(1+Data!$D$15*P97*0.000000617)))</f>
        <v>0.87360509793002705</v>
      </c>
      <c r="W97" s="847">
        <f>IF(OR(Q97="NA",Q97="",V97="NA",V97=""),"NA",(1+(V97/Q97)^1.5*((1-Data!$D$75)/(1-Data!$D$18))^1.5*(Data!$D$71/Data!$D$14)^1.5*(Data!$D$73/Data!$D$72)*(1/(39.37*Data!$D$72))^0.25))</f>
        <v>3.8303093677397895</v>
      </c>
      <c r="X97" s="847">
        <f>IF(W97="NA","NA",0.15*Data!$D$71*(1-Data!$D$75)*V97*((13.12*Data!$D$73)^(0.112*LN(Data!$D$71*(1-Data!$D$75)*V97)+1.38))/(W97*Data!$D$81))</f>
        <v>34.577592295880791</v>
      </c>
      <c r="Y97" s="847">
        <f>IF(OR(W97="NA",W97="",Data!$D$91="NA",Data!$D$91=""),"NA",W97*Data!$D$91)</f>
        <v>6.8495741227413927</v>
      </c>
      <c r="Z97" s="847">
        <f>IF(OR(W97="NA",W97="",Data!$D$91="NA",Data!$D$91=""),"NA",IF(Data!$D$68&lt;X97,W97*X97/Data!$D$68*Data!$D$91,W97*Data!$D$91))</f>
        <v>6.8495741227413927</v>
      </c>
      <c r="AA97" s="853"/>
      <c r="AB97" s="719" t="s">
        <v>329</v>
      </c>
      <c r="AC97" s="719" t="s">
        <v>329</v>
      </c>
      <c r="AD97" s="292" t="s">
        <v>329</v>
      </c>
      <c r="AE97" s="287" t="s">
        <v>329</v>
      </c>
      <c r="AF97" s="287" t="s">
        <v>329</v>
      </c>
      <c r="AG97" s="288" t="s">
        <v>329</v>
      </c>
      <c r="AH97" s="292" t="s">
        <v>329</v>
      </c>
      <c r="AI97" s="689" t="s">
        <v>329</v>
      </c>
      <c r="AJ97" s="287" t="s">
        <v>329</v>
      </c>
      <c r="AK97" s="288" t="s">
        <v>329</v>
      </c>
      <c r="AL97" s="786"/>
      <c r="AM97" s="815"/>
      <c r="AN97" s="1037"/>
      <c r="AO97" s="1049"/>
      <c r="AP97" s="287" t="s">
        <v>329</v>
      </c>
      <c r="AQ97" s="689" t="s">
        <v>329</v>
      </c>
      <c r="AR97" s="292" t="s">
        <v>329</v>
      </c>
      <c r="AS97" s="288" t="s">
        <v>329</v>
      </c>
      <c r="AT97" s="922">
        <v>19</v>
      </c>
      <c r="AU97" s="932">
        <v>52</v>
      </c>
      <c r="AV97" s="874"/>
      <c r="AW97" s="663"/>
      <c r="AX97" s="663"/>
      <c r="AY97" s="663"/>
      <c r="AZ97" s="664"/>
    </row>
    <row r="98" spans="1:52" s="55" customFormat="1" x14ac:dyDescent="0.25">
      <c r="A98" s="307" t="s">
        <v>416</v>
      </c>
      <c r="B98" s="1018"/>
      <c r="C98" s="1019"/>
      <c r="D98" s="1020"/>
      <c r="E98" s="1025"/>
      <c r="F98" s="502"/>
      <c r="G98" s="503"/>
      <c r="H98" s="1040">
        <f t="shared" si="17"/>
        <v>1600</v>
      </c>
      <c r="I98" s="1041" t="str">
        <f t="shared" si="17"/>
        <v>NA</v>
      </c>
      <c r="J98" s="1041" t="str">
        <f t="shared" si="17"/>
        <v>NA</v>
      </c>
      <c r="K98" s="1041">
        <f t="shared" si="17"/>
        <v>0.08</v>
      </c>
      <c r="L98" s="1042">
        <f t="shared" si="17"/>
        <v>6200</v>
      </c>
      <c r="M98" s="289">
        <v>162.19999999999999</v>
      </c>
      <c r="N98" s="645">
        <v>5.4000000000000001E-4</v>
      </c>
      <c r="O98" s="645">
        <v>3.4700000000000002E-2</v>
      </c>
      <c r="P98" s="637">
        <f>10^4</f>
        <v>10000</v>
      </c>
      <c r="Q98" s="629">
        <f>IF($P98="NA","NA",(0.617*Data!$D$9*$P98/100)/(1+Data!$D$15*$P98*0.000000617))</f>
        <v>185.1</v>
      </c>
      <c r="R98" s="629">
        <f t="shared" si="15"/>
        <v>185.1</v>
      </c>
      <c r="S98" s="290">
        <v>1</v>
      </c>
      <c r="T98" s="290">
        <f t="shared" si="16"/>
        <v>1</v>
      </c>
      <c r="U98" s="847">
        <v>6740</v>
      </c>
      <c r="V98" s="860">
        <f>IF(Data!$D$69="",E98,IF(P98="NA","NA",(0.617*Data!$D$69*P98/100)/(1+Data!$D$15*P98*0.000000617)))</f>
        <v>123.4</v>
      </c>
      <c r="W98" s="847">
        <f>IF(OR(Q98="NA",Q98="",V98="NA",V98=""),"NA",(1+(V98/Q98)^1.5*((1-Data!$D$75)/(1-Data!$D$18))^1.5*(Data!$D$71/Data!$D$14)^1.5*(Data!$D$73/Data!$D$72)*(1/(39.37*Data!$D$72))^0.25))</f>
        <v>3.8303093677397904</v>
      </c>
      <c r="X98" s="847">
        <f>IF(W98="NA","NA",0.15*Data!$D$71*(1-Data!$D$75)*V98*((13.12*Data!$D$73)^(0.112*LN(Data!$D$71*(1-Data!$D$75)*V98)+1.38))/(W98*Data!$D$81))</f>
        <v>49682.080801633412</v>
      </c>
      <c r="Y98" s="847">
        <f>IF(OR(W98="NA",W98="",Data!$D$91="NA",Data!$D$91=""),"NA",W98*Data!$D$91)</f>
        <v>6.8495741227413944</v>
      </c>
      <c r="Z98" s="847">
        <f>IF(OR(W98="NA",W98="",Data!$D$91="NA",Data!$D$91=""),"NA",IF(Data!$D$68&lt;X98,W98*X98/Data!$D$68*Data!$D$91,W98*Data!$D$91))</f>
        <v>1701.5054751140763</v>
      </c>
      <c r="AA98" s="853"/>
      <c r="AB98" s="718" t="s">
        <v>329</v>
      </c>
      <c r="AC98" s="718" t="s">
        <v>329</v>
      </c>
      <c r="AD98" s="292" t="s">
        <v>329</v>
      </c>
      <c r="AE98" s="287" t="s">
        <v>329</v>
      </c>
      <c r="AF98" s="287" t="s">
        <v>329</v>
      </c>
      <c r="AG98" s="288" t="s">
        <v>329</v>
      </c>
      <c r="AH98" s="698">
        <v>1600</v>
      </c>
      <c r="AI98" s="689" t="s">
        <v>329</v>
      </c>
      <c r="AJ98" s="880">
        <v>7.5</v>
      </c>
      <c r="AK98" s="288" t="s">
        <v>329</v>
      </c>
      <c r="AL98" s="786"/>
      <c r="AM98" s="813"/>
      <c r="AN98" s="1037"/>
      <c r="AO98" s="1049"/>
      <c r="AP98" s="811">
        <v>0.08</v>
      </c>
      <c r="AQ98" s="689" t="s">
        <v>329</v>
      </c>
      <c r="AR98" s="292" t="s">
        <v>329</v>
      </c>
      <c r="AS98" s="288" t="s">
        <v>329</v>
      </c>
      <c r="AT98" s="786">
        <v>6200</v>
      </c>
      <c r="AU98" s="926">
        <v>18000</v>
      </c>
      <c r="AV98" s="874"/>
      <c r="AW98" s="663"/>
      <c r="AX98" s="663"/>
      <c r="AY98" s="663"/>
      <c r="AZ98" s="664"/>
    </row>
    <row r="99" spans="1:52" s="55" customFormat="1" x14ac:dyDescent="0.25">
      <c r="A99" s="307" t="s">
        <v>417</v>
      </c>
      <c r="B99" s="1018"/>
      <c r="C99" s="1019"/>
      <c r="D99" s="1020"/>
      <c r="E99" s="1025"/>
      <c r="F99" s="502"/>
      <c r="G99" s="503"/>
      <c r="H99" s="1040">
        <f t="shared" si="17"/>
        <v>4380</v>
      </c>
      <c r="I99" s="1041" t="str">
        <f t="shared" si="17"/>
        <v>NA</v>
      </c>
      <c r="J99" s="1041" t="str">
        <f t="shared" si="17"/>
        <v>NA</v>
      </c>
      <c r="K99" s="1041">
        <f t="shared" si="17"/>
        <v>5.0000000000000001E-3</v>
      </c>
      <c r="L99" s="1042">
        <f t="shared" si="17"/>
        <v>4.4000000000000004</v>
      </c>
      <c r="M99" s="289">
        <v>128.6</v>
      </c>
      <c r="N99" s="645">
        <v>1.03E-5</v>
      </c>
      <c r="O99" s="645">
        <v>5.0099999999999999E-2</v>
      </c>
      <c r="P99" s="637">
        <f>10^2.16</f>
        <v>144.54397707459285</v>
      </c>
      <c r="Q99" s="629">
        <f>IF($P99="NA","NA",(0.617*Data!$D$9*$P99/100)/(1+Data!$D$15*$P99*0.000000617))</f>
        <v>2.6755090156507135</v>
      </c>
      <c r="R99" s="629">
        <f t="shared" si="15"/>
        <v>2.6755090156507135</v>
      </c>
      <c r="S99" s="290">
        <v>1</v>
      </c>
      <c r="T99" s="290">
        <f t="shared" si="16"/>
        <v>1</v>
      </c>
      <c r="U99" s="847">
        <v>28500000</v>
      </c>
      <c r="V99" s="860">
        <f>IF(Data!$D$69="",E99,IF(P99="NA","NA",(0.617*Data!$D$69*P99/100)/(1+Data!$D$15*P99*0.000000617)))</f>
        <v>1.7836726771004756</v>
      </c>
      <c r="W99" s="847">
        <f>IF(OR(Q99="NA",Q99="",V99="NA",V99=""),"NA",(1+(V99/Q99)^1.5*((1-Data!$D$75)/(1-Data!$D$18))^1.5*(Data!$D$71/Data!$D$14)^1.5*(Data!$D$73/Data!$D$72)*(1/(39.37*Data!$D$72))^0.25))</f>
        <v>3.8303093677397895</v>
      </c>
      <c r="X99" s="847">
        <f>IF(W99="NA","NA",0.15*Data!$D$71*(1-Data!$D$75)*V99*((13.12*Data!$D$73)^(0.112*LN(Data!$D$71*(1-Data!$D$75)*V99)+1.38))/(W99*Data!$D$81))</f>
        <v>98.638962900007684</v>
      </c>
      <c r="Y99" s="847">
        <f>IF(OR(W99="NA",W99="",Data!$D$91="NA",Data!$D$91=""),"NA",W99*Data!$D$91)</f>
        <v>6.8495741227413927</v>
      </c>
      <c r="Z99" s="847">
        <f>IF(OR(W99="NA",W99="",Data!$D$91="NA",Data!$D$91=""),"NA",IF(Data!$D$68&lt;X99,W99*X99/Data!$D$68*Data!$D$91,W99*Data!$D$91))</f>
        <v>6.8495741227413927</v>
      </c>
      <c r="AA99" s="853"/>
      <c r="AB99" s="718" t="s">
        <v>329</v>
      </c>
      <c r="AC99" s="718" t="s">
        <v>329</v>
      </c>
      <c r="AD99" s="292" t="s">
        <v>329</v>
      </c>
      <c r="AE99" s="287" t="s">
        <v>329</v>
      </c>
      <c r="AF99" s="287" t="s">
        <v>329</v>
      </c>
      <c r="AG99" s="288" t="s">
        <v>329</v>
      </c>
      <c r="AH99" s="698">
        <v>4380</v>
      </c>
      <c r="AI99" s="689" t="s">
        <v>329</v>
      </c>
      <c r="AJ99" s="287" t="s">
        <v>329</v>
      </c>
      <c r="AK99" s="288" t="s">
        <v>329</v>
      </c>
      <c r="AL99" s="786">
        <v>438</v>
      </c>
      <c r="AM99" s="813">
        <v>43.8</v>
      </c>
      <c r="AN99" s="1037"/>
      <c r="AO99" s="1049"/>
      <c r="AP99" s="287">
        <v>5.0000000000000001E-3</v>
      </c>
      <c r="AQ99" s="689" t="s">
        <v>329</v>
      </c>
      <c r="AR99" s="292" t="s">
        <v>329</v>
      </c>
      <c r="AS99" s="288" t="s">
        <v>329</v>
      </c>
      <c r="AT99" s="785">
        <v>4.4000000000000004</v>
      </c>
      <c r="AU99" s="927">
        <v>4.4000000000000004</v>
      </c>
      <c r="AV99" s="874"/>
      <c r="AW99" s="663"/>
      <c r="AX99" s="663"/>
      <c r="AY99" s="663"/>
      <c r="AZ99" s="664"/>
    </row>
    <row r="100" spans="1:52" s="55" customFormat="1" x14ac:dyDescent="0.25">
      <c r="A100" s="307" t="s">
        <v>418</v>
      </c>
      <c r="B100" s="1018"/>
      <c r="C100" s="1019"/>
      <c r="D100" s="1020"/>
      <c r="E100" s="1025"/>
      <c r="F100" s="502"/>
      <c r="G100" s="503"/>
      <c r="H100" s="1040" t="str">
        <f t="shared" si="17"/>
        <v>NA</v>
      </c>
      <c r="I100" s="1041" t="str">
        <f t="shared" si="17"/>
        <v>NA</v>
      </c>
      <c r="J100" s="1041" t="str">
        <f t="shared" si="17"/>
        <v>NA</v>
      </c>
      <c r="K100" s="1041">
        <f t="shared" si="17"/>
        <v>4.9000000000000002E-2</v>
      </c>
      <c r="L100" s="1042" t="str">
        <f t="shared" si="17"/>
        <v>NA</v>
      </c>
      <c r="M100" s="289">
        <v>204.7</v>
      </c>
      <c r="N100" s="645">
        <v>2.2000000000000001E-4</v>
      </c>
      <c r="O100" s="645">
        <f>IF(M100="NA","NA",(IF(N100="NA","NA",((((28.97+M100)/(28.97*M100))^0.5)*(10^-3)*(Data!$D$50^1.75)/((2*(20.1^(1/3)))^2)))))</f>
        <v>0.15374249036424936</v>
      </c>
      <c r="P100" s="637">
        <f>10^5</f>
        <v>100000</v>
      </c>
      <c r="Q100" s="629">
        <f>IF($P100="NA","NA",(0.617*Data!$D$9*$P100/100)/(1+Data!$D$15*$P100*0.000000617))</f>
        <v>1851</v>
      </c>
      <c r="R100" s="629">
        <f t="shared" si="15"/>
        <v>1851</v>
      </c>
      <c r="S100" s="290">
        <v>1</v>
      </c>
      <c r="T100" s="290">
        <f t="shared" si="16"/>
        <v>1</v>
      </c>
      <c r="U100" s="847">
        <v>3300</v>
      </c>
      <c r="V100" s="860">
        <f>IF(Data!$D$69="",E100,IF(P100="NA","NA",(0.617*Data!$D$69*P100/100)/(1+Data!$D$15*P100*0.000000617)))</f>
        <v>1234</v>
      </c>
      <c r="W100" s="847">
        <f>IF(OR(Q100="NA",Q100="",V100="NA",V100=""),"NA",(1+(V100/Q100)^1.5*((1-Data!$D$75)/(1-Data!$D$18))^1.5*(Data!$D$71/Data!$D$14)^1.5*(Data!$D$73/Data!$D$72)*(1/(39.37*Data!$D$72))^0.25))</f>
        <v>3.8303093677397895</v>
      </c>
      <c r="X100" s="847">
        <f>IF(W100="NA","NA",0.15*Data!$D$71*(1-Data!$D$75)*V100*((13.12*Data!$D$73)^(0.112*LN(Data!$D$71*(1-Data!$D$75)*V100)+1.38))/(W100*Data!$D$81))</f>
        <v>1461370.2259756404</v>
      </c>
      <c r="Y100" s="847">
        <f>IF(OR(W100="NA",W100="",Data!$D$91="NA",Data!$D$91=""),"NA",W100*Data!$D$91)</f>
        <v>6.8495741227413927</v>
      </c>
      <c r="Z100" s="847">
        <f>IF(OR(W100="NA",W100="",Data!$D$91="NA",Data!$D$91=""),"NA",IF(Data!$D$68&lt;X100,W100*X100/Data!$D$68*Data!$D$91,W100*Data!$D$91))</f>
        <v>50048.818417937429</v>
      </c>
      <c r="AA100" s="853"/>
      <c r="AB100" s="718" t="s">
        <v>329</v>
      </c>
      <c r="AC100" s="718" t="s">
        <v>329</v>
      </c>
      <c r="AD100" s="292" t="s">
        <v>329</v>
      </c>
      <c r="AE100" s="287" t="s">
        <v>329</v>
      </c>
      <c r="AF100" s="287" t="s">
        <v>329</v>
      </c>
      <c r="AG100" s="288" t="s">
        <v>329</v>
      </c>
      <c r="AH100" s="292" t="s">
        <v>329</v>
      </c>
      <c r="AI100" s="689" t="s">
        <v>329</v>
      </c>
      <c r="AJ100" s="287" t="s">
        <v>329</v>
      </c>
      <c r="AK100" s="288" t="s">
        <v>329</v>
      </c>
      <c r="AL100" s="786"/>
      <c r="AM100" s="815"/>
      <c r="AN100" s="1037"/>
      <c r="AO100" s="1049"/>
      <c r="AP100" s="287">
        <v>4.9000000000000002E-2</v>
      </c>
      <c r="AQ100" s="689" t="s">
        <v>329</v>
      </c>
      <c r="AR100" s="292" t="s">
        <v>329</v>
      </c>
      <c r="AS100" s="288" t="s">
        <v>329</v>
      </c>
      <c r="AT100" s="292" t="s">
        <v>329</v>
      </c>
      <c r="AU100" s="288" t="s">
        <v>329</v>
      </c>
      <c r="AV100" s="874"/>
      <c r="AW100" s="663"/>
      <c r="AX100" s="663"/>
      <c r="AY100" s="663"/>
      <c r="AZ100" s="664"/>
    </row>
    <row r="101" spans="1:52" s="650" customFormat="1" x14ac:dyDescent="0.2">
      <c r="A101" s="307" t="s">
        <v>419</v>
      </c>
      <c r="B101" s="1018"/>
      <c r="C101" s="1019"/>
      <c r="D101" s="1020"/>
      <c r="E101" s="1025"/>
      <c r="F101" s="502"/>
      <c r="G101" s="503"/>
      <c r="H101" s="1040" t="str">
        <f t="shared" si="17"/>
        <v>NA</v>
      </c>
      <c r="I101" s="1041" t="str">
        <f t="shared" si="17"/>
        <v>NA</v>
      </c>
      <c r="J101" s="1041" t="str">
        <f t="shared" si="17"/>
        <v>NA</v>
      </c>
      <c r="K101" s="1041" t="str">
        <f t="shared" si="17"/>
        <v>NA</v>
      </c>
      <c r="L101" s="1042">
        <f t="shared" si="17"/>
        <v>1400</v>
      </c>
      <c r="M101" s="289">
        <v>84.16</v>
      </c>
      <c r="N101" s="645">
        <v>0.19500000000000001</v>
      </c>
      <c r="O101" s="645">
        <v>8.3900000000000002E-2</v>
      </c>
      <c r="P101" s="637">
        <f>10^3.44</f>
        <v>2754.228703338169</v>
      </c>
      <c r="Q101" s="629">
        <f>IF($P101="NA","NA",(0.617*Data!$D$9*$P101/100)/(1+Data!$D$15*$P101*0.000000617))</f>
        <v>50.980773298789508</v>
      </c>
      <c r="R101" s="629">
        <f t="shared" si="15"/>
        <v>50.980773298789508</v>
      </c>
      <c r="S101" s="290">
        <v>1</v>
      </c>
      <c r="T101" s="290">
        <f>IF(S101= "NA", "NA", S101)</f>
        <v>1</v>
      </c>
      <c r="U101" s="847">
        <v>55000</v>
      </c>
      <c r="V101" s="860">
        <f>IF(Data!$D$69="",E101,IF(P101="NA","NA",(0.617*Data!$D$69*P101/100)/(1+Data!$D$15*P101*0.000000617)))</f>
        <v>33.987182199193001</v>
      </c>
      <c r="W101" s="847">
        <f>IF(OR(Q101="NA",Q101="",V101="NA",V101=""),"NA",(1+(V101/Q101)^1.5*((1-Data!$D$75)/(1-Data!$D$18))^1.5*(Data!$D$71/Data!$D$14)^1.5*(Data!$D$73/Data!$D$72)*(1/(39.37*Data!$D$72))^0.25))</f>
        <v>3.8303093677397886</v>
      </c>
      <c r="X101" s="847">
        <f>IF(W101="NA","NA",0.15*Data!$D$71*(1-Data!$D$75)*V101*((13.12*Data!$D$73)^(0.112*LN(Data!$D$71*(1-Data!$D$75)*V101)+1.38))/(W101*Data!$D$81))</f>
        <v>7478.3521029157127</v>
      </c>
      <c r="Y101" s="847">
        <f>IF(OR(W101="NA",W101="",Data!$D$91="NA",Data!$D$91=""),"NA",W101*Data!$D$91)</f>
        <v>6.8495741227413909</v>
      </c>
      <c r="Z101" s="847">
        <f>IF(OR(W101="NA",W101="",Data!$D$91="NA",Data!$D$91=""),"NA",IF(Data!$D$68&lt;X101,W101*X101/Data!$D$68*Data!$D$91,W101*Data!$D$91))</f>
        <v>256.11763522440066</v>
      </c>
      <c r="AA101" s="853"/>
      <c r="AB101" s="719" t="s">
        <v>329</v>
      </c>
      <c r="AC101" s="719" t="s">
        <v>329</v>
      </c>
      <c r="AD101" s="292" t="s">
        <v>329</v>
      </c>
      <c r="AE101" s="287" t="s">
        <v>329</v>
      </c>
      <c r="AF101" s="287" t="s">
        <v>329</v>
      </c>
      <c r="AG101" s="288" t="s">
        <v>329</v>
      </c>
      <c r="AH101" s="292" t="s">
        <v>329</v>
      </c>
      <c r="AI101" s="689" t="s">
        <v>329</v>
      </c>
      <c r="AJ101" s="287" t="s">
        <v>329</v>
      </c>
      <c r="AK101" s="288" t="s">
        <v>329</v>
      </c>
      <c r="AL101" s="786"/>
      <c r="AM101" s="815"/>
      <c r="AN101" s="1037"/>
      <c r="AO101" s="1049"/>
      <c r="AP101" s="287" t="s">
        <v>329</v>
      </c>
      <c r="AQ101" s="689" t="s">
        <v>329</v>
      </c>
      <c r="AR101" s="292" t="s">
        <v>329</v>
      </c>
      <c r="AS101" s="288" t="s">
        <v>329</v>
      </c>
      <c r="AT101" s="922">
        <v>1400</v>
      </c>
      <c r="AU101" s="932">
        <v>2800</v>
      </c>
      <c r="AV101" s="874"/>
      <c r="AW101" s="663"/>
      <c r="AX101" s="663"/>
      <c r="AY101" s="663"/>
      <c r="AZ101" s="664"/>
    </row>
    <row r="102" spans="1:52" s="55" customFormat="1" x14ac:dyDescent="0.25">
      <c r="A102" s="307" t="s">
        <v>420</v>
      </c>
      <c r="B102" s="1018"/>
      <c r="C102" s="1019"/>
      <c r="D102" s="1020"/>
      <c r="E102" s="1025"/>
      <c r="F102" s="502"/>
      <c r="G102" s="503"/>
      <c r="H102" s="1040">
        <f t="shared" si="17"/>
        <v>190</v>
      </c>
      <c r="I102" s="1041">
        <f t="shared" si="17"/>
        <v>35</v>
      </c>
      <c r="J102" s="1041">
        <f t="shared" si="17"/>
        <v>35</v>
      </c>
      <c r="K102" s="1041">
        <f t="shared" si="17"/>
        <v>0.1</v>
      </c>
      <c r="L102" s="1042">
        <f t="shared" si="17"/>
        <v>1500</v>
      </c>
      <c r="M102" s="289">
        <v>278</v>
      </c>
      <c r="N102" s="645">
        <v>2.8200000000000001E-7</v>
      </c>
      <c r="O102" s="645">
        <v>4.3799999999999999E-2</v>
      </c>
      <c r="P102" s="637">
        <f>10^4.72</f>
        <v>52480.746024977314</v>
      </c>
      <c r="Q102" s="629">
        <f>IF($P102="NA","NA",(0.617*Data!$D$9*$P102/100)/(1+Data!$D$15*$P102*0.000000617))</f>
        <v>971.41860892233001</v>
      </c>
      <c r="R102" s="629">
        <f t="shared" si="15"/>
        <v>971.41860892233001</v>
      </c>
      <c r="S102" s="290">
        <v>1</v>
      </c>
      <c r="T102" s="290">
        <f>IF(S102= "NA", "NA", S102)</f>
        <v>1</v>
      </c>
      <c r="U102" s="847">
        <v>13000</v>
      </c>
      <c r="V102" s="860">
        <f>IF(Data!$D$69="",E102,IF(P102="NA","NA",(0.617*Data!$D$69*P102/100)/(1+Data!$D$15*P102*0.000000617)))</f>
        <v>647.61240594822004</v>
      </c>
      <c r="W102" s="847">
        <f>IF(OR(Q102="NA",Q102="",V102="NA",V102=""),"NA",(1+(V102/Q102)^1.5*((1-Data!$D$75)/(1-Data!$D$18))^1.5*(Data!$D$71/Data!$D$14)^1.5*(Data!$D$73/Data!$D$72)*(1/(39.37*Data!$D$72))^0.25))</f>
        <v>3.8303093677397904</v>
      </c>
      <c r="X102" s="847">
        <f>IF(W102="NA","NA",0.15*Data!$D$71*(1-Data!$D$75)*V102*((13.12*Data!$D$73)^(0.112*LN(Data!$D$71*(1-Data!$D$75)*V102)+1.38))/(W102*Data!$D$81))</f>
        <v>566974.23138843058</v>
      </c>
      <c r="Y102" s="847">
        <f>IF(OR(W102="NA",W102="",Data!$D$91="NA",Data!$D$91=""),"NA",W102*Data!$D$91)</f>
        <v>6.8495741227413944</v>
      </c>
      <c r="Z102" s="847">
        <f>IF(OR(W102="NA",W102="",Data!$D$91="NA",Data!$D$91=""),"NA",IF(Data!$D$68&lt;X102,W102*X102/Data!$D$68*Data!$D$91,W102*Data!$D$91))</f>
        <v>19417.660117896929</v>
      </c>
      <c r="AA102" s="853"/>
      <c r="AB102" s="718" t="s">
        <v>329</v>
      </c>
      <c r="AC102" s="718" t="s">
        <v>329</v>
      </c>
      <c r="AD102" s="292" t="s">
        <v>329</v>
      </c>
      <c r="AE102" s="287" t="s">
        <v>329</v>
      </c>
      <c r="AF102" s="287" t="s">
        <v>329</v>
      </c>
      <c r="AG102" s="288" t="s">
        <v>329</v>
      </c>
      <c r="AH102" s="786">
        <v>190</v>
      </c>
      <c r="AI102" s="828">
        <v>35</v>
      </c>
      <c r="AJ102" s="287" t="s">
        <v>329</v>
      </c>
      <c r="AK102" s="288" t="s">
        <v>329</v>
      </c>
      <c r="AL102" s="786">
        <v>94</v>
      </c>
      <c r="AM102" s="813">
        <v>9.4</v>
      </c>
      <c r="AN102" s="1037"/>
      <c r="AO102" s="1049">
        <v>3.4</v>
      </c>
      <c r="AP102" s="813">
        <v>0.1</v>
      </c>
      <c r="AQ102" s="689" t="s">
        <v>329</v>
      </c>
      <c r="AR102" s="292" t="s">
        <v>329</v>
      </c>
      <c r="AS102" s="288" t="s">
        <v>329</v>
      </c>
      <c r="AT102" s="786">
        <v>1500</v>
      </c>
      <c r="AU102" s="926">
        <v>4100</v>
      </c>
      <c r="AV102" s="874"/>
      <c r="AW102" s="663"/>
      <c r="AX102" s="663"/>
      <c r="AY102" s="663"/>
      <c r="AZ102" s="664"/>
    </row>
    <row r="103" spans="1:52" s="55" customFormat="1" x14ac:dyDescent="0.25">
      <c r="A103" s="307" t="s">
        <v>421</v>
      </c>
      <c r="B103" s="1018"/>
      <c r="C103" s="1019"/>
      <c r="D103" s="1020"/>
      <c r="E103" s="1025"/>
      <c r="F103" s="502"/>
      <c r="G103" s="503"/>
      <c r="H103" s="1040" t="str">
        <f t="shared" si="17"/>
        <v>NA</v>
      </c>
      <c r="I103" s="1041">
        <f t="shared" si="17"/>
        <v>708</v>
      </c>
      <c r="J103" s="1041">
        <f t="shared" si="17"/>
        <v>708</v>
      </c>
      <c r="K103" s="1041">
        <f t="shared" si="17"/>
        <v>0.02</v>
      </c>
      <c r="L103" s="1042">
        <f t="shared" si="17"/>
        <v>4400</v>
      </c>
      <c r="M103" s="289">
        <v>391</v>
      </c>
      <c r="N103" s="645">
        <v>5.4999999999999999E-6</v>
      </c>
      <c r="O103" s="645">
        <v>1.5100000000000001E-2</v>
      </c>
      <c r="P103" s="637">
        <f>10^8.1</f>
        <v>125892541.17941682</v>
      </c>
      <c r="Q103" s="629">
        <f>IF($P103="NA","NA",(0.617*Data!$D$9*$P103/100)/(1+Data!$D$15*$P103*0.000000617))</f>
        <v>2330270.9372310056</v>
      </c>
      <c r="R103" s="629">
        <f t="shared" si="15"/>
        <v>2330270.9372310056</v>
      </c>
      <c r="S103" s="290">
        <v>1</v>
      </c>
      <c r="T103" s="290">
        <f>IF(S103= "NA", "NA", S103)</f>
        <v>1</v>
      </c>
      <c r="U103" s="847">
        <v>3000</v>
      </c>
      <c r="V103" s="860">
        <f>IF(Data!$D$69="",E103,IF(P103="NA","NA",(0.617*Data!$D$69*P103/100)/(1+Data!$D$15*P103*0.000000617)))</f>
        <v>1553513.9581540036</v>
      </c>
      <c r="W103" s="847">
        <f>IF(OR(Q103="NA",Q103="",V103="NA",V103=""),"NA",(1+(V103/Q103)^1.5*((1-Data!$D$75)/(1-Data!$D$18))^1.5*(Data!$D$71/Data!$D$14)^1.5*(Data!$D$73/Data!$D$72)*(1/(39.37*Data!$D$72))^0.25))</f>
        <v>3.8303093677397895</v>
      </c>
      <c r="X103" s="847">
        <f>IF(W103="NA","NA",0.15*Data!$D$71*(1-Data!$D$75)*V103*((13.12*Data!$D$73)^(0.112*LN(Data!$D$71*(1-Data!$D$75)*V103)+1.38))/(W103*Data!$D$81))</f>
        <v>52155214562.623352</v>
      </c>
      <c r="Y103" s="847">
        <f>IF(OR(W103="NA",W103="",Data!$D$91="NA",Data!$D$91=""),"NA",W103*Data!$D$91)</f>
        <v>6.8495741227413927</v>
      </c>
      <c r="Z103" s="847">
        <f>IF(OR(W103="NA",W103="",Data!$D$91="NA",Data!$D$91=""),"NA",IF(Data!$D$68&lt;X103,W103*X103/Data!$D$68*Data!$D$91,W103*Data!$D$91))</f>
        <v>1786205040.1708498</v>
      </c>
      <c r="AA103" s="853"/>
      <c r="AB103" s="718" t="s">
        <v>329</v>
      </c>
      <c r="AC103" s="718" t="s">
        <v>329</v>
      </c>
      <c r="AD103" s="292" t="s">
        <v>329</v>
      </c>
      <c r="AE103" s="287" t="s">
        <v>329</v>
      </c>
      <c r="AF103" s="287" t="s">
        <v>329</v>
      </c>
      <c r="AG103" s="288" t="s">
        <v>329</v>
      </c>
      <c r="AH103" s="292" t="s">
        <v>329</v>
      </c>
      <c r="AI103" s="828">
        <v>708</v>
      </c>
      <c r="AJ103" s="287" t="s">
        <v>329</v>
      </c>
      <c r="AK103" s="288" t="s">
        <v>329</v>
      </c>
      <c r="AL103" s="786"/>
      <c r="AM103" s="815"/>
      <c r="AN103" s="1037"/>
      <c r="AO103" s="1049"/>
      <c r="AP103" s="811">
        <v>0.02</v>
      </c>
      <c r="AQ103" s="689" t="s">
        <v>329</v>
      </c>
      <c r="AR103" s="292" t="s">
        <v>329</v>
      </c>
      <c r="AS103" s="288" t="s">
        <v>329</v>
      </c>
      <c r="AT103" s="786">
        <v>4400</v>
      </c>
      <c r="AU103" s="926">
        <v>10000</v>
      </c>
      <c r="AV103" s="874"/>
      <c r="AW103" s="663"/>
      <c r="AX103" s="663"/>
      <c r="AY103" s="663"/>
      <c r="AZ103" s="664"/>
    </row>
    <row r="104" spans="1:52" s="55" customFormat="1" x14ac:dyDescent="0.25">
      <c r="A104" s="307" t="s">
        <v>422</v>
      </c>
      <c r="B104" s="1020"/>
      <c r="C104" s="1019"/>
      <c r="D104" s="1025"/>
      <c r="E104" s="1025"/>
      <c r="F104" s="502"/>
      <c r="G104" s="503"/>
      <c r="H104" s="1040">
        <f t="shared" ref="H104:L113" si="18">IF(INDEX($AB$11:$AZ$310,,H$7)=0,"NA",INDEX($AB$11:$AZ$310,,H$7))</f>
        <v>260</v>
      </c>
      <c r="I104" s="1041">
        <f t="shared" si="18"/>
        <v>14</v>
      </c>
      <c r="J104" s="1041">
        <f t="shared" si="18"/>
        <v>14</v>
      </c>
      <c r="K104" s="1041">
        <f t="shared" si="18"/>
        <v>0.04</v>
      </c>
      <c r="L104" s="1042">
        <f t="shared" si="18"/>
        <v>59</v>
      </c>
      <c r="M104" s="289">
        <v>147</v>
      </c>
      <c r="N104" s="645">
        <v>1.9300000000000001E-3</v>
      </c>
      <c r="O104" s="645">
        <v>6.9000000000000006E-2</v>
      </c>
      <c r="P104" s="637">
        <f>10^3.4</f>
        <v>2511.8864315095811</v>
      </c>
      <c r="Q104" s="629">
        <f>IF($P104="NA","NA",(0.617*Data!$D$9*$P104/100)/(1+Data!$D$15*$P104*0.000000617))</f>
        <v>46.495017847242345</v>
      </c>
      <c r="R104" s="629">
        <f t="shared" si="15"/>
        <v>46.495017847242345</v>
      </c>
      <c r="S104" s="290">
        <v>1</v>
      </c>
      <c r="T104" s="290">
        <f t="shared" ref="T104:T116" si="19">IF(S104= "NA", "NA", S104)</f>
        <v>1</v>
      </c>
      <c r="U104" s="847">
        <v>145000</v>
      </c>
      <c r="V104" s="860">
        <f>IF(Data!$D$69="",E104,IF(P104="NA","NA",(0.617*Data!$D$69*P104/100)/(1+Data!$D$15*P104*0.000000617)))</f>
        <v>30.99667856482823</v>
      </c>
      <c r="W104" s="847">
        <f>IF(OR(Q104="NA",Q104="",V104="NA",V104=""),"NA",(1+(V104/Q104)^1.5*((1-Data!$D$75)/(1-Data!$D$18))^1.5*(Data!$D$71/Data!$D$14)^1.5*(Data!$D$73/Data!$D$72)*(1/(39.37*Data!$D$72))^0.25))</f>
        <v>3.8303093677397895</v>
      </c>
      <c r="X104" s="847">
        <f>IF(W104="NA","NA",0.15*Data!$D$71*(1-Data!$D$75)*V104*((13.12*Data!$D$73)^(0.112*LN(Data!$D$71*(1-Data!$D$75)*V104)+1.38))/(W104*Data!$D$81))</f>
        <v>6532.2604159318553</v>
      </c>
      <c r="Y104" s="847">
        <f>IF(OR(W104="NA",W104="",Data!$D$91="NA",Data!$D$91=""),"NA",W104*Data!$D$91)</f>
        <v>6.8495741227413927</v>
      </c>
      <c r="Z104" s="847">
        <f>IF(OR(W104="NA",W104="",Data!$D$91="NA",Data!$D$91=""),"NA",IF(Data!$D$68&lt;X104,W104*X104/Data!$D$68*Data!$D$91,W104*Data!$D$91))</f>
        <v>223.71600953987382</v>
      </c>
      <c r="AA104" s="853"/>
      <c r="AB104" s="718">
        <v>600</v>
      </c>
      <c r="AC104" s="718">
        <v>600</v>
      </c>
      <c r="AD104" s="292" t="s">
        <v>329</v>
      </c>
      <c r="AE104" s="287" t="s">
        <v>329</v>
      </c>
      <c r="AF104" s="287" t="s">
        <v>329</v>
      </c>
      <c r="AG104" s="288" t="s">
        <v>329</v>
      </c>
      <c r="AH104" s="786">
        <v>260</v>
      </c>
      <c r="AI104" s="828">
        <v>14</v>
      </c>
      <c r="AJ104" s="887">
        <v>1970</v>
      </c>
      <c r="AK104" s="288" t="s">
        <v>329</v>
      </c>
      <c r="AL104" s="786">
        <v>158</v>
      </c>
      <c r="AM104" s="815">
        <v>15.8</v>
      </c>
      <c r="AN104" s="1037">
        <v>197</v>
      </c>
      <c r="AO104" s="1049">
        <v>19.7</v>
      </c>
      <c r="AP104" s="811">
        <v>0.04</v>
      </c>
      <c r="AQ104" s="689" t="s">
        <v>329</v>
      </c>
      <c r="AR104" s="292" t="s">
        <v>329</v>
      </c>
      <c r="AS104" s="288" t="s">
        <v>329</v>
      </c>
      <c r="AT104" s="786">
        <v>59</v>
      </c>
      <c r="AU104" s="926">
        <v>59</v>
      </c>
      <c r="AV104" s="874"/>
      <c r="AW104" s="663"/>
      <c r="AX104" s="663"/>
      <c r="AY104" s="663"/>
      <c r="AZ104" s="664"/>
    </row>
    <row r="105" spans="1:52" s="55" customFormat="1" x14ac:dyDescent="0.25">
      <c r="A105" s="307" t="s">
        <v>423</v>
      </c>
      <c r="B105" s="1020"/>
      <c r="C105" s="1019"/>
      <c r="D105" s="1025"/>
      <c r="E105" s="1025"/>
      <c r="F105" s="502"/>
      <c r="G105" s="503"/>
      <c r="H105" s="1040">
        <f t="shared" si="18"/>
        <v>630</v>
      </c>
      <c r="I105" s="1041">
        <f t="shared" si="18"/>
        <v>71</v>
      </c>
      <c r="J105" s="1041">
        <f t="shared" si="18"/>
        <v>71</v>
      </c>
      <c r="K105" s="1041">
        <f t="shared" si="18"/>
        <v>0.09</v>
      </c>
      <c r="L105" s="1042">
        <f t="shared" si="18"/>
        <v>61</v>
      </c>
      <c r="M105" s="289">
        <v>147</v>
      </c>
      <c r="N105" s="645">
        <v>2.63E-3</v>
      </c>
      <c r="O105" s="645">
        <v>6.9000000000000006E-2</v>
      </c>
      <c r="P105" s="637">
        <f>10^3.4</f>
        <v>2511.8864315095811</v>
      </c>
      <c r="Q105" s="629">
        <f>IF($P105="NA","NA",(0.617*Data!$D$9*$P105/100)/(1+Data!$D$15*$P105*0.000000617))</f>
        <v>46.495017847242345</v>
      </c>
      <c r="R105" s="629">
        <f t="shared" si="15"/>
        <v>46.495017847242345</v>
      </c>
      <c r="S105" s="290">
        <v>1</v>
      </c>
      <c r="T105" s="290">
        <f t="shared" si="19"/>
        <v>1</v>
      </c>
      <c r="U105" s="847">
        <v>133000</v>
      </c>
      <c r="V105" s="860">
        <f>IF(Data!$D$69="",E105,IF(P105="NA","NA",(0.617*Data!$D$69*P105/100)/(1+Data!$D$15*P105*0.000000617)))</f>
        <v>30.99667856482823</v>
      </c>
      <c r="W105" s="847">
        <f>IF(OR(Q105="NA",Q105="",V105="NA",V105=""),"NA",(1+(V105/Q105)^1.5*((1-Data!$D$75)/(1-Data!$D$18))^1.5*(Data!$D$71/Data!$D$14)^1.5*(Data!$D$73/Data!$D$72)*(1/(39.37*Data!$D$72))^0.25))</f>
        <v>3.8303093677397895</v>
      </c>
      <c r="X105" s="847">
        <f>IF(W105="NA","NA",0.15*Data!$D$71*(1-Data!$D$75)*V105*((13.12*Data!$D$73)^(0.112*LN(Data!$D$71*(1-Data!$D$75)*V105)+1.38))/(W105*Data!$D$81))</f>
        <v>6532.2604159318553</v>
      </c>
      <c r="Y105" s="847">
        <f>IF(OR(W105="NA",W105="",Data!$D$91="NA",Data!$D$91=""),"NA",W105*Data!$D$91)</f>
        <v>6.8495741227413927</v>
      </c>
      <c r="Z105" s="847">
        <f>IF(OR(W105="NA",W105="",Data!$D$91="NA",Data!$D$91=""),"NA",IF(Data!$D$68&lt;X105,W105*X105/Data!$D$68*Data!$D$91,W105*Data!$D$91))</f>
        <v>223.71600953987382</v>
      </c>
      <c r="AA105" s="853"/>
      <c r="AB105" s="718" t="s">
        <v>329</v>
      </c>
      <c r="AC105" s="718" t="s">
        <v>329</v>
      </c>
      <c r="AD105" s="292" t="s">
        <v>329</v>
      </c>
      <c r="AE105" s="287" t="s">
        <v>329</v>
      </c>
      <c r="AF105" s="287" t="s">
        <v>329</v>
      </c>
      <c r="AG105" s="288" t="s">
        <v>329</v>
      </c>
      <c r="AH105" s="786">
        <v>630</v>
      </c>
      <c r="AI105" s="828">
        <v>71</v>
      </c>
      <c r="AJ105" s="887">
        <v>1970</v>
      </c>
      <c r="AK105" s="288" t="s">
        <v>329</v>
      </c>
      <c r="AL105" s="786">
        <v>502</v>
      </c>
      <c r="AM105" s="815">
        <v>50.2</v>
      </c>
      <c r="AN105" s="1037">
        <v>285</v>
      </c>
      <c r="AO105" s="1049">
        <v>28.5</v>
      </c>
      <c r="AP105" s="811">
        <v>0.09</v>
      </c>
      <c r="AQ105" s="689" t="s">
        <v>329</v>
      </c>
      <c r="AR105" s="292" t="s">
        <v>329</v>
      </c>
      <c r="AS105" s="288" t="s">
        <v>329</v>
      </c>
      <c r="AT105" s="786">
        <v>61</v>
      </c>
      <c r="AU105" s="926">
        <v>61</v>
      </c>
      <c r="AV105" s="874"/>
      <c r="AW105" s="663"/>
      <c r="AX105" s="663"/>
      <c r="AY105" s="663"/>
      <c r="AZ105" s="664"/>
    </row>
    <row r="106" spans="1:52" s="55" customFormat="1" x14ac:dyDescent="0.25">
      <c r="A106" s="307" t="s">
        <v>424</v>
      </c>
      <c r="B106" s="1020"/>
      <c r="C106" s="1019"/>
      <c r="D106" s="1025"/>
      <c r="E106" s="1025"/>
      <c r="F106" s="502"/>
      <c r="G106" s="503"/>
      <c r="H106" s="1040">
        <f t="shared" si="18"/>
        <v>180</v>
      </c>
      <c r="I106" s="1041">
        <f t="shared" si="18"/>
        <v>15</v>
      </c>
      <c r="J106" s="1041">
        <f t="shared" si="18"/>
        <v>15</v>
      </c>
      <c r="K106" s="1041">
        <f t="shared" si="18"/>
        <v>0.2</v>
      </c>
      <c r="L106" s="1042">
        <f t="shared" si="18"/>
        <v>10</v>
      </c>
      <c r="M106" s="289">
        <v>147</v>
      </c>
      <c r="N106" s="645">
        <v>2.4299999999999999E-3</v>
      </c>
      <c r="O106" s="645">
        <v>6.9000000000000006E-2</v>
      </c>
      <c r="P106" s="637">
        <f>10^3.42</f>
        <v>2630.2679918953822</v>
      </c>
      <c r="Q106" s="629">
        <f>IF($P106="NA","NA",(0.617*Data!$D$9*$P106/100)/(1+Data!$D$15*$P106*0.000000617))</f>
        <v>48.686260529983528</v>
      </c>
      <c r="R106" s="629">
        <f t="shared" si="15"/>
        <v>48.686260529983528</v>
      </c>
      <c r="S106" s="290">
        <v>1</v>
      </c>
      <c r="T106" s="290">
        <f t="shared" si="19"/>
        <v>1</v>
      </c>
      <c r="U106" s="847">
        <v>83000</v>
      </c>
      <c r="V106" s="860">
        <f>IF(Data!$D$69="",E106,IF(P106="NA","NA",(0.617*Data!$D$69*P106/100)/(1+Data!$D$15*P106*0.000000617)))</f>
        <v>32.457507019989016</v>
      </c>
      <c r="W106" s="847">
        <f>IF(OR(Q106="NA",Q106="",V106="NA",V106=""),"NA",(1+(V106/Q106)^1.5*((1-Data!$D$75)/(1-Data!$D$18))^1.5*(Data!$D$71/Data!$D$14)^1.5*(Data!$D$73/Data!$D$72)*(1/(39.37*Data!$D$72))^0.25))</f>
        <v>3.8303093677397895</v>
      </c>
      <c r="X106" s="847">
        <f>IF(W106="NA","NA",0.15*Data!$D$71*(1-Data!$D$75)*V106*((13.12*Data!$D$73)^(0.112*LN(Data!$D$71*(1-Data!$D$75)*V106)+1.38))/(W106*Data!$D$81))</f>
        <v>6989.3163770340889</v>
      </c>
      <c r="Y106" s="847">
        <f>IF(OR(W106="NA",W106="",Data!$D$91="NA",Data!$D$91=""),"NA",W106*Data!$D$91)</f>
        <v>6.8495741227413927</v>
      </c>
      <c r="Z106" s="847">
        <f>IF(OR(W106="NA",W106="",Data!$D$91="NA",Data!$D$91=""),"NA",IF(Data!$D$68&lt;X106,W106*X106/Data!$D$68*Data!$D$91,W106*Data!$D$91))</f>
        <v>239.36920295892659</v>
      </c>
      <c r="AA106" s="853"/>
      <c r="AB106" s="718">
        <v>75</v>
      </c>
      <c r="AC106" s="718">
        <v>75</v>
      </c>
      <c r="AD106" s="292" t="s">
        <v>329</v>
      </c>
      <c r="AE106" s="287" t="s">
        <v>329</v>
      </c>
      <c r="AF106" s="287" t="s">
        <v>329</v>
      </c>
      <c r="AG106" s="288" t="s">
        <v>329</v>
      </c>
      <c r="AH106" s="786">
        <v>180</v>
      </c>
      <c r="AI106" s="828">
        <v>15</v>
      </c>
      <c r="AJ106" s="887">
        <v>1970</v>
      </c>
      <c r="AK106" s="288" t="s">
        <v>329</v>
      </c>
      <c r="AL106" s="786">
        <v>112</v>
      </c>
      <c r="AM106" s="813">
        <v>11.2</v>
      </c>
      <c r="AN106" s="1037">
        <v>199</v>
      </c>
      <c r="AO106" s="1049">
        <v>19.899999999999999</v>
      </c>
      <c r="AP106" s="813">
        <v>0.2</v>
      </c>
      <c r="AQ106" s="689" t="s">
        <v>329</v>
      </c>
      <c r="AR106" s="292" t="s">
        <v>329</v>
      </c>
      <c r="AS106" s="288" t="s">
        <v>329</v>
      </c>
      <c r="AT106" s="786">
        <v>10</v>
      </c>
      <c r="AU106" s="926">
        <v>10</v>
      </c>
      <c r="AV106" s="874"/>
      <c r="AW106" s="663"/>
      <c r="AX106" s="663"/>
      <c r="AY106" s="663"/>
      <c r="AZ106" s="664"/>
    </row>
    <row r="107" spans="1:52" s="55" customFormat="1" x14ac:dyDescent="0.25">
      <c r="A107" s="307" t="s">
        <v>425</v>
      </c>
      <c r="B107" s="1020"/>
      <c r="C107" s="1019"/>
      <c r="D107" s="1025"/>
      <c r="E107" s="1025"/>
      <c r="F107" s="502"/>
      <c r="G107" s="503"/>
      <c r="H107" s="1040" t="str">
        <f t="shared" si="18"/>
        <v>NA</v>
      </c>
      <c r="I107" s="1041" t="str">
        <f t="shared" si="18"/>
        <v>NA</v>
      </c>
      <c r="J107" s="1041" t="str">
        <f t="shared" si="18"/>
        <v>NA</v>
      </c>
      <c r="K107" s="1041">
        <f t="shared" si="18"/>
        <v>0.09</v>
      </c>
      <c r="L107" s="1042">
        <f t="shared" si="18"/>
        <v>8.3000000000000007</v>
      </c>
      <c r="M107" s="289">
        <v>253.1</v>
      </c>
      <c r="N107" s="645">
        <v>7.9999999999999996E-7</v>
      </c>
      <c r="O107" s="645">
        <v>1.9400000000000001E-2</v>
      </c>
      <c r="P107" s="637">
        <f>10^3.51</f>
        <v>3235.9365692962833</v>
      </c>
      <c r="Q107" s="629">
        <f>IF($P107="NA","NA",(0.617*Data!$D$9*$P107/100)/(1+Data!$D$15*$P107*0.000000617))</f>
        <v>59.897185897674206</v>
      </c>
      <c r="R107" s="629">
        <f t="shared" si="15"/>
        <v>59.897185897674206</v>
      </c>
      <c r="S107" s="290">
        <v>1</v>
      </c>
      <c r="T107" s="290">
        <f t="shared" si="19"/>
        <v>1</v>
      </c>
      <c r="U107" s="847">
        <v>3110</v>
      </c>
      <c r="V107" s="860">
        <f>IF(Data!$D$69="",E107,IF(P107="NA","NA",(0.617*Data!$D$69*P107/100)/(1+Data!$D$15*P107*0.000000617)))</f>
        <v>39.931457265116137</v>
      </c>
      <c r="W107" s="847">
        <f>IF(OR(Q107="NA",Q107="",V107="NA",V107=""),"NA",(1+(V107/Q107)^1.5*((1-Data!$D$75)/(1-Data!$D$18))^1.5*(Data!$D$71/Data!$D$14)^1.5*(Data!$D$73/Data!$D$72)*(1/(39.37*Data!$D$72))^0.25))</f>
        <v>3.8303093677397895</v>
      </c>
      <c r="X107" s="847">
        <f>IF(W107="NA","NA",0.15*Data!$D$71*(1-Data!$D$75)*V107*((13.12*Data!$D$73)^(0.112*LN(Data!$D$71*(1-Data!$D$75)*V107)+1.38))/(W107*Data!$D$81))</f>
        <v>9475.5656002622527</v>
      </c>
      <c r="Y107" s="847">
        <f>IF(OR(W107="NA",W107="",Data!$D$91="NA",Data!$D$91=""),"NA",W107*Data!$D$91)</f>
        <v>6.8495741227413927</v>
      </c>
      <c r="Z107" s="847">
        <f>IF(OR(W107="NA",W107="",Data!$D$91="NA",Data!$D$91=""),"NA",IF(Data!$D$68&lt;X107,W107*X107/Data!$D$68*Data!$D$91,W107*Data!$D$91))</f>
        <v>324.51794466947422</v>
      </c>
      <c r="AA107" s="853"/>
      <c r="AB107" s="710" t="s">
        <v>329</v>
      </c>
      <c r="AC107" s="710" t="s">
        <v>329</v>
      </c>
      <c r="AD107" s="292" t="s">
        <v>329</v>
      </c>
      <c r="AE107" s="287" t="s">
        <v>329</v>
      </c>
      <c r="AF107" s="287" t="s">
        <v>329</v>
      </c>
      <c r="AG107" s="288" t="s">
        <v>329</v>
      </c>
      <c r="AH107" s="292" t="s">
        <v>329</v>
      </c>
      <c r="AI107" s="689" t="s">
        <v>329</v>
      </c>
      <c r="AJ107" s="287" t="s">
        <v>329</v>
      </c>
      <c r="AK107" s="288" t="s">
        <v>329</v>
      </c>
      <c r="AL107" s="786"/>
      <c r="AM107" s="815"/>
      <c r="AN107" s="1037"/>
      <c r="AO107" s="1049"/>
      <c r="AP107" s="811">
        <v>0.09</v>
      </c>
      <c r="AQ107" s="831">
        <v>2.0100000000000001E-4</v>
      </c>
      <c r="AR107" s="292" t="s">
        <v>329</v>
      </c>
      <c r="AS107" s="288" t="s">
        <v>329</v>
      </c>
      <c r="AT107" s="785">
        <v>8.3000000000000007</v>
      </c>
      <c r="AU107" s="926">
        <v>32</v>
      </c>
      <c r="AV107" s="874"/>
      <c r="AW107" s="663"/>
      <c r="AX107" s="663"/>
      <c r="AY107" s="663"/>
      <c r="AZ107" s="664"/>
    </row>
    <row r="108" spans="1:52" s="55" customFormat="1" x14ac:dyDescent="0.25">
      <c r="A108" s="307" t="s">
        <v>426</v>
      </c>
      <c r="B108" s="1020"/>
      <c r="C108" s="1019"/>
      <c r="D108" s="1025"/>
      <c r="E108" s="1025"/>
      <c r="F108" s="502"/>
      <c r="G108" s="503"/>
      <c r="H108" s="1040">
        <f t="shared" si="18"/>
        <v>2020</v>
      </c>
      <c r="I108" s="1041">
        <f t="shared" si="18"/>
        <v>365</v>
      </c>
      <c r="J108" s="1041">
        <f t="shared" si="18"/>
        <v>365</v>
      </c>
      <c r="K108" s="1041">
        <f t="shared" si="18"/>
        <v>3.0000000000000001E-3</v>
      </c>
      <c r="L108" s="1042">
        <f t="shared" si="18"/>
        <v>1</v>
      </c>
      <c r="M108" s="289">
        <v>163</v>
      </c>
      <c r="N108" s="645">
        <v>2.7999999999999999E-6</v>
      </c>
      <c r="O108" s="645">
        <v>3.4599999999999999E-2</v>
      </c>
      <c r="P108" s="637">
        <f>10^3.08</f>
        <v>1202.2644346174138</v>
      </c>
      <c r="Q108" s="629">
        <f>IF($P108="NA","NA",(0.617*Data!$D$9*$P108/100)/(1+Data!$D$15*$P108*0.000000617))</f>
        <v>22.253914684768329</v>
      </c>
      <c r="R108" s="629">
        <f t="shared" si="15"/>
        <v>22.253914684768329</v>
      </c>
      <c r="S108" s="290">
        <v>1</v>
      </c>
      <c r="T108" s="290">
        <f t="shared" si="19"/>
        <v>1</v>
      </c>
      <c r="U108" s="847">
        <v>4500000</v>
      </c>
      <c r="V108" s="860">
        <f>IF(Data!$D$69="",E108,IF(P108="NA","NA",(0.617*Data!$D$69*P108/100)/(1+Data!$D$15*P108*0.000000617)))</f>
        <v>14.835943123178886</v>
      </c>
      <c r="W108" s="847">
        <f>IF(OR(Q108="NA",Q108="",V108="NA",V108=""),"NA",(1+(V108/Q108)^1.5*((1-Data!$D$75)/(1-Data!$D$18))^1.5*(Data!$D$71/Data!$D$14)^1.5*(Data!$D$73/Data!$D$72)*(1/(39.37*Data!$D$72))^0.25))</f>
        <v>3.8303093677397895</v>
      </c>
      <c r="X108" s="847">
        <f>IF(W108="NA","NA",0.15*Data!$D$71*(1-Data!$D$75)*V108*((13.12*Data!$D$73)^(0.112*LN(Data!$D$71*(1-Data!$D$75)*V108)+1.38))/(W108*Data!$D$81))</f>
        <v>2213.7273827161989</v>
      </c>
      <c r="Y108" s="847">
        <f>IF(OR(W108="NA",W108="",Data!$D$91="NA",Data!$D$91=""),"NA",W108*Data!$D$91)</f>
        <v>6.8495741227413927</v>
      </c>
      <c r="Z108" s="847">
        <f>IF(OR(W108="NA",W108="",Data!$D$91="NA",Data!$D$91=""),"NA",IF(Data!$D$68&lt;X108,W108*X108/Data!$D$68*Data!$D$91,W108*Data!$D$91))</f>
        <v>75.815448977284532</v>
      </c>
      <c r="AA108" s="853"/>
      <c r="AB108" s="710" t="s">
        <v>329</v>
      </c>
      <c r="AC108" s="710" t="s">
        <v>329</v>
      </c>
      <c r="AD108" s="292" t="s">
        <v>329</v>
      </c>
      <c r="AE108" s="287" t="s">
        <v>329</v>
      </c>
      <c r="AF108" s="287" t="s">
        <v>329</v>
      </c>
      <c r="AG108" s="288" t="s">
        <v>329</v>
      </c>
      <c r="AH108" s="786">
        <v>2020</v>
      </c>
      <c r="AI108" s="828">
        <v>365</v>
      </c>
      <c r="AJ108" s="287" t="s">
        <v>329</v>
      </c>
      <c r="AK108" s="288" t="s">
        <v>329</v>
      </c>
      <c r="AL108" s="786">
        <v>202</v>
      </c>
      <c r="AM108" s="813">
        <v>36.5</v>
      </c>
      <c r="AN108" s="1037"/>
      <c r="AO108" s="1049"/>
      <c r="AP108" s="287">
        <v>3.0000000000000001E-3</v>
      </c>
      <c r="AQ108" s="689" t="s">
        <v>329</v>
      </c>
      <c r="AR108" s="292" t="s">
        <v>329</v>
      </c>
      <c r="AS108" s="288" t="s">
        <v>329</v>
      </c>
      <c r="AT108" s="786">
        <v>1</v>
      </c>
      <c r="AU108" s="926">
        <v>1</v>
      </c>
      <c r="AV108" s="874"/>
      <c r="AW108" s="663"/>
      <c r="AX108" s="663"/>
      <c r="AY108" s="663"/>
      <c r="AZ108" s="664"/>
    </row>
    <row r="109" spans="1:52" s="55" customFormat="1" x14ac:dyDescent="0.25">
      <c r="A109" s="307" t="s">
        <v>427</v>
      </c>
      <c r="B109" s="1020"/>
      <c r="C109" s="1019"/>
      <c r="D109" s="1025"/>
      <c r="E109" s="1025"/>
      <c r="F109" s="502"/>
      <c r="G109" s="503"/>
      <c r="H109" s="1040">
        <f t="shared" si="18"/>
        <v>1800</v>
      </c>
      <c r="I109" s="1041">
        <f t="shared" si="18"/>
        <v>210</v>
      </c>
      <c r="J109" s="1041">
        <f t="shared" si="18"/>
        <v>210</v>
      </c>
      <c r="K109" s="1041">
        <f t="shared" si="18"/>
        <v>0.8</v>
      </c>
      <c r="L109" s="1042">
        <f t="shared" si="18"/>
        <v>160</v>
      </c>
      <c r="M109" s="289">
        <v>222.2</v>
      </c>
      <c r="N109" s="645">
        <v>4.7E-7</v>
      </c>
      <c r="O109" s="645">
        <v>2.5600000000000001E-2</v>
      </c>
      <c r="P109" s="637">
        <f>10^2.47</f>
        <v>295.12092266663893</v>
      </c>
      <c r="Q109" s="629">
        <f>IF($P109="NA","NA",(0.617*Data!$D$9*$P109/100)/(1+Data!$D$15*$P109*0.000000617))</f>
        <v>5.4626882785594866</v>
      </c>
      <c r="R109" s="629">
        <f t="shared" si="15"/>
        <v>5.4626882785594866</v>
      </c>
      <c r="S109" s="290">
        <v>1</v>
      </c>
      <c r="T109" s="290">
        <f t="shared" si="19"/>
        <v>1</v>
      </c>
      <c r="U109" s="847">
        <v>1080000</v>
      </c>
      <c r="V109" s="860">
        <f>IF(Data!$D$69="",E109,IF(P109="NA","NA",(0.617*Data!$D$69*P109/100)/(1+Data!$D$15*P109*0.000000617)))</f>
        <v>3.6417921857063242</v>
      </c>
      <c r="W109" s="847">
        <f>IF(OR(Q109="NA",Q109="",V109="NA",V109=""),"NA",(1+(V109/Q109)^1.5*((1-Data!$D$75)/(1-Data!$D$18))^1.5*(Data!$D$71/Data!$D$14)^1.5*(Data!$D$73/Data!$D$72)*(1/(39.37*Data!$D$72))^0.25))</f>
        <v>3.8303093677397895</v>
      </c>
      <c r="X109" s="847">
        <f>IF(W109="NA","NA",0.15*Data!$D$71*(1-Data!$D$75)*V109*((13.12*Data!$D$73)^(0.112*LN(Data!$D$71*(1-Data!$D$75)*V109)+1.38))/(W109*Data!$D$81))</f>
        <v>281.38584429859816</v>
      </c>
      <c r="Y109" s="847">
        <f>IF(OR(W109="NA",W109="",Data!$D$91="NA",Data!$D$91=""),"NA",W109*Data!$D$91)</f>
        <v>6.8495741227413927</v>
      </c>
      <c r="Z109" s="847">
        <f>IF(OR(W109="NA",W109="",Data!$D$91="NA",Data!$D$91=""),"NA",IF(Data!$D$68&lt;X109,W109*X109/Data!$D$68*Data!$D$91,W109*Data!$D$91))</f>
        <v>9.6368659880670808</v>
      </c>
      <c r="AA109" s="853"/>
      <c r="AB109" s="710" t="s">
        <v>329</v>
      </c>
      <c r="AC109" s="710" t="s">
        <v>329</v>
      </c>
      <c r="AD109" s="292" t="s">
        <v>329</v>
      </c>
      <c r="AE109" s="287" t="s">
        <v>329</v>
      </c>
      <c r="AF109" s="287" t="s">
        <v>329</v>
      </c>
      <c r="AG109" s="288" t="s">
        <v>329</v>
      </c>
      <c r="AH109" s="786">
        <v>1800</v>
      </c>
      <c r="AI109" s="828">
        <v>210</v>
      </c>
      <c r="AJ109" s="287" t="s">
        <v>329</v>
      </c>
      <c r="AK109" s="288" t="s">
        <v>329</v>
      </c>
      <c r="AL109" s="786">
        <v>5210</v>
      </c>
      <c r="AM109" s="815">
        <v>521</v>
      </c>
      <c r="AN109" s="1037">
        <v>759</v>
      </c>
      <c r="AO109" s="1049">
        <v>75.900000000000006</v>
      </c>
      <c r="AP109" s="813">
        <v>0.8</v>
      </c>
      <c r="AQ109" s="689" t="s">
        <v>329</v>
      </c>
      <c r="AR109" s="292" t="s">
        <v>329</v>
      </c>
      <c r="AS109" s="288" t="s">
        <v>329</v>
      </c>
      <c r="AT109" s="786">
        <v>160</v>
      </c>
      <c r="AU109" s="926">
        <v>160</v>
      </c>
      <c r="AV109" s="874"/>
      <c r="AW109" s="663"/>
      <c r="AX109" s="663"/>
      <c r="AY109" s="663"/>
      <c r="AZ109" s="664"/>
    </row>
    <row r="110" spans="1:52" s="55" customFormat="1" x14ac:dyDescent="0.25">
      <c r="A110" s="307" t="s">
        <v>428</v>
      </c>
      <c r="B110" s="1020"/>
      <c r="C110" s="1019"/>
      <c r="D110" s="1025"/>
      <c r="E110" s="1025"/>
      <c r="F110" s="502"/>
      <c r="G110" s="503"/>
      <c r="H110" s="1040" t="str">
        <f t="shared" si="18"/>
        <v>NA</v>
      </c>
      <c r="I110" s="1041" t="str">
        <f t="shared" si="18"/>
        <v>NA</v>
      </c>
      <c r="J110" s="1041" t="str">
        <f t="shared" si="18"/>
        <v>NA</v>
      </c>
      <c r="K110" s="1041">
        <f t="shared" si="18"/>
        <v>10</v>
      </c>
      <c r="L110" s="1042" t="str">
        <f t="shared" si="18"/>
        <v>NA</v>
      </c>
      <c r="M110" s="289">
        <v>194.2</v>
      </c>
      <c r="N110" s="645">
        <v>2.0999999999999998E-6</v>
      </c>
      <c r="O110" s="645">
        <v>5.6800000000000003E-2</v>
      </c>
      <c r="P110" s="637">
        <f>10^1.56</f>
        <v>36.307805477010156</v>
      </c>
      <c r="Q110" s="629">
        <f>IF($P110="NA","NA",(0.617*Data!$D$9*$P110/100)/(1+Data!$D$15*$P110*0.000000617))</f>
        <v>0.67205747937945803</v>
      </c>
      <c r="R110" s="629">
        <f t="shared" si="15"/>
        <v>0.67205747937945803</v>
      </c>
      <c r="S110" s="290">
        <v>1</v>
      </c>
      <c r="T110" s="290">
        <f t="shared" si="19"/>
        <v>1</v>
      </c>
      <c r="U110" s="847">
        <v>5000000</v>
      </c>
      <c r="V110" s="860">
        <f>IF(Data!$D$69="",E110,IF(P110="NA","NA",(0.617*Data!$D$69*P110/100)/(1+Data!$D$15*P110*0.000000617)))</f>
        <v>0.4480383195863053</v>
      </c>
      <c r="W110" s="847">
        <f>IF(OR(Q110="NA",Q110="",V110="NA",V110=""),"NA",(1+(V110/Q110)^1.5*((1-Data!$D$75)/(1-Data!$D$18))^1.5*(Data!$D$71/Data!$D$14)^1.5*(Data!$D$73/Data!$D$72)*(1/(39.37*Data!$D$72))^0.25))</f>
        <v>3.8303093677397895</v>
      </c>
      <c r="X110" s="847">
        <f>IF(W110="NA","NA",0.15*Data!$D$71*(1-Data!$D$75)*V110*((13.12*Data!$D$73)^(0.112*LN(Data!$D$71*(1-Data!$D$75)*V110)+1.38))/(W110*Data!$D$81))</f>
        <v>12.969170824244271</v>
      </c>
      <c r="Y110" s="847">
        <f>IF(OR(W110="NA",W110="",Data!$D$91="NA",Data!$D$91=""),"NA",W110*Data!$D$91)</f>
        <v>6.8495741227413927</v>
      </c>
      <c r="Z110" s="847">
        <f>IF(OR(W110="NA",W110="",Data!$D$91="NA",Data!$D$91=""),"NA",IF(Data!$D$68&lt;X110,W110*X110/Data!$D$68*Data!$D$91,W110*Data!$D$91))</f>
        <v>6.8495741227413927</v>
      </c>
      <c r="AA110" s="853"/>
      <c r="AB110" s="710" t="s">
        <v>329</v>
      </c>
      <c r="AC110" s="710" t="s">
        <v>329</v>
      </c>
      <c r="AD110" s="292" t="s">
        <v>329</v>
      </c>
      <c r="AE110" s="287" t="s">
        <v>329</v>
      </c>
      <c r="AF110" s="287" t="s">
        <v>329</v>
      </c>
      <c r="AG110" s="288" t="s">
        <v>329</v>
      </c>
      <c r="AH110" s="292" t="s">
        <v>329</v>
      </c>
      <c r="AI110" s="689" t="s">
        <v>329</v>
      </c>
      <c r="AJ110" s="287" t="s">
        <v>329</v>
      </c>
      <c r="AK110" s="288" t="s">
        <v>329</v>
      </c>
      <c r="AL110" s="786">
        <v>3300</v>
      </c>
      <c r="AM110" s="815">
        <v>330</v>
      </c>
      <c r="AN110" s="1037">
        <v>5800</v>
      </c>
      <c r="AO110" s="1049">
        <v>580</v>
      </c>
      <c r="AP110" s="815">
        <v>10</v>
      </c>
      <c r="AQ110" s="689" t="s">
        <v>329</v>
      </c>
      <c r="AR110" s="292" t="s">
        <v>329</v>
      </c>
      <c r="AS110" s="288" t="s">
        <v>329</v>
      </c>
      <c r="AT110" s="292" t="s">
        <v>329</v>
      </c>
      <c r="AU110" s="288" t="s">
        <v>329</v>
      </c>
      <c r="AV110" s="874"/>
      <c r="AW110" s="663"/>
      <c r="AX110" s="663"/>
      <c r="AY110" s="663"/>
      <c r="AZ110" s="664"/>
    </row>
    <row r="111" spans="1:52" s="55" customFormat="1" x14ac:dyDescent="0.25">
      <c r="A111" s="307" t="s">
        <v>429</v>
      </c>
      <c r="B111" s="1020"/>
      <c r="C111" s="1019"/>
      <c r="D111" s="1025"/>
      <c r="E111" s="1025"/>
      <c r="F111" s="502"/>
      <c r="G111" s="503"/>
      <c r="H111" s="1040">
        <f t="shared" si="18"/>
        <v>2120</v>
      </c>
      <c r="I111" s="1041" t="str">
        <f t="shared" si="18"/>
        <v>NA</v>
      </c>
      <c r="J111" s="1041" t="str">
        <f t="shared" si="18"/>
        <v>NA</v>
      </c>
      <c r="K111" s="1041">
        <f t="shared" si="18"/>
        <v>0.02</v>
      </c>
      <c r="L111" s="1042">
        <f t="shared" si="18"/>
        <v>32</v>
      </c>
      <c r="M111" s="289">
        <v>122.2</v>
      </c>
      <c r="N111" s="645">
        <v>1.7499999999999998E-5</v>
      </c>
      <c r="O111" s="645">
        <v>5.8400000000000001E-2</v>
      </c>
      <c r="P111" s="637">
        <f>10^2.35</f>
        <v>223.87211385683412</v>
      </c>
      <c r="Q111" s="629">
        <f>IF($P111="NA","NA",(0.617*Data!$D$9*$P111/100)/(1+Data!$D$15*$P111*0.000000617))</f>
        <v>4.1438728274899992</v>
      </c>
      <c r="R111" s="629">
        <f t="shared" si="15"/>
        <v>4.1438728274899992</v>
      </c>
      <c r="S111" s="290">
        <v>1</v>
      </c>
      <c r="T111" s="290">
        <f t="shared" si="19"/>
        <v>1</v>
      </c>
      <c r="U111" s="847">
        <v>8795000</v>
      </c>
      <c r="V111" s="860">
        <f>IF(Data!$D$69="",E111,IF(P111="NA","NA",(0.617*Data!$D$69*P111/100)/(1+Data!$D$15*P111*0.000000617)))</f>
        <v>2.7625818849933328</v>
      </c>
      <c r="W111" s="847">
        <f>IF(OR(Q111="NA",Q111="",V111="NA",V111=""),"NA",(1+(V111/Q111)^1.5*((1-Data!$D$75)/(1-Data!$D$18))^1.5*(Data!$D$71/Data!$D$14)^1.5*(Data!$D$73/Data!$D$72)*(1/(39.37*Data!$D$72))^0.25))</f>
        <v>3.8303093677397895</v>
      </c>
      <c r="X111" s="847">
        <f>IF(W111="NA","NA",0.15*Data!$D$71*(1-Data!$D$75)*V111*((13.12*Data!$D$73)^(0.112*LN(Data!$D$71*(1-Data!$D$75)*V111)+1.38))/(W111*Data!$D$81))</f>
        <v>187.53182851791422</v>
      </c>
      <c r="Y111" s="847">
        <f>IF(OR(W111="NA",W111="",Data!$D$91="NA",Data!$D$91=""),"NA",W111*Data!$D$91)</f>
        <v>6.8495741227413927</v>
      </c>
      <c r="Z111" s="847">
        <f>IF(OR(W111="NA",W111="",Data!$D$91="NA",Data!$D$91=""),"NA",IF(Data!$D$68&lt;X111,W111*X111/Data!$D$68*Data!$D$91,W111*Data!$D$91))</f>
        <v>6.8495741227413927</v>
      </c>
      <c r="AA111" s="853"/>
      <c r="AB111" s="710" t="s">
        <v>329</v>
      </c>
      <c r="AC111" s="710" t="s">
        <v>329</v>
      </c>
      <c r="AD111" s="693" t="s">
        <v>329</v>
      </c>
      <c r="AE111" s="287" t="s">
        <v>329</v>
      </c>
      <c r="AF111" s="287" t="s">
        <v>329</v>
      </c>
      <c r="AG111" s="288" t="s">
        <v>329</v>
      </c>
      <c r="AH111" s="698">
        <v>2120</v>
      </c>
      <c r="AI111" s="689" t="s">
        <v>329</v>
      </c>
      <c r="AJ111" s="287" t="s">
        <v>329</v>
      </c>
      <c r="AK111" s="288" t="s">
        <v>329</v>
      </c>
      <c r="AL111" s="786">
        <v>212</v>
      </c>
      <c r="AM111" s="813">
        <v>21.2</v>
      </c>
      <c r="AN111" s="1037"/>
      <c r="AO111" s="1049"/>
      <c r="AP111" s="811">
        <v>0.02</v>
      </c>
      <c r="AQ111" s="689" t="s">
        <v>329</v>
      </c>
      <c r="AR111" s="292" t="s">
        <v>329</v>
      </c>
      <c r="AS111" s="288" t="s">
        <v>329</v>
      </c>
      <c r="AT111" s="786">
        <v>32</v>
      </c>
      <c r="AU111" s="926">
        <v>87</v>
      </c>
      <c r="AV111" s="874"/>
      <c r="AW111" s="663"/>
      <c r="AX111" s="663"/>
      <c r="AY111" s="663"/>
      <c r="AZ111" s="664"/>
    </row>
    <row r="112" spans="1:52" s="650" customFormat="1" x14ac:dyDescent="0.2">
      <c r="A112" s="306" t="s">
        <v>430</v>
      </c>
      <c r="B112" s="1020"/>
      <c r="C112" s="1019"/>
      <c r="D112" s="1025"/>
      <c r="E112" s="1025"/>
      <c r="F112" s="502"/>
      <c r="G112" s="503"/>
      <c r="H112" s="1040" t="str">
        <f t="shared" si="18"/>
        <v>NA</v>
      </c>
      <c r="I112" s="1041" t="str">
        <f t="shared" si="18"/>
        <v>NA</v>
      </c>
      <c r="J112" s="1041" t="str">
        <f t="shared" si="18"/>
        <v>NA</v>
      </c>
      <c r="K112" s="1041" t="str">
        <f t="shared" si="18"/>
        <v>NA</v>
      </c>
      <c r="L112" s="1042" t="str">
        <f t="shared" si="18"/>
        <v>NA</v>
      </c>
      <c r="M112" s="289">
        <v>198.1</v>
      </c>
      <c r="N112" s="645">
        <f>0.00004</f>
        <v>4.0000000000000003E-5</v>
      </c>
      <c r="O112" s="645">
        <v>2.93E-2</v>
      </c>
      <c r="P112" s="637">
        <f>10^2.7</f>
        <v>501.18723362727269</v>
      </c>
      <c r="Q112" s="629">
        <f>IF($P112="NA","NA",(0.617*Data!$D$9*$P112/100)/(1+Data!$D$15*$P112*0.000000617))</f>
        <v>9.2769756944408179</v>
      </c>
      <c r="R112" s="629">
        <f t="shared" si="15"/>
        <v>9.2769756944408179</v>
      </c>
      <c r="S112" s="290">
        <v>1</v>
      </c>
      <c r="T112" s="290">
        <f>IF(S112= "NA", "NA", S112)</f>
        <v>1</v>
      </c>
      <c r="U112" s="847">
        <v>290000</v>
      </c>
      <c r="V112" s="860">
        <f>IF(Data!$D$69="",E112,IF(P112="NA","NA",(0.617*Data!$D$69*P112/100)/(1+Data!$D$15*P112*0.000000617)))</f>
        <v>6.184650462960545</v>
      </c>
      <c r="W112" s="847">
        <f>IF(OR(Q112="NA",Q112="",V112="NA",V112=""),"NA",(1+(V112/Q112)^1.5*((1-Data!$D$75)/(1-Data!$D$18))^1.5*(Data!$D$71/Data!$D$14)^1.5*(Data!$D$73/Data!$D$72)*(1/(39.37*Data!$D$72))^0.25))</f>
        <v>3.8303093677397895</v>
      </c>
      <c r="X112" s="847">
        <f>IF(W112="NA","NA",0.15*Data!$D$71*(1-Data!$D$75)*V112*((13.12*Data!$D$73)^(0.112*LN(Data!$D$71*(1-Data!$D$75)*V112)+1.38))/(W112*Data!$D$81))</f>
        <v>612.45072838961755</v>
      </c>
      <c r="Y112" s="847">
        <f>IF(OR(W112="NA",W112="",Data!$D$91="NA",Data!$D$91=""),"NA",W112*Data!$D$91)</f>
        <v>6.8495741227413927</v>
      </c>
      <c r="Z112" s="847">
        <f>IF(OR(W112="NA",W112="",Data!$D$91="NA",Data!$D$91=""),"NA",IF(Data!$D$68&lt;X112,W112*X112/Data!$D$68*Data!$D$91,W112*Data!$D$91))</f>
        <v>20.975133303158206</v>
      </c>
      <c r="AA112" s="853"/>
      <c r="AB112" s="710" t="s">
        <v>329</v>
      </c>
      <c r="AC112" s="710" t="s">
        <v>329</v>
      </c>
      <c r="AD112" s="693" t="s">
        <v>329</v>
      </c>
      <c r="AE112" s="287" t="s">
        <v>329</v>
      </c>
      <c r="AF112" s="287" t="s">
        <v>329</v>
      </c>
      <c r="AG112" s="288" t="s">
        <v>329</v>
      </c>
      <c r="AH112" s="292" t="s">
        <v>329</v>
      </c>
      <c r="AI112" s="689" t="s">
        <v>329</v>
      </c>
      <c r="AJ112" s="287" t="s">
        <v>329</v>
      </c>
      <c r="AK112" s="288" t="s">
        <v>329</v>
      </c>
      <c r="AL112" s="786">
        <v>23</v>
      </c>
      <c r="AM112" s="813">
        <v>2.2999999999999998</v>
      </c>
      <c r="AN112" s="1037"/>
      <c r="AO112" s="1049"/>
      <c r="AP112" s="287" t="s">
        <v>329</v>
      </c>
      <c r="AQ112" s="689" t="s">
        <v>329</v>
      </c>
      <c r="AR112" s="292" t="s">
        <v>329</v>
      </c>
      <c r="AS112" s="288" t="s">
        <v>329</v>
      </c>
      <c r="AT112" s="292" t="s">
        <v>329</v>
      </c>
      <c r="AU112" s="288" t="s">
        <v>329</v>
      </c>
      <c r="AV112" s="874"/>
      <c r="AW112" s="663"/>
      <c r="AX112" s="663"/>
      <c r="AY112" s="663"/>
      <c r="AZ112" s="664"/>
    </row>
    <row r="113" spans="1:52" s="55" customFormat="1" x14ac:dyDescent="0.25">
      <c r="A113" s="307" t="s">
        <v>431</v>
      </c>
      <c r="B113" s="1020"/>
      <c r="C113" s="1019"/>
      <c r="D113" s="1025"/>
      <c r="E113" s="1025"/>
      <c r="F113" s="502"/>
      <c r="G113" s="503"/>
      <c r="H113" s="1040" t="str">
        <f t="shared" si="18"/>
        <v>NA</v>
      </c>
      <c r="I113" s="1041" t="str">
        <f t="shared" si="18"/>
        <v>NA</v>
      </c>
      <c r="J113" s="1041" t="str">
        <f t="shared" si="18"/>
        <v>NA</v>
      </c>
      <c r="K113" s="1041">
        <f t="shared" si="18"/>
        <v>2E-3</v>
      </c>
      <c r="L113" s="1042">
        <f t="shared" si="18"/>
        <v>0.21</v>
      </c>
      <c r="M113" s="289">
        <v>184.1</v>
      </c>
      <c r="N113" s="645">
        <v>6.5000000000000003E-10</v>
      </c>
      <c r="O113" s="645">
        <v>2.7300000000000001E-2</v>
      </c>
      <c r="P113" s="637">
        <f>10^1.55</f>
        <v>35.481338923357555</v>
      </c>
      <c r="Q113" s="629">
        <f>IF($P113="NA","NA",(0.617*Data!$D$9*$P113/100)/(1+Data!$D$15*$P113*0.000000617))</f>
        <v>0.65675958347134833</v>
      </c>
      <c r="R113" s="629">
        <f t="shared" si="15"/>
        <v>0.65675958347134833</v>
      </c>
      <c r="S113" s="290">
        <v>1</v>
      </c>
      <c r="T113" s="290">
        <f t="shared" si="19"/>
        <v>1</v>
      </c>
      <c r="U113" s="847">
        <v>6000000</v>
      </c>
      <c r="V113" s="860">
        <f>IF(Data!$D$69="",E113,IF(P113="NA","NA",(0.617*Data!$D$69*P113/100)/(1+Data!$D$15*P113*0.000000617)))</f>
        <v>0.43783972231423218</v>
      </c>
      <c r="W113" s="847">
        <f>IF(OR(Q113="NA",Q113="",V113="NA",V113=""),"NA",(1+(V113/Q113)^1.5*((1-Data!$D$75)/(1-Data!$D$18))^1.5*(Data!$D$71/Data!$D$14)^1.5*(Data!$D$73/Data!$D$72)*(1/(39.37*Data!$D$72))^0.25))</f>
        <v>3.8303093677397895</v>
      </c>
      <c r="X113" s="847">
        <f>IF(W113="NA","NA",0.15*Data!$D$71*(1-Data!$D$75)*V113*((13.12*Data!$D$73)^(0.112*LN(Data!$D$71*(1-Data!$D$75)*V113)+1.38))/(W113*Data!$D$81))</f>
        <v>12.537952086178363</v>
      </c>
      <c r="Y113" s="847">
        <f>IF(OR(W113="NA",W113="",Data!$D$91="NA",Data!$D$91=""),"NA",W113*Data!$D$91)</f>
        <v>6.8495741227413927</v>
      </c>
      <c r="Z113" s="847">
        <f>IF(OR(W113="NA",W113="",Data!$D$91="NA",Data!$D$91=""),"NA",IF(Data!$D$68&lt;X113,W113*X113/Data!$D$68*Data!$D$91,W113*Data!$D$91))</f>
        <v>6.8495741227413927</v>
      </c>
      <c r="AA113" s="853"/>
      <c r="AB113" s="710" t="s">
        <v>329</v>
      </c>
      <c r="AC113" s="710" t="s">
        <v>329</v>
      </c>
      <c r="AD113" s="292" t="s">
        <v>329</v>
      </c>
      <c r="AE113" s="287" t="s">
        <v>329</v>
      </c>
      <c r="AF113" s="287" t="s">
        <v>329</v>
      </c>
      <c r="AG113" s="288" t="s">
        <v>329</v>
      </c>
      <c r="AH113" s="292" t="s">
        <v>329</v>
      </c>
      <c r="AI113" s="689" t="s">
        <v>329</v>
      </c>
      <c r="AJ113" s="287" t="s">
        <v>329</v>
      </c>
      <c r="AK113" s="288" t="s">
        <v>329</v>
      </c>
      <c r="AL113" s="786">
        <v>62</v>
      </c>
      <c r="AM113" s="813">
        <v>6.2</v>
      </c>
      <c r="AN113" s="1037">
        <v>485</v>
      </c>
      <c r="AO113" s="1049">
        <v>48.5</v>
      </c>
      <c r="AP113" s="287">
        <v>2E-3</v>
      </c>
      <c r="AQ113" s="827">
        <v>95.7</v>
      </c>
      <c r="AR113" s="292" t="s">
        <v>329</v>
      </c>
      <c r="AS113" s="288" t="s">
        <v>329</v>
      </c>
      <c r="AT113" s="784">
        <v>0.21</v>
      </c>
      <c r="AU113" s="933">
        <v>0.46</v>
      </c>
      <c r="AV113" s="874"/>
      <c r="AW113" s="663"/>
      <c r="AX113" s="663"/>
      <c r="AY113" s="663"/>
      <c r="AZ113" s="664"/>
    </row>
    <row r="114" spans="1:52" s="55" customFormat="1" x14ac:dyDescent="0.25">
      <c r="A114" s="307" t="s">
        <v>432</v>
      </c>
      <c r="B114" s="1020"/>
      <c r="C114" s="1019"/>
      <c r="D114" s="1025"/>
      <c r="E114" s="1025"/>
      <c r="F114" s="502"/>
      <c r="G114" s="503"/>
      <c r="H114" s="1040" t="str">
        <f t="shared" ref="H114:L123" si="20">IF(INDEX($AB$11:$AZ$310,,H$7)=0,"NA",INDEX($AB$11:$AZ$310,,H$7))</f>
        <v>NA</v>
      </c>
      <c r="I114" s="1041" t="str">
        <f t="shared" si="20"/>
        <v>NA</v>
      </c>
      <c r="J114" s="1041" t="str">
        <f t="shared" si="20"/>
        <v>NA</v>
      </c>
      <c r="K114" s="1041">
        <f t="shared" si="20"/>
        <v>2E-3</v>
      </c>
      <c r="L114" s="1042">
        <f t="shared" si="20"/>
        <v>0.05</v>
      </c>
      <c r="M114" s="289">
        <v>182.1</v>
      </c>
      <c r="N114" s="645">
        <v>4.5000000000000001E-6</v>
      </c>
      <c r="O114" s="645">
        <v>0.20300000000000001</v>
      </c>
      <c r="P114" s="637">
        <f>10^2.01</f>
        <v>102.32929922807544</v>
      </c>
      <c r="Q114" s="629">
        <f>IF($P114="NA","NA",(0.617*Data!$D$9*$P114/100)/(1+Data!$D$15*$P114*0.000000617))</f>
        <v>1.8941153287116765</v>
      </c>
      <c r="R114" s="629">
        <f t="shared" si="15"/>
        <v>1.8941153287116765</v>
      </c>
      <c r="S114" s="290">
        <v>1</v>
      </c>
      <c r="T114" s="290">
        <f t="shared" si="19"/>
        <v>1</v>
      </c>
      <c r="U114" s="847">
        <v>270000</v>
      </c>
      <c r="V114" s="860">
        <f>IF(Data!$D$69="",E114,IF(P114="NA","NA",(0.617*Data!$D$69*P114/100)/(1+Data!$D$15*P114*0.000000617)))</f>
        <v>1.262743552474451</v>
      </c>
      <c r="W114" s="847">
        <f>IF(OR(Q114="NA",Q114="",V114="NA",V114=""),"NA",(1+(V114/Q114)^1.5*((1-Data!$D$75)/(1-Data!$D$18))^1.5*(Data!$D$71/Data!$D$14)^1.5*(Data!$D$73/Data!$D$72)*(1/(39.37*Data!$D$72))^0.25))</f>
        <v>3.8303093677397895</v>
      </c>
      <c r="X114" s="847">
        <f>IF(W114="NA","NA",0.15*Data!$D$71*(1-Data!$D$75)*V114*((13.12*Data!$D$73)^(0.112*LN(Data!$D$71*(1-Data!$D$75)*V114)+1.38))/(W114*Data!$D$81))</f>
        <v>59.396988421507217</v>
      </c>
      <c r="Y114" s="847">
        <f>IF(OR(W114="NA",W114="",Data!$D$91="NA",Data!$D$91=""),"NA",W114*Data!$D$91)</f>
        <v>6.8495741227413927</v>
      </c>
      <c r="Z114" s="847">
        <f>IF(OR(W114="NA",W114="",Data!$D$91="NA",Data!$D$91=""),"NA",IF(Data!$D$68&lt;X114,W114*X114/Data!$D$68*Data!$D$91,W114*Data!$D$91))</f>
        <v>6.8495741227413927</v>
      </c>
      <c r="AA114" s="853"/>
      <c r="AB114" s="710" t="s">
        <v>329</v>
      </c>
      <c r="AC114" s="710" t="s">
        <v>329</v>
      </c>
      <c r="AD114" s="292" t="s">
        <v>329</v>
      </c>
      <c r="AE114" s="287" t="s">
        <v>329</v>
      </c>
      <c r="AF114" s="287" t="s">
        <v>329</v>
      </c>
      <c r="AG114" s="288" t="s">
        <v>329</v>
      </c>
      <c r="AH114" s="292" t="s">
        <v>329</v>
      </c>
      <c r="AI114" s="689" t="s">
        <v>329</v>
      </c>
      <c r="AJ114" s="287" t="s">
        <v>329</v>
      </c>
      <c r="AK114" s="288" t="s">
        <v>329</v>
      </c>
      <c r="AL114" s="786">
        <v>3100</v>
      </c>
      <c r="AM114" s="815">
        <v>310</v>
      </c>
      <c r="AN114" s="1037"/>
      <c r="AO114" s="1049"/>
      <c r="AP114" s="287">
        <v>2E-3</v>
      </c>
      <c r="AQ114" s="689">
        <v>0.5</v>
      </c>
      <c r="AR114" s="292" t="s">
        <v>329</v>
      </c>
      <c r="AS114" s="288" t="s">
        <v>329</v>
      </c>
      <c r="AT114" s="784">
        <v>0.05</v>
      </c>
      <c r="AU114" s="927">
        <v>0.2</v>
      </c>
      <c r="AV114" s="874"/>
      <c r="AW114" s="663"/>
      <c r="AX114" s="663"/>
      <c r="AY114" s="663"/>
      <c r="AZ114" s="664"/>
    </row>
    <row r="115" spans="1:52" s="55" customFormat="1" x14ac:dyDescent="0.25">
      <c r="A115" s="307" t="s">
        <v>433</v>
      </c>
      <c r="B115" s="1020"/>
      <c r="C115" s="1019"/>
      <c r="D115" s="1025"/>
      <c r="E115" s="1025"/>
      <c r="F115" s="502"/>
      <c r="G115" s="503"/>
      <c r="H115" s="1040" t="str">
        <f t="shared" si="20"/>
        <v>NA</v>
      </c>
      <c r="I115" s="1041" t="str">
        <f t="shared" si="20"/>
        <v>NA</v>
      </c>
      <c r="J115" s="1041" t="str">
        <f t="shared" si="20"/>
        <v>NA</v>
      </c>
      <c r="K115" s="1041" t="str">
        <f t="shared" si="20"/>
        <v>NA</v>
      </c>
      <c r="L115" s="1042">
        <f t="shared" si="20"/>
        <v>1.1000000000000001</v>
      </c>
      <c r="M115" s="289">
        <v>182.1</v>
      </c>
      <c r="N115" s="645">
        <f>0.000000217</f>
        <v>2.17E-7</v>
      </c>
      <c r="O115" s="645">
        <v>3.27E-2</v>
      </c>
      <c r="P115" s="637">
        <f>10^2.28</f>
        <v>190.54607179632481</v>
      </c>
      <c r="Q115" s="629">
        <f>IF($P115="NA","NA",(0.617*Data!$D$9*$P115/100)/(1+Data!$D$15*$P115*0.000000617))</f>
        <v>3.5270077889499718</v>
      </c>
      <c r="R115" s="629">
        <f t="shared" si="15"/>
        <v>3.5270077889499718</v>
      </c>
      <c r="S115" s="290">
        <v>1</v>
      </c>
      <c r="T115" s="290">
        <f t="shared" si="19"/>
        <v>1</v>
      </c>
      <c r="U115" s="847">
        <v>200000</v>
      </c>
      <c r="V115" s="860">
        <f>IF(Data!$D$69="",E115,IF(P115="NA","NA",(0.617*Data!$D$69*P115/100)/(1+Data!$D$15*P115*0.000000617)))</f>
        <v>2.3513385259666482</v>
      </c>
      <c r="W115" s="847">
        <f>IF(OR(Q115="NA",Q115="",V115="NA",V115=""),"NA",(1+(V115/Q115)^1.5*((1-Data!$D$75)/(1-Data!$D$18))^1.5*(Data!$D$71/Data!$D$14)^1.5*(Data!$D$73/Data!$D$72)*(1/(39.37*Data!$D$72))^0.25))</f>
        <v>3.8303093677397904</v>
      </c>
      <c r="X115" s="847">
        <f>IF(W115="NA","NA",0.15*Data!$D$71*(1-Data!$D$75)*V115*((13.12*Data!$D$73)^(0.112*LN(Data!$D$71*(1-Data!$D$75)*V115)+1.38))/(W115*Data!$D$81))</f>
        <v>148.00478444492609</v>
      </c>
      <c r="Y115" s="847">
        <f>IF(OR(W115="NA",W115="",Data!$D$91="NA",Data!$D$91=""),"NA",W115*Data!$D$91)</f>
        <v>6.8495741227413944</v>
      </c>
      <c r="Z115" s="847">
        <f>IF(OR(W115="NA",W115="",Data!$D$91="NA",Data!$D$91=""),"NA",IF(Data!$D$68&lt;X115,W115*X115/Data!$D$68*Data!$D$91,W115*Data!$D$91))</f>
        <v>6.8495741227413944</v>
      </c>
      <c r="AA115" s="853"/>
      <c r="AB115" s="710" t="s">
        <v>329</v>
      </c>
      <c r="AC115" s="710" t="s">
        <v>329</v>
      </c>
      <c r="AD115" s="292" t="s">
        <v>329</v>
      </c>
      <c r="AE115" s="287" t="s">
        <v>329</v>
      </c>
      <c r="AF115" s="287" t="s">
        <v>329</v>
      </c>
      <c r="AG115" s="288" t="s">
        <v>329</v>
      </c>
      <c r="AH115" s="292" t="s">
        <v>329</v>
      </c>
      <c r="AI115" s="689" t="s">
        <v>329</v>
      </c>
      <c r="AJ115" s="287" t="s">
        <v>329</v>
      </c>
      <c r="AK115" s="288" t="s">
        <v>329</v>
      </c>
      <c r="AL115" s="786"/>
      <c r="AM115" s="815"/>
      <c r="AN115" s="1037"/>
      <c r="AO115" s="1049"/>
      <c r="AP115" s="287" t="s">
        <v>329</v>
      </c>
      <c r="AQ115" s="689" t="s">
        <v>329</v>
      </c>
      <c r="AR115" s="292" t="s">
        <v>329</v>
      </c>
      <c r="AS115" s="288" t="s">
        <v>329</v>
      </c>
      <c r="AT115" s="785">
        <v>1.1000000000000001</v>
      </c>
      <c r="AU115" s="926">
        <v>3</v>
      </c>
      <c r="AV115" s="874"/>
      <c r="AW115" s="663"/>
      <c r="AX115" s="663"/>
      <c r="AY115" s="663"/>
      <c r="AZ115" s="664"/>
    </row>
    <row r="116" spans="1:52" s="55" customFormat="1" x14ac:dyDescent="0.25">
      <c r="A116" s="307" t="s">
        <v>434</v>
      </c>
      <c r="B116" s="1020"/>
      <c r="C116" s="1019"/>
      <c r="D116" s="1025"/>
      <c r="E116" s="1025"/>
      <c r="F116" s="502"/>
      <c r="G116" s="503"/>
      <c r="H116" s="1040" t="str">
        <f t="shared" si="20"/>
        <v>NA</v>
      </c>
      <c r="I116" s="1041" t="str">
        <f t="shared" si="20"/>
        <v>NA</v>
      </c>
      <c r="J116" s="1041" t="str">
        <f t="shared" si="20"/>
        <v>NA</v>
      </c>
      <c r="K116" s="1041" t="str">
        <f t="shared" si="20"/>
        <v>NA</v>
      </c>
      <c r="L116" s="1042">
        <f t="shared" si="20"/>
        <v>0.15</v>
      </c>
      <c r="M116" s="289">
        <v>184.2</v>
      </c>
      <c r="N116" s="645">
        <v>3.4200000000000002E-9</v>
      </c>
      <c r="O116" s="645">
        <v>3.1699999999999999E-2</v>
      </c>
      <c r="P116" s="637">
        <f>10^2.94</f>
        <v>870.96358995608091</v>
      </c>
      <c r="Q116" s="629">
        <f>IF($P116="NA","NA",(0.617*Data!$D$9*$P116/100)/(1+Data!$D$15*$P116*0.000000617))</f>
        <v>16.121536050087055</v>
      </c>
      <c r="R116" s="629">
        <f t="shared" si="15"/>
        <v>16.121536050087055</v>
      </c>
      <c r="S116" s="290">
        <v>1</v>
      </c>
      <c r="T116" s="290">
        <f t="shared" si="19"/>
        <v>1</v>
      </c>
      <c r="U116" s="847">
        <v>1840000</v>
      </c>
      <c r="V116" s="860">
        <f>IF(Data!$D$69="",E116,IF(P116="NA","NA",(0.617*Data!$D$69*P116/100)/(1+Data!$D$15*P116*0.000000617)))</f>
        <v>10.747690700058037</v>
      </c>
      <c r="W116" s="847">
        <f>IF(OR(Q116="NA",Q116="",V116="NA",V116=""),"NA",(1+(V116/Q116)^1.5*((1-Data!$D$75)/(1-Data!$D$18))^1.5*(Data!$D$71/Data!$D$14)^1.5*(Data!$D$73/Data!$D$72)*(1/(39.37*Data!$D$72))^0.25))</f>
        <v>3.8303093677397895</v>
      </c>
      <c r="X116" s="847">
        <f>IF(W116="NA","NA",0.15*Data!$D$71*(1-Data!$D$75)*V116*((13.12*Data!$D$73)^(0.112*LN(Data!$D$71*(1-Data!$D$75)*V116)+1.38))/(W116*Data!$D$81))</f>
        <v>1378.8774529810548</v>
      </c>
      <c r="Y116" s="847">
        <f>IF(OR(W116="NA",W116="",Data!$D$91="NA",Data!$D$91=""),"NA",W116*Data!$D$91)</f>
        <v>6.8495741227413927</v>
      </c>
      <c r="Z116" s="847">
        <f>IF(OR(W116="NA",W116="",Data!$D$91="NA",Data!$D$91=""),"NA",IF(Data!$D$68&lt;X116,W116*X116/Data!$D$68*Data!$D$91,W116*Data!$D$91))</f>
        <v>47.223616601852967</v>
      </c>
      <c r="AA116" s="853"/>
      <c r="AB116" s="710" t="s">
        <v>329</v>
      </c>
      <c r="AC116" s="710" t="s">
        <v>329</v>
      </c>
      <c r="AD116" s="292" t="s">
        <v>329</v>
      </c>
      <c r="AE116" s="287" t="s">
        <v>329</v>
      </c>
      <c r="AF116" s="287" t="s">
        <v>329</v>
      </c>
      <c r="AG116" s="288" t="s">
        <v>329</v>
      </c>
      <c r="AH116" s="292" t="s">
        <v>329</v>
      </c>
      <c r="AI116" s="689" t="s">
        <v>329</v>
      </c>
      <c r="AJ116" s="287" t="s">
        <v>329</v>
      </c>
      <c r="AK116" s="288" t="s">
        <v>329</v>
      </c>
      <c r="AL116" s="786">
        <v>27</v>
      </c>
      <c r="AM116" s="813">
        <v>2.7</v>
      </c>
      <c r="AN116" s="1037"/>
      <c r="AO116" s="1049"/>
      <c r="AP116" s="287" t="s">
        <v>329</v>
      </c>
      <c r="AQ116" s="689" t="s">
        <v>329</v>
      </c>
      <c r="AR116" s="292" t="s">
        <v>329</v>
      </c>
      <c r="AS116" s="288" t="s">
        <v>329</v>
      </c>
      <c r="AT116" s="784">
        <v>0.15</v>
      </c>
      <c r="AU116" s="933">
        <v>0.57999999999999996</v>
      </c>
      <c r="AV116" s="874"/>
      <c r="AW116" s="663"/>
      <c r="AX116" s="663"/>
      <c r="AY116" s="663"/>
      <c r="AZ116" s="664"/>
    </row>
    <row r="117" spans="1:52" s="55" customFormat="1" x14ac:dyDescent="0.25">
      <c r="A117" s="307" t="s">
        <v>435</v>
      </c>
      <c r="B117" s="1020"/>
      <c r="C117" s="1019"/>
      <c r="D117" s="1025"/>
      <c r="E117" s="1025"/>
      <c r="F117" s="502"/>
      <c r="G117" s="503"/>
      <c r="H117" s="1040" t="str">
        <f t="shared" si="20"/>
        <v>NA</v>
      </c>
      <c r="I117" s="1041" t="str">
        <f t="shared" si="20"/>
        <v>NA</v>
      </c>
      <c r="J117" s="1041" t="str">
        <f t="shared" si="20"/>
        <v>NA</v>
      </c>
      <c r="K117" s="1041">
        <f t="shared" si="20"/>
        <v>8.0000000000000004E-4</v>
      </c>
      <c r="L117" s="1042">
        <f t="shared" si="20"/>
        <v>0.96</v>
      </c>
      <c r="M117" s="289">
        <v>284.8</v>
      </c>
      <c r="N117" s="645">
        <v>6.8099999999999996E-4</v>
      </c>
      <c r="O117" s="645">
        <v>5.4199999999999998E-2</v>
      </c>
      <c r="P117" s="637">
        <f>10^5.89</f>
        <v>776247.11662869214</v>
      </c>
      <c r="Q117" s="629">
        <f>IF($P117="NA","NA",(0.617*Data!$D$9*$P117/100)/(1+Data!$D$15*$P117*0.000000617))</f>
        <v>14368.334128797091</v>
      </c>
      <c r="R117" s="629">
        <f t="shared" si="15"/>
        <v>14368.334128797091</v>
      </c>
      <c r="S117" s="290">
        <v>1</v>
      </c>
      <c r="T117" s="290">
        <f t="shared" ref="T117:T140" si="21">IF(S117= "NA", "NA", S117)</f>
        <v>1</v>
      </c>
      <c r="U117" s="847">
        <v>6</v>
      </c>
      <c r="V117" s="860">
        <f>IF(Data!$D$69="",E117,IF(P117="NA","NA",(0.617*Data!$D$69*P117/100)/(1+Data!$D$15*P117*0.000000617)))</f>
        <v>9578.8894191980598</v>
      </c>
      <c r="W117" s="847">
        <f>IF(OR(Q117="NA",Q117="",V117="NA",V117=""),"NA",(1+(V117/Q117)^1.5*((1-Data!$D$75)/(1-Data!$D$18))^1.5*(Data!$D$71/Data!$D$14)^1.5*(Data!$D$73/Data!$D$72)*(1/(39.37*Data!$D$72))^0.25))</f>
        <v>3.8303093677397895</v>
      </c>
      <c r="X117" s="847">
        <f>IF(W117="NA","NA",0.15*Data!$D$71*(1-Data!$D$75)*V117*((13.12*Data!$D$73)^(0.112*LN(Data!$D$71*(1-Data!$D$75)*V117)+1.38))/(W117*Data!$D$81))</f>
        <v>29633236.025020581</v>
      </c>
      <c r="Y117" s="847">
        <f>IF(OR(W117="NA",W117="",Data!$D$91="NA",Data!$D$91=""),"NA",W117*Data!$D$91)</f>
        <v>6.8495741227413927</v>
      </c>
      <c r="Z117" s="847">
        <f>IF(OR(W117="NA",W117="",Data!$D$91="NA",Data!$D$91=""),"NA",IF(Data!$D$68&lt;X117,W117*X117/Data!$D$68*Data!$D$91,W117*Data!$D$91))</f>
        <v>1014875.233250345</v>
      </c>
      <c r="AA117" s="853"/>
      <c r="AB117" s="718">
        <v>1</v>
      </c>
      <c r="AC117" s="718">
        <v>1</v>
      </c>
      <c r="AD117" s="292" t="s">
        <v>329</v>
      </c>
      <c r="AE117" s="287" t="s">
        <v>329</v>
      </c>
      <c r="AF117" s="287" t="s">
        <v>329</v>
      </c>
      <c r="AG117" s="288" t="s">
        <v>329</v>
      </c>
      <c r="AH117" s="292" t="s">
        <v>329</v>
      </c>
      <c r="AI117" s="689" t="s">
        <v>329</v>
      </c>
      <c r="AJ117" s="287" t="s">
        <v>329</v>
      </c>
      <c r="AK117" s="288" t="s">
        <v>329</v>
      </c>
      <c r="AL117" s="786"/>
      <c r="AM117" s="815"/>
      <c r="AN117" s="1037"/>
      <c r="AO117" s="1049"/>
      <c r="AP117" s="287">
        <v>8.0000000000000004E-4</v>
      </c>
      <c r="AQ117" s="689" t="s">
        <v>329</v>
      </c>
      <c r="AR117" s="922">
        <v>29</v>
      </c>
      <c r="AS117" s="288" t="s">
        <v>329</v>
      </c>
      <c r="AT117" s="784">
        <v>0.96</v>
      </c>
      <c r="AU117" s="933">
        <v>0.96</v>
      </c>
      <c r="AV117" s="874"/>
      <c r="AW117" s="663"/>
      <c r="AX117" s="663"/>
      <c r="AY117" s="663"/>
      <c r="AZ117" s="664"/>
    </row>
    <row r="118" spans="1:52" s="55" customFormat="1" x14ac:dyDescent="0.25">
      <c r="A118" s="307" t="s">
        <v>436</v>
      </c>
      <c r="B118" s="1020"/>
      <c r="C118" s="1019"/>
      <c r="D118" s="1025"/>
      <c r="E118" s="1025"/>
      <c r="F118" s="502"/>
      <c r="G118" s="503"/>
      <c r="H118" s="1040">
        <f t="shared" si="20"/>
        <v>90</v>
      </c>
      <c r="I118" s="1041">
        <f t="shared" si="20"/>
        <v>9.3000000000000007</v>
      </c>
      <c r="J118" s="1041">
        <f t="shared" si="20"/>
        <v>9.3000000000000007</v>
      </c>
      <c r="K118" s="1041">
        <f t="shared" si="20"/>
        <v>2E-3</v>
      </c>
      <c r="L118" s="1042">
        <f t="shared" si="20"/>
        <v>1.2</v>
      </c>
      <c r="M118" s="289">
        <v>260.8</v>
      </c>
      <c r="N118" s="645">
        <v>0.01</v>
      </c>
      <c r="O118" s="645">
        <v>5.6099999999999997E-2</v>
      </c>
      <c r="P118" s="637">
        <f>10^4.81</f>
        <v>64565.422903465565</v>
      </c>
      <c r="Q118" s="629">
        <f>IF($P118="NA","NA",(0.617*Data!$D$9*$P118/100)/(1+Data!$D$15*$P118*0.000000617))</f>
        <v>1195.1059779431475</v>
      </c>
      <c r="R118" s="629">
        <f t="shared" si="15"/>
        <v>1195.1059779431475</v>
      </c>
      <c r="S118" s="290">
        <v>1</v>
      </c>
      <c r="T118" s="290">
        <f t="shared" si="21"/>
        <v>1</v>
      </c>
      <c r="U118" s="847">
        <v>3230</v>
      </c>
      <c r="V118" s="860">
        <f>IF(Data!$D$69="",E118,IF(P118="NA","NA",(0.617*Data!$D$69*P118/100)/(1+Data!$D$15*P118*0.000000617)))</f>
        <v>796.73731862876502</v>
      </c>
      <c r="W118" s="847">
        <f>IF(OR(Q118="NA",Q118="",V118="NA",V118=""),"NA",(1+(V118/Q118)^1.5*((1-Data!$D$75)/(1-Data!$D$18))^1.5*(Data!$D$71/Data!$D$14)^1.5*(Data!$D$73/Data!$D$72)*(1/(39.37*Data!$D$72))^0.25))</f>
        <v>3.8303093677397895</v>
      </c>
      <c r="X118" s="847">
        <f>IF(W118="NA","NA",0.15*Data!$D$71*(1-Data!$D$75)*V118*((13.12*Data!$D$73)^(0.112*LN(Data!$D$71*(1-Data!$D$75)*V118)+1.38))/(W118*Data!$D$81))</f>
        <v>768659.08386008942</v>
      </c>
      <c r="Y118" s="847">
        <f>IF(OR(W118="NA",W118="",Data!$D$91="NA",Data!$D$91=""),"NA",W118*Data!$D$91)</f>
        <v>6.8495741227413927</v>
      </c>
      <c r="Z118" s="847">
        <f>IF(OR(W118="NA",W118="",Data!$D$91="NA",Data!$D$91=""),"NA",IF(Data!$D$68&lt;X118,W118*X118/Data!$D$68*Data!$D$91,W118*Data!$D$91))</f>
        <v>26324.936850090875</v>
      </c>
      <c r="AA118" s="853"/>
      <c r="AB118" s="710" t="s">
        <v>329</v>
      </c>
      <c r="AC118" s="710" t="s">
        <v>329</v>
      </c>
      <c r="AD118" s="292" t="s">
        <v>329</v>
      </c>
      <c r="AE118" s="287" t="s">
        <v>329</v>
      </c>
      <c r="AF118" s="287" t="s">
        <v>329</v>
      </c>
      <c r="AG118" s="288" t="s">
        <v>329</v>
      </c>
      <c r="AH118" s="698">
        <v>90</v>
      </c>
      <c r="AI118" s="880">
        <v>9.3000000000000007</v>
      </c>
      <c r="AJ118" s="887">
        <v>32</v>
      </c>
      <c r="AK118" s="288" t="s">
        <v>329</v>
      </c>
      <c r="AL118" s="786">
        <v>9</v>
      </c>
      <c r="AM118" s="811">
        <v>0.93</v>
      </c>
      <c r="AN118" s="1037">
        <v>3.2</v>
      </c>
      <c r="AO118" s="1049">
        <v>0.32</v>
      </c>
      <c r="AP118" s="287">
        <v>2E-3</v>
      </c>
      <c r="AQ118" s="689" t="s">
        <v>329</v>
      </c>
      <c r="AR118" s="922">
        <v>600</v>
      </c>
      <c r="AS118" s="288" t="s">
        <v>329</v>
      </c>
      <c r="AT118" s="785">
        <v>1.2</v>
      </c>
      <c r="AU118" s="927">
        <v>1.2</v>
      </c>
      <c r="AV118" s="874"/>
      <c r="AW118" s="663"/>
      <c r="AX118" s="663"/>
      <c r="AY118" s="663"/>
      <c r="AZ118" s="664"/>
    </row>
    <row r="119" spans="1:52" s="55" customFormat="1" x14ac:dyDescent="0.25">
      <c r="A119" s="307" t="s">
        <v>437</v>
      </c>
      <c r="B119" s="1020"/>
      <c r="C119" s="1019"/>
      <c r="D119" s="1025"/>
      <c r="E119" s="1025"/>
      <c r="F119" s="502"/>
      <c r="G119" s="503"/>
      <c r="H119" s="1040">
        <f t="shared" si="20"/>
        <v>7</v>
      </c>
      <c r="I119" s="1041">
        <f t="shared" si="20"/>
        <v>5.2</v>
      </c>
      <c r="J119" s="1041">
        <f t="shared" si="20"/>
        <v>5.2</v>
      </c>
      <c r="K119" s="1041">
        <f t="shared" si="20"/>
        <v>2.0000000000000002E-5</v>
      </c>
      <c r="L119" s="1042">
        <f t="shared" si="20"/>
        <v>91</v>
      </c>
      <c r="M119" s="289">
        <v>272.8</v>
      </c>
      <c r="N119" s="645">
        <v>2.75E-2</v>
      </c>
      <c r="O119" s="645">
        <v>1.61E-2</v>
      </c>
      <c r="P119" s="637">
        <f>10^5</f>
        <v>100000</v>
      </c>
      <c r="Q119" s="629">
        <f>IF($P119="NA","NA",(0.617*Data!$D$9*$P119/100)/(1+Data!$D$15*$P119*0.000000617))</f>
        <v>1851</v>
      </c>
      <c r="R119" s="629">
        <f t="shared" si="15"/>
        <v>1851</v>
      </c>
      <c r="S119" s="290">
        <v>1</v>
      </c>
      <c r="T119" s="290">
        <f t="shared" si="21"/>
        <v>1</v>
      </c>
      <c r="U119" s="847">
        <v>1800</v>
      </c>
      <c r="V119" s="860">
        <f>IF(Data!$D$69="",E119,IF(P119="NA","NA",(0.617*Data!$D$69*P119/100)/(1+Data!$D$15*P119*0.000000617)))</f>
        <v>1234</v>
      </c>
      <c r="W119" s="847">
        <f>IF(OR(Q119="NA",Q119="",V119="NA",V119=""),"NA",(1+(V119/Q119)^1.5*((1-Data!$D$75)/(1-Data!$D$18))^1.5*(Data!$D$71/Data!$D$14)^1.5*(Data!$D$73/Data!$D$72)*(1/(39.37*Data!$D$72))^0.25))</f>
        <v>3.8303093677397895</v>
      </c>
      <c r="X119" s="847">
        <f>IF(W119="NA","NA",0.15*Data!$D$71*(1-Data!$D$75)*V119*((13.12*Data!$D$73)^(0.112*LN(Data!$D$71*(1-Data!$D$75)*V119)+1.38))/(W119*Data!$D$81))</f>
        <v>1461370.2259756404</v>
      </c>
      <c r="Y119" s="847">
        <f>IF(OR(W119="NA",W119="",Data!$D$91="NA",Data!$D$91=""),"NA",W119*Data!$D$91)</f>
        <v>6.8495741227413927</v>
      </c>
      <c r="Z119" s="847">
        <f>IF(OR(W119="NA",W119="",Data!$D$91="NA",Data!$D$91=""),"NA",IF(Data!$D$68&lt;X119,W119*X119/Data!$D$68*Data!$D$91,W119*Data!$D$91))</f>
        <v>50048.818417937429</v>
      </c>
      <c r="AA119" s="853"/>
      <c r="AB119" s="718">
        <v>50</v>
      </c>
      <c r="AC119" s="718">
        <v>50</v>
      </c>
      <c r="AD119" s="292" t="s">
        <v>329</v>
      </c>
      <c r="AE119" s="287" t="s">
        <v>329</v>
      </c>
      <c r="AF119" s="287" t="s">
        <v>329</v>
      </c>
      <c r="AG119" s="288" t="s">
        <v>329</v>
      </c>
      <c r="AH119" s="698">
        <v>7</v>
      </c>
      <c r="AI119" s="880">
        <v>5.2</v>
      </c>
      <c r="AJ119" s="887">
        <v>7</v>
      </c>
      <c r="AK119" s="288" t="s">
        <v>329</v>
      </c>
      <c r="AL119" s="785">
        <v>0.7</v>
      </c>
      <c r="AM119" s="811">
        <v>7.0000000000000007E-2</v>
      </c>
      <c r="AN119" s="1037">
        <v>0.7</v>
      </c>
      <c r="AO119" s="1049">
        <v>7.0000000000000007E-2</v>
      </c>
      <c r="AP119" s="825">
        <v>2.0000000000000002E-5</v>
      </c>
      <c r="AQ119" s="689" t="s">
        <v>329</v>
      </c>
      <c r="AR119" s="292" t="s">
        <v>329</v>
      </c>
      <c r="AS119" s="288" t="s">
        <v>329</v>
      </c>
      <c r="AT119" s="786">
        <v>91</v>
      </c>
      <c r="AU119" s="926">
        <v>91</v>
      </c>
      <c r="AV119" s="874"/>
      <c r="AW119" s="663"/>
      <c r="AX119" s="663"/>
      <c r="AY119" s="663"/>
      <c r="AZ119" s="664"/>
    </row>
    <row r="120" spans="1:52" s="55" customFormat="1" x14ac:dyDescent="0.25">
      <c r="A120" s="307" t="s">
        <v>438</v>
      </c>
      <c r="B120" s="1020"/>
      <c r="C120" s="1019"/>
      <c r="D120" s="1025"/>
      <c r="E120" s="1025"/>
      <c r="F120" s="502"/>
      <c r="G120" s="503"/>
      <c r="H120" s="1040">
        <f t="shared" si="20"/>
        <v>210</v>
      </c>
      <c r="I120" s="1041">
        <f t="shared" si="20"/>
        <v>12</v>
      </c>
      <c r="J120" s="1041">
        <f t="shared" si="20"/>
        <v>12</v>
      </c>
      <c r="K120" s="1041" t="str">
        <f t="shared" si="20"/>
        <v>NA</v>
      </c>
      <c r="L120" s="1042">
        <f t="shared" si="20"/>
        <v>0.56000000000000005</v>
      </c>
      <c r="M120" s="289">
        <v>236.7</v>
      </c>
      <c r="N120" s="645">
        <v>3.8999999999999998E-3</v>
      </c>
      <c r="O120" s="645">
        <v>2.5000000000000001E-3</v>
      </c>
      <c r="P120" s="637">
        <f>10^4</f>
        <v>10000</v>
      </c>
      <c r="Q120" s="629">
        <f>IF($P120="NA","NA",(0.617*Data!$D$9*$P120/100)/(1+Data!$D$15*$P120*0.000000617))</f>
        <v>185.1</v>
      </c>
      <c r="R120" s="629">
        <f t="shared" si="15"/>
        <v>185.1</v>
      </c>
      <c r="S120" s="290">
        <v>1</v>
      </c>
      <c r="T120" s="290">
        <f t="shared" si="21"/>
        <v>1</v>
      </c>
      <c r="U120" s="847">
        <v>50000</v>
      </c>
      <c r="V120" s="860">
        <f>IF(Data!$D$69="",E120,IF(P120="NA","NA",(0.617*Data!$D$69*P120/100)/(1+Data!$D$15*P120*0.000000617)))</f>
        <v>123.4</v>
      </c>
      <c r="W120" s="847">
        <f>IF(OR(Q120="NA",Q120="",V120="NA",V120=""),"NA",(1+(V120/Q120)^1.5*((1-Data!$D$75)/(1-Data!$D$18))^1.5*(Data!$D$71/Data!$D$14)^1.5*(Data!$D$73/Data!$D$72)*(1/(39.37*Data!$D$72))^0.25))</f>
        <v>3.8303093677397904</v>
      </c>
      <c r="X120" s="847">
        <f>IF(W120="NA","NA",0.15*Data!$D$71*(1-Data!$D$75)*V120*((13.12*Data!$D$73)^(0.112*LN(Data!$D$71*(1-Data!$D$75)*V120)+1.38))/(W120*Data!$D$81))</f>
        <v>49682.080801633412</v>
      </c>
      <c r="Y120" s="847">
        <f>IF(OR(W120="NA",W120="",Data!$D$91="NA",Data!$D$91=""),"NA",W120*Data!$D$91)</f>
        <v>6.8495741227413944</v>
      </c>
      <c r="Z120" s="847">
        <f>IF(OR(W120="NA",W120="",Data!$D$91="NA",Data!$D$91=""),"NA",IF(Data!$D$68&lt;X120,W120*X120/Data!$D$68*Data!$D$91,W120*Data!$D$91))</f>
        <v>1701.5054751140763</v>
      </c>
      <c r="AA120" s="853"/>
      <c r="AB120" s="710" t="s">
        <v>329</v>
      </c>
      <c r="AC120" s="710" t="s">
        <v>329</v>
      </c>
      <c r="AD120" s="292" t="s">
        <v>329</v>
      </c>
      <c r="AE120" s="287" t="s">
        <v>329</v>
      </c>
      <c r="AF120" s="287" t="s">
        <v>329</v>
      </c>
      <c r="AG120" s="288" t="s">
        <v>329</v>
      </c>
      <c r="AH120" s="786">
        <v>210</v>
      </c>
      <c r="AI120" s="828">
        <v>12</v>
      </c>
      <c r="AJ120" s="887">
        <v>940</v>
      </c>
      <c r="AK120" s="288" t="s">
        <v>329</v>
      </c>
      <c r="AL120" s="786">
        <v>98</v>
      </c>
      <c r="AM120" s="813">
        <v>9.8000000000000007</v>
      </c>
      <c r="AN120" s="1037">
        <v>94</v>
      </c>
      <c r="AO120" s="1049">
        <v>9.4</v>
      </c>
      <c r="AP120" s="287" t="s">
        <v>329</v>
      </c>
      <c r="AQ120" s="689" t="s">
        <v>329</v>
      </c>
      <c r="AR120" s="292" t="s">
        <v>329</v>
      </c>
      <c r="AS120" s="288" t="s">
        <v>329</v>
      </c>
      <c r="AT120" s="784">
        <v>0.56000000000000005</v>
      </c>
      <c r="AU120" s="933">
        <v>0.56000000000000005</v>
      </c>
      <c r="AV120" s="874"/>
      <c r="AW120" s="663"/>
      <c r="AX120" s="663"/>
      <c r="AY120" s="663"/>
      <c r="AZ120" s="664"/>
    </row>
    <row r="121" spans="1:52" s="55" customFormat="1" x14ac:dyDescent="0.25">
      <c r="A121" s="307" t="s">
        <v>439</v>
      </c>
      <c r="B121" s="1020"/>
      <c r="C121" s="1019"/>
      <c r="D121" s="1025"/>
      <c r="E121" s="1025"/>
      <c r="F121" s="502"/>
      <c r="G121" s="503"/>
      <c r="H121" s="1040">
        <f t="shared" si="20"/>
        <v>117000</v>
      </c>
      <c r="I121" s="1041" t="str">
        <f t="shared" si="20"/>
        <v>NA</v>
      </c>
      <c r="J121" s="1041" t="str">
        <f t="shared" si="20"/>
        <v>NA</v>
      </c>
      <c r="K121" s="1041">
        <f t="shared" si="20"/>
        <v>0.2</v>
      </c>
      <c r="L121" s="1042">
        <f t="shared" si="20"/>
        <v>1.9</v>
      </c>
      <c r="M121" s="289">
        <v>138.19999999999999</v>
      </c>
      <c r="N121" s="645">
        <v>5.75E-6</v>
      </c>
      <c r="O121" s="645">
        <v>6.2300000000000001E-2</v>
      </c>
      <c r="P121" s="637">
        <f>10^1.7</f>
        <v>50.118723362727238</v>
      </c>
      <c r="Q121" s="629">
        <f>IF($P121="NA","NA",(0.617*Data!$D$9*$P121/100)/(1+Data!$D$15*$P121*0.000000617))</f>
        <v>0.9276975694440811</v>
      </c>
      <c r="R121" s="629">
        <f t="shared" si="15"/>
        <v>0.9276975694440811</v>
      </c>
      <c r="S121" s="290">
        <v>1</v>
      </c>
      <c r="T121" s="290">
        <f t="shared" si="21"/>
        <v>1</v>
      </c>
      <c r="U121" s="847">
        <v>12000000</v>
      </c>
      <c r="V121" s="860">
        <f>IF(Data!$D$69="",E121,IF(P121="NA","NA",(0.617*Data!$D$69*P121/100)/(1+Data!$D$15*P121*0.000000617)))</f>
        <v>0.61846504629605414</v>
      </c>
      <c r="W121" s="847">
        <f>IF(OR(Q121="NA",Q121="",V121="NA",V121=""),"NA",(1+(V121/Q121)^1.5*((1-Data!$D$75)/(1-Data!$D$18))^1.5*(Data!$D$71/Data!$D$14)^1.5*(Data!$D$73/Data!$D$72)*(1/(39.37*Data!$D$72))^0.25))</f>
        <v>3.8303093677397904</v>
      </c>
      <c r="X121" s="847">
        <f>IF(W121="NA","NA",0.15*Data!$D$71*(1-Data!$D$75)*V121*((13.12*Data!$D$73)^(0.112*LN(Data!$D$71*(1-Data!$D$75)*V121)+1.38))/(W121*Data!$D$81))</f>
        <v>20.821435960595117</v>
      </c>
      <c r="Y121" s="847">
        <f>IF(OR(W121="NA",W121="",Data!$D$91="NA",Data!$D$91=""),"NA",W121*Data!$D$91)</f>
        <v>6.8495741227413944</v>
      </c>
      <c r="Z121" s="847">
        <f>IF(OR(W121="NA",W121="",Data!$D$91="NA",Data!$D$91=""),"NA",IF(Data!$D$68&lt;X121,W121*X121/Data!$D$68*Data!$D$91,W121*Data!$D$91))</f>
        <v>6.8495741227413944</v>
      </c>
      <c r="AA121" s="853"/>
      <c r="AB121" s="710" t="s">
        <v>329</v>
      </c>
      <c r="AC121" s="710" t="s">
        <v>329</v>
      </c>
      <c r="AD121" s="292" t="s">
        <v>329</v>
      </c>
      <c r="AE121" s="287" t="s">
        <v>329</v>
      </c>
      <c r="AF121" s="287" t="s">
        <v>329</v>
      </c>
      <c r="AG121" s="288" t="s">
        <v>329</v>
      </c>
      <c r="AH121" s="698">
        <v>117000</v>
      </c>
      <c r="AI121" s="689" t="s">
        <v>329</v>
      </c>
      <c r="AJ121" s="887">
        <v>12900</v>
      </c>
      <c r="AK121" s="288" t="s">
        <v>329</v>
      </c>
      <c r="AL121" s="786">
        <v>11700</v>
      </c>
      <c r="AM121" s="815">
        <v>1170</v>
      </c>
      <c r="AN121" s="1037">
        <v>1290</v>
      </c>
      <c r="AO121" s="1049">
        <v>129</v>
      </c>
      <c r="AP121" s="813">
        <v>0.2</v>
      </c>
      <c r="AQ121" s="689" t="s">
        <v>329</v>
      </c>
      <c r="AR121" s="292" t="s">
        <v>329</v>
      </c>
      <c r="AS121" s="288" t="s">
        <v>329</v>
      </c>
      <c r="AT121" s="784">
        <v>1.9</v>
      </c>
      <c r="AU121" s="933">
        <v>1.9</v>
      </c>
      <c r="AV121" s="874"/>
      <c r="AW121" s="663"/>
      <c r="AX121" s="663"/>
      <c r="AY121" s="663"/>
      <c r="AZ121" s="664"/>
    </row>
    <row r="122" spans="1:52" s="650" customFormat="1" x14ac:dyDescent="0.2">
      <c r="A122" s="307" t="s">
        <v>440</v>
      </c>
      <c r="B122" s="1020"/>
      <c r="C122" s="1019"/>
      <c r="D122" s="1025"/>
      <c r="E122" s="1025"/>
      <c r="F122" s="502"/>
      <c r="G122" s="503"/>
      <c r="H122" s="1040" t="str">
        <f t="shared" si="20"/>
        <v>NA</v>
      </c>
      <c r="I122" s="1041" t="str">
        <f t="shared" si="20"/>
        <v>NA</v>
      </c>
      <c r="J122" s="1041" t="str">
        <f t="shared" si="20"/>
        <v>NA</v>
      </c>
      <c r="K122" s="1041" t="str">
        <f t="shared" si="20"/>
        <v>NA</v>
      </c>
      <c r="L122" s="1042" t="str">
        <f t="shared" si="20"/>
        <v>NA</v>
      </c>
      <c r="M122" s="289">
        <v>98.19</v>
      </c>
      <c r="N122" s="645">
        <v>0.42699999999999999</v>
      </c>
      <c r="O122" s="645">
        <v>9.8599999999999993E-2</v>
      </c>
      <c r="P122" s="637">
        <f>10^3.88</f>
        <v>7585.7757502918394</v>
      </c>
      <c r="Q122" s="629">
        <f>IF($P122="NA","NA",(0.617*Data!$D$9*$P122/100)/(1+Data!$D$15*$P122*0.000000617))</f>
        <v>140.41270913790194</v>
      </c>
      <c r="R122" s="629">
        <f t="shared" si="15"/>
        <v>140.41270913790194</v>
      </c>
      <c r="S122" s="290">
        <v>1</v>
      </c>
      <c r="T122" s="290">
        <f>IF(S122= "NA", "NA", S122)</f>
        <v>1</v>
      </c>
      <c r="U122" s="847">
        <v>16700</v>
      </c>
      <c r="V122" s="860">
        <f>IF(Data!$D$69="",E122,IF(P122="NA","NA",(0.617*Data!$D$69*P122/100)/(1+Data!$D$15*P122*0.000000617)))</f>
        <v>93.608472758601295</v>
      </c>
      <c r="W122" s="847">
        <f>IF(OR(Q122="NA",Q122="",V122="NA",V122=""),"NA",(1+(V122/Q122)^1.5*((1-Data!$D$75)/(1-Data!$D$18))^1.5*(Data!$D$71/Data!$D$14)^1.5*(Data!$D$73/Data!$D$72)*(1/(39.37*Data!$D$72))^0.25))</f>
        <v>3.8303093677397895</v>
      </c>
      <c r="X122" s="847">
        <f>IF(W122="NA","NA",0.15*Data!$D$71*(1-Data!$D$75)*V122*((13.12*Data!$D$73)^(0.112*LN(Data!$D$71*(1-Data!$D$75)*V122)+1.38))/(W122*Data!$D$81))</f>
        <v>33111.016940206129</v>
      </c>
      <c r="Y122" s="847">
        <f>IF(OR(W122="NA",W122="",Data!$D$91="NA",Data!$D$91=""),"NA",W122*Data!$D$91)</f>
        <v>6.8495741227413927</v>
      </c>
      <c r="Z122" s="847">
        <f>IF(OR(W122="NA",W122="",Data!$D$91="NA",Data!$D$91=""),"NA",IF(Data!$D$68&lt;X122,W122*X122/Data!$D$68*Data!$D$91,W122*Data!$D$91))</f>
        <v>1133.9818240564389</v>
      </c>
      <c r="AA122" s="853"/>
      <c r="AB122" s="710" t="s">
        <v>329</v>
      </c>
      <c r="AC122" s="710" t="s">
        <v>329</v>
      </c>
      <c r="AD122" s="292" t="s">
        <v>329</v>
      </c>
      <c r="AE122" s="287" t="s">
        <v>329</v>
      </c>
      <c r="AF122" s="287" t="s">
        <v>329</v>
      </c>
      <c r="AG122" s="288" t="s">
        <v>329</v>
      </c>
      <c r="AH122" s="292" t="s">
        <v>329</v>
      </c>
      <c r="AI122" s="689" t="s">
        <v>329</v>
      </c>
      <c r="AJ122" s="287" t="s">
        <v>329</v>
      </c>
      <c r="AK122" s="288" t="s">
        <v>329</v>
      </c>
      <c r="AL122" s="786"/>
      <c r="AM122" s="815"/>
      <c r="AN122" s="1037"/>
      <c r="AO122" s="1049"/>
      <c r="AP122" s="287" t="s">
        <v>329</v>
      </c>
      <c r="AQ122" s="689" t="s">
        <v>329</v>
      </c>
      <c r="AR122" s="292" t="s">
        <v>329</v>
      </c>
      <c r="AS122" s="288" t="s">
        <v>329</v>
      </c>
      <c r="AT122" s="292" t="s">
        <v>329</v>
      </c>
      <c r="AU122" s="288" t="s">
        <v>329</v>
      </c>
      <c r="AV122" s="874"/>
      <c r="AW122" s="663"/>
      <c r="AX122" s="663"/>
      <c r="AY122" s="663"/>
      <c r="AZ122" s="664"/>
    </row>
    <row r="123" spans="1:52" s="55" customFormat="1" x14ac:dyDescent="0.25">
      <c r="A123" s="307" t="s">
        <v>441</v>
      </c>
      <c r="B123" s="1020"/>
      <c r="C123" s="1019"/>
      <c r="D123" s="1025"/>
      <c r="E123" s="1025"/>
      <c r="F123" s="502"/>
      <c r="G123" s="503"/>
      <c r="H123" s="1040" t="str">
        <f t="shared" si="20"/>
        <v>NA</v>
      </c>
      <c r="I123" s="1041" t="str">
        <f t="shared" si="20"/>
        <v>NA</v>
      </c>
      <c r="J123" s="1041" t="str">
        <f t="shared" si="20"/>
        <v>NA</v>
      </c>
      <c r="K123" s="1041" t="str">
        <f t="shared" si="20"/>
        <v>NA</v>
      </c>
      <c r="L123" s="1042" t="str">
        <f t="shared" si="20"/>
        <v>NA</v>
      </c>
      <c r="M123" s="289">
        <v>198.13</v>
      </c>
      <c r="N123" s="645">
        <v>4.27E-7</v>
      </c>
      <c r="O123" s="645">
        <v>2.93E-2</v>
      </c>
      <c r="P123" s="637">
        <f>10^2.12</f>
        <v>131.82567385564084</v>
      </c>
      <c r="Q123" s="629">
        <f>IF($P123="NA","NA",(0.617*Data!$D$9*$P123/100)/(1+Data!$D$15*$P123*0.000000617))</f>
        <v>2.4400932230679122</v>
      </c>
      <c r="R123" s="629">
        <f t="shared" si="15"/>
        <v>2.4400932230679122</v>
      </c>
      <c r="S123" s="290">
        <v>1</v>
      </c>
      <c r="T123" s="290">
        <f t="shared" si="21"/>
        <v>1</v>
      </c>
      <c r="U123" s="847">
        <v>198000</v>
      </c>
      <c r="V123" s="860">
        <f>IF(Data!$D$69="",E123,IF(P123="NA","NA",(0.617*Data!$D$69*P123/100)/(1+Data!$D$15*P123*0.000000617)))</f>
        <v>1.6267288153786081</v>
      </c>
      <c r="W123" s="847">
        <f>IF(OR(Q123="NA",Q123="",V123="NA",V123=""),"NA",(1+(V123/Q123)^1.5*((1-Data!$D$75)/(1-Data!$D$18))^1.5*(Data!$D$71/Data!$D$14)^1.5*(Data!$D$73/Data!$D$72)*(1/(39.37*Data!$D$72))^0.25))</f>
        <v>3.8303093677397895</v>
      </c>
      <c r="X123" s="847">
        <f>IF(W123="NA","NA",0.15*Data!$D$71*(1-Data!$D$75)*V123*((13.12*Data!$D$73)^(0.112*LN(Data!$D$71*(1-Data!$D$75)*V123)+1.38))/(W123*Data!$D$81))</f>
        <v>86.160076973251208</v>
      </c>
      <c r="Y123" s="847">
        <f>IF(OR(W123="NA",W123="",Data!$D$91="NA",Data!$D$91=""),"NA",W123*Data!$D$91)</f>
        <v>6.8495741227413927</v>
      </c>
      <c r="Z123" s="847">
        <f>IF(OR(W123="NA",W123="",Data!$D$91="NA",Data!$D$91=""),"NA",IF(Data!$D$68&lt;X123,W123*X123/Data!$D$68*Data!$D$91,W123*Data!$D$91))</f>
        <v>6.8495741227413927</v>
      </c>
      <c r="AA123" s="853"/>
      <c r="AB123" s="710" t="s">
        <v>329</v>
      </c>
      <c r="AC123" s="710" t="s">
        <v>329</v>
      </c>
      <c r="AD123" s="292" t="s">
        <v>329</v>
      </c>
      <c r="AE123" s="287" t="s">
        <v>329</v>
      </c>
      <c r="AF123" s="287" t="s">
        <v>329</v>
      </c>
      <c r="AG123" s="288" t="s">
        <v>329</v>
      </c>
      <c r="AH123" s="292" t="s">
        <v>329</v>
      </c>
      <c r="AI123" s="689" t="s">
        <v>329</v>
      </c>
      <c r="AJ123" s="287" t="s">
        <v>329</v>
      </c>
      <c r="AK123" s="288" t="s">
        <v>329</v>
      </c>
      <c r="AL123" s="786"/>
      <c r="AM123" s="815"/>
      <c r="AN123" s="1037"/>
      <c r="AO123" s="1049"/>
      <c r="AP123" s="287" t="s">
        <v>329</v>
      </c>
      <c r="AQ123" s="689" t="s">
        <v>329</v>
      </c>
      <c r="AR123" s="292" t="s">
        <v>329</v>
      </c>
      <c r="AS123" s="288" t="s">
        <v>329</v>
      </c>
      <c r="AT123" s="292" t="s">
        <v>329</v>
      </c>
      <c r="AU123" s="288" t="s">
        <v>329</v>
      </c>
      <c r="AV123" s="874"/>
      <c r="AW123" s="663"/>
      <c r="AX123" s="663"/>
      <c r="AY123" s="663"/>
      <c r="AZ123" s="664"/>
    </row>
    <row r="124" spans="1:52" s="55" customFormat="1" x14ac:dyDescent="0.25">
      <c r="A124" s="307" t="s">
        <v>442</v>
      </c>
      <c r="B124" s="1020"/>
      <c r="C124" s="1019"/>
      <c r="D124" s="1025"/>
      <c r="E124" s="1025"/>
      <c r="F124" s="502"/>
      <c r="G124" s="503"/>
      <c r="H124" s="1040">
        <f t="shared" ref="H124:L133" si="22">IF(INDEX($AB$11:$AZ$310,,H$7)=0,"NA",INDEX($AB$11:$AZ$310,,H$7))</f>
        <v>230</v>
      </c>
      <c r="I124" s="1041">
        <f t="shared" si="22"/>
        <v>13</v>
      </c>
      <c r="J124" s="1041">
        <f t="shared" si="22"/>
        <v>13</v>
      </c>
      <c r="K124" s="1041">
        <f t="shared" si="22"/>
        <v>0.1</v>
      </c>
      <c r="L124" s="1042">
        <f t="shared" si="22"/>
        <v>64</v>
      </c>
      <c r="M124" s="289">
        <v>108.2</v>
      </c>
      <c r="N124" s="645">
        <v>1.1999999999999999E-6</v>
      </c>
      <c r="O124" s="645">
        <v>7.3999999999999996E-2</v>
      </c>
      <c r="P124" s="637">
        <f>10^1.98</f>
        <v>95.499258602143655</v>
      </c>
      <c r="Q124" s="629">
        <f>IF($P124="NA","NA",(0.617*Data!$D$9*$P124/100)/(1+Data!$D$15*$P124*0.000000617))</f>
        <v>1.7676912767256789</v>
      </c>
      <c r="R124" s="629">
        <f t="shared" si="15"/>
        <v>1.7676912767256789</v>
      </c>
      <c r="S124" s="290">
        <v>1</v>
      </c>
      <c r="T124" s="290">
        <f t="shared" si="21"/>
        <v>1</v>
      </c>
      <c r="U124" s="847">
        <v>26000000</v>
      </c>
      <c r="V124" s="860">
        <f>IF(Data!$D$69="",E124,IF(P124="NA","NA",(0.617*Data!$D$69*P124/100)/(1+Data!$D$15*P124*0.000000617)))</f>
        <v>1.1784608511504526</v>
      </c>
      <c r="W124" s="847">
        <f>IF(OR(Q124="NA",Q124="",V124="NA",V124=""),"NA",(1+(V124/Q124)^1.5*((1-Data!$D$75)/(1-Data!$D$18))^1.5*(Data!$D$71/Data!$D$14)^1.5*(Data!$D$73/Data!$D$72)*(1/(39.37*Data!$D$72))^0.25))</f>
        <v>3.8303093677397895</v>
      </c>
      <c r="X124" s="847">
        <f>IF(W124="NA","NA",0.15*Data!$D$71*(1-Data!$D$75)*V124*((13.12*Data!$D$73)^(0.112*LN(Data!$D$71*(1-Data!$D$75)*V124)+1.38))/(W124*Data!$D$81))</f>
        <v>53.667036154992999</v>
      </c>
      <c r="Y124" s="847">
        <f>IF(OR(W124="NA",W124="",Data!$D$91="NA",Data!$D$91=""),"NA",W124*Data!$D$91)</f>
        <v>6.8495741227413927</v>
      </c>
      <c r="Z124" s="847">
        <f>IF(OR(W124="NA",W124="",Data!$D$91="NA",Data!$D$91=""),"NA",IF(Data!$D$68&lt;X124,W124*X124/Data!$D$68*Data!$D$91,W124*Data!$D$91))</f>
        <v>6.8495741227413927</v>
      </c>
      <c r="AA124" s="853"/>
      <c r="AB124" s="710" t="s">
        <v>329</v>
      </c>
      <c r="AC124" s="710" t="s">
        <v>329</v>
      </c>
      <c r="AD124" s="292" t="s">
        <v>329</v>
      </c>
      <c r="AE124" s="287" t="s">
        <v>329</v>
      </c>
      <c r="AF124" s="287" t="s">
        <v>329</v>
      </c>
      <c r="AG124" s="288" t="s">
        <v>329</v>
      </c>
      <c r="AH124" s="786">
        <v>230</v>
      </c>
      <c r="AI124" s="828">
        <v>13</v>
      </c>
      <c r="AJ124" s="287" t="s">
        <v>329</v>
      </c>
      <c r="AK124" s="288" t="s">
        <v>329</v>
      </c>
      <c r="AL124" s="786"/>
      <c r="AM124" s="815"/>
      <c r="AN124" s="1037"/>
      <c r="AO124" s="1049"/>
      <c r="AP124" s="813">
        <v>0.1</v>
      </c>
      <c r="AQ124" s="689" t="s">
        <v>329</v>
      </c>
      <c r="AR124" s="292" t="s">
        <v>329</v>
      </c>
      <c r="AS124" s="288" t="s">
        <v>329</v>
      </c>
      <c r="AT124" s="786">
        <v>64</v>
      </c>
      <c r="AU124" s="926">
        <v>180</v>
      </c>
      <c r="AV124" s="874"/>
      <c r="AW124" s="663"/>
      <c r="AX124" s="663"/>
      <c r="AY124" s="663"/>
      <c r="AZ124" s="664"/>
    </row>
    <row r="125" spans="1:52" s="55" customFormat="1" x14ac:dyDescent="0.25">
      <c r="A125" s="307" t="s">
        <v>443</v>
      </c>
      <c r="B125" s="1020"/>
      <c r="C125" s="1019"/>
      <c r="D125" s="1025"/>
      <c r="E125" s="1025"/>
      <c r="F125" s="502"/>
      <c r="G125" s="503"/>
      <c r="H125" s="1040" t="str">
        <f t="shared" si="22"/>
        <v>NA</v>
      </c>
      <c r="I125" s="1041" t="str">
        <f t="shared" si="22"/>
        <v>NA</v>
      </c>
      <c r="J125" s="1041" t="str">
        <f t="shared" si="22"/>
        <v>NA</v>
      </c>
      <c r="K125" s="1041">
        <f t="shared" si="22"/>
        <v>0.1</v>
      </c>
      <c r="L125" s="1042">
        <f t="shared" si="22"/>
        <v>4.2</v>
      </c>
      <c r="M125" s="289">
        <v>108.2</v>
      </c>
      <c r="N125" s="645">
        <v>7.8999999999999995E-7</v>
      </c>
      <c r="O125" s="645">
        <v>7.3999999999999996E-2</v>
      </c>
      <c r="P125" s="637">
        <f>10^1.97</f>
        <v>93.325430079699174</v>
      </c>
      <c r="Q125" s="629">
        <f>IF($P125="NA","NA",(0.617*Data!$D$9*$P125/100)/(1+Data!$D$15*$P125*0.000000617))</f>
        <v>1.7274537107752317</v>
      </c>
      <c r="R125" s="629">
        <f t="shared" si="15"/>
        <v>1.7274537107752317</v>
      </c>
      <c r="S125" s="290">
        <v>1</v>
      </c>
      <c r="T125" s="290">
        <f t="shared" si="21"/>
        <v>1</v>
      </c>
      <c r="U125" s="847">
        <v>22000000</v>
      </c>
      <c r="V125" s="860">
        <f>IF(Data!$D$69="",E125,IF(P125="NA","NA",(0.617*Data!$D$69*P125/100)/(1+Data!$D$15*P125*0.000000617)))</f>
        <v>1.1516358071834878</v>
      </c>
      <c r="W125" s="847">
        <f>IF(OR(Q125="NA",Q125="",V125="NA",V125=""),"NA",(1+(V125/Q125)^1.5*((1-Data!$D$75)/(1-Data!$D$18))^1.5*(Data!$D$71/Data!$D$14)^1.5*(Data!$D$73/Data!$D$72)*(1/(39.37*Data!$D$72))^0.25))</f>
        <v>3.8303093677397895</v>
      </c>
      <c r="X125" s="847">
        <f>IF(W125="NA","NA",0.15*Data!$D$71*(1-Data!$D$75)*V125*((13.12*Data!$D$73)^(0.112*LN(Data!$D$71*(1-Data!$D$75)*V125)+1.38))/(W125*Data!$D$81))</f>
        <v>51.882632824964247</v>
      </c>
      <c r="Y125" s="847">
        <f>IF(OR(W125="NA",W125="",Data!$D$91="NA",Data!$D$91=""),"NA",W125*Data!$D$91)</f>
        <v>6.8495741227413927</v>
      </c>
      <c r="Z125" s="847">
        <f>IF(OR(W125="NA",W125="",Data!$D$91="NA",Data!$D$91=""),"NA",IF(Data!$D$68&lt;X125,W125*X125/Data!$D$68*Data!$D$91,W125*Data!$D$91))</f>
        <v>6.8495741227413927</v>
      </c>
      <c r="AA125" s="853"/>
      <c r="AB125" s="710" t="s">
        <v>329</v>
      </c>
      <c r="AC125" s="710" t="s">
        <v>329</v>
      </c>
      <c r="AD125" s="292" t="s">
        <v>329</v>
      </c>
      <c r="AE125" s="287" t="s">
        <v>329</v>
      </c>
      <c r="AF125" s="287" t="s">
        <v>329</v>
      </c>
      <c r="AG125" s="288" t="s">
        <v>329</v>
      </c>
      <c r="AH125" s="292" t="s">
        <v>329</v>
      </c>
      <c r="AI125" s="689" t="s">
        <v>329</v>
      </c>
      <c r="AJ125" s="287" t="s">
        <v>329</v>
      </c>
      <c r="AK125" s="288" t="s">
        <v>329</v>
      </c>
      <c r="AL125" s="786"/>
      <c r="AM125" s="815"/>
      <c r="AN125" s="1037"/>
      <c r="AO125" s="1049"/>
      <c r="AP125" s="813">
        <v>0.1</v>
      </c>
      <c r="AQ125" s="689" t="s">
        <v>329</v>
      </c>
      <c r="AR125" s="292" t="s">
        <v>329</v>
      </c>
      <c r="AS125" s="288" t="s">
        <v>329</v>
      </c>
      <c r="AT125" s="785">
        <v>4.2</v>
      </c>
      <c r="AU125" s="926">
        <v>12</v>
      </c>
      <c r="AV125" s="874"/>
      <c r="AW125" s="663"/>
      <c r="AX125" s="663"/>
      <c r="AY125" s="663"/>
      <c r="AZ125" s="664"/>
    </row>
    <row r="126" spans="1:52" s="650" customFormat="1" x14ac:dyDescent="0.2">
      <c r="A126" s="307" t="s">
        <v>444</v>
      </c>
      <c r="B126" s="1020"/>
      <c r="C126" s="1019"/>
      <c r="D126" s="1025"/>
      <c r="E126" s="1025"/>
      <c r="F126" s="502"/>
      <c r="G126" s="503"/>
      <c r="H126" s="1040" t="str">
        <f t="shared" si="22"/>
        <v>NA</v>
      </c>
      <c r="I126" s="1041" t="str">
        <f t="shared" si="22"/>
        <v>NA</v>
      </c>
      <c r="J126" s="1041" t="str">
        <f t="shared" si="22"/>
        <v>NA</v>
      </c>
      <c r="K126" s="1041" t="str">
        <f t="shared" si="22"/>
        <v>NA</v>
      </c>
      <c r="L126" s="1042">
        <f t="shared" si="22"/>
        <v>3.7999999999999999E-2</v>
      </c>
      <c r="M126" s="289">
        <v>138.13</v>
      </c>
      <c r="N126" s="645">
        <f>0.000000109</f>
        <v>1.09E-7</v>
      </c>
      <c r="O126" s="645">
        <v>4.7300000000000002E-2</v>
      </c>
      <c r="P126" s="637">
        <f>10^1.78</f>
        <v>60.255958607435822</v>
      </c>
      <c r="Q126" s="629">
        <f>IF($P126="NA","NA",(0.617*Data!$D$9*$P126/100)/(1+Data!$D$15*$P126*0.000000617))</f>
        <v>1.1153377938236371</v>
      </c>
      <c r="R126" s="629">
        <f t="shared" si="15"/>
        <v>1.1153377938236371</v>
      </c>
      <c r="S126" s="290">
        <v>1</v>
      </c>
      <c r="T126" s="290">
        <f t="shared" si="21"/>
        <v>1</v>
      </c>
      <c r="U126" s="847">
        <v>1260000</v>
      </c>
      <c r="V126" s="860">
        <f>IF(Data!$D$69="",E126,IF(P126="NA","NA",(0.617*Data!$D$69*P126/100)/(1+Data!$D$15*P126*0.000000617)))</f>
        <v>0.74355852921575805</v>
      </c>
      <c r="W126" s="847">
        <f>IF(OR(Q126="NA",Q126="",V126="NA",V126=""),"NA",(1+(V126/Q126)^1.5*((1-Data!$D$75)/(1-Data!$D$18))^1.5*(Data!$D$71/Data!$D$14)^1.5*(Data!$D$73/Data!$D$72)*(1/(39.37*Data!$D$72))^0.25))</f>
        <v>3.8303093677397895</v>
      </c>
      <c r="X126" s="847">
        <f>IF(W126="NA","NA",0.15*Data!$D$71*(1-Data!$D$75)*V126*((13.12*Data!$D$73)^(0.112*LN(Data!$D$71*(1-Data!$D$75)*V126)+1.38))/(W126*Data!$D$81))</f>
        <v>27.289496054199134</v>
      </c>
      <c r="Y126" s="847">
        <f>IF(OR(W126="NA",W126="",Data!$D$91="NA",Data!$D$91=""),"NA",W126*Data!$D$91)</f>
        <v>6.8495741227413927</v>
      </c>
      <c r="Z126" s="847">
        <f>IF(OR(W126="NA",W126="",Data!$D$91="NA",Data!$D$91=""),"NA",IF(Data!$D$68&lt;X126,W126*X126/Data!$D$68*Data!$D$91,W126*Data!$D$91))</f>
        <v>6.8495741227413927</v>
      </c>
      <c r="AA126" s="853"/>
      <c r="AB126" s="710" t="s">
        <v>329</v>
      </c>
      <c r="AC126" s="710" t="s">
        <v>329</v>
      </c>
      <c r="AD126" s="292" t="s">
        <v>329</v>
      </c>
      <c r="AE126" s="287" t="s">
        <v>329</v>
      </c>
      <c r="AF126" s="287" t="s">
        <v>329</v>
      </c>
      <c r="AG126" s="288" t="s">
        <v>329</v>
      </c>
      <c r="AH126" s="292" t="s">
        <v>329</v>
      </c>
      <c r="AI126" s="689" t="s">
        <v>329</v>
      </c>
      <c r="AJ126" s="287" t="s">
        <v>329</v>
      </c>
      <c r="AK126" s="288" t="s">
        <v>329</v>
      </c>
      <c r="AL126" s="786"/>
      <c r="AM126" s="815"/>
      <c r="AN126" s="1037"/>
      <c r="AO126" s="1049"/>
      <c r="AP126" s="287" t="s">
        <v>329</v>
      </c>
      <c r="AQ126" s="689" t="s">
        <v>329</v>
      </c>
      <c r="AR126" s="292" t="s">
        <v>329</v>
      </c>
      <c r="AS126" s="288" t="s">
        <v>329</v>
      </c>
      <c r="AT126" s="922">
        <v>3.7999999999999999E-2</v>
      </c>
      <c r="AU126" s="932">
        <v>0.1</v>
      </c>
      <c r="AV126" s="874"/>
      <c r="AW126" s="663"/>
      <c r="AX126" s="663"/>
      <c r="AY126" s="663"/>
      <c r="AZ126" s="664"/>
    </row>
    <row r="127" spans="1:52" s="650" customFormat="1" x14ac:dyDescent="0.2">
      <c r="A127" s="307" t="s">
        <v>445</v>
      </c>
      <c r="B127" s="1020"/>
      <c r="C127" s="1019"/>
      <c r="D127" s="1025"/>
      <c r="E127" s="1025"/>
      <c r="F127" s="502"/>
      <c r="G127" s="503"/>
      <c r="H127" s="1040" t="str">
        <f t="shared" si="22"/>
        <v>NA</v>
      </c>
      <c r="I127" s="1041" t="str">
        <f t="shared" si="22"/>
        <v>NA</v>
      </c>
      <c r="J127" s="1041" t="str">
        <f t="shared" si="22"/>
        <v>NA</v>
      </c>
      <c r="K127" s="1041" t="str">
        <f t="shared" si="22"/>
        <v>NA</v>
      </c>
      <c r="L127" s="1042">
        <f t="shared" si="22"/>
        <v>3.3000000000000002E-2</v>
      </c>
      <c r="M127" s="289">
        <v>138.13</v>
      </c>
      <c r="N127" s="645">
        <f>0.000000144</f>
        <v>1.4399999999999999E-7</v>
      </c>
      <c r="O127" s="645">
        <f>IF(M127="NA","NA",(IF(N127="NA","NA",((((28.97+M127)/(28.97*M127))^0.5)*(10^-3)*(Data!$D$50^1.75)/((2*(20.1^(1/3)))^2)))))</f>
        <v>0.15826889590720225</v>
      </c>
      <c r="P127" s="637">
        <f>10^1.37</f>
        <v>23.442288153199236</v>
      </c>
      <c r="Q127" s="629">
        <f>IF($P127="NA","NA",(0.617*Data!$D$9*$P127/100)/(1+Data!$D$15*$P127*0.000000617))</f>
        <v>0.43391675371571786</v>
      </c>
      <c r="R127" s="629">
        <f t="shared" si="15"/>
        <v>0.43391675371571786</v>
      </c>
      <c r="S127" s="290">
        <v>1</v>
      </c>
      <c r="T127" s="290">
        <f t="shared" si="21"/>
        <v>1</v>
      </c>
      <c r="U127" s="847">
        <v>1205000</v>
      </c>
      <c r="V127" s="860">
        <f>IF(Data!$D$69="",E127,IF(P127="NA","NA",(0.617*Data!$D$69*P127/100)/(1+Data!$D$15*P127*0.000000617)))</f>
        <v>0.28927783581047861</v>
      </c>
      <c r="W127" s="847">
        <f>IF(OR(Q127="NA",Q127="",V127="NA",V127=""),"NA",(1+(V127/Q127)^1.5*((1-Data!$D$75)/(1-Data!$D$18))^1.5*(Data!$D$71/Data!$D$14)^1.5*(Data!$D$73/Data!$D$72)*(1/(39.37*Data!$D$72))^0.25))</f>
        <v>3.8303093677397904</v>
      </c>
      <c r="X127" s="847">
        <f>IF(W127="NA","NA",0.15*Data!$D$71*(1-Data!$D$75)*V127*((13.12*Data!$D$73)^(0.112*LN(Data!$D$71*(1-Data!$D$75)*V127)+1.38))/(W127*Data!$D$81))</f>
        <v>6.8215916726599319</v>
      </c>
      <c r="Y127" s="847">
        <f>IF(OR(W127="NA",W127="",Data!$D$91="NA",Data!$D$91=""),"NA",W127*Data!$D$91)</f>
        <v>6.8495741227413944</v>
      </c>
      <c r="Z127" s="847">
        <f>IF(OR(W127="NA",W127="",Data!$D$91="NA",Data!$D$91=""),"NA",IF(Data!$D$68&lt;X127,W127*X127/Data!$D$68*Data!$D$91,W127*Data!$D$91))</f>
        <v>6.8495741227413944</v>
      </c>
      <c r="AA127" s="853"/>
      <c r="AB127" s="710" t="s">
        <v>329</v>
      </c>
      <c r="AC127" s="710" t="s">
        <v>329</v>
      </c>
      <c r="AD127" s="292" t="s">
        <v>329</v>
      </c>
      <c r="AE127" s="287" t="s">
        <v>329</v>
      </c>
      <c r="AF127" s="287" t="s">
        <v>329</v>
      </c>
      <c r="AG127" s="288" t="s">
        <v>329</v>
      </c>
      <c r="AH127" s="292" t="s">
        <v>329</v>
      </c>
      <c r="AI127" s="689" t="s">
        <v>329</v>
      </c>
      <c r="AJ127" s="287" t="s">
        <v>329</v>
      </c>
      <c r="AK127" s="288" t="s">
        <v>329</v>
      </c>
      <c r="AL127" s="786"/>
      <c r="AM127" s="815"/>
      <c r="AN127" s="1037"/>
      <c r="AO127" s="1049"/>
      <c r="AP127" s="287" t="s">
        <v>329</v>
      </c>
      <c r="AQ127" s="689" t="s">
        <v>329</v>
      </c>
      <c r="AR127" s="292" t="s">
        <v>329</v>
      </c>
      <c r="AS127" s="288" t="s">
        <v>329</v>
      </c>
      <c r="AT127" s="922">
        <v>3.3000000000000002E-2</v>
      </c>
      <c r="AU127" s="932">
        <v>9.0999999999999998E-2</v>
      </c>
      <c r="AV127" s="874"/>
      <c r="AW127" s="663"/>
      <c r="AX127" s="663"/>
      <c r="AY127" s="663"/>
      <c r="AZ127" s="664"/>
    </row>
    <row r="128" spans="1:52" s="650" customFormat="1" x14ac:dyDescent="0.2">
      <c r="A128" s="307" t="s">
        <v>446</v>
      </c>
      <c r="B128" s="1020"/>
      <c r="C128" s="1019"/>
      <c r="D128" s="1025"/>
      <c r="E128" s="1025"/>
      <c r="F128" s="502"/>
      <c r="G128" s="503"/>
      <c r="H128" s="1040" t="str">
        <f t="shared" si="22"/>
        <v>NA</v>
      </c>
      <c r="I128" s="1041" t="str">
        <f t="shared" si="22"/>
        <v>NA</v>
      </c>
      <c r="J128" s="1041" t="str">
        <f t="shared" si="22"/>
        <v>NA</v>
      </c>
      <c r="K128" s="1041" t="str">
        <f t="shared" si="22"/>
        <v>NA</v>
      </c>
      <c r="L128" s="1042">
        <f t="shared" si="22"/>
        <v>3.1E-2</v>
      </c>
      <c r="M128" s="289">
        <v>138.13</v>
      </c>
      <c r="N128" s="645">
        <f>0.00000000207</f>
        <v>2.0700000000000001E-9</v>
      </c>
      <c r="O128" s="645">
        <v>4.7300000000000002E-2</v>
      </c>
      <c r="P128" s="637">
        <f>10^1.39</f>
        <v>24.547089156850305</v>
      </c>
      <c r="Q128" s="629">
        <f>IF($P128="NA","NA",(0.617*Data!$D$9*$P128/100)/(1+Data!$D$15*$P128*0.000000617))</f>
        <v>0.45436662029329916</v>
      </c>
      <c r="R128" s="629">
        <f t="shared" si="15"/>
        <v>0.45436662029329916</v>
      </c>
      <c r="S128" s="290">
        <v>1</v>
      </c>
      <c r="T128" s="290">
        <f t="shared" si="21"/>
        <v>1</v>
      </c>
      <c r="U128" s="847">
        <v>800000</v>
      </c>
      <c r="V128" s="860">
        <f>IF(Data!$D$69="",E128,IF(P128="NA","NA",(0.617*Data!$D$69*P128/100)/(1+Data!$D$15*P128*0.000000617)))</f>
        <v>0.30291108019553276</v>
      </c>
      <c r="W128" s="847">
        <f>IF(OR(Q128="NA",Q128="",V128="NA",V128=""),"NA",(1+(V128/Q128)^1.5*((1-Data!$D$75)/(1-Data!$D$18))^1.5*(Data!$D$71/Data!$D$14)^1.5*(Data!$D$73/Data!$D$72)*(1/(39.37*Data!$D$72))^0.25))</f>
        <v>3.8303093677397895</v>
      </c>
      <c r="X128" s="847">
        <f>IF(W128="NA","NA",0.15*Data!$D$71*(1-Data!$D$75)*V128*((13.12*Data!$D$73)^(0.112*LN(Data!$D$71*(1-Data!$D$75)*V128)+1.38))/(W128*Data!$D$81))</f>
        <v>7.2988918627427219</v>
      </c>
      <c r="Y128" s="847">
        <f>IF(OR(W128="NA",W128="",Data!$D$91="NA",Data!$D$91=""),"NA",W128*Data!$D$91)</f>
        <v>6.8495741227413927</v>
      </c>
      <c r="Z128" s="847">
        <f>IF(OR(W128="NA",W128="",Data!$D$91="NA",Data!$D$91=""),"NA",IF(Data!$D$68&lt;X128,W128*X128/Data!$D$68*Data!$D$91,W128*Data!$D$91))</f>
        <v>6.8495741227413927</v>
      </c>
      <c r="AA128" s="853"/>
      <c r="AB128" s="710" t="s">
        <v>329</v>
      </c>
      <c r="AC128" s="710" t="s">
        <v>329</v>
      </c>
      <c r="AD128" s="292" t="s">
        <v>329</v>
      </c>
      <c r="AE128" s="287" t="s">
        <v>329</v>
      </c>
      <c r="AF128" s="287" t="s">
        <v>329</v>
      </c>
      <c r="AG128" s="288" t="s">
        <v>329</v>
      </c>
      <c r="AH128" s="292" t="s">
        <v>329</v>
      </c>
      <c r="AI128" s="689" t="s">
        <v>329</v>
      </c>
      <c r="AJ128" s="287" t="s">
        <v>329</v>
      </c>
      <c r="AK128" s="288" t="s">
        <v>329</v>
      </c>
      <c r="AL128" s="786"/>
      <c r="AM128" s="815"/>
      <c r="AN128" s="1037"/>
      <c r="AO128" s="1049"/>
      <c r="AP128" s="287" t="s">
        <v>329</v>
      </c>
      <c r="AQ128" s="689" t="s">
        <v>329</v>
      </c>
      <c r="AR128" s="292" t="s">
        <v>329</v>
      </c>
      <c r="AS128" s="288" t="s">
        <v>329</v>
      </c>
      <c r="AT128" s="922">
        <v>3.1E-2</v>
      </c>
      <c r="AU128" s="932">
        <v>8.5999999999999993E-2</v>
      </c>
      <c r="AV128" s="874"/>
      <c r="AW128" s="663"/>
      <c r="AX128" s="663"/>
      <c r="AY128" s="663"/>
      <c r="AZ128" s="664"/>
    </row>
    <row r="129" spans="1:52" s="55" customFormat="1" x14ac:dyDescent="0.25">
      <c r="A129" s="307" t="s">
        <v>447</v>
      </c>
      <c r="B129" s="1020"/>
      <c r="C129" s="1019"/>
      <c r="D129" s="1025"/>
      <c r="E129" s="1025"/>
      <c r="F129" s="502"/>
      <c r="G129" s="503"/>
      <c r="H129" s="1040">
        <f t="shared" si="22"/>
        <v>230</v>
      </c>
      <c r="I129" s="1041">
        <f t="shared" si="22"/>
        <v>150</v>
      </c>
      <c r="J129" s="1041">
        <f t="shared" si="22"/>
        <v>150</v>
      </c>
      <c r="K129" s="1041" t="str">
        <f t="shared" si="22"/>
        <v>NA</v>
      </c>
      <c r="L129" s="1042">
        <f t="shared" si="22"/>
        <v>5.9</v>
      </c>
      <c r="M129" s="289">
        <v>139.1</v>
      </c>
      <c r="N129" s="645">
        <f>0.00000756</f>
        <v>7.5599999999999996E-6</v>
      </c>
      <c r="O129" s="645">
        <v>4.6899999999999997E-2</v>
      </c>
      <c r="P129" s="637">
        <f>10^1.8</f>
        <v>63.095734448019364</v>
      </c>
      <c r="Q129" s="629">
        <f>IF($P129="NA","NA",(0.617*Data!$D$9*$P129/100)/(1+Data!$D$15*$P129*0.000000617))</f>
        <v>1.1679020446328385</v>
      </c>
      <c r="R129" s="629">
        <f t="shared" si="15"/>
        <v>1.1679020446328385</v>
      </c>
      <c r="S129" s="290">
        <v>1</v>
      </c>
      <c r="T129" s="290">
        <f t="shared" si="21"/>
        <v>1</v>
      </c>
      <c r="U129" s="847">
        <v>2185000</v>
      </c>
      <c r="V129" s="860">
        <f>IF(Data!$D$69="",E129,IF(P129="NA","NA",(0.617*Data!$D$69*P129/100)/(1+Data!$D$15*P129*0.000000617)))</f>
        <v>0.77860136308855898</v>
      </c>
      <c r="W129" s="847">
        <f>IF(OR(Q129="NA",Q129="",V129="NA",V129=""),"NA",(1+(V129/Q129)^1.5*((1-Data!$D$75)/(1-Data!$D$18))^1.5*(Data!$D$71/Data!$D$14)^1.5*(Data!$D$73/Data!$D$72)*(1/(39.37*Data!$D$72))^0.25))</f>
        <v>3.8303093677397895</v>
      </c>
      <c r="X129" s="847">
        <f>IF(W129="NA","NA",0.15*Data!$D$71*(1-Data!$D$75)*V129*((13.12*Data!$D$73)^(0.112*LN(Data!$D$71*(1-Data!$D$75)*V129)+1.38))/(W129*Data!$D$81))</f>
        <v>29.198915773080387</v>
      </c>
      <c r="Y129" s="847">
        <f>IF(OR(W129="NA",W129="",Data!$D$91="NA",Data!$D$91=""),"NA",W129*Data!$D$91)</f>
        <v>6.8495741227413927</v>
      </c>
      <c r="Z129" s="847">
        <f>IF(OR(W129="NA",W129="",Data!$D$91="NA",Data!$D$91=""),"NA",IF(Data!$D$68&lt;X129,W129*X129/Data!$D$68*Data!$D$91,W129*Data!$D$91))</f>
        <v>6.8495741227413927</v>
      </c>
      <c r="AA129" s="853"/>
      <c r="AB129" s="710" t="s">
        <v>329</v>
      </c>
      <c r="AC129" s="710" t="s">
        <v>329</v>
      </c>
      <c r="AD129" s="292" t="s">
        <v>329</v>
      </c>
      <c r="AE129" s="287" t="s">
        <v>329</v>
      </c>
      <c r="AF129" s="287" t="s">
        <v>329</v>
      </c>
      <c r="AG129" s="288" t="s">
        <v>329</v>
      </c>
      <c r="AH129" s="698">
        <v>230</v>
      </c>
      <c r="AI129" s="887">
        <v>150</v>
      </c>
      <c r="AJ129" s="887">
        <v>4850</v>
      </c>
      <c r="AK129" s="288" t="s">
        <v>329</v>
      </c>
      <c r="AL129" s="786"/>
      <c r="AM129" s="815">
        <v>3500</v>
      </c>
      <c r="AN129" s="1037"/>
      <c r="AO129" s="1049"/>
      <c r="AP129" s="287" t="s">
        <v>329</v>
      </c>
      <c r="AQ129" s="689" t="s">
        <v>329</v>
      </c>
      <c r="AR129" s="292" t="s">
        <v>329</v>
      </c>
      <c r="AS129" s="288" t="s">
        <v>329</v>
      </c>
      <c r="AT129" s="785">
        <v>5.9</v>
      </c>
      <c r="AU129" s="927">
        <v>17</v>
      </c>
      <c r="AV129" s="874"/>
      <c r="AW129" s="663"/>
      <c r="AX129" s="663"/>
      <c r="AY129" s="663"/>
      <c r="AZ129" s="664"/>
    </row>
    <row r="130" spans="1:52" s="55" customFormat="1" x14ac:dyDescent="0.25">
      <c r="A130" s="307" t="s">
        <v>448</v>
      </c>
      <c r="B130" s="1020"/>
      <c r="C130" s="1019"/>
      <c r="D130" s="1025"/>
      <c r="E130" s="1025"/>
      <c r="F130" s="502"/>
      <c r="G130" s="503"/>
      <c r="H130" s="1040">
        <f t="shared" si="22"/>
        <v>1200</v>
      </c>
      <c r="I130" s="1041">
        <f t="shared" si="22"/>
        <v>300</v>
      </c>
      <c r="J130" s="1041">
        <f t="shared" si="22"/>
        <v>300</v>
      </c>
      <c r="K130" s="1041">
        <f t="shared" si="22"/>
        <v>7.4999999999999997E-2</v>
      </c>
      <c r="L130" s="1042">
        <f t="shared" si="22"/>
        <v>4.0999999999999996</v>
      </c>
      <c r="M130" s="289">
        <v>139.1</v>
      </c>
      <c r="N130" s="645">
        <f>0.000000000415</f>
        <v>4.1500000000000001E-10</v>
      </c>
      <c r="O130" s="645">
        <v>4.2999999999999997E-2</v>
      </c>
      <c r="P130" s="637">
        <f>10^1.97</f>
        <v>93.325430079699174</v>
      </c>
      <c r="Q130" s="629">
        <f>IF($P130="NA","NA",(0.617*Data!$D$9*$P130/100)/(1+Data!$D$15*$P130*0.000000617))</f>
        <v>1.7274537107752317</v>
      </c>
      <c r="R130" s="629">
        <f t="shared" si="15"/>
        <v>1.7274537107752317</v>
      </c>
      <c r="S130" s="290">
        <v>1</v>
      </c>
      <c r="T130" s="290">
        <f t="shared" si="21"/>
        <v>1</v>
      </c>
      <c r="U130" s="847">
        <v>16000000</v>
      </c>
      <c r="V130" s="860">
        <f>IF(Data!$D$69="",E130,IF(P130="NA","NA",(0.617*Data!$D$69*P130/100)/(1+Data!$D$15*P130*0.000000617)))</f>
        <v>1.1516358071834878</v>
      </c>
      <c r="W130" s="847">
        <f>IF(OR(Q130="NA",Q130="",V130="NA",V130=""),"NA",(1+(V130/Q130)^1.5*((1-Data!$D$75)/(1-Data!$D$18))^1.5*(Data!$D$71/Data!$D$14)^1.5*(Data!$D$73/Data!$D$72)*(1/(39.37*Data!$D$72))^0.25))</f>
        <v>3.8303093677397895</v>
      </c>
      <c r="X130" s="847">
        <f>IF(W130="NA","NA",0.15*Data!$D$71*(1-Data!$D$75)*V130*((13.12*Data!$D$73)^(0.112*LN(Data!$D$71*(1-Data!$D$75)*V130)+1.38))/(W130*Data!$D$81))</f>
        <v>51.882632824964247</v>
      </c>
      <c r="Y130" s="847">
        <f>IF(OR(W130="NA",W130="",Data!$D$91="NA",Data!$D$91=""),"NA",W130*Data!$D$91)</f>
        <v>6.8495741227413927</v>
      </c>
      <c r="Z130" s="847">
        <f>IF(OR(W130="NA",W130="",Data!$D$91="NA",Data!$D$91=""),"NA",IF(Data!$D$68&lt;X130,W130*X130/Data!$D$68*Data!$D$91,W130*Data!$D$91))</f>
        <v>6.8495741227413927</v>
      </c>
      <c r="AA130" s="853"/>
      <c r="AB130" s="710" t="s">
        <v>329</v>
      </c>
      <c r="AC130" s="710" t="s">
        <v>329</v>
      </c>
      <c r="AD130" s="292" t="s">
        <v>329</v>
      </c>
      <c r="AE130" s="287" t="s">
        <v>329</v>
      </c>
      <c r="AF130" s="287" t="s">
        <v>329</v>
      </c>
      <c r="AG130" s="288" t="s">
        <v>329</v>
      </c>
      <c r="AH130" s="698">
        <v>1200</v>
      </c>
      <c r="AI130" s="887">
        <v>300</v>
      </c>
      <c r="AJ130" s="887">
        <v>4850</v>
      </c>
      <c r="AK130" s="288" t="s">
        <v>329</v>
      </c>
      <c r="AL130" s="786">
        <v>828</v>
      </c>
      <c r="AM130" s="813">
        <v>82.8</v>
      </c>
      <c r="AN130" s="1037">
        <v>717</v>
      </c>
      <c r="AO130" s="1049">
        <v>71.7</v>
      </c>
      <c r="AP130" s="287">
        <v>7.4999999999999997E-2</v>
      </c>
      <c r="AQ130" s="830">
        <v>7.5599999999999999E-3</v>
      </c>
      <c r="AR130" s="292" t="s">
        <v>329</v>
      </c>
      <c r="AS130" s="288" t="s">
        <v>329</v>
      </c>
      <c r="AT130" s="785">
        <v>4.0999999999999996</v>
      </c>
      <c r="AU130" s="927">
        <v>4.0999999999999996</v>
      </c>
      <c r="AV130" s="874"/>
      <c r="AW130" s="663"/>
      <c r="AX130" s="663"/>
      <c r="AY130" s="663"/>
      <c r="AZ130" s="664"/>
    </row>
    <row r="131" spans="1:52" s="55" customFormat="1" x14ac:dyDescent="0.25">
      <c r="A131" s="307" t="s">
        <v>449</v>
      </c>
      <c r="B131" s="1020"/>
      <c r="C131" s="1019"/>
      <c r="D131" s="1025"/>
      <c r="E131" s="1025"/>
      <c r="F131" s="502"/>
      <c r="G131" s="503"/>
      <c r="H131" s="1040" t="str">
        <f t="shared" si="22"/>
        <v>NA</v>
      </c>
      <c r="I131" s="1041" t="str">
        <f t="shared" si="22"/>
        <v>NA</v>
      </c>
      <c r="J131" s="1041" t="str">
        <f t="shared" si="22"/>
        <v>NA</v>
      </c>
      <c r="K131" s="1041" t="str">
        <f t="shared" si="22"/>
        <v>NA</v>
      </c>
      <c r="L131" s="1042">
        <f t="shared" si="22"/>
        <v>1.2999999999999999E-3</v>
      </c>
      <c r="M131" s="289">
        <v>130.19999999999999</v>
      </c>
      <c r="N131" s="645">
        <f>0.00000225</f>
        <v>2.2500000000000001E-6</v>
      </c>
      <c r="O131" s="645">
        <v>5.45E-2</v>
      </c>
      <c r="P131" s="637">
        <f>10^1.4</f>
        <v>25.118864315095799</v>
      </c>
      <c r="Q131" s="629">
        <f>IF($P131="NA","NA",(0.617*Data!$D$9*$P131/100)/(1+Data!$D$15*$P131*0.000000617))</f>
        <v>0.46495017847242326</v>
      </c>
      <c r="R131" s="629">
        <f t="shared" si="15"/>
        <v>0.46495017847242326</v>
      </c>
      <c r="S131" s="290">
        <v>1</v>
      </c>
      <c r="T131" s="290">
        <f t="shared" si="21"/>
        <v>1</v>
      </c>
      <c r="U131" s="847">
        <v>9900000</v>
      </c>
      <c r="V131" s="860">
        <f>IF(Data!$D$69="",E131,IF(P131="NA","NA",(0.617*Data!$D$69*P131/100)/(1+Data!$D$15*P131*0.000000617)))</f>
        <v>0.30996678564828217</v>
      </c>
      <c r="W131" s="847">
        <f>IF(OR(Q131="NA",Q131="",V131="NA",V131=""),"NA",(1+(V131/Q131)^1.5*((1-Data!$D$75)/(1-Data!$D$18))^1.5*(Data!$D$71/Data!$D$14)^1.5*(Data!$D$73/Data!$D$72)*(1/(39.37*Data!$D$72))^0.25))</f>
        <v>3.8303093677397895</v>
      </c>
      <c r="X131" s="847">
        <f>IF(W131="NA","NA",0.15*Data!$D$71*(1-Data!$D$75)*V131*((13.12*Data!$D$73)^(0.112*LN(Data!$D$71*(1-Data!$D$75)*V131)+1.38))/(W131*Data!$D$81))</f>
        <v>7.5499232047591871</v>
      </c>
      <c r="Y131" s="847">
        <f>IF(OR(W131="NA",W131="",Data!$D$91="NA",Data!$D$91=""),"NA",W131*Data!$D$91)</f>
        <v>6.8495741227413927</v>
      </c>
      <c r="Z131" s="847">
        <f>IF(OR(W131="NA",W131="",Data!$D$91="NA",Data!$D$91=""),"NA",IF(Data!$D$68&lt;X131,W131*X131/Data!$D$68*Data!$D$91,W131*Data!$D$91))</f>
        <v>6.8495741227413927</v>
      </c>
      <c r="AA131" s="853"/>
      <c r="AB131" s="710" t="s">
        <v>329</v>
      </c>
      <c r="AC131" s="710" t="s">
        <v>329</v>
      </c>
      <c r="AD131" s="292" t="s">
        <v>329</v>
      </c>
      <c r="AE131" s="287" t="s">
        <v>329</v>
      </c>
      <c r="AF131" s="287" t="s">
        <v>329</v>
      </c>
      <c r="AG131" s="288" t="s">
        <v>329</v>
      </c>
      <c r="AH131" s="292" t="s">
        <v>329</v>
      </c>
      <c r="AI131" s="689" t="s">
        <v>329</v>
      </c>
      <c r="AJ131" s="287" t="s">
        <v>329</v>
      </c>
      <c r="AK131" s="288" t="s">
        <v>329</v>
      </c>
      <c r="AL131" s="786"/>
      <c r="AM131" s="815"/>
      <c r="AN131" s="1037"/>
      <c r="AO131" s="1049"/>
      <c r="AP131" s="287" t="s">
        <v>329</v>
      </c>
      <c r="AQ131" s="689" t="s">
        <v>329</v>
      </c>
      <c r="AR131" s="292" t="s">
        <v>329</v>
      </c>
      <c r="AS131" s="288" t="s">
        <v>329</v>
      </c>
      <c r="AT131" s="292">
        <v>1.2999999999999999E-3</v>
      </c>
      <c r="AU131" s="930">
        <v>5.1000000000000004E-3</v>
      </c>
      <c r="AV131" s="874"/>
      <c r="AW131" s="663"/>
      <c r="AX131" s="663"/>
      <c r="AY131" s="663"/>
      <c r="AZ131" s="664"/>
    </row>
    <row r="132" spans="1:52" s="55" customFormat="1" x14ac:dyDescent="0.25">
      <c r="A132" s="307" t="s">
        <v>450</v>
      </c>
      <c r="B132" s="1020"/>
      <c r="C132" s="1019"/>
      <c r="D132" s="1025"/>
      <c r="E132" s="1025"/>
      <c r="F132" s="502"/>
      <c r="G132" s="503"/>
      <c r="H132" s="1040" t="str">
        <f t="shared" si="22"/>
        <v>NA</v>
      </c>
      <c r="I132" s="1041" t="str">
        <f t="shared" si="22"/>
        <v>NA</v>
      </c>
      <c r="J132" s="1041" t="str">
        <f t="shared" si="22"/>
        <v>NA</v>
      </c>
      <c r="K132" s="1041" t="str">
        <f t="shared" si="22"/>
        <v>NA</v>
      </c>
      <c r="L132" s="1042">
        <f t="shared" si="22"/>
        <v>4.1E-5</v>
      </c>
      <c r="M132" s="289">
        <v>74.08</v>
      </c>
      <c r="N132" s="645">
        <v>3.3000000000000003E-5</v>
      </c>
      <c r="O132" s="645">
        <v>0.11260000000000001</v>
      </c>
      <c r="P132" s="637">
        <f>10^0.06</f>
        <v>1.1481536214968828</v>
      </c>
      <c r="Q132" s="629">
        <f>IF($P132="NA","NA",(0.617*Data!$D$9*$P132/100)/(1+Data!$D$15*$P132*0.000000617))</f>
        <v>2.12523235339073E-2</v>
      </c>
      <c r="R132" s="629">
        <f t="shared" si="15"/>
        <v>2.12523235339073E-2</v>
      </c>
      <c r="S132" s="290">
        <v>1</v>
      </c>
      <c r="T132" s="290">
        <f t="shared" si="21"/>
        <v>1</v>
      </c>
      <c r="U132" s="847">
        <v>1000000000</v>
      </c>
      <c r="V132" s="860">
        <f>IF(Data!$D$69="",E132,IF(P132="NA","NA",(0.617*Data!$D$69*P132/100)/(1+Data!$D$15*P132*0.000000617)))</f>
        <v>1.4168215689271535E-2</v>
      </c>
      <c r="W132" s="847">
        <f>IF(OR(Q132="NA",Q132="",V132="NA",V132=""),"NA",(1+(V132/Q132)^1.5*((1-Data!$D$75)/(1-Data!$D$18))^1.5*(Data!$D$71/Data!$D$14)^1.5*(Data!$D$73/Data!$D$72)*(1/(39.37*Data!$D$72))^0.25))</f>
        <v>3.8303093677397904</v>
      </c>
      <c r="X132" s="847">
        <f>IF(W132="NA","NA",0.15*Data!$D$71*(1-Data!$D$75)*V132*((13.12*Data!$D$73)^(0.112*LN(Data!$D$71*(1-Data!$D$75)*V132)+1.38))/(W132*Data!$D$81))</f>
        <v>8.129643356200987E-2</v>
      </c>
      <c r="Y132" s="847">
        <f>IF(OR(W132="NA",W132="",Data!$D$91="NA",Data!$D$91=""),"NA",W132*Data!$D$91)</f>
        <v>6.8495741227413944</v>
      </c>
      <c r="Z132" s="847">
        <f>IF(OR(W132="NA",W132="",Data!$D$91="NA",Data!$D$91=""),"NA",IF(Data!$D$68&lt;X132,W132*X132/Data!$D$68*Data!$D$91,W132*Data!$D$91))</f>
        <v>6.8495741227413944</v>
      </c>
      <c r="AA132" s="853"/>
      <c r="AB132" s="710" t="s">
        <v>329</v>
      </c>
      <c r="AC132" s="710" t="s">
        <v>329</v>
      </c>
      <c r="AD132" s="292" t="s">
        <v>329</v>
      </c>
      <c r="AE132" s="287" t="s">
        <v>329</v>
      </c>
      <c r="AF132" s="287" t="s">
        <v>329</v>
      </c>
      <c r="AG132" s="288" t="s">
        <v>329</v>
      </c>
      <c r="AH132" s="292" t="s">
        <v>329</v>
      </c>
      <c r="AI132" s="689" t="s">
        <v>329</v>
      </c>
      <c r="AJ132" s="287" t="s">
        <v>329</v>
      </c>
      <c r="AK132" s="288" t="s">
        <v>329</v>
      </c>
      <c r="AL132" s="786"/>
      <c r="AM132" s="815"/>
      <c r="AN132" s="1037"/>
      <c r="AO132" s="1049"/>
      <c r="AP132" s="287" t="s">
        <v>329</v>
      </c>
      <c r="AQ132" s="689" t="s">
        <v>329</v>
      </c>
      <c r="AR132" s="922">
        <v>2.1</v>
      </c>
      <c r="AS132" s="923">
        <v>0.47</v>
      </c>
      <c r="AT132" s="939">
        <v>4.1E-5</v>
      </c>
      <c r="AU132" s="934">
        <v>1.7000000000000001E-4</v>
      </c>
      <c r="AV132" s="874"/>
      <c r="AW132" s="663"/>
      <c r="AX132" s="663"/>
      <c r="AY132" s="663"/>
      <c r="AZ132" s="664"/>
    </row>
    <row r="133" spans="1:52" s="55" customFormat="1" x14ac:dyDescent="0.25">
      <c r="A133" s="307" t="s">
        <v>451</v>
      </c>
      <c r="B133" s="1020"/>
      <c r="C133" s="1019"/>
      <c r="D133" s="1025"/>
      <c r="E133" s="1025"/>
      <c r="F133" s="502"/>
      <c r="G133" s="503"/>
      <c r="H133" s="1040">
        <f t="shared" si="22"/>
        <v>3800</v>
      </c>
      <c r="I133" s="1041">
        <f t="shared" si="22"/>
        <v>210</v>
      </c>
      <c r="J133" s="1041">
        <f t="shared" si="22"/>
        <v>210</v>
      </c>
      <c r="K133" s="1041" t="str">
        <f t="shared" si="22"/>
        <v>NA</v>
      </c>
      <c r="L133" s="1042">
        <f t="shared" si="22"/>
        <v>20</v>
      </c>
      <c r="M133" s="289">
        <v>198.2</v>
      </c>
      <c r="N133" s="645">
        <v>6.6E-4</v>
      </c>
      <c r="O133" s="645">
        <f>0.0312</f>
        <v>3.1199999999999999E-2</v>
      </c>
      <c r="P133" s="637">
        <f>10^3.13</f>
        <v>1348.9628825916541</v>
      </c>
      <c r="Q133" s="629">
        <f>IF($P133="NA","NA",(0.617*Data!$D$9*$P133/100)/(1+Data!$D$15*$P133*0.000000617))</f>
        <v>24.969302956771518</v>
      </c>
      <c r="R133" s="629">
        <f t="shared" si="15"/>
        <v>24.969302956771518</v>
      </c>
      <c r="S133" s="290">
        <v>1</v>
      </c>
      <c r="T133" s="290">
        <f t="shared" si="21"/>
        <v>1</v>
      </c>
      <c r="U133" s="847">
        <v>35100</v>
      </c>
      <c r="V133" s="860">
        <f>IF(Data!$D$69="",E133,IF(P133="NA","NA",(0.617*Data!$D$69*P133/100)/(1+Data!$D$15*P133*0.000000617)))</f>
        <v>16.646201971181011</v>
      </c>
      <c r="W133" s="847">
        <f>IF(OR(Q133="NA",Q133="",V133="NA",V133=""),"NA",(1+(V133/Q133)^1.5*((1-Data!$D$75)/(1-Data!$D$18))^1.5*(Data!$D$71/Data!$D$14)^1.5*(Data!$D$73/Data!$D$72)*(1/(39.37*Data!$D$72))^0.25))</f>
        <v>3.8303093677397895</v>
      </c>
      <c r="X133" s="847">
        <f>IF(W133="NA","NA",0.15*Data!$D$71*(1-Data!$D$75)*V133*((13.12*Data!$D$73)^(0.112*LN(Data!$D$71*(1-Data!$D$75)*V133)+1.38))/(W133*Data!$D$81))</f>
        <v>2621.5138770446397</v>
      </c>
      <c r="Y133" s="847">
        <f>IF(OR(W133="NA",W133="",Data!$D$91="NA",Data!$D$91=""),"NA",W133*Data!$D$91)</f>
        <v>6.8495741227413927</v>
      </c>
      <c r="Z133" s="847">
        <f>IF(OR(W133="NA",W133="",Data!$D$91="NA",Data!$D$91=""),"NA",IF(Data!$D$68&lt;X133,W133*X133/Data!$D$68*Data!$D$91,W133*Data!$D$91))</f>
        <v>89.781268073062122</v>
      </c>
      <c r="AA133" s="853"/>
      <c r="AB133" s="710" t="s">
        <v>329</v>
      </c>
      <c r="AC133" s="710" t="s">
        <v>329</v>
      </c>
      <c r="AD133" s="292" t="s">
        <v>329</v>
      </c>
      <c r="AE133" s="287" t="s">
        <v>329</v>
      </c>
      <c r="AF133" s="287" t="s">
        <v>329</v>
      </c>
      <c r="AG133" s="288" t="s">
        <v>329</v>
      </c>
      <c r="AH133" s="786">
        <v>3800</v>
      </c>
      <c r="AI133" s="828">
        <v>210</v>
      </c>
      <c r="AJ133" s="287" t="s">
        <v>329</v>
      </c>
      <c r="AK133" s="288" t="s">
        <v>329</v>
      </c>
      <c r="AL133" s="786">
        <v>585</v>
      </c>
      <c r="AM133" s="813">
        <v>58.5</v>
      </c>
      <c r="AN133" s="1037">
        <v>330000</v>
      </c>
      <c r="AO133" s="1049">
        <v>33000</v>
      </c>
      <c r="AP133" s="287" t="s">
        <v>329</v>
      </c>
      <c r="AQ133" s="689" t="s">
        <v>329</v>
      </c>
      <c r="AR133" s="292" t="s">
        <v>329</v>
      </c>
      <c r="AS133" s="288" t="s">
        <v>329</v>
      </c>
      <c r="AT133" s="786">
        <v>20</v>
      </c>
      <c r="AU133" s="926">
        <v>83</v>
      </c>
      <c r="AV133" s="874"/>
      <c r="AW133" s="663"/>
      <c r="AX133" s="663"/>
      <c r="AY133" s="663"/>
      <c r="AZ133" s="664"/>
    </row>
    <row r="134" spans="1:52" s="55" customFormat="1" x14ac:dyDescent="0.25">
      <c r="A134" s="307" t="s">
        <v>452</v>
      </c>
      <c r="B134" s="1020"/>
      <c r="C134" s="1019"/>
      <c r="D134" s="1025"/>
      <c r="E134" s="1025"/>
      <c r="F134" s="502"/>
      <c r="G134" s="503"/>
      <c r="H134" s="1040">
        <f t="shared" ref="H134:L140" si="23">IF(INDEX($AB$11:$AZ$310,,H$7)=0,"NA",INDEX($AB$11:$AZ$310,,H$7))</f>
        <v>27000</v>
      </c>
      <c r="I134" s="1041" t="str">
        <f t="shared" si="23"/>
        <v>NA</v>
      </c>
      <c r="J134" s="1041" t="str">
        <f t="shared" si="23"/>
        <v>NA</v>
      </c>
      <c r="K134" s="1041">
        <f t="shared" si="23"/>
        <v>4.7600000000000002E-4</v>
      </c>
      <c r="L134" s="1042">
        <f t="shared" si="23"/>
        <v>0.79</v>
      </c>
      <c r="M134" s="289">
        <v>123.1</v>
      </c>
      <c r="N134" s="645">
        <v>2.4000000000000001E-5</v>
      </c>
      <c r="O134" s="645">
        <v>7.5999999999999998E-2</v>
      </c>
      <c r="P134" s="637">
        <f>10^1.85</f>
        <v>70.794578438413865</v>
      </c>
      <c r="Q134" s="629">
        <f>IF($P134="NA","NA",(0.617*Data!$D$9*$P134/100)/(1+Data!$D$15*$P134*0.000000617))</f>
        <v>1.3104076468950407</v>
      </c>
      <c r="R134" s="629">
        <f t="shared" si="15"/>
        <v>1.3104076468950407</v>
      </c>
      <c r="S134" s="290">
        <v>1</v>
      </c>
      <c r="T134" s="290">
        <f t="shared" si="21"/>
        <v>1</v>
      </c>
      <c r="U134" s="847">
        <v>2000000</v>
      </c>
      <c r="V134" s="860">
        <f>IF(Data!$D$69="",E134,IF(P134="NA","NA",(0.617*Data!$D$69*P134/100)/(1+Data!$D$15*P134*0.000000617)))</f>
        <v>0.87360509793002705</v>
      </c>
      <c r="W134" s="847">
        <f>IF(OR(Q134="NA",Q134="",V134="NA",V134=""),"NA",(1+(V134/Q134)^1.5*((1-Data!$D$75)/(1-Data!$D$18))^1.5*(Data!$D$71/Data!$D$14)^1.5*(Data!$D$73/Data!$D$72)*(1/(39.37*Data!$D$72))^0.25))</f>
        <v>3.8303093677397895</v>
      </c>
      <c r="X134" s="847">
        <f>IF(W134="NA","NA",0.15*Data!$D$71*(1-Data!$D$75)*V134*((13.12*Data!$D$73)^(0.112*LN(Data!$D$71*(1-Data!$D$75)*V134)+1.38))/(W134*Data!$D$81))</f>
        <v>34.577592295880791</v>
      </c>
      <c r="Y134" s="847">
        <f>IF(OR(W134="NA",W134="",Data!$D$91="NA",Data!$D$91=""),"NA",W134*Data!$D$91)</f>
        <v>6.8495741227413927</v>
      </c>
      <c r="Z134" s="847">
        <f>IF(OR(W134="NA",W134="",Data!$D$91="NA",Data!$D$91=""),"NA",IF(Data!$D$68&lt;X134,W134*X134/Data!$D$68*Data!$D$91,W134*Data!$D$91))</f>
        <v>6.8495741227413927</v>
      </c>
      <c r="AA134" s="853"/>
      <c r="AB134" s="710" t="s">
        <v>329</v>
      </c>
      <c r="AC134" s="710" t="s">
        <v>329</v>
      </c>
      <c r="AD134" s="292" t="s">
        <v>329</v>
      </c>
      <c r="AE134" s="287" t="s">
        <v>329</v>
      </c>
      <c r="AF134" s="287" t="s">
        <v>329</v>
      </c>
      <c r="AG134" s="288" t="s">
        <v>329</v>
      </c>
      <c r="AH134" s="698">
        <v>27000</v>
      </c>
      <c r="AI134" s="689" t="s">
        <v>329</v>
      </c>
      <c r="AJ134" s="887">
        <v>6680</v>
      </c>
      <c r="AK134" s="288" t="s">
        <v>329</v>
      </c>
      <c r="AL134" s="786">
        <v>2700</v>
      </c>
      <c r="AM134" s="815">
        <v>270</v>
      </c>
      <c r="AN134" s="1037">
        <v>668</v>
      </c>
      <c r="AO134" s="1049">
        <v>66.8</v>
      </c>
      <c r="AP134" s="826">
        <v>4.7600000000000002E-4</v>
      </c>
      <c r="AQ134" s="689" t="s">
        <v>329</v>
      </c>
      <c r="AR134" s="292" t="s">
        <v>329</v>
      </c>
      <c r="AS134" s="288" t="s">
        <v>329</v>
      </c>
      <c r="AT134" s="784">
        <v>0.79</v>
      </c>
      <c r="AU134" s="927">
        <v>2.2000000000000002</v>
      </c>
      <c r="AV134" s="874"/>
      <c r="AW134" s="663"/>
      <c r="AX134" s="663"/>
      <c r="AY134" s="663"/>
      <c r="AZ134" s="664"/>
    </row>
    <row r="135" spans="1:52" s="650" customFormat="1" x14ac:dyDescent="0.2">
      <c r="A135" s="307" t="s">
        <v>453</v>
      </c>
      <c r="B135" s="1020"/>
      <c r="C135" s="1019"/>
      <c r="D135" s="1025"/>
      <c r="E135" s="1025"/>
      <c r="F135" s="502"/>
      <c r="G135" s="503"/>
      <c r="H135" s="1040">
        <f t="shared" si="23"/>
        <v>8.4</v>
      </c>
      <c r="I135" s="1041">
        <f t="shared" si="23"/>
        <v>0.47</v>
      </c>
      <c r="J135" s="1041">
        <f t="shared" si="23"/>
        <v>0.47</v>
      </c>
      <c r="K135" s="1041" t="str">
        <f t="shared" si="23"/>
        <v>NA</v>
      </c>
      <c r="L135" s="1042">
        <f t="shared" si="23"/>
        <v>180</v>
      </c>
      <c r="M135" s="289">
        <v>250.3</v>
      </c>
      <c r="N135" s="645">
        <v>1.2999999999999999E-3</v>
      </c>
      <c r="O135" s="645">
        <v>5.7000000000000002E-2</v>
      </c>
      <c r="P135" s="637">
        <f>10^5.705</f>
        <v>506990.70827470464</v>
      </c>
      <c r="Q135" s="629">
        <f>IF($P135="NA","NA",(0.617*Data!$D$9*$P135/100)/(1+Data!$D$15*$P135*0.000000617))</f>
        <v>9384.398010164783</v>
      </c>
      <c r="R135" s="629">
        <f t="shared" si="15"/>
        <v>9384.398010164783</v>
      </c>
      <c r="S135" s="290">
        <v>1</v>
      </c>
      <c r="T135" s="290">
        <f t="shared" si="21"/>
        <v>1</v>
      </c>
      <c r="U135" s="847">
        <v>1330</v>
      </c>
      <c r="V135" s="860">
        <f>IF(Data!$D$69="",E135,IF(P135="NA","NA",(0.617*Data!$D$69*P135/100)/(1+Data!$D$15*P135*0.000000617)))</f>
        <v>6256.2653401098551</v>
      </c>
      <c r="W135" s="847">
        <f>IF(OR(Q135="NA",Q135="",V135="NA",V135=""),"NA",(1+(V135/Q135)^1.5*((1-Data!$D$75)/(1-Data!$D$18))^1.5*(Data!$D$71/Data!$D$14)^1.5*(Data!$D$73/Data!$D$72)*(1/(39.37*Data!$D$72))^0.25))</f>
        <v>3.8303093677397895</v>
      </c>
      <c r="X135" s="847">
        <f>IF(W135="NA","NA",0.15*Data!$D$71*(1-Data!$D$75)*V135*((13.12*Data!$D$73)^(0.112*LN(Data!$D$71*(1-Data!$D$75)*V135)+1.38))/(W135*Data!$D$81))</f>
        <v>15852413.485906867</v>
      </c>
      <c r="Y135" s="847">
        <f>IF(OR(W135="NA",W135="",Data!$D$91="NA",Data!$D$91=""),"NA",W135*Data!$D$91)</f>
        <v>6.8495741227413927</v>
      </c>
      <c r="Z135" s="847">
        <f>IF(OR(W135="NA",W135="",Data!$D$91="NA",Data!$D$91=""),"NA",IF(Data!$D$68&lt;X135,W135*X135/Data!$D$68*Data!$D$91,W135*Data!$D$91))</f>
        <v>542911.40598032181</v>
      </c>
      <c r="AA135" s="853"/>
      <c r="AB135" s="710" t="s">
        <v>329</v>
      </c>
      <c r="AC135" s="710" t="s">
        <v>329</v>
      </c>
      <c r="AD135" s="292" t="s">
        <v>329</v>
      </c>
      <c r="AE135" s="287" t="s">
        <v>329</v>
      </c>
      <c r="AF135" s="287" t="s">
        <v>329</v>
      </c>
      <c r="AG135" s="288" t="s">
        <v>329</v>
      </c>
      <c r="AH135" s="785">
        <v>8.4</v>
      </c>
      <c r="AI135" s="884">
        <v>0.47</v>
      </c>
      <c r="AJ135" s="287" t="s">
        <v>329</v>
      </c>
      <c r="AK135" s="288" t="s">
        <v>329</v>
      </c>
      <c r="AL135" s="786">
        <v>250</v>
      </c>
      <c r="AM135" s="815">
        <v>50</v>
      </c>
      <c r="AN135" s="1037">
        <v>160</v>
      </c>
      <c r="AO135" s="1049">
        <v>129</v>
      </c>
      <c r="AP135" s="287" t="s">
        <v>329</v>
      </c>
      <c r="AQ135" s="689" t="s">
        <v>329</v>
      </c>
      <c r="AR135" s="292" t="s">
        <v>329</v>
      </c>
      <c r="AS135" s="288" t="s">
        <v>329</v>
      </c>
      <c r="AT135" s="922">
        <v>180</v>
      </c>
      <c r="AU135" s="932">
        <v>660</v>
      </c>
      <c r="AV135" s="874"/>
      <c r="AW135" s="663"/>
      <c r="AX135" s="663"/>
      <c r="AY135" s="663"/>
      <c r="AZ135" s="664"/>
    </row>
    <row r="136" spans="1:52" s="55" customFormat="1" x14ac:dyDescent="0.25">
      <c r="A136" s="307" t="s">
        <v>454</v>
      </c>
      <c r="B136" s="1020"/>
      <c r="C136" s="1019"/>
      <c r="D136" s="1025"/>
      <c r="E136" s="1025"/>
      <c r="F136" s="502"/>
      <c r="G136" s="503"/>
      <c r="H136" s="1040">
        <f t="shared" si="23"/>
        <v>19</v>
      </c>
      <c r="I136" s="1041">
        <f t="shared" si="23"/>
        <v>15</v>
      </c>
      <c r="J136" s="1041">
        <f t="shared" si="23"/>
        <v>15</v>
      </c>
      <c r="K136" s="1041">
        <f t="shared" si="23"/>
        <v>0.03</v>
      </c>
      <c r="L136" s="1042">
        <f t="shared" si="23"/>
        <v>5</v>
      </c>
      <c r="M136" s="289">
        <v>266</v>
      </c>
      <c r="N136" s="645">
        <v>2.7499999999999999E-6</v>
      </c>
      <c r="O136" s="645">
        <v>5.6000000000000001E-2</v>
      </c>
      <c r="P136" s="637">
        <f>10^5.07</f>
        <v>117489.75549395311</v>
      </c>
      <c r="Q136" s="629">
        <f>IF($P136="NA","NA",(0.617*Data!$D$9*$P136/100)/(1+Data!$D$15*$P136*0.000000617))</f>
        <v>2174.7353741930724</v>
      </c>
      <c r="R136" s="629">
        <f t="shared" si="15"/>
        <v>2174.7353741930724</v>
      </c>
      <c r="S136" s="290">
        <v>1</v>
      </c>
      <c r="T136" s="290">
        <f t="shared" si="21"/>
        <v>1</v>
      </c>
      <c r="U136" s="847">
        <v>14000</v>
      </c>
      <c r="V136" s="860">
        <f>IF(Data!$D$69="",E136,IF(P136="NA","NA",(0.617*Data!$D$69*P136/100)/(1+Data!$D$15*P136*0.000000617)))</f>
        <v>1449.8235827953813</v>
      </c>
      <c r="W136" s="847">
        <f>IF(OR(Q136="NA",Q136="",V136="NA",V136=""),"NA",(1+(V136/Q136)^1.5*((1-Data!$D$75)/(1-Data!$D$18))^1.5*(Data!$D$71/Data!$D$14)^1.5*(Data!$D$73/Data!$D$72)*(1/(39.37*Data!$D$72))^0.25))</f>
        <v>3.8303093677397886</v>
      </c>
      <c r="X136" s="847">
        <f>IF(W136="NA","NA",0.15*Data!$D$71*(1-Data!$D$75)*V136*((13.12*Data!$D$73)^(0.112*LN(Data!$D$71*(1-Data!$D$75)*V136)+1.38))/(W136*Data!$D$81))</f>
        <v>1851652.5100634706</v>
      </c>
      <c r="Y136" s="847">
        <f>IF(OR(W136="NA",W136="",Data!$D$91="NA",Data!$D$91=""),"NA",W136*Data!$D$91)</f>
        <v>6.8495741227413909</v>
      </c>
      <c r="Z136" s="847">
        <f>IF(OR(W136="NA",W136="",Data!$D$91="NA",Data!$D$91=""),"NA",IF(Data!$D$68&lt;X136,W136*X136/Data!$D$68*Data!$D$91,W136*Data!$D$91))</f>
        <v>63415.155586199457</v>
      </c>
      <c r="AA136" s="853"/>
      <c r="AB136" s="718">
        <v>1</v>
      </c>
      <c r="AC136" s="718">
        <v>1</v>
      </c>
      <c r="AD136" s="786">
        <v>19</v>
      </c>
      <c r="AE136" s="815">
        <v>15</v>
      </c>
      <c r="AF136" s="815">
        <v>13</v>
      </c>
      <c r="AG136" s="814">
        <v>7.9</v>
      </c>
      <c r="AH136" s="786">
        <v>19</v>
      </c>
      <c r="AI136" s="828">
        <v>15</v>
      </c>
      <c r="AJ136" s="815">
        <v>13</v>
      </c>
      <c r="AK136" s="814">
        <v>7.9</v>
      </c>
      <c r="AL136" s="786">
        <v>19</v>
      </c>
      <c r="AM136" s="815">
        <v>15</v>
      </c>
      <c r="AN136" s="1037">
        <v>13</v>
      </c>
      <c r="AO136" s="1049">
        <v>7.9</v>
      </c>
      <c r="AP136" s="811">
        <v>0.03</v>
      </c>
      <c r="AQ136" s="689" t="s">
        <v>329</v>
      </c>
      <c r="AR136" s="292" t="s">
        <v>329</v>
      </c>
      <c r="AS136" s="288" t="s">
        <v>329</v>
      </c>
      <c r="AT136" s="786">
        <v>5</v>
      </c>
      <c r="AU136" s="926">
        <v>5</v>
      </c>
      <c r="AV136" s="874"/>
      <c r="AW136" s="663"/>
      <c r="AX136" s="663"/>
      <c r="AY136" s="663"/>
      <c r="AZ136" s="664"/>
    </row>
    <row r="137" spans="1:52" s="55" customFormat="1" x14ac:dyDescent="0.25">
      <c r="A137" s="307" t="s">
        <v>455</v>
      </c>
      <c r="B137" s="1020"/>
      <c r="C137" s="1019"/>
      <c r="D137" s="1025"/>
      <c r="E137" s="1025"/>
      <c r="F137" s="502"/>
      <c r="G137" s="503"/>
      <c r="H137" s="1040">
        <f t="shared" si="23"/>
        <v>3600</v>
      </c>
      <c r="I137" s="1041">
        <f t="shared" si="23"/>
        <v>110</v>
      </c>
      <c r="J137" s="1041">
        <f t="shared" si="23"/>
        <v>110</v>
      </c>
      <c r="K137" s="1041">
        <f t="shared" si="23"/>
        <v>0.6</v>
      </c>
      <c r="L137" s="1042">
        <f t="shared" si="23"/>
        <v>66</v>
      </c>
      <c r="M137" s="289">
        <v>94.11</v>
      </c>
      <c r="N137" s="645">
        <v>1.3E-6</v>
      </c>
      <c r="O137" s="645">
        <v>8.2000000000000003E-2</v>
      </c>
      <c r="P137" s="637">
        <f>10^1.46</f>
        <v>28.840315031266066</v>
      </c>
      <c r="Q137" s="629">
        <f>IF($P137="NA","NA",(0.617*Data!$D$9*$P137/100)/(1+Data!$D$15*$P137*0.000000617))</f>
        <v>0.53383423122873486</v>
      </c>
      <c r="R137" s="629">
        <f t="shared" si="15"/>
        <v>0.53383423122873486</v>
      </c>
      <c r="S137" s="290">
        <v>1</v>
      </c>
      <c r="T137" s="290">
        <f t="shared" si="21"/>
        <v>1</v>
      </c>
      <c r="U137" s="847">
        <v>88360000</v>
      </c>
      <c r="V137" s="860">
        <f>IF(Data!$D$69="",E137,IF(P137="NA","NA",(0.617*Data!$D$69*P137/100)/(1+Data!$D$15*P137*0.000000617)))</f>
        <v>0.35588948748582327</v>
      </c>
      <c r="W137" s="847">
        <f>IF(OR(Q137="NA",Q137="",V137="NA",V137=""),"NA",(1+(V137/Q137)^1.5*((1-Data!$D$75)/(1-Data!$D$18))^1.5*(Data!$D$71/Data!$D$14)^1.5*(Data!$D$73/Data!$D$72)*(1/(39.37*Data!$D$72))^0.25))</f>
        <v>3.8303093677397904</v>
      </c>
      <c r="X137" s="847">
        <f>IF(W137="NA","NA",0.15*Data!$D$71*(1-Data!$D$75)*V137*((13.12*Data!$D$73)^(0.112*LN(Data!$D$71*(1-Data!$D$75)*V137)+1.38))/(W137*Data!$D$81))</f>
        <v>9.2481776336359136</v>
      </c>
      <c r="Y137" s="847">
        <f>IF(OR(W137="NA",W137="",Data!$D$91="NA",Data!$D$91=""),"NA",W137*Data!$D$91)</f>
        <v>6.8495741227413944</v>
      </c>
      <c r="Z137" s="847">
        <f>IF(OR(W137="NA",W137="",Data!$D$91="NA",Data!$D$91=""),"NA",IF(Data!$D$68&lt;X137,W137*X137/Data!$D$68*Data!$D$91,W137*Data!$D$91))</f>
        <v>6.8495741227413944</v>
      </c>
      <c r="AA137" s="853"/>
      <c r="AB137" s="710" t="s">
        <v>329</v>
      </c>
      <c r="AC137" s="710" t="s">
        <v>329</v>
      </c>
      <c r="AD137" s="292" t="s">
        <v>329</v>
      </c>
      <c r="AE137" s="287" t="s">
        <v>329</v>
      </c>
      <c r="AF137" s="287" t="s">
        <v>329</v>
      </c>
      <c r="AG137" s="288" t="s">
        <v>329</v>
      </c>
      <c r="AH137" s="786">
        <v>3600</v>
      </c>
      <c r="AI137" s="828">
        <v>110</v>
      </c>
      <c r="AJ137" s="887">
        <v>5800</v>
      </c>
      <c r="AK137" s="288" t="s">
        <v>329</v>
      </c>
      <c r="AL137" s="786">
        <v>1020</v>
      </c>
      <c r="AM137" s="815">
        <v>256</v>
      </c>
      <c r="AN137" s="1037">
        <v>580</v>
      </c>
      <c r="AO137" s="1049">
        <v>58</v>
      </c>
      <c r="AP137" s="813">
        <v>0.6</v>
      </c>
      <c r="AQ137" s="832">
        <v>2.0100000000000001E-5</v>
      </c>
      <c r="AR137" s="292" t="s">
        <v>329</v>
      </c>
      <c r="AS137" s="288" t="s">
        <v>329</v>
      </c>
      <c r="AT137" s="786">
        <v>66</v>
      </c>
      <c r="AU137" s="926">
        <v>66</v>
      </c>
      <c r="AV137" s="874"/>
      <c r="AW137" s="663"/>
      <c r="AX137" s="663"/>
      <c r="AY137" s="663"/>
      <c r="AZ137" s="664"/>
    </row>
    <row r="138" spans="1:52" s="55" customFormat="1" x14ac:dyDescent="0.25">
      <c r="A138" s="306" t="s">
        <v>456</v>
      </c>
      <c r="B138" s="1020"/>
      <c r="C138" s="1019"/>
      <c r="D138" s="1025"/>
      <c r="E138" s="1025"/>
      <c r="F138" s="502"/>
      <c r="G138" s="503"/>
      <c r="H138" s="1040">
        <f t="shared" si="23"/>
        <v>700</v>
      </c>
      <c r="I138" s="1041">
        <f t="shared" si="23"/>
        <v>110</v>
      </c>
      <c r="J138" s="1041">
        <f t="shared" si="23"/>
        <v>110</v>
      </c>
      <c r="K138" s="1041">
        <f t="shared" si="23"/>
        <v>0.01</v>
      </c>
      <c r="L138" s="1042">
        <f t="shared" si="23"/>
        <v>27</v>
      </c>
      <c r="M138" s="289">
        <v>181.4</v>
      </c>
      <c r="N138" s="645">
        <v>2.31E-3</v>
      </c>
      <c r="O138" s="645">
        <v>0.03</v>
      </c>
      <c r="P138" s="637">
        <f>10^4.01</f>
        <v>10232.929922807549</v>
      </c>
      <c r="Q138" s="629">
        <f>IF($P138="NA","NA",(0.617*Data!$D$9*$P138/100)/(1+Data!$D$15*$P138*0.000000617))</f>
        <v>189.41153287116774</v>
      </c>
      <c r="R138" s="629">
        <f t="shared" si="15"/>
        <v>189.41153287116774</v>
      </c>
      <c r="S138" s="290">
        <v>1</v>
      </c>
      <c r="T138" s="290">
        <f t="shared" si="21"/>
        <v>1</v>
      </c>
      <c r="U138" s="847">
        <v>40000</v>
      </c>
      <c r="V138" s="860">
        <f>IF(Data!$D$69="",E138,IF(P138="NA","NA",(0.617*Data!$D$69*P138/100)/(1+Data!$D$15*P138*0.000000617)))</f>
        <v>126.27435524744514</v>
      </c>
      <c r="W138" s="847">
        <f>IF(OR(Q138="NA",Q138="",V138="NA",V138=""),"NA",(1+(V138/Q138)^1.5*((1-Data!$D$75)/(1-Data!$D$18))^1.5*(Data!$D$71/Data!$D$14)^1.5*(Data!$D$73/Data!$D$72)*(1/(39.37*Data!$D$72))^0.25))</f>
        <v>3.8303093677397895</v>
      </c>
      <c r="X138" s="847">
        <f>IF(W138="NA","NA",0.15*Data!$D$71*(1-Data!$D$75)*V138*((13.12*Data!$D$73)^(0.112*LN(Data!$D$71*(1-Data!$D$75)*V138)+1.38))/(W138*Data!$D$81))</f>
        <v>51390.800378843043</v>
      </c>
      <c r="Y138" s="847">
        <f>IF(OR(W138="NA",W138="",Data!$D$91="NA",Data!$D$91=""),"NA",W138*Data!$D$91)</f>
        <v>6.8495741227413927</v>
      </c>
      <c r="Z138" s="847">
        <f>IF(OR(W138="NA",W138="",Data!$D$91="NA",Data!$D$91=""),"NA",IF(Data!$D$68&lt;X138,W138*X138/Data!$D$68*Data!$D$91,W138*Data!$D$91))</f>
        <v>1760.0254821094593</v>
      </c>
      <c r="AA138" s="853"/>
      <c r="AB138" s="718">
        <v>70</v>
      </c>
      <c r="AC138" s="718">
        <v>70</v>
      </c>
      <c r="AD138" s="292" t="s">
        <v>329</v>
      </c>
      <c r="AE138" s="287" t="s">
        <v>329</v>
      </c>
      <c r="AF138" s="287" t="s">
        <v>329</v>
      </c>
      <c r="AG138" s="288" t="s">
        <v>329</v>
      </c>
      <c r="AH138" s="786">
        <v>700</v>
      </c>
      <c r="AI138" s="828">
        <v>110</v>
      </c>
      <c r="AJ138" s="287" t="s">
        <v>329</v>
      </c>
      <c r="AK138" s="288" t="s">
        <v>329</v>
      </c>
      <c r="AL138" s="786">
        <v>150</v>
      </c>
      <c r="AM138" s="813">
        <v>44.9</v>
      </c>
      <c r="AN138" s="1037">
        <v>45</v>
      </c>
      <c r="AO138" s="1049">
        <v>4.5</v>
      </c>
      <c r="AP138" s="811">
        <v>0.01</v>
      </c>
      <c r="AQ138" s="689" t="s">
        <v>329</v>
      </c>
      <c r="AR138" s="292" t="s">
        <v>329</v>
      </c>
      <c r="AS138" s="288" t="s">
        <v>329</v>
      </c>
      <c r="AT138" s="786">
        <v>27</v>
      </c>
      <c r="AU138" s="926">
        <v>27</v>
      </c>
      <c r="AV138" s="874"/>
      <c r="AW138" s="663"/>
      <c r="AX138" s="663"/>
      <c r="AY138" s="663"/>
      <c r="AZ138" s="664"/>
    </row>
    <row r="139" spans="1:52" s="650" customFormat="1" x14ac:dyDescent="0.2">
      <c r="A139" s="307" t="s">
        <v>457</v>
      </c>
      <c r="B139" s="1020"/>
      <c r="C139" s="1019"/>
      <c r="D139" s="1025"/>
      <c r="E139" s="1025"/>
      <c r="F139" s="502"/>
      <c r="G139" s="503"/>
      <c r="H139" s="1040" t="str">
        <f t="shared" si="23"/>
        <v>NA</v>
      </c>
      <c r="I139" s="1041" t="str">
        <f t="shared" si="23"/>
        <v>NA</v>
      </c>
      <c r="J139" s="1041" t="str">
        <f t="shared" si="23"/>
        <v>NA</v>
      </c>
      <c r="K139" s="1041" t="str">
        <f t="shared" si="23"/>
        <v>NA</v>
      </c>
      <c r="L139" s="1042">
        <f t="shared" si="23"/>
        <v>2300</v>
      </c>
      <c r="M139" s="289">
        <v>197.45</v>
      </c>
      <c r="N139" s="645">
        <f>0.00000433</f>
        <v>4.33E-6</v>
      </c>
      <c r="O139" s="645">
        <v>2.9100000000000001E-2</v>
      </c>
      <c r="P139" s="637">
        <f>10^3.9</f>
        <v>7943.2823472428154</v>
      </c>
      <c r="Q139" s="629">
        <f>IF($P139="NA","NA",(0.617*Data!$D$9*$P139/100)/(1+Data!$D$15*$P139*0.000000617))</f>
        <v>147.0301562474645</v>
      </c>
      <c r="R139" s="629">
        <f t="shared" si="15"/>
        <v>147.0301562474645</v>
      </c>
      <c r="S139" s="290">
        <v>1</v>
      </c>
      <c r="T139" s="290">
        <f t="shared" si="21"/>
        <v>1</v>
      </c>
      <c r="U139" s="847">
        <v>1200000</v>
      </c>
      <c r="V139" s="860">
        <f>IF(Data!$D$69="",E139,IF(P139="NA","NA",(0.617*Data!$D$69*P139/100)/(1+Data!$D$15*P139*0.000000617)))</f>
        <v>98.020104164976345</v>
      </c>
      <c r="W139" s="847">
        <f>IF(OR(Q139="NA",Q139="",V139="NA",V139=""),"NA",(1+(V139/Q139)^1.5*((1-Data!$D$75)/(1-Data!$D$18))^1.5*(Data!$D$71/Data!$D$14)^1.5*(Data!$D$73/Data!$D$72)*(1/(39.37*Data!$D$72))^0.25))</f>
        <v>3.8303093677397904</v>
      </c>
      <c r="X139" s="847">
        <f>IF(W139="NA","NA",0.15*Data!$D$71*(1-Data!$D$75)*V139*((13.12*Data!$D$73)^(0.112*LN(Data!$D$71*(1-Data!$D$75)*V139)+1.38))/(W139*Data!$D$81))</f>
        <v>35427.762860771167</v>
      </c>
      <c r="Y139" s="847">
        <f>IF(OR(W139="NA",W139="",Data!$D$91="NA",Data!$D$91=""),"NA",W139*Data!$D$91)</f>
        <v>6.8495741227413944</v>
      </c>
      <c r="Z139" s="847">
        <f>IF(OR(W139="NA",W139="",Data!$D$91="NA",Data!$D$91=""),"NA",IF(Data!$D$68&lt;X139,W139*X139/Data!$D$68*Data!$D$91,W139*Data!$D$91))</f>
        <v>1213.325438588784</v>
      </c>
      <c r="AA139" s="853"/>
      <c r="AB139" s="770" t="s">
        <v>329</v>
      </c>
      <c r="AC139" s="770" t="s">
        <v>329</v>
      </c>
      <c r="AD139" s="292" t="s">
        <v>329</v>
      </c>
      <c r="AE139" s="287" t="s">
        <v>329</v>
      </c>
      <c r="AF139" s="287" t="s">
        <v>329</v>
      </c>
      <c r="AG139" s="288" t="s">
        <v>329</v>
      </c>
      <c r="AH139" s="840" t="s">
        <v>329</v>
      </c>
      <c r="AI139" s="891" t="s">
        <v>329</v>
      </c>
      <c r="AJ139" s="287" t="s">
        <v>329</v>
      </c>
      <c r="AK139" s="288" t="s">
        <v>329</v>
      </c>
      <c r="AL139" s="786"/>
      <c r="AM139" s="815"/>
      <c r="AN139" s="1037"/>
      <c r="AO139" s="1049"/>
      <c r="AP139" s="287" t="s">
        <v>329</v>
      </c>
      <c r="AQ139" s="689" t="s">
        <v>329</v>
      </c>
      <c r="AR139" s="292" t="s">
        <v>329</v>
      </c>
      <c r="AS139" s="288" t="s">
        <v>329</v>
      </c>
      <c r="AT139" s="940">
        <v>2300</v>
      </c>
      <c r="AU139" s="935">
        <v>6100</v>
      </c>
      <c r="AV139" s="874"/>
      <c r="AW139" s="663"/>
      <c r="AX139" s="663"/>
      <c r="AY139" s="663"/>
      <c r="AZ139" s="664"/>
    </row>
    <row r="140" spans="1:52" s="55" customFormat="1" ht="13.8" thickBot="1" x14ac:dyDescent="0.3">
      <c r="A140" s="307" t="s">
        <v>458</v>
      </c>
      <c r="B140" s="1020"/>
      <c r="C140" s="1019"/>
      <c r="D140" s="1025"/>
      <c r="E140" s="1025"/>
      <c r="F140" s="502"/>
      <c r="G140" s="503"/>
      <c r="H140" s="1040" t="str">
        <f t="shared" si="23"/>
        <v>NA</v>
      </c>
      <c r="I140" s="1041">
        <f t="shared" si="23"/>
        <v>970</v>
      </c>
      <c r="J140" s="1041">
        <f t="shared" si="23"/>
        <v>970</v>
      </c>
      <c r="K140" s="1041" t="str">
        <f t="shared" si="23"/>
        <v>NA</v>
      </c>
      <c r="L140" s="1042">
        <f t="shared" si="23"/>
        <v>3.1</v>
      </c>
      <c r="M140" s="289">
        <v>197.4</v>
      </c>
      <c r="N140" s="645">
        <v>3.9999999999999998E-6</v>
      </c>
      <c r="O140" s="645">
        <v>3.1800000000000002E-2</v>
      </c>
      <c r="P140" s="637">
        <f>10^3.6</f>
        <v>3981.0717055349769</v>
      </c>
      <c r="Q140" s="629">
        <f>IF($P140="NA","NA",(0.617*Data!$D$9*$P140/100)/(1+Data!$D$15*$P140*0.000000617))</f>
        <v>73.689637269452419</v>
      </c>
      <c r="R140" s="629">
        <f t="shared" si="15"/>
        <v>73.689637269452419</v>
      </c>
      <c r="S140" s="290">
        <v>1</v>
      </c>
      <c r="T140" s="290">
        <f t="shared" si="21"/>
        <v>1</v>
      </c>
      <c r="U140" s="847">
        <v>800000</v>
      </c>
      <c r="V140" s="860">
        <f>IF(Data!$D$69="",E140,IF(P140="NA","NA",(0.617*Data!$D$69*P140/100)/(1+Data!$D$15*P140*0.000000617)))</f>
        <v>49.126424846301617</v>
      </c>
      <c r="W140" s="847">
        <f>IF(OR(Q140="NA",Q140="",V140="NA",V140=""),"NA",(1+(V140/Q140)^1.5*((1-Data!$D$75)/(1-Data!$D$18))^1.5*(Data!$D$71/Data!$D$14)^1.5*(Data!$D$73/Data!$D$72)*(1/(39.37*Data!$D$72))^0.25))</f>
        <v>3.8303093677397904</v>
      </c>
      <c r="X140" s="847">
        <f>IF(W140="NA","NA",0.15*Data!$D$71*(1-Data!$D$75)*V140*((13.12*Data!$D$73)^(0.112*LN(Data!$D$71*(1-Data!$D$75)*V140)+1.38))/(W140*Data!$D$81))</f>
        <v>12846.22681266779</v>
      </c>
      <c r="Y140" s="847">
        <f>IF(OR(W140="NA",W140="",Data!$D$91="NA",Data!$D$91=""),"NA",W140*Data!$D$91)</f>
        <v>6.8495741227413944</v>
      </c>
      <c r="Z140" s="847">
        <f>IF(OR(W140="NA",W140="",Data!$D$91="NA",Data!$D$91=""),"NA",IF(Data!$D$68&lt;X140,W140*X140/Data!$D$68*Data!$D$91,W140*Data!$D$91))</f>
        <v>439.95591375457974</v>
      </c>
      <c r="AA140" s="853"/>
      <c r="AB140" s="718" t="s">
        <v>329</v>
      </c>
      <c r="AC140" s="718" t="s">
        <v>329</v>
      </c>
      <c r="AD140" s="292" t="s">
        <v>329</v>
      </c>
      <c r="AE140" s="287" t="s">
        <v>329</v>
      </c>
      <c r="AF140" s="287" t="s">
        <v>329</v>
      </c>
      <c r="AG140" s="288" t="s">
        <v>329</v>
      </c>
      <c r="AH140" s="292" t="s">
        <v>329</v>
      </c>
      <c r="AI140" s="887">
        <v>970</v>
      </c>
      <c r="AJ140" s="287" t="s">
        <v>329</v>
      </c>
      <c r="AK140" s="288" t="s">
        <v>329</v>
      </c>
      <c r="AL140" s="786">
        <v>32</v>
      </c>
      <c r="AM140" s="813">
        <v>3.2</v>
      </c>
      <c r="AN140" s="1037"/>
      <c r="AO140" s="1049"/>
      <c r="AP140" s="287" t="s">
        <v>329</v>
      </c>
      <c r="AQ140" s="689" t="s">
        <v>329</v>
      </c>
      <c r="AR140" s="292" t="s">
        <v>329</v>
      </c>
      <c r="AS140" s="288" t="s">
        <v>329</v>
      </c>
      <c r="AT140" s="785">
        <v>3.1</v>
      </c>
      <c r="AU140" s="927">
        <v>8.9</v>
      </c>
      <c r="AV140" s="874"/>
      <c r="AW140" s="663"/>
      <c r="AX140" s="663"/>
      <c r="AY140" s="663"/>
      <c r="AZ140" s="664"/>
    </row>
    <row r="141" spans="1:52" s="55" customFormat="1" x14ac:dyDescent="0.25">
      <c r="A141" s="573" t="s">
        <v>459</v>
      </c>
      <c r="B141" s="511"/>
      <c r="C141" s="512"/>
      <c r="D141" s="512"/>
      <c r="E141" s="513"/>
      <c r="F141" s="547"/>
      <c r="G141" s="548"/>
      <c r="H141" s="800"/>
      <c r="I141" s="534"/>
      <c r="J141" s="534"/>
      <c r="K141" s="534"/>
      <c r="L141" s="808"/>
      <c r="M141" s="511"/>
      <c r="N141" s="534"/>
      <c r="O141" s="534"/>
      <c r="P141" s="639"/>
      <c r="Q141" s="639"/>
      <c r="R141" s="631"/>
      <c r="S141" s="512"/>
      <c r="T141" s="512"/>
      <c r="U141" s="534"/>
      <c r="V141" s="800"/>
      <c r="W141" s="534"/>
      <c r="X141" s="534"/>
      <c r="Y141" s="534"/>
      <c r="Z141" s="534"/>
      <c r="AA141" s="513"/>
      <c r="AB141" s="527"/>
      <c r="AC141" s="527"/>
      <c r="AD141" s="511"/>
      <c r="AE141" s="512"/>
      <c r="AF141" s="512"/>
      <c r="AG141" s="513"/>
      <c r="AH141" s="511"/>
      <c r="AI141" s="512"/>
      <c r="AJ141" s="512"/>
      <c r="AK141" s="513"/>
      <c r="AL141" s="511"/>
      <c r="AM141" s="512"/>
      <c r="AN141" s="1050"/>
      <c r="AO141" s="1051"/>
      <c r="AP141" s="512"/>
      <c r="AQ141" s="512"/>
      <c r="AR141" s="511"/>
      <c r="AS141" s="513"/>
      <c r="AT141" s="511"/>
      <c r="AU141" s="513"/>
      <c r="AV141" s="511"/>
      <c r="AW141" s="512"/>
      <c r="AX141" s="512"/>
      <c r="AY141" s="512"/>
      <c r="AZ141" s="513"/>
    </row>
    <row r="142" spans="1:52" s="650" customFormat="1" x14ac:dyDescent="0.2">
      <c r="A142" s="307" t="s">
        <v>460</v>
      </c>
      <c r="B142" s="1020"/>
      <c r="C142" s="1019"/>
      <c r="D142" s="1025"/>
      <c r="E142" s="1025"/>
      <c r="F142" s="502"/>
      <c r="G142" s="503"/>
      <c r="H142" s="1040">
        <f t="shared" ref="H142:L151" si="24">IF(INDEX($AB$11:$AZ$310,,H$7)=0,"NA",INDEX($AB$11:$AZ$310,,H$7))</f>
        <v>28000</v>
      </c>
      <c r="I142" s="1041">
        <f t="shared" si="24"/>
        <v>1500</v>
      </c>
      <c r="J142" s="1041">
        <f t="shared" si="24"/>
        <v>1500</v>
      </c>
      <c r="K142" s="1041" t="str">
        <f t="shared" si="24"/>
        <v>NA</v>
      </c>
      <c r="L142" s="1042">
        <f t="shared" si="24"/>
        <v>41</v>
      </c>
      <c r="M142" s="289">
        <v>58.08</v>
      </c>
      <c r="N142" s="645">
        <f>0.0000388</f>
        <v>3.8800000000000001E-5</v>
      </c>
      <c r="O142" s="645">
        <v>0.124</v>
      </c>
      <c r="P142" s="629">
        <f>10^-0.24</f>
        <v>0.57543993733715693</v>
      </c>
      <c r="Q142" s="733">
        <f>IF($P142="NA","NA",(0.617*Data!$D$9*$P142/100)/(1+Data!$D$15*$P142*0.000000617))</f>
        <v>1.0651393240110774E-2</v>
      </c>
      <c r="R142" s="733">
        <f t="shared" ref="R142:R193" si="25">Q142</f>
        <v>1.0651393240110774E-2</v>
      </c>
      <c r="S142" s="290">
        <v>1</v>
      </c>
      <c r="T142" s="290">
        <f t="shared" ref="T142:T160" si="26">IF(S142= "NA", "NA", S142)</f>
        <v>1</v>
      </c>
      <c r="U142" s="847">
        <v>1000000000</v>
      </c>
      <c r="V142" s="860">
        <f>IF(Data!$D$69="",E142,IF(P142="NA","NA",(0.617*Data!$D$69*P142/100)/(1+Data!$D$15*P142*0.000000617)))</f>
        <v>7.1009288267405166E-3</v>
      </c>
      <c r="W142" s="847">
        <f>IF(OR(Q142="NA",Q142="",V142="NA",V142=""),"NA",(1+(V142/Q142)^1.5*((1-Data!$D$75)/(1-Data!$D$18))^1.5*(Data!$D$71/Data!$D$14)^1.5*(Data!$D$73/Data!$D$72)*(1/(39.37*Data!$D$72))^0.25))</f>
        <v>3.8303093677397904</v>
      </c>
      <c r="X142" s="847">
        <f>IF(W142="NA","NA",0.15*Data!$D$71*(1-Data!$D$75)*V142*((13.12*Data!$D$73)^(0.112*LN(Data!$D$71*(1-Data!$D$75)*V142)+1.38))/(W142*Data!$D$81))</f>
        <v>2.9478362173270534E-2</v>
      </c>
      <c r="Y142" s="847">
        <f>IF(OR(W142="NA",W142="",Data!$D$91="NA",Data!$D$91=""),"NA",W142*Data!$D$91)</f>
        <v>6.8495741227413944</v>
      </c>
      <c r="Z142" s="847">
        <f>IF(OR(W142="NA",W142="",Data!$D$91="NA",Data!$D$91=""),"NA",IF(Data!$D$68&lt;X142,W142*X142/Data!$D$68*Data!$D$91,W142*Data!$D$91))</f>
        <v>6.8495741227413944</v>
      </c>
      <c r="AA142" s="853"/>
      <c r="AB142" s="710" t="s">
        <v>329</v>
      </c>
      <c r="AC142" s="710" t="s">
        <v>329</v>
      </c>
      <c r="AD142" s="292" t="s">
        <v>329</v>
      </c>
      <c r="AE142" s="287" t="s">
        <v>329</v>
      </c>
      <c r="AF142" s="287" t="s">
        <v>329</v>
      </c>
      <c r="AG142" s="288" t="s">
        <v>329</v>
      </c>
      <c r="AH142" s="839">
        <v>28000</v>
      </c>
      <c r="AI142" s="892">
        <v>1500</v>
      </c>
      <c r="AJ142" s="287" t="s">
        <v>329</v>
      </c>
      <c r="AK142" s="288" t="s">
        <v>329</v>
      </c>
      <c r="AL142" s="786"/>
      <c r="AM142" s="815"/>
      <c r="AN142" s="1037"/>
      <c r="AO142" s="1049"/>
      <c r="AP142" s="287" t="s">
        <v>329</v>
      </c>
      <c r="AQ142" s="689" t="s">
        <v>329</v>
      </c>
      <c r="AR142" s="292" t="s">
        <v>329</v>
      </c>
      <c r="AS142" s="288" t="s">
        <v>329</v>
      </c>
      <c r="AT142" s="922">
        <v>41</v>
      </c>
      <c r="AU142" s="932">
        <v>110</v>
      </c>
      <c r="AV142" s="874"/>
      <c r="AW142" s="663"/>
      <c r="AX142" s="663"/>
      <c r="AY142" s="663"/>
      <c r="AZ142" s="664"/>
    </row>
    <row r="143" spans="1:52" s="650" customFormat="1" x14ac:dyDescent="0.2">
      <c r="A143" s="307" t="s">
        <v>461</v>
      </c>
      <c r="B143" s="1020"/>
      <c r="C143" s="1019"/>
      <c r="D143" s="1025"/>
      <c r="E143" s="1025"/>
      <c r="F143" s="502"/>
      <c r="G143" s="503"/>
      <c r="H143" s="1040" t="str">
        <f t="shared" si="24"/>
        <v>NA</v>
      </c>
      <c r="I143" s="1041" t="str">
        <f t="shared" si="24"/>
        <v>NA</v>
      </c>
      <c r="J143" s="1041" t="str">
        <f t="shared" si="24"/>
        <v>NA</v>
      </c>
      <c r="K143" s="1041" t="str">
        <f t="shared" si="24"/>
        <v>NA</v>
      </c>
      <c r="L143" s="1042">
        <f t="shared" si="24"/>
        <v>6.2E-4</v>
      </c>
      <c r="M143" s="289">
        <v>56.1</v>
      </c>
      <c r="N143" s="645">
        <v>1.22E-4</v>
      </c>
      <c r="O143" s="645">
        <v>0.11</v>
      </c>
      <c r="P143" s="629">
        <v>0.97699999999999998</v>
      </c>
      <c r="Q143" s="873">
        <f>IF($P143="NA","NA",(0.617*Data!$D$9*$P143/100)/(1+Data!$D$15*$P143*0.000000617))</f>
        <v>1.808427E-2</v>
      </c>
      <c r="R143" s="873">
        <f t="shared" si="25"/>
        <v>1.808427E-2</v>
      </c>
      <c r="S143" s="290">
        <v>1</v>
      </c>
      <c r="T143" s="290">
        <f t="shared" si="26"/>
        <v>1</v>
      </c>
      <c r="U143" s="847">
        <v>208000000</v>
      </c>
      <c r="V143" s="860">
        <f>IF(Data!$D$69="",E143,IF(P143="NA","NA",(0.617*Data!$D$69*P143/100)/(1+Data!$D$15*P143*0.000000617)))</f>
        <v>1.2056179999999998E-2</v>
      </c>
      <c r="W143" s="847">
        <f>IF(OR(Q143="NA",Q143="",V143="NA",V143=""),"NA",(1+(V143/Q143)^1.5*((1-Data!$D$75)/(1-Data!$D$18))^1.5*(Data!$D$71/Data!$D$14)^1.5*(Data!$D$73/Data!$D$72)*(1/(39.37*Data!$D$72))^0.25))</f>
        <v>3.8303093677397886</v>
      </c>
      <c r="X143" s="847">
        <f>IF(W143="NA","NA",0.15*Data!$D$71*(1-Data!$D$75)*V143*((13.12*Data!$D$73)^(0.112*LN(Data!$D$71*(1-Data!$D$75)*V143)+1.38))/(W143*Data!$D$81))</f>
        <v>6.4138296459130342E-2</v>
      </c>
      <c r="Y143" s="847">
        <f>IF(OR(W143="NA",W143="",Data!$D$91="NA",Data!$D$91=""),"NA",W143*Data!$D$91)</f>
        <v>6.8495741227413909</v>
      </c>
      <c r="Z143" s="847">
        <f>IF(OR(W143="NA",W143="",Data!$D$91="NA",Data!$D$91=""),"NA",IF(Data!$D$68&lt;X143,W143*X143/Data!$D$68*Data!$D$91,W143*Data!$D$91))</f>
        <v>6.8495741227413909</v>
      </c>
      <c r="AA143" s="853"/>
      <c r="AB143" s="710" t="s">
        <v>329</v>
      </c>
      <c r="AC143" s="710" t="s">
        <v>329</v>
      </c>
      <c r="AD143" s="292" t="s">
        <v>329</v>
      </c>
      <c r="AE143" s="287" t="s">
        <v>329</v>
      </c>
      <c r="AF143" s="287" t="s">
        <v>329</v>
      </c>
      <c r="AG143" s="288" t="s">
        <v>329</v>
      </c>
      <c r="AH143" s="840" t="s">
        <v>329</v>
      </c>
      <c r="AI143" s="651" t="s">
        <v>329</v>
      </c>
      <c r="AJ143" s="287" t="s">
        <v>329</v>
      </c>
      <c r="AK143" s="288" t="s">
        <v>329</v>
      </c>
      <c r="AL143" s="785">
        <v>6.8</v>
      </c>
      <c r="AM143" s="813">
        <v>2.1</v>
      </c>
      <c r="AN143" s="1037">
        <v>5.5</v>
      </c>
      <c r="AO143" s="1049">
        <v>0.55000000000000004</v>
      </c>
      <c r="AP143" s="287" t="s">
        <v>329</v>
      </c>
      <c r="AQ143" s="689" t="s">
        <v>329</v>
      </c>
      <c r="AR143" s="292" t="s">
        <v>329</v>
      </c>
      <c r="AS143" s="288" t="s">
        <v>329</v>
      </c>
      <c r="AT143" s="922">
        <v>6.2E-4</v>
      </c>
      <c r="AU143" s="932">
        <v>1.4E-3</v>
      </c>
      <c r="AV143" s="874"/>
      <c r="AW143" s="663"/>
      <c r="AX143" s="663"/>
      <c r="AY143" s="663"/>
      <c r="AZ143" s="664"/>
    </row>
    <row r="144" spans="1:52" s="650" customFormat="1" x14ac:dyDescent="0.2">
      <c r="A144" s="307" t="s">
        <v>462</v>
      </c>
      <c r="B144" s="1020"/>
      <c r="C144" s="1019"/>
      <c r="D144" s="1025"/>
      <c r="E144" s="1025"/>
      <c r="F144" s="502"/>
      <c r="G144" s="503"/>
      <c r="H144" s="1040" t="str">
        <f t="shared" si="24"/>
        <v>NA</v>
      </c>
      <c r="I144" s="1041" t="str">
        <f t="shared" si="24"/>
        <v>NA</v>
      </c>
      <c r="J144" s="1041" t="str">
        <f t="shared" si="24"/>
        <v>NA</v>
      </c>
      <c r="K144" s="1041" t="str">
        <f t="shared" si="24"/>
        <v>NA</v>
      </c>
      <c r="L144" s="1042">
        <f t="shared" si="24"/>
        <v>8.6999999999999994E-3</v>
      </c>
      <c r="M144" s="289">
        <v>53.1</v>
      </c>
      <c r="N144" s="645">
        <v>1.1E-4</v>
      </c>
      <c r="O144" s="645">
        <v>0.122</v>
      </c>
      <c r="P144" s="629">
        <v>1.778</v>
      </c>
      <c r="Q144" s="873">
        <f>IF($P144="NA","NA",(0.617*Data!$D$9*$P144/100)/(1+Data!$D$15*$P144*0.000000617))</f>
        <v>3.2910780000000001E-2</v>
      </c>
      <c r="R144" s="873">
        <f t="shared" si="25"/>
        <v>3.2910780000000001E-2</v>
      </c>
      <c r="S144" s="290">
        <v>1</v>
      </c>
      <c r="T144" s="290">
        <f t="shared" si="26"/>
        <v>1</v>
      </c>
      <c r="U144" s="847">
        <v>74500000</v>
      </c>
      <c r="V144" s="860">
        <f>IF(Data!$D$69="",E144,IF(P144="NA","NA",(0.617*Data!$D$69*P144/100)/(1+Data!$D$15*P144*0.000000617)))</f>
        <v>2.1940520000000002E-2</v>
      </c>
      <c r="W144" s="847">
        <f>IF(OR(Q144="NA",Q144="",V144="NA",V144=""),"NA",(1+(V144/Q144)^1.5*((1-Data!$D$75)/(1-Data!$D$18))^1.5*(Data!$D$71/Data!$D$14)^1.5*(Data!$D$73/Data!$D$72)*(1/(39.37*Data!$D$72))^0.25))</f>
        <v>3.8303093677397904</v>
      </c>
      <c r="X144" s="847">
        <f>IF(W144="NA","NA",0.15*Data!$D$71*(1-Data!$D$75)*V144*((13.12*Data!$D$73)^(0.112*LN(Data!$D$71*(1-Data!$D$75)*V144)+1.38))/(W144*Data!$D$81))</f>
        <v>0.15452464872796567</v>
      </c>
      <c r="Y144" s="847">
        <f>IF(OR(W144="NA",W144="",Data!$D$91="NA",Data!$D$91=""),"NA",W144*Data!$D$91)</f>
        <v>6.8495741227413944</v>
      </c>
      <c r="Z144" s="847">
        <f>IF(OR(W144="NA",W144="",Data!$D$91="NA",Data!$D$91=""),"NA",IF(Data!$D$68&lt;X144,W144*X144/Data!$D$68*Data!$D$91,W144*Data!$D$91))</f>
        <v>6.8495741227413944</v>
      </c>
      <c r="AA144" s="853"/>
      <c r="AB144" s="710" t="s">
        <v>329</v>
      </c>
      <c r="AC144" s="710" t="s">
        <v>329</v>
      </c>
      <c r="AD144" s="292" t="s">
        <v>329</v>
      </c>
      <c r="AE144" s="287" t="s">
        <v>329</v>
      </c>
      <c r="AF144" s="287" t="s">
        <v>329</v>
      </c>
      <c r="AG144" s="288" t="s">
        <v>329</v>
      </c>
      <c r="AH144" s="840" t="s">
        <v>329</v>
      </c>
      <c r="AI144" s="651" t="s">
        <v>329</v>
      </c>
      <c r="AJ144" s="287" t="s">
        <v>329</v>
      </c>
      <c r="AK144" s="288" t="s">
        <v>329</v>
      </c>
      <c r="AL144" s="786">
        <v>755</v>
      </c>
      <c r="AM144" s="813">
        <v>75.5</v>
      </c>
      <c r="AN144" s="1037"/>
      <c r="AO144" s="1049"/>
      <c r="AP144" s="287" t="s">
        <v>329</v>
      </c>
      <c r="AQ144" s="689" t="s">
        <v>329</v>
      </c>
      <c r="AR144" s="292" t="s">
        <v>329</v>
      </c>
      <c r="AS144" s="288" t="s">
        <v>329</v>
      </c>
      <c r="AT144" s="922">
        <v>8.6999999999999994E-3</v>
      </c>
      <c r="AU144" s="932">
        <v>3.6999999999999998E-2</v>
      </c>
      <c r="AV144" s="874"/>
      <c r="AW144" s="663"/>
      <c r="AX144" s="663"/>
      <c r="AY144" s="663"/>
      <c r="AZ144" s="664"/>
    </row>
    <row r="145" spans="1:52" s="650" customFormat="1" x14ac:dyDescent="0.2">
      <c r="A145" s="307" t="s">
        <v>463</v>
      </c>
      <c r="B145" s="1020"/>
      <c r="C145" s="1019"/>
      <c r="D145" s="1025"/>
      <c r="E145" s="1025"/>
      <c r="F145" s="502"/>
      <c r="G145" s="503"/>
      <c r="H145" s="1040">
        <f t="shared" si="24"/>
        <v>2300</v>
      </c>
      <c r="I145" s="1041">
        <f t="shared" si="24"/>
        <v>130</v>
      </c>
      <c r="J145" s="1041">
        <f t="shared" si="24"/>
        <v>130</v>
      </c>
      <c r="K145" s="1041" t="str">
        <f t="shared" si="24"/>
        <v>NA</v>
      </c>
      <c r="L145" s="1042">
        <f t="shared" si="24"/>
        <v>0.13</v>
      </c>
      <c r="M145" s="289">
        <v>78.11</v>
      </c>
      <c r="N145" s="645">
        <v>5.4999999999999997E-3</v>
      </c>
      <c r="O145" s="645">
        <v>8.7999999999999995E-2</v>
      </c>
      <c r="P145" s="637">
        <f>10^2.13</f>
        <v>134.89628825916537</v>
      </c>
      <c r="Q145" s="629">
        <f>IF($P145="NA","NA",(0.617*Data!$D$9*$P145/100)/(1+Data!$D$15*$P145*0.000000617))</f>
        <v>2.4969302956771511</v>
      </c>
      <c r="R145" s="629">
        <f t="shared" si="25"/>
        <v>2.4969302956771511</v>
      </c>
      <c r="S145" s="290">
        <v>1</v>
      </c>
      <c r="T145" s="290">
        <f t="shared" si="26"/>
        <v>1</v>
      </c>
      <c r="U145" s="847">
        <v>1780000</v>
      </c>
      <c r="V145" s="860">
        <f>IF(Data!$D$69="",E145,IF(P145="NA","NA",(0.617*Data!$D$69*P145/100)/(1+Data!$D$15*P145*0.000000617)))</f>
        <v>1.6646201971181005</v>
      </c>
      <c r="W145" s="847">
        <f>IF(OR(Q145="NA",Q145="",V145="NA",V145=""),"NA",(1+(V145/Q145)^1.5*((1-Data!$D$75)/(1-Data!$D$18))^1.5*(Data!$D$71/Data!$D$14)^1.5*(Data!$D$73/Data!$D$72)*(1/(39.37*Data!$D$72))^0.25))</f>
        <v>3.8303093677397895</v>
      </c>
      <c r="X145" s="847">
        <f>IF(W145="NA","NA",0.15*Data!$D$71*(1-Data!$D$75)*V145*((13.12*Data!$D$73)^(0.112*LN(Data!$D$71*(1-Data!$D$75)*V145)+1.38))/(W145*Data!$D$81))</f>
        <v>89.123387042446723</v>
      </c>
      <c r="Y145" s="847">
        <f>IF(OR(W145="NA",W145="",Data!$D$91="NA",Data!$D$91=""),"NA",W145*Data!$D$91)</f>
        <v>6.8495741227413927</v>
      </c>
      <c r="Z145" s="847">
        <f>IF(OR(W145="NA",W145="",Data!$D$91="NA",Data!$D$91=""),"NA",IF(Data!$D$68&lt;X145,W145*X145/Data!$D$68*Data!$D$91,W145*Data!$D$91))</f>
        <v>6.8495741227413927</v>
      </c>
      <c r="AA145" s="853"/>
      <c r="AB145" s="712">
        <v>5</v>
      </c>
      <c r="AC145" s="712">
        <v>5</v>
      </c>
      <c r="AD145" s="292" t="s">
        <v>329</v>
      </c>
      <c r="AE145" s="287" t="s">
        <v>329</v>
      </c>
      <c r="AF145" s="287" t="s">
        <v>329</v>
      </c>
      <c r="AG145" s="288" t="s">
        <v>329</v>
      </c>
      <c r="AH145" s="841">
        <v>2300</v>
      </c>
      <c r="AI145" s="893">
        <v>130</v>
      </c>
      <c r="AJ145" s="287" t="s">
        <v>329</v>
      </c>
      <c r="AK145" s="288" t="s">
        <v>329</v>
      </c>
      <c r="AL145" s="786">
        <v>530</v>
      </c>
      <c r="AM145" s="815">
        <v>53</v>
      </c>
      <c r="AN145" s="1037">
        <v>1090</v>
      </c>
      <c r="AO145" s="1049">
        <v>109</v>
      </c>
      <c r="AP145" s="287" t="s">
        <v>329</v>
      </c>
      <c r="AQ145" s="689" t="s">
        <v>329</v>
      </c>
      <c r="AR145" s="292" t="s">
        <v>329</v>
      </c>
      <c r="AS145" s="923">
        <v>140</v>
      </c>
      <c r="AT145" s="922">
        <v>0.13</v>
      </c>
      <c r="AU145" s="932">
        <v>0.13</v>
      </c>
      <c r="AV145" s="874"/>
      <c r="AW145" s="663"/>
      <c r="AX145" s="663"/>
      <c r="AY145" s="663"/>
      <c r="AZ145" s="664"/>
    </row>
    <row r="146" spans="1:52" s="650" customFormat="1" x14ac:dyDescent="0.2">
      <c r="A146" s="307" t="s">
        <v>464</v>
      </c>
      <c r="B146" s="1020"/>
      <c r="C146" s="1019"/>
      <c r="D146" s="1025"/>
      <c r="E146" s="1025"/>
      <c r="F146" s="502"/>
      <c r="G146" s="503"/>
      <c r="H146" s="1040" t="str">
        <f t="shared" si="24"/>
        <v>NA</v>
      </c>
      <c r="I146" s="1041" t="str">
        <f t="shared" si="24"/>
        <v>NA</v>
      </c>
      <c r="J146" s="1041" t="str">
        <f t="shared" si="24"/>
        <v>NA</v>
      </c>
      <c r="K146" s="1041" t="str">
        <f t="shared" si="24"/>
        <v>NA</v>
      </c>
      <c r="L146" s="1042">
        <f t="shared" si="24"/>
        <v>3.4</v>
      </c>
      <c r="M146" s="289">
        <v>163.83000000000001</v>
      </c>
      <c r="N146" s="645">
        <v>2.4099999999999998E-3</v>
      </c>
      <c r="O146" s="645">
        <v>2.98E-2</v>
      </c>
      <c r="P146" s="637">
        <f>10^2.1</f>
        <v>125.89254117941677</v>
      </c>
      <c r="Q146" s="629">
        <f>IF($P146="NA","NA",(0.617*Data!$D$9*$P146/100)/(1+Data!$D$15*$P146*0.000000617))</f>
        <v>2.3302709372310044</v>
      </c>
      <c r="R146" s="629">
        <f t="shared" si="25"/>
        <v>2.3302709372310044</v>
      </c>
      <c r="S146" s="290">
        <v>1</v>
      </c>
      <c r="T146" s="290">
        <f t="shared" si="26"/>
        <v>1</v>
      </c>
      <c r="U146" s="847">
        <v>4700000</v>
      </c>
      <c r="V146" s="860">
        <f>IF(Data!$D$69="",E146,IF(P146="NA","NA",(0.617*Data!$D$69*P146/100)/(1+Data!$D$15*P146*0.000000617)))</f>
        <v>1.5535139581540027</v>
      </c>
      <c r="W146" s="847">
        <f>IF(OR(Q146="NA",Q146="",V146="NA",V146=""),"NA",(1+(V146/Q146)^1.5*((1-Data!$D$75)/(1-Data!$D$18))^1.5*(Data!$D$71/Data!$D$14)^1.5*(Data!$D$73/Data!$D$72)*(1/(39.37*Data!$D$72))^0.25))</f>
        <v>3.8303093677397886</v>
      </c>
      <c r="X146" s="847">
        <f>IF(W146="NA","NA",0.15*Data!$D$71*(1-Data!$D$75)*V146*((13.12*Data!$D$73)^(0.112*LN(Data!$D$71*(1-Data!$D$75)*V146)+1.38))/(W146*Data!$D$81))</f>
        <v>80.525766739556502</v>
      </c>
      <c r="Y146" s="847">
        <f>IF(OR(W146="NA",W146="",Data!$D$91="NA",Data!$D$91=""),"NA",W146*Data!$D$91)</f>
        <v>6.8495741227413909</v>
      </c>
      <c r="Z146" s="847">
        <f>IF(OR(W146="NA",W146="",Data!$D$91="NA",Data!$D$91=""),"NA",IF(Data!$D$68&lt;X146,W146*X146/Data!$D$68*Data!$D$91,W146*Data!$D$91))</f>
        <v>6.8495741227413909</v>
      </c>
      <c r="AA146" s="853"/>
      <c r="AB146" s="712">
        <v>80</v>
      </c>
      <c r="AC146" s="712">
        <v>80</v>
      </c>
      <c r="AD146" s="292" t="s">
        <v>329</v>
      </c>
      <c r="AE146" s="287" t="s">
        <v>329</v>
      </c>
      <c r="AF146" s="287" t="s">
        <v>329</v>
      </c>
      <c r="AG146" s="288" t="s">
        <v>329</v>
      </c>
      <c r="AH146" s="840" t="s">
        <v>329</v>
      </c>
      <c r="AI146" s="651" t="s">
        <v>329</v>
      </c>
      <c r="AJ146" s="287" t="s">
        <v>329</v>
      </c>
      <c r="AK146" s="288" t="s">
        <v>329</v>
      </c>
      <c r="AL146" s="786"/>
      <c r="AM146" s="815"/>
      <c r="AN146" s="1037"/>
      <c r="AO146" s="1049"/>
      <c r="AP146" s="287" t="s">
        <v>329</v>
      </c>
      <c r="AQ146" s="689" t="s">
        <v>329</v>
      </c>
      <c r="AR146" s="292" t="s">
        <v>329</v>
      </c>
      <c r="AS146" s="288" t="s">
        <v>329</v>
      </c>
      <c r="AT146" s="922">
        <v>3.4</v>
      </c>
      <c r="AU146" s="932">
        <v>3.4</v>
      </c>
      <c r="AV146" s="874"/>
      <c r="AW146" s="663"/>
      <c r="AX146" s="663"/>
      <c r="AY146" s="663"/>
      <c r="AZ146" s="664"/>
    </row>
    <row r="147" spans="1:52" s="650" customFormat="1" x14ac:dyDescent="0.2">
      <c r="A147" s="307" t="s">
        <v>465</v>
      </c>
      <c r="B147" s="1020"/>
      <c r="C147" s="1019"/>
      <c r="D147" s="1025"/>
      <c r="E147" s="1025"/>
      <c r="F147" s="502"/>
      <c r="G147" s="503"/>
      <c r="H147" s="1040">
        <f t="shared" si="24"/>
        <v>2300</v>
      </c>
      <c r="I147" s="1041">
        <f t="shared" si="24"/>
        <v>320</v>
      </c>
      <c r="J147" s="1041">
        <f t="shared" si="24"/>
        <v>320</v>
      </c>
      <c r="K147" s="1041" t="str">
        <f t="shared" si="24"/>
        <v>NA</v>
      </c>
      <c r="L147" s="1042">
        <f t="shared" si="24"/>
        <v>4.4000000000000004</v>
      </c>
      <c r="M147" s="289">
        <v>252.75</v>
      </c>
      <c r="N147" s="645">
        <v>5.3499999999999999E-4</v>
      </c>
      <c r="O147" s="645">
        <v>1.49E-2</v>
      </c>
      <c r="P147" s="637">
        <f>10^2.38</f>
        <v>239.88329190194912</v>
      </c>
      <c r="Q147" s="629">
        <f>IF($P147="NA","NA",(0.617*Data!$D$9*$P147/100)/(1+Data!$D$15*$P147*0.000000617))</f>
        <v>4.440239733105078</v>
      </c>
      <c r="R147" s="629">
        <f t="shared" si="25"/>
        <v>4.440239733105078</v>
      </c>
      <c r="S147" s="290">
        <v>1</v>
      </c>
      <c r="T147" s="290">
        <f t="shared" si="26"/>
        <v>1</v>
      </c>
      <c r="U147" s="847">
        <v>3010000</v>
      </c>
      <c r="V147" s="860">
        <f>IF(Data!$D$69="",E147,IF(P147="NA","NA",(0.617*Data!$D$69*P147/100)/(1+Data!$D$15*P147*0.000000617)))</f>
        <v>2.960159822070052</v>
      </c>
      <c r="W147" s="847">
        <f>IF(OR(Q147="NA",Q147="",V147="NA",V147=""),"NA",(1+(V147/Q147)^1.5*((1-Data!$D$75)/(1-Data!$D$18))^1.5*(Data!$D$71/Data!$D$14)^1.5*(Data!$D$73/Data!$D$72)*(1/(39.37*Data!$D$72))^0.25))</f>
        <v>3.8303093677397895</v>
      </c>
      <c r="X147" s="847">
        <f>IF(W147="NA","NA",0.15*Data!$D$71*(1-Data!$D$75)*V147*((13.12*Data!$D$73)^(0.112*LN(Data!$D$71*(1-Data!$D$75)*V147)+1.38))/(W147*Data!$D$81))</f>
        <v>207.55433214111471</v>
      </c>
      <c r="Y147" s="847">
        <f>IF(OR(W147="NA",W147="",Data!$D$91="NA",Data!$D$91=""),"NA",W147*Data!$D$91)</f>
        <v>6.8495741227413927</v>
      </c>
      <c r="Z147" s="847">
        <f>IF(OR(W147="NA",W147="",Data!$D$91="NA",Data!$D$91=""),"NA",IF(Data!$D$68&lt;X147,W147*X147/Data!$D$68*Data!$D$91,W147*Data!$D$91))</f>
        <v>7.1082939124832576</v>
      </c>
      <c r="AA147" s="853"/>
      <c r="AB147" s="712">
        <v>80</v>
      </c>
      <c r="AC147" s="712">
        <v>80</v>
      </c>
      <c r="AD147" s="292" t="s">
        <v>329</v>
      </c>
      <c r="AE147" s="287" t="s">
        <v>329</v>
      </c>
      <c r="AF147" s="287" t="s">
        <v>329</v>
      </c>
      <c r="AG147" s="288" t="s">
        <v>329</v>
      </c>
      <c r="AH147" s="841">
        <v>2300</v>
      </c>
      <c r="AI147" s="893">
        <v>320</v>
      </c>
      <c r="AJ147" s="287" t="s">
        <v>329</v>
      </c>
      <c r="AK147" s="288" t="s">
        <v>329</v>
      </c>
      <c r="AL147" s="786">
        <v>2930</v>
      </c>
      <c r="AM147" s="815">
        <v>293</v>
      </c>
      <c r="AN147" s="1037">
        <v>1790</v>
      </c>
      <c r="AO147" s="1049">
        <v>640</v>
      </c>
      <c r="AP147" s="287" t="s">
        <v>329</v>
      </c>
      <c r="AQ147" s="689" t="s">
        <v>329</v>
      </c>
      <c r="AR147" s="292" t="s">
        <v>329</v>
      </c>
      <c r="AS147" s="288" t="s">
        <v>329</v>
      </c>
      <c r="AT147" s="922">
        <v>4.4000000000000004</v>
      </c>
      <c r="AU147" s="932">
        <v>4.4000000000000004</v>
      </c>
      <c r="AV147" s="874"/>
      <c r="AW147" s="663"/>
      <c r="AX147" s="663"/>
      <c r="AY147" s="663"/>
      <c r="AZ147" s="664"/>
    </row>
    <row r="148" spans="1:52" s="650" customFormat="1" x14ac:dyDescent="0.2">
      <c r="A148" s="307" t="s">
        <v>466</v>
      </c>
      <c r="B148" s="1020"/>
      <c r="C148" s="1019"/>
      <c r="D148" s="1025"/>
      <c r="E148" s="1025"/>
      <c r="F148" s="502"/>
      <c r="G148" s="503"/>
      <c r="H148" s="1040" t="str">
        <f t="shared" si="24"/>
        <v>NA</v>
      </c>
      <c r="I148" s="1041" t="str">
        <f t="shared" si="24"/>
        <v>NA</v>
      </c>
      <c r="J148" s="1041" t="str">
        <f t="shared" si="24"/>
        <v>NA</v>
      </c>
      <c r="K148" s="1041" t="str">
        <f t="shared" si="24"/>
        <v>NA</v>
      </c>
      <c r="L148" s="1042">
        <f t="shared" si="24"/>
        <v>0.54</v>
      </c>
      <c r="M148" s="289">
        <v>94.94</v>
      </c>
      <c r="N148" s="645">
        <v>6.2399999999999999E-3</v>
      </c>
      <c r="O148" s="645">
        <v>7.2800000000000004E-2</v>
      </c>
      <c r="P148" s="637">
        <f>10^1.19</f>
        <v>15.488166189124817</v>
      </c>
      <c r="Q148" s="629">
        <f>IF($P148="NA","NA",(0.617*Data!$D$9*$P148/100)/(1+Data!$D$15*$P148*0.000000617))</f>
        <v>0.28668595616070036</v>
      </c>
      <c r="R148" s="629">
        <f t="shared" si="25"/>
        <v>0.28668595616070036</v>
      </c>
      <c r="S148" s="290">
        <v>1</v>
      </c>
      <c r="T148" s="290">
        <f t="shared" si="26"/>
        <v>1</v>
      </c>
      <c r="U148" s="847">
        <v>17500000</v>
      </c>
      <c r="V148" s="860">
        <f>IF(Data!$D$69="",E148,IF(P148="NA","NA",(0.617*Data!$D$69*P148/100)/(1+Data!$D$15*P148*0.000000617)))</f>
        <v>0.19112397077380025</v>
      </c>
      <c r="W148" s="847">
        <f>IF(OR(Q148="NA",Q148="",V148="NA",V148=""),"NA",(1+(V148/Q148)^1.5*((1-Data!$D$75)/(1-Data!$D$18))^1.5*(Data!$D$71/Data!$D$14)^1.5*(Data!$D$73/Data!$D$72)*(1/(39.37*Data!$D$72))^0.25))</f>
        <v>3.8303093677397904</v>
      </c>
      <c r="X148" s="847">
        <f>IF(W148="NA","NA",0.15*Data!$D$71*(1-Data!$D$75)*V148*((13.12*Data!$D$73)^(0.112*LN(Data!$D$71*(1-Data!$D$75)*V148)+1.38))/(W148*Data!$D$81))</f>
        <v>3.7114604226157235</v>
      </c>
      <c r="Y148" s="847">
        <f>IF(OR(W148="NA",W148="",Data!$D$91="NA",Data!$D$91=""),"NA",W148*Data!$D$91)</f>
        <v>6.8495741227413944</v>
      </c>
      <c r="Z148" s="847">
        <f>IF(OR(W148="NA",W148="",Data!$D$91="NA",Data!$D$91=""),"NA",IF(Data!$D$68&lt;X148,W148*X148/Data!$D$68*Data!$D$91,W148*Data!$D$91))</f>
        <v>6.8495741227413944</v>
      </c>
      <c r="AA148" s="853"/>
      <c r="AB148" s="710" t="s">
        <v>329</v>
      </c>
      <c r="AC148" s="710" t="s">
        <v>329</v>
      </c>
      <c r="AD148" s="292" t="s">
        <v>329</v>
      </c>
      <c r="AE148" s="287" t="s">
        <v>329</v>
      </c>
      <c r="AF148" s="287" t="s">
        <v>329</v>
      </c>
      <c r="AG148" s="288" t="s">
        <v>329</v>
      </c>
      <c r="AH148" s="840" t="s">
        <v>329</v>
      </c>
      <c r="AI148" s="651" t="s">
        <v>329</v>
      </c>
      <c r="AJ148" s="287" t="s">
        <v>329</v>
      </c>
      <c r="AK148" s="288" t="s">
        <v>329</v>
      </c>
      <c r="AL148" s="786">
        <v>1100</v>
      </c>
      <c r="AM148" s="815">
        <v>110</v>
      </c>
      <c r="AN148" s="1037">
        <v>1200</v>
      </c>
      <c r="AO148" s="1049">
        <v>120</v>
      </c>
      <c r="AP148" s="287" t="s">
        <v>329</v>
      </c>
      <c r="AQ148" s="689" t="s">
        <v>329</v>
      </c>
      <c r="AR148" s="292" t="s">
        <v>329</v>
      </c>
      <c r="AS148" s="288" t="s">
        <v>329</v>
      </c>
      <c r="AT148" s="922">
        <v>0.54</v>
      </c>
      <c r="AU148" s="932">
        <v>0.54</v>
      </c>
      <c r="AV148" s="874"/>
      <c r="AW148" s="663"/>
      <c r="AX148" s="663"/>
      <c r="AY148" s="663"/>
      <c r="AZ148" s="664"/>
    </row>
    <row r="149" spans="1:52" s="650" customFormat="1" x14ac:dyDescent="0.2">
      <c r="A149" s="307" t="s">
        <v>467</v>
      </c>
      <c r="B149" s="1020"/>
      <c r="C149" s="1019"/>
      <c r="D149" s="1025"/>
      <c r="E149" s="1025"/>
      <c r="F149" s="502"/>
      <c r="G149" s="503"/>
      <c r="H149" s="1040">
        <f t="shared" si="24"/>
        <v>240000</v>
      </c>
      <c r="I149" s="1041">
        <f t="shared" si="24"/>
        <v>14000</v>
      </c>
      <c r="J149" s="1041">
        <f t="shared" si="24"/>
        <v>14000</v>
      </c>
      <c r="K149" s="1041" t="str">
        <f t="shared" si="24"/>
        <v>NA</v>
      </c>
      <c r="L149" s="1042">
        <f t="shared" si="24"/>
        <v>54</v>
      </c>
      <c r="M149" s="289">
        <v>72.11</v>
      </c>
      <c r="N149" s="645">
        <f>0.0000514</f>
        <v>5.1400000000000003E-5</v>
      </c>
      <c r="O149" s="645">
        <v>8.0799999999999997E-2</v>
      </c>
      <c r="P149" s="637">
        <f>10^0.29</f>
        <v>1.9498445997580454</v>
      </c>
      <c r="Q149" s="629">
        <f>IF($P149="NA","NA",(0.617*Data!$D$9*$P149/100)/(1+Data!$D$15*$P149*0.000000617))</f>
        <v>3.6091623541521421E-2</v>
      </c>
      <c r="R149" s="629">
        <f t="shared" si="25"/>
        <v>3.6091623541521421E-2</v>
      </c>
      <c r="S149" s="290">
        <v>1</v>
      </c>
      <c r="T149" s="290">
        <f t="shared" si="26"/>
        <v>1</v>
      </c>
      <c r="U149" s="847">
        <v>275000000</v>
      </c>
      <c r="V149" s="860">
        <f>IF(Data!$D$69="",E149,IF(P149="NA","NA",(0.617*Data!$D$69*P149/100)/(1+Data!$D$15*P149*0.000000617)))</f>
        <v>2.4061082361014278E-2</v>
      </c>
      <c r="W149" s="847">
        <f>IF(OR(Q149="NA",Q149="",V149="NA",V149=""),"NA",(1+(V149/Q149)^1.5*((1-Data!$D$75)/(1-Data!$D$18))^1.5*(Data!$D$71/Data!$D$14)^1.5*(Data!$D$73/Data!$D$72)*(1/(39.37*Data!$D$72))^0.25))</f>
        <v>3.8303093677397895</v>
      </c>
      <c r="X149" s="847">
        <f>IF(W149="NA","NA",0.15*Data!$D$71*(1-Data!$D$75)*V149*((13.12*Data!$D$73)^(0.112*LN(Data!$D$71*(1-Data!$D$75)*V149)+1.38))/(W149*Data!$D$81))</f>
        <v>0.17694585907347729</v>
      </c>
      <c r="Y149" s="847">
        <f>IF(OR(W149="NA",W149="",Data!$D$91="NA",Data!$D$91=""),"NA",W149*Data!$D$91)</f>
        <v>6.8495741227413927</v>
      </c>
      <c r="Z149" s="847">
        <f>IF(OR(W149="NA",W149="",Data!$D$91="NA",Data!$D$91=""),"NA",IF(Data!$D$68&lt;X149,W149*X149/Data!$D$68*Data!$D$91,W149*Data!$D$91))</f>
        <v>6.8495741227413927</v>
      </c>
      <c r="AA149" s="853"/>
      <c r="AB149" s="710" t="s">
        <v>329</v>
      </c>
      <c r="AC149" s="710" t="s">
        <v>329</v>
      </c>
      <c r="AD149" s="292" t="s">
        <v>329</v>
      </c>
      <c r="AE149" s="287" t="s">
        <v>329</v>
      </c>
      <c r="AF149" s="287" t="s">
        <v>329</v>
      </c>
      <c r="AG149" s="288" t="s">
        <v>329</v>
      </c>
      <c r="AH149" s="841">
        <v>240000</v>
      </c>
      <c r="AI149" s="893">
        <v>14000</v>
      </c>
      <c r="AJ149" s="287" t="s">
        <v>329</v>
      </c>
      <c r="AK149" s="288" t="s">
        <v>329</v>
      </c>
      <c r="AL149" s="786"/>
      <c r="AM149" s="815"/>
      <c r="AN149" s="1037"/>
      <c r="AO149" s="1049"/>
      <c r="AP149" s="287" t="s">
        <v>329</v>
      </c>
      <c r="AQ149" s="689" t="s">
        <v>329</v>
      </c>
      <c r="AR149" s="292" t="s">
        <v>329</v>
      </c>
      <c r="AS149" s="288" t="s">
        <v>329</v>
      </c>
      <c r="AT149" s="922">
        <v>54</v>
      </c>
      <c r="AU149" s="932">
        <v>110</v>
      </c>
      <c r="AV149" s="874"/>
      <c r="AW149" s="663"/>
      <c r="AX149" s="663"/>
      <c r="AY149" s="663"/>
      <c r="AZ149" s="664"/>
    </row>
    <row r="150" spans="1:52" s="650" customFormat="1" x14ac:dyDescent="0.2">
      <c r="A150" s="307" t="s">
        <v>468</v>
      </c>
      <c r="B150" s="1020"/>
      <c r="C150" s="1019"/>
      <c r="D150" s="1025"/>
      <c r="E150" s="1025"/>
      <c r="F150" s="502"/>
      <c r="G150" s="503"/>
      <c r="H150" s="1040">
        <f t="shared" si="24"/>
        <v>17</v>
      </c>
      <c r="I150" s="1041">
        <f t="shared" si="24"/>
        <v>0.92</v>
      </c>
      <c r="J150" s="1041">
        <f t="shared" si="24"/>
        <v>0.92</v>
      </c>
      <c r="K150" s="1041" t="str">
        <f t="shared" si="24"/>
        <v>NA</v>
      </c>
      <c r="L150" s="1042">
        <f t="shared" si="24"/>
        <v>160</v>
      </c>
      <c r="M150" s="289">
        <v>76.14</v>
      </c>
      <c r="N150" s="645">
        <v>3.0300000000000001E-2</v>
      </c>
      <c r="O150" s="645">
        <v>0.104</v>
      </c>
      <c r="P150" s="637">
        <f>10^1.94</f>
        <v>87.096358995608071</v>
      </c>
      <c r="Q150" s="629">
        <f>IF($P150="NA","NA",(0.617*Data!$D$9*$P150/100)/(1+Data!$D$15*$P150*0.000000617))</f>
        <v>1.6121536050087053</v>
      </c>
      <c r="R150" s="629">
        <f t="shared" si="25"/>
        <v>1.6121536050087053</v>
      </c>
      <c r="S150" s="290">
        <v>1</v>
      </c>
      <c r="T150" s="290">
        <f t="shared" si="26"/>
        <v>1</v>
      </c>
      <c r="U150" s="847">
        <v>2300000</v>
      </c>
      <c r="V150" s="860">
        <f>IF(Data!$D$69="",E150,IF(P150="NA","NA",(0.617*Data!$D$69*P150/100)/(1+Data!$D$15*P150*0.000000617)))</f>
        <v>1.0747690700058035</v>
      </c>
      <c r="W150" s="847">
        <f>IF(OR(Q150="NA",Q150="",V150="NA",V150=""),"NA",(1+(V150/Q150)^1.5*((1-Data!$D$75)/(1-Data!$D$18))^1.5*(Data!$D$71/Data!$D$14)^1.5*(Data!$D$73/Data!$D$72)*(1/(39.37*Data!$D$72))^0.25))</f>
        <v>3.8303093677397895</v>
      </c>
      <c r="X150" s="847">
        <f>IF(W150="NA","NA",0.15*Data!$D$71*(1-Data!$D$75)*V150*((13.12*Data!$D$73)^(0.112*LN(Data!$D$71*(1-Data!$D$75)*V150)+1.38))/(W150*Data!$D$81))</f>
        <v>46.877580928419093</v>
      </c>
      <c r="Y150" s="847">
        <f>IF(OR(W150="NA",W150="",Data!$D$91="NA",Data!$D$91=""),"NA",W150*Data!$D$91)</f>
        <v>6.8495741227413927</v>
      </c>
      <c r="Z150" s="847">
        <f>IF(OR(W150="NA",W150="",Data!$D$91="NA",Data!$D$91=""),"NA",IF(Data!$D$68&lt;X150,W150*X150/Data!$D$68*Data!$D$91,W150*Data!$D$91))</f>
        <v>6.8495741227413927</v>
      </c>
      <c r="AA150" s="853"/>
      <c r="AB150" s="710" t="s">
        <v>329</v>
      </c>
      <c r="AC150" s="710" t="s">
        <v>329</v>
      </c>
      <c r="AD150" s="292" t="s">
        <v>329</v>
      </c>
      <c r="AE150" s="287" t="s">
        <v>329</v>
      </c>
      <c r="AF150" s="287" t="s">
        <v>329</v>
      </c>
      <c r="AG150" s="288" t="s">
        <v>329</v>
      </c>
      <c r="AH150" s="841">
        <v>17</v>
      </c>
      <c r="AI150" s="894">
        <v>0.92</v>
      </c>
      <c r="AJ150" s="287" t="s">
        <v>329</v>
      </c>
      <c r="AK150" s="288" t="s">
        <v>329</v>
      </c>
      <c r="AL150" s="786"/>
      <c r="AM150" s="815"/>
      <c r="AN150" s="1037"/>
      <c r="AO150" s="1049"/>
      <c r="AP150" s="287" t="s">
        <v>329</v>
      </c>
      <c r="AQ150" s="689" t="s">
        <v>329</v>
      </c>
      <c r="AR150" s="292" t="s">
        <v>329</v>
      </c>
      <c r="AS150" s="288" t="s">
        <v>329</v>
      </c>
      <c r="AT150" s="922">
        <v>160</v>
      </c>
      <c r="AU150" s="932">
        <v>350</v>
      </c>
      <c r="AV150" s="874"/>
      <c r="AW150" s="663"/>
      <c r="AX150" s="663"/>
      <c r="AY150" s="663"/>
      <c r="AZ150" s="664"/>
    </row>
    <row r="151" spans="1:52" s="650" customFormat="1" x14ac:dyDescent="0.2">
      <c r="A151" s="307" t="s">
        <v>469</v>
      </c>
      <c r="B151" s="1020"/>
      <c r="C151" s="1019"/>
      <c r="D151" s="1025"/>
      <c r="E151" s="1025"/>
      <c r="F151" s="502"/>
      <c r="G151" s="503"/>
      <c r="H151" s="1040">
        <f t="shared" si="24"/>
        <v>180</v>
      </c>
      <c r="I151" s="1041">
        <f t="shared" si="24"/>
        <v>9.8000000000000007</v>
      </c>
      <c r="J151" s="1041">
        <f t="shared" si="24"/>
        <v>9.8000000000000007</v>
      </c>
      <c r="K151" s="1041" t="str">
        <f t="shared" si="24"/>
        <v>NA</v>
      </c>
      <c r="L151" s="1042">
        <f t="shared" si="24"/>
        <v>0.26</v>
      </c>
      <c r="M151" s="289">
        <v>153.82</v>
      </c>
      <c r="N151" s="645">
        <v>3.04E-2</v>
      </c>
      <c r="O151" s="645">
        <v>7.8E-2</v>
      </c>
      <c r="P151" s="637">
        <f>10^2.96</f>
        <v>912.01083935590987</v>
      </c>
      <c r="Q151" s="629">
        <f>IF($P151="NA","NA",(0.617*Data!$D$9*$P151/100)/(1+Data!$D$15*$P151*0.000000617))</f>
        <v>16.881320636477891</v>
      </c>
      <c r="R151" s="629">
        <f t="shared" si="25"/>
        <v>16.881320636477891</v>
      </c>
      <c r="S151" s="290">
        <v>1</v>
      </c>
      <c r="T151" s="290">
        <f t="shared" si="26"/>
        <v>1</v>
      </c>
      <c r="U151" s="847">
        <v>785000</v>
      </c>
      <c r="V151" s="860">
        <f>IF(Data!$D$69="",E151,IF(P151="NA","NA",(0.617*Data!$D$69*P151/100)/(1+Data!$D$15*P151*0.000000617)))</f>
        <v>11.254213757651929</v>
      </c>
      <c r="W151" s="847">
        <f>IF(OR(Q151="NA",Q151="",V151="NA",V151=""),"NA",(1+(V151/Q151)^1.5*((1-Data!$D$75)/(1-Data!$D$18))^1.5*(Data!$D$71/Data!$D$14)^1.5*(Data!$D$73/Data!$D$72)*(1/(39.37*Data!$D$72))^0.25))</f>
        <v>3.8303093677397904</v>
      </c>
      <c r="X151" s="847">
        <f>IF(W151="NA","NA",0.15*Data!$D$71*(1-Data!$D$75)*V151*((13.12*Data!$D$73)^(0.112*LN(Data!$D$71*(1-Data!$D$75)*V151)+1.38))/(W151*Data!$D$81))</f>
        <v>1475.3561784735934</v>
      </c>
      <c r="Y151" s="847">
        <f>IF(OR(W151="NA",W151="",Data!$D$91="NA",Data!$D$91=""),"NA",W151*Data!$D$91)</f>
        <v>6.8495741227413944</v>
      </c>
      <c r="Z151" s="847">
        <f>IF(OR(W151="NA",W151="",Data!$D$91="NA",Data!$D$91=""),"NA",IF(Data!$D$68&lt;X151,W151*X151/Data!$D$68*Data!$D$91,W151*Data!$D$91))</f>
        <v>50.527807509496796</v>
      </c>
      <c r="AA151" s="853"/>
      <c r="AB151" s="712">
        <v>5</v>
      </c>
      <c r="AC151" s="712">
        <v>5</v>
      </c>
      <c r="AD151" s="292" t="s">
        <v>329</v>
      </c>
      <c r="AE151" s="287" t="s">
        <v>329</v>
      </c>
      <c r="AF151" s="287" t="s">
        <v>329</v>
      </c>
      <c r="AG151" s="288" t="s">
        <v>329</v>
      </c>
      <c r="AH151" s="841">
        <v>180</v>
      </c>
      <c r="AI151" s="895">
        <v>9.8000000000000007</v>
      </c>
      <c r="AJ151" s="287" t="s">
        <v>329</v>
      </c>
      <c r="AK151" s="288" t="s">
        <v>329</v>
      </c>
      <c r="AL151" s="786">
        <v>3520</v>
      </c>
      <c r="AM151" s="815">
        <v>352</v>
      </c>
      <c r="AN151" s="1037">
        <v>15000</v>
      </c>
      <c r="AO151" s="1049">
        <v>1500</v>
      </c>
      <c r="AP151" s="287" t="s">
        <v>329</v>
      </c>
      <c r="AQ151" s="689" t="s">
        <v>329</v>
      </c>
      <c r="AR151" s="292" t="s">
        <v>329</v>
      </c>
      <c r="AS151" s="288" t="s">
        <v>329</v>
      </c>
      <c r="AT151" s="922">
        <v>0.26</v>
      </c>
      <c r="AU151" s="932">
        <v>0.26</v>
      </c>
      <c r="AV151" s="874"/>
      <c r="AW151" s="663"/>
      <c r="AX151" s="663"/>
      <c r="AY151" s="663"/>
      <c r="AZ151" s="664"/>
    </row>
    <row r="152" spans="1:52" s="650" customFormat="1" x14ac:dyDescent="0.2">
      <c r="A152" s="307" t="s">
        <v>470</v>
      </c>
      <c r="B152" s="1020"/>
      <c r="C152" s="1019"/>
      <c r="D152" s="1025"/>
      <c r="E152" s="1025"/>
      <c r="F152" s="502"/>
      <c r="G152" s="503"/>
      <c r="H152" s="1040">
        <f t="shared" ref="H152:L161" si="27">IF(INDEX($AB$11:$AZ$310,,H$7)=0,"NA",INDEX($AB$11:$AZ$310,,H$7))</f>
        <v>1100</v>
      </c>
      <c r="I152" s="1041">
        <f t="shared" si="27"/>
        <v>64</v>
      </c>
      <c r="J152" s="1041">
        <f t="shared" si="27"/>
        <v>64</v>
      </c>
      <c r="K152" s="1041" t="str">
        <f t="shared" si="27"/>
        <v>NA</v>
      </c>
      <c r="L152" s="1042">
        <f t="shared" si="27"/>
        <v>6.1</v>
      </c>
      <c r="M152" s="289">
        <v>112.56</v>
      </c>
      <c r="N152" s="645">
        <v>3.5799999999999998E-3</v>
      </c>
      <c r="O152" s="645">
        <v>7.2999999999999995E-2</v>
      </c>
      <c r="P152" s="637">
        <f>10^2.84</f>
        <v>691.83097091893671</v>
      </c>
      <c r="Q152" s="629">
        <f>IF($P152="NA","NA",(0.617*Data!$D$9*$P152/100)/(1+Data!$D$15*$P152*0.000000617))</f>
        <v>12.805791271709518</v>
      </c>
      <c r="R152" s="629">
        <f t="shared" si="25"/>
        <v>12.805791271709518</v>
      </c>
      <c r="S152" s="290">
        <v>1</v>
      </c>
      <c r="T152" s="290">
        <f t="shared" si="26"/>
        <v>1</v>
      </c>
      <c r="U152" s="847">
        <v>488000</v>
      </c>
      <c r="V152" s="860">
        <f>IF(Data!$D$69="",E152,IF(P152="NA","NA",(0.617*Data!$D$69*P152/100)/(1+Data!$D$15*P152*0.000000617)))</f>
        <v>8.5371941811396788</v>
      </c>
      <c r="W152" s="847">
        <f>IF(OR(Q152="NA",Q152="",V152="NA",V152=""),"NA",(1+(V152/Q152)^1.5*((1-Data!$D$75)/(1-Data!$D$18))^1.5*(Data!$D$71/Data!$D$14)^1.5*(Data!$D$73/Data!$D$72)*(1/(39.37*Data!$D$72))^0.25))</f>
        <v>3.8303093677397895</v>
      </c>
      <c r="X152" s="847">
        <f>IF(W152="NA","NA",0.15*Data!$D$71*(1-Data!$D$75)*V152*((13.12*Data!$D$73)^(0.112*LN(Data!$D$71*(1-Data!$D$75)*V152)+1.38))/(W152*Data!$D$81))</f>
        <v>983.26283098575288</v>
      </c>
      <c r="Y152" s="847">
        <f>IF(OR(W152="NA",W152="",Data!$D$91="NA",Data!$D$91=""),"NA",W152*Data!$D$91)</f>
        <v>6.8495741227413927</v>
      </c>
      <c r="Z152" s="847">
        <f>IF(OR(W152="NA",W152="",Data!$D$91="NA",Data!$D$91=""),"NA",IF(Data!$D$68&lt;X152,W152*X152/Data!$D$68*Data!$D$91,W152*Data!$D$91))</f>
        <v>33.674658214867279</v>
      </c>
      <c r="AA152" s="853"/>
      <c r="AB152" s="712">
        <v>100</v>
      </c>
      <c r="AC152" s="712">
        <v>100</v>
      </c>
      <c r="AD152" s="292" t="s">
        <v>329</v>
      </c>
      <c r="AE152" s="287" t="s">
        <v>329</v>
      </c>
      <c r="AF152" s="287" t="s">
        <v>329</v>
      </c>
      <c r="AG152" s="288" t="s">
        <v>329</v>
      </c>
      <c r="AH152" s="841">
        <v>1100</v>
      </c>
      <c r="AI152" s="893">
        <v>64</v>
      </c>
      <c r="AJ152" s="287" t="s">
        <v>329</v>
      </c>
      <c r="AK152" s="288" t="s">
        <v>329</v>
      </c>
      <c r="AL152" s="786">
        <v>1950</v>
      </c>
      <c r="AM152" s="815">
        <v>195</v>
      </c>
      <c r="AN152" s="1037">
        <v>1050</v>
      </c>
      <c r="AO152" s="1049">
        <v>105</v>
      </c>
      <c r="AP152" s="287" t="s">
        <v>329</v>
      </c>
      <c r="AQ152" s="689" t="s">
        <v>329</v>
      </c>
      <c r="AR152" s="292" t="s">
        <v>329</v>
      </c>
      <c r="AS152" s="288" t="s">
        <v>329</v>
      </c>
      <c r="AT152" s="922">
        <v>6.1</v>
      </c>
      <c r="AU152" s="932">
        <v>6.1</v>
      </c>
      <c r="AV152" s="874"/>
      <c r="AW152" s="663"/>
      <c r="AX152" s="663"/>
      <c r="AY152" s="663"/>
      <c r="AZ152" s="664"/>
    </row>
    <row r="153" spans="1:52" s="650" customFormat="1" x14ac:dyDescent="0.2">
      <c r="A153" s="307" t="s">
        <v>471</v>
      </c>
      <c r="B153" s="1020"/>
      <c r="C153" s="1019"/>
      <c r="D153" s="1025"/>
      <c r="E153" s="1025"/>
      <c r="F153" s="502"/>
      <c r="G153" s="503"/>
      <c r="H153" s="1040" t="str">
        <f t="shared" si="27"/>
        <v>NA</v>
      </c>
      <c r="I153" s="1041" t="str">
        <f t="shared" si="27"/>
        <v>NA</v>
      </c>
      <c r="J153" s="1041" t="str">
        <f t="shared" si="27"/>
        <v>NA</v>
      </c>
      <c r="K153" s="1041" t="str">
        <f t="shared" si="27"/>
        <v>NA</v>
      </c>
      <c r="L153" s="1042">
        <f t="shared" si="27"/>
        <v>5</v>
      </c>
      <c r="M153" s="289">
        <v>64.52</v>
      </c>
      <c r="N153" s="645">
        <v>0.14799999999999999</v>
      </c>
      <c r="O153" s="645">
        <v>0.27410000000000001</v>
      </c>
      <c r="P153" s="637">
        <f>10^1.43</f>
        <v>26.915348039269158</v>
      </c>
      <c r="Q153" s="629">
        <f>IF($P153="NA","NA",(0.617*Data!$D$9*$P153/100)/(1+Data!$D$15*$P153*0.000000617))</f>
        <v>0.49820309220687214</v>
      </c>
      <c r="R153" s="629">
        <f t="shared" si="25"/>
        <v>0.49820309220687214</v>
      </c>
      <c r="S153" s="290">
        <v>1</v>
      </c>
      <c r="T153" s="290">
        <f t="shared" si="26"/>
        <v>1</v>
      </c>
      <c r="U153" s="847">
        <v>5740000</v>
      </c>
      <c r="V153" s="860">
        <f>IF(Data!$D$69="",E153,IF(P153="NA","NA",(0.617*Data!$D$69*P153/100)/(1+Data!$D$15*P153*0.000000617)))</f>
        <v>0.33213539480458137</v>
      </c>
      <c r="W153" s="847">
        <f>IF(OR(Q153="NA",Q153="",V153="NA",V153=""),"NA",(1+(V153/Q153)^1.5*((1-Data!$D$75)/(1-Data!$D$18))^1.5*(Data!$D$71/Data!$D$14)^1.5*(Data!$D$73/Data!$D$72)*(1/(39.37*Data!$D$72))^0.25))</f>
        <v>3.8303093677397886</v>
      </c>
      <c r="X153" s="847">
        <f>IF(W153="NA","NA",0.15*Data!$D$71*(1-Data!$D$75)*V153*((13.12*Data!$D$73)^(0.112*LN(Data!$D$71*(1-Data!$D$75)*V153)+1.38))/(W153*Data!$D$81))</f>
        <v>8.3560176470566816</v>
      </c>
      <c r="Y153" s="847">
        <f>IF(OR(W153="NA",W153="",Data!$D$91="NA",Data!$D$91=""),"NA",W153*Data!$D$91)</f>
        <v>6.8495741227413909</v>
      </c>
      <c r="Z153" s="847">
        <f>IF(OR(W153="NA",W153="",Data!$D$91="NA",Data!$D$91=""),"NA",IF(Data!$D$68&lt;X153,W153*X153/Data!$D$68*Data!$D$91,W153*Data!$D$91))</f>
        <v>6.8495741227413909</v>
      </c>
      <c r="AA153" s="853"/>
      <c r="AB153" s="710" t="s">
        <v>329</v>
      </c>
      <c r="AC153" s="710" t="s">
        <v>329</v>
      </c>
      <c r="AD153" s="292" t="s">
        <v>329</v>
      </c>
      <c r="AE153" s="287" t="s">
        <v>329</v>
      </c>
      <c r="AF153" s="287" t="s">
        <v>329</v>
      </c>
      <c r="AG153" s="288" t="s">
        <v>329</v>
      </c>
      <c r="AH153" s="840" t="s">
        <v>329</v>
      </c>
      <c r="AI153" s="651" t="s">
        <v>329</v>
      </c>
      <c r="AJ153" s="287" t="s">
        <v>329</v>
      </c>
      <c r="AK153" s="288" t="s">
        <v>329</v>
      </c>
      <c r="AL153" s="786"/>
      <c r="AM153" s="815"/>
      <c r="AN153" s="1037"/>
      <c r="AO153" s="1049"/>
      <c r="AP153" s="287" t="s">
        <v>329</v>
      </c>
      <c r="AQ153" s="689" t="s">
        <v>329</v>
      </c>
      <c r="AR153" s="292" t="s">
        <v>329</v>
      </c>
      <c r="AS153" s="288" t="s">
        <v>329</v>
      </c>
      <c r="AT153" s="922">
        <v>5</v>
      </c>
      <c r="AU153" s="932">
        <v>19</v>
      </c>
      <c r="AV153" s="874"/>
      <c r="AW153" s="663"/>
      <c r="AX153" s="663"/>
      <c r="AY153" s="663"/>
      <c r="AZ153" s="664"/>
    </row>
    <row r="154" spans="1:52" s="650" customFormat="1" x14ac:dyDescent="0.2">
      <c r="A154" s="307" t="s">
        <v>472</v>
      </c>
      <c r="B154" s="1020"/>
      <c r="C154" s="1019"/>
      <c r="D154" s="1025"/>
      <c r="E154" s="1025"/>
      <c r="F154" s="502"/>
      <c r="G154" s="503"/>
      <c r="H154" s="1040">
        <f t="shared" si="27"/>
        <v>490</v>
      </c>
      <c r="I154" s="1041">
        <f t="shared" si="27"/>
        <v>28</v>
      </c>
      <c r="J154" s="1041">
        <f t="shared" si="27"/>
        <v>28</v>
      </c>
      <c r="K154" s="1041" t="str">
        <f t="shared" si="27"/>
        <v>NA</v>
      </c>
      <c r="L154" s="1042">
        <f t="shared" si="27"/>
        <v>2.5</v>
      </c>
      <c r="M154" s="289">
        <v>119.38</v>
      </c>
      <c r="N154" s="645">
        <v>2.8800000000000002E-3</v>
      </c>
      <c r="O154" s="645">
        <v>0.104</v>
      </c>
      <c r="P154" s="637">
        <f>10^1.92</f>
        <v>83.176377110267126</v>
      </c>
      <c r="Q154" s="629">
        <f>IF($P154="NA","NA",(0.617*Data!$D$9*$P154/100)/(1+Data!$D$15*$P154*0.000000617))</f>
        <v>1.5395947403110444</v>
      </c>
      <c r="R154" s="629">
        <f t="shared" si="25"/>
        <v>1.5395947403110444</v>
      </c>
      <c r="S154" s="290">
        <v>1</v>
      </c>
      <c r="T154" s="290">
        <f t="shared" si="26"/>
        <v>1</v>
      </c>
      <c r="U154" s="847">
        <v>8200000</v>
      </c>
      <c r="V154" s="860">
        <f>IF(Data!$D$69="",E154,IF(P154="NA","NA",(0.617*Data!$D$69*P154/100)/(1+Data!$D$15*P154*0.000000617)))</f>
        <v>1.0263964935406964</v>
      </c>
      <c r="W154" s="847">
        <f>IF(OR(Q154="NA",Q154="",V154="NA",V154=""),"NA",(1+(V154/Q154)^1.5*((1-Data!$D$75)/(1-Data!$D$18))^1.5*(Data!$D$71/Data!$D$14)^1.5*(Data!$D$73/Data!$D$72)*(1/(39.37*Data!$D$72))^0.25))</f>
        <v>3.8303093677397904</v>
      </c>
      <c r="X154" s="847">
        <f>IF(W154="NA","NA",0.15*Data!$D$71*(1-Data!$D$75)*V154*((13.12*Data!$D$73)^(0.112*LN(Data!$D$71*(1-Data!$D$75)*V154)+1.38))/(W154*Data!$D$81))</f>
        <v>43.812091165244539</v>
      </c>
      <c r="Y154" s="847">
        <f>IF(OR(W154="NA",W154="",Data!$D$91="NA",Data!$D$91=""),"NA",W154*Data!$D$91)</f>
        <v>6.8495741227413944</v>
      </c>
      <c r="Z154" s="847">
        <f>IF(OR(W154="NA",W154="",Data!$D$91="NA",Data!$D$91=""),"NA",IF(Data!$D$68&lt;X154,W154*X154/Data!$D$68*Data!$D$91,W154*Data!$D$91))</f>
        <v>6.8495741227413944</v>
      </c>
      <c r="AA154" s="853"/>
      <c r="AB154" s="712">
        <v>80</v>
      </c>
      <c r="AC154" s="712">
        <v>80</v>
      </c>
      <c r="AD154" s="292" t="s">
        <v>329</v>
      </c>
      <c r="AE154" s="287" t="s">
        <v>329</v>
      </c>
      <c r="AF154" s="287" t="s">
        <v>329</v>
      </c>
      <c r="AG154" s="288" t="s">
        <v>329</v>
      </c>
      <c r="AH154" s="841">
        <v>490</v>
      </c>
      <c r="AI154" s="893">
        <v>28</v>
      </c>
      <c r="AJ154" s="287" t="s">
        <v>329</v>
      </c>
      <c r="AK154" s="288" t="s">
        <v>329</v>
      </c>
      <c r="AL154" s="786">
        <v>2890</v>
      </c>
      <c r="AM154" s="815">
        <v>289</v>
      </c>
      <c r="AN154" s="1037">
        <v>8150</v>
      </c>
      <c r="AO154" s="1049">
        <v>815</v>
      </c>
      <c r="AP154" s="287" t="s">
        <v>329</v>
      </c>
      <c r="AQ154" s="689" t="s">
        <v>329</v>
      </c>
      <c r="AR154" s="292" t="s">
        <v>329</v>
      </c>
      <c r="AS154" s="288" t="s">
        <v>329</v>
      </c>
      <c r="AT154" s="922">
        <v>2.5</v>
      </c>
      <c r="AU154" s="932">
        <v>2.5</v>
      </c>
      <c r="AV154" s="874"/>
      <c r="AW154" s="663"/>
      <c r="AX154" s="663"/>
      <c r="AY154" s="663"/>
      <c r="AZ154" s="664"/>
    </row>
    <row r="155" spans="1:52" s="650" customFormat="1" x14ac:dyDescent="0.2">
      <c r="A155" s="307" t="s">
        <v>473</v>
      </c>
      <c r="B155" s="1020"/>
      <c r="C155" s="1019"/>
      <c r="D155" s="1025"/>
      <c r="E155" s="1025"/>
      <c r="F155" s="502"/>
      <c r="G155" s="503"/>
      <c r="H155" s="1040" t="str">
        <f t="shared" si="27"/>
        <v>NA</v>
      </c>
      <c r="I155" s="1041" t="str">
        <f t="shared" si="27"/>
        <v>NA</v>
      </c>
      <c r="J155" s="1041" t="str">
        <f t="shared" si="27"/>
        <v>NA</v>
      </c>
      <c r="K155" s="1041" t="str">
        <f t="shared" si="27"/>
        <v>NA</v>
      </c>
      <c r="L155" s="1042">
        <f t="shared" si="27"/>
        <v>3.7999999999999999E-2</v>
      </c>
      <c r="M155" s="289">
        <v>50.49</v>
      </c>
      <c r="N155" s="645">
        <v>8.8199999999999997E-3</v>
      </c>
      <c r="O155" s="645">
        <v>0.1085</v>
      </c>
      <c r="P155" s="637">
        <f>10^0.91</f>
        <v>8.1283051616409931</v>
      </c>
      <c r="Q155" s="629">
        <f>IF($P155="NA","NA",(0.617*Data!$D$9*$P155/100)/(1+Data!$D$15*$P155*0.000000617))</f>
        <v>0.15045492854197479</v>
      </c>
      <c r="R155" s="629">
        <f t="shared" si="25"/>
        <v>0.15045492854197479</v>
      </c>
      <c r="S155" s="290">
        <v>1</v>
      </c>
      <c r="T155" s="290">
        <f t="shared" si="26"/>
        <v>1</v>
      </c>
      <c r="U155" s="847">
        <v>6450000</v>
      </c>
      <c r="V155" s="860">
        <f>IF(Data!$D$69="",E155,IF(P155="NA","NA",(0.617*Data!$D$69*P155/100)/(1+Data!$D$15*P155*0.000000617)))</f>
        <v>0.10030328569464986</v>
      </c>
      <c r="W155" s="847">
        <f>IF(OR(Q155="NA",Q155="",V155="NA",V155=""),"NA",(1+(V155/Q155)^1.5*((1-Data!$D$75)/(1-Data!$D$18))^1.5*(Data!$D$71/Data!$D$14)^1.5*(Data!$D$73/Data!$D$72)*(1/(39.37*Data!$D$72))^0.25))</f>
        <v>3.8303093677397895</v>
      </c>
      <c r="X155" s="847">
        <f>IF(W155="NA","NA",0.15*Data!$D$71*(1-Data!$D$75)*V155*((13.12*Data!$D$73)^(0.112*LN(Data!$D$71*(1-Data!$D$75)*V155)+1.38))/(W155*Data!$D$81))</f>
        <v>1.439951617350252</v>
      </c>
      <c r="Y155" s="847">
        <f>IF(OR(W155="NA",W155="",Data!$D$91="NA",Data!$D$91=""),"NA",W155*Data!$D$91)</f>
        <v>6.8495741227413927</v>
      </c>
      <c r="Z155" s="847">
        <f>IF(OR(W155="NA",W155="",Data!$D$91="NA",Data!$D$91=""),"NA",IF(Data!$D$68&lt;X155,W155*X155/Data!$D$68*Data!$D$91,W155*Data!$D$91))</f>
        <v>6.8495741227413927</v>
      </c>
      <c r="AA155" s="853"/>
      <c r="AB155" s="710" t="s">
        <v>329</v>
      </c>
      <c r="AC155" s="710" t="s">
        <v>329</v>
      </c>
      <c r="AD155" s="292" t="s">
        <v>329</v>
      </c>
      <c r="AE155" s="287" t="s">
        <v>329</v>
      </c>
      <c r="AF155" s="287" t="s">
        <v>329</v>
      </c>
      <c r="AG155" s="288" t="s">
        <v>329</v>
      </c>
      <c r="AH155" s="840" t="s">
        <v>329</v>
      </c>
      <c r="AI155" s="651" t="s">
        <v>329</v>
      </c>
      <c r="AJ155" s="287" t="s">
        <v>329</v>
      </c>
      <c r="AK155" s="288" t="s">
        <v>329</v>
      </c>
      <c r="AL155" s="786">
        <v>55000</v>
      </c>
      <c r="AM155" s="815">
        <v>5500</v>
      </c>
      <c r="AN155" s="1037">
        <v>27000</v>
      </c>
      <c r="AO155" s="1049">
        <v>2700</v>
      </c>
      <c r="AP155" s="287" t="s">
        <v>329</v>
      </c>
      <c r="AQ155" s="689" t="s">
        <v>329</v>
      </c>
      <c r="AR155" s="292" t="s">
        <v>329</v>
      </c>
      <c r="AS155" s="288" t="s">
        <v>329</v>
      </c>
      <c r="AT155" s="922">
        <v>3.7999999999999999E-2</v>
      </c>
      <c r="AU155" s="932">
        <v>3.7999999999999999E-2</v>
      </c>
      <c r="AV155" s="874"/>
      <c r="AW155" s="663"/>
      <c r="AX155" s="663"/>
      <c r="AY155" s="663"/>
      <c r="AZ155" s="664"/>
    </row>
    <row r="156" spans="1:52" s="650" customFormat="1" x14ac:dyDescent="0.2">
      <c r="A156" s="308" t="s">
        <v>474</v>
      </c>
      <c r="B156" s="1020"/>
      <c r="C156" s="1019"/>
      <c r="D156" s="1025"/>
      <c r="E156" s="1025"/>
      <c r="F156" s="502"/>
      <c r="G156" s="503"/>
      <c r="H156" s="1040">
        <f t="shared" si="27"/>
        <v>880</v>
      </c>
      <c r="I156" s="1041">
        <f t="shared" si="27"/>
        <v>49</v>
      </c>
      <c r="J156" s="1041">
        <f t="shared" si="27"/>
        <v>49</v>
      </c>
      <c r="K156" s="1041" t="str">
        <f t="shared" si="27"/>
        <v>NA</v>
      </c>
      <c r="L156" s="1042" t="str">
        <f t="shared" si="27"/>
        <v>NA</v>
      </c>
      <c r="M156" s="522">
        <v>142.29</v>
      </c>
      <c r="N156" s="667">
        <v>4.726</v>
      </c>
      <c r="O156" s="667">
        <v>0.05</v>
      </c>
      <c r="P156" s="637">
        <f>10^6.25</f>
        <v>1778279.4100389241</v>
      </c>
      <c r="Q156" s="629">
        <f>IF($P156="NA","NA",(0.617*Data!$D$9*$P156/100)/(1+Data!$D$15*$P156*0.000000617))</f>
        <v>32915.951879820481</v>
      </c>
      <c r="R156" s="629">
        <f t="shared" si="25"/>
        <v>32915.951879820481</v>
      </c>
      <c r="S156" s="290">
        <v>1</v>
      </c>
      <c r="T156" s="290">
        <f t="shared" si="26"/>
        <v>1</v>
      </c>
      <c r="U156" s="848">
        <v>52</v>
      </c>
      <c r="V156" s="860">
        <f>IF(Data!$D$69="",E156,IF(P156="NA","NA",(0.617*Data!$D$69*P156/100)/(1+Data!$D$15*P156*0.000000617)))</f>
        <v>21943.967919880324</v>
      </c>
      <c r="W156" s="847">
        <f>IF(OR(Q156="NA",Q156="",V156="NA",V156=""),"NA",(1+(V156/Q156)^1.5*((1-Data!$D$75)/(1-Data!$D$18))^1.5*(Data!$D$71/Data!$D$14)^1.5*(Data!$D$73/Data!$D$72)*(1/(39.37*Data!$D$72))^0.25))</f>
        <v>3.8303093677397904</v>
      </c>
      <c r="X156" s="847">
        <f>IF(W156="NA","NA",0.15*Data!$D$71*(1-Data!$D$75)*V156*((13.12*Data!$D$73)^(0.112*LN(Data!$D$71*(1-Data!$D$75)*V156)+1.38))/(W156*Data!$D$81))</f>
        <v>100106171.46181849</v>
      </c>
      <c r="Y156" s="847">
        <f>IF(OR(W156="NA",W156="",Data!$D$91="NA",Data!$D$91=""),"NA",W156*Data!$D$91)</f>
        <v>6.8495741227413944</v>
      </c>
      <c r="Z156" s="847">
        <f>IF(OR(W156="NA",W156="",Data!$D$91="NA",Data!$D$91=""),"NA",IF(Data!$D$68&lt;X156,W156*X156/Data!$D$68*Data!$D$91,W156*Data!$D$91))</f>
        <v>3428423.207857925</v>
      </c>
      <c r="AA156" s="853"/>
      <c r="AB156" s="710" t="s">
        <v>329</v>
      </c>
      <c r="AC156" s="710" t="s">
        <v>329</v>
      </c>
      <c r="AD156" s="292" t="s">
        <v>329</v>
      </c>
      <c r="AE156" s="287" t="s">
        <v>329</v>
      </c>
      <c r="AF156" s="287" t="s">
        <v>329</v>
      </c>
      <c r="AG156" s="288" t="s">
        <v>329</v>
      </c>
      <c r="AH156" s="839">
        <v>880</v>
      </c>
      <c r="AI156" s="896">
        <v>49</v>
      </c>
      <c r="AJ156" s="287" t="s">
        <v>329</v>
      </c>
      <c r="AK156" s="288" t="s">
        <v>329</v>
      </c>
      <c r="AL156" s="786"/>
      <c r="AM156" s="815"/>
      <c r="AN156" s="1037"/>
      <c r="AO156" s="1049"/>
      <c r="AP156" s="287" t="s">
        <v>329</v>
      </c>
      <c r="AQ156" s="689" t="s">
        <v>329</v>
      </c>
      <c r="AR156" s="292" t="s">
        <v>329</v>
      </c>
      <c r="AS156" s="288" t="s">
        <v>329</v>
      </c>
      <c r="AT156" s="292" t="s">
        <v>329</v>
      </c>
      <c r="AU156" s="288" t="s">
        <v>329</v>
      </c>
      <c r="AV156" s="874"/>
      <c r="AW156" s="663"/>
      <c r="AX156" s="663"/>
      <c r="AY156" s="663"/>
      <c r="AZ156" s="664"/>
    </row>
    <row r="157" spans="1:52" s="650" customFormat="1" x14ac:dyDescent="0.2">
      <c r="A157" s="307" t="s">
        <v>475</v>
      </c>
      <c r="B157" s="1020"/>
      <c r="C157" s="1019"/>
      <c r="D157" s="1025"/>
      <c r="E157" s="1025"/>
      <c r="F157" s="502"/>
      <c r="G157" s="503"/>
      <c r="H157" s="1040" t="str">
        <f t="shared" si="27"/>
        <v>NA</v>
      </c>
      <c r="I157" s="1041" t="str">
        <f t="shared" si="27"/>
        <v>NA</v>
      </c>
      <c r="J157" s="1041" t="str">
        <f t="shared" si="27"/>
        <v>NA</v>
      </c>
      <c r="K157" s="1041" t="str">
        <f t="shared" si="27"/>
        <v>NA</v>
      </c>
      <c r="L157" s="1042">
        <f t="shared" si="27"/>
        <v>3.2</v>
      </c>
      <c r="M157" s="289">
        <v>208.28</v>
      </c>
      <c r="N157" s="645">
        <v>8.4999999999999995E-4</v>
      </c>
      <c r="O157" s="645">
        <v>1.9599999999999999E-2</v>
      </c>
      <c r="P157" s="629">
        <f>10^(2.24)</f>
        <v>173.78008287493768</v>
      </c>
      <c r="Q157" s="629">
        <f>IF($P157="NA","NA",(0.617*Data!$D$9*$P157/100)/(1+Data!$D$15*$P157*0.000000617))</f>
        <v>3.2166693340150965</v>
      </c>
      <c r="R157" s="629">
        <f t="shared" si="25"/>
        <v>3.2166693340150965</v>
      </c>
      <c r="S157" s="290">
        <v>1</v>
      </c>
      <c r="T157" s="290">
        <f t="shared" si="26"/>
        <v>1</v>
      </c>
      <c r="U157" s="847">
        <v>4000000</v>
      </c>
      <c r="V157" s="860">
        <f>IF(Data!$D$69="",E157,IF(P157="NA","NA",(0.617*Data!$D$69*P157/100)/(1+Data!$D$15*P157*0.000000617)))</f>
        <v>2.1444462226767307</v>
      </c>
      <c r="W157" s="847">
        <f>IF(OR(Q157="NA",Q157="",V157="NA",V157=""),"NA",(1+(V157/Q157)^1.5*((1-Data!$D$75)/(1-Data!$D$18))^1.5*(Data!$D$71/Data!$D$14)^1.5*(Data!$D$73/Data!$D$72)*(1/(39.37*Data!$D$72))^0.25))</f>
        <v>3.8303093677397895</v>
      </c>
      <c r="X157" s="847">
        <f>IF(W157="NA","NA",0.15*Data!$D$71*(1-Data!$D$75)*V157*((13.12*Data!$D$73)^(0.112*LN(Data!$D$71*(1-Data!$D$75)*V157)+1.38))/(W157*Data!$D$81))</f>
        <v>129.28059303615473</v>
      </c>
      <c r="Y157" s="847">
        <f>IF(OR(W157="NA",W157="",Data!$D$91="NA",Data!$D$91=""),"NA",W157*Data!$D$91)</f>
        <v>6.8495741227413927</v>
      </c>
      <c r="Z157" s="847">
        <f>IF(OR(W157="NA",W157="",Data!$D$91="NA",Data!$D$91=""),"NA",IF(Data!$D$68&lt;X157,W157*X157/Data!$D$68*Data!$D$91,W157*Data!$D$91))</f>
        <v>6.8495741227413927</v>
      </c>
      <c r="AA157" s="853"/>
      <c r="AB157" s="712">
        <v>80</v>
      </c>
      <c r="AC157" s="712">
        <v>80</v>
      </c>
      <c r="AD157" s="292" t="s">
        <v>329</v>
      </c>
      <c r="AE157" s="287" t="s">
        <v>329</v>
      </c>
      <c r="AF157" s="287" t="s">
        <v>329</v>
      </c>
      <c r="AG157" s="288" t="s">
        <v>329</v>
      </c>
      <c r="AH157" s="840" t="s">
        <v>329</v>
      </c>
      <c r="AI157" s="651" t="s">
        <v>329</v>
      </c>
      <c r="AJ157" s="287" t="s">
        <v>329</v>
      </c>
      <c r="AK157" s="288" t="s">
        <v>329</v>
      </c>
      <c r="AL157" s="786"/>
      <c r="AM157" s="815"/>
      <c r="AN157" s="1037"/>
      <c r="AO157" s="1049"/>
      <c r="AP157" s="287" t="s">
        <v>329</v>
      </c>
      <c r="AQ157" s="689" t="s">
        <v>329</v>
      </c>
      <c r="AR157" s="292" t="s">
        <v>329</v>
      </c>
      <c r="AS157" s="288" t="s">
        <v>329</v>
      </c>
      <c r="AT157" s="922">
        <v>3.2</v>
      </c>
      <c r="AU157" s="932">
        <v>3.2</v>
      </c>
      <c r="AV157" s="874"/>
      <c r="AW157" s="663"/>
      <c r="AX157" s="663"/>
      <c r="AY157" s="663"/>
      <c r="AZ157" s="664"/>
    </row>
    <row r="158" spans="1:52" s="650" customFormat="1" x14ac:dyDescent="0.2">
      <c r="A158" s="307" t="s">
        <v>476</v>
      </c>
      <c r="B158" s="1020"/>
      <c r="C158" s="1019"/>
      <c r="D158" s="1025"/>
      <c r="E158" s="1025"/>
      <c r="F158" s="502"/>
      <c r="G158" s="503"/>
      <c r="H158" s="1040" t="str">
        <f t="shared" si="27"/>
        <v>NA</v>
      </c>
      <c r="I158" s="1041" t="str">
        <f t="shared" si="27"/>
        <v>NA</v>
      </c>
      <c r="J158" s="1041" t="str">
        <f t="shared" si="27"/>
        <v>NA</v>
      </c>
      <c r="K158" s="1041" t="str">
        <f t="shared" si="27"/>
        <v>NA</v>
      </c>
      <c r="L158" s="1042">
        <f t="shared" si="27"/>
        <v>9.1999999999999998E-3</v>
      </c>
      <c r="M158" s="289">
        <v>236.36</v>
      </c>
      <c r="N158" s="645">
        <v>1.47E-4</v>
      </c>
      <c r="O158" s="645">
        <v>2.12E-2</v>
      </c>
      <c r="P158" s="637">
        <f>10^2.26</f>
        <v>181.9700858609983</v>
      </c>
      <c r="Q158" s="629">
        <f>IF($P158="NA","NA",(0.617*Data!$D$9*$P158/100)/(1+Data!$D$15*$P158*0.000000617))</f>
        <v>3.3682662892870785</v>
      </c>
      <c r="R158" s="629">
        <f t="shared" si="25"/>
        <v>3.3682662892870785</v>
      </c>
      <c r="S158" s="290">
        <v>1</v>
      </c>
      <c r="T158" s="290">
        <f t="shared" si="26"/>
        <v>1</v>
      </c>
      <c r="U158" s="847">
        <v>1230000</v>
      </c>
      <c r="V158" s="860">
        <f>IF(Data!$D$69="",E158,IF(P158="NA","NA",(0.617*Data!$D$69*P158/100)/(1+Data!$D$15*P158*0.000000617)))</f>
        <v>2.2455108595247193</v>
      </c>
      <c r="W158" s="847">
        <f>IF(OR(Q158="NA",Q158="",V158="NA",V158=""),"NA",(1+(V158/Q158)^1.5*((1-Data!$D$75)/(1-Data!$D$18))^1.5*(Data!$D$71/Data!$D$14)^1.5*(Data!$D$73/Data!$D$72)*(1/(39.37*Data!$D$72))^0.25))</f>
        <v>3.8303093677397904</v>
      </c>
      <c r="X158" s="847">
        <f>IF(W158="NA","NA",0.15*Data!$D$71*(1-Data!$D$75)*V158*((13.12*Data!$D$73)^(0.112*LN(Data!$D$71*(1-Data!$D$75)*V158)+1.38))/(W158*Data!$D$81))</f>
        <v>138.32623144302104</v>
      </c>
      <c r="Y158" s="847">
        <f>IF(OR(W158="NA",W158="",Data!$D$91="NA",Data!$D$91=""),"NA",W158*Data!$D$91)</f>
        <v>6.8495741227413944</v>
      </c>
      <c r="Z158" s="847">
        <f>IF(OR(W158="NA",W158="",Data!$D$91="NA",Data!$D$91=""),"NA",IF(Data!$D$68&lt;X158,W158*X158/Data!$D$68*Data!$D$91,W158*Data!$D$91))</f>
        <v>6.8495741227413944</v>
      </c>
      <c r="AA158" s="853"/>
      <c r="AB158" s="712">
        <v>0.2</v>
      </c>
      <c r="AC158" s="712">
        <v>0.2</v>
      </c>
      <c r="AD158" s="292" t="s">
        <v>329</v>
      </c>
      <c r="AE158" s="287" t="s">
        <v>329</v>
      </c>
      <c r="AF158" s="287" t="s">
        <v>329</v>
      </c>
      <c r="AG158" s="288" t="s">
        <v>329</v>
      </c>
      <c r="AH158" s="840" t="s">
        <v>329</v>
      </c>
      <c r="AI158" s="651" t="s">
        <v>329</v>
      </c>
      <c r="AJ158" s="287" t="s">
        <v>329</v>
      </c>
      <c r="AK158" s="288" t="s">
        <v>329</v>
      </c>
      <c r="AL158" s="786"/>
      <c r="AM158" s="815"/>
      <c r="AN158" s="1037"/>
      <c r="AO158" s="1049"/>
      <c r="AP158" s="287" t="s">
        <v>329</v>
      </c>
      <c r="AQ158" s="689" t="s">
        <v>329</v>
      </c>
      <c r="AR158" s="292" t="s">
        <v>329</v>
      </c>
      <c r="AS158" s="288" t="s">
        <v>329</v>
      </c>
      <c r="AT158" s="922">
        <v>9.1999999999999998E-3</v>
      </c>
      <c r="AU158" s="932">
        <v>9.1999999999999998E-3</v>
      </c>
      <c r="AV158" s="874"/>
      <c r="AW158" s="663"/>
      <c r="AX158" s="663"/>
      <c r="AY158" s="663"/>
      <c r="AZ158" s="664"/>
    </row>
    <row r="159" spans="1:52" s="650" customFormat="1" x14ac:dyDescent="0.2">
      <c r="A159" s="307" t="s">
        <v>477</v>
      </c>
      <c r="B159" s="1020"/>
      <c r="C159" s="1019"/>
      <c r="D159" s="1025"/>
      <c r="E159" s="1025"/>
      <c r="F159" s="502"/>
      <c r="G159" s="503"/>
      <c r="H159" s="1040" t="str">
        <f t="shared" si="27"/>
        <v>NA</v>
      </c>
      <c r="I159" s="1041" t="str">
        <f t="shared" si="27"/>
        <v>NA</v>
      </c>
      <c r="J159" s="1041" t="str">
        <f t="shared" si="27"/>
        <v>NA</v>
      </c>
      <c r="K159" s="1041" t="str">
        <f t="shared" si="27"/>
        <v>NA</v>
      </c>
      <c r="L159" s="1042">
        <f t="shared" si="27"/>
        <v>1.1999999999999999E-3</v>
      </c>
      <c r="M159" s="289">
        <v>187.86</v>
      </c>
      <c r="N159" s="645">
        <f>0.000706</f>
        <v>7.0600000000000003E-4</v>
      </c>
      <c r="O159" s="645">
        <v>2.1700000000000001E-2</v>
      </c>
      <c r="P159" s="637">
        <f>10^1.96</f>
        <v>91.201083935590972</v>
      </c>
      <c r="Q159" s="629">
        <f>IF($P159="NA","NA",(0.617*Data!$D$9*$P159/100)/(1+Data!$D$15*$P159*0.000000617))</f>
        <v>1.688132063647789</v>
      </c>
      <c r="R159" s="629">
        <f t="shared" si="25"/>
        <v>1.688132063647789</v>
      </c>
      <c r="S159" s="290">
        <v>1</v>
      </c>
      <c r="T159" s="290">
        <f t="shared" si="26"/>
        <v>1</v>
      </c>
      <c r="U159" s="847">
        <v>4180000</v>
      </c>
      <c r="V159" s="860">
        <f>IF(Data!$D$69="",E159,IF(P159="NA","NA",(0.617*Data!$D$69*P159/100)/(1+Data!$D$15*P159*0.000000617)))</f>
        <v>1.1254213757651925</v>
      </c>
      <c r="W159" s="847">
        <f>IF(OR(Q159="NA",Q159="",V159="NA",V159=""),"NA",(1+(V159/Q159)^1.5*((1-Data!$D$75)/(1-Data!$D$18))^1.5*(Data!$D$71/Data!$D$14)^1.5*(Data!$D$73/Data!$D$72)*(1/(39.37*Data!$D$72))^0.25))</f>
        <v>3.8303093677397895</v>
      </c>
      <c r="X159" s="847">
        <f>IF(W159="NA","NA",0.15*Data!$D$71*(1-Data!$D$75)*V159*((13.12*Data!$D$73)^(0.112*LN(Data!$D$71*(1-Data!$D$75)*V159)+1.38))/(W159*Data!$D$81))</f>
        <v>50.15756005373543</v>
      </c>
      <c r="Y159" s="847">
        <f>IF(OR(W159="NA",W159="",Data!$D$91="NA",Data!$D$91=""),"NA",W159*Data!$D$91)</f>
        <v>6.8495741227413927</v>
      </c>
      <c r="Z159" s="847">
        <f>IF(OR(W159="NA",W159="",Data!$D$91="NA",Data!$D$91=""),"NA",IF(Data!$D$68&lt;X159,W159*X159/Data!$D$68*Data!$D$91,W159*Data!$D$91))</f>
        <v>6.8495741227413927</v>
      </c>
      <c r="AA159" s="853"/>
      <c r="AB159" s="712">
        <v>0.05</v>
      </c>
      <c r="AC159" s="712">
        <v>0.05</v>
      </c>
      <c r="AD159" s="292" t="s">
        <v>329</v>
      </c>
      <c r="AE159" s="287" t="s">
        <v>329</v>
      </c>
      <c r="AF159" s="287" t="s">
        <v>329</v>
      </c>
      <c r="AG159" s="288" t="s">
        <v>329</v>
      </c>
      <c r="AH159" s="840" t="s">
        <v>329</v>
      </c>
      <c r="AI159" s="651" t="s">
        <v>329</v>
      </c>
      <c r="AJ159" s="287" t="s">
        <v>329</v>
      </c>
      <c r="AK159" s="288" t="s">
        <v>329</v>
      </c>
      <c r="AL159" s="786"/>
      <c r="AM159" s="815"/>
      <c r="AN159" s="1037"/>
      <c r="AO159" s="1049"/>
      <c r="AP159" s="287" t="s">
        <v>329</v>
      </c>
      <c r="AQ159" s="689" t="s">
        <v>329</v>
      </c>
      <c r="AR159" s="292" t="s">
        <v>329</v>
      </c>
      <c r="AS159" s="288" t="s">
        <v>329</v>
      </c>
      <c r="AT159" s="922">
        <v>1.1999999999999999E-3</v>
      </c>
      <c r="AU159" s="932">
        <v>1.1999999999999999E-3</v>
      </c>
      <c r="AV159" s="874"/>
      <c r="AW159" s="663"/>
      <c r="AX159" s="663"/>
      <c r="AY159" s="663"/>
      <c r="AZ159" s="664"/>
    </row>
    <row r="160" spans="1:52" s="650" customFormat="1" x14ac:dyDescent="0.2">
      <c r="A160" s="307" t="s">
        <v>478</v>
      </c>
      <c r="B160" s="1020"/>
      <c r="C160" s="1019"/>
      <c r="D160" s="1025"/>
      <c r="E160" s="1025"/>
      <c r="F160" s="502"/>
      <c r="G160" s="503"/>
      <c r="H160" s="1040" t="str">
        <f t="shared" si="27"/>
        <v>NA</v>
      </c>
      <c r="I160" s="1041" t="str">
        <f t="shared" si="27"/>
        <v>NA</v>
      </c>
      <c r="J160" s="1041" t="str">
        <f t="shared" si="27"/>
        <v>NA</v>
      </c>
      <c r="K160" s="1041" t="str">
        <f t="shared" si="27"/>
        <v>NA</v>
      </c>
      <c r="L160" s="1042">
        <f t="shared" si="27"/>
        <v>100</v>
      </c>
      <c r="M160" s="289">
        <v>120.91</v>
      </c>
      <c r="N160" s="645">
        <v>0.41499999999999998</v>
      </c>
      <c r="O160" s="645">
        <v>0.08</v>
      </c>
      <c r="P160" s="637">
        <f>10^2.16</f>
        <v>144.54397707459285</v>
      </c>
      <c r="Q160" s="629">
        <f>IF($P160="NA","NA",(0.617*Data!$D$9*$P160/100)/(1+Data!$D$15*$P160*0.000000617))</f>
        <v>2.6755090156507135</v>
      </c>
      <c r="R160" s="629">
        <f t="shared" si="25"/>
        <v>2.6755090156507135</v>
      </c>
      <c r="S160" s="290">
        <v>1</v>
      </c>
      <c r="T160" s="290">
        <f t="shared" si="26"/>
        <v>1</v>
      </c>
      <c r="U160" s="847">
        <v>280000</v>
      </c>
      <c r="V160" s="860">
        <f>IF(Data!$D$69="",E160,IF(P160="NA","NA",(0.617*Data!$D$69*P160/100)/(1+Data!$D$15*P160*0.000000617)))</f>
        <v>1.7836726771004756</v>
      </c>
      <c r="W160" s="847">
        <f>IF(OR(Q160="NA",Q160="",V160="NA",V160=""),"NA",(1+(V160/Q160)^1.5*((1-Data!$D$75)/(1-Data!$D$18))^1.5*(Data!$D$71/Data!$D$14)^1.5*(Data!$D$73/Data!$D$72)*(1/(39.37*Data!$D$72))^0.25))</f>
        <v>3.8303093677397895</v>
      </c>
      <c r="X160" s="847">
        <f>IF(W160="NA","NA",0.15*Data!$D$71*(1-Data!$D$75)*V160*((13.12*Data!$D$73)^(0.112*LN(Data!$D$71*(1-Data!$D$75)*V160)+1.38))/(W160*Data!$D$81))</f>
        <v>98.638962900007684</v>
      </c>
      <c r="Y160" s="847">
        <f>IF(OR(W160="NA",W160="",Data!$D$91="NA",Data!$D$91=""),"NA",W160*Data!$D$91)</f>
        <v>6.8495741227413927</v>
      </c>
      <c r="Z160" s="847">
        <f>IF(OR(W160="NA",W160="",Data!$D$91="NA",Data!$D$91=""),"NA",IF(Data!$D$68&lt;X160,W160*X160/Data!$D$68*Data!$D$91,W160*Data!$D$91))</f>
        <v>6.8495741227413927</v>
      </c>
      <c r="AA160" s="853"/>
      <c r="AB160" s="710" t="s">
        <v>329</v>
      </c>
      <c r="AC160" s="710" t="s">
        <v>329</v>
      </c>
      <c r="AD160" s="292" t="s">
        <v>329</v>
      </c>
      <c r="AE160" s="287" t="s">
        <v>329</v>
      </c>
      <c r="AF160" s="287" t="s">
        <v>329</v>
      </c>
      <c r="AG160" s="288" t="s">
        <v>329</v>
      </c>
      <c r="AH160" s="840" t="s">
        <v>329</v>
      </c>
      <c r="AI160" s="651" t="s">
        <v>329</v>
      </c>
      <c r="AJ160" s="287" t="s">
        <v>329</v>
      </c>
      <c r="AK160" s="288" t="s">
        <v>329</v>
      </c>
      <c r="AL160" s="786"/>
      <c r="AM160" s="815"/>
      <c r="AN160" s="1037"/>
      <c r="AO160" s="1049"/>
      <c r="AP160" s="287" t="s">
        <v>329</v>
      </c>
      <c r="AQ160" s="689" t="s">
        <v>329</v>
      </c>
      <c r="AR160" s="292" t="s">
        <v>329</v>
      </c>
      <c r="AS160" s="288" t="s">
        <v>329</v>
      </c>
      <c r="AT160" s="922">
        <v>100</v>
      </c>
      <c r="AU160" s="932">
        <v>100</v>
      </c>
      <c r="AV160" s="874"/>
      <c r="AW160" s="663"/>
      <c r="AX160" s="663"/>
      <c r="AY160" s="663"/>
      <c r="AZ160" s="664"/>
    </row>
    <row r="161" spans="1:52" s="650" customFormat="1" x14ac:dyDescent="0.2">
      <c r="A161" s="307" t="s">
        <v>479</v>
      </c>
      <c r="B161" s="1020"/>
      <c r="C161" s="1019"/>
      <c r="D161" s="1025"/>
      <c r="E161" s="1025"/>
      <c r="F161" s="502"/>
      <c r="G161" s="503"/>
      <c r="H161" s="1040">
        <f t="shared" si="27"/>
        <v>830</v>
      </c>
      <c r="I161" s="1041">
        <f t="shared" si="27"/>
        <v>47</v>
      </c>
      <c r="J161" s="1041">
        <f t="shared" si="27"/>
        <v>47</v>
      </c>
      <c r="K161" s="1041" t="str">
        <f t="shared" si="27"/>
        <v>NA</v>
      </c>
      <c r="L161" s="1042">
        <f t="shared" si="27"/>
        <v>0.65</v>
      </c>
      <c r="M161" s="289">
        <v>98.96</v>
      </c>
      <c r="N161" s="645">
        <v>4.2599999999999999E-3</v>
      </c>
      <c r="O161" s="645">
        <v>7.4200000000000002E-2</v>
      </c>
      <c r="P161" s="637">
        <f>10^1.79</f>
        <v>61.659500186148257</v>
      </c>
      <c r="Q161" s="629">
        <f>IF($P161="NA","NA",(0.617*Data!$D$9*$P161/100)/(1+Data!$D$15*$P161*0.000000617))</f>
        <v>1.1413173484456043</v>
      </c>
      <c r="R161" s="629">
        <f t="shared" si="25"/>
        <v>1.1413173484456043</v>
      </c>
      <c r="S161" s="290">
        <v>1</v>
      </c>
      <c r="T161" s="290">
        <f t="shared" ref="T161:T168" si="28">IF(S161= "NA", "NA", S161)</f>
        <v>1</v>
      </c>
      <c r="U161" s="847">
        <v>5500000</v>
      </c>
      <c r="V161" s="860">
        <f>IF(Data!$D$69="",E161,IF(P161="NA","NA",(0.617*Data!$D$69*P161/100)/(1+Data!$D$15*P161*0.000000617)))</f>
        <v>0.76087823229706941</v>
      </c>
      <c r="W161" s="847">
        <f>IF(OR(Q161="NA",Q161="",V161="NA",V161=""),"NA",(1+(V161/Q161)^1.5*((1-Data!$D$75)/(1-Data!$D$18))^1.5*(Data!$D$71/Data!$D$14)^1.5*(Data!$D$73/Data!$D$72)*(1/(39.37*Data!$D$72))^0.25))</f>
        <v>3.8303093677397886</v>
      </c>
      <c r="X161" s="847">
        <f>IF(W161="NA","NA",0.15*Data!$D$71*(1-Data!$D$75)*V161*((13.12*Data!$D$73)^(0.112*LN(Data!$D$71*(1-Data!$D$75)*V161)+1.38))/(W161*Data!$D$81))</f>
        <v>28.228065763993992</v>
      </c>
      <c r="Y161" s="847">
        <f>IF(OR(W161="NA",W161="",Data!$D$91="NA",Data!$D$91=""),"NA",W161*Data!$D$91)</f>
        <v>6.8495741227413909</v>
      </c>
      <c r="Z161" s="847">
        <f>IF(OR(W161="NA",W161="",Data!$D$91="NA",Data!$D$91=""),"NA",IF(Data!$D$68&lt;X161,W161*X161/Data!$D$68*Data!$D$91,W161*Data!$D$91))</f>
        <v>6.8495741227413909</v>
      </c>
      <c r="AA161" s="853"/>
      <c r="AB161" s="710" t="s">
        <v>329</v>
      </c>
      <c r="AC161" s="710" t="s">
        <v>329</v>
      </c>
      <c r="AD161" s="292" t="s">
        <v>329</v>
      </c>
      <c r="AE161" s="287" t="s">
        <v>329</v>
      </c>
      <c r="AF161" s="287" t="s">
        <v>329</v>
      </c>
      <c r="AG161" s="288" t="s">
        <v>329</v>
      </c>
      <c r="AH161" s="841">
        <v>830</v>
      </c>
      <c r="AI161" s="893">
        <v>47</v>
      </c>
      <c r="AJ161" s="287" t="s">
        <v>329</v>
      </c>
      <c r="AK161" s="288" t="s">
        <v>329</v>
      </c>
      <c r="AL161" s="786"/>
      <c r="AM161" s="815"/>
      <c r="AN161" s="1037"/>
      <c r="AO161" s="1049"/>
      <c r="AP161" s="287" t="s">
        <v>329</v>
      </c>
      <c r="AQ161" s="689" t="s">
        <v>329</v>
      </c>
      <c r="AR161" s="292" t="s">
        <v>329</v>
      </c>
      <c r="AS161" s="288" t="s">
        <v>329</v>
      </c>
      <c r="AT161" s="922">
        <v>0.65</v>
      </c>
      <c r="AU161" s="932">
        <v>2.7</v>
      </c>
      <c r="AV161" s="874"/>
      <c r="AW161" s="663"/>
      <c r="AX161" s="663"/>
      <c r="AY161" s="663"/>
      <c r="AZ161" s="664"/>
    </row>
    <row r="162" spans="1:52" s="650" customFormat="1" x14ac:dyDescent="0.2">
      <c r="A162" s="307" t="s">
        <v>480</v>
      </c>
      <c r="B162" s="1020"/>
      <c r="C162" s="1019"/>
      <c r="D162" s="1025"/>
      <c r="E162" s="1025"/>
      <c r="F162" s="502"/>
      <c r="G162" s="503"/>
      <c r="H162" s="1040">
        <f t="shared" ref="H162:L171" si="29">IF(INDEX($AB$11:$AZ$310,,H$7)=0,"NA",INDEX($AB$11:$AZ$310,,H$7))</f>
        <v>8800</v>
      </c>
      <c r="I162" s="1041">
        <f t="shared" si="29"/>
        <v>910</v>
      </c>
      <c r="J162" s="1041">
        <f t="shared" si="29"/>
        <v>910</v>
      </c>
      <c r="K162" s="1041" t="str">
        <f t="shared" si="29"/>
        <v>NA</v>
      </c>
      <c r="L162" s="1042">
        <f t="shared" si="29"/>
        <v>0.1</v>
      </c>
      <c r="M162" s="289">
        <v>98.96</v>
      </c>
      <c r="N162" s="645">
        <f>0.000914</f>
        <v>9.1399999999999999E-4</v>
      </c>
      <c r="O162" s="645">
        <v>0.104</v>
      </c>
      <c r="P162" s="637">
        <f>10^1.48</f>
        <v>30.199517204020164</v>
      </c>
      <c r="Q162" s="629">
        <f>IF($P162="NA","NA",(0.617*Data!$D$9*$P162/100)/(1+Data!$D$15*$P162*0.000000617))</f>
        <v>0.5589930634464132</v>
      </c>
      <c r="R162" s="629">
        <f t="shared" si="25"/>
        <v>0.5589930634464132</v>
      </c>
      <c r="S162" s="290">
        <v>1</v>
      </c>
      <c r="T162" s="290">
        <f t="shared" si="28"/>
        <v>1</v>
      </c>
      <c r="U162" s="847">
        <v>8690000</v>
      </c>
      <c r="V162" s="860">
        <f>IF(Data!$D$69="",E162,IF(P162="NA","NA",(0.617*Data!$D$69*P162/100)/(1+Data!$D$15*P162*0.000000617)))</f>
        <v>0.3726620422976088</v>
      </c>
      <c r="W162" s="847">
        <f>IF(OR(Q162="NA",Q162="",V162="NA",V162=""),"NA",(1+(V162/Q162)^1.5*((1-Data!$D$75)/(1-Data!$D$18))^1.5*(Data!$D$71/Data!$D$14)^1.5*(Data!$D$73/Data!$D$72)*(1/(39.37*Data!$D$72))^0.25))</f>
        <v>3.8303093677397895</v>
      </c>
      <c r="X162" s="847">
        <f>IF(W162="NA","NA",0.15*Data!$D$71*(1-Data!$D$75)*V162*((13.12*Data!$D$73)^(0.112*LN(Data!$D$71*(1-Data!$D$75)*V162)+1.38))/(W162*Data!$D$81))</f>
        <v>9.8952637030272008</v>
      </c>
      <c r="Y162" s="847">
        <f>IF(OR(W162="NA",W162="",Data!$D$91="NA",Data!$D$91=""),"NA",W162*Data!$D$91)</f>
        <v>6.8495741227413927</v>
      </c>
      <c r="Z162" s="847">
        <f>IF(OR(W162="NA",W162="",Data!$D$91="NA",Data!$D$91=""),"NA",IF(Data!$D$68&lt;X162,W162*X162/Data!$D$68*Data!$D$91,W162*Data!$D$91))</f>
        <v>6.8495741227413927</v>
      </c>
      <c r="AA162" s="853"/>
      <c r="AB162" s="712">
        <v>5</v>
      </c>
      <c r="AC162" s="712">
        <v>5</v>
      </c>
      <c r="AD162" s="292" t="s">
        <v>329</v>
      </c>
      <c r="AE162" s="287" t="s">
        <v>329</v>
      </c>
      <c r="AF162" s="287" t="s">
        <v>329</v>
      </c>
      <c r="AG162" s="288" t="s">
        <v>329</v>
      </c>
      <c r="AH162" s="841">
        <v>8800</v>
      </c>
      <c r="AI162" s="893">
        <v>910</v>
      </c>
      <c r="AJ162" s="287" t="s">
        <v>329</v>
      </c>
      <c r="AK162" s="288" t="s">
        <v>329</v>
      </c>
      <c r="AL162" s="786">
        <v>11800</v>
      </c>
      <c r="AM162" s="815">
        <v>2000</v>
      </c>
      <c r="AN162" s="1037">
        <v>11300</v>
      </c>
      <c r="AO162" s="1049">
        <v>1130</v>
      </c>
      <c r="AP162" s="287" t="s">
        <v>329</v>
      </c>
      <c r="AQ162" s="689" t="s">
        <v>329</v>
      </c>
      <c r="AR162" s="292" t="s">
        <v>329</v>
      </c>
      <c r="AS162" s="288" t="s">
        <v>329</v>
      </c>
      <c r="AT162" s="922">
        <v>0.1</v>
      </c>
      <c r="AU162" s="932">
        <v>0.1</v>
      </c>
      <c r="AV162" s="874"/>
      <c r="AW162" s="663"/>
      <c r="AX162" s="663"/>
      <c r="AY162" s="663"/>
      <c r="AZ162" s="664"/>
    </row>
    <row r="163" spans="1:52" s="650" customFormat="1" x14ac:dyDescent="0.2">
      <c r="A163" s="308" t="s">
        <v>481</v>
      </c>
      <c r="B163" s="1020"/>
      <c r="C163" s="1019"/>
      <c r="D163" s="1025"/>
      <c r="E163" s="1025"/>
      <c r="F163" s="502"/>
      <c r="G163" s="503"/>
      <c r="H163" s="1040">
        <f t="shared" si="29"/>
        <v>450</v>
      </c>
      <c r="I163" s="1041">
        <f t="shared" si="29"/>
        <v>25</v>
      </c>
      <c r="J163" s="1041">
        <f t="shared" si="29"/>
        <v>25</v>
      </c>
      <c r="K163" s="1041">
        <f t="shared" si="29"/>
        <v>5.7099999999999998E-2</v>
      </c>
      <c r="L163" s="1042">
        <f t="shared" si="29"/>
        <v>0.19</v>
      </c>
      <c r="M163" s="522">
        <v>96.94</v>
      </c>
      <c r="N163" s="645">
        <v>2.6100000000000002E-2</v>
      </c>
      <c r="O163" s="645">
        <v>0.09</v>
      </c>
      <c r="P163" s="629">
        <f>10^(2.13)</f>
        <v>134.89628825916537</v>
      </c>
      <c r="Q163" s="733">
        <f>IF($P163="NA","NA",(0.617*Data!$D$9*$P163/100)/(1+Data!$D$15*$P163*0.000000617))</f>
        <v>2.4969302956771511</v>
      </c>
      <c r="R163" s="733">
        <f t="shared" si="25"/>
        <v>2.4969302956771511</v>
      </c>
      <c r="S163" s="290">
        <v>1</v>
      </c>
      <c r="T163" s="290">
        <f t="shared" si="28"/>
        <v>1</v>
      </c>
      <c r="U163" s="847">
        <v>3344000</v>
      </c>
      <c r="V163" s="860">
        <f>IF(Data!$D$69="",E163,IF(P163="NA","NA",(0.617*Data!$D$69*P163/100)/(1+Data!$D$15*P163*0.000000617)))</f>
        <v>1.6646201971181005</v>
      </c>
      <c r="W163" s="847">
        <f>IF(OR(Q163="NA",Q163="",V163="NA",V163=""),"NA",(1+(V163/Q163)^1.5*((1-Data!$D$75)/(1-Data!$D$18))^1.5*(Data!$D$71/Data!$D$14)^1.5*(Data!$D$73/Data!$D$72)*(1/(39.37*Data!$D$72))^0.25))</f>
        <v>3.8303093677397895</v>
      </c>
      <c r="X163" s="847">
        <f>IF(W163="NA","NA",0.15*Data!$D$71*(1-Data!$D$75)*V163*((13.12*Data!$D$73)^(0.112*LN(Data!$D$71*(1-Data!$D$75)*V163)+1.38))/(W163*Data!$D$81))</f>
        <v>89.123387042446723</v>
      </c>
      <c r="Y163" s="847">
        <f>IF(OR(W163="NA",W163="",Data!$D$91="NA",Data!$D$91=""),"NA",W163*Data!$D$91)</f>
        <v>6.8495741227413927</v>
      </c>
      <c r="Z163" s="847">
        <f>IF(OR(W163="NA",W163="",Data!$D$91="NA",Data!$D$91=""),"NA",IF(Data!$D$68&lt;X163,W163*X163/Data!$D$68*Data!$D$91,W163*Data!$D$91))</f>
        <v>6.8495741227413927</v>
      </c>
      <c r="AA163" s="853"/>
      <c r="AB163" s="712">
        <v>7</v>
      </c>
      <c r="AC163" s="712">
        <v>7</v>
      </c>
      <c r="AD163" s="292" t="s">
        <v>329</v>
      </c>
      <c r="AE163" s="287" t="s">
        <v>329</v>
      </c>
      <c r="AF163" s="287" t="s">
        <v>329</v>
      </c>
      <c r="AG163" s="288" t="s">
        <v>329</v>
      </c>
      <c r="AH163" s="839">
        <v>450</v>
      </c>
      <c r="AI163" s="896">
        <v>25</v>
      </c>
      <c r="AJ163" s="287" t="s">
        <v>329</v>
      </c>
      <c r="AK163" s="288" t="s">
        <v>329</v>
      </c>
      <c r="AL163" s="786">
        <v>3030</v>
      </c>
      <c r="AM163" s="815">
        <v>303</v>
      </c>
      <c r="AN163" s="1037">
        <v>22400</v>
      </c>
      <c r="AO163" s="1049">
        <v>2240</v>
      </c>
      <c r="AP163" s="897">
        <v>5.7099999999999998E-2</v>
      </c>
      <c r="AQ163" s="649" t="s">
        <v>329</v>
      </c>
      <c r="AR163" s="292" t="s">
        <v>329</v>
      </c>
      <c r="AS163" s="288" t="s">
        <v>329</v>
      </c>
      <c r="AT163" s="922">
        <v>0.19</v>
      </c>
      <c r="AU163" s="932">
        <v>0.19</v>
      </c>
      <c r="AV163" s="874"/>
      <c r="AW163" s="663"/>
      <c r="AX163" s="663"/>
      <c r="AY163" s="663"/>
      <c r="AZ163" s="664"/>
    </row>
    <row r="164" spans="1:52" s="650" customFormat="1" x14ac:dyDescent="0.2">
      <c r="A164" s="307" t="s">
        <v>482</v>
      </c>
      <c r="B164" s="1020"/>
      <c r="C164" s="1019"/>
      <c r="D164" s="1025"/>
      <c r="E164" s="1025"/>
      <c r="F164" s="502"/>
      <c r="G164" s="503"/>
      <c r="H164" s="1040">
        <f t="shared" si="29"/>
        <v>1100</v>
      </c>
      <c r="I164" s="1041">
        <f t="shared" si="29"/>
        <v>590</v>
      </c>
      <c r="J164" s="1041">
        <f t="shared" si="29"/>
        <v>590</v>
      </c>
      <c r="K164" s="1041" t="str">
        <f t="shared" si="29"/>
        <v>NA</v>
      </c>
      <c r="L164" s="1042">
        <f t="shared" si="29"/>
        <v>1.6</v>
      </c>
      <c r="M164" s="289">
        <v>96.94</v>
      </c>
      <c r="N164" s="645">
        <v>4.4999999999999997E-3</v>
      </c>
      <c r="O164" s="645">
        <v>7.3599999999999999E-2</v>
      </c>
      <c r="P164" s="629">
        <f>10^(1.86)</f>
        <v>72.443596007499067</v>
      </c>
      <c r="Q164" s="629">
        <f>IF($P164="NA","NA",(0.617*Data!$D$9*$P164/100)/(1+Data!$D$15*$P164*0.000000617))</f>
        <v>1.3409309620988077</v>
      </c>
      <c r="R164" s="629">
        <f t="shared" si="25"/>
        <v>1.3409309620988077</v>
      </c>
      <c r="S164" s="290">
        <v>1</v>
      </c>
      <c r="T164" s="290">
        <f t="shared" si="28"/>
        <v>1</v>
      </c>
      <c r="U164" s="847">
        <v>3500000</v>
      </c>
      <c r="V164" s="860">
        <f>IF(Data!$D$69="",E164,IF(P164="NA","NA",(0.617*Data!$D$69*P164/100)/(1+Data!$D$15*P164*0.000000617)))</f>
        <v>0.89395397473253846</v>
      </c>
      <c r="W164" s="847">
        <f>IF(OR(Q164="NA",Q164="",V164="NA",V164=""),"NA",(1+(V164/Q164)^1.5*((1-Data!$D$75)/(1-Data!$D$18))^1.5*(Data!$D$71/Data!$D$14)^1.5*(Data!$D$73/Data!$D$72)*(1/(39.37*Data!$D$72))^0.25))</f>
        <v>3.8303093677397895</v>
      </c>
      <c r="X164" s="847">
        <f>IF(W164="NA","NA",0.15*Data!$D$71*(1-Data!$D$75)*V164*((13.12*Data!$D$73)^(0.112*LN(Data!$D$71*(1-Data!$D$75)*V164)+1.38))/(W164*Data!$D$81))</f>
        <v>35.766822053077277</v>
      </c>
      <c r="Y164" s="847">
        <f>IF(OR(W164="NA",W164="",Data!$D$91="NA",Data!$D$91=""),"NA",W164*Data!$D$91)</f>
        <v>6.8495741227413927</v>
      </c>
      <c r="Z164" s="847">
        <f>IF(OR(W164="NA",W164="",Data!$D$91="NA",Data!$D$91=""),"NA",IF(Data!$D$68&lt;X164,W164*X164/Data!$D$68*Data!$D$91,W164*Data!$D$91))</f>
        <v>6.8495741227413927</v>
      </c>
      <c r="AA164" s="853"/>
      <c r="AB164" s="712">
        <v>70</v>
      </c>
      <c r="AC164" s="712">
        <v>70</v>
      </c>
      <c r="AD164" s="292" t="s">
        <v>329</v>
      </c>
      <c r="AE164" s="287" t="s">
        <v>329</v>
      </c>
      <c r="AF164" s="287" t="s">
        <v>329</v>
      </c>
      <c r="AG164" s="288" t="s">
        <v>329</v>
      </c>
      <c r="AH164" s="842">
        <v>1100</v>
      </c>
      <c r="AI164" s="897">
        <v>590</v>
      </c>
      <c r="AJ164" s="287" t="s">
        <v>329</v>
      </c>
      <c r="AK164" s="288" t="s">
        <v>329</v>
      </c>
      <c r="AL164" s="786"/>
      <c r="AM164" s="815"/>
      <c r="AN164" s="1037"/>
      <c r="AO164" s="1049"/>
      <c r="AP164" s="1037" t="s">
        <v>329</v>
      </c>
      <c r="AQ164" s="689" t="s">
        <v>329</v>
      </c>
      <c r="AR164" s="292" t="s">
        <v>329</v>
      </c>
      <c r="AS164" s="288" t="s">
        <v>329</v>
      </c>
      <c r="AT164" s="922">
        <v>1.6</v>
      </c>
      <c r="AU164" s="932">
        <v>1.6</v>
      </c>
      <c r="AV164" s="874"/>
      <c r="AW164" s="663"/>
      <c r="AX164" s="663"/>
      <c r="AY164" s="663"/>
      <c r="AZ164" s="664"/>
    </row>
    <row r="165" spans="1:52" s="650" customFormat="1" x14ac:dyDescent="0.2">
      <c r="A165" s="307" t="s">
        <v>483</v>
      </c>
      <c r="B165" s="1020"/>
      <c r="C165" s="1019"/>
      <c r="D165" s="1025"/>
      <c r="E165" s="1025"/>
      <c r="F165" s="502"/>
      <c r="G165" s="503"/>
      <c r="H165" s="1040">
        <f t="shared" si="29"/>
        <v>1100</v>
      </c>
      <c r="I165" s="1041">
        <f t="shared" si="29"/>
        <v>590</v>
      </c>
      <c r="J165" s="1041">
        <f t="shared" si="29"/>
        <v>590</v>
      </c>
      <c r="K165" s="1041" t="str">
        <f t="shared" si="29"/>
        <v>NA</v>
      </c>
      <c r="L165" s="1042">
        <f t="shared" si="29"/>
        <v>2.2999999999999998</v>
      </c>
      <c r="M165" s="289">
        <v>96.94</v>
      </c>
      <c r="N165" s="645">
        <v>9.4500000000000001E-3</v>
      </c>
      <c r="O165" s="645">
        <v>7.0699999999999999E-2</v>
      </c>
      <c r="P165" s="629">
        <f>10^(1.93)</f>
        <v>85.113803820237663</v>
      </c>
      <c r="Q165" s="629">
        <f>IF($P165="NA","NA",(0.617*Data!$D$9*$P165/100)/(1+Data!$D$15*$P165*0.000000617))</f>
        <v>1.5754565087125991</v>
      </c>
      <c r="R165" s="629">
        <f t="shared" si="25"/>
        <v>1.5754565087125991</v>
      </c>
      <c r="S165" s="290">
        <v>1</v>
      </c>
      <c r="T165" s="290">
        <f t="shared" si="28"/>
        <v>1</v>
      </c>
      <c r="U165" s="847">
        <v>6300000</v>
      </c>
      <c r="V165" s="860">
        <f>IF(Data!$D$69="",E165,IF(P165="NA","NA",(0.617*Data!$D$69*P165/100)/(1+Data!$D$15*P165*0.000000617)))</f>
        <v>1.0503043391417328</v>
      </c>
      <c r="W165" s="847">
        <f>IF(OR(Q165="NA",Q165="",V165="NA",V165=""),"NA",(1+(V165/Q165)^1.5*((1-Data!$D$75)/(1-Data!$D$18))^1.5*(Data!$D$71/Data!$D$14)^1.5*(Data!$D$73/Data!$D$72)*(1/(39.37*Data!$D$72))^0.25))</f>
        <v>3.8303093677397904</v>
      </c>
      <c r="X165" s="847">
        <f>IF(W165="NA","NA",0.15*Data!$D$71*(1-Data!$D$75)*V165*((13.12*Data!$D$73)^(0.112*LN(Data!$D$71*(1-Data!$D$75)*V165)+1.38))/(W165*Data!$D$81))</f>
        <v>45.3189237432005</v>
      </c>
      <c r="Y165" s="847">
        <f>IF(OR(W165="NA",W165="",Data!$D$91="NA",Data!$D$91=""),"NA",W165*Data!$D$91)</f>
        <v>6.8495741227413944</v>
      </c>
      <c r="Z165" s="847">
        <f>IF(OR(W165="NA",W165="",Data!$D$91="NA",Data!$D$91=""),"NA",IF(Data!$D$68&lt;X165,W165*X165/Data!$D$68*Data!$D$91,W165*Data!$D$91))</f>
        <v>6.8495741227413944</v>
      </c>
      <c r="AA165" s="853"/>
      <c r="AB165" s="712">
        <v>100</v>
      </c>
      <c r="AC165" s="712">
        <v>100</v>
      </c>
      <c r="AD165" s="292" t="s">
        <v>329</v>
      </c>
      <c r="AE165" s="287" t="s">
        <v>329</v>
      </c>
      <c r="AF165" s="287" t="s">
        <v>329</v>
      </c>
      <c r="AG165" s="288" t="s">
        <v>329</v>
      </c>
      <c r="AH165" s="842">
        <v>1100</v>
      </c>
      <c r="AI165" s="897">
        <v>590</v>
      </c>
      <c r="AJ165" s="287" t="s">
        <v>329</v>
      </c>
      <c r="AK165" s="288" t="s">
        <v>329</v>
      </c>
      <c r="AL165" s="786">
        <v>13500</v>
      </c>
      <c r="AM165" s="815">
        <v>1350</v>
      </c>
      <c r="AN165" s="1037"/>
      <c r="AO165" s="1049"/>
      <c r="AP165" s="1037" t="s">
        <v>329</v>
      </c>
      <c r="AQ165" s="689" t="s">
        <v>329</v>
      </c>
      <c r="AR165" s="292" t="s">
        <v>329</v>
      </c>
      <c r="AS165" s="288" t="s">
        <v>329</v>
      </c>
      <c r="AT165" s="922">
        <v>2.2999999999999998</v>
      </c>
      <c r="AU165" s="932">
        <v>2.2999999999999998</v>
      </c>
      <c r="AV165" s="874"/>
      <c r="AW165" s="663"/>
      <c r="AX165" s="663"/>
      <c r="AY165" s="663"/>
      <c r="AZ165" s="664"/>
    </row>
    <row r="166" spans="1:52" s="650" customFormat="1" x14ac:dyDescent="0.2">
      <c r="A166" s="307" t="s">
        <v>484</v>
      </c>
      <c r="B166" s="1020"/>
      <c r="C166" s="1019"/>
      <c r="D166" s="1025"/>
      <c r="E166" s="1025"/>
      <c r="F166" s="502"/>
      <c r="G166" s="503"/>
      <c r="H166" s="1040" t="str">
        <f t="shared" si="29"/>
        <v>NA</v>
      </c>
      <c r="I166" s="1041" t="str">
        <f t="shared" si="29"/>
        <v>NA</v>
      </c>
      <c r="J166" s="1041" t="str">
        <f t="shared" si="29"/>
        <v>NA</v>
      </c>
      <c r="K166" s="1041" t="str">
        <f t="shared" si="29"/>
        <v>NA</v>
      </c>
      <c r="L166" s="1042">
        <f t="shared" si="29"/>
        <v>0.11</v>
      </c>
      <c r="M166" s="289">
        <v>113</v>
      </c>
      <c r="N166" s="645">
        <v>2.8E-3</v>
      </c>
      <c r="O166" s="645">
        <v>7.8200000000000006E-2</v>
      </c>
      <c r="P166" s="637">
        <f>10^2.02</f>
        <v>104.71285480508998</v>
      </c>
      <c r="Q166" s="629">
        <f>IF($P166="NA","NA",(0.617*Data!$D$9*$P166/100)/(1+Data!$D$15*$P166*0.000000617))</f>
        <v>1.9382349424422154</v>
      </c>
      <c r="R166" s="629">
        <f t="shared" si="25"/>
        <v>1.9382349424422154</v>
      </c>
      <c r="S166" s="290">
        <v>1</v>
      </c>
      <c r="T166" s="290">
        <f t="shared" si="28"/>
        <v>1</v>
      </c>
      <c r="U166" s="847">
        <v>2800000</v>
      </c>
      <c r="V166" s="860">
        <f>IF(Data!$D$69="",E166,IF(P166="NA","NA",(0.617*Data!$D$69*P166/100)/(1+Data!$D$15*P166*0.000000617)))</f>
        <v>1.2921566282948103</v>
      </c>
      <c r="W166" s="847">
        <f>IF(OR(Q166="NA",Q166="",V166="NA",V166=""),"NA",(1+(V166/Q166)^1.5*((1-Data!$D$75)/(1-Data!$D$18))^1.5*(Data!$D$71/Data!$D$14)^1.5*(Data!$D$73/Data!$D$72)*(1/(39.37*Data!$D$72))^0.25))</f>
        <v>3.8303093677397895</v>
      </c>
      <c r="X166" s="847">
        <f>IF(W166="NA","NA",0.15*Data!$D$71*(1-Data!$D$75)*V166*((13.12*Data!$D$73)^(0.112*LN(Data!$D$71*(1-Data!$D$75)*V166)+1.38))/(W166*Data!$D$81))</f>
        <v>61.439833554108546</v>
      </c>
      <c r="Y166" s="847">
        <f>IF(OR(W166="NA",W166="",Data!$D$91="NA",Data!$D$91=""),"NA",W166*Data!$D$91)</f>
        <v>6.8495741227413927</v>
      </c>
      <c r="Z166" s="847">
        <f>IF(OR(W166="NA",W166="",Data!$D$91="NA",Data!$D$91=""),"NA",IF(Data!$D$68&lt;X166,W166*X166/Data!$D$68*Data!$D$91,W166*Data!$D$91))</f>
        <v>6.8495741227413927</v>
      </c>
      <c r="AA166" s="853"/>
      <c r="AB166" s="712">
        <v>5</v>
      </c>
      <c r="AC166" s="712">
        <v>5</v>
      </c>
      <c r="AD166" s="292" t="s">
        <v>329</v>
      </c>
      <c r="AE166" s="287" t="s">
        <v>329</v>
      </c>
      <c r="AF166" s="287" t="s">
        <v>329</v>
      </c>
      <c r="AG166" s="288" t="s">
        <v>329</v>
      </c>
      <c r="AH166" s="840" t="s">
        <v>329</v>
      </c>
      <c r="AI166" s="651" t="s">
        <v>329</v>
      </c>
      <c r="AJ166" s="287" t="s">
        <v>329</v>
      </c>
      <c r="AK166" s="288" t="s">
        <v>329</v>
      </c>
      <c r="AL166" s="786">
        <v>5250</v>
      </c>
      <c r="AM166" s="815">
        <v>525</v>
      </c>
      <c r="AN166" s="1037">
        <v>24000</v>
      </c>
      <c r="AO166" s="1049">
        <v>2400</v>
      </c>
      <c r="AP166" s="1037" t="s">
        <v>329</v>
      </c>
      <c r="AQ166" s="689" t="s">
        <v>329</v>
      </c>
      <c r="AR166" s="292" t="s">
        <v>329</v>
      </c>
      <c r="AS166" s="288" t="s">
        <v>329</v>
      </c>
      <c r="AT166" s="922">
        <v>0.11</v>
      </c>
      <c r="AU166" s="932">
        <v>0.11</v>
      </c>
      <c r="AV166" s="874"/>
      <c r="AW166" s="663"/>
      <c r="AX166" s="663"/>
      <c r="AY166" s="663"/>
      <c r="AZ166" s="664"/>
    </row>
    <row r="167" spans="1:52" s="650" customFormat="1" x14ac:dyDescent="0.2">
      <c r="A167" s="307" t="s">
        <v>485</v>
      </c>
      <c r="B167" s="1020"/>
      <c r="C167" s="1019"/>
      <c r="D167" s="1025"/>
      <c r="E167" s="1025"/>
      <c r="F167" s="502"/>
      <c r="G167" s="503"/>
      <c r="H167" s="1040">
        <f t="shared" si="29"/>
        <v>0.99</v>
      </c>
      <c r="I167" s="1041">
        <f t="shared" si="29"/>
        <v>5.5E-2</v>
      </c>
      <c r="J167" s="1041">
        <f t="shared" si="29"/>
        <v>5.5E-2</v>
      </c>
      <c r="K167" s="1041" t="str">
        <f t="shared" si="29"/>
        <v>NA</v>
      </c>
      <c r="L167" s="1042">
        <f t="shared" si="29"/>
        <v>0.12</v>
      </c>
      <c r="M167" s="289">
        <v>110.97</v>
      </c>
      <c r="N167" s="645">
        <v>2.3999999999999998E-3</v>
      </c>
      <c r="O167" s="645">
        <v>6.2600000000000003E-2</v>
      </c>
      <c r="P167" s="637">
        <f>10^1.41</f>
        <v>25.703957827688647</v>
      </c>
      <c r="Q167" s="629">
        <f>IF($P167="NA","NA",(0.617*Data!$D$9*$P167/100)/(1+Data!$D$15*$P167*0.000000617))</f>
        <v>0.47578025939051682</v>
      </c>
      <c r="R167" s="629">
        <f t="shared" si="25"/>
        <v>0.47578025939051682</v>
      </c>
      <c r="S167" s="290">
        <v>1</v>
      </c>
      <c r="T167" s="290">
        <f t="shared" si="28"/>
        <v>1</v>
      </c>
      <c r="U167" s="847">
        <v>2700000</v>
      </c>
      <c r="V167" s="860">
        <f>IF(Data!$D$69="",E167,IF(P167="NA","NA",(0.617*Data!$D$69*P167/100)/(1+Data!$D$15*P167*0.000000617)))</f>
        <v>0.31718683959367788</v>
      </c>
      <c r="W167" s="847">
        <f>IF(OR(Q167="NA",Q167="",V167="NA",V167=""),"NA",(1+(V167/Q167)^1.5*((1-Data!$D$75)/(1-Data!$D$18))^1.5*(Data!$D$71/Data!$D$14)^1.5*(Data!$D$73/Data!$D$72)*(1/(39.37*Data!$D$72))^0.25))</f>
        <v>3.8303093677397895</v>
      </c>
      <c r="X167" s="847">
        <f>IF(W167="NA","NA",0.15*Data!$D$71*(1-Data!$D$75)*V167*((13.12*Data!$D$73)^(0.112*LN(Data!$D$71*(1-Data!$D$75)*V167)+1.38))/(W167*Data!$D$81))</f>
        <v>7.8095882867816151</v>
      </c>
      <c r="Y167" s="847">
        <f>IF(OR(W167="NA",W167="",Data!$D$91="NA",Data!$D$91=""),"NA",W167*Data!$D$91)</f>
        <v>6.8495741227413927</v>
      </c>
      <c r="Z167" s="847">
        <f>IF(OR(W167="NA",W167="",Data!$D$91="NA",Data!$D$91=""),"NA",IF(Data!$D$68&lt;X167,W167*X167/Data!$D$68*Data!$D$91,W167*Data!$D$91))</f>
        <v>6.8495741227413927</v>
      </c>
      <c r="AA167" s="853"/>
      <c r="AB167" s="710" t="s">
        <v>329</v>
      </c>
      <c r="AC167" s="710" t="s">
        <v>329</v>
      </c>
      <c r="AD167" s="292" t="s">
        <v>329</v>
      </c>
      <c r="AE167" s="287" t="s">
        <v>329</v>
      </c>
      <c r="AF167" s="287" t="s">
        <v>329</v>
      </c>
      <c r="AG167" s="288" t="s">
        <v>329</v>
      </c>
      <c r="AH167" s="842">
        <v>0.99</v>
      </c>
      <c r="AI167" s="897">
        <v>5.5E-2</v>
      </c>
      <c r="AJ167" s="287" t="s">
        <v>329</v>
      </c>
      <c r="AK167" s="288" t="s">
        <v>329</v>
      </c>
      <c r="AL167" s="786">
        <v>606</v>
      </c>
      <c r="AM167" s="813">
        <v>24.4</v>
      </c>
      <c r="AN167" s="1037">
        <v>79</v>
      </c>
      <c r="AO167" s="1049">
        <v>7.9</v>
      </c>
      <c r="AP167" s="1037" t="s">
        <v>329</v>
      </c>
      <c r="AQ167" s="689" t="s">
        <v>329</v>
      </c>
      <c r="AR167" s="292" t="s">
        <v>329</v>
      </c>
      <c r="AS167" s="288" t="s">
        <v>329</v>
      </c>
      <c r="AT167" s="922">
        <v>0.12</v>
      </c>
      <c r="AU167" s="932">
        <v>0.46</v>
      </c>
      <c r="AV167" s="874"/>
      <c r="AW167" s="663"/>
      <c r="AX167" s="663"/>
      <c r="AY167" s="663"/>
      <c r="AZ167" s="664"/>
    </row>
    <row r="168" spans="1:52" s="650" customFormat="1" x14ac:dyDescent="0.2">
      <c r="A168" s="307" t="s">
        <v>486</v>
      </c>
      <c r="B168" s="1020"/>
      <c r="C168" s="1019"/>
      <c r="D168" s="1025"/>
      <c r="E168" s="1025"/>
      <c r="F168" s="502"/>
      <c r="G168" s="503"/>
      <c r="H168" s="1040">
        <f t="shared" si="29"/>
        <v>0.99</v>
      </c>
      <c r="I168" s="1041">
        <f t="shared" si="29"/>
        <v>5.5E-2</v>
      </c>
      <c r="J168" s="1041">
        <f t="shared" si="29"/>
        <v>5.5E-2</v>
      </c>
      <c r="K168" s="1041" t="str">
        <f t="shared" si="29"/>
        <v>NA</v>
      </c>
      <c r="L168" s="1042">
        <f t="shared" si="29"/>
        <v>0.12</v>
      </c>
      <c r="M168" s="289">
        <v>110.98</v>
      </c>
      <c r="N168" s="645">
        <v>1.8E-3</v>
      </c>
      <c r="O168" s="645">
        <v>6.2600000000000003E-2</v>
      </c>
      <c r="P168" s="637">
        <f>10^1.41</f>
        <v>25.703957827688647</v>
      </c>
      <c r="Q168" s="629">
        <f>IF($P168="NA","NA",(0.617*Data!$D$9*$P168/100)/(1+Data!$D$15*$P168*0.000000617))</f>
        <v>0.47578025939051682</v>
      </c>
      <c r="R168" s="629">
        <f t="shared" si="25"/>
        <v>0.47578025939051682</v>
      </c>
      <c r="S168" s="290">
        <v>1</v>
      </c>
      <c r="T168" s="290">
        <f t="shared" si="28"/>
        <v>1</v>
      </c>
      <c r="U168" s="847">
        <v>2800000</v>
      </c>
      <c r="V168" s="860">
        <f>IF(Data!$D$69="",E168,IF(P168="NA","NA",(0.617*Data!$D$69*P168/100)/(1+Data!$D$15*P168*0.000000617)))</f>
        <v>0.31718683959367788</v>
      </c>
      <c r="W168" s="847">
        <f>IF(OR(Q168="NA",Q168="",V168="NA",V168=""),"NA",(1+(V168/Q168)^1.5*((1-Data!$D$75)/(1-Data!$D$18))^1.5*(Data!$D$71/Data!$D$14)^1.5*(Data!$D$73/Data!$D$72)*(1/(39.37*Data!$D$72))^0.25))</f>
        <v>3.8303093677397895</v>
      </c>
      <c r="X168" s="847">
        <f>IF(W168="NA","NA",0.15*Data!$D$71*(1-Data!$D$75)*V168*((13.12*Data!$D$73)^(0.112*LN(Data!$D$71*(1-Data!$D$75)*V168)+1.38))/(W168*Data!$D$81))</f>
        <v>7.8095882867816151</v>
      </c>
      <c r="Y168" s="847">
        <f>IF(OR(W168="NA",W168="",Data!$D$91="NA",Data!$D$91=""),"NA",W168*Data!$D$91)</f>
        <v>6.8495741227413927</v>
      </c>
      <c r="Z168" s="847">
        <f>IF(OR(W168="NA",W168="",Data!$D$91="NA",Data!$D$91=""),"NA",IF(Data!$D$68&lt;X168,W168*X168/Data!$D$68*Data!$D$91,W168*Data!$D$91))</f>
        <v>6.8495741227413927</v>
      </c>
      <c r="AA168" s="853"/>
      <c r="AB168" s="710" t="s">
        <v>329</v>
      </c>
      <c r="AC168" s="710" t="s">
        <v>329</v>
      </c>
      <c r="AD168" s="292" t="s">
        <v>329</v>
      </c>
      <c r="AE168" s="287" t="s">
        <v>329</v>
      </c>
      <c r="AF168" s="287" t="s">
        <v>329</v>
      </c>
      <c r="AG168" s="288" t="s">
        <v>329</v>
      </c>
      <c r="AH168" s="842">
        <v>0.99</v>
      </c>
      <c r="AI168" s="897">
        <v>5.5E-2</v>
      </c>
      <c r="AJ168" s="287" t="s">
        <v>329</v>
      </c>
      <c r="AK168" s="288" t="s">
        <v>329</v>
      </c>
      <c r="AL168" s="786">
        <v>606</v>
      </c>
      <c r="AM168" s="813">
        <v>24.4</v>
      </c>
      <c r="AN168" s="1037">
        <v>79</v>
      </c>
      <c r="AO168" s="1049">
        <v>7.9</v>
      </c>
      <c r="AP168" s="1037" t="s">
        <v>329</v>
      </c>
      <c r="AQ168" s="689" t="s">
        <v>329</v>
      </c>
      <c r="AR168" s="292" t="s">
        <v>329</v>
      </c>
      <c r="AS168" s="288" t="s">
        <v>329</v>
      </c>
      <c r="AT168" s="922">
        <v>0.12</v>
      </c>
      <c r="AU168" s="932">
        <v>0.46</v>
      </c>
      <c r="AV168" s="874"/>
      <c r="AW168" s="663"/>
      <c r="AX168" s="663"/>
      <c r="AY168" s="663"/>
      <c r="AZ168" s="664"/>
    </row>
    <row r="169" spans="1:52" s="650" customFormat="1" x14ac:dyDescent="0.2">
      <c r="A169" s="307" t="s">
        <v>487</v>
      </c>
      <c r="B169" s="1020"/>
      <c r="C169" s="1019"/>
      <c r="D169" s="1025"/>
      <c r="E169" s="1025"/>
      <c r="F169" s="502"/>
      <c r="G169" s="503"/>
      <c r="H169" s="1040">
        <f t="shared" si="29"/>
        <v>130</v>
      </c>
      <c r="I169" s="1041">
        <f t="shared" si="29"/>
        <v>7.3</v>
      </c>
      <c r="J169" s="1041">
        <f t="shared" si="29"/>
        <v>7.3</v>
      </c>
      <c r="K169" s="1041" t="str">
        <f t="shared" si="29"/>
        <v>NA</v>
      </c>
      <c r="L169" s="1042">
        <f t="shared" si="29"/>
        <v>46</v>
      </c>
      <c r="M169" s="289">
        <v>106.17</v>
      </c>
      <c r="N169" s="645">
        <v>7.8799999999999999E-3</v>
      </c>
      <c r="O169" s="645">
        <v>7.4999999999999997E-2</v>
      </c>
      <c r="P169" s="637">
        <f>10^3.15</f>
        <v>1412.5375446227545</v>
      </c>
      <c r="Q169" s="629">
        <f>IF($P169="NA","NA",(0.617*Data!$D$9*$P169/100)/(1+Data!$D$15*$P169*0.000000617))</f>
        <v>26.146069950967185</v>
      </c>
      <c r="R169" s="629">
        <f t="shared" si="25"/>
        <v>26.146069950967185</v>
      </c>
      <c r="S169" s="290">
        <v>1</v>
      </c>
      <c r="T169" s="290">
        <f t="shared" ref="T169:T193" si="30">IF(S169= "NA", "NA", S169)</f>
        <v>1</v>
      </c>
      <c r="U169" s="847">
        <v>152000</v>
      </c>
      <c r="V169" s="860">
        <f>IF(Data!$D$69="",E169,IF(P169="NA","NA",(0.617*Data!$D$69*P169/100)/(1+Data!$D$15*P169*0.000000617)))</f>
        <v>17.43071330064479</v>
      </c>
      <c r="W169" s="847">
        <f>IF(OR(Q169="NA",Q169="",V169="NA",V169=""),"NA",(1+(V169/Q169)^1.5*((1-Data!$D$75)/(1-Data!$D$18))^1.5*(Data!$D$71/Data!$D$14)^1.5*(Data!$D$73/Data!$D$72)*(1/(39.37*Data!$D$72))^0.25))</f>
        <v>3.8303093677397895</v>
      </c>
      <c r="X169" s="847">
        <f>IF(W169="NA","NA",0.15*Data!$D$71*(1-Data!$D$75)*V169*((13.12*Data!$D$73)^(0.112*LN(Data!$D$71*(1-Data!$D$75)*V169)+1.38))/(W169*Data!$D$81))</f>
        <v>2804.9386746373993</v>
      </c>
      <c r="Y169" s="847">
        <f>IF(OR(W169="NA",W169="",Data!$D$91="NA",Data!$D$91=""),"NA",W169*Data!$D$91)</f>
        <v>6.8495741227413927</v>
      </c>
      <c r="Z169" s="847">
        <f>IF(OR(W169="NA",W169="",Data!$D$91="NA",Data!$D$91=""),"NA",IF(Data!$D$68&lt;X169,W169*X169/Data!$D$68*Data!$D$91,W169*Data!$D$91))</f>
        <v>96.063176808364346</v>
      </c>
      <c r="AA169" s="853"/>
      <c r="AB169" s="712">
        <v>700</v>
      </c>
      <c r="AC169" s="712">
        <v>700</v>
      </c>
      <c r="AD169" s="292" t="s">
        <v>329</v>
      </c>
      <c r="AE169" s="287" t="s">
        <v>329</v>
      </c>
      <c r="AF169" s="287" t="s">
        <v>329</v>
      </c>
      <c r="AG169" s="288" t="s">
        <v>329</v>
      </c>
      <c r="AH169" s="842">
        <v>130</v>
      </c>
      <c r="AI169" s="897">
        <v>7.3</v>
      </c>
      <c r="AJ169" s="287" t="s">
        <v>329</v>
      </c>
      <c r="AK169" s="288" t="s">
        <v>329</v>
      </c>
      <c r="AL169" s="786">
        <v>4530</v>
      </c>
      <c r="AM169" s="815">
        <v>453</v>
      </c>
      <c r="AN169" s="1037">
        <v>43</v>
      </c>
      <c r="AO169" s="1049">
        <v>4.3</v>
      </c>
      <c r="AP169" s="897" t="s">
        <v>329</v>
      </c>
      <c r="AQ169" s="649" t="s">
        <v>329</v>
      </c>
      <c r="AR169" s="292" t="s">
        <v>329</v>
      </c>
      <c r="AS169" s="288" t="s">
        <v>329</v>
      </c>
      <c r="AT169" s="922">
        <v>46</v>
      </c>
      <c r="AU169" s="932">
        <v>46</v>
      </c>
      <c r="AV169" s="874"/>
      <c r="AW169" s="663"/>
      <c r="AX169" s="663"/>
      <c r="AY169" s="663"/>
      <c r="AZ169" s="664"/>
    </row>
    <row r="170" spans="1:52" s="650" customFormat="1" x14ac:dyDescent="0.2">
      <c r="A170" s="308" t="s">
        <v>488</v>
      </c>
      <c r="B170" s="1020"/>
      <c r="C170" s="1019"/>
      <c r="D170" s="1025"/>
      <c r="E170" s="1025"/>
      <c r="F170" s="502"/>
      <c r="G170" s="503"/>
      <c r="H170" s="1040">
        <f t="shared" si="29"/>
        <v>10</v>
      </c>
      <c r="I170" s="1041">
        <f t="shared" si="29"/>
        <v>0.57999999999999996</v>
      </c>
      <c r="J170" s="1041">
        <f t="shared" si="29"/>
        <v>0.57999999999999996</v>
      </c>
      <c r="K170" s="1041">
        <f t="shared" si="29"/>
        <v>5.7099999999999998E-2</v>
      </c>
      <c r="L170" s="1042">
        <f t="shared" si="29"/>
        <v>500</v>
      </c>
      <c r="M170" s="522">
        <v>86.177000000000007</v>
      </c>
      <c r="N170" s="645">
        <v>1.8080000000000001</v>
      </c>
      <c r="O170" s="645">
        <v>0.2</v>
      </c>
      <c r="P170" s="637">
        <f>10^(4.11)</f>
        <v>12882.49551693136</v>
      </c>
      <c r="Q170" s="629">
        <f>IF($P170="NA","NA",(0.617*Data!$D$9*$P170/100)/(1+Data!$D$15*$P170*0.000000617))</f>
        <v>238.45499201839945</v>
      </c>
      <c r="R170" s="629">
        <f t="shared" si="25"/>
        <v>238.45499201839945</v>
      </c>
      <c r="S170" s="290">
        <v>1</v>
      </c>
      <c r="T170" s="290">
        <f t="shared" si="30"/>
        <v>1</v>
      </c>
      <c r="U170" s="847">
        <v>9500</v>
      </c>
      <c r="V170" s="860">
        <f>IF(Data!$D$69="",E170,IF(P170="NA","NA",(0.617*Data!$D$69*P170/100)/(1+Data!$D$15*P170*0.000000617)))</f>
        <v>158.96999467893298</v>
      </c>
      <c r="W170" s="847">
        <f>IF(OR(Q170="NA",Q170="",V170="NA",V170=""),"NA",(1+(V170/Q170)^1.5*((1-Data!$D$75)/(1-Data!$D$18))^1.5*(Data!$D$71/Data!$D$14)^1.5*(Data!$D$73/Data!$D$72)*(1/(39.37*Data!$D$72))^0.25))</f>
        <v>3.8303093677397904</v>
      </c>
      <c r="X170" s="847">
        <f>IF(W170="NA","NA",0.15*Data!$D$71*(1-Data!$D$75)*V170*((13.12*Data!$D$73)^(0.112*LN(Data!$D$71*(1-Data!$D$75)*V170)+1.38))/(W170*Data!$D$81))</f>
        <v>72067.827339711512</v>
      </c>
      <c r="Y170" s="847">
        <f>IF(OR(W170="NA",W170="",Data!$D$91="NA",Data!$D$91=""),"NA",W170*Data!$D$91)</f>
        <v>6.8495741227413944</v>
      </c>
      <c r="Z170" s="847">
        <f>IF(OR(W170="NA",W170="",Data!$D$91="NA",Data!$D$91=""),"NA",IF(Data!$D$68&lt;X170,W170*X170/Data!$D$68*Data!$D$91,W170*Data!$D$91))</f>
        <v>2468.1696261414136</v>
      </c>
      <c r="AA170" s="853"/>
      <c r="AB170" s="710" t="s">
        <v>329</v>
      </c>
      <c r="AC170" s="710" t="s">
        <v>329</v>
      </c>
      <c r="AD170" s="292" t="s">
        <v>329</v>
      </c>
      <c r="AE170" s="287" t="s">
        <v>329</v>
      </c>
      <c r="AF170" s="287" t="s">
        <v>329</v>
      </c>
      <c r="AG170" s="288" t="s">
        <v>329</v>
      </c>
      <c r="AH170" s="839">
        <v>10</v>
      </c>
      <c r="AI170" s="898">
        <v>0.57999999999999996</v>
      </c>
      <c r="AJ170" s="287" t="s">
        <v>329</v>
      </c>
      <c r="AK170" s="288" t="s">
        <v>329</v>
      </c>
      <c r="AL170" s="786"/>
      <c r="AM170" s="815"/>
      <c r="AN170" s="1037"/>
      <c r="AO170" s="1049"/>
      <c r="AP170" s="897">
        <v>5.7099999999999998E-2</v>
      </c>
      <c r="AQ170" s="649" t="s">
        <v>329</v>
      </c>
      <c r="AR170" s="292" t="s">
        <v>329</v>
      </c>
      <c r="AS170" s="288" t="s">
        <v>329</v>
      </c>
      <c r="AT170" s="922">
        <v>500</v>
      </c>
      <c r="AU170" s="932">
        <v>1100</v>
      </c>
      <c r="AV170" s="874"/>
      <c r="AW170" s="663"/>
      <c r="AX170" s="663"/>
      <c r="AY170" s="663"/>
      <c r="AZ170" s="664"/>
    </row>
    <row r="171" spans="1:52" s="650" customFormat="1" x14ac:dyDescent="0.2">
      <c r="A171" s="307" t="s">
        <v>489</v>
      </c>
      <c r="B171" s="1020"/>
      <c r="C171" s="1019"/>
      <c r="D171" s="1025"/>
      <c r="E171" s="1025"/>
      <c r="F171" s="502"/>
      <c r="G171" s="503"/>
      <c r="H171" s="1040">
        <f t="shared" si="29"/>
        <v>1800</v>
      </c>
      <c r="I171" s="1041">
        <f t="shared" si="29"/>
        <v>99</v>
      </c>
      <c r="J171" s="1041">
        <f t="shared" si="29"/>
        <v>99</v>
      </c>
      <c r="K171" s="1041" t="str">
        <f t="shared" si="29"/>
        <v>NA</v>
      </c>
      <c r="L171" s="1042" t="str">
        <f t="shared" si="29"/>
        <v>NA</v>
      </c>
      <c r="M171" s="289">
        <v>100.16</v>
      </c>
      <c r="N171" s="645">
        <f>0.0000956</f>
        <v>9.5600000000000006E-5</v>
      </c>
      <c r="O171" s="645">
        <f>IF(M171="NA","NA",(IF(N171="NA","NA",((((28.97+M171)/(28.97*M171))^0.5)*(10^-3)*(Data!$D$50^1.75)/((2*(20.1^(1/3)))^2)))))</f>
        <v>0.16338710256198463</v>
      </c>
      <c r="P171" s="637">
        <f>10^1.39</f>
        <v>24.547089156850305</v>
      </c>
      <c r="Q171" s="629">
        <f>IF($P171="NA","NA",(0.617*Data!$D$9*$P171/100)/(1+Data!$D$15*$P171*0.000000617))</f>
        <v>0.45436662029329916</v>
      </c>
      <c r="R171" s="629">
        <f t="shared" si="25"/>
        <v>0.45436662029329916</v>
      </c>
      <c r="S171" s="290">
        <v>1</v>
      </c>
      <c r="T171" s="290">
        <f t="shared" si="30"/>
        <v>1</v>
      </c>
      <c r="U171" s="847">
        <v>17500000</v>
      </c>
      <c r="V171" s="860">
        <f>IF(Data!$D$69="",E171,IF(P171="NA","NA",(0.617*Data!$D$69*P171/100)/(1+Data!$D$15*P171*0.000000617)))</f>
        <v>0.30291108019553276</v>
      </c>
      <c r="W171" s="847">
        <f>IF(OR(Q171="NA",Q171="",V171="NA",V171=""),"NA",(1+(V171/Q171)^1.5*((1-Data!$D$75)/(1-Data!$D$18))^1.5*(Data!$D$71/Data!$D$14)^1.5*(Data!$D$73/Data!$D$72)*(1/(39.37*Data!$D$72))^0.25))</f>
        <v>3.8303093677397895</v>
      </c>
      <c r="X171" s="847">
        <f>IF(W171="NA","NA",0.15*Data!$D$71*(1-Data!$D$75)*V171*((13.12*Data!$D$73)^(0.112*LN(Data!$D$71*(1-Data!$D$75)*V171)+1.38))/(W171*Data!$D$81))</f>
        <v>7.2988918627427219</v>
      </c>
      <c r="Y171" s="847">
        <f>IF(OR(W171="NA",W171="",Data!$D$91="NA",Data!$D$91=""),"NA",W171*Data!$D$91)</f>
        <v>6.8495741227413927</v>
      </c>
      <c r="Z171" s="847">
        <f>IF(OR(W171="NA",W171="",Data!$D$91="NA",Data!$D$91=""),"NA",IF(Data!$D$68&lt;X171,W171*X171/Data!$D$68*Data!$D$91,W171*Data!$D$91))</f>
        <v>6.8495741227413927</v>
      </c>
      <c r="AA171" s="853"/>
      <c r="AB171" s="710" t="s">
        <v>329</v>
      </c>
      <c r="AC171" s="710" t="s">
        <v>329</v>
      </c>
      <c r="AD171" s="292" t="s">
        <v>329</v>
      </c>
      <c r="AE171" s="287" t="s">
        <v>329</v>
      </c>
      <c r="AF171" s="287" t="s">
        <v>329</v>
      </c>
      <c r="AG171" s="288" t="s">
        <v>329</v>
      </c>
      <c r="AH171" s="842">
        <v>1800</v>
      </c>
      <c r="AI171" s="897">
        <v>99</v>
      </c>
      <c r="AJ171" s="287" t="s">
        <v>329</v>
      </c>
      <c r="AK171" s="288" t="s">
        <v>329</v>
      </c>
      <c r="AL171" s="786"/>
      <c r="AM171" s="815"/>
      <c r="AN171" s="1037"/>
      <c r="AO171" s="1049"/>
      <c r="AP171" s="1037" t="s">
        <v>329</v>
      </c>
      <c r="AQ171" s="689" t="s">
        <v>329</v>
      </c>
      <c r="AR171" s="292" t="s">
        <v>329</v>
      </c>
      <c r="AS171" s="288" t="s">
        <v>329</v>
      </c>
      <c r="AT171" s="292" t="s">
        <v>329</v>
      </c>
      <c r="AU171" s="288" t="s">
        <v>329</v>
      </c>
      <c r="AV171" s="874"/>
      <c r="AW171" s="663"/>
      <c r="AX171" s="663"/>
      <c r="AY171" s="663"/>
      <c r="AZ171" s="664"/>
    </row>
    <row r="172" spans="1:52" s="650" customFormat="1" x14ac:dyDescent="0.2">
      <c r="A172" s="307" t="s">
        <v>490</v>
      </c>
      <c r="B172" s="1020"/>
      <c r="C172" s="1019"/>
      <c r="D172" s="1025"/>
      <c r="E172" s="1025"/>
      <c r="F172" s="502"/>
      <c r="G172" s="503"/>
      <c r="H172" s="1040" t="str">
        <f t="shared" ref="H172:L181" si="31">IF(INDEX($AB$11:$AZ$310,,H$7)=0,"NA",INDEX($AB$11:$AZ$310,,H$7))</f>
        <v>NA</v>
      </c>
      <c r="I172" s="1041" t="str">
        <f t="shared" si="31"/>
        <v>NA</v>
      </c>
      <c r="J172" s="1041" t="str">
        <f t="shared" si="31"/>
        <v>NA</v>
      </c>
      <c r="K172" s="1041" t="str">
        <f t="shared" si="31"/>
        <v>NA</v>
      </c>
      <c r="L172" s="1042">
        <f t="shared" si="31"/>
        <v>780</v>
      </c>
      <c r="M172" s="289">
        <v>120.2</v>
      </c>
      <c r="N172" s="645">
        <v>1.4500000000000001E-2</v>
      </c>
      <c r="O172" s="645">
        <v>6.5000000000000002E-2</v>
      </c>
      <c r="P172" s="637">
        <f>10^3.66</f>
        <v>4570.8818961487532</v>
      </c>
      <c r="Q172" s="629">
        <f>IF($P172="NA","NA",(0.617*Data!$D$9*$P172/100)/(1+Data!$D$15*$P172*0.000000617))</f>
        <v>84.607023897713418</v>
      </c>
      <c r="R172" s="629">
        <f t="shared" si="25"/>
        <v>84.607023897713418</v>
      </c>
      <c r="S172" s="290">
        <v>1</v>
      </c>
      <c r="T172" s="290">
        <f t="shared" si="30"/>
        <v>1</v>
      </c>
      <c r="U172" s="847">
        <v>61000</v>
      </c>
      <c r="V172" s="860">
        <f>IF(Data!$D$69="",E172,IF(P172="NA","NA",(0.617*Data!$D$69*P172/100)/(1+Data!$D$15*P172*0.000000617)))</f>
        <v>56.40468259847561</v>
      </c>
      <c r="W172" s="847">
        <f>IF(OR(Q172="NA",Q172="",V172="NA",V172=""),"NA",(1+(V172/Q172)^1.5*((1-Data!$D$75)/(1-Data!$D$18))^1.5*(Data!$D$71/Data!$D$14)^1.5*(Data!$D$73/Data!$D$72)*(1/(39.37*Data!$D$72))^0.25))</f>
        <v>3.8303093677397895</v>
      </c>
      <c r="X172" s="847">
        <f>IF(W172="NA","NA",0.15*Data!$D$71*(1-Data!$D$75)*V172*((13.12*Data!$D$73)^(0.112*LN(Data!$D$71*(1-Data!$D$75)*V172)+1.38))/(W172*Data!$D$81))</f>
        <v>15735.814029292178</v>
      </c>
      <c r="Y172" s="847">
        <f>IF(OR(W172="NA",W172="",Data!$D$91="NA",Data!$D$91=""),"NA",W172*Data!$D$91)</f>
        <v>6.8495741227413927</v>
      </c>
      <c r="Z172" s="847">
        <f>IF(OR(W172="NA",W172="",Data!$D$91="NA",Data!$D$91=""),"NA",IF(Data!$D$68&lt;X172,W172*X172/Data!$D$68*Data!$D$91,W172*Data!$D$91))</f>
        <v>538.91812287655341</v>
      </c>
      <c r="AA172" s="853"/>
      <c r="AB172" s="710" t="s">
        <v>329</v>
      </c>
      <c r="AC172" s="710" t="s">
        <v>329</v>
      </c>
      <c r="AD172" s="292" t="s">
        <v>329</v>
      </c>
      <c r="AE172" s="287" t="s">
        <v>329</v>
      </c>
      <c r="AF172" s="287" t="s">
        <v>329</v>
      </c>
      <c r="AG172" s="288" t="s">
        <v>329</v>
      </c>
      <c r="AH172" s="840" t="s">
        <v>329</v>
      </c>
      <c r="AI172" s="651" t="s">
        <v>329</v>
      </c>
      <c r="AJ172" s="287" t="s">
        <v>329</v>
      </c>
      <c r="AK172" s="288" t="s">
        <v>329</v>
      </c>
      <c r="AL172" s="786"/>
      <c r="AM172" s="815"/>
      <c r="AN172" s="1037"/>
      <c r="AO172" s="1049"/>
      <c r="AP172" s="1037" t="s">
        <v>329</v>
      </c>
      <c r="AQ172" s="689" t="s">
        <v>329</v>
      </c>
      <c r="AR172" s="292" t="s">
        <v>329</v>
      </c>
      <c r="AS172" s="288" t="s">
        <v>329</v>
      </c>
      <c r="AT172" s="922">
        <v>780</v>
      </c>
      <c r="AU172" s="932">
        <v>1600</v>
      </c>
      <c r="AV172" s="874"/>
      <c r="AW172" s="663"/>
      <c r="AX172" s="663"/>
      <c r="AY172" s="663"/>
      <c r="AZ172" s="664"/>
    </row>
    <row r="173" spans="1:52" s="650" customFormat="1" x14ac:dyDescent="0.2">
      <c r="A173" s="307" t="s">
        <v>491</v>
      </c>
      <c r="B173" s="1020"/>
      <c r="C173" s="1019"/>
      <c r="D173" s="1025"/>
      <c r="E173" s="1025"/>
      <c r="F173" s="502"/>
      <c r="G173" s="503"/>
      <c r="H173" s="1040" t="str">
        <f t="shared" si="31"/>
        <v>NA</v>
      </c>
      <c r="I173" s="1041" t="str">
        <f t="shared" si="31"/>
        <v>NA</v>
      </c>
      <c r="J173" s="1041" t="str">
        <f t="shared" si="31"/>
        <v>NA</v>
      </c>
      <c r="K173" s="1041" t="str">
        <f t="shared" si="31"/>
        <v>NA</v>
      </c>
      <c r="L173" s="1042">
        <f t="shared" si="31"/>
        <v>690</v>
      </c>
      <c r="M173" s="289">
        <v>74.099999999999994</v>
      </c>
      <c r="N173" s="645">
        <f>0.00013</f>
        <v>1.2999999999999999E-4</v>
      </c>
      <c r="O173" s="645">
        <v>0.104</v>
      </c>
      <c r="P173" s="637">
        <f>10^0.18</f>
        <v>1.5135612484362082</v>
      </c>
      <c r="Q173" s="290">
        <f>IF($P173="NA","NA",(0.617*Data!$D$9*$P173/100)/(1+Data!$D$15*$P173*0.000000617))</f>
        <v>2.8016018708554212E-2</v>
      </c>
      <c r="R173" s="290">
        <f t="shared" si="25"/>
        <v>2.8016018708554212E-2</v>
      </c>
      <c r="S173" s="290">
        <v>1</v>
      </c>
      <c r="T173" s="290">
        <f t="shared" si="30"/>
        <v>1</v>
      </c>
      <c r="U173" s="847">
        <v>245000000</v>
      </c>
      <c r="V173" s="860">
        <f>IF(Data!$D$69="",E173,IF(P173="NA","NA",(0.617*Data!$D$69*P173/100)/(1+Data!$D$15*P173*0.000000617)))</f>
        <v>1.8677345805702808E-2</v>
      </c>
      <c r="W173" s="847">
        <f>IF(OR(Q173="NA",Q173="",V173="NA",V173=""),"NA",(1+(V173/Q173)^1.5*((1-Data!$D$75)/(1-Data!$D$18))^1.5*(Data!$D$71/Data!$D$14)^1.5*(Data!$D$73/Data!$D$72)*(1/(39.37*Data!$D$72))^0.25))</f>
        <v>3.8303093677397895</v>
      </c>
      <c r="X173" s="847">
        <f>IF(W173="NA","NA",0.15*Data!$D$71*(1-Data!$D$75)*V173*((13.12*Data!$D$73)^(0.112*LN(Data!$D$71*(1-Data!$D$75)*V173)+1.38))/(W173*Data!$D$81))</f>
        <v>0.12198284300377177</v>
      </c>
      <c r="Y173" s="847">
        <f>IF(OR(W173="NA",W173="",Data!$D$91="NA",Data!$D$91=""),"NA",W173*Data!$D$91)</f>
        <v>6.8495741227413927</v>
      </c>
      <c r="Z173" s="847">
        <f>IF(OR(W173="NA",W173="",Data!$D$91="NA",Data!$D$91=""),"NA",IF(Data!$D$68&lt;X173,W173*X173/Data!$D$68*Data!$D$91,W173*Data!$D$91))</f>
        <v>6.8495741227413927</v>
      </c>
      <c r="AA173" s="853"/>
      <c r="AB173" s="710" t="s">
        <v>329</v>
      </c>
      <c r="AC173" s="710" t="s">
        <v>329</v>
      </c>
      <c r="AD173" s="292" t="s">
        <v>329</v>
      </c>
      <c r="AE173" s="287" t="s">
        <v>329</v>
      </c>
      <c r="AF173" s="287" t="s">
        <v>329</v>
      </c>
      <c r="AG173" s="288" t="s">
        <v>329</v>
      </c>
      <c r="AH173" s="840" t="s">
        <v>329</v>
      </c>
      <c r="AI173" s="651" t="s">
        <v>329</v>
      </c>
      <c r="AJ173" s="287" t="s">
        <v>329</v>
      </c>
      <c r="AK173" s="288" t="s">
        <v>329</v>
      </c>
      <c r="AL173" s="786"/>
      <c r="AM173" s="815"/>
      <c r="AN173" s="1037"/>
      <c r="AO173" s="1049"/>
      <c r="AP173" s="1037" t="s">
        <v>329</v>
      </c>
      <c r="AQ173" s="689" t="s">
        <v>329</v>
      </c>
      <c r="AR173" s="292" t="s">
        <v>329</v>
      </c>
      <c r="AS173" s="288" t="s">
        <v>329</v>
      </c>
      <c r="AT173" s="922">
        <v>690</v>
      </c>
      <c r="AU173" s="932">
        <v>1900</v>
      </c>
      <c r="AV173" s="874"/>
      <c r="AW173" s="663"/>
      <c r="AX173" s="663"/>
      <c r="AY173" s="663"/>
      <c r="AZ173" s="664"/>
    </row>
    <row r="174" spans="1:52" s="650" customFormat="1" x14ac:dyDescent="0.2">
      <c r="A174" s="307" t="s">
        <v>492</v>
      </c>
      <c r="B174" s="1020"/>
      <c r="C174" s="1019"/>
      <c r="D174" s="1025"/>
      <c r="E174" s="1025"/>
      <c r="F174" s="502"/>
      <c r="G174" s="503"/>
      <c r="H174" s="1040" t="str">
        <f t="shared" si="31"/>
        <v>NA</v>
      </c>
      <c r="I174" s="1041" t="str">
        <f t="shared" si="31"/>
        <v>NA</v>
      </c>
      <c r="J174" s="1041" t="str">
        <f t="shared" si="31"/>
        <v>NA</v>
      </c>
      <c r="K174" s="1041" t="str">
        <f t="shared" si="31"/>
        <v>NA</v>
      </c>
      <c r="L174" s="1042">
        <f t="shared" si="31"/>
        <v>0.28000000000000003</v>
      </c>
      <c r="M174" s="289">
        <v>88.15</v>
      </c>
      <c r="N174" s="645">
        <f>0.000587</f>
        <v>5.8699999999999996E-4</v>
      </c>
      <c r="O174" s="645">
        <v>0.1024</v>
      </c>
      <c r="P174" s="637">
        <f>10^1.24</f>
        <v>17.378008287493756</v>
      </c>
      <c r="Q174" s="873">
        <f>IF($P174="NA","NA",(0.617*Data!$D$9*$P174/100)/(1+Data!$D$15*$P174*0.000000617))</f>
        <v>0.32166693340150943</v>
      </c>
      <c r="R174" s="873">
        <f t="shared" si="25"/>
        <v>0.32166693340150943</v>
      </c>
      <c r="S174" s="290">
        <v>1</v>
      </c>
      <c r="T174" s="290">
        <f t="shared" si="30"/>
        <v>1</v>
      </c>
      <c r="U174" s="847">
        <v>51000000</v>
      </c>
      <c r="V174" s="860">
        <f>IF(Data!$D$69="",E174,IF(P174="NA","NA",(0.617*Data!$D$69*P174/100)/(1+Data!$D$15*P174*0.000000617)))</f>
        <v>0.21444462226767297</v>
      </c>
      <c r="W174" s="847">
        <f>IF(OR(Q174="NA",Q174="",V174="NA",V174=""),"NA",(1+(V174/Q174)^1.5*((1-Data!$D$75)/(1-Data!$D$18))^1.5*(Data!$D$71/Data!$D$14)^1.5*(Data!$D$73/Data!$D$72)*(1/(39.37*Data!$D$72))^0.25))</f>
        <v>3.8303093677397904</v>
      </c>
      <c r="X174" s="847">
        <f>IF(W174="NA","NA",0.15*Data!$D$71*(1-Data!$D$75)*V174*((13.12*Data!$D$73)^(0.112*LN(Data!$D$71*(1-Data!$D$75)*V174)+1.38))/(W174*Data!$D$81))</f>
        <v>4.3951414604859869</v>
      </c>
      <c r="Y174" s="847">
        <f>IF(OR(W174="NA",W174="",Data!$D$91="NA",Data!$D$91=""),"NA",W174*Data!$D$91)</f>
        <v>6.8495741227413944</v>
      </c>
      <c r="Z174" s="847">
        <f>IF(OR(W174="NA",W174="",Data!$D$91="NA",Data!$D$91=""),"NA",IF(Data!$D$68&lt;X174,W174*X174/Data!$D$68*Data!$D$91,W174*Data!$D$91))</f>
        <v>6.8495741227413944</v>
      </c>
      <c r="AA174" s="853"/>
      <c r="AB174" s="710" t="s">
        <v>329</v>
      </c>
      <c r="AC174" s="710" t="s">
        <v>329</v>
      </c>
      <c r="AD174" s="292" t="s">
        <v>329</v>
      </c>
      <c r="AE174" s="287" t="s">
        <v>329</v>
      </c>
      <c r="AF174" s="287" t="s">
        <v>329</v>
      </c>
      <c r="AG174" s="288" t="s">
        <v>329</v>
      </c>
      <c r="AH174" s="840" t="s">
        <v>329</v>
      </c>
      <c r="AI174" s="651" t="s">
        <v>329</v>
      </c>
      <c r="AJ174" s="287" t="s">
        <v>329</v>
      </c>
      <c r="AK174" s="288" t="s">
        <v>329</v>
      </c>
      <c r="AL174" s="786"/>
      <c r="AM174" s="815"/>
      <c r="AN174" s="1037"/>
      <c r="AO174" s="1049"/>
      <c r="AP174" s="1037" t="s">
        <v>329</v>
      </c>
      <c r="AQ174" s="689" t="s">
        <v>329</v>
      </c>
      <c r="AR174" s="292" t="s">
        <v>329</v>
      </c>
      <c r="AS174" s="288" t="s">
        <v>329</v>
      </c>
      <c r="AT174" s="922">
        <v>0.28000000000000003</v>
      </c>
      <c r="AU174" s="932">
        <v>0.28000000000000003</v>
      </c>
      <c r="AV174" s="874"/>
      <c r="AW174" s="663"/>
      <c r="AX174" s="663"/>
      <c r="AY174" s="663"/>
      <c r="AZ174" s="664"/>
    </row>
    <row r="175" spans="1:52" s="650" customFormat="1" x14ac:dyDescent="0.2">
      <c r="A175" s="307" t="s">
        <v>493</v>
      </c>
      <c r="B175" s="1020"/>
      <c r="C175" s="1019"/>
      <c r="D175" s="1025"/>
      <c r="E175" s="1025"/>
      <c r="F175" s="502"/>
      <c r="G175" s="503"/>
      <c r="H175" s="1040">
        <f t="shared" si="31"/>
        <v>2200</v>
      </c>
      <c r="I175" s="1041">
        <f t="shared" si="31"/>
        <v>170</v>
      </c>
      <c r="J175" s="1041">
        <f t="shared" si="31"/>
        <v>170</v>
      </c>
      <c r="K175" s="1041">
        <f t="shared" si="31"/>
        <v>0.23</v>
      </c>
      <c r="L175" s="1042">
        <f t="shared" si="31"/>
        <v>2.9</v>
      </c>
      <c r="M175" s="289">
        <v>100.16</v>
      </c>
      <c r="N175" s="645">
        <f>0.00564*82.1*298/1000000</f>
        <v>1.3798711199999999E-4</v>
      </c>
      <c r="O175" s="645">
        <v>7.4999999999999997E-2</v>
      </c>
      <c r="P175" s="629">
        <f>10^(1.31)</f>
        <v>20.4173794466953</v>
      </c>
      <c r="Q175" s="873">
        <f>IF($P175="NA","NA",(0.617*Data!$D$9*$P175/100)/(1+Data!$D$15*$P175*0.000000617))</f>
        <v>0.37792569355833</v>
      </c>
      <c r="R175" s="873">
        <f t="shared" si="25"/>
        <v>0.37792569355833</v>
      </c>
      <c r="S175" s="290">
        <v>1</v>
      </c>
      <c r="T175" s="290">
        <f t="shared" si="30"/>
        <v>1</v>
      </c>
      <c r="U175" s="847">
        <v>19000000</v>
      </c>
      <c r="V175" s="860">
        <f>IF(Data!$D$69="",E175,IF(P175="NA","NA",(0.617*Data!$D$69*P175/100)/(1+Data!$D$15*P175*0.000000617)))</f>
        <v>0.25195046237221996</v>
      </c>
      <c r="W175" s="847">
        <f>IF(OR(Q175="NA",Q175="",V175="NA",V175=""),"NA",(1+(V175/Q175)^1.5*((1-Data!$D$75)/(1-Data!$D$18))^1.5*(Data!$D$71/Data!$D$14)^1.5*(Data!$D$73/Data!$D$72)*(1/(39.37*Data!$D$72))^0.25))</f>
        <v>3.8303093677397886</v>
      </c>
      <c r="X175" s="847">
        <f>IF(W175="NA","NA",0.15*Data!$D$71*(1-Data!$D$75)*V175*((13.12*Data!$D$73)^(0.112*LN(Data!$D$71*(1-Data!$D$75)*V175)+1.38))/(W175*Data!$D$81))</f>
        <v>5.5689342595984659</v>
      </c>
      <c r="Y175" s="847">
        <f>IF(OR(W175="NA",W175="",Data!$D$91="NA",Data!$D$91=""),"NA",W175*Data!$D$91)</f>
        <v>6.8495741227413909</v>
      </c>
      <c r="Z175" s="847">
        <f>IF(OR(W175="NA",W175="",Data!$D$91="NA",Data!$D$91=""),"NA",IF(Data!$D$68&lt;X175,W175*X175/Data!$D$68*Data!$D$91,W175*Data!$D$91))</f>
        <v>6.8495741227413909</v>
      </c>
      <c r="AA175" s="853"/>
      <c r="AB175" s="710" t="s">
        <v>329</v>
      </c>
      <c r="AC175" s="710" t="s">
        <v>329</v>
      </c>
      <c r="AD175" s="292" t="s">
        <v>329</v>
      </c>
      <c r="AE175" s="287" t="s">
        <v>329</v>
      </c>
      <c r="AF175" s="287" t="s">
        <v>329</v>
      </c>
      <c r="AG175" s="288" t="s">
        <v>329</v>
      </c>
      <c r="AH175" s="842">
        <v>2200</v>
      </c>
      <c r="AI175" s="897">
        <v>170</v>
      </c>
      <c r="AJ175" s="287" t="s">
        <v>329</v>
      </c>
      <c r="AK175" s="288" t="s">
        <v>329</v>
      </c>
      <c r="AL175" s="786"/>
      <c r="AM175" s="815"/>
      <c r="AN175" s="1037"/>
      <c r="AO175" s="1049"/>
      <c r="AP175" s="897">
        <v>0.23</v>
      </c>
      <c r="AQ175" s="649" t="s">
        <v>329</v>
      </c>
      <c r="AR175" s="292" t="s">
        <v>329</v>
      </c>
      <c r="AS175" s="288" t="s">
        <v>329</v>
      </c>
      <c r="AT175" s="922">
        <v>2.9</v>
      </c>
      <c r="AU175" s="932">
        <v>6.3</v>
      </c>
      <c r="AV175" s="874"/>
      <c r="AW175" s="663"/>
      <c r="AX175" s="663"/>
      <c r="AY175" s="663"/>
      <c r="AZ175" s="664"/>
    </row>
    <row r="176" spans="1:52" s="650" customFormat="1" x14ac:dyDescent="0.2">
      <c r="A176" s="307" t="s">
        <v>494</v>
      </c>
      <c r="B176" s="1020"/>
      <c r="C176" s="1019"/>
      <c r="D176" s="1025"/>
      <c r="E176" s="1025"/>
      <c r="F176" s="502"/>
      <c r="G176" s="503"/>
      <c r="H176" s="1040">
        <f t="shared" si="31"/>
        <v>26000</v>
      </c>
      <c r="I176" s="1041">
        <f t="shared" si="31"/>
        <v>2200</v>
      </c>
      <c r="J176" s="1041">
        <f t="shared" si="31"/>
        <v>2200</v>
      </c>
      <c r="K176" s="1041" t="str">
        <f t="shared" si="31"/>
        <v>NA</v>
      </c>
      <c r="L176" s="1042">
        <f t="shared" si="31"/>
        <v>7.5999999999999998E-2</v>
      </c>
      <c r="M176" s="289">
        <v>84.94</v>
      </c>
      <c r="N176" s="645">
        <v>2.1900000000000001E-3</v>
      </c>
      <c r="O176" s="645">
        <v>0.10100000000000001</v>
      </c>
      <c r="P176" s="637">
        <f>10^1.25</f>
        <v>17.782794100389236</v>
      </c>
      <c r="Q176" s="873">
        <f>IF($P176="NA","NA",(0.617*Data!$D$9*$P176/100)/(1+Data!$D$15*$P176*0.000000617))</f>
        <v>0.32915951879820476</v>
      </c>
      <c r="R176" s="873">
        <f t="shared" si="25"/>
        <v>0.32915951879820476</v>
      </c>
      <c r="S176" s="290">
        <v>1</v>
      </c>
      <c r="T176" s="290">
        <f t="shared" si="30"/>
        <v>1</v>
      </c>
      <c r="U176" s="847">
        <v>20000000</v>
      </c>
      <c r="V176" s="860">
        <f>IF(Data!$D$69="",E176,IF(P176="NA","NA",(0.617*Data!$D$69*P176/100)/(1+Data!$D$15*P176*0.000000617)))</f>
        <v>0.21943967919880314</v>
      </c>
      <c r="W176" s="847">
        <f>IF(OR(Q176="NA",Q176="",V176="NA",V176=""),"NA",(1+(V176/Q176)^1.5*((1-Data!$D$75)/(1-Data!$D$18))^1.5*(Data!$D$71/Data!$D$14)^1.5*(Data!$D$73/Data!$D$72)*(1/(39.37*Data!$D$72))^0.25))</f>
        <v>3.8303093677397886</v>
      </c>
      <c r="X176" s="847">
        <f>IF(W176="NA","NA",0.15*Data!$D$71*(1-Data!$D$75)*V176*((13.12*Data!$D$73)^(0.112*LN(Data!$D$71*(1-Data!$D$75)*V176)+1.38))/(W176*Data!$D$81))</f>
        <v>4.5463038944453018</v>
      </c>
      <c r="Y176" s="847">
        <f>IF(OR(W176="NA",W176="",Data!$D$91="NA",Data!$D$91=""),"NA",W176*Data!$D$91)</f>
        <v>6.8495741227413909</v>
      </c>
      <c r="Z176" s="847">
        <f>IF(OR(W176="NA",W176="",Data!$D$91="NA",Data!$D$91=""),"NA",IF(Data!$D$68&lt;X176,W176*X176/Data!$D$68*Data!$D$91,W176*Data!$D$91))</f>
        <v>6.8495741227413909</v>
      </c>
      <c r="AA176" s="853"/>
      <c r="AB176" s="712">
        <v>5</v>
      </c>
      <c r="AC176" s="712">
        <v>5</v>
      </c>
      <c r="AD176" s="292" t="s">
        <v>329</v>
      </c>
      <c r="AE176" s="287" t="s">
        <v>329</v>
      </c>
      <c r="AF176" s="287" t="s">
        <v>329</v>
      </c>
      <c r="AG176" s="288" t="s">
        <v>329</v>
      </c>
      <c r="AH176" s="842">
        <v>26000</v>
      </c>
      <c r="AI176" s="897">
        <v>2200</v>
      </c>
      <c r="AJ176" s="287" t="s">
        <v>329</v>
      </c>
      <c r="AK176" s="288" t="s">
        <v>329</v>
      </c>
      <c r="AL176" s="786">
        <v>19300</v>
      </c>
      <c r="AM176" s="815">
        <v>1930</v>
      </c>
      <c r="AN176" s="1037">
        <v>25600</v>
      </c>
      <c r="AO176" s="1049">
        <v>2560</v>
      </c>
      <c r="AP176" s="1037" t="s">
        <v>329</v>
      </c>
      <c r="AQ176" s="689" t="s">
        <v>329</v>
      </c>
      <c r="AR176" s="292" t="s">
        <v>329</v>
      </c>
      <c r="AS176" s="288" t="s">
        <v>329</v>
      </c>
      <c r="AT176" s="922">
        <v>7.5999999999999998E-2</v>
      </c>
      <c r="AU176" s="932">
        <v>7.5999999999999998E-2</v>
      </c>
      <c r="AV176" s="874"/>
      <c r="AW176" s="663"/>
      <c r="AX176" s="663"/>
      <c r="AY176" s="663"/>
      <c r="AZ176" s="664"/>
    </row>
    <row r="177" spans="1:52" s="650" customFormat="1" x14ac:dyDescent="0.2">
      <c r="A177" s="308" t="s">
        <v>495</v>
      </c>
      <c r="B177" s="1020"/>
      <c r="C177" s="1019"/>
      <c r="D177" s="1025"/>
      <c r="E177" s="1025"/>
      <c r="F177" s="502"/>
      <c r="G177" s="503"/>
      <c r="H177" s="1040">
        <f t="shared" si="31"/>
        <v>150</v>
      </c>
      <c r="I177" s="1041">
        <f t="shared" si="31"/>
        <v>8.3000000000000007</v>
      </c>
      <c r="J177" s="1041">
        <f t="shared" si="31"/>
        <v>8.3000000000000007</v>
      </c>
      <c r="K177" s="1041" t="str">
        <f t="shared" si="31"/>
        <v>NA</v>
      </c>
      <c r="L177" s="1042" t="str">
        <f t="shared" si="31"/>
        <v>NA</v>
      </c>
      <c r="M177" s="522">
        <v>128.21</v>
      </c>
      <c r="N177" s="667">
        <v>1.852E-4</v>
      </c>
      <c r="O177" s="645">
        <f>IF(M177="NA","NA",(IF(N177="NA","NA",((((28.97+M177)/(28.97*M177))^0.5)*(10^-3)*(Data!$D$50^1.75)/((2*(20.1^(1/3)))^2)))))</f>
        <v>0.15932687783214938</v>
      </c>
      <c r="P177" s="637">
        <f>10^2.37</f>
        <v>234.42288153199232</v>
      </c>
      <c r="Q177" s="629">
        <f>IF($P177="NA","NA",(0.617*Data!$D$9*$P177/100)/(1+Data!$D$15*$P177*0.000000617))</f>
        <v>4.3391675371571781</v>
      </c>
      <c r="R177" s="629">
        <f t="shared" si="25"/>
        <v>4.3391675371571781</v>
      </c>
      <c r="S177" s="290">
        <v>1</v>
      </c>
      <c r="T177" s="290">
        <f t="shared" si="30"/>
        <v>1</v>
      </c>
      <c r="U177" s="848">
        <v>900000</v>
      </c>
      <c r="V177" s="860">
        <f>IF(Data!$D$69="",E177,IF(P177="NA","NA",(0.617*Data!$D$69*P177/100)/(1+Data!$D$15*P177*0.000000617)))</f>
        <v>2.8927783581047852</v>
      </c>
      <c r="W177" s="847">
        <f>IF(OR(Q177="NA",Q177="",V177="NA",V177=""),"NA",(1+(V177/Q177)^1.5*((1-Data!$D$75)/(1-Data!$D$18))^1.5*(Data!$D$71/Data!$D$14)^1.5*(Data!$D$73/Data!$D$72)*(1/(39.37*Data!$D$72))^0.25))</f>
        <v>3.8303093677397895</v>
      </c>
      <c r="X177" s="847">
        <f>IF(W177="NA","NA",0.15*Data!$D$71*(1-Data!$D$75)*V177*((13.12*Data!$D$73)^(0.112*LN(Data!$D$71*(1-Data!$D$75)*V177)+1.38))/(W177*Data!$D$81))</f>
        <v>200.65324968959123</v>
      </c>
      <c r="Y177" s="847">
        <f>IF(OR(W177="NA",W177="",Data!$D$91="NA",Data!$D$91=""),"NA",W177*Data!$D$91)</f>
        <v>6.8495741227413927</v>
      </c>
      <c r="Z177" s="847">
        <f>IF(OR(W177="NA",W177="",Data!$D$91="NA",Data!$D$91=""),"NA",IF(Data!$D$68&lt;X177,W177*X177/Data!$D$68*Data!$D$91,W177*Data!$D$91))</f>
        <v>6.8719465335889574</v>
      </c>
      <c r="AA177" s="853"/>
      <c r="AB177" s="710" t="s">
        <v>329</v>
      </c>
      <c r="AC177" s="710" t="s">
        <v>329</v>
      </c>
      <c r="AD177" s="292" t="s">
        <v>329</v>
      </c>
      <c r="AE177" s="287" t="s">
        <v>329</v>
      </c>
      <c r="AF177" s="287" t="s">
        <v>329</v>
      </c>
      <c r="AG177" s="288" t="s">
        <v>329</v>
      </c>
      <c r="AH177" s="839">
        <v>150</v>
      </c>
      <c r="AI177" s="890">
        <v>8.3000000000000007</v>
      </c>
      <c r="AJ177" s="287" t="s">
        <v>329</v>
      </c>
      <c r="AK177" s="288" t="s">
        <v>329</v>
      </c>
      <c r="AL177" s="786"/>
      <c r="AM177" s="815"/>
      <c r="AN177" s="1037"/>
      <c r="AO177" s="1049"/>
      <c r="AP177" s="1037" t="s">
        <v>329</v>
      </c>
      <c r="AQ177" s="689" t="s">
        <v>329</v>
      </c>
      <c r="AR177" s="292" t="s">
        <v>329</v>
      </c>
      <c r="AS177" s="288" t="s">
        <v>329</v>
      </c>
      <c r="AT177" s="292" t="s">
        <v>329</v>
      </c>
      <c r="AU177" s="288" t="s">
        <v>329</v>
      </c>
      <c r="AV177" s="874"/>
      <c r="AW177" s="663"/>
      <c r="AX177" s="663"/>
      <c r="AY177" s="663"/>
      <c r="AZ177" s="664"/>
    </row>
    <row r="178" spans="1:52" s="650" customFormat="1" x14ac:dyDescent="0.2">
      <c r="A178" s="308" t="s">
        <v>496</v>
      </c>
      <c r="B178" s="1020"/>
      <c r="C178" s="1019"/>
      <c r="D178" s="1025"/>
      <c r="E178" s="1025"/>
      <c r="F178" s="502"/>
      <c r="G178" s="503"/>
      <c r="H178" s="1040">
        <f t="shared" si="31"/>
        <v>2000</v>
      </c>
      <c r="I178" s="1041">
        <f t="shared" si="31"/>
        <v>110</v>
      </c>
      <c r="J178" s="1041">
        <f t="shared" si="31"/>
        <v>110</v>
      </c>
      <c r="K178" s="1041" t="str">
        <f t="shared" si="31"/>
        <v>NA</v>
      </c>
      <c r="L178" s="1042" t="str">
        <f t="shared" si="31"/>
        <v>NA</v>
      </c>
      <c r="M178" s="522">
        <v>88.15</v>
      </c>
      <c r="N178" s="645">
        <f>0.000531*82.1*298/1000000</f>
        <v>1.2991339799999998E-5</v>
      </c>
      <c r="O178" s="645">
        <f>IF(M178="NA","NA",(IF(N178="NA","NA",((((28.97+M178)/(28.97*M178))^0.5)*(10^-3)*(Data!$D$50^1.75)/((2*(20.1^(1/3)))^2)))))</f>
        <v>0.16586537204850701</v>
      </c>
      <c r="P178" s="629">
        <f>10^(1.51)</f>
        <v>32.359365692962832</v>
      </c>
      <c r="Q178" s="629">
        <f>IF($P178="NA","NA",(0.617*Data!$D$9*$P178/100)/(1+Data!$D$15*$P178*0.000000617))</f>
        <v>0.5989718589767421</v>
      </c>
      <c r="R178" s="629">
        <f t="shared" si="25"/>
        <v>0.5989718589767421</v>
      </c>
      <c r="S178" s="290">
        <v>1</v>
      </c>
      <c r="T178" s="290">
        <f t="shared" si="30"/>
        <v>1</v>
      </c>
      <c r="U178" s="848">
        <v>22000000</v>
      </c>
      <c r="V178" s="860">
        <f>IF(Data!$D$69="",E178,IF(P178="NA","NA",(0.617*Data!$D$69*P178/100)/(1+Data!$D$15*P178*0.000000617)))</f>
        <v>0.39931457265116138</v>
      </c>
      <c r="W178" s="847">
        <f>IF(OR(Q178="NA",Q178="",V178="NA",V178=""),"NA",(1+(V178/Q178)^1.5*((1-Data!$D$75)/(1-Data!$D$18))^1.5*(Data!$D$71/Data!$D$14)^1.5*(Data!$D$73/Data!$D$72)*(1/(39.37*Data!$D$72))^0.25))</f>
        <v>3.8303093677397895</v>
      </c>
      <c r="X178" s="847">
        <f>IF(W178="NA","NA",0.15*Data!$D$71*(1-Data!$D$75)*V178*((13.12*Data!$D$73)^(0.112*LN(Data!$D$71*(1-Data!$D$75)*V178)+1.38))/(W178*Data!$D$81))</f>
        <v>10.951766777263813</v>
      </c>
      <c r="Y178" s="847">
        <f>IF(OR(W178="NA",W178="",Data!$D$91="NA",Data!$D$91=""),"NA",W178*Data!$D$91)</f>
        <v>6.8495741227413927</v>
      </c>
      <c r="Z178" s="847">
        <f>IF(OR(W178="NA",W178="",Data!$D$91="NA",Data!$D$91=""),"NA",IF(Data!$D$68&lt;X178,W178*X178/Data!$D$68*Data!$D$91,W178*Data!$D$91))</f>
        <v>6.8495741227413927</v>
      </c>
      <c r="AA178" s="853"/>
      <c r="AB178" s="710" t="s">
        <v>329</v>
      </c>
      <c r="AC178" s="710" t="s">
        <v>329</v>
      </c>
      <c r="AD178" s="292" t="s">
        <v>329</v>
      </c>
      <c r="AE178" s="287" t="s">
        <v>329</v>
      </c>
      <c r="AF178" s="287" t="s">
        <v>329</v>
      </c>
      <c r="AG178" s="288" t="s">
        <v>329</v>
      </c>
      <c r="AH178" s="839">
        <v>2000</v>
      </c>
      <c r="AI178" s="896">
        <v>110</v>
      </c>
      <c r="AJ178" s="287" t="s">
        <v>329</v>
      </c>
      <c r="AK178" s="288" t="s">
        <v>329</v>
      </c>
      <c r="AL178" s="786"/>
      <c r="AM178" s="815"/>
      <c r="AN178" s="1037"/>
      <c r="AO178" s="1049"/>
      <c r="AP178" s="1037" t="s">
        <v>329</v>
      </c>
      <c r="AQ178" s="689" t="s">
        <v>329</v>
      </c>
      <c r="AR178" s="292" t="s">
        <v>329</v>
      </c>
      <c r="AS178" s="288" t="s">
        <v>329</v>
      </c>
      <c r="AT178" s="292" t="s">
        <v>329</v>
      </c>
      <c r="AU178" s="288" t="s">
        <v>329</v>
      </c>
      <c r="AV178" s="874"/>
      <c r="AW178" s="663"/>
      <c r="AX178" s="663"/>
      <c r="AY178" s="663"/>
      <c r="AZ178" s="664"/>
    </row>
    <row r="179" spans="1:52" s="650" customFormat="1" x14ac:dyDescent="0.2">
      <c r="A179" s="308" t="s">
        <v>497</v>
      </c>
      <c r="B179" s="1020"/>
      <c r="C179" s="1019"/>
      <c r="D179" s="1025"/>
      <c r="E179" s="1025"/>
      <c r="F179" s="502"/>
      <c r="G179" s="503"/>
      <c r="H179" s="1040">
        <f t="shared" si="31"/>
        <v>130</v>
      </c>
      <c r="I179" s="1041">
        <f t="shared" si="31"/>
        <v>7.5</v>
      </c>
      <c r="J179" s="1041">
        <f t="shared" si="31"/>
        <v>7.5</v>
      </c>
      <c r="K179" s="1041" t="str">
        <f t="shared" si="31"/>
        <v>NA</v>
      </c>
      <c r="L179" s="1042" t="str">
        <f t="shared" si="31"/>
        <v>NA</v>
      </c>
      <c r="M179" s="522">
        <v>60.095999999999997</v>
      </c>
      <c r="N179" s="667">
        <v>8.0930000000000003E-6</v>
      </c>
      <c r="O179" s="667">
        <v>0.10100000000000001</v>
      </c>
      <c r="P179" s="873">
        <f>10^0.05</f>
        <v>1.1220184543019636</v>
      </c>
      <c r="Q179" s="290">
        <f>IF($P179="NA","NA",(0.617*Data!$D$9*$P179/100)/(1+Data!$D$15*$P179*0.000000617))</f>
        <v>2.0768561589129347E-2</v>
      </c>
      <c r="R179" s="290">
        <f t="shared" si="25"/>
        <v>2.0768561589129347E-2</v>
      </c>
      <c r="S179" s="290">
        <v>1</v>
      </c>
      <c r="T179" s="290">
        <f t="shared" si="30"/>
        <v>1</v>
      </c>
      <c r="U179" s="848">
        <v>1000000000</v>
      </c>
      <c r="V179" s="860">
        <f>IF(Data!$D$69="",E179,IF(P179="NA","NA",(0.617*Data!$D$69*P179/100)/(1+Data!$D$15*P179*0.000000617)))</f>
        <v>1.384570772608623E-2</v>
      </c>
      <c r="W179" s="847">
        <f>IF(OR(Q179="NA",Q179="",V179="NA",V179=""),"NA",(1+(V179/Q179)^1.5*((1-Data!$D$75)/(1-Data!$D$18))^1.5*(Data!$D$71/Data!$D$14)^1.5*(Data!$D$73/Data!$D$72)*(1/(39.37*Data!$D$72))^0.25))</f>
        <v>3.8303093677397895</v>
      </c>
      <c r="X179" s="847">
        <f>IF(W179="NA","NA",0.15*Data!$D$71*(1-Data!$D$75)*V179*((13.12*Data!$D$73)^(0.112*LN(Data!$D$71*(1-Data!$D$75)*V179)+1.38))/(W179*Data!$D$81))</f>
        <v>7.8593365959234884E-2</v>
      </c>
      <c r="Y179" s="847">
        <f>IF(OR(W179="NA",W179="",Data!$D$91="NA",Data!$D$91=""),"NA",W179*Data!$D$91)</f>
        <v>6.8495741227413927</v>
      </c>
      <c r="Z179" s="847">
        <f>IF(OR(W179="NA",W179="",Data!$D$91="NA",Data!$D$91=""),"NA",IF(Data!$D$68&lt;X179,W179*X179/Data!$D$68*Data!$D$91,W179*Data!$D$91))</f>
        <v>6.8495741227413927</v>
      </c>
      <c r="AA179" s="853"/>
      <c r="AB179" s="710" t="s">
        <v>329</v>
      </c>
      <c r="AC179" s="710" t="s">
        <v>329</v>
      </c>
      <c r="AD179" s="292" t="s">
        <v>329</v>
      </c>
      <c r="AE179" s="287" t="s">
        <v>329</v>
      </c>
      <c r="AF179" s="287" t="s">
        <v>329</v>
      </c>
      <c r="AG179" s="288" t="s">
        <v>329</v>
      </c>
      <c r="AH179" s="839">
        <v>130</v>
      </c>
      <c r="AI179" s="890">
        <v>7.5</v>
      </c>
      <c r="AJ179" s="287" t="s">
        <v>329</v>
      </c>
      <c r="AK179" s="288" t="s">
        <v>329</v>
      </c>
      <c r="AL179" s="786"/>
      <c r="AM179" s="815"/>
      <c r="AN179" s="1037"/>
      <c r="AO179" s="1049"/>
      <c r="AP179" s="1037" t="s">
        <v>329</v>
      </c>
      <c r="AQ179" s="689" t="s">
        <v>329</v>
      </c>
      <c r="AR179" s="292" t="s">
        <v>329</v>
      </c>
      <c r="AS179" s="288" t="s">
        <v>329</v>
      </c>
      <c r="AT179" s="292" t="s">
        <v>329</v>
      </c>
      <c r="AU179" s="288" t="s">
        <v>329</v>
      </c>
      <c r="AV179" s="874"/>
      <c r="AW179" s="663"/>
      <c r="AX179" s="663"/>
      <c r="AY179" s="663"/>
      <c r="AZ179" s="664"/>
    </row>
    <row r="180" spans="1:52" s="650" customFormat="1" x14ac:dyDescent="0.2">
      <c r="A180" s="307" t="s">
        <v>498</v>
      </c>
      <c r="B180" s="1020"/>
      <c r="C180" s="1019"/>
      <c r="D180" s="1025"/>
      <c r="E180" s="1025"/>
      <c r="F180" s="502"/>
      <c r="G180" s="503"/>
      <c r="H180" s="1040" t="str">
        <f t="shared" si="31"/>
        <v>NA</v>
      </c>
      <c r="I180" s="1041" t="str">
        <f t="shared" si="31"/>
        <v>NA</v>
      </c>
      <c r="J180" s="1041" t="str">
        <f t="shared" si="31"/>
        <v>NA</v>
      </c>
      <c r="K180" s="1041" t="str">
        <f t="shared" si="31"/>
        <v>NA</v>
      </c>
      <c r="L180" s="1042">
        <f t="shared" si="31"/>
        <v>24</v>
      </c>
      <c r="M180" s="289">
        <v>104.15</v>
      </c>
      <c r="N180" s="645">
        <v>2.7499999999999998E-3</v>
      </c>
      <c r="O180" s="645">
        <v>7.0999999999999994E-2</v>
      </c>
      <c r="P180" s="637">
        <f>10^2.94</f>
        <v>870.96358995608091</v>
      </c>
      <c r="Q180" s="629">
        <f>IF($P180="NA","NA",(0.617*Data!$D$9*$P180/100)/(1+Data!$D$15*$P180*0.000000617))</f>
        <v>16.121536050087055</v>
      </c>
      <c r="R180" s="629">
        <f t="shared" si="25"/>
        <v>16.121536050087055</v>
      </c>
      <c r="S180" s="290">
        <v>1</v>
      </c>
      <c r="T180" s="290">
        <f t="shared" si="30"/>
        <v>1</v>
      </c>
      <c r="U180" s="847">
        <v>310000</v>
      </c>
      <c r="V180" s="860">
        <f>IF(Data!$D$69="",E180,IF(P180="NA","NA",(0.617*Data!$D$69*P180/100)/(1+Data!$D$15*P180*0.000000617)))</f>
        <v>10.747690700058037</v>
      </c>
      <c r="W180" s="847">
        <f>IF(OR(Q180="NA",Q180="",V180="NA",V180=""),"NA",(1+(V180/Q180)^1.5*((1-Data!$D$75)/(1-Data!$D$18))^1.5*(Data!$D$71/Data!$D$14)^1.5*(Data!$D$73/Data!$D$72)*(1/(39.37*Data!$D$72))^0.25))</f>
        <v>3.8303093677397895</v>
      </c>
      <c r="X180" s="847">
        <f>IF(W180="NA","NA",0.15*Data!$D$71*(1-Data!$D$75)*V180*((13.12*Data!$D$73)^(0.112*LN(Data!$D$71*(1-Data!$D$75)*V180)+1.38))/(W180*Data!$D$81))</f>
        <v>1378.8774529810548</v>
      </c>
      <c r="Y180" s="847">
        <f>IF(OR(W180="NA",W180="",Data!$D$91="NA",Data!$D$91=""),"NA",W180*Data!$D$91)</f>
        <v>6.8495741227413927</v>
      </c>
      <c r="Z180" s="847">
        <f>IF(OR(W180="NA",W180="",Data!$D$91="NA",Data!$D$91=""),"NA",IF(Data!$D$68&lt;X180,W180*X180/Data!$D$68*Data!$D$91,W180*Data!$D$91))</f>
        <v>47.223616601852967</v>
      </c>
      <c r="AA180" s="853"/>
      <c r="AB180" s="712">
        <v>100</v>
      </c>
      <c r="AC180" s="712">
        <v>100</v>
      </c>
      <c r="AD180" s="292" t="s">
        <v>329</v>
      </c>
      <c r="AE180" s="287" t="s">
        <v>329</v>
      </c>
      <c r="AF180" s="287" t="s">
        <v>329</v>
      </c>
      <c r="AG180" s="288" t="s">
        <v>329</v>
      </c>
      <c r="AH180" s="840" t="s">
        <v>329</v>
      </c>
      <c r="AI180" s="651" t="s">
        <v>329</v>
      </c>
      <c r="AJ180" s="287" t="s">
        <v>329</v>
      </c>
      <c r="AK180" s="288" t="s">
        <v>329</v>
      </c>
      <c r="AL180" s="786"/>
      <c r="AM180" s="815"/>
      <c r="AN180" s="1037"/>
      <c r="AO180" s="1049"/>
      <c r="AP180" s="1037" t="s">
        <v>329</v>
      </c>
      <c r="AQ180" s="689" t="s">
        <v>329</v>
      </c>
      <c r="AR180" s="292" t="s">
        <v>329</v>
      </c>
      <c r="AS180" s="288" t="s">
        <v>329</v>
      </c>
      <c r="AT180" s="922">
        <v>24</v>
      </c>
      <c r="AU180" s="932">
        <v>24</v>
      </c>
      <c r="AV180" s="874"/>
      <c r="AW180" s="663"/>
      <c r="AX180" s="663"/>
      <c r="AY180" s="663"/>
      <c r="AZ180" s="664"/>
    </row>
    <row r="181" spans="1:52" s="650" customFormat="1" x14ac:dyDescent="0.2">
      <c r="A181" s="307" t="s">
        <v>499</v>
      </c>
      <c r="B181" s="1020"/>
      <c r="C181" s="1019"/>
      <c r="D181" s="1025"/>
      <c r="E181" s="1025"/>
      <c r="F181" s="502"/>
      <c r="G181" s="503"/>
      <c r="H181" s="1040">
        <f t="shared" si="31"/>
        <v>2100</v>
      </c>
      <c r="I181" s="1041">
        <f t="shared" si="31"/>
        <v>610</v>
      </c>
      <c r="J181" s="1041">
        <f t="shared" si="31"/>
        <v>610</v>
      </c>
      <c r="K181" s="1041" t="str">
        <f t="shared" si="31"/>
        <v>NA</v>
      </c>
      <c r="L181" s="1042">
        <f t="shared" si="31"/>
        <v>9.2999999999999992E-3</v>
      </c>
      <c r="M181" s="289">
        <v>168</v>
      </c>
      <c r="N181" s="645">
        <f>0.00038</f>
        <v>3.8000000000000002E-4</v>
      </c>
      <c r="O181" s="645">
        <v>7.0999999999999994E-2</v>
      </c>
      <c r="P181" s="637">
        <f>10^2.39</f>
        <v>245.4708915685033</v>
      </c>
      <c r="Q181" s="629">
        <f>IF($P181="NA","NA",(0.617*Data!$D$9*$P181/100)/(1+Data!$D$15*$P181*0.000000617))</f>
        <v>4.5436662029329957</v>
      </c>
      <c r="R181" s="629">
        <f t="shared" si="25"/>
        <v>4.5436662029329957</v>
      </c>
      <c r="S181" s="290">
        <v>1</v>
      </c>
      <c r="T181" s="290">
        <f t="shared" si="30"/>
        <v>1</v>
      </c>
      <c r="U181" s="847">
        <v>2900000</v>
      </c>
      <c r="V181" s="860">
        <f>IF(Data!$D$69="",E181,IF(P181="NA","NA",(0.617*Data!$D$69*P181/100)/(1+Data!$D$15*P181*0.000000617)))</f>
        <v>3.0291108019553308</v>
      </c>
      <c r="W181" s="847">
        <f>IF(OR(Q181="NA",Q181="",V181="NA",V181=""),"NA",(1+(V181/Q181)^1.5*((1-Data!$D$75)/(1-Data!$D$18))^1.5*(Data!$D$71/Data!$D$14)^1.5*(Data!$D$73/Data!$D$72)*(1/(39.37*Data!$D$72))^0.25))</f>
        <v>3.8303093677397904</v>
      </c>
      <c r="X181" s="847">
        <f>IF(W181="NA","NA",0.15*Data!$D$71*(1-Data!$D$75)*V181*((13.12*Data!$D$73)^(0.112*LN(Data!$D$71*(1-Data!$D$75)*V181)+1.38))/(W181*Data!$D$81))</f>
        <v>214.69276404537058</v>
      </c>
      <c r="Y181" s="847">
        <f>IF(OR(W181="NA",W181="",Data!$D$91="NA",Data!$D$91=""),"NA",W181*Data!$D$91)</f>
        <v>6.8495741227413944</v>
      </c>
      <c r="Z181" s="847">
        <f>IF(OR(W181="NA",W181="",Data!$D$91="NA",Data!$D$91=""),"NA",IF(Data!$D$68&lt;X181,W181*X181/Data!$D$68*Data!$D$91,W181*Data!$D$91))</f>
        <v>7.3527700047249711</v>
      </c>
      <c r="AA181" s="853"/>
      <c r="AB181" s="710" t="s">
        <v>329</v>
      </c>
      <c r="AC181" s="710" t="s">
        <v>329</v>
      </c>
      <c r="AD181" s="292" t="s">
        <v>329</v>
      </c>
      <c r="AE181" s="287" t="s">
        <v>329</v>
      </c>
      <c r="AF181" s="287" t="s">
        <v>329</v>
      </c>
      <c r="AG181" s="288" t="s">
        <v>329</v>
      </c>
      <c r="AH181" s="842">
        <v>2100</v>
      </c>
      <c r="AI181" s="897">
        <v>610</v>
      </c>
      <c r="AJ181" s="287" t="s">
        <v>329</v>
      </c>
      <c r="AK181" s="288" t="s">
        <v>329</v>
      </c>
      <c r="AL181" s="786">
        <v>932</v>
      </c>
      <c r="AM181" s="815">
        <v>240</v>
      </c>
      <c r="AN181" s="1037">
        <v>902</v>
      </c>
      <c r="AO181" s="1049">
        <v>90.2</v>
      </c>
      <c r="AP181" s="1037" t="s">
        <v>329</v>
      </c>
      <c r="AQ181" s="689" t="s">
        <v>329</v>
      </c>
      <c r="AR181" s="292" t="s">
        <v>329</v>
      </c>
      <c r="AS181" s="288" t="s">
        <v>329</v>
      </c>
      <c r="AT181" s="922">
        <v>9.2999999999999992E-3</v>
      </c>
      <c r="AU181" s="932">
        <v>9.2999999999999992E-3</v>
      </c>
      <c r="AV181" s="874"/>
      <c r="AW181" s="663"/>
      <c r="AX181" s="663"/>
      <c r="AY181" s="663"/>
      <c r="AZ181" s="664"/>
    </row>
    <row r="182" spans="1:52" s="650" customFormat="1" x14ac:dyDescent="0.2">
      <c r="A182" s="307" t="s">
        <v>500</v>
      </c>
      <c r="B182" s="1020"/>
      <c r="C182" s="1019"/>
      <c r="D182" s="1025"/>
      <c r="E182" s="1025"/>
      <c r="F182" s="502"/>
      <c r="G182" s="503"/>
      <c r="H182" s="1040">
        <f t="shared" ref="H182:L193" si="32">IF(INDEX($AB$11:$AZ$310,,H$7)=0,"NA",INDEX($AB$11:$AZ$310,,H$7))</f>
        <v>830</v>
      </c>
      <c r="I182" s="1041">
        <f t="shared" si="32"/>
        <v>98</v>
      </c>
      <c r="J182" s="1041">
        <f t="shared" si="32"/>
        <v>98</v>
      </c>
      <c r="K182" s="1041">
        <f t="shared" si="32"/>
        <v>0.17100000000000001</v>
      </c>
      <c r="L182" s="1042">
        <f t="shared" si="32"/>
        <v>0.43</v>
      </c>
      <c r="M182" s="289">
        <v>165.83</v>
      </c>
      <c r="N182" s="645">
        <f>0.0177</f>
        <v>1.77E-2</v>
      </c>
      <c r="O182" s="645">
        <v>7.1999999999999995E-2</v>
      </c>
      <c r="P182" s="629">
        <f>10^(2.88)</f>
        <v>758.57757502918378</v>
      </c>
      <c r="Q182" s="629">
        <f>IF($P182="NA","NA",(0.617*Data!$D$9*$P182/100)/(1+Data!$D$15*$P182*0.000000617))</f>
        <v>14.041270913790193</v>
      </c>
      <c r="R182" s="629">
        <f t="shared" si="25"/>
        <v>14.041270913790193</v>
      </c>
      <c r="S182" s="290">
        <v>1</v>
      </c>
      <c r="T182" s="290">
        <f t="shared" si="30"/>
        <v>1</v>
      </c>
      <c r="U182" s="847">
        <v>200000</v>
      </c>
      <c r="V182" s="860">
        <f>IF(Data!$D$69="",E182,IF(P182="NA","NA",(0.617*Data!$D$69*P182/100)/(1+Data!$D$15*P182*0.000000617)))</f>
        <v>9.3608472758601273</v>
      </c>
      <c r="W182" s="847">
        <f>IF(OR(Q182="NA",Q182="",V182="NA",V182=""),"NA",(1+(V182/Q182)^1.5*((1-Data!$D$75)/(1-Data!$D$18))^1.5*(Data!$D$71/Data!$D$14)^1.5*(Data!$D$73/Data!$D$72)*(1/(39.37*Data!$D$72))^0.25))</f>
        <v>3.8303093677397895</v>
      </c>
      <c r="X182" s="847">
        <f>IF(W182="NA","NA",0.15*Data!$D$71*(1-Data!$D$75)*V182*((13.12*Data!$D$73)^(0.112*LN(Data!$D$71*(1-Data!$D$75)*V182)+1.38))/(W182*Data!$D$81))</f>
        <v>1125.6724612336493</v>
      </c>
      <c r="Y182" s="847">
        <f>IF(OR(W182="NA",W182="",Data!$D$91="NA",Data!$D$91=""),"NA",W182*Data!$D$91)</f>
        <v>6.8495741227413927</v>
      </c>
      <c r="Z182" s="847">
        <f>IF(OR(W182="NA",W182="",Data!$D$91="NA",Data!$D$91=""),"NA",IF(Data!$D$68&lt;X182,W182*X182/Data!$D$68*Data!$D$91,W182*Data!$D$91))</f>
        <v>38.551884805743086</v>
      </c>
      <c r="AA182" s="853"/>
      <c r="AB182" s="712">
        <v>5</v>
      </c>
      <c r="AC182" s="712">
        <v>5</v>
      </c>
      <c r="AD182" s="292" t="s">
        <v>329</v>
      </c>
      <c r="AE182" s="287" t="s">
        <v>329</v>
      </c>
      <c r="AF182" s="287" t="s">
        <v>329</v>
      </c>
      <c r="AG182" s="288" t="s">
        <v>329</v>
      </c>
      <c r="AH182" s="842">
        <v>830</v>
      </c>
      <c r="AI182" s="897">
        <v>98</v>
      </c>
      <c r="AJ182" s="287" t="s">
        <v>329</v>
      </c>
      <c r="AK182" s="288" t="s">
        <v>329</v>
      </c>
      <c r="AL182" s="786">
        <v>528</v>
      </c>
      <c r="AM182" s="815">
        <v>84</v>
      </c>
      <c r="AN182" s="1037">
        <v>1020</v>
      </c>
      <c r="AO182" s="1049">
        <v>45</v>
      </c>
      <c r="AP182" s="897">
        <v>0.17100000000000001</v>
      </c>
      <c r="AQ182" s="649" t="s">
        <v>329</v>
      </c>
      <c r="AR182" s="292" t="s">
        <v>329</v>
      </c>
      <c r="AS182" s="288" t="s">
        <v>329</v>
      </c>
      <c r="AT182" s="922">
        <v>0.43</v>
      </c>
      <c r="AU182" s="932">
        <v>0.43</v>
      </c>
      <c r="AV182" s="874"/>
      <c r="AW182" s="663"/>
      <c r="AX182" s="663"/>
      <c r="AY182" s="663"/>
      <c r="AZ182" s="664"/>
    </row>
    <row r="183" spans="1:52" s="650" customFormat="1" x14ac:dyDescent="0.2">
      <c r="A183" s="307" t="s">
        <v>501</v>
      </c>
      <c r="B183" s="1020"/>
      <c r="C183" s="1019"/>
      <c r="D183" s="1025"/>
      <c r="E183" s="1025"/>
      <c r="F183" s="502"/>
      <c r="G183" s="503"/>
      <c r="H183" s="1040">
        <f t="shared" si="32"/>
        <v>120</v>
      </c>
      <c r="I183" s="1041">
        <f t="shared" si="32"/>
        <v>9.8000000000000007</v>
      </c>
      <c r="J183" s="1041">
        <f t="shared" si="32"/>
        <v>9.8000000000000007</v>
      </c>
      <c r="K183" s="1041" t="str">
        <f t="shared" si="32"/>
        <v>NA</v>
      </c>
      <c r="L183" s="1042">
        <f t="shared" si="32"/>
        <v>44</v>
      </c>
      <c r="M183" s="289">
        <v>92.14</v>
      </c>
      <c r="N183" s="645">
        <v>6.6600000000000001E-3</v>
      </c>
      <c r="O183" s="645">
        <v>8.6999999999999994E-2</v>
      </c>
      <c r="P183" s="637">
        <f>10^2.79</f>
        <v>616.59500186148273</v>
      </c>
      <c r="Q183" s="629">
        <f>IF($P183="NA","NA",(0.617*Data!$D$9*$P183/100)/(1+Data!$D$15*$P183*0.000000617))</f>
        <v>11.413173484456046</v>
      </c>
      <c r="R183" s="629">
        <f t="shared" si="25"/>
        <v>11.413173484456046</v>
      </c>
      <c r="S183" s="290">
        <v>1</v>
      </c>
      <c r="T183" s="290">
        <f>IF(S183= "NA", "NA", S183)</f>
        <v>1</v>
      </c>
      <c r="U183" s="847">
        <v>534800</v>
      </c>
      <c r="V183" s="860">
        <f>IF(Data!$D$69="",E183,IF(P183="NA","NA",(0.617*Data!$D$69*P183/100)/(1+Data!$D$15*P183*0.000000617)))</f>
        <v>7.6087823229706961</v>
      </c>
      <c r="W183" s="847">
        <f>IF(OR(Q183="NA",Q183="",V183="NA",V183=""),"NA",(1+(V183/Q183)^1.5*((1-Data!$D$75)/(1-Data!$D$18))^1.5*(Data!$D$71/Data!$D$14)^1.5*(Data!$D$73/Data!$D$72)*(1/(39.37*Data!$D$72))^0.25))</f>
        <v>3.8303093677397895</v>
      </c>
      <c r="X183" s="847">
        <f>IF(W183="NA","NA",0.15*Data!$D$71*(1-Data!$D$75)*V183*((13.12*Data!$D$73)^(0.112*LN(Data!$D$71*(1-Data!$D$75)*V183)+1.38))/(W183*Data!$D$81))</f>
        <v>830.31254284798297</v>
      </c>
      <c r="Y183" s="847">
        <f>IF(OR(W183="NA",W183="",Data!$D$91="NA",Data!$D$91=""),"NA",W183*Data!$D$91)</f>
        <v>6.8495741227413927</v>
      </c>
      <c r="Z183" s="847">
        <f>IF(OR(W183="NA",W183="",Data!$D$91="NA",Data!$D$91=""),"NA",IF(Data!$D$68&lt;X183,W183*X183/Data!$D$68*Data!$D$91,W183*Data!$D$91))</f>
        <v>28.436436536395743</v>
      </c>
      <c r="AA183" s="853"/>
      <c r="AB183" s="712">
        <v>1000</v>
      </c>
      <c r="AC183" s="712">
        <v>1000</v>
      </c>
      <c r="AD183" s="292" t="s">
        <v>329</v>
      </c>
      <c r="AE183" s="287" t="s">
        <v>329</v>
      </c>
      <c r="AF183" s="287" t="s">
        <v>329</v>
      </c>
      <c r="AG183" s="288" t="s">
        <v>329</v>
      </c>
      <c r="AH183" s="842">
        <v>120</v>
      </c>
      <c r="AI183" s="897">
        <v>9.8000000000000007</v>
      </c>
      <c r="AJ183" s="287" t="s">
        <v>329</v>
      </c>
      <c r="AK183" s="288" t="s">
        <v>329</v>
      </c>
      <c r="AL183" s="786">
        <v>1750</v>
      </c>
      <c r="AM183" s="815">
        <v>175</v>
      </c>
      <c r="AN183" s="1037">
        <v>370</v>
      </c>
      <c r="AO183" s="1049">
        <v>37</v>
      </c>
      <c r="AP183" s="1037" t="s">
        <v>329</v>
      </c>
      <c r="AQ183" s="689" t="s">
        <v>329</v>
      </c>
      <c r="AR183" s="292" t="s">
        <v>329</v>
      </c>
      <c r="AS183" s="288" t="s">
        <v>329</v>
      </c>
      <c r="AT183" s="922">
        <v>44</v>
      </c>
      <c r="AU183" s="932">
        <v>44</v>
      </c>
      <c r="AV183" s="874"/>
      <c r="AW183" s="663"/>
      <c r="AX183" s="663"/>
      <c r="AY183" s="663"/>
      <c r="AZ183" s="664"/>
    </row>
    <row r="184" spans="1:52" s="650" customFormat="1" x14ac:dyDescent="0.2">
      <c r="A184" s="307" t="s">
        <v>502</v>
      </c>
      <c r="B184" s="1020"/>
      <c r="C184" s="1019"/>
      <c r="D184" s="1025"/>
      <c r="E184" s="1025"/>
      <c r="F184" s="502"/>
      <c r="G184" s="503"/>
      <c r="H184" s="1040">
        <f t="shared" si="32"/>
        <v>200</v>
      </c>
      <c r="I184" s="1041">
        <f t="shared" si="32"/>
        <v>11</v>
      </c>
      <c r="J184" s="1041">
        <f t="shared" si="32"/>
        <v>11</v>
      </c>
      <c r="K184" s="1041" t="str">
        <f t="shared" si="32"/>
        <v>NA</v>
      </c>
      <c r="L184" s="1042">
        <f t="shared" si="32"/>
        <v>7.2</v>
      </c>
      <c r="M184" s="289">
        <v>133.4</v>
      </c>
      <c r="N184" s="645">
        <f>0.0172</f>
        <v>1.72E-2</v>
      </c>
      <c r="O184" s="645">
        <v>7.8E-2</v>
      </c>
      <c r="P184" s="637">
        <f>10^2.49</f>
        <v>309.02954325135937</v>
      </c>
      <c r="Q184" s="629">
        <f>IF($P184="NA","NA",(0.617*Data!$D$9*$P184/100)/(1+Data!$D$15*$P184*0.000000617))</f>
        <v>5.7201368455826618</v>
      </c>
      <c r="R184" s="629">
        <f t="shared" si="25"/>
        <v>5.7201368455826618</v>
      </c>
      <c r="S184" s="290">
        <v>1</v>
      </c>
      <c r="T184" s="290">
        <f t="shared" si="30"/>
        <v>1</v>
      </c>
      <c r="U184" s="847">
        <v>720000</v>
      </c>
      <c r="V184" s="860">
        <f>IF(Data!$D$69="",E184,IF(P184="NA","NA",(0.617*Data!$D$69*P184/100)/(1+Data!$D$15*P184*0.000000617)))</f>
        <v>3.813424563721775</v>
      </c>
      <c r="W184" s="847">
        <f>IF(OR(Q184="NA",Q184="",V184="NA",V184=""),"NA",(1+(V184/Q184)^1.5*((1-Data!$D$75)/(1-Data!$D$18))^1.5*(Data!$D$71/Data!$D$14)^1.5*(Data!$D$73/Data!$D$72)*(1/(39.37*Data!$D$72))^0.25))</f>
        <v>3.8303093677397904</v>
      </c>
      <c r="X184" s="847">
        <f>IF(W184="NA","NA",0.15*Data!$D$71*(1-Data!$D$75)*V184*((13.12*Data!$D$73)^(0.112*LN(Data!$D$71*(1-Data!$D$75)*V184)+1.38))/(W184*Data!$D$81))</f>
        <v>301.07414043461711</v>
      </c>
      <c r="Y184" s="847">
        <f>IF(OR(W184="NA",W184="",Data!$D$91="NA",Data!$D$91=""),"NA",W184*Data!$D$91)</f>
        <v>6.8495741227413944</v>
      </c>
      <c r="Z184" s="847">
        <f>IF(OR(W184="NA",W184="",Data!$D$91="NA",Data!$D$91=""),"NA",IF(Data!$D$68&lt;X184,W184*X184/Data!$D$68*Data!$D$91,W184*Data!$D$91))</f>
        <v>10.31114820673781</v>
      </c>
      <c r="AA184" s="853"/>
      <c r="AB184" s="712">
        <v>200</v>
      </c>
      <c r="AC184" s="712">
        <v>200</v>
      </c>
      <c r="AD184" s="292" t="s">
        <v>329</v>
      </c>
      <c r="AE184" s="287" t="s">
        <v>329</v>
      </c>
      <c r="AF184" s="287" t="s">
        <v>329</v>
      </c>
      <c r="AG184" s="288" t="s">
        <v>329</v>
      </c>
      <c r="AH184" s="842">
        <v>200</v>
      </c>
      <c r="AI184" s="897">
        <v>11</v>
      </c>
      <c r="AJ184" s="287" t="s">
        <v>329</v>
      </c>
      <c r="AK184" s="288" t="s">
        <v>329</v>
      </c>
      <c r="AL184" s="786">
        <v>5280</v>
      </c>
      <c r="AM184" s="815">
        <v>528</v>
      </c>
      <c r="AN184" s="1037">
        <v>3120</v>
      </c>
      <c r="AO184" s="1049">
        <v>312</v>
      </c>
      <c r="AP184" s="1037" t="s">
        <v>329</v>
      </c>
      <c r="AQ184" s="689" t="s">
        <v>329</v>
      </c>
      <c r="AR184" s="292" t="s">
        <v>329</v>
      </c>
      <c r="AS184" s="288" t="s">
        <v>329</v>
      </c>
      <c r="AT184" s="922">
        <v>7.2</v>
      </c>
      <c r="AU184" s="932">
        <v>7.2</v>
      </c>
      <c r="AV184" s="874"/>
      <c r="AW184" s="663"/>
      <c r="AX184" s="663"/>
      <c r="AY184" s="663"/>
      <c r="AZ184" s="664"/>
    </row>
    <row r="185" spans="1:52" s="650" customFormat="1" x14ac:dyDescent="0.2">
      <c r="A185" s="307" t="s">
        <v>503</v>
      </c>
      <c r="B185" s="1020"/>
      <c r="C185" s="1019"/>
      <c r="D185" s="1025"/>
      <c r="E185" s="1025"/>
      <c r="F185" s="502"/>
      <c r="G185" s="503"/>
      <c r="H185" s="1040">
        <f t="shared" si="32"/>
        <v>5200</v>
      </c>
      <c r="I185" s="1041">
        <f t="shared" si="32"/>
        <v>1200</v>
      </c>
      <c r="J185" s="1041">
        <f t="shared" si="32"/>
        <v>1200</v>
      </c>
      <c r="K185" s="1041" t="str">
        <f t="shared" si="32"/>
        <v>NA</v>
      </c>
      <c r="L185" s="1042">
        <f t="shared" si="32"/>
        <v>0.15</v>
      </c>
      <c r="M185" s="289">
        <v>133.4</v>
      </c>
      <c r="N185" s="645">
        <f>0.000742</f>
        <v>7.4200000000000004E-4</v>
      </c>
      <c r="O185" s="645">
        <v>7.8E-2</v>
      </c>
      <c r="P185" s="637">
        <f>10^2.07</f>
        <v>117.48975549395293</v>
      </c>
      <c r="Q185" s="629">
        <f>IF($P185="NA","NA",(0.617*Data!$D$9*$P185/100)/(1+Data!$D$15*$P185*0.000000617))</f>
        <v>2.1747353741930686</v>
      </c>
      <c r="R185" s="629">
        <f t="shared" si="25"/>
        <v>2.1747353741930686</v>
      </c>
      <c r="S185" s="290">
        <v>1</v>
      </c>
      <c r="T185" s="290">
        <f t="shared" si="30"/>
        <v>1</v>
      </c>
      <c r="U185" s="847">
        <v>4500000</v>
      </c>
      <c r="V185" s="860">
        <f>IF(Data!$D$69="",E185,IF(P185="NA","NA",(0.617*Data!$D$69*P185/100)/(1+Data!$D$15*P185*0.000000617)))</f>
        <v>1.4498235827953792</v>
      </c>
      <c r="W185" s="847">
        <f>IF(OR(Q185="NA",Q185="",V185="NA",V185=""),"NA",(1+(V185/Q185)^1.5*((1-Data!$D$75)/(1-Data!$D$18))^1.5*(Data!$D$71/Data!$D$14)^1.5*(Data!$D$73/Data!$D$72)*(1/(39.37*Data!$D$72))^0.25))</f>
        <v>3.8303093677397904</v>
      </c>
      <c r="X185" s="847">
        <f>IF(W185="NA","NA",0.15*Data!$D$71*(1-Data!$D$75)*V185*((13.12*Data!$D$73)^(0.112*LN(Data!$D$71*(1-Data!$D$75)*V185)+1.38))/(W185*Data!$D$81))</f>
        <v>72.757547981262533</v>
      </c>
      <c r="Y185" s="847">
        <f>IF(OR(W185="NA",W185="",Data!$D$91="NA",Data!$D$91=""),"NA",W185*Data!$D$91)</f>
        <v>6.8495741227413944</v>
      </c>
      <c r="Z185" s="847">
        <f>IF(OR(W185="NA",W185="",Data!$D$91="NA",Data!$D$91=""),"NA",IF(Data!$D$68&lt;X185,W185*X185/Data!$D$68*Data!$D$91,W185*Data!$D$91))</f>
        <v>6.8495741227413944</v>
      </c>
      <c r="AA185" s="853"/>
      <c r="AB185" s="712">
        <v>5</v>
      </c>
      <c r="AC185" s="712">
        <v>5</v>
      </c>
      <c r="AD185" s="292" t="s">
        <v>329</v>
      </c>
      <c r="AE185" s="287" t="s">
        <v>329</v>
      </c>
      <c r="AF185" s="287" t="s">
        <v>329</v>
      </c>
      <c r="AG185" s="288" t="s">
        <v>329</v>
      </c>
      <c r="AH185" s="842">
        <v>5200</v>
      </c>
      <c r="AI185" s="897">
        <v>1200</v>
      </c>
      <c r="AJ185" s="287" t="s">
        <v>329</v>
      </c>
      <c r="AK185" s="288" t="s">
        <v>329</v>
      </c>
      <c r="AL185" s="786">
        <v>3600</v>
      </c>
      <c r="AM185" s="815">
        <v>940</v>
      </c>
      <c r="AN185" s="1037"/>
      <c r="AO185" s="1049"/>
      <c r="AP185" s="1037" t="s">
        <v>329</v>
      </c>
      <c r="AQ185" s="689" t="s">
        <v>329</v>
      </c>
      <c r="AR185" s="292" t="s">
        <v>329</v>
      </c>
      <c r="AS185" s="288" t="s">
        <v>329</v>
      </c>
      <c r="AT185" s="922">
        <v>0.15</v>
      </c>
      <c r="AU185" s="932">
        <v>0.15</v>
      </c>
      <c r="AV185" s="874"/>
      <c r="AW185" s="663"/>
      <c r="AX185" s="663"/>
      <c r="AY185" s="663"/>
      <c r="AZ185" s="664"/>
    </row>
    <row r="186" spans="1:52" s="650" customFormat="1" x14ac:dyDescent="0.2">
      <c r="A186" s="307" t="s">
        <v>504</v>
      </c>
      <c r="B186" s="1020"/>
      <c r="C186" s="1019"/>
      <c r="D186" s="1025"/>
      <c r="E186" s="1025"/>
      <c r="F186" s="502"/>
      <c r="G186" s="503"/>
      <c r="H186" s="1040" t="str">
        <f t="shared" si="32"/>
        <v>NA</v>
      </c>
      <c r="I186" s="1041" t="str">
        <f t="shared" si="32"/>
        <v>NA</v>
      </c>
      <c r="J186" s="1041" t="str">
        <f t="shared" si="32"/>
        <v>NA</v>
      </c>
      <c r="K186" s="1041" t="str">
        <f t="shared" si="32"/>
        <v>NA</v>
      </c>
      <c r="L186" s="1042">
        <f t="shared" si="32"/>
        <v>26000</v>
      </c>
      <c r="M186" s="289">
        <v>187.38</v>
      </c>
      <c r="N186" s="645">
        <v>0.52100000000000002</v>
      </c>
      <c r="O186" s="645">
        <v>2.8799999999999999E-2</v>
      </c>
      <c r="P186" s="637">
        <f>10^3.16</f>
        <v>1445.4397707459289</v>
      </c>
      <c r="Q186" s="629">
        <f>IF($P186="NA","NA",(0.617*Data!$D$9*$P186/100)/(1+Data!$D$15*$P186*0.000000617))</f>
        <v>26.755090156507144</v>
      </c>
      <c r="R186" s="629">
        <f t="shared" si="25"/>
        <v>26.755090156507144</v>
      </c>
      <c r="S186" s="290">
        <v>1</v>
      </c>
      <c r="T186" s="290">
        <f t="shared" si="30"/>
        <v>1</v>
      </c>
      <c r="U186" s="847">
        <v>170000</v>
      </c>
      <c r="V186" s="860">
        <f>IF(Data!$D$69="",E186,IF(P186="NA","NA",(0.617*Data!$D$69*P186/100)/(1+Data!$D$15*P186*0.000000617)))</f>
        <v>17.836726771004763</v>
      </c>
      <c r="W186" s="847">
        <f>IF(OR(Q186="NA",Q186="",V186="NA",V186=""),"NA",(1+(V186/Q186)^1.5*((1-Data!$D$75)/(1-Data!$D$18))^1.5*(Data!$D$71/Data!$D$14)^1.5*(Data!$D$73/Data!$D$72)*(1/(39.37*Data!$D$72))^0.25))</f>
        <v>3.8303093677397895</v>
      </c>
      <c r="X186" s="847">
        <f>IF(W186="NA","NA",0.15*Data!$D$71*(1-Data!$D$75)*V186*((13.12*Data!$D$73)^(0.112*LN(Data!$D$71*(1-Data!$D$75)*V186)+1.38))/(W186*Data!$D$81))</f>
        <v>2901.4091434440902</v>
      </c>
      <c r="Y186" s="847">
        <f>IF(OR(W186="NA",W186="",Data!$D$91="NA",Data!$D$91=""),"NA",W186*Data!$D$91)</f>
        <v>6.8495741227413927</v>
      </c>
      <c r="Z186" s="847">
        <f>IF(OR(W186="NA",W186="",Data!$D$91="NA",Data!$D$91=""),"NA",IF(Data!$D$68&lt;X186,W186*X186/Data!$D$68*Data!$D$91,W186*Data!$D$91))</f>
        <v>99.367084942099552</v>
      </c>
      <c r="AA186" s="853"/>
      <c r="AB186" s="710" t="s">
        <v>329</v>
      </c>
      <c r="AC186" s="710" t="s">
        <v>329</v>
      </c>
      <c r="AD186" s="292" t="s">
        <v>329</v>
      </c>
      <c r="AE186" s="287" t="s">
        <v>329</v>
      </c>
      <c r="AF186" s="287" t="s">
        <v>329</v>
      </c>
      <c r="AG186" s="288" t="s">
        <v>329</v>
      </c>
      <c r="AH186" s="840" t="s">
        <v>329</v>
      </c>
      <c r="AI186" s="651" t="s">
        <v>329</v>
      </c>
      <c r="AJ186" s="287" t="s">
        <v>329</v>
      </c>
      <c r="AK186" s="288" t="s">
        <v>329</v>
      </c>
      <c r="AL186" s="786"/>
      <c r="AM186" s="815"/>
      <c r="AN186" s="1037"/>
      <c r="AO186" s="1049"/>
      <c r="AP186" s="1037" t="s">
        <v>329</v>
      </c>
      <c r="AQ186" s="689" t="s">
        <v>329</v>
      </c>
      <c r="AR186" s="292" t="s">
        <v>329</v>
      </c>
      <c r="AS186" s="288" t="s">
        <v>329</v>
      </c>
      <c r="AT186" s="922">
        <v>26000</v>
      </c>
      <c r="AU186" s="932">
        <v>53000</v>
      </c>
      <c r="AV186" s="874"/>
      <c r="AW186" s="663"/>
      <c r="AX186" s="663"/>
      <c r="AY186" s="663"/>
      <c r="AZ186" s="664"/>
    </row>
    <row r="187" spans="1:52" s="650" customFormat="1" x14ac:dyDescent="0.2">
      <c r="A187" s="307" t="s">
        <v>505</v>
      </c>
      <c r="B187" s="1020"/>
      <c r="C187" s="1019"/>
      <c r="D187" s="1025"/>
      <c r="E187" s="1025"/>
      <c r="F187" s="502"/>
      <c r="G187" s="503"/>
      <c r="H187" s="1040">
        <f t="shared" si="32"/>
        <v>440</v>
      </c>
      <c r="I187" s="1041">
        <f t="shared" si="32"/>
        <v>47</v>
      </c>
      <c r="J187" s="1041">
        <f t="shared" si="32"/>
        <v>47</v>
      </c>
      <c r="K187" s="1041">
        <f t="shared" si="32"/>
        <v>1.14E-2</v>
      </c>
      <c r="L187" s="1042">
        <f t="shared" si="32"/>
        <v>0.17</v>
      </c>
      <c r="M187" s="289">
        <v>131.38999999999999</v>
      </c>
      <c r="N187" s="645">
        <v>1.0200000000000001E-2</v>
      </c>
      <c r="O187" s="645">
        <v>7.9000000000000001E-2</v>
      </c>
      <c r="P187" s="629">
        <f>10^(2.53)</f>
        <v>338.84415613920248</v>
      </c>
      <c r="Q187" s="629">
        <f>IF($P187="NA","NA",(0.617*Data!$D$9*$P187/100)/(1+Data!$D$15*$P187*0.000000617))</f>
        <v>6.2720053301366372</v>
      </c>
      <c r="R187" s="629">
        <f t="shared" si="25"/>
        <v>6.2720053301366372</v>
      </c>
      <c r="S187" s="290">
        <v>1</v>
      </c>
      <c r="T187" s="290">
        <f t="shared" si="30"/>
        <v>1</v>
      </c>
      <c r="U187" s="847">
        <v>1100000</v>
      </c>
      <c r="V187" s="860">
        <f>IF(Data!$D$69="",E187,IF(P187="NA","NA",(0.617*Data!$D$69*P187/100)/(1+Data!$D$15*P187*0.000000617)))</f>
        <v>4.1813368867577587</v>
      </c>
      <c r="W187" s="847">
        <f>IF(OR(Q187="NA",Q187="",V187="NA",V187=""),"NA",(1+(V187/Q187)^1.5*((1-Data!$D$75)/(1-Data!$D$18))^1.5*(Data!$D$71/Data!$D$14)^1.5*(Data!$D$73/Data!$D$72)*(1/(39.37*Data!$D$72))^0.25))</f>
        <v>3.8303093677397904</v>
      </c>
      <c r="X187" s="847">
        <f>IF(W187="NA","NA",0.15*Data!$D$71*(1-Data!$D$75)*V187*((13.12*Data!$D$73)^(0.112*LN(Data!$D$71*(1-Data!$D$75)*V187)+1.38))/(W187*Data!$D$81))</f>
        <v>344.67983330262859</v>
      </c>
      <c r="Y187" s="847">
        <f>IF(OR(W187="NA",W187="",Data!$D$91="NA",Data!$D$91=""),"NA",W187*Data!$D$91)</f>
        <v>6.8495741227413944</v>
      </c>
      <c r="Z187" s="847">
        <f>IF(OR(W187="NA",W187="",Data!$D$91="NA",Data!$D$91=""),"NA",IF(Data!$D$68&lt;X187,W187*X187/Data!$D$68*Data!$D$91,W187*Data!$D$91))</f>
        <v>11.804550334102512</v>
      </c>
      <c r="AA187" s="853"/>
      <c r="AB187" s="712">
        <v>5</v>
      </c>
      <c r="AC187" s="712">
        <v>5</v>
      </c>
      <c r="AD187" s="292" t="s">
        <v>329</v>
      </c>
      <c r="AE187" s="287" t="s">
        <v>329</v>
      </c>
      <c r="AF187" s="287" t="s">
        <v>329</v>
      </c>
      <c r="AG187" s="288" t="s">
        <v>329</v>
      </c>
      <c r="AH187" s="842">
        <v>440</v>
      </c>
      <c r="AI187" s="897">
        <v>47</v>
      </c>
      <c r="AJ187" s="287" t="s">
        <v>329</v>
      </c>
      <c r="AK187" s="288" t="s">
        <v>329</v>
      </c>
      <c r="AL187" s="786"/>
      <c r="AM187" s="815"/>
      <c r="AN187" s="1037"/>
      <c r="AO187" s="1049"/>
      <c r="AP187" s="897">
        <v>1.14E-2</v>
      </c>
      <c r="AQ187" s="649" t="s">
        <v>329</v>
      </c>
      <c r="AR187" s="922">
        <v>10000</v>
      </c>
      <c r="AS187" s="923">
        <v>9500</v>
      </c>
      <c r="AT187" s="922">
        <v>0.17</v>
      </c>
      <c r="AU187" s="932">
        <v>0.17</v>
      </c>
      <c r="AV187" s="874"/>
      <c r="AW187" s="663"/>
      <c r="AX187" s="663"/>
      <c r="AY187" s="663"/>
      <c r="AZ187" s="664"/>
    </row>
    <row r="188" spans="1:52" s="650" customFormat="1" x14ac:dyDescent="0.2">
      <c r="A188" s="307" t="s">
        <v>506</v>
      </c>
      <c r="B188" s="1020"/>
      <c r="C188" s="1019"/>
      <c r="D188" s="1025"/>
      <c r="E188" s="1025"/>
      <c r="F188" s="502"/>
      <c r="G188" s="503"/>
      <c r="H188" s="1040" t="str">
        <f t="shared" si="32"/>
        <v>NA</v>
      </c>
      <c r="I188" s="1041" t="str">
        <f t="shared" si="32"/>
        <v>NA</v>
      </c>
      <c r="J188" s="1041" t="str">
        <f t="shared" si="32"/>
        <v>NA</v>
      </c>
      <c r="K188" s="1041" t="str">
        <f t="shared" si="32"/>
        <v>NA</v>
      </c>
      <c r="L188" s="1042">
        <f t="shared" si="32"/>
        <v>87</v>
      </c>
      <c r="M188" s="289">
        <v>137.4</v>
      </c>
      <c r="N188" s="645">
        <v>0.11</v>
      </c>
      <c r="O188" s="645">
        <v>8.6999999999999994E-2</v>
      </c>
      <c r="P188" s="637">
        <f>10^2.52</f>
        <v>331.13112148259137</v>
      </c>
      <c r="Q188" s="629">
        <f>IF($P188="NA","NA",(0.617*Data!$D$9*$P188/100)/(1+Data!$D$15*$P188*0.000000617))</f>
        <v>6.129237058642766</v>
      </c>
      <c r="R188" s="629">
        <f t="shared" si="25"/>
        <v>6.129237058642766</v>
      </c>
      <c r="S188" s="290">
        <v>1</v>
      </c>
      <c r="T188" s="290">
        <f t="shared" si="30"/>
        <v>1</v>
      </c>
      <c r="U188" s="847">
        <v>1100000</v>
      </c>
      <c r="V188" s="860">
        <f>IF(Data!$D$69="",E188,IF(P188="NA","NA",(0.617*Data!$D$69*P188/100)/(1+Data!$D$15*P188*0.000000617)))</f>
        <v>4.0861580390951779</v>
      </c>
      <c r="W188" s="847">
        <f>IF(OR(Q188="NA",Q188="",V188="NA",V188=""),"NA",(1+(V188/Q188)^1.5*((1-Data!$D$75)/(1-Data!$D$18))^1.5*(Data!$D$71/Data!$D$14)^1.5*(Data!$D$73/Data!$D$72)*(1/(39.37*Data!$D$72))^0.25))</f>
        <v>3.8303093677397904</v>
      </c>
      <c r="X188" s="847">
        <f>IF(W188="NA","NA",0.15*Data!$D$71*(1-Data!$D$75)*V188*((13.12*Data!$D$73)^(0.112*LN(Data!$D$71*(1-Data!$D$75)*V188)+1.38))/(W188*Data!$D$81))</f>
        <v>333.21939340498517</v>
      </c>
      <c r="Y188" s="847">
        <f>IF(OR(W188="NA",W188="",Data!$D$91="NA",Data!$D$91=""),"NA",W188*Data!$D$91)</f>
        <v>6.8495741227413944</v>
      </c>
      <c r="Z188" s="847">
        <f>IF(OR(W188="NA",W188="",Data!$D$91="NA",Data!$D$91=""),"NA",IF(Data!$D$68&lt;X188,W188*X188/Data!$D$68*Data!$D$91,W188*Data!$D$91))</f>
        <v>11.412054671311855</v>
      </c>
      <c r="AA188" s="853"/>
      <c r="AB188" s="710" t="s">
        <v>329</v>
      </c>
      <c r="AC188" s="710" t="s">
        <v>329</v>
      </c>
      <c r="AD188" s="292" t="s">
        <v>329</v>
      </c>
      <c r="AE188" s="287" t="s">
        <v>329</v>
      </c>
      <c r="AF188" s="287" t="s">
        <v>329</v>
      </c>
      <c r="AG188" s="288" t="s">
        <v>329</v>
      </c>
      <c r="AH188" s="840" t="s">
        <v>329</v>
      </c>
      <c r="AI188" s="651" t="s">
        <v>329</v>
      </c>
      <c r="AJ188" s="287" t="s">
        <v>329</v>
      </c>
      <c r="AK188" s="288" t="s">
        <v>329</v>
      </c>
      <c r="AL188" s="786"/>
      <c r="AM188" s="815"/>
      <c r="AN188" s="1037"/>
      <c r="AO188" s="1049"/>
      <c r="AP188" s="1037" t="s">
        <v>329</v>
      </c>
      <c r="AQ188" s="689" t="s">
        <v>329</v>
      </c>
      <c r="AR188" s="292" t="s">
        <v>329</v>
      </c>
      <c r="AS188" s="288" t="s">
        <v>329</v>
      </c>
      <c r="AT188" s="922">
        <v>87</v>
      </c>
      <c r="AU188" s="932">
        <v>87</v>
      </c>
      <c r="AV188" s="874"/>
      <c r="AW188" s="663"/>
      <c r="AX188" s="663"/>
      <c r="AY188" s="663"/>
      <c r="AZ188" s="664"/>
    </row>
    <row r="189" spans="1:52" s="650" customFormat="1" x14ac:dyDescent="0.2">
      <c r="A189" s="308" t="s">
        <v>507</v>
      </c>
      <c r="B189" s="1020"/>
      <c r="C189" s="1019"/>
      <c r="D189" s="1025"/>
      <c r="E189" s="1025"/>
      <c r="F189" s="502"/>
      <c r="G189" s="503"/>
      <c r="H189" s="1040">
        <f t="shared" si="32"/>
        <v>280</v>
      </c>
      <c r="I189" s="1041">
        <f t="shared" si="32"/>
        <v>16</v>
      </c>
      <c r="J189" s="1041">
        <f t="shared" si="32"/>
        <v>16</v>
      </c>
      <c r="K189" s="1041">
        <f t="shared" si="32"/>
        <v>5.7000000000000002E-2</v>
      </c>
      <c r="L189" s="1042">
        <f t="shared" si="32"/>
        <v>6.5</v>
      </c>
      <c r="M189" s="522">
        <v>86.09</v>
      </c>
      <c r="N189" s="667">
        <v>5.1099999999999995E-4</v>
      </c>
      <c r="O189" s="667">
        <v>8.5000000000000006E-2</v>
      </c>
      <c r="P189" s="734">
        <f>10^(0.73)</f>
        <v>5.3703179637025285</v>
      </c>
      <c r="Q189" s="735">
        <f>IF($P189="NA","NA",(0.617*Data!$D$9*$P189/100)/(1+Data!$D$15*$P189*0.000000617))</f>
        <v>9.9404585508133803E-2</v>
      </c>
      <c r="R189" s="735">
        <f t="shared" si="25"/>
        <v>9.9404585508133803E-2</v>
      </c>
      <c r="S189" s="523">
        <v>1</v>
      </c>
      <c r="T189" s="523">
        <v>1</v>
      </c>
      <c r="U189" s="848">
        <v>20000000</v>
      </c>
      <c r="V189" s="860">
        <f>IF(Data!$D$69="",E189,IF(P189="NA","NA",(0.617*Data!$D$69*P189/100)/(1+Data!$D$15*P189*0.000000617)))</f>
        <v>6.6269723672089206E-2</v>
      </c>
      <c r="W189" s="847">
        <f>IF(OR(Q189="NA",Q189="",V189="NA",V189=""),"NA",(1+(V189/Q189)^1.5*((1-Data!$D$75)/(1-Data!$D$18))^1.5*(Data!$D$71/Data!$D$14)^1.5*(Data!$D$73/Data!$D$72)*(1/(39.37*Data!$D$72))^0.25))</f>
        <v>3.8303093677397904</v>
      </c>
      <c r="X189" s="847">
        <f>IF(W189="NA","NA",0.15*Data!$D$71*(1-Data!$D$75)*V189*((13.12*Data!$D$73)^(0.112*LN(Data!$D$71*(1-Data!$D$75)*V189)+1.38))/(W189*Data!$D$81))</f>
        <v>0.78344229539512522</v>
      </c>
      <c r="Y189" s="847">
        <f>IF(OR(W189="NA",W189="",Data!$D$91="NA",Data!$D$91=""),"NA",W189*Data!$D$91)</f>
        <v>6.8495741227413944</v>
      </c>
      <c r="Z189" s="847">
        <f>IF(OR(W189="NA",W189="",Data!$D$91="NA",Data!$D$91=""),"NA",IF(Data!$D$68&lt;X189,W189*X189/Data!$D$68*Data!$D$91,W189*Data!$D$91))</f>
        <v>6.8495741227413944</v>
      </c>
      <c r="AA189" s="853"/>
      <c r="AB189" s="710" t="s">
        <v>329</v>
      </c>
      <c r="AC189" s="710" t="s">
        <v>329</v>
      </c>
      <c r="AD189" s="292" t="s">
        <v>329</v>
      </c>
      <c r="AE189" s="287" t="s">
        <v>329</v>
      </c>
      <c r="AF189" s="287" t="s">
        <v>329</v>
      </c>
      <c r="AG189" s="288" t="s">
        <v>329</v>
      </c>
      <c r="AH189" s="839">
        <v>280</v>
      </c>
      <c r="AI189" s="896">
        <v>16</v>
      </c>
      <c r="AJ189" s="287" t="s">
        <v>329</v>
      </c>
      <c r="AK189" s="288" t="s">
        <v>329</v>
      </c>
      <c r="AL189" s="786"/>
      <c r="AM189" s="815"/>
      <c r="AN189" s="1037"/>
      <c r="AO189" s="1049"/>
      <c r="AP189" s="897">
        <v>5.7000000000000002E-2</v>
      </c>
      <c r="AQ189" s="649" t="s">
        <v>329</v>
      </c>
      <c r="AR189" s="292" t="s">
        <v>329</v>
      </c>
      <c r="AS189" s="288" t="s">
        <v>329</v>
      </c>
      <c r="AT189" s="922">
        <v>6.5</v>
      </c>
      <c r="AU189" s="932">
        <v>14</v>
      </c>
      <c r="AV189" s="874"/>
      <c r="AW189" s="663"/>
      <c r="AX189" s="663"/>
      <c r="AY189" s="663"/>
      <c r="AZ189" s="664"/>
    </row>
    <row r="190" spans="1:52" s="650" customFormat="1" x14ac:dyDescent="0.2">
      <c r="A190" s="307" t="s">
        <v>508</v>
      </c>
      <c r="B190" s="1020"/>
      <c r="C190" s="1019"/>
      <c r="D190" s="1025"/>
      <c r="E190" s="1025"/>
      <c r="F190" s="502"/>
      <c r="G190" s="503"/>
      <c r="H190" s="1040" t="str">
        <f t="shared" si="32"/>
        <v>NA</v>
      </c>
      <c r="I190" s="1041" t="str">
        <f t="shared" si="32"/>
        <v>NA</v>
      </c>
      <c r="J190" s="1041" t="str">
        <f t="shared" si="32"/>
        <v>NA</v>
      </c>
      <c r="K190" s="1041" t="str">
        <f t="shared" si="32"/>
        <v>NA</v>
      </c>
      <c r="L190" s="1042">
        <f t="shared" si="32"/>
        <v>0.03</v>
      </c>
      <c r="M190" s="289">
        <v>62.5</v>
      </c>
      <c r="N190" s="645">
        <v>2.7E-2</v>
      </c>
      <c r="O190" s="645">
        <v>0.106</v>
      </c>
      <c r="P190" s="637">
        <f>10^1.23</f>
        <v>16.982436524617448</v>
      </c>
      <c r="Q190" s="629">
        <f>IF($P190="NA","NA",(0.617*Data!$D$9*$P190/100)/(1+Data!$D$15*$P190*0.000000617))</f>
        <v>0.31434490007066895</v>
      </c>
      <c r="R190" s="629">
        <f t="shared" si="25"/>
        <v>0.31434490007066895</v>
      </c>
      <c r="S190" s="290">
        <v>1</v>
      </c>
      <c r="T190" s="290">
        <f t="shared" si="30"/>
        <v>1</v>
      </c>
      <c r="U190" s="847">
        <v>2700000</v>
      </c>
      <c r="V190" s="860">
        <f>IF(Data!$D$69="",E190,IF(P190="NA","NA",(0.617*Data!$D$69*P190/100)/(1+Data!$D$15*P190*0.000000617)))</f>
        <v>0.20956326671377931</v>
      </c>
      <c r="W190" s="847">
        <f>IF(OR(Q190="NA",Q190="",V190="NA",V190=""),"NA",(1+(V190/Q190)^1.5*((1-Data!$D$75)/(1-Data!$D$18))^1.5*(Data!$D$71/Data!$D$14)^1.5*(Data!$D$73/Data!$D$72)*(1/(39.37*Data!$D$72))^0.25))</f>
        <v>3.8303093677397904</v>
      </c>
      <c r="X190" s="847">
        <f>IF(W190="NA","NA",0.15*Data!$D$71*(1-Data!$D$75)*V190*((13.12*Data!$D$73)^(0.112*LN(Data!$D$71*(1-Data!$D$75)*V190)+1.38))/(W190*Data!$D$81))</f>
        <v>4.2490051052867068</v>
      </c>
      <c r="Y190" s="847">
        <f>IF(OR(W190="NA",W190="",Data!$D$91="NA",Data!$D$91=""),"NA",W190*Data!$D$91)</f>
        <v>6.8495741227413944</v>
      </c>
      <c r="Z190" s="847">
        <f>IF(OR(W190="NA",W190="",Data!$D$91="NA",Data!$D$91=""),"NA",IF(Data!$D$68&lt;X190,W190*X190/Data!$D$68*Data!$D$91,W190*Data!$D$91))</f>
        <v>6.8495741227413944</v>
      </c>
      <c r="AA190" s="853"/>
      <c r="AB190" s="712">
        <v>2</v>
      </c>
      <c r="AC190" s="712">
        <v>2</v>
      </c>
      <c r="AD190" s="292" t="s">
        <v>329</v>
      </c>
      <c r="AE190" s="287" t="s">
        <v>329</v>
      </c>
      <c r="AF190" s="287" t="s">
        <v>329</v>
      </c>
      <c r="AG190" s="288" t="s">
        <v>329</v>
      </c>
      <c r="AH190" s="840" t="s">
        <v>329</v>
      </c>
      <c r="AI190" s="651" t="s">
        <v>329</v>
      </c>
      <c r="AJ190" s="287" t="s">
        <v>329</v>
      </c>
      <c r="AK190" s="288" t="s">
        <v>329</v>
      </c>
      <c r="AL190" s="786"/>
      <c r="AM190" s="815"/>
      <c r="AN190" s="1037"/>
      <c r="AO190" s="1049"/>
      <c r="AP190" s="287" t="s">
        <v>329</v>
      </c>
      <c r="AQ190" s="689" t="s">
        <v>329</v>
      </c>
      <c r="AR190" s="292" t="s">
        <v>329</v>
      </c>
      <c r="AS190" s="288" t="s">
        <v>329</v>
      </c>
      <c r="AT190" s="922">
        <v>0.03</v>
      </c>
      <c r="AU190" s="932">
        <v>2.7E-2</v>
      </c>
      <c r="AV190" s="874"/>
      <c r="AW190" s="663"/>
      <c r="AX190" s="663"/>
      <c r="AY190" s="663"/>
      <c r="AZ190" s="664"/>
    </row>
    <row r="191" spans="1:52" s="650" customFormat="1" x14ac:dyDescent="0.2">
      <c r="A191" s="307" t="s">
        <v>509</v>
      </c>
      <c r="B191" s="1020"/>
      <c r="C191" s="1019"/>
      <c r="D191" s="1025"/>
      <c r="E191" s="1025"/>
      <c r="F191" s="502"/>
      <c r="G191" s="503"/>
      <c r="H191" s="1040">
        <f t="shared" si="32"/>
        <v>32</v>
      </c>
      <c r="I191" s="1041">
        <f t="shared" si="32"/>
        <v>1.8</v>
      </c>
      <c r="J191" s="1041">
        <f t="shared" si="32"/>
        <v>1.8</v>
      </c>
      <c r="K191" s="1041" t="str">
        <f t="shared" si="32"/>
        <v>NA</v>
      </c>
      <c r="L191" s="1042" t="str">
        <f t="shared" si="32"/>
        <v>NA</v>
      </c>
      <c r="M191" s="289">
        <v>106.2</v>
      </c>
      <c r="N191" s="645">
        <f>754/101300</f>
        <v>7.443237907206318E-3</v>
      </c>
      <c r="O191" s="645">
        <v>7.0000000000000007E-2</v>
      </c>
      <c r="P191" s="637">
        <f>10^3.17</f>
        <v>1479.1083881682086</v>
      </c>
      <c r="Q191" s="629">
        <f>IF($P191="NA","NA",(0.617*Data!$D$9*$P191/100)/(1+Data!$D$15*$P191*0.000000617))</f>
        <v>27.378296264993541</v>
      </c>
      <c r="R191" s="629">
        <f t="shared" si="25"/>
        <v>27.378296264993541</v>
      </c>
      <c r="S191" s="290">
        <v>1</v>
      </c>
      <c r="T191" s="290">
        <f t="shared" si="30"/>
        <v>1</v>
      </c>
      <c r="U191" s="847">
        <v>160000</v>
      </c>
      <c r="V191" s="860">
        <f>IF(Data!$D$69="",E191,IF(P191="NA","NA",(0.617*Data!$D$69*P191/100)/(1+Data!$D$15*P191*0.000000617)))</f>
        <v>18.252197509995696</v>
      </c>
      <c r="W191" s="847">
        <f>IF(OR(Q191="NA",Q191="",V191="NA",V191=""),"NA",(1+(V191/Q191)^1.5*((1-Data!$D$75)/(1-Data!$D$18))^1.5*(Data!$D$71/Data!$D$14)^1.5*(Data!$D$73/Data!$D$72)*(1/(39.37*Data!$D$72))^0.25))</f>
        <v>3.8303093677397904</v>
      </c>
      <c r="X191" s="847">
        <f>IF(W191="NA","NA",0.15*Data!$D$71*(1-Data!$D$75)*V191*((13.12*Data!$D$73)^(0.112*LN(Data!$D$71*(1-Data!$D$75)*V191)+1.38))/(W191*Data!$D$81))</f>
        <v>3001.1975284091327</v>
      </c>
      <c r="Y191" s="847">
        <f>IF(OR(W191="NA",W191="",Data!$D$91="NA",Data!$D$91=""),"NA",W191*Data!$D$91)</f>
        <v>6.8495741227413944</v>
      </c>
      <c r="Z191" s="847">
        <f>IF(OR(W191="NA",W191="",Data!$D$91="NA",Data!$D$91=""),"NA",IF(Data!$D$68&lt;X191,W191*X191/Data!$D$68*Data!$D$91,W191*Data!$D$91))</f>
        <v>102.78462463913314</v>
      </c>
      <c r="AA191" s="853"/>
      <c r="AB191" s="710" t="s">
        <v>329</v>
      </c>
      <c r="AC191" s="710" t="s">
        <v>329</v>
      </c>
      <c r="AD191" s="292" t="s">
        <v>329</v>
      </c>
      <c r="AE191" s="287" t="s">
        <v>329</v>
      </c>
      <c r="AF191" s="287" t="s">
        <v>329</v>
      </c>
      <c r="AG191" s="288" t="s">
        <v>329</v>
      </c>
      <c r="AH191" s="841">
        <v>32</v>
      </c>
      <c r="AI191" s="895">
        <v>1.8</v>
      </c>
      <c r="AJ191" s="287" t="s">
        <v>329</v>
      </c>
      <c r="AK191" s="288" t="s">
        <v>329</v>
      </c>
      <c r="AL191" s="786"/>
      <c r="AM191" s="815"/>
      <c r="AN191" s="1037"/>
      <c r="AO191" s="1049"/>
      <c r="AP191" s="287" t="s">
        <v>329</v>
      </c>
      <c r="AQ191" s="689" t="s">
        <v>329</v>
      </c>
      <c r="AR191" s="292" t="s">
        <v>329</v>
      </c>
      <c r="AS191" s="288" t="s">
        <v>329</v>
      </c>
      <c r="AT191" s="292" t="s">
        <v>329</v>
      </c>
      <c r="AU191" s="288" t="s">
        <v>329</v>
      </c>
      <c r="AV191" s="874"/>
      <c r="AW191" s="663"/>
      <c r="AX191" s="663"/>
      <c r="AY191" s="663"/>
      <c r="AZ191" s="664"/>
    </row>
    <row r="192" spans="1:52" s="650" customFormat="1" x14ac:dyDescent="0.2">
      <c r="A192" s="307" t="s">
        <v>510</v>
      </c>
      <c r="B192" s="1020"/>
      <c r="C192" s="1019"/>
      <c r="D192" s="1025"/>
      <c r="E192" s="1025"/>
      <c r="F192" s="502"/>
      <c r="G192" s="503"/>
      <c r="H192" s="1040" t="str">
        <f t="shared" si="32"/>
        <v>NA</v>
      </c>
      <c r="I192" s="1041" t="str">
        <f t="shared" si="32"/>
        <v>NA</v>
      </c>
      <c r="J192" s="1041" t="str">
        <f t="shared" si="32"/>
        <v>NA</v>
      </c>
      <c r="K192" s="1041" t="str">
        <f t="shared" si="32"/>
        <v>NA</v>
      </c>
      <c r="L192" s="1042" t="str">
        <f t="shared" si="32"/>
        <v>NA</v>
      </c>
      <c r="M192" s="289">
        <v>106.17</v>
      </c>
      <c r="N192" s="645">
        <v>5.1900000000000002E-3</v>
      </c>
      <c r="O192" s="645">
        <v>8.6999999999999994E-2</v>
      </c>
      <c r="P192" s="637">
        <f>10^3.15</f>
        <v>1412.5375446227545</v>
      </c>
      <c r="Q192" s="629">
        <f>IF($P192="NA","NA",(0.617*Data!$D$9*$P192/100)/(1+Data!$D$15*$P192*0.000000617))</f>
        <v>26.146069950967185</v>
      </c>
      <c r="R192" s="629">
        <f t="shared" si="25"/>
        <v>26.146069950967185</v>
      </c>
      <c r="S192" s="290">
        <v>1</v>
      </c>
      <c r="T192" s="290">
        <f t="shared" si="30"/>
        <v>1</v>
      </c>
      <c r="U192" s="847">
        <v>178000</v>
      </c>
      <c r="V192" s="860">
        <f>IF(Data!$D$69="",E192,IF(P192="NA","NA",(0.617*Data!$D$69*P192/100)/(1+Data!$D$15*P192*0.000000617)))</f>
        <v>17.43071330064479</v>
      </c>
      <c r="W192" s="847">
        <f>IF(OR(Q192="NA",Q192="",V192="NA",V192=""),"NA",(1+(V192/Q192)^1.5*((1-Data!$D$75)/(1-Data!$D$18))^1.5*(Data!$D$71/Data!$D$14)^1.5*(Data!$D$73/Data!$D$72)*(1/(39.37*Data!$D$72))^0.25))</f>
        <v>3.8303093677397895</v>
      </c>
      <c r="X192" s="847">
        <f>IF(W192="NA","NA",0.15*Data!$D$71*(1-Data!$D$75)*V192*((13.12*Data!$D$73)^(0.112*LN(Data!$D$71*(1-Data!$D$75)*V192)+1.38))/(W192*Data!$D$81))</f>
        <v>2804.9386746373993</v>
      </c>
      <c r="Y192" s="847">
        <f>IF(OR(W192="NA",W192="",Data!$D$91="NA",Data!$D$91=""),"NA",W192*Data!$D$91)</f>
        <v>6.8495741227413927</v>
      </c>
      <c r="Z192" s="847">
        <f>IF(OR(W192="NA",W192="",Data!$D$91="NA",Data!$D$91=""),"NA",IF(Data!$D$68&lt;X192,W192*X192/Data!$D$68*Data!$D$91,W192*Data!$D$91))</f>
        <v>96.063176808364346</v>
      </c>
      <c r="AA192" s="853"/>
      <c r="AB192" s="710" t="s">
        <v>329</v>
      </c>
      <c r="AC192" s="710" t="s">
        <v>329</v>
      </c>
      <c r="AD192" s="292" t="s">
        <v>329</v>
      </c>
      <c r="AE192" s="287" t="s">
        <v>329</v>
      </c>
      <c r="AF192" s="287" t="s">
        <v>329</v>
      </c>
      <c r="AG192" s="288" t="s">
        <v>329</v>
      </c>
      <c r="AH192" s="840" t="s">
        <v>329</v>
      </c>
      <c r="AI192" s="651" t="s">
        <v>329</v>
      </c>
      <c r="AJ192" s="287" t="s">
        <v>329</v>
      </c>
      <c r="AK192" s="288" t="s">
        <v>329</v>
      </c>
      <c r="AL192" s="786"/>
      <c r="AM192" s="815"/>
      <c r="AN192" s="1037"/>
      <c r="AO192" s="1049"/>
      <c r="AP192" s="287" t="s">
        <v>329</v>
      </c>
      <c r="AQ192" s="689" t="s">
        <v>329</v>
      </c>
      <c r="AR192" s="292" t="s">
        <v>329</v>
      </c>
      <c r="AS192" s="288" t="s">
        <v>329</v>
      </c>
      <c r="AT192" s="292" t="s">
        <v>329</v>
      </c>
      <c r="AU192" s="288" t="s">
        <v>329</v>
      </c>
      <c r="AV192" s="874"/>
      <c r="AW192" s="663"/>
      <c r="AX192" s="663"/>
      <c r="AY192" s="663"/>
      <c r="AZ192" s="664"/>
    </row>
    <row r="193" spans="1:52" s="55" customFormat="1" ht="13.8" thickBot="1" x14ac:dyDescent="0.3">
      <c r="A193" s="308" t="s">
        <v>511</v>
      </c>
      <c r="B193" s="1020"/>
      <c r="C193" s="1019"/>
      <c r="D193" s="1025"/>
      <c r="E193" s="1025"/>
      <c r="F193" s="502"/>
      <c r="G193" s="503"/>
      <c r="H193" s="1040">
        <f t="shared" si="32"/>
        <v>230</v>
      </c>
      <c r="I193" s="1041">
        <f t="shared" si="32"/>
        <v>13</v>
      </c>
      <c r="J193" s="1041">
        <f t="shared" si="32"/>
        <v>13</v>
      </c>
      <c r="K193" s="1041" t="str">
        <f t="shared" si="32"/>
        <v>NA</v>
      </c>
      <c r="L193" s="1042">
        <f t="shared" si="32"/>
        <v>990</v>
      </c>
      <c r="M193" s="296">
        <v>106.2</v>
      </c>
      <c r="N193" s="646">
        <v>0.32</v>
      </c>
      <c r="O193" s="645">
        <v>7.1400000000000005E-2</v>
      </c>
      <c r="P193" s="638">
        <f>10^3.12</f>
        <v>1318.2567385564089</v>
      </c>
      <c r="Q193" s="629">
        <f>IF($P193="NA","NA",(0.617*Data!$D$9*$P193/100)/(1+Data!$D$15*$P193*0.000000617))</f>
        <v>24.400932230679128</v>
      </c>
      <c r="R193" s="629">
        <f t="shared" si="25"/>
        <v>24.400932230679128</v>
      </c>
      <c r="S193" s="297">
        <v>1</v>
      </c>
      <c r="T193" s="297">
        <f t="shared" si="30"/>
        <v>1</v>
      </c>
      <c r="U193" s="847">
        <v>175000</v>
      </c>
      <c r="V193" s="860">
        <f>IF(Data!$D$69="",E193,IF(P193="NA","NA",(0.617*Data!$D$69*P193/100)/(1+Data!$D$15*P193*0.000000617)))</f>
        <v>16.267288153786083</v>
      </c>
      <c r="W193" s="847">
        <f>IF(OR(Q193="NA",Q193="",V193="NA",V193=""),"NA",(1+(V193/Q193)^1.5*((1-Data!$D$75)/(1-Data!$D$18))^1.5*(Data!$D$71/Data!$D$14)^1.5*(Data!$D$73/Data!$D$72)*(1/(39.37*Data!$D$72))^0.25))</f>
        <v>3.8303093677397886</v>
      </c>
      <c r="X193" s="847">
        <f>IF(W193="NA","NA",0.15*Data!$D$71*(1-Data!$D$75)*V193*((13.12*Data!$D$73)^(0.112*LN(Data!$D$71*(1-Data!$D$75)*V193)+1.38))/(W193*Data!$D$81))</f>
        <v>2534.3497922160109</v>
      </c>
      <c r="Y193" s="847">
        <f>IF(OR(W193="NA",W193="",Data!$D$91="NA",Data!$D$91=""),"NA",W193*Data!$D$91)</f>
        <v>6.8495741227413909</v>
      </c>
      <c r="Z193" s="847">
        <f>IF(OR(W193="NA",W193="",Data!$D$91="NA",Data!$D$91=""),"NA",IF(Data!$D$68&lt;X193,W193*X193/Data!$D$68*Data!$D$91,W193*Data!$D$91))</f>
        <v>86.796083773689048</v>
      </c>
      <c r="AA193" s="853"/>
      <c r="AB193" s="716">
        <v>10000</v>
      </c>
      <c r="AC193" s="716">
        <v>10000</v>
      </c>
      <c r="AD193" s="292" t="s">
        <v>329</v>
      </c>
      <c r="AE193" s="287" t="s">
        <v>329</v>
      </c>
      <c r="AF193" s="287" t="s">
        <v>329</v>
      </c>
      <c r="AG193" s="288" t="s">
        <v>329</v>
      </c>
      <c r="AH193" s="843">
        <v>230</v>
      </c>
      <c r="AI193" s="897">
        <v>13</v>
      </c>
      <c r="AJ193" s="287" t="s">
        <v>329</v>
      </c>
      <c r="AK193" s="288" t="s">
        <v>329</v>
      </c>
      <c r="AL193" s="786"/>
      <c r="AM193" s="815"/>
      <c r="AN193" s="1037"/>
      <c r="AO193" s="1049"/>
      <c r="AP193" s="294" t="s">
        <v>329</v>
      </c>
      <c r="AQ193" s="690" t="s">
        <v>329</v>
      </c>
      <c r="AR193" s="292" t="s">
        <v>329</v>
      </c>
      <c r="AS193" s="288" t="s">
        <v>329</v>
      </c>
      <c r="AT193" s="837">
        <v>990</v>
      </c>
      <c r="AU193" s="931">
        <v>990</v>
      </c>
      <c r="AV193" s="874"/>
      <c r="AW193" s="663"/>
      <c r="AX193" s="663"/>
      <c r="AY193" s="663"/>
      <c r="AZ193" s="664"/>
    </row>
    <row r="194" spans="1:52" s="55" customFormat="1" x14ac:dyDescent="0.25">
      <c r="A194" s="573" t="s">
        <v>512</v>
      </c>
      <c r="B194" s="511"/>
      <c r="C194" s="512"/>
      <c r="D194" s="512"/>
      <c r="E194" s="513"/>
      <c r="F194" s="547"/>
      <c r="G194" s="548"/>
      <c r="H194" s="800"/>
      <c r="I194" s="534"/>
      <c r="J194" s="534"/>
      <c r="K194" s="534"/>
      <c r="L194" s="808"/>
      <c r="M194" s="511"/>
      <c r="N194" s="534"/>
      <c r="O194" s="534"/>
      <c r="P194" s="639"/>
      <c r="Q194" s="639"/>
      <c r="R194" s="631"/>
      <c r="S194" s="512"/>
      <c r="T194" s="512"/>
      <c r="U194" s="534"/>
      <c r="V194" s="800"/>
      <c r="W194" s="534"/>
      <c r="X194" s="534"/>
      <c r="Y194" s="534"/>
      <c r="Z194" s="534"/>
      <c r="AA194" s="513"/>
      <c r="AB194" s="527"/>
      <c r="AC194" s="527"/>
      <c r="AD194" s="511"/>
      <c r="AE194" s="512"/>
      <c r="AF194" s="512"/>
      <c r="AG194" s="513"/>
      <c r="AH194" s="511"/>
      <c r="AI194" s="512"/>
      <c r="AJ194" s="512"/>
      <c r="AK194" s="513"/>
      <c r="AL194" s="511"/>
      <c r="AM194" s="512"/>
      <c r="AN194" s="1050"/>
      <c r="AO194" s="1051"/>
      <c r="AP194" s="512"/>
      <c r="AQ194" s="512"/>
      <c r="AR194" s="511"/>
      <c r="AS194" s="513"/>
      <c r="AT194" s="511"/>
      <c r="AU194" s="513"/>
      <c r="AV194" s="511"/>
      <c r="AW194" s="512"/>
      <c r="AX194" s="512"/>
      <c r="AY194" s="512"/>
      <c r="AZ194" s="513"/>
    </row>
    <row r="195" spans="1:52" s="55" customFormat="1" x14ac:dyDescent="0.25">
      <c r="A195" s="307" t="s">
        <v>513</v>
      </c>
      <c r="B195" s="1020"/>
      <c r="C195" s="1019"/>
      <c r="D195" s="1025"/>
      <c r="E195" s="1025"/>
      <c r="F195" s="502"/>
      <c r="G195" s="503"/>
      <c r="H195" s="1040" t="str">
        <f t="shared" ref="H195:L203" si="33">IF(INDEX($AB$11:$AZ$310,,H$7)=0,"NA",INDEX($AB$11:$AZ$310,,H$7))</f>
        <v>NA</v>
      </c>
      <c r="I195" s="1041">
        <f t="shared" si="33"/>
        <v>0.01</v>
      </c>
      <c r="J195" s="1041">
        <f t="shared" si="33"/>
        <v>0.01</v>
      </c>
      <c r="K195" s="1041" t="str">
        <f t="shared" si="33"/>
        <v>NA</v>
      </c>
      <c r="L195" s="1042" t="str">
        <f t="shared" si="33"/>
        <v>NA</v>
      </c>
      <c r="M195" s="289">
        <v>317.33999999999997</v>
      </c>
      <c r="N195" s="645">
        <v>7.4999999999999993E-9</v>
      </c>
      <c r="O195" s="645">
        <v>1.7100000000000001E-2</v>
      </c>
      <c r="P195" s="637">
        <f>10^2.7</f>
        <v>501.18723362727269</v>
      </c>
      <c r="Q195" s="629">
        <f>IF($P195="NA","NA",(0.617*Data!$D$9*$P195/100)/(1+Data!$D$15*$P195*0.000000617))</f>
        <v>9.2769756944408179</v>
      </c>
      <c r="R195" s="629">
        <f t="shared" ref="R195:R203" si="34">Q195</f>
        <v>9.2769756944408179</v>
      </c>
      <c r="S195" s="290">
        <v>1</v>
      </c>
      <c r="T195" s="290">
        <f t="shared" ref="T195:T203" si="35">IF(S195= "NA", "NA", S195)</f>
        <v>1</v>
      </c>
      <c r="U195" s="847">
        <v>30000</v>
      </c>
      <c r="V195" s="860">
        <f>IF(Data!$D$69="",E195,IF(P195="NA","NA",(0.617*Data!$D$69*P195/100)/(1+Data!$D$15*P195*0.000000617)))</f>
        <v>6.184650462960545</v>
      </c>
      <c r="W195" s="847">
        <f>IF(OR(Q195="NA",Q195="",V195="NA",V195=""),"NA",(1+(V195/Q195)^1.5*((1-Data!$D$75)/(1-Data!$D$18))^1.5*(Data!$D$71/Data!$D$14)^1.5*(Data!$D$73/Data!$D$72)*(1/(39.37*Data!$D$72))^0.25))</f>
        <v>3.8303093677397895</v>
      </c>
      <c r="X195" s="847">
        <f>IF(W195="NA","NA",0.15*Data!$D$71*(1-Data!$D$75)*V195*((13.12*Data!$D$73)^(0.112*LN(Data!$D$71*(1-Data!$D$75)*V195)+1.38))/(W195*Data!$D$81))</f>
        <v>612.45072838961755</v>
      </c>
      <c r="Y195" s="847">
        <f>IF(OR(W195="NA",W195="",Data!$D$91="NA",Data!$D$91=""),"NA",W195*Data!$D$91)</f>
        <v>6.8495741227413927</v>
      </c>
      <c r="Z195" s="847">
        <f>IF(OR(W195="NA",W195="",Data!$D$91="NA",Data!$D$91=""),"NA",IF(Data!$D$68&lt;X195,W195*X195/Data!$D$68*Data!$D$91,W195*Data!$D$91))</f>
        <v>20.975133303158206</v>
      </c>
      <c r="AA195" s="853"/>
      <c r="AB195" s="710" t="s">
        <v>329</v>
      </c>
      <c r="AC195" s="710" t="s">
        <v>329</v>
      </c>
      <c r="AD195" s="292" t="s">
        <v>329</v>
      </c>
      <c r="AE195" s="811">
        <v>0.01</v>
      </c>
      <c r="AF195" s="287" t="s">
        <v>329</v>
      </c>
      <c r="AG195" s="812">
        <v>0.01</v>
      </c>
      <c r="AH195" s="292" t="s">
        <v>329</v>
      </c>
      <c r="AI195" s="884">
        <v>0.01</v>
      </c>
      <c r="AJ195" s="287" t="s">
        <v>329</v>
      </c>
      <c r="AK195" s="812">
        <v>0.01</v>
      </c>
      <c r="AL195" s="786"/>
      <c r="AM195" s="811">
        <v>0.01</v>
      </c>
      <c r="AN195" s="1037"/>
      <c r="AO195" s="1049">
        <v>0.01</v>
      </c>
      <c r="AP195" s="287" t="s">
        <v>329</v>
      </c>
      <c r="AQ195" s="884">
        <v>3.15</v>
      </c>
      <c r="AR195" s="292" t="s">
        <v>329</v>
      </c>
      <c r="AS195" s="288" t="s">
        <v>329</v>
      </c>
      <c r="AT195" s="292" t="s">
        <v>329</v>
      </c>
      <c r="AU195" s="288" t="s">
        <v>329</v>
      </c>
      <c r="AV195" s="874"/>
      <c r="AW195" s="663"/>
      <c r="AX195" s="663"/>
      <c r="AY195" s="663"/>
      <c r="AZ195" s="664"/>
    </row>
    <row r="196" spans="1:52" s="55" customFormat="1" x14ac:dyDescent="0.25">
      <c r="A196" s="1071" t="s">
        <v>514</v>
      </c>
      <c r="B196" s="1020"/>
      <c r="C196" s="1019"/>
      <c r="D196" s="1025"/>
      <c r="E196" s="1025"/>
      <c r="F196" s="502"/>
      <c r="G196" s="503"/>
      <c r="H196" s="1040">
        <f t="shared" si="33"/>
        <v>8.3000000000000004E-2</v>
      </c>
      <c r="I196" s="1041">
        <f t="shared" si="33"/>
        <v>4.1000000000000002E-2</v>
      </c>
      <c r="J196" s="1041">
        <f t="shared" si="33"/>
        <v>4.1000000000000002E-2</v>
      </c>
      <c r="K196" s="1041" t="str">
        <f t="shared" si="33"/>
        <v>NA</v>
      </c>
      <c r="L196" s="1042">
        <f t="shared" si="33"/>
        <v>23</v>
      </c>
      <c r="M196" s="289">
        <v>350.6</v>
      </c>
      <c r="N196" s="645">
        <v>4.16E-6</v>
      </c>
      <c r="O196" s="645">
        <v>4.8469999999999999E-2</v>
      </c>
      <c r="P196" s="637">
        <v>97723</v>
      </c>
      <c r="Q196" s="629">
        <f>IF($P196="NA","NA",(0.617*Data!$D$9*$P196/100)/(1+Data!$D$15*$P196*0.000000617))</f>
        <v>1808.8527299999998</v>
      </c>
      <c r="R196" s="629">
        <f t="shared" si="34"/>
        <v>1808.8527299999998</v>
      </c>
      <c r="S196" s="290">
        <v>1</v>
      </c>
      <c r="T196" s="290">
        <f t="shared" si="35"/>
        <v>1</v>
      </c>
      <c r="U196" s="847">
        <v>112000</v>
      </c>
      <c r="V196" s="860">
        <f>IF(Data!$D$69="",E196,IF(P196="NA","NA",(0.617*Data!$D$69*P196/100)/(1+Data!$D$15*P196*0.000000617)))</f>
        <v>1205.90182</v>
      </c>
      <c r="W196" s="847">
        <f>IF(OR(Q196="NA",Q196="",V196="NA",V196=""),"NA",(1+(V196/Q196)^1.5*((1-Data!$D$75)/(1-Data!$D$18))^1.5*(Data!$D$71/Data!$D$14)^1.5*(Data!$D$73/Data!$D$72)*(1/(39.37*Data!$D$72))^0.25))</f>
        <v>3.8303093677397904</v>
      </c>
      <c r="X196" s="847">
        <f>IF(W196="NA","NA",0.15*Data!$D$71*(1-Data!$D$75)*V196*((13.12*Data!$D$73)^(0.112*LN(Data!$D$71*(1-Data!$D$75)*V196)+1.38))/(W196*Data!$D$81))</f>
        <v>1412765.0330156351</v>
      </c>
      <c r="Y196" s="847">
        <f>IF(OR(W196="NA",W196="",Data!$D$91="NA",Data!$D$91=""),"NA",W196*Data!$D$91)</f>
        <v>6.8495741227413944</v>
      </c>
      <c r="Z196" s="847">
        <f>IF(OR(W196="NA",W196="",Data!$D$91="NA",Data!$D$91=""),"NA",IF(Data!$D$68&lt;X196,W196*X196/Data!$D$68*Data!$D$91,W196*Data!$D$91))</f>
        <v>48384.194058288929</v>
      </c>
      <c r="AA196" s="853"/>
      <c r="AB196" s="710" t="s">
        <v>329</v>
      </c>
      <c r="AC196" s="710" t="s">
        <v>329</v>
      </c>
      <c r="AD196" s="292">
        <v>8.3000000000000004E-2</v>
      </c>
      <c r="AE196" s="287">
        <v>4.1000000000000002E-2</v>
      </c>
      <c r="AF196" s="287">
        <v>1.0999999999999999E-2</v>
      </c>
      <c r="AG196" s="288">
        <v>5.5999999999999999E-3</v>
      </c>
      <c r="AH196" s="292">
        <v>8.3000000000000004E-2</v>
      </c>
      <c r="AI196" s="689">
        <v>4.1000000000000002E-2</v>
      </c>
      <c r="AJ196" s="287">
        <v>1.0999999999999999E-2</v>
      </c>
      <c r="AK196" s="288">
        <v>5.5999999999999999E-3</v>
      </c>
      <c r="AL196" s="292">
        <v>8.3000000000000004E-2</v>
      </c>
      <c r="AM196" s="287">
        <v>4.1000000000000002E-2</v>
      </c>
      <c r="AN196" s="1037">
        <v>1.0999999999999999E-2</v>
      </c>
      <c r="AO196" s="1049">
        <v>5.5999999999999999E-3</v>
      </c>
      <c r="AP196" s="287" t="s">
        <v>329</v>
      </c>
      <c r="AQ196" s="689" t="s">
        <v>329</v>
      </c>
      <c r="AR196" s="292" t="s">
        <v>329</v>
      </c>
      <c r="AS196" s="288" t="s">
        <v>329</v>
      </c>
      <c r="AT196" s="786">
        <v>23</v>
      </c>
      <c r="AU196" s="926">
        <v>23</v>
      </c>
      <c r="AV196" s="874"/>
      <c r="AW196" s="663"/>
      <c r="AX196" s="663"/>
      <c r="AY196" s="663"/>
      <c r="AZ196" s="664"/>
    </row>
    <row r="197" spans="1:52" s="55" customFormat="1" x14ac:dyDescent="0.25">
      <c r="A197" s="307" t="s">
        <v>515</v>
      </c>
      <c r="B197" s="1020"/>
      <c r="C197" s="1019"/>
      <c r="D197" s="1025"/>
      <c r="E197" s="1025"/>
      <c r="F197" s="502"/>
      <c r="G197" s="503"/>
      <c r="H197" s="1040" t="str">
        <f t="shared" si="33"/>
        <v>NA</v>
      </c>
      <c r="I197" s="1041">
        <f t="shared" si="33"/>
        <v>0.1</v>
      </c>
      <c r="J197" s="1041">
        <f t="shared" si="33"/>
        <v>0.1</v>
      </c>
      <c r="K197" s="1041" t="str">
        <f t="shared" si="33"/>
        <v>NA</v>
      </c>
      <c r="L197" s="1042" t="str">
        <f t="shared" si="33"/>
        <v>NA</v>
      </c>
      <c r="M197" s="289">
        <v>258.3</v>
      </c>
      <c r="N197" s="645">
        <v>4.8400000000000003E-8</v>
      </c>
      <c r="O197" s="645">
        <v>4.5600000000000002E-2</v>
      </c>
      <c r="P197" s="637">
        <f>10^2.09</f>
        <v>123.02687708123821</v>
      </c>
      <c r="Q197" s="629">
        <f>IF($P197="NA","NA",(0.617*Data!$D$9*$P197/100)/(1+Data!$D$15*$P197*0.000000617))</f>
        <v>2.2772274947737192</v>
      </c>
      <c r="R197" s="629">
        <f t="shared" si="34"/>
        <v>2.2772274947737192</v>
      </c>
      <c r="S197" s="290">
        <v>1</v>
      </c>
      <c r="T197" s="290">
        <f t="shared" si="35"/>
        <v>1</v>
      </c>
      <c r="U197" s="847">
        <v>720000</v>
      </c>
      <c r="V197" s="860">
        <f>IF(Data!$D$69="",E197,IF(P197="NA","NA",(0.617*Data!$D$69*P197/100)/(1+Data!$D$15*P197*0.000000617)))</f>
        <v>1.5181516631824794</v>
      </c>
      <c r="W197" s="847">
        <f>IF(OR(Q197="NA",Q197="",V197="NA",V197=""),"NA",(1+(V197/Q197)^1.5*((1-Data!$D$75)/(1-Data!$D$18))^1.5*(Data!$D$71/Data!$D$14)^1.5*(Data!$D$73/Data!$D$72)*(1/(39.37*Data!$D$72))^0.25))</f>
        <v>3.8303093677397895</v>
      </c>
      <c r="X197" s="847">
        <f>IF(W197="NA","NA",0.15*Data!$D$71*(1-Data!$D$75)*V197*((13.12*Data!$D$73)^(0.112*LN(Data!$D$71*(1-Data!$D$75)*V197)+1.38))/(W197*Data!$D$81))</f>
        <v>77.848323440690521</v>
      </c>
      <c r="Y197" s="847">
        <f>IF(OR(W197="NA",W197="",Data!$D$91="NA",Data!$D$91=""),"NA",W197*Data!$D$91)</f>
        <v>6.8495741227413927</v>
      </c>
      <c r="Z197" s="847">
        <f>IF(OR(W197="NA",W197="",Data!$D$91="NA",Data!$D$91=""),"NA",IF(Data!$D$68&lt;X197,W197*X197/Data!$D$68*Data!$D$91,W197*Data!$D$91))</f>
        <v>6.8495741227413927</v>
      </c>
      <c r="AA197" s="853"/>
      <c r="AB197" s="710" t="s">
        <v>329</v>
      </c>
      <c r="AC197" s="710" t="s">
        <v>329</v>
      </c>
      <c r="AD197" s="292" t="s">
        <v>329</v>
      </c>
      <c r="AE197" s="813">
        <v>0.1</v>
      </c>
      <c r="AF197" s="287" t="s">
        <v>329</v>
      </c>
      <c r="AG197" s="814">
        <v>0.1</v>
      </c>
      <c r="AH197" s="292" t="s">
        <v>329</v>
      </c>
      <c r="AI197" s="827">
        <v>0.1</v>
      </c>
      <c r="AJ197" s="287" t="s">
        <v>329</v>
      </c>
      <c r="AK197" s="814">
        <v>0.1</v>
      </c>
      <c r="AL197" s="786"/>
      <c r="AM197" s="813">
        <v>0.01</v>
      </c>
      <c r="AN197" s="1037"/>
      <c r="AO197" s="1049">
        <v>0.1</v>
      </c>
      <c r="AP197" s="287" t="s">
        <v>329</v>
      </c>
      <c r="AQ197" s="827">
        <v>32.4</v>
      </c>
      <c r="AR197" s="292" t="s">
        <v>329</v>
      </c>
      <c r="AS197" s="288" t="s">
        <v>329</v>
      </c>
      <c r="AT197" s="292" t="s">
        <v>329</v>
      </c>
      <c r="AU197" s="288" t="s">
        <v>329</v>
      </c>
      <c r="AV197" s="874"/>
      <c r="AW197" s="663"/>
      <c r="AX197" s="663"/>
      <c r="AY197" s="663"/>
      <c r="AZ197" s="664"/>
    </row>
    <row r="198" spans="1:52" s="55" customFormat="1" x14ac:dyDescent="0.25">
      <c r="A198" s="1071" t="s">
        <v>516</v>
      </c>
      <c r="B198" s="1020"/>
      <c r="C198" s="1019"/>
      <c r="D198" s="1025"/>
      <c r="E198" s="1025"/>
      <c r="F198" s="502"/>
      <c r="G198" s="503"/>
      <c r="H198" s="1040">
        <f t="shared" si="33"/>
        <v>0.17</v>
      </c>
      <c r="I198" s="1041">
        <f t="shared" si="33"/>
        <v>0.17</v>
      </c>
      <c r="J198" s="1041">
        <f t="shared" si="33"/>
        <v>0.17</v>
      </c>
      <c r="K198" s="1041" t="str">
        <f t="shared" si="33"/>
        <v>NA</v>
      </c>
      <c r="L198" s="1042">
        <f t="shared" si="33"/>
        <v>8.2000000000000003E-2</v>
      </c>
      <c r="M198" s="289">
        <v>304.39999999999998</v>
      </c>
      <c r="N198" s="645">
        <v>1.1300000000000001E-7</v>
      </c>
      <c r="O198" s="645">
        <v>1.7999999999999999E-2</v>
      </c>
      <c r="P198" s="637">
        <v>2239</v>
      </c>
      <c r="Q198" s="629">
        <f>IF($P198="NA","NA",(0.617*Data!$D$9*$P198/100)/(1+Data!$D$15*$P198*0.000000617))</f>
        <v>41.443890000000003</v>
      </c>
      <c r="R198" s="629">
        <f t="shared" si="34"/>
        <v>41.443890000000003</v>
      </c>
      <c r="S198" s="290">
        <v>1</v>
      </c>
      <c r="T198" s="290">
        <f t="shared" si="35"/>
        <v>1</v>
      </c>
      <c r="U198" s="847">
        <v>68.8</v>
      </c>
      <c r="V198" s="860">
        <f>IF(Data!$D$69="",E198,IF(P198="NA","NA",(0.617*Data!$D$69*P198/100)/(1+Data!$D$15*P198*0.000000617)))</f>
        <v>27.629259999999999</v>
      </c>
      <c r="W198" s="847">
        <f>IF(OR(Q198="NA",Q198="",V198="NA",V198=""),"NA",(1+(V198/Q198)^1.5*((1-Data!$D$75)/(1-Data!$D$18))^1.5*(Data!$D$71/Data!$D$14)^1.5*(Data!$D$73/Data!$D$72)*(1/(39.37*Data!$D$72))^0.25))</f>
        <v>3.8303093677397895</v>
      </c>
      <c r="X198" s="847">
        <f>IF(W198="NA","NA",0.15*Data!$D$71*(1-Data!$D$75)*V198*((13.12*Data!$D$73)^(0.112*LN(Data!$D$71*(1-Data!$D$75)*V198)+1.38))/(W198*Data!$D$81))</f>
        <v>5517.151450118221</v>
      </c>
      <c r="Y198" s="847">
        <f>IF(OR(W198="NA",W198="",Data!$D$91="NA",Data!$D$91=""),"NA",W198*Data!$D$91)</f>
        <v>6.8495741227413927</v>
      </c>
      <c r="Z198" s="847">
        <f>IF(OR(W198="NA",W198="",Data!$D$91="NA",Data!$D$91=""),"NA",IF(Data!$D$68&lt;X198,W198*X198/Data!$D$68*Data!$D$91,W198*Data!$D$91))</f>
        <v>188.95068901987457</v>
      </c>
      <c r="AA198" s="853"/>
      <c r="AB198" s="710" t="s">
        <v>329</v>
      </c>
      <c r="AC198" s="710" t="s">
        <v>329</v>
      </c>
      <c r="AD198" s="784">
        <v>0.17</v>
      </c>
      <c r="AE198" s="811">
        <v>0.17</v>
      </c>
      <c r="AF198" s="811">
        <v>0.82</v>
      </c>
      <c r="AG198" s="812">
        <v>0.82</v>
      </c>
      <c r="AH198" s="784">
        <v>0.17</v>
      </c>
      <c r="AI198" s="884">
        <v>0.17</v>
      </c>
      <c r="AJ198" s="811">
        <v>0.82</v>
      </c>
      <c r="AK198" s="812">
        <v>0.82</v>
      </c>
      <c r="AL198" s="786"/>
      <c r="AM198" s="815"/>
      <c r="AN198" s="1037"/>
      <c r="AO198" s="1049"/>
      <c r="AP198" s="287" t="s">
        <v>329</v>
      </c>
      <c r="AQ198" s="689" t="s">
        <v>329</v>
      </c>
      <c r="AR198" s="292" t="s">
        <v>329</v>
      </c>
      <c r="AS198" s="288" t="s">
        <v>329</v>
      </c>
      <c r="AT198" s="292">
        <v>8.2000000000000003E-2</v>
      </c>
      <c r="AU198" s="930">
        <v>8.2000000000000003E-2</v>
      </c>
      <c r="AV198" s="874"/>
      <c r="AW198" s="663"/>
      <c r="AX198" s="663"/>
      <c r="AY198" s="663"/>
      <c r="AZ198" s="664"/>
    </row>
    <row r="199" spans="1:52" s="55" customFormat="1" x14ac:dyDescent="0.25">
      <c r="A199" s="307" t="s">
        <v>517</v>
      </c>
      <c r="B199" s="1020"/>
      <c r="C199" s="1019"/>
      <c r="D199" s="1025"/>
      <c r="E199" s="1025"/>
      <c r="F199" s="502"/>
      <c r="G199" s="503"/>
      <c r="H199" s="1040" t="str">
        <f t="shared" si="33"/>
        <v>NA</v>
      </c>
      <c r="I199" s="1041" t="str">
        <f t="shared" si="33"/>
        <v>NA</v>
      </c>
      <c r="J199" s="1041" t="str">
        <f t="shared" si="33"/>
        <v>NA</v>
      </c>
      <c r="K199" s="1041" t="str">
        <f t="shared" si="33"/>
        <v>NA</v>
      </c>
      <c r="L199" s="1042">
        <f t="shared" si="33"/>
        <v>0.28000000000000003</v>
      </c>
      <c r="M199" s="289">
        <v>229.28</v>
      </c>
      <c r="N199" s="645">
        <v>6.1499999999999994E-11</v>
      </c>
      <c r="O199" s="645">
        <v>0.08</v>
      </c>
      <c r="P199" s="637">
        <f>10^0.78</f>
        <v>6.0255958607435796</v>
      </c>
      <c r="Q199" s="629">
        <f>IF($P199="NA","NA",(0.617*Data!$D$9*$P199/100)/(1+Data!$D$15*$P199*0.000000617))</f>
        <v>0.11153377938236365</v>
      </c>
      <c r="R199" s="629">
        <f t="shared" si="34"/>
        <v>0.11153377938236365</v>
      </c>
      <c r="S199" s="290">
        <v>1</v>
      </c>
      <c r="T199" s="290">
        <f t="shared" si="35"/>
        <v>1</v>
      </c>
      <c r="U199" s="847">
        <v>25000000</v>
      </c>
      <c r="V199" s="860">
        <f>IF(Data!$D$69="",E199,IF(P199="NA","NA",(0.617*Data!$D$69*P199/100)/(1+Data!$D$15*P199*0.000000617)))</f>
        <v>7.4355852921575774E-2</v>
      </c>
      <c r="W199" s="847">
        <f>IF(OR(Q199="NA",Q199="",V199="NA",V199=""),"NA",(1+(V199/Q199)^1.5*((1-Data!$D$75)/(1-Data!$D$18))^1.5*(Data!$D$71/Data!$D$14)^1.5*(Data!$D$73/Data!$D$72)*(1/(39.37*Data!$D$72))^0.25))</f>
        <v>3.8303093677397904</v>
      </c>
      <c r="X199" s="847">
        <f>IF(W199="NA","NA",0.15*Data!$D$71*(1-Data!$D$75)*V199*((13.12*Data!$D$73)^(0.112*LN(Data!$D$71*(1-Data!$D$75)*V199)+1.38))/(W199*Data!$D$81))</f>
        <v>0.92775870474260946</v>
      </c>
      <c r="Y199" s="847">
        <f>IF(OR(W199="NA",W199="",Data!$D$91="NA",Data!$D$91=""),"NA",W199*Data!$D$91)</f>
        <v>6.8495741227413944</v>
      </c>
      <c r="Z199" s="847">
        <f>IF(OR(W199="NA",W199="",Data!$D$91="NA",Data!$D$91=""),"NA",IF(Data!$D$68&lt;X199,W199*X199/Data!$D$68*Data!$D$91,W199*Data!$D$91))</f>
        <v>6.8495741227413944</v>
      </c>
      <c r="AA199" s="853"/>
      <c r="AB199" s="710" t="s">
        <v>329</v>
      </c>
      <c r="AC199" s="710" t="s">
        <v>329</v>
      </c>
      <c r="AD199" s="292" t="s">
        <v>329</v>
      </c>
      <c r="AE199" s="287" t="s">
        <v>329</v>
      </c>
      <c r="AF199" s="287" t="s">
        <v>329</v>
      </c>
      <c r="AG199" s="288" t="s">
        <v>329</v>
      </c>
      <c r="AH199" s="292" t="s">
        <v>329</v>
      </c>
      <c r="AI199" s="689" t="s">
        <v>329</v>
      </c>
      <c r="AJ199" s="287" t="s">
        <v>329</v>
      </c>
      <c r="AK199" s="288" t="s">
        <v>329</v>
      </c>
      <c r="AL199" s="786"/>
      <c r="AM199" s="815"/>
      <c r="AN199" s="1037"/>
      <c r="AO199" s="1049"/>
      <c r="AP199" s="287" t="s">
        <v>329</v>
      </c>
      <c r="AQ199" s="689" t="s">
        <v>329</v>
      </c>
      <c r="AR199" s="292" t="s">
        <v>329</v>
      </c>
      <c r="AS199" s="288" t="s">
        <v>329</v>
      </c>
      <c r="AT199" s="292">
        <v>0.28000000000000003</v>
      </c>
      <c r="AU199" s="930">
        <v>0.77</v>
      </c>
      <c r="AV199" s="874"/>
      <c r="AW199" s="663"/>
      <c r="AX199" s="663"/>
      <c r="AY199" s="663"/>
      <c r="AZ199" s="664"/>
    </row>
    <row r="200" spans="1:52" s="55" customFormat="1" x14ac:dyDescent="0.25">
      <c r="A200" s="1071" t="s">
        <v>518</v>
      </c>
      <c r="B200" s="1020"/>
      <c r="C200" s="1019"/>
      <c r="D200" s="1025"/>
      <c r="E200" s="1025"/>
      <c r="F200" s="502"/>
      <c r="G200" s="503"/>
      <c r="H200" s="1040">
        <f t="shared" si="33"/>
        <v>6.5000000000000002E-2</v>
      </c>
      <c r="I200" s="1041">
        <f t="shared" si="33"/>
        <v>1.2999999999999999E-2</v>
      </c>
      <c r="J200" s="1041">
        <f t="shared" si="33"/>
        <v>1.2999999999999999E-2</v>
      </c>
      <c r="K200" s="1041" t="str">
        <f t="shared" si="33"/>
        <v>NA</v>
      </c>
      <c r="L200" s="1042">
        <f t="shared" si="33"/>
        <v>130</v>
      </c>
      <c r="M200" s="289">
        <v>291.3</v>
      </c>
      <c r="N200" s="645">
        <v>2.3699999999999999E-7</v>
      </c>
      <c r="O200" s="645">
        <v>1.7000000000000001E-2</v>
      </c>
      <c r="P200" s="637">
        <f>10^3.73</f>
        <v>5370.3179637025269</v>
      </c>
      <c r="Q200" s="629">
        <f>IF($P200="NA","NA",(0.617*Data!$D$9*$P200/100)/(1+Data!$D$15*$P200*0.000000617))</f>
        <v>99.404585508133763</v>
      </c>
      <c r="R200" s="629">
        <f t="shared" si="34"/>
        <v>99.404585508133763</v>
      </c>
      <c r="S200" s="290">
        <v>1</v>
      </c>
      <c r="T200" s="290">
        <f t="shared" si="35"/>
        <v>1</v>
      </c>
      <c r="U200" s="847">
        <v>11800</v>
      </c>
      <c r="V200" s="860">
        <f>IF(Data!$D$69="",E200,IF(P200="NA","NA",(0.617*Data!$D$69*P200/100)/(1+Data!$D$15*P200*0.000000617)))</f>
        <v>66.269723672089185</v>
      </c>
      <c r="W200" s="847">
        <f>IF(OR(Q200="NA",Q200="",V200="NA",V200=""),"NA",(1+(V200/Q200)^1.5*((1-Data!$D$75)/(1-Data!$D$18))^1.5*(Data!$D$71/Data!$D$14)^1.5*(Data!$D$73/Data!$D$72)*(1/(39.37*Data!$D$72))^0.25))</f>
        <v>3.8303093677397904</v>
      </c>
      <c r="X200" s="847">
        <f>IF(W200="NA","NA",0.15*Data!$D$71*(1-Data!$D$75)*V200*((13.12*Data!$D$73)^(0.112*LN(Data!$D$71*(1-Data!$D$75)*V200)+1.38))/(W200*Data!$D$81))</f>
        <v>19938.314759203513</v>
      </c>
      <c r="Y200" s="847">
        <f>IF(OR(W200="NA",W200="",Data!$D$91="NA",Data!$D$91=""),"NA",W200*Data!$D$91)</f>
        <v>6.8495741227413944</v>
      </c>
      <c r="Z200" s="847">
        <f>IF(OR(W200="NA",W200="",Data!$D$91="NA",Data!$D$91=""),"NA",IF(Data!$D$68&lt;X200,W200*X200/Data!$D$68*Data!$D$91,W200*Data!$D$91))</f>
        <v>682.84482412856596</v>
      </c>
      <c r="AA200" s="853"/>
      <c r="AB200" s="710" t="s">
        <v>329</v>
      </c>
      <c r="AC200" s="710" t="s">
        <v>329</v>
      </c>
      <c r="AD200" s="292">
        <v>6.5000000000000002E-2</v>
      </c>
      <c r="AE200" s="287">
        <v>1.2999999999999999E-2</v>
      </c>
      <c r="AF200" s="287" t="s">
        <v>329</v>
      </c>
      <c r="AG200" s="288" t="s">
        <v>329</v>
      </c>
      <c r="AH200" s="292">
        <v>6.5000000000000002E-2</v>
      </c>
      <c r="AI200" s="689">
        <v>1.2999999999999999E-2</v>
      </c>
      <c r="AJ200" s="287" t="s">
        <v>329</v>
      </c>
      <c r="AK200" s="288" t="s">
        <v>329</v>
      </c>
      <c r="AL200" s="292">
        <v>6.5000000000000002E-2</v>
      </c>
      <c r="AM200" s="287">
        <v>1.2999999999999999E-2</v>
      </c>
      <c r="AN200" s="1037">
        <v>1.78</v>
      </c>
      <c r="AO200" s="1049">
        <v>0.17799999999999999</v>
      </c>
      <c r="AP200" s="287" t="s">
        <v>329</v>
      </c>
      <c r="AQ200" s="689" t="s">
        <v>329</v>
      </c>
      <c r="AR200" s="292" t="s">
        <v>329</v>
      </c>
      <c r="AS200" s="288" t="s">
        <v>329</v>
      </c>
      <c r="AT200" s="786">
        <v>130</v>
      </c>
      <c r="AU200" s="926">
        <v>360</v>
      </c>
      <c r="AV200" s="874"/>
      <c r="AW200" s="663"/>
      <c r="AX200" s="663"/>
      <c r="AY200" s="663"/>
      <c r="AZ200" s="664"/>
    </row>
    <row r="201" spans="1:52" s="55" customFormat="1" x14ac:dyDescent="0.25">
      <c r="A201" s="307" t="s">
        <v>519</v>
      </c>
      <c r="B201" s="1020"/>
      <c r="C201" s="1019"/>
      <c r="D201" s="1025"/>
      <c r="E201" s="1025"/>
      <c r="F201" s="502"/>
      <c r="G201" s="503"/>
      <c r="H201" s="1040" t="str">
        <f t="shared" si="33"/>
        <v>NA</v>
      </c>
      <c r="I201" s="1041">
        <f t="shared" si="33"/>
        <v>0.1</v>
      </c>
      <c r="J201" s="1041">
        <f t="shared" si="33"/>
        <v>0.1</v>
      </c>
      <c r="K201" s="1041" t="str">
        <f t="shared" si="33"/>
        <v>NA</v>
      </c>
      <c r="L201" s="1042">
        <f t="shared" si="33"/>
        <v>34</v>
      </c>
      <c r="M201" s="289">
        <v>330.4</v>
      </c>
      <c r="N201" s="645">
        <f>0.00000000489</f>
        <v>4.8900000000000003E-9</v>
      </c>
      <c r="O201" s="645">
        <f>IF(M201="NA","NA",(IF(N201="NA","NA",((((28.97+M201)/(28.97*M201))^0.5)*(10^-3)*(Data!$D$50^1.75)/((2*(20.1^(1/3)))^2)))))</f>
        <v>0.15007288937691066</v>
      </c>
      <c r="P201" s="637">
        <f>10^2.86</f>
        <v>724.43596007499025</v>
      </c>
      <c r="Q201" s="629">
        <f>IF($P201="NA","NA",(0.617*Data!$D$9*$P201/100)/(1+Data!$D$15*$P201*0.000000617))</f>
        <v>13.40930962098807</v>
      </c>
      <c r="R201" s="629">
        <f t="shared" si="34"/>
        <v>13.40930962098807</v>
      </c>
      <c r="S201" s="290">
        <v>1</v>
      </c>
      <c r="T201" s="290">
        <f t="shared" si="35"/>
        <v>1</v>
      </c>
      <c r="U201" s="847">
        <v>145000</v>
      </c>
      <c r="V201" s="860">
        <f>IF(Data!$D$69="",E201,IF(P201="NA","NA",(0.617*Data!$D$69*P201/100)/(1+Data!$D$15*P201*0.000000617)))</f>
        <v>8.9395397473253801</v>
      </c>
      <c r="W201" s="847">
        <f>IF(OR(Q201="NA",Q201="",V201="NA",V201=""),"NA",(1+(V201/Q201)^1.5*((1-Data!$D$75)/(1-Data!$D$18))^1.5*(Data!$D$71/Data!$D$14)^1.5*(Data!$D$73/Data!$D$72)*(1/(39.37*Data!$D$72))^0.25))</f>
        <v>3.8303093677397895</v>
      </c>
      <c r="X201" s="847">
        <f>IF(W201="NA","NA",0.15*Data!$D$71*(1-Data!$D$75)*V201*((13.12*Data!$D$73)^(0.112*LN(Data!$D$71*(1-Data!$D$75)*V201)+1.38))/(W201*Data!$D$81))</f>
        <v>1052.0607829376111</v>
      </c>
      <c r="Y201" s="847">
        <f>IF(OR(W201="NA",W201="",Data!$D$91="NA",Data!$D$91=""),"NA",W201*Data!$D$91)</f>
        <v>6.8495741227413927</v>
      </c>
      <c r="Z201" s="847">
        <f>IF(OR(W201="NA",W201="",Data!$D$91="NA",Data!$D$91=""),"NA",IF(Data!$D$68&lt;X201,W201*X201/Data!$D$68*Data!$D$91,W201*Data!$D$91))</f>
        <v>36.030841571802547</v>
      </c>
      <c r="AA201" s="853"/>
      <c r="AB201" s="710" t="s">
        <v>329</v>
      </c>
      <c r="AC201" s="710" t="s">
        <v>329</v>
      </c>
      <c r="AD201" s="292" t="s">
        <v>329</v>
      </c>
      <c r="AE201" s="813">
        <v>0.1</v>
      </c>
      <c r="AF201" s="287" t="s">
        <v>329</v>
      </c>
      <c r="AG201" s="814">
        <v>0.1</v>
      </c>
      <c r="AH201" s="292" t="s">
        <v>329</v>
      </c>
      <c r="AI201" s="827">
        <v>0.1</v>
      </c>
      <c r="AJ201" s="287" t="s">
        <v>329</v>
      </c>
      <c r="AK201" s="814">
        <v>0.1</v>
      </c>
      <c r="AL201" s="786"/>
      <c r="AM201" s="811">
        <v>0.01</v>
      </c>
      <c r="AN201" s="1037"/>
      <c r="AO201" s="1049">
        <v>0.1</v>
      </c>
      <c r="AP201" s="287" t="s">
        <v>329</v>
      </c>
      <c r="AQ201" s="827">
        <v>32.4</v>
      </c>
      <c r="AR201" s="292" t="s">
        <v>329</v>
      </c>
      <c r="AS201" s="288" t="s">
        <v>329</v>
      </c>
      <c r="AT201" s="292">
        <v>34</v>
      </c>
      <c r="AU201" s="930">
        <v>34</v>
      </c>
      <c r="AV201" s="874"/>
      <c r="AW201" s="663"/>
      <c r="AX201" s="663"/>
      <c r="AY201" s="663"/>
      <c r="AZ201" s="664"/>
    </row>
    <row r="202" spans="1:52" s="650" customFormat="1" x14ac:dyDescent="0.2">
      <c r="A202" s="307" t="s">
        <v>520</v>
      </c>
      <c r="B202" s="1020"/>
      <c r="C202" s="1019"/>
      <c r="D202" s="1025"/>
      <c r="E202" s="1025"/>
      <c r="F202" s="502"/>
      <c r="G202" s="503"/>
      <c r="H202" s="1040" t="str">
        <f t="shared" si="33"/>
        <v>NA</v>
      </c>
      <c r="I202" s="1041" t="str">
        <f t="shared" si="33"/>
        <v>NA</v>
      </c>
      <c r="J202" s="1041" t="str">
        <f t="shared" si="33"/>
        <v>NA</v>
      </c>
      <c r="K202" s="1041" t="str">
        <f t="shared" si="33"/>
        <v>NA</v>
      </c>
      <c r="L202" s="1042">
        <f t="shared" si="33"/>
        <v>0.42</v>
      </c>
      <c r="M202" s="289">
        <v>263.2</v>
      </c>
      <c r="N202" s="645">
        <f>0.000000208</f>
        <v>2.0800000000000001E-7</v>
      </c>
      <c r="O202" s="645">
        <v>0.02</v>
      </c>
      <c r="P202" s="637">
        <f>10^2.8</f>
        <v>630.95734448019323</v>
      </c>
      <c r="Q202" s="629">
        <f>IF($P202="NA","NA",(0.617*Data!$D$9*$P202/100)/(1+Data!$D$15*$P202*0.000000617))</f>
        <v>11.679020446328376</v>
      </c>
      <c r="R202" s="629">
        <f t="shared" si="34"/>
        <v>11.679020446328376</v>
      </c>
      <c r="S202" s="290">
        <v>1</v>
      </c>
      <c r="T202" s="290">
        <f t="shared" si="35"/>
        <v>1</v>
      </c>
      <c r="U202" s="847">
        <v>55000</v>
      </c>
      <c r="V202" s="860">
        <f>IF(Data!$D$69="",E202,IF(P202="NA","NA",(0.617*Data!$D$69*P202/100)/(1+Data!$D$15*P202*0.000000617)))</f>
        <v>7.7860136308855843</v>
      </c>
      <c r="W202" s="847">
        <f>IF(OR(Q202="NA",Q202="",V202="NA",V202=""),"NA",(1+(V202/Q202)^1.5*((1-Data!$D$75)/(1-Data!$D$18))^1.5*(Data!$D$71/Data!$D$14)^1.5*(Data!$D$73/Data!$D$72)*(1/(39.37*Data!$D$72))^0.25))</f>
        <v>3.8303093677397895</v>
      </c>
      <c r="X202" s="847">
        <f>IF(W202="NA","NA",0.15*Data!$D$71*(1-Data!$D$75)*V202*((13.12*Data!$D$73)^(0.112*LN(Data!$D$71*(1-Data!$D$75)*V202)+1.38))/(W202*Data!$D$81))</f>
        <v>858.86954517708693</v>
      </c>
      <c r="Y202" s="847">
        <f>IF(OR(W202="NA",W202="",Data!$D$91="NA",Data!$D$91=""),"NA",W202*Data!$D$91)</f>
        <v>6.8495741227413927</v>
      </c>
      <c r="Z202" s="847">
        <f>IF(OR(W202="NA",W202="",Data!$D$91="NA",Data!$D$91=""),"NA",IF(Data!$D$68&lt;X202,W202*X202/Data!$D$68*Data!$D$91,W202*Data!$D$91))</f>
        <v>29.414453057278219</v>
      </c>
      <c r="AA202" s="853"/>
      <c r="AB202" s="712" t="s">
        <v>329</v>
      </c>
      <c r="AC202" s="712" t="s">
        <v>329</v>
      </c>
      <c r="AD202" s="292" t="s">
        <v>329</v>
      </c>
      <c r="AE202" s="287" t="s">
        <v>329</v>
      </c>
      <c r="AF202" s="287" t="s">
        <v>329</v>
      </c>
      <c r="AG202" s="288" t="s">
        <v>329</v>
      </c>
      <c r="AH202" s="292" t="s">
        <v>329</v>
      </c>
      <c r="AI202" s="689" t="s">
        <v>329</v>
      </c>
      <c r="AJ202" s="287" t="s">
        <v>329</v>
      </c>
      <c r="AK202" s="288" t="s">
        <v>329</v>
      </c>
      <c r="AL202" s="786"/>
      <c r="AM202" s="815"/>
      <c r="AN202" s="1037"/>
      <c r="AO202" s="1049"/>
      <c r="AP202" s="651" t="s">
        <v>329</v>
      </c>
      <c r="AQ202" s="895">
        <v>32.4</v>
      </c>
      <c r="AR202" s="292" t="s">
        <v>329</v>
      </c>
      <c r="AS202" s="288" t="s">
        <v>329</v>
      </c>
      <c r="AT202" s="922">
        <v>0.42</v>
      </c>
      <c r="AU202" s="932">
        <v>0.42</v>
      </c>
      <c r="AV202" s="874"/>
      <c r="AW202" s="663"/>
      <c r="AX202" s="663"/>
      <c r="AY202" s="663"/>
      <c r="AZ202" s="664"/>
    </row>
    <row r="203" spans="1:52" s="55" customFormat="1" ht="13.8" thickBot="1" x14ac:dyDescent="0.3">
      <c r="A203" s="1072" t="s">
        <v>521</v>
      </c>
      <c r="B203" s="1020"/>
      <c r="C203" s="1019"/>
      <c r="D203" s="1025"/>
      <c r="E203" s="1025"/>
      <c r="F203" s="502"/>
      <c r="G203" s="503"/>
      <c r="H203" s="1040" t="str">
        <f t="shared" si="33"/>
        <v>NA</v>
      </c>
      <c r="I203" s="1041" t="str">
        <f t="shared" si="33"/>
        <v>NA</v>
      </c>
      <c r="J203" s="1041" t="str">
        <f t="shared" si="33"/>
        <v>NA</v>
      </c>
      <c r="K203" s="1041" t="str">
        <f t="shared" si="33"/>
        <v>NA</v>
      </c>
      <c r="L203" s="1042">
        <f t="shared" si="33"/>
        <v>0.41</v>
      </c>
      <c r="M203" s="296">
        <v>260.39999999999998</v>
      </c>
      <c r="N203" s="646">
        <v>4.4000000000000002E-6</v>
      </c>
      <c r="O203" s="645">
        <v>0.08</v>
      </c>
      <c r="P203" s="638">
        <v>6457</v>
      </c>
      <c r="Q203" s="629">
        <f>IF($P203="NA","NA",(0.617*Data!$D$9*$P203/100)/(1+Data!$D$15*$P203*0.000000617))</f>
        <v>119.51907</v>
      </c>
      <c r="R203" s="629">
        <f t="shared" si="34"/>
        <v>119.51907</v>
      </c>
      <c r="S203" s="290">
        <v>1</v>
      </c>
      <c r="T203" s="290">
        <f t="shared" si="35"/>
        <v>1</v>
      </c>
      <c r="U203" s="847">
        <v>50</v>
      </c>
      <c r="V203" s="860">
        <f>IF(Data!$D$69="",E203,IF(P203="NA","NA",(0.617*Data!$D$69*P203/100)/(1+Data!$D$15*P203*0.000000617)))</f>
        <v>79.679379999999995</v>
      </c>
      <c r="W203" s="847">
        <f>IF(OR(Q203="NA",Q203="",V203="NA",V203=""),"NA",(1+(V203/Q203)^1.5*((1-Data!$D$75)/(1-Data!$D$18))^1.5*(Data!$D$71/Data!$D$14)^1.5*(Data!$D$73/Data!$D$72)*(1/(39.37*Data!$D$72))^0.25))</f>
        <v>3.8303093677397895</v>
      </c>
      <c r="X203" s="847">
        <f>IF(W203="NA","NA",0.15*Data!$D$71*(1-Data!$D$75)*V203*((13.12*Data!$D$73)^(0.112*LN(Data!$D$71*(1-Data!$D$75)*V203)+1.38))/(W203*Data!$D$81))</f>
        <v>26134.758884013954</v>
      </c>
      <c r="Y203" s="847">
        <f>IF(OR(W203="NA",W203="",Data!$D$91="NA",Data!$D$91=""),"NA",W203*Data!$D$91)</f>
        <v>6.8495741227413927</v>
      </c>
      <c r="Z203" s="847">
        <f>IF(OR(W203="NA",W203="",Data!$D$91="NA",Data!$D$91=""),"NA",IF(Data!$D$68&lt;X203,W203*X203/Data!$D$68*Data!$D$91,W203*Data!$D$91))</f>
        <v>895.05984078013853</v>
      </c>
      <c r="AA203" s="853"/>
      <c r="AB203" s="711" t="s">
        <v>329</v>
      </c>
      <c r="AC203" s="711" t="s">
        <v>329</v>
      </c>
      <c r="AD203" s="292" t="s">
        <v>329</v>
      </c>
      <c r="AE203" s="287" t="s">
        <v>329</v>
      </c>
      <c r="AF203" s="287" t="s">
        <v>329</v>
      </c>
      <c r="AG203" s="288" t="s">
        <v>329</v>
      </c>
      <c r="AH203" s="293" t="s">
        <v>329</v>
      </c>
      <c r="AI203" s="690" t="s">
        <v>329</v>
      </c>
      <c r="AJ203" s="287" t="s">
        <v>329</v>
      </c>
      <c r="AK203" s="288" t="s">
        <v>329</v>
      </c>
      <c r="AL203" s="786"/>
      <c r="AM203" s="815"/>
      <c r="AN203" s="1037"/>
      <c r="AO203" s="1049"/>
      <c r="AP203" s="651" t="s">
        <v>329</v>
      </c>
      <c r="AQ203" s="689" t="s">
        <v>329</v>
      </c>
      <c r="AR203" s="292" t="s">
        <v>329</v>
      </c>
      <c r="AS203" s="288" t="s">
        <v>329</v>
      </c>
      <c r="AT203" s="293">
        <v>0.41</v>
      </c>
      <c r="AU203" s="929">
        <v>0.88</v>
      </c>
      <c r="AV203" s="874"/>
      <c r="AW203" s="663"/>
      <c r="AX203" s="663"/>
      <c r="AY203" s="663"/>
      <c r="AZ203" s="664"/>
    </row>
    <row r="204" spans="1:52" s="55" customFormat="1" x14ac:dyDescent="0.25">
      <c r="A204" s="573" t="s">
        <v>522</v>
      </c>
      <c r="B204" s="511"/>
      <c r="C204" s="512"/>
      <c r="D204" s="512"/>
      <c r="E204" s="513"/>
      <c r="F204" s="547"/>
      <c r="G204" s="548"/>
      <c r="H204" s="800"/>
      <c r="I204" s="534"/>
      <c r="J204" s="534"/>
      <c r="K204" s="534"/>
      <c r="L204" s="808"/>
      <c r="M204" s="511"/>
      <c r="N204" s="534"/>
      <c r="O204" s="534"/>
      <c r="P204" s="639"/>
      <c r="Q204" s="639"/>
      <c r="R204" s="631"/>
      <c r="S204" s="512"/>
      <c r="T204" s="512"/>
      <c r="U204" s="534"/>
      <c r="V204" s="800"/>
      <c r="W204" s="534"/>
      <c r="X204" s="534"/>
      <c r="Y204" s="534"/>
      <c r="Z204" s="534"/>
      <c r="AA204" s="513"/>
      <c r="AB204" s="527"/>
      <c r="AC204" s="527"/>
      <c r="AD204" s="511"/>
      <c r="AE204" s="512"/>
      <c r="AF204" s="512"/>
      <c r="AG204" s="513"/>
      <c r="AH204" s="511"/>
      <c r="AI204" s="512"/>
      <c r="AJ204" s="512"/>
      <c r="AK204" s="513"/>
      <c r="AL204" s="511"/>
      <c r="AM204" s="512"/>
      <c r="AN204" s="1050"/>
      <c r="AO204" s="1051"/>
      <c r="AP204" s="512"/>
      <c r="AQ204" s="512"/>
      <c r="AR204" s="511"/>
      <c r="AS204" s="513"/>
      <c r="AT204" s="511"/>
      <c r="AU204" s="513"/>
      <c r="AV204" s="874"/>
      <c r="AW204" s="663"/>
      <c r="AX204" s="663"/>
      <c r="AY204" s="663"/>
      <c r="AZ204" s="664"/>
    </row>
    <row r="205" spans="1:52" s="55" customFormat="1" x14ac:dyDescent="0.25">
      <c r="A205" s="307" t="s">
        <v>523</v>
      </c>
      <c r="B205" s="1020"/>
      <c r="C205" s="1019"/>
      <c r="D205" s="1025"/>
      <c r="E205" s="1025"/>
      <c r="F205" s="502"/>
      <c r="G205" s="503"/>
      <c r="H205" s="1040">
        <f t="shared" ref="H205:L214" si="36">IF(INDEX($AB$11:$AZ$310,,H$7)=0,"NA",INDEX($AB$11:$AZ$310,,H$7))</f>
        <v>3</v>
      </c>
      <c r="I205" s="1041" t="str">
        <f t="shared" si="36"/>
        <v>NA</v>
      </c>
      <c r="J205" s="1041" t="str">
        <f t="shared" si="36"/>
        <v>NA</v>
      </c>
      <c r="K205" s="1041">
        <f t="shared" si="36"/>
        <v>3.0000000000000001E-5</v>
      </c>
      <c r="L205" s="1042">
        <f t="shared" si="36"/>
        <v>0.1</v>
      </c>
      <c r="M205" s="289">
        <v>365</v>
      </c>
      <c r="N205" s="645">
        <v>5.0000000000000001E-4</v>
      </c>
      <c r="O205" s="645">
        <v>1.32E-2</v>
      </c>
      <c r="P205" s="637">
        <f>10^5.3</f>
        <v>199526.23149688813</v>
      </c>
      <c r="Q205" s="629">
        <f>IF($P205="NA","NA",(0.617*Data!$D$9*$P205/100)/(1+Data!$D$15*$P205*0.000000617))</f>
        <v>3693.2305450073991</v>
      </c>
      <c r="R205" s="629">
        <f t="shared" ref="R205:R244" si="37">Q205</f>
        <v>3693.2305450073991</v>
      </c>
      <c r="S205" s="290">
        <v>1</v>
      </c>
      <c r="T205" s="290">
        <f t="shared" ref="T205:T242" si="38">IF(S205= "NA", "NA", S205)</f>
        <v>1</v>
      </c>
      <c r="U205" s="847">
        <v>18</v>
      </c>
      <c r="V205" s="860">
        <f>IF(Data!$D$69="",E205,IF(P205="NA","NA",(0.617*Data!$D$69*P205/100)/(1+Data!$D$15*P205*0.000000617)))</f>
        <v>2462.1536966715994</v>
      </c>
      <c r="W205" s="847">
        <f>IF(OR(Q205="NA",Q205="",V205="NA",V205=""),"NA",(1+(V205/Q205)^1.5*((1-Data!$D$75)/(1-Data!$D$18))^1.5*(Data!$D$71/Data!$D$14)^1.5*(Data!$D$73/Data!$D$72)*(1/(39.37*Data!$D$72))^0.25))</f>
        <v>3.8303093677397895</v>
      </c>
      <c r="X205" s="847">
        <f>IF(W205="NA","NA",0.15*Data!$D$71*(1-Data!$D$75)*V205*((13.12*Data!$D$73)^(0.112*LN(Data!$D$71*(1-Data!$D$75)*V205)+1.38))/(W205*Data!$D$81))</f>
        <v>4030216.6988522084</v>
      </c>
      <c r="Y205" s="847">
        <f>IF(OR(W205="NA",W205="",Data!$D$91="NA",Data!$D$91=""),"NA",W205*Data!$D$91)</f>
        <v>6.8495741227413927</v>
      </c>
      <c r="Z205" s="847">
        <f>IF(OR(W205="NA",W205="",Data!$D$91="NA",Data!$D$91=""),"NA",IF(Data!$D$68&lt;X205,W205*X205/Data!$D$68*Data!$D$91,W205*Data!$D$91))</f>
        <v>138026.34004749163</v>
      </c>
      <c r="AA205" s="853"/>
      <c r="AB205" s="710" t="s">
        <v>329</v>
      </c>
      <c r="AC205" s="710" t="s">
        <v>329</v>
      </c>
      <c r="AD205" s="786">
        <v>3</v>
      </c>
      <c r="AE205" s="287" t="s">
        <v>329</v>
      </c>
      <c r="AF205" s="813">
        <v>1.3</v>
      </c>
      <c r="AG205" s="288" t="s">
        <v>329</v>
      </c>
      <c r="AH205" s="786">
        <v>3</v>
      </c>
      <c r="AI205" s="689" t="s">
        <v>329</v>
      </c>
      <c r="AJ205" s="813">
        <v>1.3</v>
      </c>
      <c r="AK205" s="288" t="s">
        <v>329</v>
      </c>
      <c r="AL205" s="786">
        <v>3</v>
      </c>
      <c r="AM205" s="813">
        <v>0.3</v>
      </c>
      <c r="AN205" s="1037">
        <v>1.3</v>
      </c>
      <c r="AO205" s="1049">
        <v>0.13</v>
      </c>
      <c r="AP205" s="825">
        <v>3.0000000000000001E-5</v>
      </c>
      <c r="AQ205" s="689" t="s">
        <v>329</v>
      </c>
      <c r="AR205" s="922">
        <v>2.7</v>
      </c>
      <c r="AS205" s="288" t="s">
        <v>329</v>
      </c>
      <c r="AT205" s="292">
        <v>0.1</v>
      </c>
      <c r="AU205" s="930">
        <v>0.44</v>
      </c>
      <c r="AV205" s="874"/>
      <c r="AW205" s="663"/>
      <c r="AX205" s="663"/>
      <c r="AY205" s="663"/>
      <c r="AZ205" s="664"/>
    </row>
    <row r="206" spans="1:52" s="650" customFormat="1" x14ac:dyDescent="0.2">
      <c r="A206" s="307" t="s">
        <v>524</v>
      </c>
      <c r="B206" s="1020"/>
      <c r="C206" s="1019"/>
      <c r="D206" s="1025"/>
      <c r="E206" s="1025"/>
      <c r="F206" s="502"/>
      <c r="G206" s="503"/>
      <c r="H206" s="1040" t="str">
        <f t="shared" si="36"/>
        <v>NA</v>
      </c>
      <c r="I206" s="1041" t="str">
        <f t="shared" si="36"/>
        <v>NA</v>
      </c>
      <c r="J206" s="1041" t="str">
        <f t="shared" si="36"/>
        <v>NA</v>
      </c>
      <c r="K206" s="1041" t="str">
        <f t="shared" si="36"/>
        <v>NA</v>
      </c>
      <c r="L206" s="1042">
        <f t="shared" si="36"/>
        <v>0.13</v>
      </c>
      <c r="M206" s="289">
        <v>215.69</v>
      </c>
      <c r="N206" s="645">
        <f>0.00000000269</f>
        <v>2.69E-9</v>
      </c>
      <c r="O206" s="645">
        <v>2.58E-2</v>
      </c>
      <c r="P206" s="637">
        <f>10^2.75</f>
        <v>562.34132519034927</v>
      </c>
      <c r="Q206" s="629">
        <f>IF($P206="NA","NA",(0.617*Data!$D$9*$P206/100)/(1+Data!$D$15*$P206*0.000000617))</f>
        <v>10.408937929273366</v>
      </c>
      <c r="R206" s="629">
        <f t="shared" si="37"/>
        <v>10.408937929273366</v>
      </c>
      <c r="S206" s="290">
        <v>1</v>
      </c>
      <c r="T206" s="290">
        <f t="shared" si="38"/>
        <v>1</v>
      </c>
      <c r="U206" s="847">
        <v>70000</v>
      </c>
      <c r="V206" s="860">
        <f>IF(Data!$D$69="",E206,IF(P206="NA","NA",(0.617*Data!$D$69*P206/100)/(1+Data!$D$15*P206*0.000000617)))</f>
        <v>6.9392919528489099</v>
      </c>
      <c r="W206" s="847">
        <f>IF(OR(Q206="NA",Q206="",V206="NA",V206=""),"NA",(1+(V206/Q206)^1.5*((1-Data!$D$75)/(1-Data!$D$18))^1.5*(Data!$D$71/Data!$D$14)^1.5*(Data!$D$73/Data!$D$72)*(1/(39.37*Data!$D$72))^0.25))</f>
        <v>3.8303093677397895</v>
      </c>
      <c r="X206" s="847">
        <f>IF(W206="NA","NA",0.15*Data!$D$71*(1-Data!$D$75)*V206*((13.12*Data!$D$73)^(0.112*LN(Data!$D$71*(1-Data!$D$75)*V206)+1.38))/(W206*Data!$D$81))</f>
        <v>725.26910766650394</v>
      </c>
      <c r="Y206" s="847">
        <f>IF(OR(W206="NA",W206="",Data!$D$91="NA",Data!$D$91=""),"NA",W206*Data!$D$91)</f>
        <v>6.8495741227413927</v>
      </c>
      <c r="Z206" s="847">
        <f>IF(OR(W206="NA",W206="",Data!$D$91="NA",Data!$D$91=""),"NA",IF(Data!$D$68&lt;X206,W206*X206/Data!$D$68*Data!$D$91,W206*Data!$D$91))</f>
        <v>24.838922559481134</v>
      </c>
      <c r="AA206" s="853"/>
      <c r="AB206" s="712">
        <v>3</v>
      </c>
      <c r="AC206" s="712">
        <v>3</v>
      </c>
      <c r="AD206" s="292" t="s">
        <v>329</v>
      </c>
      <c r="AE206" s="287" t="s">
        <v>329</v>
      </c>
      <c r="AF206" s="287" t="s">
        <v>329</v>
      </c>
      <c r="AG206" s="288" t="s">
        <v>329</v>
      </c>
      <c r="AH206" s="292" t="s">
        <v>329</v>
      </c>
      <c r="AI206" s="689" t="s">
        <v>329</v>
      </c>
      <c r="AJ206" s="287" t="s">
        <v>329</v>
      </c>
      <c r="AK206" s="288" t="s">
        <v>329</v>
      </c>
      <c r="AL206" s="786"/>
      <c r="AM206" s="815"/>
      <c r="AN206" s="1037"/>
      <c r="AO206" s="1049"/>
      <c r="AP206" s="287" t="s">
        <v>329</v>
      </c>
      <c r="AQ206" s="689" t="s">
        <v>329</v>
      </c>
      <c r="AR206" s="292" t="s">
        <v>329</v>
      </c>
      <c r="AS206" s="288" t="s">
        <v>329</v>
      </c>
      <c r="AT206" s="922">
        <v>0.13</v>
      </c>
      <c r="AU206" s="932">
        <v>0.13</v>
      </c>
      <c r="AV206" s="874"/>
      <c r="AW206" s="663"/>
      <c r="AX206" s="663"/>
      <c r="AY206" s="663"/>
      <c r="AZ206" s="664"/>
    </row>
    <row r="207" spans="1:52" s="55" customFormat="1" x14ac:dyDescent="0.25">
      <c r="A207" s="307" t="s">
        <v>525</v>
      </c>
      <c r="B207" s="1020"/>
      <c r="C207" s="1019"/>
      <c r="D207" s="1025"/>
      <c r="E207" s="1025"/>
      <c r="F207" s="502"/>
      <c r="G207" s="503"/>
      <c r="H207" s="1040">
        <f t="shared" si="36"/>
        <v>39</v>
      </c>
      <c r="I207" s="1041">
        <f t="shared" si="36"/>
        <v>2.2000000000000002</v>
      </c>
      <c r="J207" s="1041">
        <f t="shared" si="36"/>
        <v>2.2000000000000002</v>
      </c>
      <c r="K207" s="1041" t="str">
        <f t="shared" si="36"/>
        <v>NA</v>
      </c>
      <c r="L207" s="1042">
        <f t="shared" si="36"/>
        <v>4.5999999999999999E-2</v>
      </c>
      <c r="M207" s="289">
        <v>290.8</v>
      </c>
      <c r="N207" s="645">
        <f>0.0000086</f>
        <v>8.6000000000000007E-6</v>
      </c>
      <c r="O207" s="645">
        <v>1.4200000000000001E-2</v>
      </c>
      <c r="P207" s="637">
        <f>10^3.8</f>
        <v>6309.5734448019384</v>
      </c>
      <c r="Q207" s="629">
        <f>IF($P207="NA","NA",(0.617*Data!$D$9*$P207/100)/(1+Data!$D$15*$P207*0.000000617))</f>
        <v>116.79020446328389</v>
      </c>
      <c r="R207" s="629">
        <f t="shared" si="37"/>
        <v>116.79020446328389</v>
      </c>
      <c r="S207" s="290">
        <v>1</v>
      </c>
      <c r="T207" s="290">
        <f t="shared" si="38"/>
        <v>1</v>
      </c>
      <c r="U207" s="847">
        <v>2000</v>
      </c>
      <c r="V207" s="860">
        <f>IF(Data!$D$69="",E207,IF(P207="NA","NA",(0.617*Data!$D$69*P207/100)/(1+Data!$D$15*P207*0.000000617)))</f>
        <v>77.860136308855914</v>
      </c>
      <c r="W207" s="847">
        <f>IF(OR(Q207="NA",Q207="",V207="NA",V207=""),"NA",(1+(V207/Q207)^1.5*((1-Data!$D$75)/(1-Data!$D$18))^1.5*(Data!$D$71/Data!$D$14)^1.5*(Data!$D$73/Data!$D$72)*(1/(39.37*Data!$D$72))^0.25))</f>
        <v>3.8303093677397895</v>
      </c>
      <c r="X207" s="847">
        <f>IF(W207="NA","NA",0.15*Data!$D$71*(1-Data!$D$75)*V207*((13.12*Data!$D$73)^(0.112*LN(Data!$D$71*(1-Data!$D$75)*V207)+1.38))/(W207*Data!$D$81))</f>
        <v>25263.160501074875</v>
      </c>
      <c r="Y207" s="847">
        <f>IF(OR(W207="NA",W207="",Data!$D$91="NA",Data!$D$91=""),"NA",W207*Data!$D$91)</f>
        <v>6.8495741227413927</v>
      </c>
      <c r="Z207" s="847">
        <f>IF(OR(W207="NA",W207="",Data!$D$91="NA",Data!$D$91=""),"NA",IF(Data!$D$68&lt;X207,W207*X207/Data!$D$68*Data!$D$91,W207*Data!$D$91))</f>
        <v>865.20945213412472</v>
      </c>
      <c r="AA207" s="853"/>
      <c r="AB207" s="710" t="s">
        <v>329</v>
      </c>
      <c r="AC207" s="710" t="s">
        <v>329</v>
      </c>
      <c r="AD207" s="292" t="s">
        <v>329</v>
      </c>
      <c r="AE207" s="287" t="s">
        <v>329</v>
      </c>
      <c r="AF207" s="287" t="s">
        <v>329</v>
      </c>
      <c r="AG207" s="288" t="s">
        <v>329</v>
      </c>
      <c r="AH207" s="786">
        <v>39</v>
      </c>
      <c r="AI207" s="827">
        <v>2.2000000000000002</v>
      </c>
      <c r="AJ207" s="287" t="s">
        <v>329</v>
      </c>
      <c r="AK207" s="288" t="s">
        <v>329</v>
      </c>
      <c r="AL207" s="786"/>
      <c r="AM207" s="815">
        <v>500</v>
      </c>
      <c r="AN207" s="1037"/>
      <c r="AO207" s="1049">
        <v>1400</v>
      </c>
      <c r="AP207" s="287" t="s">
        <v>329</v>
      </c>
      <c r="AQ207" s="689">
        <v>0.14599999999999999</v>
      </c>
      <c r="AR207" s="292" t="s">
        <v>329</v>
      </c>
      <c r="AS207" s="288" t="s">
        <v>329</v>
      </c>
      <c r="AT207" s="292">
        <v>4.5999999999999999E-2</v>
      </c>
      <c r="AU207" s="930">
        <v>0.19</v>
      </c>
      <c r="AV207" s="874"/>
      <c r="AW207" s="663"/>
      <c r="AX207" s="663"/>
      <c r="AY207" s="663"/>
      <c r="AZ207" s="664"/>
    </row>
    <row r="208" spans="1:52" s="55" customFormat="1" x14ac:dyDescent="0.25">
      <c r="A208" s="307" t="s">
        <v>526</v>
      </c>
      <c r="B208" s="1020"/>
      <c r="C208" s="1019"/>
      <c r="D208" s="1025"/>
      <c r="E208" s="1025"/>
      <c r="F208" s="502"/>
      <c r="G208" s="503"/>
      <c r="H208" s="1040">
        <f t="shared" si="36"/>
        <v>39</v>
      </c>
      <c r="I208" s="1041">
        <f t="shared" si="36"/>
        <v>2.2000000000000002</v>
      </c>
      <c r="J208" s="1041">
        <f t="shared" si="36"/>
        <v>2.2000000000000002</v>
      </c>
      <c r="K208" s="1041" t="str">
        <f t="shared" si="36"/>
        <v>NA</v>
      </c>
      <c r="L208" s="1042">
        <f t="shared" si="36"/>
        <v>0.22</v>
      </c>
      <c r="M208" s="289">
        <v>290.89999999999998</v>
      </c>
      <c r="N208" s="645">
        <f>0.000000743</f>
        <v>7.4300000000000002E-7</v>
      </c>
      <c r="O208" s="645">
        <v>1.4200000000000001E-2</v>
      </c>
      <c r="P208" s="637">
        <f>10^3.8</f>
        <v>6309.5734448019384</v>
      </c>
      <c r="Q208" s="629">
        <f>IF($P208="NA","NA",(0.617*Data!$D$9*$P208/100)/(1+Data!$D$15*$P208*0.000000617))</f>
        <v>116.79020446328389</v>
      </c>
      <c r="R208" s="629">
        <f t="shared" si="37"/>
        <v>116.79020446328389</v>
      </c>
      <c r="S208" s="290">
        <v>1</v>
      </c>
      <c r="T208" s="290">
        <f t="shared" si="38"/>
        <v>1</v>
      </c>
      <c r="U208" s="847">
        <v>700</v>
      </c>
      <c r="V208" s="860">
        <f>IF(Data!$D$69="",E208,IF(P208="NA","NA",(0.617*Data!$D$69*P208/100)/(1+Data!$D$15*P208*0.000000617)))</f>
        <v>77.860136308855914</v>
      </c>
      <c r="W208" s="847">
        <f>IF(OR(Q208="NA",Q208="",V208="NA",V208=""),"NA",(1+(V208/Q208)^1.5*((1-Data!$D$75)/(1-Data!$D$18))^1.5*(Data!$D$71/Data!$D$14)^1.5*(Data!$D$73/Data!$D$72)*(1/(39.37*Data!$D$72))^0.25))</f>
        <v>3.8303093677397895</v>
      </c>
      <c r="X208" s="847">
        <f>IF(W208="NA","NA",0.15*Data!$D$71*(1-Data!$D$75)*V208*((13.12*Data!$D$73)^(0.112*LN(Data!$D$71*(1-Data!$D$75)*V208)+1.38))/(W208*Data!$D$81))</f>
        <v>25263.160501074875</v>
      </c>
      <c r="Y208" s="847">
        <f>IF(OR(W208="NA",W208="",Data!$D$91="NA",Data!$D$91=""),"NA",W208*Data!$D$91)</f>
        <v>6.8495741227413927</v>
      </c>
      <c r="Z208" s="847">
        <f>IF(OR(W208="NA",W208="",Data!$D$91="NA",Data!$D$91=""),"NA",IF(Data!$D$68&lt;X208,W208*X208/Data!$D$68*Data!$D$91,W208*Data!$D$91))</f>
        <v>865.20945213412472</v>
      </c>
      <c r="AA208" s="853"/>
      <c r="AB208" s="710" t="s">
        <v>329</v>
      </c>
      <c r="AC208" s="710" t="s">
        <v>329</v>
      </c>
      <c r="AD208" s="292" t="s">
        <v>329</v>
      </c>
      <c r="AE208" s="287" t="s">
        <v>329</v>
      </c>
      <c r="AF208" s="287" t="s">
        <v>329</v>
      </c>
      <c r="AG208" s="288" t="s">
        <v>329</v>
      </c>
      <c r="AH208" s="786">
        <v>39</v>
      </c>
      <c r="AI208" s="827">
        <v>2.2000000000000002</v>
      </c>
      <c r="AJ208" s="287" t="s">
        <v>329</v>
      </c>
      <c r="AK208" s="288" t="s">
        <v>329</v>
      </c>
      <c r="AL208" s="786"/>
      <c r="AM208" s="815">
        <v>5000</v>
      </c>
      <c r="AN208" s="1037"/>
      <c r="AO208" s="1049"/>
      <c r="AP208" s="287" t="s">
        <v>329</v>
      </c>
      <c r="AQ208" s="689" t="s">
        <v>329</v>
      </c>
      <c r="AR208" s="292" t="s">
        <v>329</v>
      </c>
      <c r="AS208" s="288" t="s">
        <v>329</v>
      </c>
      <c r="AT208" s="292">
        <v>0.22</v>
      </c>
      <c r="AU208" s="930">
        <v>0.82</v>
      </c>
      <c r="AV208" s="874"/>
      <c r="AW208" s="663"/>
      <c r="AX208" s="663"/>
      <c r="AY208" s="663"/>
      <c r="AZ208" s="664"/>
    </row>
    <row r="209" spans="1:52" s="55" customFormat="1" x14ac:dyDescent="0.25">
      <c r="A209" s="307" t="s">
        <v>527</v>
      </c>
      <c r="B209" s="1020"/>
      <c r="C209" s="1019"/>
      <c r="D209" s="1025"/>
      <c r="E209" s="1025"/>
      <c r="F209" s="502"/>
      <c r="G209" s="503"/>
      <c r="H209" s="1040">
        <f t="shared" si="36"/>
        <v>39</v>
      </c>
      <c r="I209" s="1041">
        <f t="shared" si="36"/>
        <v>2.2000000000000002</v>
      </c>
      <c r="J209" s="1041">
        <f t="shared" si="36"/>
        <v>2.2000000000000002</v>
      </c>
      <c r="K209" s="1041" t="str">
        <f t="shared" si="36"/>
        <v>NA</v>
      </c>
      <c r="L209" s="1042">
        <f t="shared" si="36"/>
        <v>11</v>
      </c>
      <c r="M209" s="289">
        <v>290.8</v>
      </c>
      <c r="N209" s="645">
        <v>2.0699999999999999E-7</v>
      </c>
      <c r="O209" s="645">
        <f>IF(M209="NA","NA",(IF(N209="NA","NA",((((28.97+M209)/(28.97*M209))^0.5)*(10^-3)*(Data!$D$50^1.75)/((2*(20.1^(1/3)))^2)))))</f>
        <v>0.1508943612664799</v>
      </c>
      <c r="P209" s="637">
        <f>10^4.14</f>
        <v>13803.842646028841</v>
      </c>
      <c r="Q209" s="629">
        <f>IF($P209="NA","NA",(0.617*Data!$D$9*$P209/100)/(1+Data!$D$15*$P209*0.000000617))</f>
        <v>255.50912737799382</v>
      </c>
      <c r="R209" s="629">
        <f t="shared" si="37"/>
        <v>255.50912737799382</v>
      </c>
      <c r="S209" s="290">
        <v>1</v>
      </c>
      <c r="T209" s="290">
        <f t="shared" si="38"/>
        <v>1</v>
      </c>
      <c r="U209" s="847">
        <v>31400</v>
      </c>
      <c r="V209" s="860">
        <f>IF(Data!$D$69="",E209,IF(P209="NA","NA",(0.617*Data!$D$69*P209/100)/(1+Data!$D$15*P209*0.000000617)))</f>
        <v>170.33941825199588</v>
      </c>
      <c r="W209" s="847">
        <f>IF(OR(Q209="NA",Q209="",V209="NA",V209=""),"NA",(1+(V209/Q209)^1.5*((1-Data!$D$75)/(1-Data!$D$18))^1.5*(Data!$D$71/Data!$D$14)^1.5*(Data!$D$73/Data!$D$72)*(1/(39.37*Data!$D$72))^0.25))</f>
        <v>3.8303093677397895</v>
      </c>
      <c r="X209" s="847">
        <f>IF(W209="NA","NA",0.15*Data!$D$71*(1-Data!$D$75)*V209*((13.12*Data!$D$73)^(0.112*LN(Data!$D$71*(1-Data!$D$75)*V209)+1.38))/(W209*Data!$D$81))</f>
        <v>79762.405617060722</v>
      </c>
      <c r="Y209" s="847">
        <f>IF(OR(W209="NA",W209="",Data!$D$91="NA",Data!$D$91=""),"NA",W209*Data!$D$91)</f>
        <v>6.8495741227413927</v>
      </c>
      <c r="Z209" s="847">
        <f>IF(OR(W209="NA",W209="",Data!$D$91="NA",Data!$D$91=""),"NA",IF(Data!$D$68&lt;X209,W209*X209/Data!$D$68*Data!$D$91,W209*Data!$D$91))</f>
        <v>2731.6925474111094</v>
      </c>
      <c r="AA209" s="853"/>
      <c r="AB209" s="710" t="s">
        <v>329</v>
      </c>
      <c r="AC209" s="710" t="s">
        <v>329</v>
      </c>
      <c r="AD209" s="292" t="s">
        <v>329</v>
      </c>
      <c r="AE209" s="287" t="s">
        <v>329</v>
      </c>
      <c r="AF209" s="287" t="s">
        <v>329</v>
      </c>
      <c r="AG209" s="288" t="s">
        <v>329</v>
      </c>
      <c r="AH209" s="786">
        <v>39</v>
      </c>
      <c r="AI209" s="827">
        <v>2.2000000000000002</v>
      </c>
      <c r="AJ209" s="287" t="s">
        <v>329</v>
      </c>
      <c r="AK209" s="288" t="s">
        <v>329</v>
      </c>
      <c r="AL209" s="786"/>
      <c r="AM209" s="815"/>
      <c r="AN209" s="1037"/>
      <c r="AO209" s="1049"/>
      <c r="AP209" s="287" t="s">
        <v>329</v>
      </c>
      <c r="AQ209" s="689" t="s">
        <v>329</v>
      </c>
      <c r="AR209" s="292" t="s">
        <v>329</v>
      </c>
      <c r="AS209" s="288" t="s">
        <v>329</v>
      </c>
      <c r="AT209" s="786">
        <v>11</v>
      </c>
      <c r="AU209" s="926">
        <v>30</v>
      </c>
      <c r="AV209" s="874"/>
      <c r="AW209" s="663"/>
      <c r="AX209" s="663"/>
      <c r="AY209" s="663"/>
      <c r="AZ209" s="664"/>
    </row>
    <row r="210" spans="1:52" s="55" customFormat="1" x14ac:dyDescent="0.25">
      <c r="A210" s="307" t="s">
        <v>528</v>
      </c>
      <c r="B210" s="1020"/>
      <c r="C210" s="1019"/>
      <c r="D210" s="1025"/>
      <c r="E210" s="1025"/>
      <c r="F210" s="502"/>
      <c r="G210" s="503"/>
      <c r="H210" s="1040">
        <f t="shared" si="36"/>
        <v>0.95</v>
      </c>
      <c r="I210" s="1041" t="str">
        <f t="shared" si="36"/>
        <v>NA</v>
      </c>
      <c r="J210" s="1041" t="str">
        <f t="shared" si="36"/>
        <v>NA</v>
      </c>
      <c r="K210" s="1041" t="str">
        <f t="shared" si="36"/>
        <v>NA</v>
      </c>
      <c r="L210" s="1042">
        <f t="shared" si="36"/>
        <v>7.1999999999999995E-2</v>
      </c>
      <c r="M210" s="289">
        <v>291</v>
      </c>
      <c r="N210" s="645">
        <v>7.8499999999999994E-6</v>
      </c>
      <c r="O210" s="645">
        <v>1.4200000000000001E-2</v>
      </c>
      <c r="P210" s="637">
        <f>10^3.7</f>
        <v>5011.8723362727324</v>
      </c>
      <c r="Q210" s="629">
        <f>IF($P210="NA","NA",(0.617*Data!$D$9*$P210/100)/(1+Data!$D$15*$P210*0.000000617))</f>
        <v>92.769756944408272</v>
      </c>
      <c r="R210" s="629">
        <f t="shared" si="37"/>
        <v>92.769756944408272</v>
      </c>
      <c r="S210" s="290">
        <v>1</v>
      </c>
      <c r="T210" s="290">
        <f t="shared" si="38"/>
        <v>1</v>
      </c>
      <c r="U210" s="847">
        <v>7800</v>
      </c>
      <c r="V210" s="860">
        <f>IF(Data!$D$69="",E210,IF(P210="NA","NA",(0.617*Data!$D$69*P210/100)/(1+Data!$D$15*P210*0.000000617)))</f>
        <v>61.846504629605512</v>
      </c>
      <c r="W210" s="847">
        <f>IF(OR(Q210="NA",Q210="",V210="NA",V210=""),"NA",(1+(V210/Q210)^1.5*((1-Data!$D$75)/(1-Data!$D$18))^1.5*(Data!$D$71/Data!$D$14)^1.5*(Data!$D$73/Data!$D$72)*(1/(39.37*Data!$D$72))^0.25))</f>
        <v>3.8303093677397895</v>
      </c>
      <c r="X210" s="847">
        <f>IF(W210="NA","NA",0.15*Data!$D$71*(1-Data!$D$75)*V210*((13.12*Data!$D$73)^(0.112*LN(Data!$D$71*(1-Data!$D$75)*V210)+1.38))/(W210*Data!$D$81))</f>
        <v>18014.890779620029</v>
      </c>
      <c r="Y210" s="847">
        <f>IF(OR(W210="NA",W210="",Data!$D$91="NA",Data!$D$91=""),"NA",W210*Data!$D$91)</f>
        <v>6.8495741227413927</v>
      </c>
      <c r="Z210" s="847">
        <f>IF(OR(W210="NA",W210="",Data!$D$91="NA",Data!$D$91=""),"NA",IF(Data!$D$68&lt;X210,W210*X210/Data!$D$68*Data!$D$91,W210*Data!$D$91))</f>
        <v>616.97164854048935</v>
      </c>
      <c r="AA210" s="853"/>
      <c r="AB210" s="717">
        <v>0.2</v>
      </c>
      <c r="AC210" s="717">
        <v>0.2</v>
      </c>
      <c r="AD210" s="784">
        <v>0.95</v>
      </c>
      <c r="AE210" s="287" t="s">
        <v>329</v>
      </c>
      <c r="AF210" s="811">
        <v>0.16</v>
      </c>
      <c r="AG210" s="288" t="s">
        <v>329</v>
      </c>
      <c r="AH210" s="784">
        <v>0.95</v>
      </c>
      <c r="AI210" s="689" t="s">
        <v>329</v>
      </c>
      <c r="AJ210" s="811">
        <v>0.16</v>
      </c>
      <c r="AK210" s="288" t="s">
        <v>329</v>
      </c>
      <c r="AL210" s="784">
        <v>0.95</v>
      </c>
      <c r="AM210" s="811">
        <v>0.08</v>
      </c>
      <c r="AN210" s="1037">
        <v>0.16</v>
      </c>
      <c r="AO210" s="1049">
        <v>1.6E-2</v>
      </c>
      <c r="AP210" s="287" t="s">
        <v>329</v>
      </c>
      <c r="AQ210" s="689" t="s">
        <v>329</v>
      </c>
      <c r="AR210" s="922">
        <v>84</v>
      </c>
      <c r="AS210" s="923">
        <v>28000</v>
      </c>
      <c r="AT210" s="292">
        <v>7.1999999999999995E-2</v>
      </c>
      <c r="AU210" s="930">
        <v>7.1999999999999995E-2</v>
      </c>
      <c r="AV210" s="874"/>
      <c r="AW210" s="663"/>
      <c r="AX210" s="663"/>
      <c r="AY210" s="663"/>
      <c r="AZ210" s="664"/>
    </row>
    <row r="211" spans="1:52" s="650" customFormat="1" x14ac:dyDescent="0.2">
      <c r="A211" s="307" t="s">
        <v>529</v>
      </c>
      <c r="B211" s="1020"/>
      <c r="C211" s="1019"/>
      <c r="D211" s="1025"/>
      <c r="E211" s="1025"/>
      <c r="F211" s="502"/>
      <c r="G211" s="503"/>
      <c r="H211" s="1040">
        <f t="shared" si="36"/>
        <v>2.4</v>
      </c>
      <c r="I211" s="1041">
        <f t="shared" si="36"/>
        <v>4.3E-3</v>
      </c>
      <c r="J211" s="1041">
        <f t="shared" si="36"/>
        <v>4.3E-3</v>
      </c>
      <c r="K211" s="1041" t="str">
        <f t="shared" si="36"/>
        <v>NA</v>
      </c>
      <c r="L211" s="1042" t="str">
        <f t="shared" si="36"/>
        <v>NA</v>
      </c>
      <c r="M211" s="289">
        <v>409.8</v>
      </c>
      <c r="N211" s="645">
        <v>8.5999999999999998E-4</v>
      </c>
      <c r="O211" s="645">
        <f>IF(M211="NA","NA",(IF(N211="NA","NA",((((28.97+M211)/(28.97*M211))^0.5)*(10^-3)*(Data!$D$50^1.75)/((2*(20.1^(1/3)))^2)))))</f>
        <v>0.14889627727390961</v>
      </c>
      <c r="P211" s="637">
        <f>10^6</f>
        <v>1000000</v>
      </c>
      <c r="Q211" s="629">
        <f>IF($P211="NA","NA",(0.617*Data!$D$9*$P211/100)/(1+Data!$D$15*$P211*0.000000617))</f>
        <v>18510</v>
      </c>
      <c r="R211" s="629">
        <f t="shared" si="37"/>
        <v>18510</v>
      </c>
      <c r="S211" s="290">
        <v>1</v>
      </c>
      <c r="T211" s="290">
        <f t="shared" si="38"/>
        <v>1</v>
      </c>
      <c r="U211" s="847">
        <v>56</v>
      </c>
      <c r="V211" s="860">
        <f>IF(Data!$D$69="",E211,IF(P211="NA","NA",(0.617*Data!$D$69*P211/100)/(1+Data!$D$15*P211*0.000000617)))</f>
        <v>12340</v>
      </c>
      <c r="W211" s="847">
        <f>IF(OR(Q211="NA",Q211="",V211="NA",V211=""),"NA",(1+(V211/Q211)^1.5*((1-Data!$D$75)/(1-Data!$D$18))^1.5*(Data!$D$71/Data!$D$14)^1.5*(Data!$D$73/Data!$D$72)*(1/(39.37*Data!$D$72))^0.25))</f>
        <v>3.8303093677397895</v>
      </c>
      <c r="X211" s="847">
        <f>IF(W211="NA","NA",0.15*Data!$D$71*(1-Data!$D$75)*V211*((13.12*Data!$D$73)^(0.112*LN(Data!$D$71*(1-Data!$D$75)*V211)+1.38))/(W211*Data!$D$81))</f>
        <v>42985376.274696693</v>
      </c>
      <c r="Y211" s="847">
        <f>IF(OR(W211="NA",W211="",Data!$D$91="NA",Data!$D$91=""),"NA",W211*Data!$D$91)</f>
        <v>6.8495741227413927</v>
      </c>
      <c r="Z211" s="847">
        <f>IF(OR(W211="NA",W211="",Data!$D$91="NA",Data!$D$91=""),"NA",IF(Data!$D$68&lt;X211,W211*X211/Data!$D$68*Data!$D$91,W211*Data!$D$91))</f>
        <v>1472157.6049373213</v>
      </c>
      <c r="AA211" s="853"/>
      <c r="AB211" s="718">
        <v>2</v>
      </c>
      <c r="AC211" s="718">
        <v>2</v>
      </c>
      <c r="AD211" s="785">
        <v>2.4</v>
      </c>
      <c r="AE211" s="694">
        <v>4.3E-3</v>
      </c>
      <c r="AF211" s="811">
        <v>0.09</v>
      </c>
      <c r="AG211" s="288">
        <v>4.0000000000000001E-3</v>
      </c>
      <c r="AH211" s="785">
        <v>2.4</v>
      </c>
      <c r="AI211" s="885">
        <v>4.3E-3</v>
      </c>
      <c r="AJ211" s="811">
        <v>0.09</v>
      </c>
      <c r="AK211" s="288">
        <v>4.0000000000000001E-3</v>
      </c>
      <c r="AL211" s="785">
        <v>2.4</v>
      </c>
      <c r="AM211" s="694">
        <v>4.3E-3</v>
      </c>
      <c r="AN211" s="1037">
        <v>0.09</v>
      </c>
      <c r="AO211" s="1049">
        <v>4.0000000000000001E-3</v>
      </c>
      <c r="AP211" s="287" t="s">
        <v>329</v>
      </c>
      <c r="AQ211" s="689" t="s">
        <v>329</v>
      </c>
      <c r="AR211" s="292" t="s">
        <v>329</v>
      </c>
      <c r="AS211" s="288" t="s">
        <v>329</v>
      </c>
      <c r="AT211" s="292" t="s">
        <v>329</v>
      </c>
      <c r="AU211" s="288" t="s">
        <v>329</v>
      </c>
      <c r="AV211" s="874"/>
      <c r="AW211" s="663"/>
      <c r="AX211" s="663"/>
      <c r="AY211" s="663"/>
      <c r="AZ211" s="664"/>
    </row>
    <row r="212" spans="1:52" s="650" customFormat="1" x14ac:dyDescent="0.2">
      <c r="A212" s="307" t="s">
        <v>530</v>
      </c>
      <c r="B212" s="1020"/>
      <c r="C212" s="1019"/>
      <c r="D212" s="1025"/>
      <c r="E212" s="1025"/>
      <c r="F212" s="502"/>
      <c r="G212" s="503"/>
      <c r="H212" s="1040">
        <f t="shared" si="36"/>
        <v>2.4</v>
      </c>
      <c r="I212" s="1041">
        <f t="shared" si="36"/>
        <v>4.3E-3</v>
      </c>
      <c r="J212" s="1041">
        <f t="shared" si="36"/>
        <v>4.3E-3</v>
      </c>
      <c r="K212" s="1041" t="str">
        <f t="shared" si="36"/>
        <v>NA</v>
      </c>
      <c r="L212" s="1042" t="str">
        <f t="shared" si="36"/>
        <v>NA</v>
      </c>
      <c r="M212" s="289">
        <v>409.78</v>
      </c>
      <c r="N212" s="645">
        <v>1.2999999999999999E-3</v>
      </c>
      <c r="O212" s="645">
        <f>IF(M212="NA","NA",(IF(N212="NA","NA",((((28.97+M212)/(28.97*M212))^0.5)*(10^-3)*(Data!$D$50^1.75)/((2*(20.1^(1/3)))^2)))))</f>
        <v>0.14889651718167243</v>
      </c>
      <c r="P212" s="637">
        <f>10^6.41</f>
        <v>2570395.782768866</v>
      </c>
      <c r="Q212" s="629">
        <f>IF($P212="NA","NA",(0.617*Data!$D$9*$P212/100)/(1+Data!$D$15*$P212*0.000000617))</f>
        <v>47578.025939051717</v>
      </c>
      <c r="R212" s="629">
        <f t="shared" si="37"/>
        <v>47578.025939051717</v>
      </c>
      <c r="S212" s="290">
        <v>1</v>
      </c>
      <c r="T212" s="290">
        <f t="shared" si="38"/>
        <v>1</v>
      </c>
      <c r="U212" s="847">
        <v>18.8</v>
      </c>
      <c r="V212" s="860">
        <f>IF(Data!$D$69="",E212,IF(P212="NA","NA",(0.617*Data!$D$69*P212/100)/(1+Data!$D$15*P212*0.000000617)))</f>
        <v>31718.683959367805</v>
      </c>
      <c r="W212" s="847">
        <f>IF(OR(Q212="NA",Q212="",V212="NA",V212=""),"NA",(1+(V212/Q212)^1.5*((1-Data!$D$75)/(1-Data!$D$18))^1.5*(Data!$D$71/Data!$D$14)^1.5*(Data!$D$73/Data!$D$72)*(1/(39.37*Data!$D$72))^0.25))</f>
        <v>3.8303093677397886</v>
      </c>
      <c r="X212" s="847">
        <f>IF(W212="NA","NA",0.15*Data!$D$71*(1-Data!$D$75)*V212*((13.12*Data!$D$73)^(0.112*LN(Data!$D$71*(1-Data!$D$75)*V212)+1.38))/(W212*Data!$D$81))</f>
        <v>171961224.3778874</v>
      </c>
      <c r="Y212" s="847">
        <f>IF(OR(W212="NA",W212="",Data!$D$91="NA",Data!$D$91=""),"NA",W212*Data!$D$91)</f>
        <v>6.8495741227413909</v>
      </c>
      <c r="Z212" s="847">
        <f>IF(OR(W212="NA",W212="",Data!$D$91="NA",Data!$D$91=""),"NA",IF(Data!$D$68&lt;X212,W212*X212/Data!$D$68*Data!$D$91,W212*Data!$D$91))</f>
        <v>5889305.7630685186</v>
      </c>
      <c r="AA212" s="853"/>
      <c r="AB212" s="718">
        <v>2</v>
      </c>
      <c r="AC212" s="718">
        <v>2</v>
      </c>
      <c r="AD212" s="785">
        <v>2.4</v>
      </c>
      <c r="AE212" s="694">
        <v>4.3E-3</v>
      </c>
      <c r="AF212" s="811">
        <v>0.09</v>
      </c>
      <c r="AG212" s="288">
        <v>4.0000000000000001E-3</v>
      </c>
      <c r="AH212" s="785">
        <v>2.4</v>
      </c>
      <c r="AI212" s="885">
        <v>4.3E-3</v>
      </c>
      <c r="AJ212" s="811">
        <v>0.09</v>
      </c>
      <c r="AK212" s="288">
        <v>4.0000000000000001E-3</v>
      </c>
      <c r="AL212" s="785">
        <v>2.4</v>
      </c>
      <c r="AM212" s="694">
        <v>4.3E-3</v>
      </c>
      <c r="AN212" s="1037">
        <v>0.09</v>
      </c>
      <c r="AO212" s="1049">
        <v>4.0000000000000001E-3</v>
      </c>
      <c r="AP212" s="287" t="s">
        <v>329</v>
      </c>
      <c r="AQ212" s="689" t="s">
        <v>329</v>
      </c>
      <c r="AR212" s="292" t="s">
        <v>329</v>
      </c>
      <c r="AS212" s="288" t="s">
        <v>329</v>
      </c>
      <c r="AT212" s="292" t="s">
        <v>329</v>
      </c>
      <c r="AU212" s="288" t="s">
        <v>329</v>
      </c>
      <c r="AV212" s="874"/>
      <c r="AW212" s="663"/>
      <c r="AX212" s="663"/>
      <c r="AY212" s="663"/>
      <c r="AZ212" s="664"/>
    </row>
    <row r="213" spans="1:52" s="55" customFormat="1" x14ac:dyDescent="0.25">
      <c r="A213" s="307" t="s">
        <v>531</v>
      </c>
      <c r="B213" s="1020"/>
      <c r="C213" s="1019"/>
      <c r="D213" s="1025"/>
      <c r="E213" s="1025"/>
      <c r="F213" s="502"/>
      <c r="G213" s="503"/>
      <c r="H213" s="1040">
        <f t="shared" si="36"/>
        <v>2.4</v>
      </c>
      <c r="I213" s="1041">
        <f t="shared" si="36"/>
        <v>4.3E-3</v>
      </c>
      <c r="J213" s="1041">
        <f t="shared" si="36"/>
        <v>4.3E-3</v>
      </c>
      <c r="K213" s="1041" t="str">
        <f t="shared" si="36"/>
        <v>NA</v>
      </c>
      <c r="L213" s="1042">
        <f t="shared" si="36"/>
        <v>49</v>
      </c>
      <c r="M213" s="289">
        <v>410</v>
      </c>
      <c r="N213" s="645">
        <v>5.0000000000000002E-5</v>
      </c>
      <c r="O213" s="645">
        <v>1.18E-2</v>
      </c>
      <c r="P213" s="637">
        <v>60300</v>
      </c>
      <c r="Q213" s="629">
        <f>IF($P213="NA","NA",(0.617*Data!$D$9*$P213/100)/(1+Data!$D$15*$P213*0.000000617))</f>
        <v>1116.153</v>
      </c>
      <c r="R213" s="629">
        <f t="shared" si="37"/>
        <v>1116.153</v>
      </c>
      <c r="S213" s="290">
        <v>1</v>
      </c>
      <c r="T213" s="290">
        <f t="shared" si="38"/>
        <v>1</v>
      </c>
      <c r="U213" s="847">
        <v>56</v>
      </c>
      <c r="V213" s="860">
        <f>IF(Data!$D$69="",E213,IF(P213="NA","NA",(0.617*Data!$D$69*P213/100)/(1+Data!$D$15*P213*0.000000617)))</f>
        <v>744.10199999999998</v>
      </c>
      <c r="W213" s="847">
        <f>IF(OR(Q213="NA",Q213="",V213="NA",V213=""),"NA",(1+(V213/Q213)^1.5*((1-Data!$D$75)/(1-Data!$D$18))^1.5*(Data!$D$71/Data!$D$14)^1.5*(Data!$D$73/Data!$D$72)*(1/(39.37*Data!$D$72))^0.25))</f>
        <v>3.8303093677397895</v>
      </c>
      <c r="X213" s="847">
        <f>IF(W213="NA","NA",0.15*Data!$D$71*(1-Data!$D$75)*V213*((13.12*Data!$D$73)^(0.112*LN(Data!$D$71*(1-Data!$D$75)*V213)+1.38))/(W213*Data!$D$81))</f>
        <v>695253.11233854678</v>
      </c>
      <c r="Y213" s="847">
        <f>IF(OR(W213="NA",W213="",Data!$D$91="NA",Data!$D$91=""),"NA",W213*Data!$D$91)</f>
        <v>6.8495741227413927</v>
      </c>
      <c r="Z213" s="847">
        <f>IF(OR(W213="NA",W213="",Data!$D$91="NA",Data!$D$91=""),"NA",IF(Data!$D$68&lt;X213,W213*X213/Data!$D$68*Data!$D$91,W213*Data!$D$91))</f>
        <v>23810.938635147624</v>
      </c>
      <c r="AA213" s="853"/>
      <c r="AB213" s="718">
        <v>2</v>
      </c>
      <c r="AC213" s="718">
        <v>2</v>
      </c>
      <c r="AD213" s="785">
        <v>2.4</v>
      </c>
      <c r="AE213" s="694">
        <v>4.3E-3</v>
      </c>
      <c r="AF213" s="811">
        <v>0.09</v>
      </c>
      <c r="AG213" s="288">
        <v>4.0000000000000001E-3</v>
      </c>
      <c r="AH213" s="785">
        <v>2.4</v>
      </c>
      <c r="AI213" s="885">
        <v>4.3E-3</v>
      </c>
      <c r="AJ213" s="811">
        <v>0.09</v>
      </c>
      <c r="AK213" s="288">
        <v>4.0000000000000001E-3</v>
      </c>
      <c r="AL213" s="785">
        <v>2.4</v>
      </c>
      <c r="AM213" s="694">
        <v>4.3E-3</v>
      </c>
      <c r="AN213" s="1037">
        <v>0.09</v>
      </c>
      <c r="AO213" s="1049">
        <v>4.0000000000000001E-3</v>
      </c>
      <c r="AP213" s="287" t="s">
        <v>329</v>
      </c>
      <c r="AQ213" s="689" t="s">
        <v>329</v>
      </c>
      <c r="AR213" s="922">
        <v>86</v>
      </c>
      <c r="AS213" s="288" t="s">
        <v>329</v>
      </c>
      <c r="AT213" s="786">
        <v>49</v>
      </c>
      <c r="AU213" s="926">
        <v>49</v>
      </c>
      <c r="AV213" s="874"/>
      <c r="AW213" s="663"/>
      <c r="AX213" s="663"/>
      <c r="AY213" s="663"/>
      <c r="AZ213" s="664"/>
    </row>
    <row r="214" spans="1:52" s="55" customFormat="1" x14ac:dyDescent="0.25">
      <c r="A214" s="307" t="s">
        <v>532</v>
      </c>
      <c r="B214" s="1020"/>
      <c r="C214" s="1019"/>
      <c r="D214" s="1025"/>
      <c r="E214" s="1025"/>
      <c r="F214" s="502"/>
      <c r="G214" s="503"/>
      <c r="H214" s="1040" t="str">
        <f t="shared" si="36"/>
        <v>NA</v>
      </c>
      <c r="I214" s="1041" t="str">
        <f t="shared" si="36"/>
        <v>NA</v>
      </c>
      <c r="J214" s="1041" t="str">
        <f t="shared" si="36"/>
        <v>NA</v>
      </c>
      <c r="K214" s="1041" t="str">
        <f t="shared" si="36"/>
        <v>NA</v>
      </c>
      <c r="L214" s="1042" t="str">
        <f t="shared" si="36"/>
        <v>NA</v>
      </c>
      <c r="M214" s="289">
        <v>269.19</v>
      </c>
      <c r="N214" s="645" t="s">
        <v>329</v>
      </c>
      <c r="O214" s="645" t="str">
        <f>IF(M214="NA","NA",(IF(N214="NA","NA",((((28.97+M214)/(28.97*M214))^0.5)*(10^-3)*(Data!$D$50^1.75)/((2*(20.1^(1/3)))^2)))))</f>
        <v>NA</v>
      </c>
      <c r="P214" s="637">
        <f>10^5.59</f>
        <v>389045.14499428123</v>
      </c>
      <c r="Q214" s="629">
        <f>IF($P214="NA","NA",(0.617*Data!$D$9*$P214/100)/(1+Data!$D$15*$P214*0.000000617))</f>
        <v>7201.2256338441457</v>
      </c>
      <c r="R214" s="629">
        <f t="shared" si="37"/>
        <v>7201.2256338441457</v>
      </c>
      <c r="S214" s="290">
        <v>1</v>
      </c>
      <c r="T214" s="290">
        <f t="shared" si="38"/>
        <v>1</v>
      </c>
      <c r="U214" s="847" t="s">
        <v>329</v>
      </c>
      <c r="V214" s="860">
        <f>IF(Data!$D$69="",E214,IF(P214="NA","NA",(0.617*Data!$D$69*P214/100)/(1+Data!$D$15*P214*0.000000617)))</f>
        <v>4800.8170892294302</v>
      </c>
      <c r="W214" s="847">
        <f>IF(OR(Q214="NA",Q214="",V214="NA",V214=""),"NA",(1+(V214/Q214)^1.5*((1-Data!$D$75)/(1-Data!$D$18))^1.5*(Data!$D$71/Data!$D$14)^1.5*(Data!$D$73/Data!$D$72)*(1/(39.37*Data!$D$72))^0.25))</f>
        <v>3.8303093677397895</v>
      </c>
      <c r="X214" s="847">
        <f>IF(W214="NA","NA",0.15*Data!$D$71*(1-Data!$D$75)*V214*((13.12*Data!$D$73)^(0.112*LN(Data!$D$71*(1-Data!$D$75)*V214)+1.38))/(W214*Data!$D$81))</f>
        <v>10745111.755059524</v>
      </c>
      <c r="Y214" s="847">
        <f>IF(OR(W214="NA",W214="",Data!$D$91="NA",Data!$D$91=""),"NA",W214*Data!$D$91)</f>
        <v>6.8495741227413927</v>
      </c>
      <c r="Z214" s="847">
        <f>IF(OR(W214="NA",W214="",Data!$D$91="NA",Data!$D$91=""),"NA",IF(Data!$D$68&lt;X214,W214*X214/Data!$D$68*Data!$D$91,W214*Data!$D$91))</f>
        <v>367997.19711710035</v>
      </c>
      <c r="AA214" s="853"/>
      <c r="AB214" s="710" t="s">
        <v>329</v>
      </c>
      <c r="AC214" s="710" t="s">
        <v>329</v>
      </c>
      <c r="AD214" s="292" t="s">
        <v>329</v>
      </c>
      <c r="AE214" s="287" t="s">
        <v>329</v>
      </c>
      <c r="AF214" s="287" t="s">
        <v>329</v>
      </c>
      <c r="AG214" s="288" t="s">
        <v>329</v>
      </c>
      <c r="AH214" s="292" t="s">
        <v>329</v>
      </c>
      <c r="AI214" s="689" t="s">
        <v>329</v>
      </c>
      <c r="AJ214" s="287" t="s">
        <v>329</v>
      </c>
      <c r="AK214" s="288" t="s">
        <v>329</v>
      </c>
      <c r="AL214" s="786"/>
      <c r="AM214" s="815"/>
      <c r="AN214" s="1037"/>
      <c r="AO214" s="1049"/>
      <c r="AP214" s="287" t="s">
        <v>329</v>
      </c>
      <c r="AQ214" s="689" t="s">
        <v>329</v>
      </c>
      <c r="AR214" s="292" t="s">
        <v>329</v>
      </c>
      <c r="AS214" s="288" t="s">
        <v>329</v>
      </c>
      <c r="AT214" s="292" t="s">
        <v>329</v>
      </c>
      <c r="AU214" s="288" t="s">
        <v>329</v>
      </c>
      <c r="AV214" s="874"/>
      <c r="AW214" s="663"/>
      <c r="AX214" s="663"/>
      <c r="AY214" s="663"/>
      <c r="AZ214" s="664"/>
    </row>
    <row r="215" spans="1:52" s="650" customFormat="1" x14ac:dyDescent="0.2">
      <c r="A215" s="307" t="s">
        <v>533</v>
      </c>
      <c r="B215" s="1020"/>
      <c r="C215" s="1019"/>
      <c r="D215" s="1025"/>
      <c r="E215" s="1025"/>
      <c r="F215" s="502"/>
      <c r="G215" s="503"/>
      <c r="H215" s="1040" t="str">
        <f t="shared" ref="H215:L224" si="39">IF(INDEX($AB$11:$AZ$310,,H$7)=0,"NA",INDEX($AB$11:$AZ$310,,H$7))</f>
        <v>NA</v>
      </c>
      <c r="I215" s="1041" t="str">
        <f t="shared" si="39"/>
        <v>NA</v>
      </c>
      <c r="J215" s="1041" t="str">
        <f t="shared" si="39"/>
        <v>NA</v>
      </c>
      <c r="K215" s="1041" t="str">
        <f t="shared" si="39"/>
        <v>NA</v>
      </c>
      <c r="L215" s="1042">
        <f t="shared" si="39"/>
        <v>15</v>
      </c>
      <c r="M215" s="289">
        <v>265.91000000000003</v>
      </c>
      <c r="N215" s="645">
        <f>0.000000265</f>
        <v>2.65E-7</v>
      </c>
      <c r="O215" s="645">
        <f>IF(M215="NA","NA",(IF(N215="NA","NA",((((28.97+M215)/(28.97*M215))^0.5)*(10^-3)*(Data!$D$50^1.75)/((2*(20.1^(1/3)))^2)))))</f>
        <v>0.1515328102784298</v>
      </c>
      <c r="P215" s="637">
        <f>10^2.64</f>
        <v>436.51583224016622</v>
      </c>
      <c r="Q215" s="629">
        <f>IF($P215="NA","NA",(0.617*Data!$D$9*$P215/100)/(1+Data!$D$15*$P215*0.000000617))</f>
        <v>8.0799080547654754</v>
      </c>
      <c r="R215" s="629">
        <f t="shared" si="37"/>
        <v>8.0799080547654754</v>
      </c>
      <c r="S215" s="290">
        <v>1</v>
      </c>
      <c r="T215" s="290">
        <f t="shared" si="38"/>
        <v>1</v>
      </c>
      <c r="U215" s="847">
        <v>600</v>
      </c>
      <c r="V215" s="860">
        <f>IF(Data!$D$69="",E215,IF(P215="NA","NA",(0.617*Data!$D$69*P215/100)/(1+Data!$D$15*P215*0.000000617)))</f>
        <v>5.3866053698436511</v>
      </c>
      <c r="W215" s="847">
        <f>IF(OR(Q215="NA",Q215="",V215="NA",V215=""),"NA",(1+(V215/Q215)^1.5*((1-Data!$D$75)/(1-Data!$D$18))^1.5*(Data!$D$71/Data!$D$14)^1.5*(Data!$D$73/Data!$D$72)*(1/(39.37*Data!$D$72))^0.25))</f>
        <v>3.8303093677397904</v>
      </c>
      <c r="X215" s="847">
        <f>IF(W215="NA","NA",0.15*Data!$D$71*(1-Data!$D$75)*V215*((13.12*Data!$D$73)^(0.112*LN(Data!$D$71*(1-Data!$D$75)*V215)+1.38))/(W215*Data!$D$81))</f>
        <v>499.98563492368191</v>
      </c>
      <c r="Y215" s="847">
        <f>IF(OR(W215="NA",W215="",Data!$D$91="NA",Data!$D$91=""),"NA",W215*Data!$D$91)</f>
        <v>6.8495741227413944</v>
      </c>
      <c r="Z215" s="847">
        <f>IF(OR(W215="NA",W215="",Data!$D$91="NA",Data!$D$91=""),"NA",IF(Data!$D$68&lt;X215,W215*X215/Data!$D$68*Data!$D$91,W215*Data!$D$91))</f>
        <v>17.12344333357839</v>
      </c>
      <c r="AA215" s="853"/>
      <c r="AB215" s="710" t="s">
        <v>329</v>
      </c>
      <c r="AC215" s="710" t="s">
        <v>329</v>
      </c>
      <c r="AD215" s="292" t="s">
        <v>329</v>
      </c>
      <c r="AE215" s="287" t="s">
        <v>329</v>
      </c>
      <c r="AF215" s="287" t="s">
        <v>329</v>
      </c>
      <c r="AG215" s="288" t="s">
        <v>329</v>
      </c>
      <c r="AH215" s="292" t="s">
        <v>329</v>
      </c>
      <c r="AI215" s="689" t="s">
        <v>329</v>
      </c>
      <c r="AJ215" s="287" t="s">
        <v>329</v>
      </c>
      <c r="AK215" s="288" t="s">
        <v>329</v>
      </c>
      <c r="AL215" s="786"/>
      <c r="AM215" s="815"/>
      <c r="AN215" s="1037"/>
      <c r="AO215" s="1049"/>
      <c r="AP215" s="287" t="s">
        <v>329</v>
      </c>
      <c r="AQ215" s="689" t="s">
        <v>329</v>
      </c>
      <c r="AR215" s="292" t="s">
        <v>329</v>
      </c>
      <c r="AS215" s="288" t="s">
        <v>329</v>
      </c>
      <c r="AT215" s="922">
        <v>15</v>
      </c>
      <c r="AU215" s="932">
        <v>61</v>
      </c>
      <c r="AV215" s="874"/>
      <c r="AW215" s="663"/>
      <c r="AX215" s="663"/>
      <c r="AY215" s="663"/>
      <c r="AZ215" s="664"/>
    </row>
    <row r="216" spans="1:52" s="650" customFormat="1" x14ac:dyDescent="0.2">
      <c r="A216" s="307" t="s">
        <v>534</v>
      </c>
      <c r="B216" s="1020"/>
      <c r="C216" s="1019"/>
      <c r="D216" s="1025"/>
      <c r="E216" s="1025"/>
      <c r="F216" s="502"/>
      <c r="G216" s="503"/>
      <c r="H216" s="1040" t="str">
        <f t="shared" si="39"/>
        <v>NA</v>
      </c>
      <c r="I216" s="1041" t="str">
        <f t="shared" si="39"/>
        <v>NA</v>
      </c>
      <c r="J216" s="1041" t="str">
        <f t="shared" si="39"/>
        <v>NA</v>
      </c>
      <c r="K216" s="1041" t="str">
        <f t="shared" si="39"/>
        <v>NA</v>
      </c>
      <c r="L216" s="1042" t="str">
        <f t="shared" si="39"/>
        <v>NA</v>
      </c>
      <c r="M216" s="289">
        <v>320.05</v>
      </c>
      <c r="N216" s="645" t="s">
        <v>329</v>
      </c>
      <c r="O216" s="645" t="str">
        <f>IF(M216="NA","NA",(IF(N216="NA","NA",((((28.97+M216)/(28.97*M216))^0.5)*(10^-3)*(Data!$D$50^1.75)/((2*(20.1^(1/3)))^2)))))</f>
        <v>NA</v>
      </c>
      <c r="P216" s="637">
        <f>10^5.87</f>
        <v>741310.24130091805</v>
      </c>
      <c r="Q216" s="629">
        <f>IF($P216="NA","NA",(0.617*Data!$D$9*$P216/100)/(1+Data!$D$15*$P216*0.000000617))</f>
        <v>13721.652566479994</v>
      </c>
      <c r="R216" s="629">
        <f t="shared" si="37"/>
        <v>13721.652566479994</v>
      </c>
      <c r="S216" s="290">
        <v>1</v>
      </c>
      <c r="T216" s="290">
        <f t="shared" si="38"/>
        <v>1</v>
      </c>
      <c r="U216" s="847" t="s">
        <v>329</v>
      </c>
      <c r="V216" s="860">
        <f>IF(Data!$D$69="",E216,IF(P216="NA","NA",(0.617*Data!$D$69*P216/100)/(1+Data!$D$15*P216*0.000000617)))</f>
        <v>9147.7683776533286</v>
      </c>
      <c r="W216" s="847">
        <f>IF(OR(Q216="NA",Q216="",V216="NA",V216=""),"NA",(1+(V216/Q216)^1.5*((1-Data!$D$75)/(1-Data!$D$18))^1.5*(Data!$D$71/Data!$D$14)^1.5*(Data!$D$73/Data!$D$72)*(1/(39.37*Data!$D$72))^0.25))</f>
        <v>3.8303093677397895</v>
      </c>
      <c r="X216" s="847">
        <f>IF(W216="NA","NA",0.15*Data!$D$71*(1-Data!$D$75)*V216*((13.12*Data!$D$73)^(0.112*LN(Data!$D$71*(1-Data!$D$75)*V216)+1.38))/(W216*Data!$D$81))</f>
        <v>27695414.578492716</v>
      </c>
      <c r="Y216" s="847">
        <f>IF(OR(W216="NA",W216="",Data!$D$91="NA",Data!$D$91=""),"NA",W216*Data!$D$91)</f>
        <v>6.8495741227413927</v>
      </c>
      <c r="Z216" s="847">
        <f>IF(OR(W216="NA",W216="",Data!$D$91="NA",Data!$D$91=""),"NA",IF(Data!$D$68&lt;X216,W216*X216/Data!$D$68*Data!$D$91,W216*Data!$D$91))</f>
        <v>948508.97507719207</v>
      </c>
      <c r="AA216" s="853"/>
      <c r="AB216" s="710" t="s">
        <v>329</v>
      </c>
      <c r="AC216" s="710" t="s">
        <v>329</v>
      </c>
      <c r="AD216" s="292" t="s">
        <v>329</v>
      </c>
      <c r="AE216" s="287" t="s">
        <v>329</v>
      </c>
      <c r="AF216" s="287" t="s">
        <v>329</v>
      </c>
      <c r="AG216" s="288" t="s">
        <v>329</v>
      </c>
      <c r="AH216" s="292" t="s">
        <v>329</v>
      </c>
      <c r="AI216" s="689" t="s">
        <v>329</v>
      </c>
      <c r="AJ216" s="287" t="s">
        <v>329</v>
      </c>
      <c r="AK216" s="288" t="s">
        <v>329</v>
      </c>
      <c r="AL216" s="786"/>
      <c r="AM216" s="815"/>
      <c r="AN216" s="1037"/>
      <c r="AO216" s="1049"/>
      <c r="AP216" s="287" t="s">
        <v>329</v>
      </c>
      <c r="AQ216" s="689" t="s">
        <v>329</v>
      </c>
      <c r="AR216" s="292" t="s">
        <v>329</v>
      </c>
      <c r="AS216" s="288" t="s">
        <v>329</v>
      </c>
      <c r="AT216" s="292" t="s">
        <v>329</v>
      </c>
      <c r="AU216" s="288" t="s">
        <v>329</v>
      </c>
      <c r="AV216" s="874"/>
      <c r="AW216" s="663"/>
      <c r="AX216" s="663"/>
      <c r="AY216" s="663"/>
      <c r="AZ216" s="664"/>
    </row>
    <row r="217" spans="1:52" s="55" customFormat="1" x14ac:dyDescent="0.25">
      <c r="A217" s="306" t="s">
        <v>535</v>
      </c>
      <c r="B217" s="1020"/>
      <c r="C217" s="1019"/>
      <c r="D217" s="1025"/>
      <c r="E217" s="1025"/>
      <c r="F217" s="502"/>
      <c r="G217" s="503"/>
      <c r="H217" s="1040">
        <f t="shared" si="39"/>
        <v>0.19</v>
      </c>
      <c r="I217" s="1041">
        <f t="shared" si="39"/>
        <v>1.0999999999999999E-2</v>
      </c>
      <c r="J217" s="1041">
        <f t="shared" si="39"/>
        <v>1.0999999999999999E-2</v>
      </c>
      <c r="K217" s="1041" t="str">
        <f t="shared" si="39"/>
        <v>NA</v>
      </c>
      <c r="L217" s="1042">
        <f t="shared" si="39"/>
        <v>6.8</v>
      </c>
      <c r="M217" s="289">
        <v>320</v>
      </c>
      <c r="N217" s="645">
        <f>0.0000216</f>
        <v>2.16E-5</v>
      </c>
      <c r="O217" s="645">
        <v>4.9399999999999999E-2</v>
      </c>
      <c r="P217" s="637">
        <f>10^6</f>
        <v>1000000</v>
      </c>
      <c r="Q217" s="629">
        <f>IF($P217="NA","NA",(0.617*Data!$D$9*$P217/100)/(1+Data!$D$15*$P217*0.000000617))</f>
        <v>18510</v>
      </c>
      <c r="R217" s="629">
        <f t="shared" si="37"/>
        <v>18510</v>
      </c>
      <c r="S217" s="290">
        <v>1</v>
      </c>
      <c r="T217" s="290">
        <f t="shared" si="38"/>
        <v>1</v>
      </c>
      <c r="U217" s="847">
        <v>160</v>
      </c>
      <c r="V217" s="860">
        <f>IF(Data!$D$69="",E217,IF(P217="NA","NA",(0.617*Data!$D$69*P217/100)/(1+Data!$D$15*P217*0.000000617)))</f>
        <v>12340</v>
      </c>
      <c r="W217" s="847">
        <f>IF(OR(Q217="NA",Q217="",V217="NA",V217=""),"NA",(1+(V217/Q217)^1.5*((1-Data!$D$75)/(1-Data!$D$18))^1.5*(Data!$D$71/Data!$D$14)^1.5*(Data!$D$73/Data!$D$72)*(1/(39.37*Data!$D$72))^0.25))</f>
        <v>3.8303093677397895</v>
      </c>
      <c r="X217" s="847">
        <f>IF(W217="NA","NA",0.15*Data!$D$71*(1-Data!$D$75)*V217*((13.12*Data!$D$73)^(0.112*LN(Data!$D$71*(1-Data!$D$75)*V217)+1.38))/(W217*Data!$D$81))</f>
        <v>42985376.274696693</v>
      </c>
      <c r="Y217" s="847">
        <f>IF(OR(W217="NA",W217="",Data!$D$91="NA",Data!$D$91=""),"NA",W217*Data!$D$91)</f>
        <v>6.8495741227413927</v>
      </c>
      <c r="Z217" s="847">
        <f>IF(OR(W217="NA",W217="",Data!$D$91="NA",Data!$D$91=""),"NA",IF(Data!$D$68&lt;X217,W217*X217/Data!$D$68*Data!$D$91,W217*Data!$D$91))</f>
        <v>1472157.6049373213</v>
      </c>
      <c r="AA217" s="853"/>
      <c r="AB217" s="710" t="s">
        <v>329</v>
      </c>
      <c r="AC217" s="710" t="s">
        <v>329</v>
      </c>
      <c r="AD217" s="292" t="s">
        <v>329</v>
      </c>
      <c r="AE217" s="287" t="s">
        <v>329</v>
      </c>
      <c r="AF217" s="287" t="s">
        <v>329</v>
      </c>
      <c r="AG217" s="288" t="s">
        <v>329</v>
      </c>
      <c r="AH217" s="784">
        <v>0.19</v>
      </c>
      <c r="AI217" s="689">
        <v>1.0999999999999999E-2</v>
      </c>
      <c r="AJ217" s="287" t="s">
        <v>329</v>
      </c>
      <c r="AK217" s="288" t="s">
        <v>329</v>
      </c>
      <c r="AL217" s="292">
        <v>6.4000000000000001E-2</v>
      </c>
      <c r="AM217" s="694">
        <v>6.4000000000000003E-3</v>
      </c>
      <c r="AN217" s="1037">
        <v>0.25</v>
      </c>
      <c r="AO217" s="1049">
        <v>2.5000000000000001E-2</v>
      </c>
      <c r="AP217" s="287" t="s">
        <v>329</v>
      </c>
      <c r="AQ217" s="689" t="s">
        <v>329</v>
      </c>
      <c r="AR217" s="922">
        <v>120</v>
      </c>
      <c r="AS217" s="288" t="s">
        <v>329</v>
      </c>
      <c r="AT217" s="785">
        <v>6.8</v>
      </c>
      <c r="AU217" s="926">
        <v>30</v>
      </c>
      <c r="AV217" s="874"/>
      <c r="AW217" s="663"/>
      <c r="AX217" s="663"/>
      <c r="AY217" s="663"/>
      <c r="AZ217" s="664"/>
    </row>
    <row r="218" spans="1:52" s="55" customFormat="1" x14ac:dyDescent="0.25">
      <c r="A218" s="307" t="s">
        <v>536</v>
      </c>
      <c r="B218" s="1020"/>
      <c r="C218" s="1019"/>
      <c r="D218" s="1025"/>
      <c r="E218" s="1025"/>
      <c r="F218" s="502"/>
      <c r="G218" s="503"/>
      <c r="H218" s="1040" t="str">
        <f t="shared" si="39"/>
        <v>NA</v>
      </c>
      <c r="I218" s="1041" t="str">
        <f t="shared" si="39"/>
        <v>NA</v>
      </c>
      <c r="J218" s="1041" t="str">
        <f t="shared" si="39"/>
        <v>NA</v>
      </c>
      <c r="K218" s="1041" t="str">
        <f t="shared" si="39"/>
        <v>NA</v>
      </c>
      <c r="L218" s="1042" t="str">
        <f t="shared" si="39"/>
        <v>NA</v>
      </c>
      <c r="M218" s="289">
        <v>318</v>
      </c>
      <c r="N218" s="645">
        <v>6.7999999999999999E-5</v>
      </c>
      <c r="O218" s="645">
        <f>IF(M218="NA","NA",(IF(N218="NA","NA",((((28.97+M218)/(28.97*M218))^0.5)*(10^-3)*(Data!$D$50^1.75)/((2*(20.1^(1/3)))^2)))))</f>
        <v>0.1503085747330378</v>
      </c>
      <c r="P218" s="637">
        <v>10000000</v>
      </c>
      <c r="Q218" s="629">
        <f>IF($P218="NA","NA",(0.617*Data!$D$9*$P218/100)/(1+Data!$D$15*$P218*0.000000617))</f>
        <v>185100</v>
      </c>
      <c r="R218" s="629">
        <f t="shared" si="37"/>
        <v>185100</v>
      </c>
      <c r="S218" s="290">
        <v>1</v>
      </c>
      <c r="T218" s="290">
        <f t="shared" si="38"/>
        <v>1</v>
      </c>
      <c r="U218" s="847">
        <v>40</v>
      </c>
      <c r="V218" s="860">
        <f>IF(Data!$D$69="",E218,IF(P218="NA","NA",(0.617*Data!$D$69*P218/100)/(1+Data!$D$15*P218*0.000000617)))</f>
        <v>123400</v>
      </c>
      <c r="W218" s="847">
        <f>IF(OR(Q218="NA",Q218="",V218="NA",V218=""),"NA",(1+(V218/Q218)^1.5*((1-Data!$D$75)/(1-Data!$D$18))^1.5*(Data!$D$71/Data!$D$14)^1.5*(Data!$D$73/Data!$D$72)*(1/(39.37*Data!$D$72))^0.25))</f>
        <v>3.8303093677397895</v>
      </c>
      <c r="X218" s="847">
        <f>IF(W218="NA","NA",0.15*Data!$D$71*(1-Data!$D$75)*V218*((13.12*Data!$D$73)^(0.112*LN(Data!$D$71*(1-Data!$D$75)*V218)+1.38))/(W218*Data!$D$81))</f>
        <v>1264390460.8386722</v>
      </c>
      <c r="Y218" s="847">
        <f>IF(OR(W218="NA",W218="",Data!$D$91="NA",Data!$D$91=""),"NA",W218*Data!$D$91)</f>
        <v>6.8495741227413927</v>
      </c>
      <c r="Z218" s="847">
        <f>IF(OR(W218="NA",W218="",Data!$D$91="NA",Data!$D$91=""),"NA",IF(Data!$D$68&lt;X218,W218*X218/Data!$D$68*Data!$D$91,W218*Data!$D$91))</f>
        <v>43302680.908008166</v>
      </c>
      <c r="AA218" s="853"/>
      <c r="AB218" s="710" t="s">
        <v>329</v>
      </c>
      <c r="AC218" s="710" t="s">
        <v>329</v>
      </c>
      <c r="AD218" s="292" t="s">
        <v>329</v>
      </c>
      <c r="AE218" s="287" t="s">
        <v>329</v>
      </c>
      <c r="AF218" s="287" t="s">
        <v>329</v>
      </c>
      <c r="AG218" s="288" t="s">
        <v>329</v>
      </c>
      <c r="AH218" s="292" t="s">
        <v>329</v>
      </c>
      <c r="AI218" s="689" t="s">
        <v>329</v>
      </c>
      <c r="AJ218" s="287" t="s">
        <v>329</v>
      </c>
      <c r="AK218" s="288" t="s">
        <v>329</v>
      </c>
      <c r="AL218" s="786"/>
      <c r="AM218" s="815"/>
      <c r="AN218" s="1037"/>
      <c r="AO218" s="1049"/>
      <c r="AP218" s="287" t="s">
        <v>329</v>
      </c>
      <c r="AQ218" s="689" t="s">
        <v>329</v>
      </c>
      <c r="AR218" s="292" t="s">
        <v>329</v>
      </c>
      <c r="AS218" s="288" t="s">
        <v>329</v>
      </c>
      <c r="AT218" s="292" t="s">
        <v>329</v>
      </c>
      <c r="AU218" s="288" t="s">
        <v>329</v>
      </c>
      <c r="AV218" s="874"/>
      <c r="AW218" s="663"/>
      <c r="AX218" s="663"/>
      <c r="AY218" s="663"/>
      <c r="AZ218" s="664"/>
    </row>
    <row r="219" spans="1:52" s="55" customFormat="1" x14ac:dyDescent="0.25">
      <c r="A219" s="307" t="s">
        <v>537</v>
      </c>
      <c r="B219" s="1020"/>
      <c r="C219" s="1019"/>
      <c r="D219" s="1025"/>
      <c r="E219" s="1025"/>
      <c r="F219" s="502"/>
      <c r="G219" s="503"/>
      <c r="H219" s="1040" t="str">
        <f t="shared" si="39"/>
        <v>NA</v>
      </c>
      <c r="I219" s="1041" t="str">
        <f t="shared" si="39"/>
        <v>NA</v>
      </c>
      <c r="J219" s="1041" t="str">
        <f t="shared" si="39"/>
        <v>NA</v>
      </c>
      <c r="K219" s="1041" t="str">
        <f t="shared" si="39"/>
        <v>NA</v>
      </c>
      <c r="L219" s="1042">
        <f t="shared" si="39"/>
        <v>41</v>
      </c>
      <c r="M219" s="289">
        <v>318</v>
      </c>
      <c r="N219" s="645">
        <v>1.2199999999999999E-3</v>
      </c>
      <c r="O219" s="645">
        <v>1.44E-2</v>
      </c>
      <c r="P219" s="637">
        <f>10^5.44</f>
        <v>275422.87033381703</v>
      </c>
      <c r="Q219" s="629">
        <f>IF($P219="NA","NA",(0.617*Data!$D$9*$P219/100)/(1+Data!$D$15*$P219*0.000000617))</f>
        <v>5098.0773298789536</v>
      </c>
      <c r="R219" s="629">
        <f t="shared" si="37"/>
        <v>5098.0773298789536</v>
      </c>
      <c r="S219" s="290">
        <v>1</v>
      </c>
      <c r="T219" s="290">
        <f t="shared" si="38"/>
        <v>1</v>
      </c>
      <c r="U219" s="847">
        <v>40</v>
      </c>
      <c r="V219" s="860">
        <f>IF(Data!$D$69="",E219,IF(P219="NA","NA",(0.617*Data!$D$69*P219/100)/(1+Data!$D$15*P219*0.000000617)))</f>
        <v>3398.7182199193021</v>
      </c>
      <c r="W219" s="847">
        <f>IF(OR(Q219="NA",Q219="",V219="NA",V219=""),"NA",(1+(V219/Q219)^1.5*((1-Data!$D$75)/(1-Data!$D$18))^1.5*(Data!$D$71/Data!$D$14)^1.5*(Data!$D$73/Data!$D$72)*(1/(39.37*Data!$D$72))^0.25))</f>
        <v>3.8303093677397895</v>
      </c>
      <c r="X219" s="847">
        <f>IF(W219="NA","NA",0.15*Data!$D$71*(1-Data!$D$75)*V219*((13.12*Data!$D$73)^(0.112*LN(Data!$D$71*(1-Data!$D$75)*V219)+1.38))/(W219*Data!$D$81))</f>
        <v>6470336.4648111165</v>
      </c>
      <c r="Y219" s="847">
        <f>IF(OR(W219="NA",W219="",Data!$D$91="NA",Data!$D$91=""),"NA",W219*Data!$D$91)</f>
        <v>6.8495741227413927</v>
      </c>
      <c r="Z219" s="847">
        <f>IF(OR(W219="NA",W219="",Data!$D$91="NA",Data!$D$91=""),"NA",IF(Data!$D$68&lt;X219,W219*X219/Data!$D$68*Data!$D$91,W219*Data!$D$91))</f>
        <v>221595.24607400125</v>
      </c>
      <c r="AA219" s="853"/>
      <c r="AB219" s="710" t="s">
        <v>329</v>
      </c>
      <c r="AC219" s="710" t="s">
        <v>329</v>
      </c>
      <c r="AD219" s="292" t="s">
        <v>329</v>
      </c>
      <c r="AE219" s="287" t="s">
        <v>329</v>
      </c>
      <c r="AF219" s="287" t="s">
        <v>329</v>
      </c>
      <c r="AG219" s="288" t="s">
        <v>329</v>
      </c>
      <c r="AH219" s="292" t="s">
        <v>329</v>
      </c>
      <c r="AI219" s="689" t="s">
        <v>329</v>
      </c>
      <c r="AJ219" s="287" t="s">
        <v>329</v>
      </c>
      <c r="AK219" s="288" t="s">
        <v>329</v>
      </c>
      <c r="AL219" s="786">
        <v>105</v>
      </c>
      <c r="AM219" s="813">
        <v>10.5</v>
      </c>
      <c r="AN219" s="1037">
        <v>1.4</v>
      </c>
      <c r="AO219" s="1049">
        <v>0.14000000000000001</v>
      </c>
      <c r="AP219" s="287" t="s">
        <v>329</v>
      </c>
      <c r="AQ219" s="884">
        <v>3.26</v>
      </c>
      <c r="AR219" s="922">
        <v>120</v>
      </c>
      <c r="AS219" s="288" t="s">
        <v>329</v>
      </c>
      <c r="AT219" s="786">
        <v>41</v>
      </c>
      <c r="AU219" s="926">
        <v>170</v>
      </c>
      <c r="AV219" s="874"/>
      <c r="AW219" s="663"/>
      <c r="AX219" s="663"/>
      <c r="AY219" s="663"/>
      <c r="AZ219" s="664"/>
    </row>
    <row r="220" spans="1:52" s="650" customFormat="1" x14ac:dyDescent="0.2">
      <c r="A220" s="307" t="s">
        <v>538</v>
      </c>
      <c r="B220" s="1020"/>
      <c r="C220" s="1019"/>
      <c r="D220" s="1025"/>
      <c r="E220" s="1025"/>
      <c r="F220" s="502"/>
      <c r="G220" s="503"/>
      <c r="H220" s="1040" t="str">
        <f t="shared" si="39"/>
        <v>NA</v>
      </c>
      <c r="I220" s="1041" t="str">
        <f t="shared" si="39"/>
        <v>NA</v>
      </c>
      <c r="J220" s="1041" t="str">
        <f t="shared" si="39"/>
        <v>NA</v>
      </c>
      <c r="K220" s="1041" t="str">
        <f t="shared" si="39"/>
        <v>NA</v>
      </c>
      <c r="L220" s="1042" t="str">
        <f t="shared" si="39"/>
        <v>NA</v>
      </c>
      <c r="M220" s="289">
        <v>354.5</v>
      </c>
      <c r="N220" s="645" t="s">
        <v>329</v>
      </c>
      <c r="O220" s="645" t="str">
        <f>IF(M220="NA","NA",(IF(N220="NA","NA",((((28.97+M220)/(28.97*M220))^0.5)*(10^-3)*(Data!$D$50^1.75)/((2*(20.1^(1/3)))^2)))))</f>
        <v>NA</v>
      </c>
      <c r="P220" s="637">
        <f>10^6.79</f>
        <v>6165950.0186148267</v>
      </c>
      <c r="Q220" s="629">
        <f>IF($P220="NA","NA",(0.617*Data!$D$9*$P220/100)/(1+Data!$D$15*$P220*0.000000617))</f>
        <v>114131.73484456044</v>
      </c>
      <c r="R220" s="629">
        <f t="shared" si="37"/>
        <v>114131.73484456044</v>
      </c>
      <c r="S220" s="290">
        <v>1</v>
      </c>
      <c r="T220" s="290">
        <f>IF(S220= "NA", "NA", S220)</f>
        <v>1</v>
      </c>
      <c r="U220" s="847" t="s">
        <v>329</v>
      </c>
      <c r="V220" s="860">
        <f>IF(Data!$D$69="",E220,IF(P220="NA","NA",(0.617*Data!$D$69*P220/100)/(1+Data!$D$15*P220*0.000000617)))</f>
        <v>76087.823229706963</v>
      </c>
      <c r="W220" s="847">
        <f>IF(OR(Q220="NA",Q220="",V220="NA",V220=""),"NA",(1+(V220/Q220)^1.5*((1-Data!$D$75)/(1-Data!$D$18))^1.5*(Data!$D$71/Data!$D$14)^1.5*(Data!$D$73/Data!$D$72)*(1/(39.37*Data!$D$72))^0.25))</f>
        <v>3.8303093677397895</v>
      </c>
      <c r="X220" s="847">
        <f>IF(W220="NA","NA",0.15*Data!$D$71*(1-Data!$D$75)*V220*((13.12*Data!$D$73)^(0.112*LN(Data!$D$71*(1-Data!$D$75)*V220)+1.38))/(W220*Data!$D$81))</f>
        <v>621560647.28942931</v>
      </c>
      <c r="Y220" s="847">
        <f>IF(OR(W220="NA",W220="",Data!$D$91="NA",Data!$D$91=""),"NA",W220*Data!$D$91)</f>
        <v>6.8495741227413927</v>
      </c>
      <c r="Z220" s="847">
        <f>IF(OR(W220="NA",W220="",Data!$D$91="NA",Data!$D$91=""),"NA",IF(Data!$D$68&lt;X220,W220*X220/Data!$D$68*Data!$D$91,W220*Data!$D$91))</f>
        <v>21287128.626940329</v>
      </c>
      <c r="AA220" s="853"/>
      <c r="AB220" s="710" t="s">
        <v>329</v>
      </c>
      <c r="AC220" s="710" t="s">
        <v>329</v>
      </c>
      <c r="AD220" s="292" t="s">
        <v>329</v>
      </c>
      <c r="AE220" s="287" t="s">
        <v>329</v>
      </c>
      <c r="AF220" s="287" t="s">
        <v>329</v>
      </c>
      <c r="AG220" s="288" t="s">
        <v>329</v>
      </c>
      <c r="AH220" s="292" t="s">
        <v>329</v>
      </c>
      <c r="AI220" s="689" t="s">
        <v>329</v>
      </c>
      <c r="AJ220" s="287" t="s">
        <v>329</v>
      </c>
      <c r="AK220" s="288" t="s">
        <v>329</v>
      </c>
      <c r="AL220" s="786"/>
      <c r="AM220" s="815"/>
      <c r="AN220" s="1037"/>
      <c r="AO220" s="1049"/>
      <c r="AP220" s="287" t="s">
        <v>329</v>
      </c>
      <c r="AQ220" s="689" t="s">
        <v>329</v>
      </c>
      <c r="AR220" s="292" t="s">
        <v>329</v>
      </c>
      <c r="AS220" s="288" t="s">
        <v>329</v>
      </c>
      <c r="AT220" s="292" t="s">
        <v>329</v>
      </c>
      <c r="AU220" s="288" t="s">
        <v>329</v>
      </c>
      <c r="AV220" s="874"/>
      <c r="AW220" s="663"/>
      <c r="AX220" s="663"/>
      <c r="AY220" s="663"/>
      <c r="AZ220" s="664"/>
    </row>
    <row r="221" spans="1:52" s="55" customFormat="1" x14ac:dyDescent="0.25">
      <c r="A221" s="307" t="s">
        <v>539</v>
      </c>
      <c r="B221" s="1020"/>
      <c r="C221" s="1019"/>
      <c r="D221" s="1025"/>
      <c r="E221" s="1025"/>
      <c r="F221" s="502"/>
      <c r="G221" s="503"/>
      <c r="H221" s="1040">
        <f t="shared" si="39"/>
        <v>1.1000000000000001</v>
      </c>
      <c r="I221" s="1041">
        <f t="shared" si="39"/>
        <v>1E-3</v>
      </c>
      <c r="J221" s="1041">
        <f t="shared" si="39"/>
        <v>1E-3</v>
      </c>
      <c r="K221" s="1041">
        <f t="shared" si="39"/>
        <v>5.0000000000000001E-4</v>
      </c>
      <c r="L221" s="1042">
        <f t="shared" si="39"/>
        <v>53</v>
      </c>
      <c r="M221" s="289">
        <v>354.5</v>
      </c>
      <c r="N221" s="645">
        <v>5.13E-4</v>
      </c>
      <c r="O221" s="645">
        <v>1.37E-2</v>
      </c>
      <c r="P221" s="637">
        <v>1550000</v>
      </c>
      <c r="Q221" s="629">
        <f>IF($P221="NA","NA",(0.617*Data!$D$9*$P221/100)/(1+Data!$D$15*$P221*0.000000617))</f>
        <v>28690.5</v>
      </c>
      <c r="R221" s="629">
        <f t="shared" si="37"/>
        <v>28690.5</v>
      </c>
      <c r="S221" s="290">
        <v>1</v>
      </c>
      <c r="T221" s="290">
        <f t="shared" si="38"/>
        <v>1</v>
      </c>
      <c r="U221" s="847">
        <v>25</v>
      </c>
      <c r="V221" s="860">
        <f>IF(Data!$D$69="",E221,IF(P221="NA","NA",(0.617*Data!$D$69*P221/100)/(1+Data!$D$15*P221*0.000000617)))</f>
        <v>19127</v>
      </c>
      <c r="W221" s="847">
        <f>IF(OR(Q221="NA",Q221="",V221="NA",V221=""),"NA",(1+(V221/Q221)^1.5*((1-Data!$D$75)/(1-Data!$D$18))^1.5*(Data!$D$71/Data!$D$14)^1.5*(Data!$D$73/Data!$D$72)*(1/(39.37*Data!$D$72))^0.25))</f>
        <v>3.8303093677397895</v>
      </c>
      <c r="X221" s="847">
        <f>IF(W221="NA","NA",0.15*Data!$D$71*(1-Data!$D$75)*V221*((13.12*Data!$D$73)^(0.112*LN(Data!$D$71*(1-Data!$D$75)*V221)+1.38))/(W221*Data!$D$81))</f>
        <v>81815265.176409259</v>
      </c>
      <c r="Y221" s="847">
        <f>IF(OR(W221="NA",W221="",Data!$D$91="NA",Data!$D$91=""),"NA",W221*Data!$D$91)</f>
        <v>6.8495741227413927</v>
      </c>
      <c r="Z221" s="847">
        <f>IF(OR(W221="NA",W221="",Data!$D$91="NA",Data!$D$91=""),"NA",IF(Data!$D$68&lt;X221,W221*X221/Data!$D$68*Data!$D$91,W221*Data!$D$91))</f>
        <v>2801998.6159877894</v>
      </c>
      <c r="AA221" s="853"/>
      <c r="AB221" s="710" t="s">
        <v>329</v>
      </c>
      <c r="AC221" s="710" t="s">
        <v>329</v>
      </c>
      <c r="AD221" s="785">
        <v>1.1000000000000001</v>
      </c>
      <c r="AE221" s="287">
        <v>1E-3</v>
      </c>
      <c r="AF221" s="811">
        <v>0.13</v>
      </c>
      <c r="AG221" s="288">
        <v>1E-3</v>
      </c>
      <c r="AH221" s="785">
        <v>1.1000000000000001</v>
      </c>
      <c r="AI221" s="689">
        <v>1E-3</v>
      </c>
      <c r="AJ221" s="811">
        <v>0.13</v>
      </c>
      <c r="AK221" s="288">
        <v>1E-3</v>
      </c>
      <c r="AL221" s="785">
        <v>1.1000000000000001</v>
      </c>
      <c r="AM221" s="287">
        <v>1E-3</v>
      </c>
      <c r="AN221" s="1037">
        <v>0.13</v>
      </c>
      <c r="AO221" s="1049">
        <v>1E-3</v>
      </c>
      <c r="AP221" s="694">
        <v>5.0000000000000001E-4</v>
      </c>
      <c r="AQ221" s="689" t="s">
        <v>329</v>
      </c>
      <c r="AR221" s="922">
        <v>120</v>
      </c>
      <c r="AS221" s="288" t="s">
        <v>329</v>
      </c>
      <c r="AT221" s="786">
        <v>53</v>
      </c>
      <c r="AU221" s="926">
        <v>230</v>
      </c>
      <c r="AV221" s="874"/>
      <c r="AW221" s="663"/>
      <c r="AX221" s="663"/>
      <c r="AY221" s="663"/>
      <c r="AZ221" s="664"/>
    </row>
    <row r="222" spans="1:52" s="55" customFormat="1" x14ac:dyDescent="0.25">
      <c r="A222" s="307" t="s">
        <v>540</v>
      </c>
      <c r="B222" s="1020"/>
      <c r="C222" s="1019"/>
      <c r="D222" s="1025"/>
      <c r="E222" s="1025"/>
      <c r="F222" s="502"/>
      <c r="G222" s="503"/>
      <c r="H222" s="1040" t="str">
        <f t="shared" si="39"/>
        <v>NA</v>
      </c>
      <c r="I222" s="1041" t="str">
        <f t="shared" si="39"/>
        <v>NA</v>
      </c>
      <c r="J222" s="1041" t="str">
        <f t="shared" si="39"/>
        <v>NA</v>
      </c>
      <c r="K222" s="1041" t="str">
        <f t="shared" si="39"/>
        <v>NA</v>
      </c>
      <c r="L222" s="1042">
        <f t="shared" si="39"/>
        <v>650</v>
      </c>
      <c r="M222" s="289">
        <v>332</v>
      </c>
      <c r="N222" s="645">
        <f>0.00000218</f>
        <v>2.1799999999999999E-6</v>
      </c>
      <c r="O222" s="645">
        <f>IF(M222="NA","NA",(IF(N222="NA","NA",((((28.97+M222)/(28.97*M222))^0.5)*(10^-3)*(Data!$D$50^1.75)/((2*(20.1^(1/3)))^2)))))</f>
        <v>0.15004373505063695</v>
      </c>
      <c r="P222" s="637">
        <f>10^4.4</f>
        <v>25118.86431509586</v>
      </c>
      <c r="Q222" s="629">
        <f>IF($P222="NA","NA",(0.617*Data!$D$9*$P222/100)/(1+Data!$D$15*$P222*0.000000617))</f>
        <v>464.9501784724244</v>
      </c>
      <c r="R222" s="629">
        <f t="shared" si="37"/>
        <v>464.9501784724244</v>
      </c>
      <c r="S222" s="290">
        <v>1</v>
      </c>
      <c r="T222" s="290">
        <f t="shared" si="38"/>
        <v>1</v>
      </c>
      <c r="U222" s="847">
        <v>500</v>
      </c>
      <c r="V222" s="860">
        <f>IF(Data!$D$69="",E222,IF(P222="NA","NA",(0.617*Data!$D$69*P222/100)/(1+Data!$D$15*P222*0.000000617)))</f>
        <v>309.96678564828289</v>
      </c>
      <c r="W222" s="847">
        <f>IF(OR(Q222="NA",Q222="",V222="NA",V222=""),"NA",(1+(V222/Q222)^1.5*((1-Data!$D$75)/(1-Data!$D$18))^1.5*(Data!$D$71/Data!$D$14)^1.5*(Data!$D$73/Data!$D$72)*(1/(39.37*Data!$D$72))^0.25))</f>
        <v>3.8303093677397895</v>
      </c>
      <c r="X222" s="847">
        <f>IF(W222="NA","NA",0.15*Data!$D$71*(1-Data!$D$75)*V222*((13.12*Data!$D$73)^(0.112*LN(Data!$D$71*(1-Data!$D$75)*V222)+1.38))/(W222*Data!$D$81))</f>
        <v>192142.73488819416</v>
      </c>
      <c r="Y222" s="847">
        <f>IF(OR(W222="NA",W222="",Data!$D$91="NA",Data!$D$91=""),"NA",W222*Data!$D$91)</f>
        <v>6.8495741227413927</v>
      </c>
      <c r="Z222" s="847">
        <f>IF(OR(W222="NA",W222="",Data!$D$91="NA",Data!$D$91=""),"NA",IF(Data!$D$68&lt;X222,W222*X222/Data!$D$68*Data!$D$91,W222*Data!$D$91))</f>
        <v>6580.4795238146735</v>
      </c>
      <c r="AA222" s="853"/>
      <c r="AB222" s="710" t="s">
        <v>329</v>
      </c>
      <c r="AC222" s="710" t="s">
        <v>329</v>
      </c>
      <c r="AD222" s="292" t="s">
        <v>329</v>
      </c>
      <c r="AE222" s="287" t="s">
        <v>329</v>
      </c>
      <c r="AF222" s="287" t="s">
        <v>329</v>
      </c>
      <c r="AG222" s="288" t="s">
        <v>329</v>
      </c>
      <c r="AH222" s="292" t="s">
        <v>329</v>
      </c>
      <c r="AI222" s="689" t="s">
        <v>329</v>
      </c>
      <c r="AJ222" s="287" t="s">
        <v>329</v>
      </c>
      <c r="AK222" s="288" t="s">
        <v>329</v>
      </c>
      <c r="AL222" s="786"/>
      <c r="AM222" s="815"/>
      <c r="AN222" s="1037"/>
      <c r="AO222" s="1049"/>
      <c r="AP222" s="287" t="s">
        <v>329</v>
      </c>
      <c r="AQ222" s="689" t="s">
        <v>329</v>
      </c>
      <c r="AR222" s="292" t="s">
        <v>329</v>
      </c>
      <c r="AS222" s="288" t="s">
        <v>329</v>
      </c>
      <c r="AT222" s="786">
        <v>650</v>
      </c>
      <c r="AU222" s="926">
        <v>650</v>
      </c>
      <c r="AV222" s="874"/>
      <c r="AW222" s="663"/>
      <c r="AX222" s="663"/>
      <c r="AY222" s="663"/>
      <c r="AZ222" s="664"/>
    </row>
    <row r="223" spans="1:52" s="55" customFormat="1" x14ac:dyDescent="0.25">
      <c r="A223" s="307" t="s">
        <v>541</v>
      </c>
      <c r="B223" s="1020"/>
      <c r="C223" s="1019"/>
      <c r="D223" s="1025"/>
      <c r="E223" s="1025"/>
      <c r="F223" s="502"/>
      <c r="G223" s="503"/>
      <c r="H223" s="1040" t="str">
        <f t="shared" si="39"/>
        <v>NA</v>
      </c>
      <c r="I223" s="1041" t="str">
        <f t="shared" si="39"/>
        <v>NA</v>
      </c>
      <c r="J223" s="1041" t="str">
        <f t="shared" si="39"/>
        <v>NA</v>
      </c>
      <c r="K223" s="1041" t="str">
        <f t="shared" si="39"/>
        <v>NA</v>
      </c>
      <c r="L223" s="1042">
        <f t="shared" si="39"/>
        <v>1.8</v>
      </c>
      <c r="M223" s="289">
        <v>221.04</v>
      </c>
      <c r="N223" s="645">
        <v>1.02E-8</v>
      </c>
      <c r="O223" s="645">
        <v>2.3099999999999999E-2</v>
      </c>
      <c r="P223" s="637">
        <v>645.6</v>
      </c>
      <c r="Q223" s="629">
        <f>IF($P223="NA","NA",(0.617*Data!$D$9*$P223/100)/(1+Data!$D$15*$P223*0.000000617))</f>
        <v>11.950056</v>
      </c>
      <c r="R223" s="629">
        <f t="shared" si="37"/>
        <v>11.950056</v>
      </c>
      <c r="S223" s="290">
        <v>1</v>
      </c>
      <c r="T223" s="290">
        <f>IF(S223= "NA", "NA", S223)</f>
        <v>1</v>
      </c>
      <c r="U223" s="847">
        <v>677</v>
      </c>
      <c r="V223" s="860">
        <f>IF(Data!$D$69="",E223,IF(P223="NA","NA",(0.617*Data!$D$69*P223/100)/(1+Data!$D$15*P223*0.000000617)))</f>
        <v>7.966704</v>
      </c>
      <c r="W223" s="847">
        <f>IF(OR(Q223="NA",Q223="",V223="NA",V223=""),"NA",(1+(V223/Q223)^1.5*((1-Data!$D$75)/(1-Data!$D$18))^1.5*(Data!$D$71/Data!$D$14)^1.5*(Data!$D$73/Data!$D$72)*(1/(39.37*Data!$D$72))^0.25))</f>
        <v>3.8303093677397895</v>
      </c>
      <c r="X223" s="847">
        <f>IF(W223="NA","NA",0.15*Data!$D$71*(1-Data!$D$75)*V223*((13.12*Data!$D$73)^(0.112*LN(Data!$D$71*(1-Data!$D$75)*V223)+1.38))/(W223*Data!$D$81))</f>
        <v>888.29913149430274</v>
      </c>
      <c r="Y223" s="847">
        <f>IF(OR(W223="NA",W223="",Data!$D$91="NA",Data!$D$91=""),"NA",W223*Data!$D$91)</f>
        <v>6.8495741227413927</v>
      </c>
      <c r="Z223" s="847">
        <f>IF(OR(W223="NA",W223="",Data!$D$91="NA",Data!$D$91=""),"NA",IF(Data!$D$68&lt;X223,W223*X223/Data!$D$68*Data!$D$91,W223*Data!$D$91))</f>
        <v>30.422353721685152</v>
      </c>
      <c r="AA223" s="853"/>
      <c r="AB223" s="718">
        <v>70</v>
      </c>
      <c r="AC223" s="718">
        <v>70</v>
      </c>
      <c r="AD223" s="292" t="s">
        <v>329</v>
      </c>
      <c r="AE223" s="287" t="s">
        <v>329</v>
      </c>
      <c r="AF223" s="287" t="s">
        <v>329</v>
      </c>
      <c r="AG223" s="288" t="s">
        <v>329</v>
      </c>
      <c r="AH223" s="292" t="s">
        <v>329</v>
      </c>
      <c r="AI223" s="689" t="s">
        <v>329</v>
      </c>
      <c r="AJ223" s="287" t="s">
        <v>329</v>
      </c>
      <c r="AK223" s="288" t="s">
        <v>329</v>
      </c>
      <c r="AL223" s="786"/>
      <c r="AM223" s="815"/>
      <c r="AN223" s="1037"/>
      <c r="AO223" s="1049"/>
      <c r="AP223" s="287" t="s">
        <v>329</v>
      </c>
      <c r="AQ223" s="689" t="s">
        <v>329</v>
      </c>
      <c r="AR223" s="292" t="s">
        <v>329</v>
      </c>
      <c r="AS223" s="288" t="s">
        <v>329</v>
      </c>
      <c r="AT223" s="785">
        <v>1.8</v>
      </c>
      <c r="AU223" s="927">
        <v>1.8</v>
      </c>
      <c r="AV223" s="874"/>
      <c r="AW223" s="663"/>
      <c r="AX223" s="663"/>
      <c r="AY223" s="663"/>
      <c r="AZ223" s="664"/>
    </row>
    <row r="224" spans="1:52" s="650" customFormat="1" x14ac:dyDescent="0.2">
      <c r="A224" s="307" t="s">
        <v>542</v>
      </c>
      <c r="B224" s="1020"/>
      <c r="C224" s="1019"/>
      <c r="D224" s="1025"/>
      <c r="E224" s="1025"/>
      <c r="F224" s="502"/>
      <c r="G224" s="503"/>
      <c r="H224" s="1040" t="str">
        <f t="shared" si="39"/>
        <v>NA</v>
      </c>
      <c r="I224" s="1041" t="str">
        <f t="shared" si="39"/>
        <v>NA</v>
      </c>
      <c r="J224" s="1041" t="str">
        <f t="shared" si="39"/>
        <v>NA</v>
      </c>
      <c r="K224" s="1041" t="str">
        <f t="shared" si="39"/>
        <v>NA</v>
      </c>
      <c r="L224" s="1042" t="str">
        <f t="shared" si="39"/>
        <v>NA</v>
      </c>
      <c r="M224" s="289">
        <v>370.49</v>
      </c>
      <c r="N224" s="645">
        <f>0.000000000559</f>
        <v>5.5900000000000003E-10</v>
      </c>
      <c r="O224" s="645">
        <f>IF(M224="NA","NA",(IF(N224="NA","NA",((((28.97+M224)/(28.97*M224))^0.5)*(10^-3)*(Data!$D$50^1.75)/((2*(20.1^(1/3)))^2)))))</f>
        <v>0.14941691225708698</v>
      </c>
      <c r="P224" s="637">
        <f>10^5.02</f>
        <v>104712.85480508996</v>
      </c>
      <c r="Q224" s="629">
        <f>IF($P224="NA","NA",(0.617*Data!$D$9*$P224/100)/(1+Data!$D$15*$P224*0.000000617))</f>
        <v>1938.234942442215</v>
      </c>
      <c r="R224" s="629">
        <f t="shared" si="37"/>
        <v>1938.234942442215</v>
      </c>
      <c r="S224" s="290">
        <v>1</v>
      </c>
      <c r="T224" s="290">
        <f t="shared" si="38"/>
        <v>1</v>
      </c>
      <c r="U224" s="847">
        <v>1200</v>
      </c>
      <c r="V224" s="860">
        <f>IF(Data!$D$69="",E224,IF(P224="NA","NA",(0.617*Data!$D$69*P224/100)/(1+Data!$D$15*P224*0.000000617)))</f>
        <v>1292.1566282948102</v>
      </c>
      <c r="W224" s="847">
        <f>IF(OR(Q224="NA",Q224="",V224="NA",V224=""),"NA",(1+(V224/Q224)^1.5*((1-Data!$D$75)/(1-Data!$D$18))^1.5*(Data!$D$71/Data!$D$14)^1.5*(Data!$D$73/Data!$D$72)*(1/(39.37*Data!$D$72))^0.25))</f>
        <v>3.8303093677397904</v>
      </c>
      <c r="X224" s="847">
        <f>IF(W224="NA","NA",0.15*Data!$D$71*(1-Data!$D$75)*V224*((13.12*Data!$D$73)^(0.112*LN(Data!$D$71*(1-Data!$D$75)*V224)+1.38))/(W224*Data!$D$81))</f>
        <v>1563620.8912324084</v>
      </c>
      <c r="Y224" s="847">
        <f>IF(OR(W224="NA",W224="",Data!$D$91="NA",Data!$D$91=""),"NA",W224*Data!$D$91)</f>
        <v>6.8495741227413944</v>
      </c>
      <c r="Z224" s="847">
        <f>IF(OR(W224="NA",W224="",Data!$D$91="NA",Data!$D$91=""),"NA",IF(Data!$D$68&lt;X224,W224*X224/Data!$D$68*Data!$D$91,W224*Data!$D$91))</f>
        <v>53550.685971816703</v>
      </c>
      <c r="AA224" s="853"/>
      <c r="AB224" s="710" t="s">
        <v>329</v>
      </c>
      <c r="AC224" s="710" t="s">
        <v>329</v>
      </c>
      <c r="AD224" s="292" t="s">
        <v>329</v>
      </c>
      <c r="AE224" s="287" t="s">
        <v>329</v>
      </c>
      <c r="AF224" s="287" t="s">
        <v>329</v>
      </c>
      <c r="AG224" s="288" t="s">
        <v>329</v>
      </c>
      <c r="AH224" s="292" t="s">
        <v>329</v>
      </c>
      <c r="AI224" s="689" t="s">
        <v>329</v>
      </c>
      <c r="AJ224" s="287" t="s">
        <v>329</v>
      </c>
      <c r="AK224" s="288" t="s">
        <v>329</v>
      </c>
      <c r="AL224" s="786"/>
      <c r="AM224" s="815"/>
      <c r="AN224" s="1037"/>
      <c r="AO224" s="1049"/>
      <c r="AP224" s="287" t="s">
        <v>329</v>
      </c>
      <c r="AQ224" s="689" t="s">
        <v>329</v>
      </c>
      <c r="AR224" s="292" t="s">
        <v>329</v>
      </c>
      <c r="AS224" s="288" t="s">
        <v>329</v>
      </c>
      <c r="AT224" s="292" t="s">
        <v>329</v>
      </c>
      <c r="AU224" s="288" t="s">
        <v>329</v>
      </c>
      <c r="AV224" s="874"/>
      <c r="AW224" s="663"/>
      <c r="AX224" s="663"/>
      <c r="AY224" s="663"/>
      <c r="AZ224" s="664"/>
    </row>
    <row r="225" spans="1:52" s="55" customFormat="1" x14ac:dyDescent="0.25">
      <c r="A225" s="307" t="s">
        <v>543</v>
      </c>
      <c r="B225" s="1020"/>
      <c r="C225" s="1019"/>
      <c r="D225" s="1025"/>
      <c r="E225" s="1025"/>
      <c r="F225" s="502"/>
      <c r="G225" s="503"/>
      <c r="H225" s="1040">
        <f t="shared" ref="H225:L234" si="40">IF(INDEX($AB$11:$AZ$310,,H$7)=0,"NA",INDEX($AB$11:$AZ$310,,H$7))</f>
        <v>0.24</v>
      </c>
      <c r="I225" s="1041">
        <f t="shared" si="40"/>
        <v>5.6000000000000001E-2</v>
      </c>
      <c r="J225" s="1041">
        <f t="shared" si="40"/>
        <v>5.6000000000000001E-2</v>
      </c>
      <c r="K225" s="1041">
        <f t="shared" si="40"/>
        <v>5.0000000000000002E-5</v>
      </c>
      <c r="L225" s="1042">
        <f t="shared" si="40"/>
        <v>0.11</v>
      </c>
      <c r="M225" s="289">
        <v>381</v>
      </c>
      <c r="N225" s="645">
        <v>1.5099999999999999E-5</v>
      </c>
      <c r="O225" s="645">
        <v>1.2500000000000001E-2</v>
      </c>
      <c r="P225" s="637">
        <f>10^5.37</f>
        <v>234422.88153199267</v>
      </c>
      <c r="Q225" s="629">
        <f>IF($P225="NA","NA",(0.617*Data!$D$9*$P225/100)/(1+Data!$D$15*$P225*0.000000617))</f>
        <v>4339.1675371571837</v>
      </c>
      <c r="R225" s="629">
        <f t="shared" si="37"/>
        <v>4339.1675371571837</v>
      </c>
      <c r="S225" s="290">
        <v>1</v>
      </c>
      <c r="T225" s="290">
        <f t="shared" si="38"/>
        <v>1</v>
      </c>
      <c r="U225" s="847">
        <v>195</v>
      </c>
      <c r="V225" s="860">
        <f>IF(Data!$D$69="",E225,IF(P225="NA","NA",(0.617*Data!$D$69*P225/100)/(1+Data!$D$15*P225*0.000000617)))</f>
        <v>2892.7783581047897</v>
      </c>
      <c r="W225" s="847">
        <f>IF(OR(Q225="NA",Q225="",V225="NA",V225=""),"NA",(1+(V225/Q225)^1.5*((1-Data!$D$75)/(1-Data!$D$18))^1.5*(Data!$D$71/Data!$D$14)^1.5*(Data!$D$73/Data!$D$72)*(1/(39.37*Data!$D$72))^0.25))</f>
        <v>3.8303093677397904</v>
      </c>
      <c r="X225" s="847">
        <f>IF(W225="NA","NA",0.15*Data!$D$71*(1-Data!$D$75)*V225*((13.12*Data!$D$73)^(0.112*LN(Data!$D$71*(1-Data!$D$75)*V225)+1.38))/(W225*Data!$D$81))</f>
        <v>5106550.5057400689</v>
      </c>
      <c r="Y225" s="847">
        <f>IF(OR(W225="NA",W225="",Data!$D$91="NA",Data!$D$91=""),"NA",W225*Data!$D$91)</f>
        <v>6.8495741227413944</v>
      </c>
      <c r="Z225" s="847">
        <f>IF(OR(W225="NA",W225="",Data!$D$91="NA",Data!$D$91=""),"NA",IF(Data!$D$68&lt;X225,W225*X225/Data!$D$68*Data!$D$91,W225*Data!$D$91))</f>
        <v>174888.48100294577</v>
      </c>
      <c r="AA225" s="853"/>
      <c r="AB225" s="710" t="s">
        <v>329</v>
      </c>
      <c r="AC225" s="710" t="s">
        <v>329</v>
      </c>
      <c r="AD225" s="784">
        <v>0.24</v>
      </c>
      <c r="AE225" s="287">
        <v>5.6000000000000001E-2</v>
      </c>
      <c r="AF225" s="811">
        <v>0.71</v>
      </c>
      <c r="AG225" s="695">
        <v>1.9E-3</v>
      </c>
      <c r="AH225" s="784">
        <v>0.24</v>
      </c>
      <c r="AI225" s="689">
        <v>5.6000000000000001E-2</v>
      </c>
      <c r="AJ225" s="811">
        <v>0.71</v>
      </c>
      <c r="AK225" s="695">
        <v>1.9E-3</v>
      </c>
      <c r="AL225" s="784">
        <v>0.24</v>
      </c>
      <c r="AM225" s="694">
        <v>5.6000000000000001E-2</v>
      </c>
      <c r="AN225" s="1037">
        <v>0.71</v>
      </c>
      <c r="AO225" s="1049">
        <v>1.9E-3</v>
      </c>
      <c r="AP225" s="825">
        <v>5.0000000000000002E-5</v>
      </c>
      <c r="AQ225" s="689" t="s">
        <v>329</v>
      </c>
      <c r="AR225" s="922">
        <v>2.7</v>
      </c>
      <c r="AS225" s="288" t="s">
        <v>329</v>
      </c>
      <c r="AT225" s="784">
        <v>0.11</v>
      </c>
      <c r="AU225" s="933">
        <v>0.44</v>
      </c>
      <c r="AV225" s="874"/>
      <c r="AW225" s="663"/>
      <c r="AX225" s="663"/>
      <c r="AY225" s="663"/>
      <c r="AZ225" s="664"/>
    </row>
    <row r="226" spans="1:52" s="55" customFormat="1" x14ac:dyDescent="0.25">
      <c r="A226" s="307" t="s">
        <v>544</v>
      </c>
      <c r="B226" s="1020"/>
      <c r="C226" s="1019"/>
      <c r="D226" s="1025"/>
      <c r="E226" s="1025"/>
      <c r="F226" s="502"/>
      <c r="G226" s="503"/>
      <c r="H226" s="1040">
        <f t="shared" si="40"/>
        <v>0.22</v>
      </c>
      <c r="I226" s="1041">
        <f t="shared" si="40"/>
        <v>5.6000000000000001E-2</v>
      </c>
      <c r="J226" s="1041">
        <f t="shared" si="40"/>
        <v>5.6000000000000001E-2</v>
      </c>
      <c r="K226" s="1041">
        <f t="shared" si="40"/>
        <v>5.0000000000000002E-5</v>
      </c>
      <c r="L226" s="1042">
        <f t="shared" si="40"/>
        <v>110</v>
      </c>
      <c r="M226" s="289">
        <v>406.9</v>
      </c>
      <c r="N226" s="645">
        <v>1.0000000000000001E-5</v>
      </c>
      <c r="O226" s="645">
        <v>1.15E-2</v>
      </c>
      <c r="P226" s="637">
        <f>10^3.62</f>
        <v>4168.6938347033583</v>
      </c>
      <c r="Q226" s="629">
        <f>IF($P226="NA","NA",(0.617*Data!$D$9*$P226/100)/(1+Data!$D$15*$P226*0.000000617))</f>
        <v>77.162522880359163</v>
      </c>
      <c r="R226" s="629">
        <f t="shared" si="37"/>
        <v>77.162522880359163</v>
      </c>
      <c r="S226" s="290">
        <v>1</v>
      </c>
      <c r="T226" s="290">
        <f t="shared" si="38"/>
        <v>1</v>
      </c>
      <c r="U226" s="847">
        <v>530</v>
      </c>
      <c r="V226" s="860">
        <f>IF(Data!$D$69="",E226,IF(P226="NA","NA",(0.617*Data!$D$69*P226/100)/(1+Data!$D$15*P226*0.000000617)))</f>
        <v>51.441681920239446</v>
      </c>
      <c r="W226" s="847">
        <f>IF(OR(Q226="NA",Q226="",V226="NA",V226=""),"NA",(1+(V226/Q226)^1.5*((1-Data!$D$75)/(1-Data!$D$18))^1.5*(Data!$D$71/Data!$D$14)^1.5*(Data!$D$73/Data!$D$72)*(1/(39.37*Data!$D$72))^0.25))</f>
        <v>3.8303093677397904</v>
      </c>
      <c r="X226" s="847">
        <f>IF(W226="NA","NA",0.15*Data!$D$71*(1-Data!$D$75)*V226*((13.12*Data!$D$73)^(0.112*LN(Data!$D$71*(1-Data!$D$75)*V226)+1.38))/(W226*Data!$D$81))</f>
        <v>13745.064912888214</v>
      </c>
      <c r="Y226" s="847">
        <f>IF(OR(W226="NA",W226="",Data!$D$91="NA",Data!$D$91=""),"NA",W226*Data!$D$91)</f>
        <v>6.8495741227413944</v>
      </c>
      <c r="Z226" s="847">
        <f>IF(OR(W226="NA",W226="",Data!$D$91="NA",Data!$D$91=""),"NA",IF(Data!$D$68&lt;X226,W226*X226/Data!$D$68*Data!$D$91,W226*Data!$D$91))</f>
        <v>470.73920471359901</v>
      </c>
      <c r="AA226" s="853"/>
      <c r="AB226" s="710" t="s">
        <v>329</v>
      </c>
      <c r="AC226" s="710" t="s">
        <v>329</v>
      </c>
      <c r="AD226" s="784">
        <v>0.22</v>
      </c>
      <c r="AE226" s="287">
        <v>5.6000000000000001E-2</v>
      </c>
      <c r="AF226" s="287">
        <v>3.4000000000000002E-2</v>
      </c>
      <c r="AG226" s="695">
        <v>8.6999999999999994E-3</v>
      </c>
      <c r="AH226" s="784">
        <v>0.22</v>
      </c>
      <c r="AI226" s="689">
        <v>5.6000000000000001E-2</v>
      </c>
      <c r="AJ226" s="287">
        <v>3.4000000000000002E-2</v>
      </c>
      <c r="AK226" s="695">
        <v>8.6999999999999994E-3</v>
      </c>
      <c r="AL226" s="784">
        <v>0.22</v>
      </c>
      <c r="AM226" s="287">
        <v>5.6000000000000001E-2</v>
      </c>
      <c r="AN226" s="1037">
        <v>3.4000000000000002E-2</v>
      </c>
      <c r="AO226" s="1049">
        <v>8.6999999999999994E-3</v>
      </c>
      <c r="AP226" s="825">
        <v>5.0000000000000002E-5</v>
      </c>
      <c r="AQ226" s="689" t="s">
        <v>329</v>
      </c>
      <c r="AR226" s="292" t="s">
        <v>329</v>
      </c>
      <c r="AS226" s="288" t="s">
        <v>329</v>
      </c>
      <c r="AT226" s="786">
        <v>110</v>
      </c>
      <c r="AU226" s="926">
        <v>260</v>
      </c>
      <c r="AV226" s="874"/>
      <c r="AW226" s="663"/>
      <c r="AX226" s="663"/>
      <c r="AY226" s="663"/>
      <c r="AZ226" s="664"/>
    </row>
    <row r="227" spans="1:52" s="55" customFormat="1" x14ac:dyDescent="0.25">
      <c r="A227" s="307" t="s">
        <v>545</v>
      </c>
      <c r="B227" s="1020"/>
      <c r="C227" s="1019"/>
      <c r="D227" s="1025"/>
      <c r="E227" s="1025"/>
      <c r="F227" s="502"/>
      <c r="G227" s="503"/>
      <c r="H227" s="1040">
        <f t="shared" si="40"/>
        <v>0.22</v>
      </c>
      <c r="I227" s="1041">
        <f t="shared" si="40"/>
        <v>5.6000000000000001E-2</v>
      </c>
      <c r="J227" s="1041">
        <f t="shared" si="40"/>
        <v>5.6000000000000001E-2</v>
      </c>
      <c r="K227" s="1041">
        <f t="shared" si="40"/>
        <v>5.0000000000000002E-5</v>
      </c>
      <c r="L227" s="1042">
        <f t="shared" si="40"/>
        <v>130</v>
      </c>
      <c r="M227" s="289">
        <v>406.9</v>
      </c>
      <c r="N227" s="645">
        <v>1.91E-5</v>
      </c>
      <c r="O227" s="645">
        <v>1.15E-2</v>
      </c>
      <c r="P227" s="637">
        <f>10^3.83</f>
        <v>6760.8297539198229</v>
      </c>
      <c r="Q227" s="629">
        <f>IF($P227="NA","NA",(0.617*Data!$D$9*$P227/100)/(1+Data!$D$15*$P227*0.000000617))</f>
        <v>125.14295874505591</v>
      </c>
      <c r="R227" s="629">
        <f t="shared" si="37"/>
        <v>125.14295874505591</v>
      </c>
      <c r="S227" s="290">
        <v>1</v>
      </c>
      <c r="T227" s="290">
        <f t="shared" si="38"/>
        <v>1</v>
      </c>
      <c r="U227" s="847">
        <v>450</v>
      </c>
      <c r="V227" s="860">
        <f>IF(Data!$D$69="",E227,IF(P227="NA","NA",(0.617*Data!$D$69*P227/100)/(1+Data!$D$15*P227*0.000000617)))</f>
        <v>83.428639163370605</v>
      </c>
      <c r="W227" s="847">
        <f>IF(OR(Q227="NA",Q227="",V227="NA",V227=""),"NA",(1+(V227/Q227)^1.5*((1-Data!$D$75)/(1-Data!$D$18))^1.5*(Data!$D$71/Data!$D$14)^1.5*(Data!$D$73/Data!$D$72)*(1/(39.37*Data!$D$72))^0.25))</f>
        <v>3.8303093677397895</v>
      </c>
      <c r="X227" s="847">
        <f>IF(W227="NA","NA",0.15*Data!$D$71*(1-Data!$D$75)*V227*((13.12*Data!$D$73)^(0.112*LN(Data!$D$71*(1-Data!$D$75)*V227)+1.38))/(W227*Data!$D$81))</f>
        <v>27960.471814380566</v>
      </c>
      <c r="Y227" s="847">
        <f>IF(OR(W227="NA",W227="",Data!$D$91="NA",Data!$D$91=""),"NA",W227*Data!$D$91)</f>
        <v>6.8495741227413927</v>
      </c>
      <c r="Z227" s="847">
        <f>IF(OR(W227="NA",W227="",Data!$D$91="NA",Data!$D$91=""),"NA",IF(Data!$D$68&lt;X227,W227*X227/Data!$D$68*Data!$D$91,W227*Data!$D$91))</f>
        <v>957.58662099710602</v>
      </c>
      <c r="AA227" s="853"/>
      <c r="AB227" s="710" t="s">
        <v>329</v>
      </c>
      <c r="AC227" s="710" t="s">
        <v>329</v>
      </c>
      <c r="AD227" s="784">
        <v>0.22</v>
      </c>
      <c r="AE227" s="287">
        <v>5.6000000000000001E-2</v>
      </c>
      <c r="AF227" s="287">
        <v>3.4000000000000002E-2</v>
      </c>
      <c r="AG227" s="695">
        <v>8.6999999999999994E-3</v>
      </c>
      <c r="AH227" s="784">
        <v>0.22</v>
      </c>
      <c r="AI227" s="689">
        <v>5.6000000000000001E-2</v>
      </c>
      <c r="AJ227" s="287">
        <v>3.4000000000000002E-2</v>
      </c>
      <c r="AK227" s="695">
        <v>8.6999999999999994E-3</v>
      </c>
      <c r="AL227" s="784">
        <v>0.22</v>
      </c>
      <c r="AM227" s="287">
        <v>5.6000000000000001E-2</v>
      </c>
      <c r="AN227" s="1037">
        <v>3.4000000000000002E-2</v>
      </c>
      <c r="AO227" s="1049">
        <v>8.6999999999999994E-3</v>
      </c>
      <c r="AP227" s="825">
        <v>5.0000000000000002E-5</v>
      </c>
      <c r="AQ227" s="689" t="s">
        <v>329</v>
      </c>
      <c r="AR227" s="292" t="s">
        <v>329</v>
      </c>
      <c r="AS227" s="288" t="s">
        <v>329</v>
      </c>
      <c r="AT227" s="786">
        <v>130</v>
      </c>
      <c r="AU227" s="926">
        <v>260</v>
      </c>
      <c r="AV227" s="874"/>
      <c r="AW227" s="663"/>
      <c r="AX227" s="663"/>
      <c r="AY227" s="663"/>
      <c r="AZ227" s="664"/>
    </row>
    <row r="228" spans="1:52" s="55" customFormat="1" x14ac:dyDescent="0.25">
      <c r="A228" s="307" t="s">
        <v>546</v>
      </c>
      <c r="B228" s="1020"/>
      <c r="C228" s="1019"/>
      <c r="D228" s="1025"/>
      <c r="E228" s="1025"/>
      <c r="F228" s="502"/>
      <c r="G228" s="503"/>
      <c r="H228" s="1040" t="str">
        <f t="shared" si="40"/>
        <v>NA</v>
      </c>
      <c r="I228" s="1041" t="str">
        <f t="shared" si="40"/>
        <v>NA</v>
      </c>
      <c r="J228" s="1041" t="str">
        <f t="shared" si="40"/>
        <v>NA</v>
      </c>
      <c r="K228" s="1041" t="str">
        <f t="shared" si="40"/>
        <v>NA</v>
      </c>
      <c r="L228" s="1042">
        <f t="shared" si="40"/>
        <v>70</v>
      </c>
      <c r="M228" s="289">
        <v>422.9</v>
      </c>
      <c r="N228" s="645">
        <f>0.000026</f>
        <v>2.5999999999999998E-5</v>
      </c>
      <c r="O228" s="645">
        <v>1.15E-2</v>
      </c>
      <c r="P228" s="637">
        <f>10^3.66</f>
        <v>4570.8818961487532</v>
      </c>
      <c r="Q228" s="629">
        <f>IF($P228="NA","NA",(0.617*Data!$D$9*$P228/100)/(1+Data!$D$15*$P228*0.000000617))</f>
        <v>84.607023897713418</v>
      </c>
      <c r="R228" s="629">
        <f t="shared" si="37"/>
        <v>84.607023897713418</v>
      </c>
      <c r="S228" s="290">
        <v>1</v>
      </c>
      <c r="T228" s="290">
        <f t="shared" si="38"/>
        <v>1</v>
      </c>
      <c r="U228" s="847">
        <v>220</v>
      </c>
      <c r="V228" s="860">
        <f>IF(Data!$D$69="",E228,IF(P228="NA","NA",(0.617*Data!$D$69*P228/100)/(1+Data!$D$15*P228*0.000000617)))</f>
        <v>56.40468259847561</v>
      </c>
      <c r="W228" s="847">
        <f>IF(OR(Q228="NA",Q228="",V228="NA",V228=""),"NA",(1+(V228/Q228)^1.5*((1-Data!$D$75)/(1-Data!$D$18))^1.5*(Data!$D$71/Data!$D$14)^1.5*(Data!$D$73/Data!$D$72)*(1/(39.37*Data!$D$72))^0.25))</f>
        <v>3.8303093677397895</v>
      </c>
      <c r="X228" s="847">
        <f>IF(W228="NA","NA",0.15*Data!$D$71*(1-Data!$D$75)*V228*((13.12*Data!$D$73)^(0.112*LN(Data!$D$71*(1-Data!$D$75)*V228)+1.38))/(W228*Data!$D$81))</f>
        <v>15735.814029292178</v>
      </c>
      <c r="Y228" s="847">
        <f>IF(OR(W228="NA",W228="",Data!$D$91="NA",Data!$D$91=""),"NA",W228*Data!$D$91)</f>
        <v>6.8495741227413927</v>
      </c>
      <c r="Z228" s="847">
        <f>IF(OR(W228="NA",W228="",Data!$D$91="NA",Data!$D$91=""),"NA",IF(Data!$D$68&lt;X228,W228*X228/Data!$D$68*Data!$D$91,W228*Data!$D$91))</f>
        <v>538.91812287655341</v>
      </c>
      <c r="AA228" s="853"/>
      <c r="AB228" s="710" t="s">
        <v>329</v>
      </c>
      <c r="AC228" s="710" t="s">
        <v>329</v>
      </c>
      <c r="AD228" s="292" t="s">
        <v>329</v>
      </c>
      <c r="AE228" s="287" t="s">
        <v>329</v>
      </c>
      <c r="AF228" s="287" t="s">
        <v>329</v>
      </c>
      <c r="AG228" s="288" t="s">
        <v>329</v>
      </c>
      <c r="AH228" s="292" t="s">
        <v>329</v>
      </c>
      <c r="AI228" s="689" t="s">
        <v>329</v>
      </c>
      <c r="AJ228" s="287" t="s">
        <v>329</v>
      </c>
      <c r="AK228" s="288" t="s">
        <v>329</v>
      </c>
      <c r="AL228" s="784"/>
      <c r="AM228" s="287"/>
      <c r="AN228" s="1037"/>
      <c r="AO228" s="1049"/>
      <c r="AP228" s="287" t="s">
        <v>329</v>
      </c>
      <c r="AQ228" s="689" t="s">
        <v>329</v>
      </c>
      <c r="AR228" s="292" t="s">
        <v>329</v>
      </c>
      <c r="AS228" s="288" t="s">
        <v>329</v>
      </c>
      <c r="AT228" s="786">
        <v>70</v>
      </c>
      <c r="AU228" s="926">
        <v>70</v>
      </c>
      <c r="AV228" s="874"/>
      <c r="AW228" s="663"/>
      <c r="AX228" s="663"/>
      <c r="AY228" s="663"/>
      <c r="AZ228" s="664"/>
    </row>
    <row r="229" spans="1:52" s="55" customFormat="1" x14ac:dyDescent="0.25">
      <c r="A229" s="307" t="s">
        <v>547</v>
      </c>
      <c r="B229" s="1020"/>
      <c r="C229" s="1019"/>
      <c r="D229" s="1025"/>
      <c r="E229" s="1025"/>
      <c r="F229" s="502"/>
      <c r="G229" s="503"/>
      <c r="H229" s="1040">
        <f t="shared" si="40"/>
        <v>8.5999999999999993E-2</v>
      </c>
      <c r="I229" s="1041">
        <f t="shared" si="40"/>
        <v>3.5999999999999997E-2</v>
      </c>
      <c r="J229" s="1041">
        <f t="shared" si="40"/>
        <v>3.5999999999999997E-2</v>
      </c>
      <c r="K229" s="1041">
        <f t="shared" si="40"/>
        <v>2.9999999999999997E-4</v>
      </c>
      <c r="L229" s="1042">
        <f t="shared" si="40"/>
        <v>5.5</v>
      </c>
      <c r="M229" s="289">
        <v>380.9</v>
      </c>
      <c r="N229" s="645">
        <v>3.9999999999999998E-7</v>
      </c>
      <c r="O229" s="645">
        <v>1.2500000000000001E-2</v>
      </c>
      <c r="P229" s="637">
        <f>10^5.2</f>
        <v>158489.31924611164</v>
      </c>
      <c r="Q229" s="629">
        <f>IF($P229="NA","NA",(0.617*Data!$D$9*$P229/100)/(1+Data!$D$15*$P229*0.000000617))</f>
        <v>2933.6372992455267</v>
      </c>
      <c r="R229" s="629">
        <f t="shared" si="37"/>
        <v>2933.6372992455267</v>
      </c>
      <c r="S229" s="290">
        <v>1</v>
      </c>
      <c r="T229" s="290">
        <f t="shared" si="38"/>
        <v>1</v>
      </c>
      <c r="U229" s="847">
        <v>250</v>
      </c>
      <c r="V229" s="860">
        <f>IF(Data!$D$69="",E229,IF(P229="NA","NA",(0.617*Data!$D$69*P229/100)/(1+Data!$D$15*P229*0.000000617)))</f>
        <v>1955.7581994970178</v>
      </c>
      <c r="W229" s="847">
        <f>IF(OR(Q229="NA",Q229="",V229="NA",V229=""),"NA",(1+(V229/Q229)^1.5*((1-Data!$D$75)/(1-Data!$D$18))^1.5*(Data!$D$71/Data!$D$14)^1.5*(Data!$D$73/Data!$D$72)*(1/(39.37*Data!$D$72))^0.25))</f>
        <v>3.8303093677397895</v>
      </c>
      <c r="X229" s="847">
        <f>IF(W229="NA","NA",0.15*Data!$D$71*(1-Data!$D$75)*V229*((13.12*Data!$D$73)^(0.112*LN(Data!$D$71*(1-Data!$D$75)*V229)+1.38))/(W229*Data!$D$81))</f>
        <v>2873904.6187405637</v>
      </c>
      <c r="Y229" s="847">
        <f>IF(OR(W229="NA",W229="",Data!$D$91="NA",Data!$D$91=""),"NA",W229*Data!$D$91)</f>
        <v>6.8495741227413927</v>
      </c>
      <c r="Z229" s="847">
        <f>IF(OR(W229="NA",W229="",Data!$D$91="NA",Data!$D$91=""),"NA",IF(Data!$D$68&lt;X229,W229*X229/Data!$D$68*Data!$D$91,W229*Data!$D$91))</f>
        <v>98425.113538761667</v>
      </c>
      <c r="AA229" s="853"/>
      <c r="AB229" s="718">
        <v>2</v>
      </c>
      <c r="AC229" s="718">
        <v>2</v>
      </c>
      <c r="AD229" s="292">
        <v>8.5999999999999993E-2</v>
      </c>
      <c r="AE229" s="287">
        <v>3.5999999999999997E-2</v>
      </c>
      <c r="AF229" s="287">
        <v>3.6999999999999998E-2</v>
      </c>
      <c r="AG229" s="695">
        <v>2.3E-3</v>
      </c>
      <c r="AH229" s="292">
        <v>8.5999999999999993E-2</v>
      </c>
      <c r="AI229" s="689">
        <v>3.5999999999999997E-2</v>
      </c>
      <c r="AJ229" s="287">
        <v>3.6999999999999998E-2</v>
      </c>
      <c r="AK229" s="695">
        <v>2.3E-3</v>
      </c>
      <c r="AL229" s="292">
        <v>8.5999999999999993E-2</v>
      </c>
      <c r="AM229" s="694">
        <v>3.5999999999999997E-2</v>
      </c>
      <c r="AN229" s="1037">
        <v>3.6999999999999998E-2</v>
      </c>
      <c r="AO229" s="1049">
        <v>2.3E-3</v>
      </c>
      <c r="AP229" s="694">
        <v>2.9999999999999997E-4</v>
      </c>
      <c r="AQ229" s="689" t="s">
        <v>329</v>
      </c>
      <c r="AR229" s="292" t="s">
        <v>329</v>
      </c>
      <c r="AS229" s="288" t="s">
        <v>329</v>
      </c>
      <c r="AT229" s="785">
        <v>5.5</v>
      </c>
      <c r="AU229" s="927">
        <v>5.5</v>
      </c>
      <c r="AV229" s="874"/>
      <c r="AW229" s="663"/>
      <c r="AX229" s="663"/>
      <c r="AY229" s="663"/>
      <c r="AZ229" s="664"/>
    </row>
    <row r="230" spans="1:52" s="55" customFormat="1" x14ac:dyDescent="0.25">
      <c r="A230" s="307" t="s">
        <v>548</v>
      </c>
      <c r="B230" s="1020"/>
      <c r="C230" s="1019"/>
      <c r="D230" s="1025"/>
      <c r="E230" s="1025"/>
      <c r="F230" s="502"/>
      <c r="G230" s="503"/>
      <c r="H230" s="1040" t="str">
        <f t="shared" si="40"/>
        <v>NA</v>
      </c>
      <c r="I230" s="1041" t="str">
        <f t="shared" si="40"/>
        <v>NA</v>
      </c>
      <c r="J230" s="1041" t="str">
        <f t="shared" si="40"/>
        <v>NA</v>
      </c>
      <c r="K230" s="1041" t="str">
        <f t="shared" si="40"/>
        <v>NA</v>
      </c>
      <c r="L230" s="1042" t="str">
        <f t="shared" si="40"/>
        <v>NA</v>
      </c>
      <c r="M230" s="289">
        <v>381</v>
      </c>
      <c r="N230" s="645">
        <f>0.000000002</f>
        <v>2.0000000000000001E-9</v>
      </c>
      <c r="O230" s="645">
        <f>IF(M230="NA","NA",(IF(N230="NA","NA",((((28.97+M230)/(28.97*M230))^0.5)*(10^-3)*(Data!$D$50^1.75)/((2*(20.1^(1/3)))^2)))))</f>
        <v>0.14926737821553512</v>
      </c>
      <c r="P230" s="637">
        <f>10^4</f>
        <v>10000</v>
      </c>
      <c r="Q230" s="629">
        <f>IF($P230="NA","NA",(0.617*Data!$D$9*$P230/100)/(1+Data!$D$15*$P230*0.000000617))</f>
        <v>185.1</v>
      </c>
      <c r="R230" s="629">
        <f t="shared" si="37"/>
        <v>185.1</v>
      </c>
      <c r="S230" s="290">
        <v>1</v>
      </c>
      <c r="T230" s="290">
        <f t="shared" si="38"/>
        <v>1</v>
      </c>
      <c r="U230" s="847">
        <v>50000</v>
      </c>
      <c r="V230" s="860">
        <f>IF(Data!$D$69="",E230,IF(P230="NA","NA",(0.617*Data!$D$69*P230/100)/(1+Data!$D$15*P230*0.000000617)))</f>
        <v>123.4</v>
      </c>
      <c r="W230" s="847">
        <f>IF(OR(Q230="NA",Q230="",V230="NA",V230=""),"NA",(1+(V230/Q230)^1.5*((1-Data!$D$75)/(1-Data!$D$18))^1.5*(Data!$D$71/Data!$D$14)^1.5*(Data!$D$73/Data!$D$72)*(1/(39.37*Data!$D$72))^0.25))</f>
        <v>3.8303093677397904</v>
      </c>
      <c r="X230" s="847">
        <f>IF(W230="NA","NA",0.15*Data!$D$71*(1-Data!$D$75)*V230*((13.12*Data!$D$73)^(0.112*LN(Data!$D$71*(1-Data!$D$75)*V230)+1.38))/(W230*Data!$D$81))</f>
        <v>49682.080801633412</v>
      </c>
      <c r="Y230" s="847">
        <f>IF(OR(W230="NA",W230="",Data!$D$91="NA",Data!$D$91=""),"NA",W230*Data!$D$91)</f>
        <v>6.8495741227413944</v>
      </c>
      <c r="Z230" s="847">
        <f>IF(OR(W230="NA",W230="",Data!$D$91="NA",Data!$D$91=""),"NA",IF(Data!$D$68&lt;X230,W230*X230/Data!$D$68*Data!$D$91,W230*Data!$D$91))</f>
        <v>1701.5054751140763</v>
      </c>
      <c r="AA230" s="853"/>
      <c r="AB230" s="710" t="s">
        <v>329</v>
      </c>
      <c r="AC230" s="710" t="s">
        <v>329</v>
      </c>
      <c r="AD230" s="292" t="s">
        <v>329</v>
      </c>
      <c r="AE230" s="287" t="s">
        <v>329</v>
      </c>
      <c r="AF230" s="287" t="s">
        <v>329</v>
      </c>
      <c r="AG230" s="288" t="s">
        <v>329</v>
      </c>
      <c r="AH230" s="292" t="s">
        <v>329</v>
      </c>
      <c r="AI230" s="689" t="s">
        <v>329</v>
      </c>
      <c r="AJ230" s="287" t="s">
        <v>329</v>
      </c>
      <c r="AK230" s="288" t="s">
        <v>329</v>
      </c>
      <c r="AL230" s="786"/>
      <c r="AM230" s="815"/>
      <c r="AN230" s="1037"/>
      <c r="AO230" s="1049"/>
      <c r="AP230" s="287" t="s">
        <v>329</v>
      </c>
      <c r="AQ230" s="689" t="s">
        <v>329</v>
      </c>
      <c r="AR230" s="292" t="s">
        <v>329</v>
      </c>
      <c r="AS230" s="288" t="s">
        <v>329</v>
      </c>
      <c r="AT230" s="292" t="s">
        <v>329</v>
      </c>
      <c r="AU230" s="288" t="s">
        <v>329</v>
      </c>
      <c r="AV230" s="874"/>
      <c r="AW230" s="663"/>
      <c r="AX230" s="663"/>
      <c r="AY230" s="663"/>
      <c r="AZ230" s="664"/>
    </row>
    <row r="231" spans="1:52" s="55" customFormat="1" x14ac:dyDescent="0.25">
      <c r="A231" s="307" t="s">
        <v>549</v>
      </c>
      <c r="B231" s="1020"/>
      <c r="C231" s="1019"/>
      <c r="D231" s="1025"/>
      <c r="E231" s="1025"/>
      <c r="F231" s="502"/>
      <c r="G231" s="503"/>
      <c r="H231" s="1040" t="str">
        <f t="shared" si="40"/>
        <v>NA</v>
      </c>
      <c r="I231" s="1041" t="str">
        <f t="shared" si="40"/>
        <v>NA</v>
      </c>
      <c r="J231" s="1041" t="str">
        <f t="shared" si="40"/>
        <v>NA</v>
      </c>
      <c r="K231" s="1041" t="str">
        <f t="shared" si="40"/>
        <v>NA</v>
      </c>
      <c r="L231" s="1042" t="str">
        <f t="shared" si="40"/>
        <v>NA</v>
      </c>
      <c r="M231" s="289">
        <v>381</v>
      </c>
      <c r="N231" s="645">
        <v>2.0199999999999999E-8</v>
      </c>
      <c r="O231" s="645">
        <v>3.1E-2</v>
      </c>
      <c r="P231" s="637">
        <f>10^4.99</f>
        <v>97723.722095581266</v>
      </c>
      <c r="Q231" s="629">
        <f>IF($P231="NA","NA",(0.617*Data!$D$9*$P231/100)/(1+Data!$D$15*$P231*0.000000617))</f>
        <v>1808.866095989209</v>
      </c>
      <c r="R231" s="629">
        <f t="shared" si="37"/>
        <v>1808.866095989209</v>
      </c>
      <c r="S231" s="290">
        <v>1</v>
      </c>
      <c r="T231" s="290">
        <f t="shared" si="38"/>
        <v>1</v>
      </c>
      <c r="U231" s="847">
        <v>860</v>
      </c>
      <c r="V231" s="860">
        <f>IF(Data!$D$69="",E231,IF(P231="NA","NA",(0.617*Data!$D$69*P231/100)/(1+Data!$D$15*P231*0.000000617)))</f>
        <v>1205.9107306594728</v>
      </c>
      <c r="W231" s="847">
        <f>IF(OR(Q231="NA",Q231="",V231="NA",V231=""),"NA",(1+(V231/Q231)^1.5*((1-Data!$D$75)/(1-Data!$D$18))^1.5*(Data!$D$71/Data!$D$14)^1.5*(Data!$D$73/Data!$D$72)*(1/(39.37*Data!$D$72))^0.25))</f>
        <v>3.8303093677397904</v>
      </c>
      <c r="X231" s="847">
        <f>IF(W231="NA","NA",0.15*Data!$D$71*(1-Data!$D$75)*V231*((13.12*Data!$D$73)^(0.112*LN(Data!$D$71*(1-Data!$D$75)*V231)+1.38))/(W231*Data!$D$81))</f>
        <v>1412780.3636604457</v>
      </c>
      <c r="Y231" s="847">
        <f>IF(OR(W231="NA",W231="",Data!$D$91="NA",Data!$D$91=""),"NA",W231*Data!$D$91)</f>
        <v>6.8495741227413944</v>
      </c>
      <c r="Z231" s="847">
        <f>IF(OR(W231="NA",W231="",Data!$D$91="NA",Data!$D$91=""),"NA",IF(Data!$D$68&lt;X231,W231*X231/Data!$D$68*Data!$D$91,W231*Data!$D$91))</f>
        <v>48384.719100228824</v>
      </c>
      <c r="AA231" s="853"/>
      <c r="AB231" s="710" t="s">
        <v>329</v>
      </c>
      <c r="AC231" s="710" t="s">
        <v>329</v>
      </c>
      <c r="AD231" s="292" t="s">
        <v>329</v>
      </c>
      <c r="AE231" s="287" t="s">
        <v>329</v>
      </c>
      <c r="AF231" s="287" t="s">
        <v>329</v>
      </c>
      <c r="AG231" s="288" t="s">
        <v>329</v>
      </c>
      <c r="AH231" s="292" t="s">
        <v>329</v>
      </c>
      <c r="AI231" s="689" t="s">
        <v>329</v>
      </c>
      <c r="AJ231" s="287" t="s">
        <v>329</v>
      </c>
      <c r="AK231" s="288" t="s">
        <v>329</v>
      </c>
      <c r="AL231" s="786"/>
      <c r="AM231" s="815"/>
      <c r="AN231" s="1037"/>
      <c r="AO231" s="1049"/>
      <c r="AP231" s="287" t="s">
        <v>329</v>
      </c>
      <c r="AQ231" s="689" t="s">
        <v>329</v>
      </c>
      <c r="AR231" s="292" t="s">
        <v>329</v>
      </c>
      <c r="AS231" s="288" t="s">
        <v>329</v>
      </c>
      <c r="AT231" s="292" t="s">
        <v>329</v>
      </c>
      <c r="AU231" s="288" t="s">
        <v>329</v>
      </c>
      <c r="AV231" s="874"/>
      <c r="AW231" s="663"/>
      <c r="AX231" s="663"/>
      <c r="AY231" s="663"/>
      <c r="AZ231" s="664"/>
    </row>
    <row r="232" spans="1:52" s="55" customFormat="1" x14ac:dyDescent="0.25">
      <c r="A232" s="307" t="s">
        <v>550</v>
      </c>
      <c r="B232" s="1020"/>
      <c r="C232" s="1019"/>
      <c r="D232" s="1025"/>
      <c r="E232" s="1025"/>
      <c r="F232" s="502"/>
      <c r="G232" s="503"/>
      <c r="H232" s="1040">
        <f t="shared" si="40"/>
        <v>0.52</v>
      </c>
      <c r="I232" s="1041">
        <f t="shared" si="40"/>
        <v>3.8E-3</v>
      </c>
      <c r="J232" s="1041">
        <f t="shared" si="40"/>
        <v>3.8E-3</v>
      </c>
      <c r="K232" s="1041">
        <f t="shared" si="40"/>
        <v>5.0000000000000001E-4</v>
      </c>
      <c r="L232" s="1042">
        <f t="shared" si="40"/>
        <v>0.68</v>
      </c>
      <c r="M232" s="289">
        <v>373.5</v>
      </c>
      <c r="N232" s="645">
        <v>3.49E-3</v>
      </c>
      <c r="O232" s="645">
        <v>1.12E-2</v>
      </c>
      <c r="P232" s="637">
        <f>10^5.27</f>
        <v>186208.71366628664</v>
      </c>
      <c r="Q232" s="629">
        <f>IF($P232="NA","NA",(0.617*Data!$D$9*$P232/100)/(1+Data!$D$15*$P232*0.000000617))</f>
        <v>3446.7232899629657</v>
      </c>
      <c r="R232" s="629">
        <f t="shared" si="37"/>
        <v>3446.7232899629657</v>
      </c>
      <c r="S232" s="290">
        <v>1</v>
      </c>
      <c r="T232" s="290">
        <f t="shared" si="38"/>
        <v>1</v>
      </c>
      <c r="U232" s="847">
        <v>180</v>
      </c>
      <c r="V232" s="860">
        <f>IF(Data!$D$69="",E232,IF(P232="NA","NA",(0.617*Data!$D$69*P232/100)/(1+Data!$D$15*P232*0.000000617)))</f>
        <v>2297.8155266419772</v>
      </c>
      <c r="W232" s="847">
        <f>IF(OR(Q232="NA",Q232="",V232="NA",V232=""),"NA",(1+(V232/Q232)^1.5*((1-Data!$D$75)/(1-Data!$D$18))^1.5*(Data!$D$71/Data!$D$14)^1.5*(Data!$D$73/Data!$D$72)*(1/(39.37*Data!$D$72))^0.25))</f>
        <v>3.8303093677397895</v>
      </c>
      <c r="X232" s="847">
        <f>IF(W232="NA","NA",0.15*Data!$D$71*(1-Data!$D$75)*V232*((13.12*Data!$D$73)^(0.112*LN(Data!$D$71*(1-Data!$D$75)*V232)+1.38))/(W232*Data!$D$81))</f>
        <v>3641426.7968414449</v>
      </c>
      <c r="Y232" s="847">
        <f>IF(OR(W232="NA",W232="",Data!$D$91="NA",Data!$D$91=""),"NA",W232*Data!$D$91)</f>
        <v>6.8495741227413927</v>
      </c>
      <c r="Z232" s="847">
        <f>IF(OR(W232="NA",W232="",Data!$D$91="NA",Data!$D$91=""),"NA",IF(Data!$D$68&lt;X232,W232*X232/Data!$D$68*Data!$D$91,W232*Data!$D$91))</f>
        <v>124711.1137875112</v>
      </c>
      <c r="AA232" s="853"/>
      <c r="AB232" s="717">
        <v>0.4</v>
      </c>
      <c r="AC232" s="717">
        <v>0.4</v>
      </c>
      <c r="AD232" s="784">
        <v>0.52</v>
      </c>
      <c r="AE232" s="694">
        <v>3.8E-3</v>
      </c>
      <c r="AF232" s="287">
        <v>5.2999999999999999E-2</v>
      </c>
      <c r="AG232" s="695">
        <v>3.5999999999999999E-3</v>
      </c>
      <c r="AH232" s="784">
        <v>0.52</v>
      </c>
      <c r="AI232" s="885">
        <v>3.8E-3</v>
      </c>
      <c r="AJ232" s="287">
        <v>5.2999999999999999E-2</v>
      </c>
      <c r="AK232" s="695">
        <v>3.5999999999999999E-3</v>
      </c>
      <c r="AL232" s="784">
        <v>0.52</v>
      </c>
      <c r="AM232" s="694">
        <v>3.8E-3</v>
      </c>
      <c r="AN232" s="1037">
        <v>5.2999999999999999E-2</v>
      </c>
      <c r="AO232" s="1049">
        <v>3.5999999999999999E-3</v>
      </c>
      <c r="AP232" s="694">
        <v>5.0000000000000001E-4</v>
      </c>
      <c r="AQ232" s="689" t="s">
        <v>329</v>
      </c>
      <c r="AR232" s="922">
        <v>7.4</v>
      </c>
      <c r="AS232" s="288" t="s">
        <v>329</v>
      </c>
      <c r="AT232" s="784">
        <v>0.68</v>
      </c>
      <c r="AU232" s="933">
        <v>0.68</v>
      </c>
      <c r="AV232" s="874"/>
      <c r="AW232" s="663"/>
      <c r="AX232" s="663"/>
      <c r="AY232" s="663"/>
      <c r="AZ232" s="664"/>
    </row>
    <row r="233" spans="1:52" s="55" customFormat="1" x14ac:dyDescent="0.25">
      <c r="A233" s="307" t="s">
        <v>551</v>
      </c>
      <c r="B233" s="1020"/>
      <c r="C233" s="1019"/>
      <c r="D233" s="1025"/>
      <c r="E233" s="1025"/>
      <c r="F233" s="502"/>
      <c r="G233" s="503"/>
      <c r="H233" s="1040">
        <f t="shared" si="40"/>
        <v>0.52</v>
      </c>
      <c r="I233" s="1041">
        <f t="shared" si="40"/>
        <v>3.8E-3</v>
      </c>
      <c r="J233" s="1041">
        <f t="shared" si="40"/>
        <v>3.8E-3</v>
      </c>
      <c r="K233" s="1041">
        <f t="shared" si="40"/>
        <v>1.2999999999999999E-5</v>
      </c>
      <c r="L233" s="1042">
        <f t="shared" si="40"/>
        <v>1.1000000000000001</v>
      </c>
      <c r="M233" s="289">
        <v>389.2</v>
      </c>
      <c r="N233" s="645">
        <v>3.1999999999999999E-5</v>
      </c>
      <c r="O233" s="645">
        <v>1.32E-2</v>
      </c>
      <c r="P233" s="637">
        <f>10^5</f>
        <v>100000</v>
      </c>
      <c r="Q233" s="629">
        <f>IF($P233="NA","NA",(0.617*Data!$D$9*$P233/100)/(1+Data!$D$15*$P233*0.000000617))</f>
        <v>1851</v>
      </c>
      <c r="R233" s="629">
        <f t="shared" si="37"/>
        <v>1851</v>
      </c>
      <c r="S233" s="290">
        <v>1</v>
      </c>
      <c r="T233" s="290">
        <f t="shared" si="38"/>
        <v>1</v>
      </c>
      <c r="U233" s="847">
        <v>350</v>
      </c>
      <c r="V233" s="860">
        <f>IF(Data!$D$69="",E233,IF(P233="NA","NA",(0.617*Data!$D$69*P233/100)/(1+Data!$D$15*P233*0.000000617)))</f>
        <v>1234</v>
      </c>
      <c r="W233" s="847">
        <f>IF(OR(Q233="NA",Q233="",V233="NA",V233=""),"NA",(1+(V233/Q233)^1.5*((1-Data!$D$75)/(1-Data!$D$18))^1.5*(Data!$D$71/Data!$D$14)^1.5*(Data!$D$73/Data!$D$72)*(1/(39.37*Data!$D$72))^0.25))</f>
        <v>3.8303093677397895</v>
      </c>
      <c r="X233" s="847">
        <f>IF(W233="NA","NA",0.15*Data!$D$71*(1-Data!$D$75)*V233*((13.12*Data!$D$73)^(0.112*LN(Data!$D$71*(1-Data!$D$75)*V233)+1.38))/(W233*Data!$D$81))</f>
        <v>1461370.2259756404</v>
      </c>
      <c r="Y233" s="847">
        <f>IF(OR(W233="NA",W233="",Data!$D$91="NA",Data!$D$91=""),"NA",W233*Data!$D$91)</f>
        <v>6.8495741227413927</v>
      </c>
      <c r="Z233" s="847">
        <f>IF(OR(W233="NA",W233="",Data!$D$91="NA",Data!$D$91=""),"NA",IF(Data!$D$68&lt;X233,W233*X233/Data!$D$68*Data!$D$91,W233*Data!$D$91))</f>
        <v>50048.818417937429</v>
      </c>
      <c r="AA233" s="853"/>
      <c r="AB233" s="717">
        <v>0.2</v>
      </c>
      <c r="AC233" s="717">
        <v>0.2</v>
      </c>
      <c r="AD233" s="784">
        <v>0.52</v>
      </c>
      <c r="AE233" s="694">
        <v>3.8E-3</v>
      </c>
      <c r="AF233" s="287">
        <v>5.2999999999999999E-2</v>
      </c>
      <c r="AG233" s="695">
        <v>3.5999999999999999E-3</v>
      </c>
      <c r="AH233" s="784">
        <v>0.52</v>
      </c>
      <c r="AI233" s="885">
        <v>3.8E-3</v>
      </c>
      <c r="AJ233" s="287">
        <v>5.2999999999999999E-2</v>
      </c>
      <c r="AK233" s="695">
        <v>3.5999999999999999E-3</v>
      </c>
      <c r="AL233" s="784">
        <v>0.52</v>
      </c>
      <c r="AM233" s="694">
        <v>3.8E-3</v>
      </c>
      <c r="AN233" s="1037">
        <v>5.2999999999999999E-2</v>
      </c>
      <c r="AO233" s="1049">
        <v>3.5999999999999999E-3</v>
      </c>
      <c r="AP233" s="826">
        <v>1.2999999999999999E-5</v>
      </c>
      <c r="AQ233" s="689" t="s">
        <v>329</v>
      </c>
      <c r="AR233" s="292" t="s">
        <v>329</v>
      </c>
      <c r="AS233" s="288" t="s">
        <v>329</v>
      </c>
      <c r="AT233" s="785">
        <v>1.1000000000000001</v>
      </c>
      <c r="AU233" s="927">
        <v>1.1000000000000001</v>
      </c>
      <c r="AV233" s="874"/>
      <c r="AW233" s="663"/>
      <c r="AX233" s="663"/>
      <c r="AY233" s="663"/>
      <c r="AZ233" s="664"/>
    </row>
    <row r="234" spans="1:52" s="650" customFormat="1" x14ac:dyDescent="0.2">
      <c r="A234" s="307" t="s">
        <v>552</v>
      </c>
      <c r="B234" s="1020"/>
      <c r="C234" s="1019"/>
      <c r="D234" s="1025"/>
      <c r="E234" s="1025"/>
      <c r="F234" s="502"/>
      <c r="G234" s="503"/>
      <c r="H234" s="1040" t="str">
        <f t="shared" si="40"/>
        <v>NA</v>
      </c>
      <c r="I234" s="1041" t="str">
        <f t="shared" si="40"/>
        <v>NA</v>
      </c>
      <c r="J234" s="1041" t="str">
        <f t="shared" si="40"/>
        <v>NA</v>
      </c>
      <c r="K234" s="1041" t="str">
        <f t="shared" si="40"/>
        <v>NA</v>
      </c>
      <c r="L234" s="1042" t="str">
        <f t="shared" si="40"/>
        <v>NA</v>
      </c>
      <c r="M234" s="289">
        <v>364.9</v>
      </c>
      <c r="N234" s="645">
        <v>2.49E-3</v>
      </c>
      <c r="O234" s="645">
        <f>IF(M234="NA","NA",(IF(N234="NA","NA",((((28.97+M234)/(28.97*M234))^0.5)*(10^-3)*(Data!$D$50^1.75)/((2*(20.1^(1/3)))^2)))))</f>
        <v>0.14949989013595408</v>
      </c>
      <c r="P234" s="873">
        <f>10^-0.39</f>
        <v>0.40738027780411268</v>
      </c>
      <c r="Q234" s="290">
        <f>IF($P234="NA","NA",(0.617*Data!$D$9*$P234/100)/(1+Data!$D$15*$P234*0.000000617))</f>
        <v>7.5406089421541254E-3</v>
      </c>
      <c r="R234" s="290">
        <f t="shared" si="37"/>
        <v>7.5406089421541254E-3</v>
      </c>
      <c r="S234" s="290">
        <v>1</v>
      </c>
      <c r="T234" s="290">
        <f t="shared" si="38"/>
        <v>1</v>
      </c>
      <c r="U234" s="847">
        <v>8500000000</v>
      </c>
      <c r="V234" s="860">
        <f>IF(Data!$D$69="",E234,IF(P234="NA","NA",(0.617*Data!$D$69*P234/100)/(1+Data!$D$15*P234*0.000000617)))</f>
        <v>5.02707262810275E-3</v>
      </c>
      <c r="W234" s="847">
        <f>IF(OR(Q234="NA",Q234="",V234="NA",V234=""),"NA",(1+(V234/Q234)^1.5*((1-Data!$D$75)/(1-Data!$D$18))^1.5*(Data!$D$71/Data!$D$14)^1.5*(Data!$D$73/Data!$D$72)*(1/(39.37*Data!$D$72))^0.25))</f>
        <v>3.8303093677397895</v>
      </c>
      <c r="X234" s="847">
        <f>IF(W234="NA","NA",0.15*Data!$D$71*(1-Data!$D$75)*V234*((13.12*Data!$D$73)^(0.112*LN(Data!$D$71*(1-Data!$D$75)*V234)+1.38))/(W234*Data!$D$81))</f>
        <v>1.775085509025167E-2</v>
      </c>
      <c r="Y234" s="847">
        <f>IF(OR(W234="NA",W234="",Data!$D$91="NA",Data!$D$91=""),"NA",W234*Data!$D$91)</f>
        <v>6.8495741227413927</v>
      </c>
      <c r="Z234" s="847">
        <f>IF(OR(W234="NA",W234="",Data!$D$91="NA",Data!$D$91=""),"NA",IF(Data!$D$68&lt;X234,W234*X234/Data!$D$68*Data!$D$91,W234*Data!$D$91))</f>
        <v>6.8495741227413927</v>
      </c>
      <c r="AA234" s="853"/>
      <c r="AB234" s="710" t="s">
        <v>329</v>
      </c>
      <c r="AC234" s="710" t="s">
        <v>329</v>
      </c>
      <c r="AD234" s="292" t="s">
        <v>329</v>
      </c>
      <c r="AE234" s="287" t="s">
        <v>329</v>
      </c>
      <c r="AF234" s="287" t="s">
        <v>329</v>
      </c>
      <c r="AG234" s="288" t="s">
        <v>329</v>
      </c>
      <c r="AH234" s="292" t="s">
        <v>329</v>
      </c>
      <c r="AI234" s="689" t="s">
        <v>329</v>
      </c>
      <c r="AJ234" s="287" t="s">
        <v>329</v>
      </c>
      <c r="AK234" s="288" t="s">
        <v>329</v>
      </c>
      <c r="AL234" s="786"/>
      <c r="AM234" s="815"/>
      <c r="AN234" s="1037"/>
      <c r="AO234" s="1049"/>
      <c r="AP234" s="287" t="s">
        <v>329</v>
      </c>
      <c r="AQ234" s="689" t="s">
        <v>329</v>
      </c>
      <c r="AR234" s="292" t="s">
        <v>329</v>
      </c>
      <c r="AS234" s="288" t="s">
        <v>329</v>
      </c>
      <c r="AT234" s="292" t="s">
        <v>329</v>
      </c>
      <c r="AU234" s="288" t="s">
        <v>329</v>
      </c>
      <c r="AV234" s="874"/>
      <c r="AW234" s="663"/>
      <c r="AX234" s="663"/>
      <c r="AY234" s="663"/>
      <c r="AZ234" s="664"/>
    </row>
    <row r="235" spans="1:52" s="650" customFormat="1" x14ac:dyDescent="0.2">
      <c r="A235" s="307" t="s">
        <v>553</v>
      </c>
      <c r="B235" s="1020"/>
      <c r="C235" s="1019"/>
      <c r="D235" s="1025"/>
      <c r="E235" s="1025"/>
      <c r="F235" s="502"/>
      <c r="G235" s="503"/>
      <c r="H235" s="1040" t="str">
        <f t="shared" ref="H235:L244" si="41">IF(INDEX($AB$11:$AZ$310,,H$7)=0,"NA",INDEX($AB$11:$AZ$310,,H$7))</f>
        <v>NA</v>
      </c>
      <c r="I235" s="1041" t="str">
        <f t="shared" si="41"/>
        <v>NA</v>
      </c>
      <c r="J235" s="1041" t="str">
        <f t="shared" si="41"/>
        <v>NA</v>
      </c>
      <c r="K235" s="1041" t="str">
        <f t="shared" si="41"/>
        <v>NA</v>
      </c>
      <c r="L235" s="1042">
        <f t="shared" si="41"/>
        <v>0.56000000000000005</v>
      </c>
      <c r="M235" s="289">
        <v>490.68</v>
      </c>
      <c r="N235" s="645">
        <v>2.4999999999999999E-8</v>
      </c>
      <c r="O235" s="645">
        <v>4.2000000000000003E-2</v>
      </c>
      <c r="P235" s="629">
        <v>4.5</v>
      </c>
      <c r="Q235" s="873">
        <f>IF($P235="NA","NA",(0.617*Data!$D$9*$P235/100)/(1+Data!$D$15*$P235*0.000000617))</f>
        <v>8.3294999999999994E-2</v>
      </c>
      <c r="R235" s="873">
        <f t="shared" si="37"/>
        <v>8.3294999999999994E-2</v>
      </c>
      <c r="S235" s="290">
        <v>1</v>
      </c>
      <c r="T235" s="290">
        <f>IF(S235= "NA", "NA", S235)</f>
        <v>1</v>
      </c>
      <c r="U235" s="847">
        <v>7.6</v>
      </c>
      <c r="V235" s="860">
        <f>IF(Data!$D$69="",E235,IF(P235="NA","NA",(0.617*Data!$D$69*P235/100)/(1+Data!$D$15*P235*0.000000617)))</f>
        <v>5.5529999999999996E-2</v>
      </c>
      <c r="W235" s="847">
        <f>IF(OR(Q235="NA",Q235="",V235="NA",V235=""),"NA",(1+(V235/Q235)^1.5*((1-Data!$D$75)/(1-Data!$D$18))^1.5*(Data!$D$71/Data!$D$14)^1.5*(Data!$D$73/Data!$D$72)*(1/(39.37*Data!$D$72))^0.25))</f>
        <v>3.8303093677397895</v>
      </c>
      <c r="X235" s="847">
        <f>IF(W235="NA","NA",0.15*Data!$D$71*(1-Data!$D$75)*V235*((13.12*Data!$D$73)^(0.112*LN(Data!$D$71*(1-Data!$D$75)*V235)+1.38))/(W235*Data!$D$81))</f>
        <v>0.60428240146633394</v>
      </c>
      <c r="Y235" s="847">
        <f>IF(OR(W235="NA",W235="",Data!$D$91="NA",Data!$D$91=""),"NA",W235*Data!$D$91)</f>
        <v>6.8495741227413927</v>
      </c>
      <c r="Z235" s="847">
        <f>IF(OR(W235="NA",W235="",Data!$D$91="NA",Data!$D$91=""),"NA",IF(Data!$D$68&lt;X235,W235*X235/Data!$D$68*Data!$D$91,W235*Data!$D$91))</f>
        <v>6.8495741227413927</v>
      </c>
      <c r="AA235" s="853"/>
      <c r="AB235" s="710" t="s">
        <v>329</v>
      </c>
      <c r="AC235" s="710" t="s">
        <v>329</v>
      </c>
      <c r="AD235" s="292" t="s">
        <v>329</v>
      </c>
      <c r="AE235" s="287" t="s">
        <v>329</v>
      </c>
      <c r="AF235" s="287" t="s">
        <v>329</v>
      </c>
      <c r="AG235" s="288" t="s">
        <v>329</v>
      </c>
      <c r="AH235" s="292" t="s">
        <v>329</v>
      </c>
      <c r="AI235" s="689" t="s">
        <v>329</v>
      </c>
      <c r="AJ235" s="287" t="s">
        <v>329</v>
      </c>
      <c r="AK235" s="288" t="s">
        <v>329</v>
      </c>
      <c r="AL235" s="786"/>
      <c r="AM235" s="815"/>
      <c r="AN235" s="1037"/>
      <c r="AO235" s="1049"/>
      <c r="AP235" s="287" t="s">
        <v>329</v>
      </c>
      <c r="AQ235" s="689" t="s">
        <v>329</v>
      </c>
      <c r="AR235" s="292" t="s">
        <v>329</v>
      </c>
      <c r="AS235" s="288" t="s">
        <v>329</v>
      </c>
      <c r="AT235" s="922">
        <v>0.56000000000000005</v>
      </c>
      <c r="AU235" s="932">
        <v>2.2000000000000002</v>
      </c>
      <c r="AV235" s="874"/>
      <c r="AW235" s="663"/>
      <c r="AX235" s="663"/>
      <c r="AY235" s="663"/>
      <c r="AZ235" s="664"/>
    </row>
    <row r="236" spans="1:52" s="55" customFormat="1" x14ac:dyDescent="0.25">
      <c r="A236" s="307" t="s">
        <v>554</v>
      </c>
      <c r="B236" s="1020"/>
      <c r="C236" s="1019"/>
      <c r="D236" s="1025"/>
      <c r="E236" s="1025"/>
      <c r="F236" s="502"/>
      <c r="G236" s="503"/>
      <c r="H236" s="1040" t="str">
        <f t="shared" si="41"/>
        <v>NA</v>
      </c>
      <c r="I236" s="1041">
        <f t="shared" si="41"/>
        <v>0.03</v>
      </c>
      <c r="J236" s="1041">
        <f t="shared" si="41"/>
        <v>0.03</v>
      </c>
      <c r="K236" s="1041">
        <f t="shared" si="41"/>
        <v>5.0000000000000001E-3</v>
      </c>
      <c r="L236" s="1042">
        <f t="shared" si="41"/>
        <v>630</v>
      </c>
      <c r="M236" s="289">
        <v>345.6</v>
      </c>
      <c r="N236" s="645">
        <f>0.0000158</f>
        <v>1.5800000000000001E-5</v>
      </c>
      <c r="O236" s="645">
        <v>1.5599999999999999E-2</v>
      </c>
      <c r="P236" s="637">
        <f>10^5.08</f>
        <v>120226.44346174144</v>
      </c>
      <c r="Q236" s="629">
        <f>IF($P236="NA","NA",(0.617*Data!$D$9*$P236/100)/(1+Data!$D$15*$P236*0.000000617))</f>
        <v>2225.3914684768338</v>
      </c>
      <c r="R236" s="629">
        <f t="shared" si="37"/>
        <v>2225.3914684768338</v>
      </c>
      <c r="S236" s="290">
        <v>1</v>
      </c>
      <c r="T236" s="290">
        <f>IF(S236= "NA", "NA", S236)</f>
        <v>1</v>
      </c>
      <c r="U236" s="847">
        <v>45</v>
      </c>
      <c r="V236" s="860">
        <f>IF(Data!$D$69="",E236,IF(P236="NA","NA",(0.617*Data!$D$69*P236/100)/(1+Data!$D$15*P236*0.000000617)))</f>
        <v>1483.5943123178895</v>
      </c>
      <c r="W236" s="847">
        <f>IF(OR(Q236="NA",Q236="",V236="NA",V236=""),"NA",(1+(V236/Q236)^1.5*((1-Data!$D$75)/(1-Data!$D$18))^1.5*(Data!$D$71/Data!$D$14)^1.5*(Data!$D$73/Data!$D$72)*(1/(39.37*Data!$D$72))^0.25))</f>
        <v>3.8303093677397904</v>
      </c>
      <c r="X236" s="847">
        <f>IF(W236="NA","NA",0.15*Data!$D$71*(1-Data!$D$75)*V236*((13.12*Data!$D$73)^(0.112*LN(Data!$D$71*(1-Data!$D$75)*V236)+1.38))/(W236*Data!$D$81))</f>
        <v>1915336.5354320421</v>
      </c>
      <c r="Y236" s="847">
        <f>IF(OR(W236="NA",W236="",Data!$D$91="NA",Data!$D$91=""),"NA",W236*Data!$D$91)</f>
        <v>6.8495741227413944</v>
      </c>
      <c r="Z236" s="847">
        <f>IF(OR(W236="NA",W236="",Data!$D$91="NA",Data!$D$91=""),"NA",IF(Data!$D$68&lt;X236,W236*X236/Data!$D$68*Data!$D$91,W236*Data!$D$91))</f>
        <v>65596.197847182353</v>
      </c>
      <c r="AA236" s="853"/>
      <c r="AB236" s="718">
        <v>40</v>
      </c>
      <c r="AC236" s="718">
        <v>40</v>
      </c>
      <c r="AD236" s="292" t="s">
        <v>329</v>
      </c>
      <c r="AE236" s="811">
        <v>0.03</v>
      </c>
      <c r="AF236" s="287" t="s">
        <v>329</v>
      </c>
      <c r="AG236" s="812">
        <v>0.03</v>
      </c>
      <c r="AH236" s="292" t="s">
        <v>329</v>
      </c>
      <c r="AI236" s="884">
        <v>0.03</v>
      </c>
      <c r="AJ236" s="287" t="s">
        <v>329</v>
      </c>
      <c r="AK236" s="812">
        <v>0.03</v>
      </c>
      <c r="AL236" s="786"/>
      <c r="AM236" s="811">
        <v>0.03</v>
      </c>
      <c r="AN236" s="1037"/>
      <c r="AO236" s="1049">
        <v>0.03</v>
      </c>
      <c r="AP236" s="287">
        <v>5.0000000000000001E-3</v>
      </c>
      <c r="AQ236" s="828">
        <v>243</v>
      </c>
      <c r="AR236" s="292" t="s">
        <v>329</v>
      </c>
      <c r="AS236" s="288" t="s">
        <v>329</v>
      </c>
      <c r="AT236" s="786">
        <v>630</v>
      </c>
      <c r="AU236" s="926">
        <v>630</v>
      </c>
      <c r="AV236" s="874"/>
      <c r="AW236" s="663"/>
      <c r="AX236" s="663"/>
      <c r="AY236" s="663"/>
      <c r="AZ236" s="664"/>
    </row>
    <row r="237" spans="1:52" s="55" customFormat="1" x14ac:dyDescent="0.25">
      <c r="A237" s="307" t="s">
        <v>555</v>
      </c>
      <c r="B237" s="1020"/>
      <c r="C237" s="1019"/>
      <c r="D237" s="1025"/>
      <c r="E237" s="1025"/>
      <c r="F237" s="502"/>
      <c r="G237" s="503"/>
      <c r="H237" s="1040" t="str">
        <f t="shared" si="41"/>
        <v>NA</v>
      </c>
      <c r="I237" s="1041">
        <f t="shared" si="41"/>
        <v>1E-3</v>
      </c>
      <c r="J237" s="1041">
        <f t="shared" si="41"/>
        <v>1E-3</v>
      </c>
      <c r="K237" s="1041" t="str">
        <f t="shared" si="41"/>
        <v>NA</v>
      </c>
      <c r="L237" s="1042" t="str">
        <f t="shared" si="41"/>
        <v>NA</v>
      </c>
      <c r="M237" s="289">
        <v>545.6</v>
      </c>
      <c r="N237" s="645">
        <f>0.00828</f>
        <v>8.2799999999999992E-3</v>
      </c>
      <c r="O237" s="645">
        <f>IF(M237="NA","NA",(IF(N237="NA","NA",((((28.97+M237)/(28.97*M237))^0.5)*(10^-3)*(Data!$D$50^1.75)/((2*(20.1^(1/3)))^2)))))</f>
        <v>0.14766774606977576</v>
      </c>
      <c r="P237" s="637">
        <f>10^6.9</f>
        <v>7943282.3472428275</v>
      </c>
      <c r="Q237" s="629">
        <f>IF($P237="NA","NA",(0.617*Data!$D$9*$P237/100)/(1+Data!$D$15*$P237*0.000000617))</f>
        <v>147030.15624746474</v>
      </c>
      <c r="R237" s="629">
        <f t="shared" si="37"/>
        <v>147030.15624746474</v>
      </c>
      <c r="S237" s="290">
        <v>1</v>
      </c>
      <c r="T237" s="290">
        <f t="shared" si="38"/>
        <v>1</v>
      </c>
      <c r="U237" s="847">
        <v>6.5000000000000002E-2</v>
      </c>
      <c r="V237" s="860">
        <f>IF(Data!$D$69="",E237,IF(P237="NA","NA",(0.617*Data!$D$69*P237/100)/(1+Data!$D$15*P237*0.000000617)))</f>
        <v>98020.104164976496</v>
      </c>
      <c r="W237" s="847">
        <f>IF(OR(Q237="NA",Q237="",V237="NA",V237=""),"NA",(1+(V237/Q237)^1.5*((1-Data!$D$75)/(1-Data!$D$18))^1.5*(Data!$D$71/Data!$D$14)^1.5*(Data!$D$73/Data!$D$72)*(1/(39.37*Data!$D$72))^0.25))</f>
        <v>3.8303093677397904</v>
      </c>
      <c r="X237" s="847">
        <f>IF(W237="NA","NA",0.15*Data!$D$71*(1-Data!$D$75)*V237*((13.12*Data!$D$73)^(0.112*LN(Data!$D$71*(1-Data!$D$75)*V237)+1.38))/(W237*Data!$D$81))</f>
        <v>901623375.8176446</v>
      </c>
      <c r="Y237" s="847">
        <f>IF(OR(W237="NA",W237="",Data!$D$91="NA",Data!$D$91=""),"NA",W237*Data!$D$91)</f>
        <v>6.8495741227413944</v>
      </c>
      <c r="Z237" s="847">
        <f>IF(OR(W237="NA",W237="",Data!$D$91="NA",Data!$D$91=""),"NA",IF(Data!$D$68&lt;X237,W237*X237/Data!$D$68*Data!$D$91,W237*Data!$D$91))</f>
        <v>30878680.717296388</v>
      </c>
      <c r="AA237" s="853"/>
      <c r="AB237" s="710" t="s">
        <v>329</v>
      </c>
      <c r="AC237" s="710" t="s">
        <v>329</v>
      </c>
      <c r="AD237" s="292" t="s">
        <v>329</v>
      </c>
      <c r="AE237" s="287">
        <v>1E-3</v>
      </c>
      <c r="AF237" s="287" t="s">
        <v>329</v>
      </c>
      <c r="AG237" s="288">
        <v>1E-3</v>
      </c>
      <c r="AH237" s="292" t="s">
        <v>329</v>
      </c>
      <c r="AI237" s="689">
        <v>1E-3</v>
      </c>
      <c r="AJ237" s="287" t="s">
        <v>329</v>
      </c>
      <c r="AK237" s="288">
        <v>1E-3</v>
      </c>
      <c r="AL237" s="786"/>
      <c r="AM237" s="287">
        <v>1E-3</v>
      </c>
      <c r="AN237" s="1037"/>
      <c r="AO237" s="1049">
        <v>1E-3</v>
      </c>
      <c r="AP237" s="287" t="s">
        <v>329</v>
      </c>
      <c r="AQ237" s="689" t="s">
        <v>329</v>
      </c>
      <c r="AR237" s="292" t="s">
        <v>329</v>
      </c>
      <c r="AS237" s="288" t="s">
        <v>329</v>
      </c>
      <c r="AT237" s="292" t="s">
        <v>329</v>
      </c>
      <c r="AU237" s="288" t="s">
        <v>329</v>
      </c>
      <c r="AV237" s="874"/>
      <c r="AW237" s="663"/>
      <c r="AX237" s="663"/>
      <c r="AY237" s="663"/>
      <c r="AZ237" s="664"/>
    </row>
    <row r="238" spans="1:52" s="650" customFormat="1" x14ac:dyDescent="0.2">
      <c r="A238" s="307" t="s">
        <v>556</v>
      </c>
      <c r="B238" s="1020"/>
      <c r="C238" s="1019"/>
      <c r="D238" s="1025"/>
      <c r="E238" s="1025"/>
      <c r="F238" s="502"/>
      <c r="G238" s="503"/>
      <c r="H238" s="1040" t="str">
        <f t="shared" si="41"/>
        <v>NA</v>
      </c>
      <c r="I238" s="1041" t="str">
        <f t="shared" si="41"/>
        <v>NA</v>
      </c>
      <c r="J238" s="1041" t="str">
        <f t="shared" si="41"/>
        <v>NA</v>
      </c>
      <c r="K238" s="1041" t="str">
        <f t="shared" si="41"/>
        <v>NA</v>
      </c>
      <c r="L238" s="1042" t="str">
        <f t="shared" si="41"/>
        <v>NA</v>
      </c>
      <c r="M238" s="289">
        <v>444</v>
      </c>
      <c r="N238" s="645">
        <v>4.87E-12</v>
      </c>
      <c r="O238" s="645">
        <f>IF(M238="NA","NA",(IF(N238="NA","NA",((((28.97+M238)/(28.97*M238))^0.5)*(10^-3)*(Data!$D$50^1.75)/((2*(20.1^(1/3)))^2)))))</f>
        <v>0.14851717029169345</v>
      </c>
      <c r="P238" s="637">
        <f>10^6.08</f>
        <v>1202264.4346174158</v>
      </c>
      <c r="Q238" s="629">
        <f>IF($P238="NA","NA",(0.617*Data!$D$9*$P238/100)/(1+Data!$D$15*$P238*0.000000617))</f>
        <v>22253.914684768366</v>
      </c>
      <c r="R238" s="629">
        <f t="shared" si="37"/>
        <v>22253.914684768366</v>
      </c>
      <c r="S238" s="290">
        <v>1</v>
      </c>
      <c r="T238" s="290">
        <f t="shared" si="38"/>
        <v>1</v>
      </c>
      <c r="U238" s="847">
        <v>6.12</v>
      </c>
      <c r="V238" s="860">
        <f>IF(Data!$D$69="",E238,IF(P238="NA","NA",(0.617*Data!$D$69*P238/100)/(1+Data!$D$15*P238*0.000000617)))</f>
        <v>14835.943123178911</v>
      </c>
      <c r="W238" s="847">
        <f>IF(OR(Q238="NA",Q238="",V238="NA",V238=""),"NA",(1+(V238/Q238)^1.5*((1-Data!$D$75)/(1-Data!$D$18))^1.5*(Data!$D$71/Data!$D$14)^1.5*(Data!$D$73/Data!$D$72)*(1/(39.37*Data!$D$72))^0.25))</f>
        <v>3.8303093677397904</v>
      </c>
      <c r="X238" s="847">
        <f>IF(W238="NA","NA",0.15*Data!$D$71*(1-Data!$D$75)*V238*((13.12*Data!$D$73)^(0.112*LN(Data!$D$71*(1-Data!$D$75)*V238)+1.38))/(W238*Data!$D$81))</f>
        <v>56338537.767357595</v>
      </c>
      <c r="Y238" s="847">
        <f>IF(OR(W238="NA",W238="",Data!$D$91="NA",Data!$D$91=""),"NA",W238*Data!$D$91)</f>
        <v>6.8495741227413944</v>
      </c>
      <c r="Z238" s="847">
        <f>IF(OR(W238="NA",W238="",Data!$D$91="NA",Data!$D$91=""),"NA",IF(Data!$D$68&lt;X238,W238*X238/Data!$D$68*Data!$D$91,W238*Data!$D$91))</f>
        <v>1929474.9520219064</v>
      </c>
      <c r="AA238" s="853"/>
      <c r="AB238" s="710" t="s">
        <v>329</v>
      </c>
      <c r="AC238" s="710" t="s">
        <v>329</v>
      </c>
      <c r="AD238" s="292" t="s">
        <v>329</v>
      </c>
      <c r="AE238" s="287" t="s">
        <v>329</v>
      </c>
      <c r="AF238" s="287" t="s">
        <v>329</v>
      </c>
      <c r="AG238" s="288" t="s">
        <v>329</v>
      </c>
      <c r="AH238" s="292" t="s">
        <v>329</v>
      </c>
      <c r="AI238" s="689" t="s">
        <v>329</v>
      </c>
      <c r="AJ238" s="287" t="s">
        <v>329</v>
      </c>
      <c r="AK238" s="288" t="s">
        <v>329</v>
      </c>
      <c r="AL238" s="786"/>
      <c r="AM238" s="815"/>
      <c r="AN238" s="1037"/>
      <c r="AO238" s="1049"/>
      <c r="AP238" s="287" t="s">
        <v>329</v>
      </c>
      <c r="AQ238" s="689" t="s">
        <v>329</v>
      </c>
      <c r="AR238" s="292" t="s">
        <v>329</v>
      </c>
      <c r="AS238" s="288" t="s">
        <v>329</v>
      </c>
      <c r="AT238" s="292" t="s">
        <v>329</v>
      </c>
      <c r="AU238" s="288" t="s">
        <v>329</v>
      </c>
      <c r="AV238" s="874"/>
      <c r="AW238" s="663"/>
      <c r="AX238" s="663"/>
      <c r="AY238" s="663"/>
      <c r="AZ238" s="664"/>
    </row>
    <row r="239" spans="1:52" s="650" customFormat="1" x14ac:dyDescent="0.2">
      <c r="A239" s="307" t="s">
        <v>557</v>
      </c>
      <c r="B239" s="1020"/>
      <c r="C239" s="1019"/>
      <c r="D239" s="1025"/>
      <c r="E239" s="1025"/>
      <c r="F239" s="502"/>
      <c r="G239" s="503"/>
      <c r="H239" s="1040" t="str">
        <f t="shared" si="41"/>
        <v>NA</v>
      </c>
      <c r="I239" s="1041" t="str">
        <f t="shared" si="41"/>
        <v>NA</v>
      </c>
      <c r="J239" s="1041" t="str">
        <f t="shared" si="41"/>
        <v>NA</v>
      </c>
      <c r="K239" s="1041" t="str">
        <f t="shared" si="41"/>
        <v>NA</v>
      </c>
      <c r="L239" s="1042" t="str">
        <f t="shared" si="41"/>
        <v>NA</v>
      </c>
      <c r="M239" s="289">
        <v>444</v>
      </c>
      <c r="N239" s="645">
        <v>4.87E-12</v>
      </c>
      <c r="O239" s="645">
        <f>IF(M239="NA","NA",(IF(N239="NA","NA",((((28.97+M239)/(28.97*M239))^0.5)*(10^-3)*(Data!$D$50^1.75)/((2*(20.1^(1/3)))^2)))))</f>
        <v>0.14851717029169345</v>
      </c>
      <c r="P239" s="637">
        <f>10^6.35</f>
        <v>2238721.1385683389</v>
      </c>
      <c r="Q239" s="629">
        <f>IF($P239="NA","NA",(0.617*Data!$D$9*$P239/100)/(1+Data!$D$15*$P239*0.000000617))</f>
        <v>41438.728274899957</v>
      </c>
      <c r="R239" s="629">
        <f t="shared" si="37"/>
        <v>41438.728274899957</v>
      </c>
      <c r="S239" s="290">
        <v>1</v>
      </c>
      <c r="T239" s="290">
        <f t="shared" si="38"/>
        <v>1</v>
      </c>
      <c r="U239" s="847">
        <v>6.12</v>
      </c>
      <c r="V239" s="860">
        <f>IF(Data!$D$69="",E239,IF(P239="NA","NA",(0.617*Data!$D$69*P239/100)/(1+Data!$D$15*P239*0.000000617)))</f>
        <v>27625.818849933301</v>
      </c>
      <c r="W239" s="847">
        <f>IF(OR(Q239="NA",Q239="",V239="NA",V239=""),"NA",(1+(V239/Q239)^1.5*((1-Data!$D$75)/(1-Data!$D$18))^1.5*(Data!$D$71/Data!$D$14)^1.5*(Data!$D$73/Data!$D$72)*(1/(39.37*Data!$D$72))^0.25))</f>
        <v>3.8303093677397895</v>
      </c>
      <c r="X239" s="847">
        <f>IF(W239="NA","NA",0.15*Data!$D$71*(1-Data!$D$75)*V239*((13.12*Data!$D$73)^(0.112*LN(Data!$D$71*(1-Data!$D$75)*V239)+1.38))/(W239*Data!$D$81))</f>
        <v>140383769.61180696</v>
      </c>
      <c r="Y239" s="847">
        <f>IF(OR(W239="NA",W239="",Data!$D$91="NA",Data!$D$91=""),"NA",W239*Data!$D$91)</f>
        <v>6.8495741227413927</v>
      </c>
      <c r="Z239" s="847">
        <f>IF(OR(W239="NA",W239="",Data!$D$91="NA",Data!$D$91=""),"NA",IF(Data!$D$68&lt;X239,W239*X239/Data!$D$68*Data!$D$91,W239*Data!$D$91))</f>
        <v>4807845.1779296128</v>
      </c>
      <c r="AA239" s="853"/>
      <c r="AB239" s="710" t="s">
        <v>329</v>
      </c>
      <c r="AC239" s="710" t="s">
        <v>329</v>
      </c>
      <c r="AD239" s="292" t="s">
        <v>329</v>
      </c>
      <c r="AE239" s="287" t="s">
        <v>329</v>
      </c>
      <c r="AF239" s="287" t="s">
        <v>329</v>
      </c>
      <c r="AG239" s="288" t="s">
        <v>329</v>
      </c>
      <c r="AH239" s="292" t="s">
        <v>329</v>
      </c>
      <c r="AI239" s="689" t="s">
        <v>329</v>
      </c>
      <c r="AJ239" s="287" t="s">
        <v>329</v>
      </c>
      <c r="AK239" s="288" t="s">
        <v>329</v>
      </c>
      <c r="AL239" s="786"/>
      <c r="AM239" s="815"/>
      <c r="AN239" s="1037"/>
      <c r="AO239" s="1049"/>
      <c r="AP239" s="287" t="s">
        <v>329</v>
      </c>
      <c r="AQ239" s="689" t="s">
        <v>329</v>
      </c>
      <c r="AR239" s="292" t="s">
        <v>329</v>
      </c>
      <c r="AS239" s="288" t="s">
        <v>329</v>
      </c>
      <c r="AT239" s="292" t="s">
        <v>329</v>
      </c>
      <c r="AU239" s="288" t="s">
        <v>329</v>
      </c>
      <c r="AV239" s="874"/>
      <c r="AW239" s="663"/>
      <c r="AX239" s="663"/>
      <c r="AY239" s="663"/>
      <c r="AZ239" s="664"/>
    </row>
    <row r="240" spans="1:52" s="650" customFormat="1" x14ac:dyDescent="0.2">
      <c r="A240" s="307" t="s">
        <v>558</v>
      </c>
      <c r="B240" s="1020"/>
      <c r="C240" s="1019"/>
      <c r="D240" s="1025"/>
      <c r="E240" s="1025"/>
      <c r="F240" s="502"/>
      <c r="G240" s="503"/>
      <c r="H240" s="1040" t="str">
        <f t="shared" si="41"/>
        <v>NA</v>
      </c>
      <c r="I240" s="1041" t="str">
        <f t="shared" si="41"/>
        <v>NA</v>
      </c>
      <c r="J240" s="1041" t="str">
        <f t="shared" si="41"/>
        <v>NA</v>
      </c>
      <c r="K240" s="1041" t="str">
        <f t="shared" si="41"/>
        <v>NA</v>
      </c>
      <c r="L240" s="1042" t="str">
        <f t="shared" si="41"/>
        <v>NA</v>
      </c>
      <c r="M240" s="289">
        <v>424</v>
      </c>
      <c r="N240" s="645">
        <f>0.000000086</f>
        <v>8.6000000000000002E-8</v>
      </c>
      <c r="O240" s="645">
        <f>IF(M240="NA","NA",(IF(N240="NA","NA",((((28.97+M240)/(28.97*M240))^0.5)*(10^-3)*(Data!$D$50^1.75)/((2*(20.1^(1/3)))^2)))))</f>
        <v>0.14873156415847416</v>
      </c>
      <c r="P240" s="637">
        <f>10^5.83</f>
        <v>676082.97539198259</v>
      </c>
      <c r="Q240" s="629">
        <f>IF($P240="NA","NA",(0.617*Data!$D$9*$P240/100)/(1+Data!$D$15*$P240*0.000000617))</f>
        <v>12514.295874505597</v>
      </c>
      <c r="R240" s="629">
        <f t="shared" si="37"/>
        <v>12514.295874505597</v>
      </c>
      <c r="S240" s="290">
        <v>1</v>
      </c>
      <c r="T240" s="290">
        <f t="shared" si="38"/>
        <v>1</v>
      </c>
      <c r="U240" s="847" t="s">
        <v>329</v>
      </c>
      <c r="V240" s="860">
        <f>IF(Data!$D$69="",E240,IF(P240="NA","NA",(0.617*Data!$D$69*P240/100)/(1+Data!$D$15*P240*0.000000617)))</f>
        <v>8342.8639163370644</v>
      </c>
      <c r="W240" s="847">
        <f>IF(OR(Q240="NA",Q240="",V240="NA",V240=""),"NA",(1+(V240/Q240)^1.5*((1-Data!$D$75)/(1-Data!$D$18))^1.5*(Data!$D$71/Data!$D$14)^1.5*(Data!$D$73/Data!$D$72)*(1/(39.37*Data!$D$72))^0.25))</f>
        <v>3.8303093677397895</v>
      </c>
      <c r="X240" s="847">
        <f>IF(W240="NA","NA",0.15*Data!$D$71*(1-Data!$D$75)*V240*((13.12*Data!$D$73)^(0.112*LN(Data!$D$71*(1-Data!$D$75)*V240)+1.38))/(W240*Data!$D$81))</f>
        <v>24191647.820831355</v>
      </c>
      <c r="Y240" s="847">
        <f>IF(OR(W240="NA",W240="",Data!$D$91="NA",Data!$D$91=""),"NA",W240*Data!$D$91)</f>
        <v>6.8495741227413927</v>
      </c>
      <c r="Z240" s="847">
        <f>IF(OR(W240="NA",W240="",Data!$D$91="NA",Data!$D$91=""),"NA",IF(Data!$D$68&lt;X240,W240*X240/Data!$D$68*Data!$D$91,W240*Data!$D$91))</f>
        <v>828512.42450019834</v>
      </c>
      <c r="AA240" s="853"/>
      <c r="AB240" s="710" t="s">
        <v>329</v>
      </c>
      <c r="AC240" s="710" t="s">
        <v>329</v>
      </c>
      <c r="AD240" s="292" t="s">
        <v>329</v>
      </c>
      <c r="AE240" s="287" t="s">
        <v>329</v>
      </c>
      <c r="AF240" s="287" t="s">
        <v>329</v>
      </c>
      <c r="AG240" s="288" t="s">
        <v>329</v>
      </c>
      <c r="AH240" s="292" t="s">
        <v>329</v>
      </c>
      <c r="AI240" s="689" t="s">
        <v>329</v>
      </c>
      <c r="AJ240" s="287" t="s">
        <v>329</v>
      </c>
      <c r="AK240" s="288" t="s">
        <v>329</v>
      </c>
      <c r="AL240" s="786"/>
      <c r="AM240" s="815"/>
      <c r="AN240" s="1037"/>
      <c r="AO240" s="1049"/>
      <c r="AP240" s="287" t="s">
        <v>329</v>
      </c>
      <c r="AQ240" s="689" t="s">
        <v>329</v>
      </c>
      <c r="AR240" s="292" t="s">
        <v>329</v>
      </c>
      <c r="AS240" s="288" t="s">
        <v>329</v>
      </c>
      <c r="AT240" s="292" t="s">
        <v>329</v>
      </c>
      <c r="AU240" s="288" t="s">
        <v>329</v>
      </c>
      <c r="AV240" s="874"/>
      <c r="AW240" s="663"/>
      <c r="AX240" s="663"/>
      <c r="AY240" s="663"/>
      <c r="AZ240" s="664"/>
    </row>
    <row r="241" spans="1:52" s="650" customFormat="1" x14ac:dyDescent="0.2">
      <c r="A241" s="307" t="s">
        <v>559</v>
      </c>
      <c r="B241" s="1020"/>
      <c r="C241" s="1019"/>
      <c r="D241" s="1025"/>
      <c r="E241" s="1025"/>
      <c r="F241" s="502"/>
      <c r="G241" s="503"/>
      <c r="H241" s="1040" t="str">
        <f t="shared" si="41"/>
        <v>NA</v>
      </c>
      <c r="I241" s="1041" t="str">
        <f t="shared" si="41"/>
        <v>NA</v>
      </c>
      <c r="J241" s="1041" t="str">
        <f t="shared" si="41"/>
        <v>NA</v>
      </c>
      <c r="K241" s="1041" t="str">
        <f t="shared" si="41"/>
        <v>NA</v>
      </c>
      <c r="L241" s="1042" t="str">
        <f t="shared" si="41"/>
        <v>NA</v>
      </c>
      <c r="M241" s="289">
        <v>391.29</v>
      </c>
      <c r="N241" s="645">
        <v>1.0950000000000001E-6</v>
      </c>
      <c r="O241" s="645">
        <f>IF(M241="NA","NA",(IF(N241="NA","NA",((((28.97+M241)/(28.97*M241))^0.5)*(10^-3)*(Data!$D$50^1.75)/((2*(20.1^(1/3)))^2)))))</f>
        <v>0.14912862282823566</v>
      </c>
      <c r="P241" s="637">
        <f>10^(6.1)</f>
        <v>1258925.4117941677</v>
      </c>
      <c r="Q241" s="629">
        <f>IF($P241="NA","NA",(0.617*Data!$D$9*$P241/100)/(1+Data!$D$15*$P241*0.000000617))</f>
        <v>23302.709372310041</v>
      </c>
      <c r="R241" s="629">
        <f t="shared" si="37"/>
        <v>23302.709372310041</v>
      </c>
      <c r="S241" s="290">
        <v>1</v>
      </c>
      <c r="T241" s="290">
        <f t="shared" si="38"/>
        <v>1</v>
      </c>
      <c r="U241" s="850">
        <v>6</v>
      </c>
      <c r="V241" s="860">
        <f>IF(Data!$D$69="",E241,IF(P241="NA","NA",(0.617*Data!$D$69*P241/100)/(1+Data!$D$15*P241*0.000000617)))</f>
        <v>15535.139581540028</v>
      </c>
      <c r="W241" s="847">
        <f>IF(OR(Q241="NA",Q241="",V241="NA",V241=""),"NA",(1+(V241/Q241)^1.5*((1-Data!$D$75)/(1-Data!$D$18))^1.5*(Data!$D$71/Data!$D$14)^1.5*(Data!$D$73/Data!$D$72)*(1/(39.37*Data!$D$72))^0.25))</f>
        <v>3.8303093677397904</v>
      </c>
      <c r="X241" s="847">
        <f>IF(W241="NA","NA",0.15*Data!$D$71*(1-Data!$D$75)*V241*((13.12*Data!$D$73)^(0.112*LN(Data!$D$71*(1-Data!$D$75)*V241)+1.38))/(W241*Data!$D$81))</f>
        <v>60280490.917839773</v>
      </c>
      <c r="Y241" s="847">
        <f>IF(OR(W241="NA",W241="",Data!$D$91="NA",Data!$D$91=""),"NA",W241*Data!$D$91)</f>
        <v>6.8495741227413944</v>
      </c>
      <c r="Z241" s="847">
        <f>IF(OR(W241="NA",W241="",Data!$D$91="NA",Data!$D$91=""),"NA",IF(Data!$D$68&lt;X241,W241*X241/Data!$D$68*Data!$D$91,W241*Data!$D$91))</f>
        <v>2064478.4534849145</v>
      </c>
      <c r="AA241" s="853"/>
      <c r="AB241" s="710" t="s">
        <v>329</v>
      </c>
      <c r="AC241" s="710" t="s">
        <v>329</v>
      </c>
      <c r="AD241" s="292" t="s">
        <v>329</v>
      </c>
      <c r="AE241" s="287" t="s">
        <v>329</v>
      </c>
      <c r="AF241" s="287" t="s">
        <v>329</v>
      </c>
      <c r="AG241" s="288" t="s">
        <v>329</v>
      </c>
      <c r="AH241" s="292" t="s">
        <v>329</v>
      </c>
      <c r="AI241" s="689" t="s">
        <v>329</v>
      </c>
      <c r="AJ241" s="287" t="s">
        <v>329</v>
      </c>
      <c r="AK241" s="288" t="s">
        <v>329</v>
      </c>
      <c r="AL241" s="786"/>
      <c r="AM241" s="815"/>
      <c r="AN241" s="1037"/>
      <c r="AO241" s="1049"/>
      <c r="AP241" s="287" t="s">
        <v>329</v>
      </c>
      <c r="AQ241" s="689" t="s">
        <v>329</v>
      </c>
      <c r="AR241" s="292" t="s">
        <v>329</v>
      </c>
      <c r="AS241" s="288" t="s">
        <v>329</v>
      </c>
      <c r="AT241" s="292" t="s">
        <v>329</v>
      </c>
      <c r="AU241" s="288" t="s">
        <v>329</v>
      </c>
      <c r="AV241" s="874"/>
      <c r="AW241" s="663"/>
      <c r="AX241" s="663"/>
      <c r="AY241" s="663"/>
      <c r="AZ241" s="664"/>
    </row>
    <row r="242" spans="1:52" s="650" customFormat="1" x14ac:dyDescent="0.2">
      <c r="A242" s="307" t="s">
        <v>560</v>
      </c>
      <c r="B242" s="1020"/>
      <c r="C242" s="1019"/>
      <c r="D242" s="1025"/>
      <c r="E242" s="1025"/>
      <c r="F242" s="502"/>
      <c r="G242" s="503"/>
      <c r="H242" s="1040" t="str">
        <f t="shared" si="41"/>
        <v>NA</v>
      </c>
      <c r="I242" s="1041" t="str">
        <f t="shared" si="41"/>
        <v>NA</v>
      </c>
      <c r="J242" s="1041" t="str">
        <f t="shared" si="41"/>
        <v>NA</v>
      </c>
      <c r="K242" s="1041" t="str">
        <f t="shared" si="41"/>
        <v>NA</v>
      </c>
      <c r="L242" s="1042" t="str">
        <f t="shared" si="41"/>
        <v>NA</v>
      </c>
      <c r="M242" s="289">
        <v>391.29</v>
      </c>
      <c r="N242" s="645">
        <v>1.0950000000000001E-6</v>
      </c>
      <c r="O242" s="645">
        <f>IF(M242="NA","NA",(IF(N242="NA","NA",((((28.97+M242)/(28.97*M242))^0.5)*(10^-3)*(Data!$D$50^1.75)/((2*(20.1^(1/3)))^2)))))</f>
        <v>0.14912862282823566</v>
      </c>
      <c r="P242" s="637">
        <f>10^(6.1)</f>
        <v>1258925.4117941677</v>
      </c>
      <c r="Q242" s="629">
        <f>IF($P242="NA","NA",(0.617*Data!$D$9*$P242/100)/(1+Data!$D$15*$P242*0.000000617))</f>
        <v>23302.709372310041</v>
      </c>
      <c r="R242" s="629">
        <f t="shared" si="37"/>
        <v>23302.709372310041</v>
      </c>
      <c r="S242" s="290">
        <v>1</v>
      </c>
      <c r="T242" s="290">
        <f t="shared" si="38"/>
        <v>1</v>
      </c>
      <c r="U242" s="850">
        <v>6</v>
      </c>
      <c r="V242" s="860">
        <f>IF(Data!$D$69="",E242,IF(P242="NA","NA",(0.617*Data!$D$69*P242/100)/(1+Data!$D$15*P242*0.000000617)))</f>
        <v>15535.139581540028</v>
      </c>
      <c r="W242" s="847">
        <f>IF(OR(Q242="NA",Q242="",V242="NA",V242=""),"NA",(1+(V242/Q242)^1.5*((1-Data!$D$75)/(1-Data!$D$18))^1.5*(Data!$D$71/Data!$D$14)^1.5*(Data!$D$73/Data!$D$72)*(1/(39.37*Data!$D$72))^0.25))</f>
        <v>3.8303093677397904</v>
      </c>
      <c r="X242" s="847">
        <f>IF(W242="NA","NA",0.15*Data!$D$71*(1-Data!$D$75)*V242*((13.12*Data!$D$73)^(0.112*LN(Data!$D$71*(1-Data!$D$75)*V242)+1.38))/(W242*Data!$D$81))</f>
        <v>60280490.917839773</v>
      </c>
      <c r="Y242" s="847">
        <f>IF(OR(W242="NA",W242="",Data!$D$91="NA",Data!$D$91=""),"NA",W242*Data!$D$91)</f>
        <v>6.8495741227413944</v>
      </c>
      <c r="Z242" s="847">
        <f>IF(OR(W242="NA",W242="",Data!$D$91="NA",Data!$D$91=""),"NA",IF(Data!$D$68&lt;X242,W242*X242/Data!$D$68*Data!$D$91,W242*Data!$D$91))</f>
        <v>2064478.4534849145</v>
      </c>
      <c r="AA242" s="853"/>
      <c r="AB242" s="710" t="s">
        <v>329</v>
      </c>
      <c r="AC242" s="710" t="s">
        <v>329</v>
      </c>
      <c r="AD242" s="292" t="s">
        <v>329</v>
      </c>
      <c r="AE242" s="287" t="s">
        <v>329</v>
      </c>
      <c r="AF242" s="287" t="s">
        <v>329</v>
      </c>
      <c r="AG242" s="288" t="s">
        <v>329</v>
      </c>
      <c r="AH242" s="292" t="s">
        <v>329</v>
      </c>
      <c r="AI242" s="689" t="s">
        <v>329</v>
      </c>
      <c r="AJ242" s="287" t="s">
        <v>329</v>
      </c>
      <c r="AK242" s="288" t="s">
        <v>329</v>
      </c>
      <c r="AL242" s="786"/>
      <c r="AM242" s="815"/>
      <c r="AN242" s="1037"/>
      <c r="AO242" s="1049"/>
      <c r="AP242" s="287" t="s">
        <v>329</v>
      </c>
      <c r="AQ242" s="689" t="s">
        <v>329</v>
      </c>
      <c r="AR242" s="292" t="s">
        <v>329</v>
      </c>
      <c r="AS242" s="288" t="s">
        <v>329</v>
      </c>
      <c r="AT242" s="292" t="s">
        <v>329</v>
      </c>
      <c r="AU242" s="288" t="s">
        <v>329</v>
      </c>
      <c r="AV242" s="874"/>
      <c r="AW242" s="663"/>
      <c r="AX242" s="663"/>
      <c r="AY242" s="663"/>
      <c r="AZ242" s="664"/>
    </row>
    <row r="243" spans="1:52" s="650" customFormat="1" x14ac:dyDescent="0.2">
      <c r="A243" s="308" t="s">
        <v>561</v>
      </c>
      <c r="B243" s="1020"/>
      <c r="C243" s="1019"/>
      <c r="D243" s="1025"/>
      <c r="E243" s="1025"/>
      <c r="F243" s="502"/>
      <c r="G243" s="503"/>
      <c r="H243" s="1040" t="str">
        <f t="shared" si="41"/>
        <v>NA</v>
      </c>
      <c r="I243" s="1041" t="str">
        <f t="shared" si="41"/>
        <v>NA</v>
      </c>
      <c r="J243" s="1041" t="str">
        <f t="shared" si="41"/>
        <v>NA</v>
      </c>
      <c r="K243" s="1041" t="str">
        <f t="shared" si="41"/>
        <v>NA</v>
      </c>
      <c r="L243" s="1042">
        <f t="shared" si="41"/>
        <v>22</v>
      </c>
      <c r="M243" s="522">
        <v>269.5</v>
      </c>
      <c r="N243" s="667">
        <v>1.31E-8</v>
      </c>
      <c r="O243" s="667">
        <v>1.9400000000000001E-2</v>
      </c>
      <c r="P243" s="666">
        <v>2570</v>
      </c>
      <c r="Q243" s="629">
        <f>IF($P243="NA","NA",(0.617*Data!$D$9*$P243/100)/(1+Data!$D$15*$P243*0.000000617))</f>
        <v>47.570699999999995</v>
      </c>
      <c r="R243" s="629">
        <f t="shared" si="37"/>
        <v>47.570699999999995</v>
      </c>
      <c r="S243" s="290">
        <v>1</v>
      </c>
      <c r="T243" s="290">
        <f>IF(S243= "NA", "NA", S243)</f>
        <v>1</v>
      </c>
      <c r="U243" s="848">
        <v>140000</v>
      </c>
      <c r="V243" s="860">
        <f>IF(Data!$D$69="",E243,IF(P243="NA","NA",(0.617*Data!$D$69*P243/100)/(1+Data!$D$15*P243*0.000000617)))</f>
        <v>31.713800000000003</v>
      </c>
      <c r="W243" s="847">
        <f>IF(OR(Q243="NA",Q243="",V243="NA",V243=""),"NA",(1+(V243/Q243)^1.5*((1-Data!$D$75)/(1-Data!$D$18))^1.5*(Data!$D$71/Data!$D$14)^1.5*(Data!$D$73/Data!$D$72)*(1/(39.37*Data!$D$72))^0.25))</f>
        <v>3.8303093677397904</v>
      </c>
      <c r="X243" s="847">
        <f>IF(W243="NA","NA",0.15*Data!$D$71*(1-Data!$D$75)*V243*((13.12*Data!$D$73)^(0.112*LN(Data!$D$71*(1-Data!$D$75)*V243)+1.38))/(W243*Data!$D$81))</f>
        <v>6755.3970893678761</v>
      </c>
      <c r="Y243" s="847">
        <f>IF(OR(W243="NA",W243="",Data!$D$91="NA",Data!$D$91=""),"NA",W243*Data!$D$91)</f>
        <v>6.8495741227413944</v>
      </c>
      <c r="Z243" s="847">
        <f>IF(OR(W243="NA",W243="",Data!$D$91="NA",Data!$D$91=""),"NA",IF(Data!$D$68&lt;X243,W243*X243/Data!$D$68*Data!$D$91,W243*Data!$D$91))</f>
        <v>231.35796546088372</v>
      </c>
      <c r="AA243" s="853"/>
      <c r="AB243" s="713">
        <v>50</v>
      </c>
      <c r="AC243" s="713">
        <v>50</v>
      </c>
      <c r="AD243" s="292" t="s">
        <v>329</v>
      </c>
      <c r="AE243" s="287" t="s">
        <v>329</v>
      </c>
      <c r="AF243" s="287" t="s">
        <v>329</v>
      </c>
      <c r="AG243" s="288" t="s">
        <v>329</v>
      </c>
      <c r="AH243" s="292" t="s">
        <v>329</v>
      </c>
      <c r="AI243" s="689" t="s">
        <v>329</v>
      </c>
      <c r="AJ243" s="287" t="s">
        <v>329</v>
      </c>
      <c r="AK243" s="288" t="s">
        <v>329</v>
      </c>
      <c r="AL243" s="786"/>
      <c r="AM243" s="815"/>
      <c r="AN243" s="1037"/>
      <c r="AO243" s="1049"/>
      <c r="AP243" s="287" t="s">
        <v>329</v>
      </c>
      <c r="AQ243" s="689" t="s">
        <v>329</v>
      </c>
      <c r="AR243" s="292" t="s">
        <v>329</v>
      </c>
      <c r="AS243" s="288" t="s">
        <v>329</v>
      </c>
      <c r="AT243" s="941">
        <v>22</v>
      </c>
      <c r="AU243" s="936">
        <v>22</v>
      </c>
      <c r="AV243" s="874"/>
      <c r="AW243" s="663"/>
      <c r="AX243" s="663"/>
      <c r="AY243" s="663"/>
      <c r="AZ243" s="664"/>
    </row>
    <row r="244" spans="1:52" s="709" customFormat="1" ht="13.8" thickBot="1" x14ac:dyDescent="0.25">
      <c r="A244" s="701" t="s">
        <v>562</v>
      </c>
      <c r="B244" s="1030"/>
      <c r="C244" s="1031"/>
      <c r="D244" s="1032"/>
      <c r="E244" s="1032"/>
      <c r="F244" s="702"/>
      <c r="G244" s="703"/>
      <c r="H244" s="1040">
        <f t="shared" si="41"/>
        <v>0.73</v>
      </c>
      <c r="I244" s="1041">
        <f t="shared" si="41"/>
        <v>2.0000000000000001E-4</v>
      </c>
      <c r="J244" s="1041">
        <f t="shared" si="41"/>
        <v>2.0000000000000001E-4</v>
      </c>
      <c r="K244" s="1041" t="str">
        <f t="shared" si="41"/>
        <v>NA</v>
      </c>
      <c r="L244" s="1042">
        <f t="shared" si="41"/>
        <v>1.2</v>
      </c>
      <c r="M244" s="704">
        <v>414</v>
      </c>
      <c r="N244" s="708">
        <v>4.8999999999999998E-3</v>
      </c>
      <c r="O244" s="708">
        <v>1.1599999999999999E-2</v>
      </c>
      <c r="P244" s="706">
        <v>316227.7660168382</v>
      </c>
      <c r="Q244" s="707">
        <f>IF($P244="NA","NA",(0.617*Data!$D$9*$P244/100)/(1+Data!$D$15*$P244*0.000000617))</f>
        <v>5853.3759489716749</v>
      </c>
      <c r="R244" s="707">
        <f t="shared" si="37"/>
        <v>5853.3759489716749</v>
      </c>
      <c r="S244" s="705">
        <v>1</v>
      </c>
      <c r="T244" s="705">
        <v>1</v>
      </c>
      <c r="U244" s="851">
        <v>740</v>
      </c>
      <c r="V244" s="860">
        <f>IF(Data!$D$69="",E244,IF(P244="NA","NA",(0.617*Data!$D$69*P244/100)/(1+Data!$D$15*P244*0.000000617)))</f>
        <v>3902.2506326477833</v>
      </c>
      <c r="W244" s="847">
        <f>IF(OR(Q244="NA",Q244="",V244="NA",V244=""),"NA",(1+(V244/Q244)^1.5*((1-Data!$D$75)/(1-Data!$D$18))^1.5*(Data!$D$71/Data!$D$14)^1.5*(Data!$D$73/Data!$D$72)*(1/(39.37*Data!$D$72))^0.25))</f>
        <v>3.8303093677397895</v>
      </c>
      <c r="X244" s="847">
        <f>IF(W244="NA","NA",0.15*Data!$D$71*(1-Data!$D$75)*V244*((13.12*Data!$D$73)^(0.112*LN(Data!$D$71*(1-Data!$D$75)*V244)+1.38))/(W244*Data!$D$81))</f>
        <v>7925752.2696714206</v>
      </c>
      <c r="Y244" s="847">
        <f>IF(OR(W244="NA",W244="",Data!$D$91="NA",Data!$D$91=""),"NA",W244*Data!$D$91)</f>
        <v>6.8495741227413927</v>
      </c>
      <c r="Z244" s="847">
        <f>IF(OR(W244="NA",W244="",Data!$D$91="NA",Data!$D$91=""),"NA",IF(Data!$D$68&lt;X244,W244*X244/Data!$D$68*Data!$D$91,W244*Data!$D$91))</f>
        <v>271440.13824800111</v>
      </c>
      <c r="AA244" s="853"/>
      <c r="AB244" s="714">
        <v>3</v>
      </c>
      <c r="AC244" s="714">
        <v>3</v>
      </c>
      <c r="AD244" s="824">
        <v>0.73</v>
      </c>
      <c r="AE244" s="821">
        <v>2.0000000000000001E-4</v>
      </c>
      <c r="AF244" s="823">
        <v>0.21</v>
      </c>
      <c r="AG244" s="822">
        <v>2.0000000000000001E-4</v>
      </c>
      <c r="AH244" s="824">
        <v>0.73</v>
      </c>
      <c r="AI244" s="899">
        <v>2.0000000000000001E-4</v>
      </c>
      <c r="AJ244" s="823">
        <v>0.21</v>
      </c>
      <c r="AK244" s="822">
        <v>2.0000000000000001E-4</v>
      </c>
      <c r="AL244" s="784">
        <v>0.73</v>
      </c>
      <c r="AM244" s="825">
        <v>2.5000000000000001E-4</v>
      </c>
      <c r="AN244" s="1037">
        <v>0.21</v>
      </c>
      <c r="AO244" s="1049">
        <v>2.0000000000000001E-4</v>
      </c>
      <c r="AP244" s="287" t="s">
        <v>329</v>
      </c>
      <c r="AQ244" s="689" t="s">
        <v>329</v>
      </c>
      <c r="AR244" s="922">
        <v>10</v>
      </c>
      <c r="AS244" s="923">
        <v>26000</v>
      </c>
      <c r="AT244" s="942">
        <v>1.2</v>
      </c>
      <c r="AU244" s="937">
        <v>1.2</v>
      </c>
      <c r="AV244" s="874"/>
      <c r="AW244" s="663"/>
      <c r="AX244" s="663"/>
      <c r="AY244" s="663"/>
      <c r="AZ244" s="664"/>
    </row>
    <row r="245" spans="1:52" s="55" customFormat="1" x14ac:dyDescent="0.25">
      <c r="A245" s="573" t="s">
        <v>563</v>
      </c>
      <c r="B245" s="511"/>
      <c r="C245" s="512"/>
      <c r="D245" s="512"/>
      <c r="E245" s="513"/>
      <c r="F245" s="547"/>
      <c r="G245" s="548"/>
      <c r="H245" s="800"/>
      <c r="I245" s="534"/>
      <c r="J245" s="534"/>
      <c r="K245" s="534"/>
      <c r="L245" s="808"/>
      <c r="M245" s="511"/>
      <c r="N245" s="534"/>
      <c r="O245" s="534"/>
      <c r="P245" s="639"/>
      <c r="Q245" s="631"/>
      <c r="R245" s="631"/>
      <c r="S245" s="512"/>
      <c r="T245" s="512"/>
      <c r="U245" s="534"/>
      <c r="V245" s="800"/>
      <c r="W245" s="534"/>
      <c r="X245" s="534"/>
      <c r="Y245" s="534"/>
      <c r="Z245" s="534"/>
      <c r="AA245" s="513"/>
      <c r="AB245" s="527"/>
      <c r="AC245" s="527"/>
      <c r="AD245" s="511"/>
      <c r="AE245" s="512"/>
      <c r="AF245" s="512"/>
      <c r="AG245" s="513"/>
      <c r="AH245" s="511"/>
      <c r="AI245" s="512"/>
      <c r="AJ245" s="512"/>
      <c r="AK245" s="513"/>
      <c r="AL245" s="511"/>
      <c r="AM245" s="512"/>
      <c r="AN245" s="1050"/>
      <c r="AO245" s="1051"/>
      <c r="AP245" s="512"/>
      <c r="AQ245" s="512"/>
      <c r="AR245" s="511"/>
      <c r="AS245" s="513"/>
      <c r="AT245" s="511"/>
      <c r="AU245" s="513"/>
      <c r="AV245" s="511"/>
      <c r="AW245" s="512"/>
      <c r="AX245" s="512"/>
      <c r="AY245" s="512"/>
      <c r="AZ245" s="513"/>
    </row>
    <row r="246" spans="1:52" s="55" customFormat="1" x14ac:dyDescent="0.25">
      <c r="A246" s="307" t="s">
        <v>564</v>
      </c>
      <c r="B246" s="1018"/>
      <c r="C246" s="1019"/>
      <c r="D246" s="1020"/>
      <c r="E246" s="1021"/>
      <c r="F246" s="502"/>
      <c r="G246" s="503"/>
      <c r="H246" s="1040" t="str">
        <f t="shared" ref="H246:L255" si="42">IF(INDEX($AB$11:$AZ$310,,H$7)=0,"NA",INDEX($AB$11:$AZ$310,,H$7))</f>
        <v>NA</v>
      </c>
      <c r="I246" s="1041" t="str">
        <f t="shared" si="42"/>
        <v>NA</v>
      </c>
      <c r="J246" s="1041" t="str">
        <f t="shared" si="42"/>
        <v>NA</v>
      </c>
      <c r="K246" s="1041" t="str">
        <f t="shared" si="42"/>
        <v>NA</v>
      </c>
      <c r="L246" s="1042" t="str">
        <f t="shared" si="42"/>
        <v>NA</v>
      </c>
      <c r="M246" s="289">
        <v>425.28</v>
      </c>
      <c r="N246" s="645">
        <f>0.000001312</f>
        <v>1.3120000000000001E-6</v>
      </c>
      <c r="O246" s="645">
        <f>IF(M246="NA","NA",(IF(N246="NA","NA",((((28.97+M246)/(28.97*M246))^0.5)*(10^-3)*(Data!$D$50^1.75)/((2*(20.1^(1/3)))^2)))))</f>
        <v>0.14871724860589197</v>
      </c>
      <c r="P246" s="637">
        <f>10^8</f>
        <v>100000000</v>
      </c>
      <c r="Q246" s="629">
        <f>IF($P246="NA","NA",(0.617*Data!$D$9*$P246/100)/(1+Data!$D$15*$P246*0.000000617))</f>
        <v>1851000</v>
      </c>
      <c r="R246" s="629">
        <f t="shared" ref="R246:R309" si="43">Q246</f>
        <v>1851000</v>
      </c>
      <c r="S246" s="290">
        <v>1</v>
      </c>
      <c r="T246" s="290">
        <f t="shared" ref="T246:T307" si="44">IF(S246= "NA", "NA", S246)</f>
        <v>1</v>
      </c>
      <c r="U246" s="847">
        <v>0.42</v>
      </c>
      <c r="V246" s="860">
        <f>IF(Data!$D$69="",E246,IF(P246="NA","NA",(0.617*Data!$D$69*P246/100)/(1+Data!$D$15*P246*0.000000617)))</f>
        <v>1234000</v>
      </c>
      <c r="W246" s="847">
        <f>IF(OR(Q246="NA",Q246="",V246="NA",V246=""),"NA",(1+(V246/Q246)^1.5*((1-Data!$D$75)/(1-Data!$D$18))^1.5*(Data!$D$71/Data!$D$14)^1.5*(Data!$D$73/Data!$D$72)*(1/(39.37*Data!$D$72))^0.25))</f>
        <v>3.8303093677397895</v>
      </c>
      <c r="X246" s="847">
        <f>IF(W246="NA","NA",0.15*Data!$D$71*(1-Data!$D$75)*V246*((13.12*Data!$D$73)^(0.112*LN(Data!$D$71*(1-Data!$D$75)*V246)+1.38))/(W246*Data!$D$81))</f>
        <v>37191328214.588615</v>
      </c>
      <c r="Y246" s="847">
        <f>IF(OR(W246="NA",W246="",Data!$D$91="NA",Data!$D$91=""),"NA",W246*Data!$D$91)</f>
        <v>6.8495741227413927</v>
      </c>
      <c r="Z246" s="847">
        <f>IF(OR(W246="NA",W246="",Data!$D$91="NA",Data!$D$91=""),"NA",IF(Data!$D$68&lt;X246,W246*X246/Data!$D$68*Data!$D$91,W246*Data!$D$91))</f>
        <v>1273723796.6451402</v>
      </c>
      <c r="AA246" s="853"/>
      <c r="AB246" s="710" t="s">
        <v>329</v>
      </c>
      <c r="AC246" s="710" t="s">
        <v>329</v>
      </c>
      <c r="AD246" s="292" t="s">
        <v>329</v>
      </c>
      <c r="AE246" s="287" t="s">
        <v>329</v>
      </c>
      <c r="AF246" s="287" t="s">
        <v>329</v>
      </c>
      <c r="AG246" s="288" t="s">
        <v>329</v>
      </c>
      <c r="AH246" s="292" t="s">
        <v>329</v>
      </c>
      <c r="AI246" s="689" t="s">
        <v>329</v>
      </c>
      <c r="AJ246" s="287" t="s">
        <v>329</v>
      </c>
      <c r="AK246" s="288" t="s">
        <v>329</v>
      </c>
      <c r="AL246" s="786"/>
      <c r="AM246" s="815"/>
      <c r="AN246" s="1037"/>
      <c r="AO246" s="1049"/>
      <c r="AP246" s="287" t="s">
        <v>329</v>
      </c>
      <c r="AQ246" s="689" t="s">
        <v>329</v>
      </c>
      <c r="AR246" s="292" t="s">
        <v>329</v>
      </c>
      <c r="AS246" s="288" t="s">
        <v>329</v>
      </c>
      <c r="AT246" s="292" t="s">
        <v>329</v>
      </c>
      <c r="AU246" s="288" t="s">
        <v>329</v>
      </c>
      <c r="AV246" s="874"/>
      <c r="AW246" s="663"/>
      <c r="AX246" s="663"/>
      <c r="AY246" s="663"/>
      <c r="AZ246" s="664"/>
    </row>
    <row r="247" spans="1:52" s="55" customFormat="1" x14ac:dyDescent="0.25">
      <c r="A247" s="307" t="s">
        <v>565</v>
      </c>
      <c r="B247" s="1020"/>
      <c r="C247" s="1019"/>
      <c r="D247" s="1025"/>
      <c r="E247" s="1025"/>
      <c r="F247" s="502"/>
      <c r="G247" s="503"/>
      <c r="H247" s="1040" t="str">
        <f t="shared" si="42"/>
        <v>NA</v>
      </c>
      <c r="I247" s="1041" t="str">
        <f t="shared" si="42"/>
        <v>NA</v>
      </c>
      <c r="J247" s="1041" t="str">
        <f t="shared" si="42"/>
        <v>NA</v>
      </c>
      <c r="K247" s="1041" t="str">
        <f t="shared" si="42"/>
        <v>NA</v>
      </c>
      <c r="L247" s="1042" t="str">
        <f t="shared" si="42"/>
        <v>NA</v>
      </c>
      <c r="M247" s="289">
        <v>409.3</v>
      </c>
      <c r="N247" s="645">
        <f>0.000014</f>
        <v>1.4E-5</v>
      </c>
      <c r="O247" s="645">
        <f>IF(M247="NA","NA",(IF(N247="NA","NA",((((28.97+M247)/(28.97*M247))^0.5)*(10^-3)*(Data!$D$50^1.75)/((2*(20.1^(1/3)))^2)))))</f>
        <v>0.14890228188544158</v>
      </c>
      <c r="P247" s="637">
        <f>10^7.92</f>
        <v>83176377.110267311</v>
      </c>
      <c r="Q247" s="629">
        <f>IF($P247="NA","NA",(0.617*Data!$D$9*$P247/100)/(1+Data!$D$15*$P247*0.000000617))</f>
        <v>1539594.740311048</v>
      </c>
      <c r="R247" s="629">
        <f t="shared" si="43"/>
        <v>1539594.740311048</v>
      </c>
      <c r="S247" s="290">
        <v>1</v>
      </c>
      <c r="T247" s="290">
        <f t="shared" si="44"/>
        <v>1</v>
      </c>
      <c r="U247" s="847">
        <v>0.76200000000000001</v>
      </c>
      <c r="V247" s="860">
        <f>IF(Data!$D$69="",E247,IF(P247="NA","NA",(0.617*Data!$D$69*P247/100)/(1+Data!$D$15*P247*0.000000617)))</f>
        <v>1026396.4935406985</v>
      </c>
      <c r="W247" s="847">
        <f>IF(OR(Q247="NA",Q247="",V247="NA",V247=""),"NA",(1+(V247/Q247)^1.5*((1-Data!$D$75)/(1-Data!$D$18))^1.5*(Data!$D$71/Data!$D$14)^1.5*(Data!$D$73/Data!$D$72)*(1/(39.37*Data!$D$72))^0.25))</f>
        <v>3.8303093677397895</v>
      </c>
      <c r="X247" s="847">
        <f>IF(W247="NA","NA",0.15*Data!$D$71*(1-Data!$D$75)*V247*((13.12*Data!$D$73)^(0.112*LN(Data!$D$71*(1-Data!$D$75)*V247)+1.38))/(W247*Data!$D$81))</f>
        <v>28376370790.122265</v>
      </c>
      <c r="Y247" s="847">
        <f>IF(OR(W247="NA",W247="",Data!$D$91="NA",Data!$D$91=""),"NA",W247*Data!$D$91)</f>
        <v>6.8495741227413927</v>
      </c>
      <c r="Z247" s="847">
        <f>IF(OR(W247="NA",W247="",Data!$D$91="NA",Data!$D$91=""),"NA",IF(Data!$D$68&lt;X247,W247*X247/Data!$D$68*Data!$D$91,W247*Data!$D$91))</f>
        <v>971830275.30668092</v>
      </c>
      <c r="AA247" s="853"/>
      <c r="AB247" s="710" t="s">
        <v>329</v>
      </c>
      <c r="AC247" s="710" t="s">
        <v>329</v>
      </c>
      <c r="AD247" s="292" t="s">
        <v>329</v>
      </c>
      <c r="AE247" s="287" t="s">
        <v>329</v>
      </c>
      <c r="AF247" s="287" t="s">
        <v>329</v>
      </c>
      <c r="AG247" s="288" t="s">
        <v>329</v>
      </c>
      <c r="AH247" s="292" t="s">
        <v>329</v>
      </c>
      <c r="AI247" s="689" t="s">
        <v>329</v>
      </c>
      <c r="AJ247" s="287" t="s">
        <v>329</v>
      </c>
      <c r="AK247" s="288" t="s">
        <v>329</v>
      </c>
      <c r="AL247" s="786"/>
      <c r="AM247" s="815"/>
      <c r="AN247" s="1037"/>
      <c r="AO247" s="1049"/>
      <c r="AP247" s="287" t="s">
        <v>329</v>
      </c>
      <c r="AQ247" s="689" t="s">
        <v>329</v>
      </c>
      <c r="AR247" s="292" t="s">
        <v>329</v>
      </c>
      <c r="AS247" s="288" t="s">
        <v>329</v>
      </c>
      <c r="AT247" s="292" t="s">
        <v>329</v>
      </c>
      <c r="AU247" s="288" t="s">
        <v>329</v>
      </c>
      <c r="AV247" s="874"/>
      <c r="AW247" s="663"/>
      <c r="AX247" s="663"/>
      <c r="AY247" s="663"/>
      <c r="AZ247" s="664"/>
    </row>
    <row r="248" spans="1:52" s="55" customFormat="1" x14ac:dyDescent="0.25">
      <c r="A248" s="307" t="s">
        <v>566</v>
      </c>
      <c r="B248" s="1020"/>
      <c r="C248" s="1019"/>
      <c r="D248" s="1025"/>
      <c r="E248" s="1025"/>
      <c r="F248" s="502"/>
      <c r="G248" s="503"/>
      <c r="H248" s="1040" t="str">
        <f t="shared" si="42"/>
        <v>NA</v>
      </c>
      <c r="I248" s="1041" t="str">
        <f t="shared" si="42"/>
        <v>NA</v>
      </c>
      <c r="J248" s="1041" t="str">
        <f t="shared" si="42"/>
        <v>NA</v>
      </c>
      <c r="K248" s="1041" t="str">
        <f t="shared" si="42"/>
        <v>NA</v>
      </c>
      <c r="L248" s="1042" t="str">
        <f t="shared" si="42"/>
        <v>NA</v>
      </c>
      <c r="M248" s="289" t="s">
        <v>329</v>
      </c>
      <c r="N248" s="637" t="s">
        <v>329</v>
      </c>
      <c r="O248" s="645" t="str">
        <f>IF(M248="NA","NA",(IF(N248="NA","NA",((((28.97+M248)/(28.97*M248))^0.5)*(10^-3)*(Data!$D$50^1.75)/((2*(20.1^(1/3)))^2)))))</f>
        <v>NA</v>
      </c>
      <c r="P248" s="637" t="s">
        <v>329</v>
      </c>
      <c r="Q248" s="629" t="str">
        <f>IF($P248="NA","NA",(0.617*Data!$D$9*$P248/100)/(1+Data!$D$15*$P248*0.000000617))</f>
        <v>NA</v>
      </c>
      <c r="R248" s="629" t="str">
        <f t="shared" si="43"/>
        <v>NA</v>
      </c>
      <c r="S248" s="290">
        <v>1</v>
      </c>
      <c r="T248" s="290">
        <f t="shared" si="44"/>
        <v>1</v>
      </c>
      <c r="U248" s="847" t="s">
        <v>329</v>
      </c>
      <c r="V248" s="860" t="str">
        <f>IF(Data!$D$69="",E248,IF(P248="NA","NA",(0.617*Data!$D$69*P248/100)/(1+Data!$D$15*P248*0.000000617)))</f>
        <v>NA</v>
      </c>
      <c r="W248" s="847" t="str">
        <f>IF(OR(Q248="NA",Q248="",V248="NA",V248=""),"NA",(1+(V248/Q248)^1.5*((1-Data!$D$75)/(1-Data!$D$18))^1.5*(Data!$D$71/Data!$D$14)^1.5*(Data!$D$73/Data!$D$72)*(1/(39.37*Data!$D$72))^0.25))</f>
        <v>NA</v>
      </c>
      <c r="X248" s="847" t="str">
        <f>IF(W248="NA","NA",0.15*Data!$D$71*(1-Data!$D$75)*V248*((13.12*Data!$D$73)^(0.112*LN(Data!$D$71*(1-Data!$D$75)*V248)+1.38))/(W248*Data!$D$81))</f>
        <v>NA</v>
      </c>
      <c r="Y248" s="847" t="str">
        <f>IF(OR(W248="NA",W248="",Data!$D$91="NA",Data!$D$91=""),"NA",W248*Data!$D$91)</f>
        <v>NA</v>
      </c>
      <c r="Z248" s="847" t="str">
        <f>IF(OR(W248="NA",W248="",Data!$D$91="NA",Data!$D$91=""),"NA",IF(Data!$D$68&lt;X248,W248*X248/Data!$D$68*Data!$D$91,W248*Data!$D$91))</f>
        <v>NA</v>
      </c>
      <c r="AA248" s="853"/>
      <c r="AB248" s="710" t="s">
        <v>329</v>
      </c>
      <c r="AC248" s="710" t="s">
        <v>329</v>
      </c>
      <c r="AD248" s="292" t="s">
        <v>329</v>
      </c>
      <c r="AE248" s="287" t="s">
        <v>329</v>
      </c>
      <c r="AF248" s="287" t="s">
        <v>329</v>
      </c>
      <c r="AG248" s="288" t="s">
        <v>329</v>
      </c>
      <c r="AH248" s="292" t="s">
        <v>329</v>
      </c>
      <c r="AI248" s="689" t="s">
        <v>329</v>
      </c>
      <c r="AJ248" s="287" t="s">
        <v>329</v>
      </c>
      <c r="AK248" s="288" t="s">
        <v>329</v>
      </c>
      <c r="AL248" s="786"/>
      <c r="AM248" s="815"/>
      <c r="AN248" s="1037"/>
      <c r="AO248" s="1049"/>
      <c r="AP248" s="287" t="s">
        <v>329</v>
      </c>
      <c r="AQ248" s="689" t="s">
        <v>329</v>
      </c>
      <c r="AR248" s="292" t="s">
        <v>329</v>
      </c>
      <c r="AS248" s="288" t="s">
        <v>329</v>
      </c>
      <c r="AT248" s="292" t="s">
        <v>329</v>
      </c>
      <c r="AU248" s="288" t="s">
        <v>329</v>
      </c>
      <c r="AV248" s="874"/>
      <c r="AW248" s="663"/>
      <c r="AX248" s="663"/>
      <c r="AY248" s="663"/>
      <c r="AZ248" s="664"/>
    </row>
    <row r="249" spans="1:52" s="55" customFormat="1" x14ac:dyDescent="0.25">
      <c r="A249" s="307" t="s">
        <v>567</v>
      </c>
      <c r="B249" s="1020"/>
      <c r="C249" s="1019"/>
      <c r="D249" s="1025"/>
      <c r="E249" s="1025"/>
      <c r="F249" s="502"/>
      <c r="G249" s="503"/>
      <c r="H249" s="1040" t="str">
        <f t="shared" si="42"/>
        <v>NA</v>
      </c>
      <c r="I249" s="1041" t="str">
        <f t="shared" si="42"/>
        <v>NA</v>
      </c>
      <c r="J249" s="1041" t="str">
        <f t="shared" si="42"/>
        <v>NA</v>
      </c>
      <c r="K249" s="1041" t="str">
        <f t="shared" si="42"/>
        <v>NA</v>
      </c>
      <c r="L249" s="1042" t="str">
        <f t="shared" si="42"/>
        <v>NA</v>
      </c>
      <c r="M249" s="289">
        <v>391</v>
      </c>
      <c r="N249" s="645">
        <f>0.0000107</f>
        <v>1.0699999999999999E-5</v>
      </c>
      <c r="O249" s="645">
        <f>IF(M249="NA","NA",(IF(N249="NA","NA",((((28.97+M249)/(28.97*M249))^0.5)*(10^-3)*(Data!$D$50^1.75)/((2*(20.1^(1/3)))^2)))))</f>
        <v>0.14913243504107906</v>
      </c>
      <c r="P249" s="637">
        <f>10^7.8</f>
        <v>63095734.448019333</v>
      </c>
      <c r="Q249" s="629">
        <f>IF($P249="NA","NA",(0.617*Data!$D$9*$P249/100)/(1+Data!$D$15*$P249*0.000000617))</f>
        <v>1167902.0446328379</v>
      </c>
      <c r="R249" s="629">
        <f t="shared" si="43"/>
        <v>1167902.0446328379</v>
      </c>
      <c r="S249" s="290">
        <v>1</v>
      </c>
      <c r="T249" s="290">
        <f t="shared" si="44"/>
        <v>1</v>
      </c>
      <c r="U249" s="847">
        <v>1</v>
      </c>
      <c r="V249" s="860">
        <f>IF(Data!$D$69="",E249,IF(P249="NA","NA",(0.617*Data!$D$69*P249/100)/(1+Data!$D$15*P249*0.000000617)))</f>
        <v>778601.36308855866</v>
      </c>
      <c r="W249" s="847">
        <f>IF(OR(Q249="NA",Q249="",V249="NA",V249=""),"NA",(1+(V249/Q249)^1.5*((1-Data!$D$75)/(1-Data!$D$18))^1.5*(Data!$D$71/Data!$D$14)^1.5*(Data!$D$73/Data!$D$72)*(1/(39.37*Data!$D$72))^0.25))</f>
        <v>3.8303093677397904</v>
      </c>
      <c r="X249" s="847">
        <f>IF(W249="NA","NA",0.15*Data!$D$71*(1-Data!$D$75)*V249*((13.12*Data!$D$73)^(0.112*LN(Data!$D$71*(1-Data!$D$75)*V249)+1.38))/(W249*Data!$D$81))</f>
        <v>18911657458.244286</v>
      </c>
      <c r="Y249" s="847">
        <f>IF(OR(W249="NA",W249="",Data!$D$91="NA",Data!$D$91=""),"NA",W249*Data!$D$91)</f>
        <v>6.8495741227413944</v>
      </c>
      <c r="Z249" s="847">
        <f>IF(OR(W249="NA",W249="",Data!$D$91="NA",Data!$D$91=""),"NA",IF(Data!$D$68&lt;X249,W249*X249/Data!$D$68*Data!$D$91,W249*Data!$D$91))</f>
        <v>647683997.72069669</v>
      </c>
      <c r="AA249" s="853"/>
      <c r="AB249" s="710" t="s">
        <v>329</v>
      </c>
      <c r="AC249" s="710" t="s">
        <v>329</v>
      </c>
      <c r="AD249" s="292" t="s">
        <v>329</v>
      </c>
      <c r="AE249" s="287" t="s">
        <v>329</v>
      </c>
      <c r="AF249" s="287" t="s">
        <v>329</v>
      </c>
      <c r="AG249" s="288" t="s">
        <v>329</v>
      </c>
      <c r="AH249" s="292" t="s">
        <v>329</v>
      </c>
      <c r="AI249" s="689" t="s">
        <v>329</v>
      </c>
      <c r="AJ249" s="287" t="s">
        <v>329</v>
      </c>
      <c r="AK249" s="288" t="s">
        <v>329</v>
      </c>
      <c r="AL249" s="786"/>
      <c r="AM249" s="815"/>
      <c r="AN249" s="1037"/>
      <c r="AO249" s="1049"/>
      <c r="AP249" s="287" t="s">
        <v>329</v>
      </c>
      <c r="AQ249" s="689" t="s">
        <v>329</v>
      </c>
      <c r="AR249" s="292" t="s">
        <v>329</v>
      </c>
      <c r="AS249" s="288" t="s">
        <v>329</v>
      </c>
      <c r="AT249" s="292" t="s">
        <v>329</v>
      </c>
      <c r="AU249" s="288" t="s">
        <v>329</v>
      </c>
      <c r="AV249" s="874"/>
      <c r="AW249" s="663"/>
      <c r="AX249" s="663"/>
      <c r="AY249" s="663"/>
      <c r="AZ249" s="664"/>
    </row>
    <row r="250" spans="1:52" s="55" customFormat="1" x14ac:dyDescent="0.25">
      <c r="A250" s="307" t="s">
        <v>568</v>
      </c>
      <c r="B250" s="1020"/>
      <c r="C250" s="1019"/>
      <c r="D250" s="1025"/>
      <c r="E250" s="1025"/>
      <c r="F250" s="502"/>
      <c r="G250" s="503"/>
      <c r="H250" s="1040" t="str">
        <f t="shared" si="42"/>
        <v>NA</v>
      </c>
      <c r="I250" s="1041" t="str">
        <f t="shared" si="42"/>
        <v>NA</v>
      </c>
      <c r="J250" s="1041" t="str">
        <f t="shared" si="42"/>
        <v>NA</v>
      </c>
      <c r="K250" s="1041" t="str">
        <f t="shared" si="42"/>
        <v>NA</v>
      </c>
      <c r="L250" s="1042" t="str">
        <f t="shared" si="42"/>
        <v>NA</v>
      </c>
      <c r="M250" s="289">
        <v>374.8</v>
      </c>
      <c r="N250" s="645">
        <f>0.0000143</f>
        <v>1.43E-5</v>
      </c>
      <c r="O250" s="645">
        <f>IF(M250="NA","NA",(IF(N250="NA","NA",((((28.97+M250)/(28.97*M250))^0.5)*(10^-3)*(Data!$D$50^1.75)/((2*(20.1^(1/3)))^2)))))</f>
        <v>0.14935459429780004</v>
      </c>
      <c r="P250" s="637">
        <f>10^9.53</f>
        <v>3388441561.3920298</v>
      </c>
      <c r="Q250" s="629">
        <f>IF($P250="NA","NA",(0.617*Data!$D$9*$P250/100)/(1+Data!$D$15*$P250*0.000000617))</f>
        <v>62720053.301366471</v>
      </c>
      <c r="R250" s="629">
        <f t="shared" si="43"/>
        <v>62720053.301366471</v>
      </c>
      <c r="S250" s="290">
        <v>1</v>
      </c>
      <c r="T250" s="290">
        <f t="shared" si="44"/>
        <v>1</v>
      </c>
      <c r="U250" s="847">
        <v>2.5000000000000001E-2</v>
      </c>
      <c r="V250" s="860">
        <f>IF(Data!$D$69="",E250,IF(P250="NA","NA",(0.617*Data!$D$69*P250/100)/(1+Data!$D$15*P250*0.000000617)))</f>
        <v>41813368.86757765</v>
      </c>
      <c r="W250" s="847">
        <f>IF(OR(Q250="NA",Q250="",V250="NA",V250=""),"NA",(1+(V250/Q250)^1.5*((1-Data!$D$75)/(1-Data!$D$18))^1.5*(Data!$D$71/Data!$D$14)^1.5*(Data!$D$73/Data!$D$72)*(1/(39.37*Data!$D$72))^0.25))</f>
        <v>3.8303093677397904</v>
      </c>
      <c r="X250" s="847">
        <f>IF(W250="NA","NA",0.15*Data!$D$71*(1-Data!$D$75)*V250*((13.12*Data!$D$73)^(0.112*LN(Data!$D$71*(1-Data!$D$75)*V250)+1.38))/(W250*Data!$D$81))</f>
        <v>6566579701559.1816</v>
      </c>
      <c r="Y250" s="847">
        <f>IF(OR(W250="NA",W250="",Data!$D$91="NA",Data!$D$91=""),"NA",W250*Data!$D$91)</f>
        <v>6.8495741227413944</v>
      </c>
      <c r="Z250" s="847">
        <f>IF(OR(W250="NA",W250="",Data!$D$91="NA",Data!$D$91=""),"NA",IF(Data!$D$68&lt;X250,W250*X250/Data!$D$68*Data!$D$91,W250*Data!$D$91))</f>
        <v>224891371993.59338</v>
      </c>
      <c r="AA250" s="853"/>
      <c r="AB250" s="710" t="s">
        <v>329</v>
      </c>
      <c r="AC250" s="710" t="s">
        <v>329</v>
      </c>
      <c r="AD250" s="292" t="s">
        <v>329</v>
      </c>
      <c r="AE250" s="287" t="s">
        <v>329</v>
      </c>
      <c r="AF250" s="287" t="s">
        <v>329</v>
      </c>
      <c r="AG250" s="288" t="s">
        <v>329</v>
      </c>
      <c r="AH250" s="292" t="s">
        <v>329</v>
      </c>
      <c r="AI250" s="689" t="s">
        <v>329</v>
      </c>
      <c r="AJ250" s="287" t="s">
        <v>329</v>
      </c>
      <c r="AK250" s="288" t="s">
        <v>329</v>
      </c>
      <c r="AL250" s="786"/>
      <c r="AM250" s="815"/>
      <c r="AN250" s="1037"/>
      <c r="AO250" s="1049"/>
      <c r="AP250" s="287" t="s">
        <v>329</v>
      </c>
      <c r="AQ250" s="689" t="s">
        <v>329</v>
      </c>
      <c r="AR250" s="292" t="s">
        <v>329</v>
      </c>
      <c r="AS250" s="288" t="s">
        <v>329</v>
      </c>
      <c r="AT250" s="292" t="s">
        <v>329</v>
      </c>
      <c r="AU250" s="288" t="s">
        <v>329</v>
      </c>
      <c r="AV250" s="874"/>
      <c r="AW250" s="663"/>
      <c r="AX250" s="663"/>
      <c r="AY250" s="663"/>
      <c r="AZ250" s="664"/>
    </row>
    <row r="251" spans="1:52" s="55" customFormat="1" x14ac:dyDescent="0.25">
      <c r="A251" s="307" t="s">
        <v>569</v>
      </c>
      <c r="B251" s="1020"/>
      <c r="C251" s="1019"/>
      <c r="D251" s="1025"/>
      <c r="E251" s="1025"/>
      <c r="F251" s="502"/>
      <c r="G251" s="503"/>
      <c r="H251" s="1040" t="str">
        <f t="shared" si="42"/>
        <v>NA</v>
      </c>
      <c r="I251" s="1041" t="str">
        <f t="shared" si="42"/>
        <v>NA</v>
      </c>
      <c r="J251" s="1041" t="str">
        <f t="shared" si="42"/>
        <v>NA</v>
      </c>
      <c r="K251" s="1041" t="str">
        <f t="shared" si="42"/>
        <v>NA</v>
      </c>
      <c r="L251" s="1042" t="str">
        <f t="shared" si="42"/>
        <v>NA</v>
      </c>
      <c r="M251" s="289">
        <v>391</v>
      </c>
      <c r="N251" s="645">
        <f>0.0000256</f>
        <v>2.5599999999999999E-5</v>
      </c>
      <c r="O251" s="645">
        <f>IF(M251="NA","NA",(IF(N251="NA","NA",((((28.97+M251)/(28.97*M251))^0.5)*(10^-3)*(Data!$D$50^1.75)/((2*(20.1^(1/3)))^2)))))</f>
        <v>0.14913243504107906</v>
      </c>
      <c r="P251" s="637">
        <f>10^7.8</f>
        <v>63095734.448019333</v>
      </c>
      <c r="Q251" s="629">
        <f>IF($P251="NA","NA",(0.617*Data!$D$9*$P251/100)/(1+Data!$D$15*$P251*0.000000617))</f>
        <v>1167902.0446328379</v>
      </c>
      <c r="R251" s="629">
        <f t="shared" si="43"/>
        <v>1167902.0446328379</v>
      </c>
      <c r="S251" s="290">
        <v>1</v>
      </c>
      <c r="T251" s="290">
        <f t="shared" si="44"/>
        <v>1</v>
      </c>
      <c r="U251" s="847">
        <v>0</v>
      </c>
      <c r="V251" s="860">
        <f>IF(Data!$D$69="",E251,IF(P251="NA","NA",(0.617*Data!$D$69*P251/100)/(1+Data!$D$15*P251*0.000000617)))</f>
        <v>778601.36308855866</v>
      </c>
      <c r="W251" s="847">
        <f>IF(OR(Q251="NA",Q251="",V251="NA",V251=""),"NA",(1+(V251/Q251)^1.5*((1-Data!$D$75)/(1-Data!$D$18))^1.5*(Data!$D$71/Data!$D$14)^1.5*(Data!$D$73/Data!$D$72)*(1/(39.37*Data!$D$72))^0.25))</f>
        <v>3.8303093677397904</v>
      </c>
      <c r="X251" s="847">
        <f>IF(W251="NA","NA",0.15*Data!$D$71*(1-Data!$D$75)*V251*((13.12*Data!$D$73)^(0.112*LN(Data!$D$71*(1-Data!$D$75)*V251)+1.38))/(W251*Data!$D$81))</f>
        <v>18911657458.244286</v>
      </c>
      <c r="Y251" s="847">
        <f>IF(OR(W251="NA",W251="",Data!$D$91="NA",Data!$D$91=""),"NA",W251*Data!$D$91)</f>
        <v>6.8495741227413944</v>
      </c>
      <c r="Z251" s="847">
        <f>IF(OR(W251="NA",W251="",Data!$D$91="NA",Data!$D$91=""),"NA",IF(Data!$D$68&lt;X251,W251*X251/Data!$D$68*Data!$D$91,W251*Data!$D$91))</f>
        <v>647683997.72069669</v>
      </c>
      <c r="AA251" s="853"/>
      <c r="AB251" s="710" t="s">
        <v>329</v>
      </c>
      <c r="AC251" s="710" t="s">
        <v>329</v>
      </c>
      <c r="AD251" s="292" t="s">
        <v>329</v>
      </c>
      <c r="AE251" s="287" t="s">
        <v>329</v>
      </c>
      <c r="AF251" s="287" t="s">
        <v>329</v>
      </c>
      <c r="AG251" s="288" t="s">
        <v>329</v>
      </c>
      <c r="AH251" s="292" t="s">
        <v>329</v>
      </c>
      <c r="AI251" s="689" t="s">
        <v>329</v>
      </c>
      <c r="AJ251" s="287" t="s">
        <v>329</v>
      </c>
      <c r="AK251" s="288" t="s">
        <v>329</v>
      </c>
      <c r="AL251" s="786"/>
      <c r="AM251" s="815"/>
      <c r="AN251" s="1037"/>
      <c r="AO251" s="1049"/>
      <c r="AP251" s="287" t="s">
        <v>329</v>
      </c>
      <c r="AQ251" s="689" t="s">
        <v>329</v>
      </c>
      <c r="AR251" s="292" t="s">
        <v>329</v>
      </c>
      <c r="AS251" s="288" t="s">
        <v>329</v>
      </c>
      <c r="AT251" s="292" t="s">
        <v>329</v>
      </c>
      <c r="AU251" s="288" t="s">
        <v>329</v>
      </c>
      <c r="AV251" s="874"/>
      <c r="AW251" s="663"/>
      <c r="AX251" s="663"/>
      <c r="AY251" s="663"/>
      <c r="AZ251" s="664"/>
    </row>
    <row r="252" spans="1:52" s="55" customFormat="1" x14ac:dyDescent="0.25">
      <c r="A252" s="307" t="s">
        <v>570</v>
      </c>
      <c r="B252" s="1020"/>
      <c r="C252" s="1019"/>
      <c r="D252" s="1025"/>
      <c r="E252" s="1025"/>
      <c r="F252" s="502"/>
      <c r="G252" s="503"/>
      <c r="H252" s="1040" t="str">
        <f t="shared" si="42"/>
        <v>NA</v>
      </c>
      <c r="I252" s="1041" t="str">
        <f t="shared" si="42"/>
        <v>NA</v>
      </c>
      <c r="J252" s="1041" t="str">
        <f t="shared" si="42"/>
        <v>NA</v>
      </c>
      <c r="K252" s="1041" t="str">
        <f t="shared" si="42"/>
        <v>NA</v>
      </c>
      <c r="L252" s="1042" t="str">
        <f t="shared" si="42"/>
        <v>NA</v>
      </c>
      <c r="M252" s="289">
        <v>374.87</v>
      </c>
      <c r="N252" s="645">
        <f>0.0000073</f>
        <v>7.3000000000000004E-6</v>
      </c>
      <c r="O252" s="645">
        <f>IF(M252="NA","NA",(IF(N252="NA","NA",((((28.97+M252)/(28.97*M252))^0.5)*(10^-3)*(Data!$D$50^1.75)/((2*(20.1^(1/3)))^2)))))</f>
        <v>0.14935359378684879</v>
      </c>
      <c r="P252" s="637">
        <f>10^7.92</f>
        <v>83176377.110267311</v>
      </c>
      <c r="Q252" s="629">
        <f>IF($P252="NA","NA",(0.617*Data!$D$9*$P252/100)/(1+Data!$D$15*$P252*0.000000617))</f>
        <v>1539594.740311048</v>
      </c>
      <c r="R252" s="629">
        <f t="shared" si="43"/>
        <v>1539594.740311048</v>
      </c>
      <c r="S252" s="290">
        <v>1</v>
      </c>
      <c r="T252" s="290">
        <f t="shared" si="44"/>
        <v>1</v>
      </c>
      <c r="U252" s="847">
        <v>1.77E-2</v>
      </c>
      <c r="V252" s="860">
        <f>IF(Data!$D$69="",E252,IF(P252="NA","NA",(0.617*Data!$D$69*P252/100)/(1+Data!$D$15*P252*0.000000617)))</f>
        <v>1026396.4935406985</v>
      </c>
      <c r="W252" s="847">
        <f>IF(OR(Q252="NA",Q252="",V252="NA",V252=""),"NA",(1+(V252/Q252)^1.5*((1-Data!$D$75)/(1-Data!$D$18))^1.5*(Data!$D$71/Data!$D$14)^1.5*(Data!$D$73/Data!$D$72)*(1/(39.37*Data!$D$72))^0.25))</f>
        <v>3.8303093677397895</v>
      </c>
      <c r="X252" s="847">
        <f>IF(W252="NA","NA",0.15*Data!$D$71*(1-Data!$D$75)*V252*((13.12*Data!$D$73)^(0.112*LN(Data!$D$71*(1-Data!$D$75)*V252)+1.38))/(W252*Data!$D$81))</f>
        <v>28376370790.122265</v>
      </c>
      <c r="Y252" s="847">
        <f>IF(OR(W252="NA",W252="",Data!$D$91="NA",Data!$D$91=""),"NA",W252*Data!$D$91)</f>
        <v>6.8495741227413927</v>
      </c>
      <c r="Z252" s="847">
        <f>IF(OR(W252="NA",W252="",Data!$D$91="NA",Data!$D$91=""),"NA",IF(Data!$D$68&lt;X252,W252*X252/Data!$D$68*Data!$D$91,W252*Data!$D$91))</f>
        <v>971830275.30668092</v>
      </c>
      <c r="AA252" s="853"/>
      <c r="AB252" s="710" t="s">
        <v>329</v>
      </c>
      <c r="AC252" s="710" t="s">
        <v>329</v>
      </c>
      <c r="AD252" s="292" t="s">
        <v>329</v>
      </c>
      <c r="AE252" s="287" t="s">
        <v>329</v>
      </c>
      <c r="AF252" s="287" t="s">
        <v>329</v>
      </c>
      <c r="AG252" s="288" t="s">
        <v>329</v>
      </c>
      <c r="AH252" s="292" t="s">
        <v>329</v>
      </c>
      <c r="AI252" s="689" t="s">
        <v>329</v>
      </c>
      <c r="AJ252" s="287" t="s">
        <v>329</v>
      </c>
      <c r="AK252" s="288" t="s">
        <v>329</v>
      </c>
      <c r="AL252" s="786"/>
      <c r="AM252" s="815"/>
      <c r="AN252" s="1037"/>
      <c r="AO252" s="1049"/>
      <c r="AP252" s="287" t="s">
        <v>329</v>
      </c>
      <c r="AQ252" s="689" t="s">
        <v>329</v>
      </c>
      <c r="AR252" s="292" t="s">
        <v>329</v>
      </c>
      <c r="AS252" s="288" t="s">
        <v>329</v>
      </c>
      <c r="AT252" s="292" t="s">
        <v>329</v>
      </c>
      <c r="AU252" s="288" t="s">
        <v>329</v>
      </c>
      <c r="AV252" s="874"/>
      <c r="AW252" s="663"/>
      <c r="AX252" s="663"/>
      <c r="AY252" s="663"/>
      <c r="AZ252" s="664"/>
    </row>
    <row r="253" spans="1:52" s="55" customFormat="1" x14ac:dyDescent="0.25">
      <c r="A253" s="307" t="s">
        <v>571</v>
      </c>
      <c r="B253" s="1020"/>
      <c r="C253" s="1019"/>
      <c r="D253" s="1025"/>
      <c r="E253" s="1025"/>
      <c r="F253" s="502"/>
      <c r="G253" s="503"/>
      <c r="H253" s="1040" t="str">
        <f t="shared" si="42"/>
        <v>NA</v>
      </c>
      <c r="I253" s="1041" t="str">
        <f t="shared" si="42"/>
        <v>NA</v>
      </c>
      <c r="J253" s="1041" t="str">
        <f t="shared" si="42"/>
        <v>NA</v>
      </c>
      <c r="K253" s="1041" t="str">
        <f t="shared" si="42"/>
        <v>NA</v>
      </c>
      <c r="L253" s="1042" t="str">
        <f t="shared" si="42"/>
        <v>NA</v>
      </c>
      <c r="M253" s="289" t="s">
        <v>329</v>
      </c>
      <c r="N253" s="637" t="s">
        <v>329</v>
      </c>
      <c r="O253" s="645" t="str">
        <f>IF(M253="NA","NA",(IF(N253="NA","NA",((((28.97+M253)/(28.97*M253))^0.5)*(10^-3)*(Data!$D$50^1.75)/((2*(20.1^(1/3)))^2)))))</f>
        <v>NA</v>
      </c>
      <c r="P253" s="637" t="s">
        <v>329</v>
      </c>
      <c r="Q253" s="629" t="str">
        <f>IF($P253="NA","NA",(0.617*Data!$D$9*$P253/100)/(1+Data!$D$15*$P253*0.000000617))</f>
        <v>NA</v>
      </c>
      <c r="R253" s="629" t="str">
        <f t="shared" si="43"/>
        <v>NA</v>
      </c>
      <c r="S253" s="290">
        <v>1</v>
      </c>
      <c r="T253" s="290">
        <f t="shared" si="44"/>
        <v>1</v>
      </c>
      <c r="U253" s="847" t="s">
        <v>329</v>
      </c>
      <c r="V253" s="860" t="str">
        <f>IF(Data!$D$69="",E253,IF(P253="NA","NA",(0.617*Data!$D$69*P253/100)/(1+Data!$D$15*P253*0.000000617)))</f>
        <v>NA</v>
      </c>
      <c r="W253" s="847" t="str">
        <f>IF(OR(Q253="NA",Q253="",V253="NA",V253=""),"NA",(1+(V253/Q253)^1.5*((1-Data!$D$75)/(1-Data!$D$18))^1.5*(Data!$D$71/Data!$D$14)^1.5*(Data!$D$73/Data!$D$72)*(1/(39.37*Data!$D$72))^0.25))</f>
        <v>NA</v>
      </c>
      <c r="X253" s="847" t="str">
        <f>IF(W253="NA","NA",0.15*Data!$D$71*(1-Data!$D$75)*V253*((13.12*Data!$D$73)^(0.112*LN(Data!$D$71*(1-Data!$D$75)*V253)+1.38))/(W253*Data!$D$81))</f>
        <v>NA</v>
      </c>
      <c r="Y253" s="847" t="str">
        <f>IF(OR(W253="NA",W253="",Data!$D$91="NA",Data!$D$91=""),"NA",W253*Data!$D$91)</f>
        <v>NA</v>
      </c>
      <c r="Z253" s="847" t="str">
        <f>IF(OR(W253="NA",W253="",Data!$D$91="NA",Data!$D$91=""),"NA",IF(Data!$D$68&lt;X253,W253*X253/Data!$D$68*Data!$D$91,W253*Data!$D$91))</f>
        <v>NA</v>
      </c>
      <c r="AA253" s="853"/>
      <c r="AB253" s="710" t="s">
        <v>329</v>
      </c>
      <c r="AC253" s="710" t="s">
        <v>329</v>
      </c>
      <c r="AD253" s="292" t="s">
        <v>329</v>
      </c>
      <c r="AE253" s="287" t="s">
        <v>329</v>
      </c>
      <c r="AF253" s="287" t="s">
        <v>329</v>
      </c>
      <c r="AG253" s="288" t="s">
        <v>329</v>
      </c>
      <c r="AH253" s="292" t="s">
        <v>329</v>
      </c>
      <c r="AI253" s="689" t="s">
        <v>329</v>
      </c>
      <c r="AJ253" s="287" t="s">
        <v>329</v>
      </c>
      <c r="AK253" s="288" t="s">
        <v>329</v>
      </c>
      <c r="AL253" s="786"/>
      <c r="AM253" s="815"/>
      <c r="AN253" s="1037"/>
      <c r="AO253" s="1049"/>
      <c r="AP253" s="287" t="s">
        <v>329</v>
      </c>
      <c r="AQ253" s="689" t="s">
        <v>329</v>
      </c>
      <c r="AR253" s="292" t="s">
        <v>329</v>
      </c>
      <c r="AS253" s="288" t="s">
        <v>329</v>
      </c>
      <c r="AT253" s="292" t="s">
        <v>329</v>
      </c>
      <c r="AU253" s="288" t="s">
        <v>329</v>
      </c>
      <c r="AV253" s="874"/>
      <c r="AW253" s="663"/>
      <c r="AX253" s="663"/>
      <c r="AY253" s="663"/>
      <c r="AZ253" s="664"/>
    </row>
    <row r="254" spans="1:52" s="55" customFormat="1" x14ac:dyDescent="0.25">
      <c r="A254" s="307" t="s">
        <v>572</v>
      </c>
      <c r="B254" s="1020"/>
      <c r="C254" s="1019"/>
      <c r="D254" s="1025"/>
      <c r="E254" s="1025"/>
      <c r="F254" s="502"/>
      <c r="G254" s="503"/>
      <c r="H254" s="1040" t="str">
        <f t="shared" si="42"/>
        <v>NA</v>
      </c>
      <c r="I254" s="1041" t="str">
        <f t="shared" si="42"/>
        <v>NA</v>
      </c>
      <c r="J254" s="1041" t="str">
        <f t="shared" si="42"/>
        <v>NA</v>
      </c>
      <c r="K254" s="1041" t="str">
        <f t="shared" si="42"/>
        <v>NA</v>
      </c>
      <c r="L254" s="1042" t="str">
        <f t="shared" si="42"/>
        <v>NA</v>
      </c>
      <c r="M254" s="289">
        <v>375</v>
      </c>
      <c r="N254" s="637" t="s">
        <v>329</v>
      </c>
      <c r="O254" s="645" t="str">
        <f>IF(M254="NA","NA",(IF(N254="NA","NA",((((28.97+M254)/(28.97*M254))^0.5)*(10^-3)*(Data!$D$50^1.75)/((2*(20.1^(1/3)))^2)))))</f>
        <v>NA</v>
      </c>
      <c r="P254" s="637">
        <f>10^7.58</f>
        <v>38018939.632056206</v>
      </c>
      <c r="Q254" s="629">
        <f>IF($P254="NA","NA",(0.617*Data!$D$9*$P254/100)/(1+Data!$D$15*$P254*0.000000617))</f>
        <v>703730.57258936029</v>
      </c>
      <c r="R254" s="629">
        <f t="shared" si="43"/>
        <v>703730.57258936029</v>
      </c>
      <c r="S254" s="290">
        <v>1</v>
      </c>
      <c r="T254" s="290">
        <f t="shared" si="44"/>
        <v>1</v>
      </c>
      <c r="U254" s="847">
        <v>0</v>
      </c>
      <c r="V254" s="860">
        <f>IF(Data!$D$69="",E254,IF(P254="NA","NA",(0.617*Data!$D$69*P254/100)/(1+Data!$D$15*P254*0.000000617)))</f>
        <v>469153.71505957359</v>
      </c>
      <c r="W254" s="847">
        <f>IF(OR(Q254="NA",Q254="",V254="NA",V254=""),"NA",(1+(V254/Q254)^1.5*((1-Data!$D$75)/(1-Data!$D$18))^1.5*(Data!$D$71/Data!$D$14)^1.5*(Data!$D$73/Data!$D$72)*(1/(39.37*Data!$D$72))^0.25))</f>
        <v>3.8303093677397904</v>
      </c>
      <c r="X254" s="847">
        <f>IF(W254="NA","NA",0.15*Data!$D$71*(1-Data!$D$75)*V254*((13.12*Data!$D$73)^(0.112*LN(Data!$D$71*(1-Data!$D$75)*V254)+1.38))/(W254*Data!$D$81))</f>
        <v>8987652819.181469</v>
      </c>
      <c r="Y254" s="847">
        <f>IF(OR(W254="NA",W254="",Data!$D$91="NA",Data!$D$91=""),"NA",W254*Data!$D$91)</f>
        <v>6.8495741227413944</v>
      </c>
      <c r="Z254" s="847">
        <f>IF(OR(W254="NA",W254="",Data!$D$91="NA",Data!$D$91=""),"NA",IF(Data!$D$68&lt;X254,W254*X254/Data!$D$68*Data!$D$91,W254*Data!$D$91))</f>
        <v>307807970.87224567</v>
      </c>
      <c r="AA254" s="853"/>
      <c r="AB254" s="710" t="s">
        <v>329</v>
      </c>
      <c r="AC254" s="710" t="s">
        <v>329</v>
      </c>
      <c r="AD254" s="292" t="s">
        <v>329</v>
      </c>
      <c r="AE254" s="287" t="s">
        <v>329</v>
      </c>
      <c r="AF254" s="287" t="s">
        <v>329</v>
      </c>
      <c r="AG254" s="288" t="s">
        <v>329</v>
      </c>
      <c r="AH254" s="292" t="s">
        <v>329</v>
      </c>
      <c r="AI254" s="689" t="s">
        <v>329</v>
      </c>
      <c r="AJ254" s="287" t="s">
        <v>329</v>
      </c>
      <c r="AK254" s="288" t="s">
        <v>329</v>
      </c>
      <c r="AL254" s="786"/>
      <c r="AM254" s="815"/>
      <c r="AN254" s="1037"/>
      <c r="AO254" s="1049"/>
      <c r="AP254" s="287" t="s">
        <v>329</v>
      </c>
      <c r="AQ254" s="689" t="s">
        <v>329</v>
      </c>
      <c r="AR254" s="292" t="s">
        <v>329</v>
      </c>
      <c r="AS254" s="288" t="s">
        <v>329</v>
      </c>
      <c r="AT254" s="292" t="s">
        <v>329</v>
      </c>
      <c r="AU254" s="288" t="s">
        <v>329</v>
      </c>
      <c r="AV254" s="874"/>
      <c r="AW254" s="663"/>
      <c r="AX254" s="663"/>
      <c r="AY254" s="663"/>
      <c r="AZ254" s="664"/>
    </row>
    <row r="255" spans="1:52" s="55" customFormat="1" x14ac:dyDescent="0.25">
      <c r="A255" s="307" t="s">
        <v>573</v>
      </c>
      <c r="B255" s="1020"/>
      <c r="C255" s="1019"/>
      <c r="D255" s="1025"/>
      <c r="E255" s="1025"/>
      <c r="F255" s="502"/>
      <c r="G255" s="503"/>
      <c r="H255" s="1040" t="str">
        <f t="shared" si="42"/>
        <v>NA</v>
      </c>
      <c r="I255" s="1041" t="str">
        <f t="shared" si="42"/>
        <v>NA</v>
      </c>
      <c r="J255" s="1041" t="str">
        <f t="shared" si="42"/>
        <v>NA</v>
      </c>
      <c r="K255" s="1041" t="str">
        <f t="shared" si="42"/>
        <v>NA</v>
      </c>
      <c r="L255" s="1042" t="str">
        <f t="shared" si="42"/>
        <v>NA</v>
      </c>
      <c r="M255" s="289">
        <v>356.4</v>
      </c>
      <c r="N255" s="637" t="s">
        <v>329</v>
      </c>
      <c r="O255" s="645" t="str">
        <f>IF(M255="NA","NA",(IF(N255="NA","NA",((((28.97+M255)/(28.97*M255))^0.5)*(10^-3)*(Data!$D$50^1.75)/((2*(20.1^(1/3)))^2)))))</f>
        <v>NA</v>
      </c>
      <c r="P255" s="637">
        <f>10^6.64</f>
        <v>4365158.3224016624</v>
      </c>
      <c r="Q255" s="629">
        <f>IF($P255="NA","NA",(0.617*Data!$D$9*$P255/100)/(1+Data!$D$15*$P255*0.000000617))</f>
        <v>80799.080547654768</v>
      </c>
      <c r="R255" s="629">
        <f t="shared" si="43"/>
        <v>80799.080547654768</v>
      </c>
      <c r="S255" s="290">
        <v>1</v>
      </c>
      <c r="T255" s="290">
        <f t="shared" si="44"/>
        <v>1</v>
      </c>
      <c r="U255" s="847">
        <v>11.5</v>
      </c>
      <c r="V255" s="860">
        <f>IF(Data!$D$69="",E255,IF(P255="NA","NA",(0.617*Data!$D$69*P255/100)/(1+Data!$D$15*P255*0.000000617)))</f>
        <v>53866.053698436517</v>
      </c>
      <c r="W255" s="847">
        <f>IF(OR(Q255="NA",Q255="",V255="NA",V255=""),"NA",(1+(V255/Q255)^1.5*((1-Data!$D$75)/(1-Data!$D$18))^1.5*(Data!$D$71/Data!$D$14)^1.5*(Data!$D$73/Data!$D$72)*(1/(39.37*Data!$D$72))^0.25))</f>
        <v>3.8303093677397904</v>
      </c>
      <c r="X255" s="847">
        <f>IF(W255="NA","NA",0.15*Data!$D$71*(1-Data!$D$75)*V255*((13.12*Data!$D$73)^(0.112*LN(Data!$D$71*(1-Data!$D$75)*V255)+1.38))/(W255*Data!$D$81))</f>
        <v>374282428.41259468</v>
      </c>
      <c r="Y255" s="847">
        <f>IF(OR(W255="NA",W255="",Data!$D$91="NA",Data!$D$91=""),"NA",W255*Data!$D$91)</f>
        <v>6.8495741227413944</v>
      </c>
      <c r="Z255" s="847">
        <f>IF(OR(W255="NA",W255="",Data!$D$91="NA",Data!$D$91=""),"NA",IF(Data!$D$68&lt;X255,W255*X255/Data!$D$68*Data!$D$91,W255*Data!$D$91))</f>
        <v>12818376.181258585</v>
      </c>
      <c r="AA255" s="853"/>
      <c r="AB255" s="710" t="s">
        <v>329</v>
      </c>
      <c r="AC255" s="710" t="s">
        <v>329</v>
      </c>
      <c r="AD255" s="292" t="s">
        <v>329</v>
      </c>
      <c r="AE255" s="287" t="s">
        <v>329</v>
      </c>
      <c r="AF255" s="287" t="s">
        <v>329</v>
      </c>
      <c r="AG255" s="288" t="s">
        <v>329</v>
      </c>
      <c r="AH255" s="292" t="s">
        <v>329</v>
      </c>
      <c r="AI255" s="689" t="s">
        <v>329</v>
      </c>
      <c r="AJ255" s="287" t="s">
        <v>329</v>
      </c>
      <c r="AK255" s="288" t="s">
        <v>329</v>
      </c>
      <c r="AL255" s="786"/>
      <c r="AM255" s="815"/>
      <c r="AN255" s="1037"/>
      <c r="AO255" s="1049"/>
      <c r="AP255" s="287" t="s">
        <v>329</v>
      </c>
      <c r="AQ255" s="689" t="s">
        <v>329</v>
      </c>
      <c r="AR255" s="292" t="s">
        <v>329</v>
      </c>
      <c r="AS255" s="288" t="s">
        <v>329</v>
      </c>
      <c r="AT255" s="292" t="s">
        <v>329</v>
      </c>
      <c r="AU255" s="288" t="s">
        <v>329</v>
      </c>
      <c r="AV255" s="874"/>
      <c r="AW255" s="663"/>
      <c r="AX255" s="663"/>
      <c r="AY255" s="663"/>
      <c r="AZ255" s="664"/>
    </row>
    <row r="256" spans="1:52" s="55" customFormat="1" x14ac:dyDescent="0.25">
      <c r="A256" s="307" t="s">
        <v>574</v>
      </c>
      <c r="B256" s="1020"/>
      <c r="C256" s="1019"/>
      <c r="D256" s="1025"/>
      <c r="E256" s="1025"/>
      <c r="F256" s="502"/>
      <c r="G256" s="503"/>
      <c r="H256" s="1040" t="str">
        <f t="shared" ref="H256:L265" si="45">IF(INDEX($AB$11:$AZ$310,,H$7)=0,"NA",INDEX($AB$11:$AZ$310,,H$7))</f>
        <v>NA</v>
      </c>
      <c r="I256" s="1041" t="str">
        <f t="shared" si="45"/>
        <v>NA</v>
      </c>
      <c r="J256" s="1041" t="str">
        <f t="shared" si="45"/>
        <v>NA</v>
      </c>
      <c r="K256" s="1041" t="str">
        <f t="shared" si="45"/>
        <v>NA</v>
      </c>
      <c r="L256" s="1042" t="str">
        <f t="shared" si="45"/>
        <v>NA</v>
      </c>
      <c r="M256" s="289">
        <v>340.4</v>
      </c>
      <c r="N256" s="637" t="s">
        <v>329</v>
      </c>
      <c r="O256" s="645" t="str">
        <f>IF(M256="NA","NA",(IF(N256="NA","NA",((((28.97+M256)/(28.97*M256))^0.5)*(10^-3)*(Data!$D$50^1.75)/((2*(20.1^(1/3)))^2)))))</f>
        <v>NA</v>
      </c>
      <c r="P256" s="637">
        <f>10^6.75</f>
        <v>5623413.2519034976</v>
      </c>
      <c r="Q256" s="629">
        <f>IF($P256="NA","NA",(0.617*Data!$D$9*$P256/100)/(1+Data!$D$15*$P256*0.000000617))</f>
        <v>104089.37929273375</v>
      </c>
      <c r="R256" s="629">
        <f t="shared" si="43"/>
        <v>104089.37929273375</v>
      </c>
      <c r="S256" s="290">
        <v>1</v>
      </c>
      <c r="T256" s="290">
        <f t="shared" si="44"/>
        <v>1</v>
      </c>
      <c r="U256" s="847">
        <v>9.1300000000000008</v>
      </c>
      <c r="V256" s="860">
        <f>IF(Data!$D$69="",E256,IF(P256="NA","NA",(0.617*Data!$D$69*P256/100)/(1+Data!$D$15*P256*0.000000617)))</f>
        <v>69392.919528489161</v>
      </c>
      <c r="W256" s="847">
        <f>IF(OR(Q256="NA",Q256="",V256="NA",V256=""),"NA",(1+(V256/Q256)^1.5*((1-Data!$D$75)/(1-Data!$D$18))^1.5*(Data!$D$71/Data!$D$14)^1.5*(Data!$D$73/Data!$D$72)*(1/(39.37*Data!$D$72))^0.25))</f>
        <v>3.8303093677397895</v>
      </c>
      <c r="X256" s="847">
        <f>IF(W256="NA","NA",0.15*Data!$D$71*(1-Data!$D$75)*V256*((13.12*Data!$D$73)^(0.112*LN(Data!$D$71*(1-Data!$D$75)*V256)+1.38))/(W256*Data!$D$81))</f>
        <v>542926564.10316753</v>
      </c>
      <c r="Y256" s="847">
        <f>IF(OR(W256="NA",W256="",Data!$D$91="NA",Data!$D$91=""),"NA",W256*Data!$D$91)</f>
        <v>6.8495741227413927</v>
      </c>
      <c r="Z256" s="847">
        <f>IF(OR(W256="NA",W256="",Data!$D$91="NA",Data!$D$91=""),"NA",IF(Data!$D$68&lt;X256,W256*X256/Data!$D$68*Data!$D$91,W256*Data!$D$91))</f>
        <v>18594078.720149759</v>
      </c>
      <c r="AA256" s="853"/>
      <c r="AB256" s="710" t="s">
        <v>329</v>
      </c>
      <c r="AC256" s="710" t="s">
        <v>329</v>
      </c>
      <c r="AD256" s="292" t="s">
        <v>329</v>
      </c>
      <c r="AE256" s="287" t="s">
        <v>329</v>
      </c>
      <c r="AF256" s="287" t="s">
        <v>329</v>
      </c>
      <c r="AG256" s="288" t="s">
        <v>329</v>
      </c>
      <c r="AH256" s="292" t="s">
        <v>329</v>
      </c>
      <c r="AI256" s="689" t="s">
        <v>329</v>
      </c>
      <c r="AJ256" s="287" t="s">
        <v>329</v>
      </c>
      <c r="AK256" s="288" t="s">
        <v>329</v>
      </c>
      <c r="AL256" s="786"/>
      <c r="AM256" s="815"/>
      <c r="AN256" s="1037"/>
      <c r="AO256" s="1049"/>
      <c r="AP256" s="287" t="s">
        <v>329</v>
      </c>
      <c r="AQ256" s="689" t="s">
        <v>329</v>
      </c>
      <c r="AR256" s="292" t="s">
        <v>329</v>
      </c>
      <c r="AS256" s="288" t="s">
        <v>329</v>
      </c>
      <c r="AT256" s="292" t="s">
        <v>329</v>
      </c>
      <c r="AU256" s="288" t="s">
        <v>329</v>
      </c>
      <c r="AV256" s="874"/>
      <c r="AW256" s="663"/>
      <c r="AX256" s="663"/>
      <c r="AY256" s="663"/>
      <c r="AZ256" s="664"/>
    </row>
    <row r="257" spans="1:52" s="55" customFormat="1" x14ac:dyDescent="0.25">
      <c r="A257" s="307" t="s">
        <v>575</v>
      </c>
      <c r="B257" s="1020"/>
      <c r="C257" s="1019"/>
      <c r="D257" s="1025"/>
      <c r="E257" s="1025"/>
      <c r="F257" s="502"/>
      <c r="G257" s="503"/>
      <c r="H257" s="1040" t="str">
        <f t="shared" si="45"/>
        <v>NA</v>
      </c>
      <c r="I257" s="1041" t="str">
        <f t="shared" si="45"/>
        <v>NA</v>
      </c>
      <c r="J257" s="1041" t="str">
        <f t="shared" si="45"/>
        <v>NA</v>
      </c>
      <c r="K257" s="1041" t="str">
        <f t="shared" si="45"/>
        <v>NA</v>
      </c>
      <c r="L257" s="1042" t="str">
        <f t="shared" si="45"/>
        <v>NA</v>
      </c>
      <c r="M257" s="289">
        <v>375</v>
      </c>
      <c r="N257" s="637" t="s">
        <v>329</v>
      </c>
      <c r="O257" s="645" t="str">
        <f>IF(M257="NA","NA",(IF(N257="NA","NA",((((28.97+M257)/(28.97*M257))^0.5)*(10^-3)*(Data!$D$50^1.75)/((2*(20.1^(1/3)))^2)))))</f>
        <v>NA</v>
      </c>
      <c r="P257" s="637">
        <f>10^7.92</f>
        <v>83176377.110267311</v>
      </c>
      <c r="Q257" s="629">
        <f>IF($P257="NA","NA",(0.617*Data!$D$9*$P257/100)/(1+Data!$D$15*$P257*0.000000617))</f>
        <v>1539594.740311048</v>
      </c>
      <c r="R257" s="629">
        <f t="shared" si="43"/>
        <v>1539594.740311048</v>
      </c>
      <c r="S257" s="290">
        <v>1</v>
      </c>
      <c r="T257" s="290">
        <f t="shared" si="44"/>
        <v>1</v>
      </c>
      <c r="U257" s="847">
        <v>0</v>
      </c>
      <c r="V257" s="860">
        <f>IF(Data!$D$69="",E257,IF(P257="NA","NA",(0.617*Data!$D$69*P257/100)/(1+Data!$D$15*P257*0.000000617)))</f>
        <v>1026396.4935406985</v>
      </c>
      <c r="W257" s="847">
        <f>IF(OR(Q257="NA",Q257="",V257="NA",V257=""),"NA",(1+(V257/Q257)^1.5*((1-Data!$D$75)/(1-Data!$D$18))^1.5*(Data!$D$71/Data!$D$14)^1.5*(Data!$D$73/Data!$D$72)*(1/(39.37*Data!$D$72))^0.25))</f>
        <v>3.8303093677397895</v>
      </c>
      <c r="X257" s="847">
        <f>IF(W257="NA","NA",0.15*Data!$D$71*(1-Data!$D$75)*V257*((13.12*Data!$D$73)^(0.112*LN(Data!$D$71*(1-Data!$D$75)*V257)+1.38))/(W257*Data!$D$81))</f>
        <v>28376370790.122265</v>
      </c>
      <c r="Y257" s="847">
        <f>IF(OR(W257="NA",W257="",Data!$D$91="NA",Data!$D$91=""),"NA",W257*Data!$D$91)</f>
        <v>6.8495741227413927</v>
      </c>
      <c r="Z257" s="847">
        <f>IF(OR(W257="NA",W257="",Data!$D$91="NA",Data!$D$91=""),"NA",IF(Data!$D$68&lt;X257,W257*X257/Data!$D$68*Data!$D$91,W257*Data!$D$91))</f>
        <v>971830275.30668092</v>
      </c>
      <c r="AA257" s="853"/>
      <c r="AB257" s="710" t="s">
        <v>329</v>
      </c>
      <c r="AC257" s="710" t="s">
        <v>329</v>
      </c>
      <c r="AD257" s="292" t="s">
        <v>329</v>
      </c>
      <c r="AE257" s="287" t="s">
        <v>329</v>
      </c>
      <c r="AF257" s="287" t="s">
        <v>329</v>
      </c>
      <c r="AG257" s="288" t="s">
        <v>329</v>
      </c>
      <c r="AH257" s="292" t="s">
        <v>329</v>
      </c>
      <c r="AI257" s="689" t="s">
        <v>329</v>
      </c>
      <c r="AJ257" s="287" t="s">
        <v>329</v>
      </c>
      <c r="AK257" s="288" t="s">
        <v>329</v>
      </c>
      <c r="AL257" s="786"/>
      <c r="AM257" s="815"/>
      <c r="AN257" s="1037"/>
      <c r="AO257" s="1049"/>
      <c r="AP257" s="287" t="s">
        <v>329</v>
      </c>
      <c r="AQ257" s="689" t="s">
        <v>329</v>
      </c>
      <c r="AR257" s="292" t="s">
        <v>329</v>
      </c>
      <c r="AS257" s="288" t="s">
        <v>329</v>
      </c>
      <c r="AT257" s="292" t="s">
        <v>329</v>
      </c>
      <c r="AU257" s="288" t="s">
        <v>329</v>
      </c>
      <c r="AV257" s="874"/>
      <c r="AW257" s="663"/>
      <c r="AX257" s="663"/>
      <c r="AY257" s="663"/>
      <c r="AZ257" s="664"/>
    </row>
    <row r="258" spans="1:52" s="55" customFormat="1" x14ac:dyDescent="0.25">
      <c r="A258" s="307" t="s">
        <v>576</v>
      </c>
      <c r="B258" s="1020"/>
      <c r="C258" s="1019"/>
      <c r="D258" s="1025"/>
      <c r="E258" s="1025"/>
      <c r="F258" s="502"/>
      <c r="G258" s="503"/>
      <c r="H258" s="1040" t="str">
        <f t="shared" si="45"/>
        <v>NA</v>
      </c>
      <c r="I258" s="1041" t="str">
        <f t="shared" si="45"/>
        <v>NA</v>
      </c>
      <c r="J258" s="1041" t="str">
        <f t="shared" si="45"/>
        <v>NA</v>
      </c>
      <c r="K258" s="1041" t="str">
        <f t="shared" si="45"/>
        <v>NA</v>
      </c>
      <c r="L258" s="1042" t="str">
        <f t="shared" si="45"/>
        <v>NA</v>
      </c>
      <c r="M258" s="289">
        <v>340.4</v>
      </c>
      <c r="N258" s="637" t="s">
        <v>329</v>
      </c>
      <c r="O258" s="645" t="str">
        <f>IF(M258="NA","NA",(IF(N258="NA","NA",((((28.97+M258)/(28.97*M258))^0.5)*(10^-3)*(Data!$D$50^1.75)/((2*(20.1^(1/3)))^2)))))</f>
        <v>NA</v>
      </c>
      <c r="P258" s="637">
        <f>10^6.92</f>
        <v>8317637.7110267216</v>
      </c>
      <c r="Q258" s="629">
        <f>IF($P258="NA","NA",(0.617*Data!$D$9*$P258/100)/(1+Data!$D$15*$P258*0.000000617))</f>
        <v>153959.47403110462</v>
      </c>
      <c r="R258" s="629">
        <f t="shared" si="43"/>
        <v>153959.47403110462</v>
      </c>
      <c r="S258" s="290">
        <v>1</v>
      </c>
      <c r="T258" s="290">
        <f t="shared" si="44"/>
        <v>1</v>
      </c>
      <c r="U258" s="847">
        <v>6.36</v>
      </c>
      <c r="V258" s="860">
        <f>IF(Data!$D$69="",E258,IF(P258="NA","NA",(0.617*Data!$D$69*P258/100)/(1+Data!$D$15*P258*0.000000617)))</f>
        <v>102639.64935406974</v>
      </c>
      <c r="W258" s="847">
        <f>IF(OR(Q258="NA",Q258="",V258="NA",V258=""),"NA",(1+(V258/Q258)^1.5*((1-Data!$D$75)/(1-Data!$D$18))^1.5*(Data!$D$71/Data!$D$14)^1.5*(Data!$D$73/Data!$D$72)*(1/(39.37*Data!$D$72))^0.25))</f>
        <v>3.8303093677397895</v>
      </c>
      <c r="X258" s="847">
        <f>IF(W258="NA","NA",0.15*Data!$D$71*(1-Data!$D$75)*V258*((13.12*Data!$D$73)^(0.112*LN(Data!$D$71*(1-Data!$D$75)*V258)+1.38))/(W258*Data!$D$81))</f>
        <v>964709093.83058751</v>
      </c>
      <c r="Y258" s="847">
        <f>IF(OR(W258="NA",W258="",Data!$D$91="NA",Data!$D$91=""),"NA",W258*Data!$D$91)</f>
        <v>6.8495741227413927</v>
      </c>
      <c r="Z258" s="847">
        <f>IF(OR(W258="NA",W258="",Data!$D$91="NA",Data!$D$91=""),"NA",IF(Data!$D$68&lt;X258,W258*X258/Data!$D$68*Data!$D$91,W258*Data!$D$91))</f>
        <v>33039232.225376453</v>
      </c>
      <c r="AA258" s="853"/>
      <c r="AB258" s="710" t="s">
        <v>329</v>
      </c>
      <c r="AC258" s="710" t="s">
        <v>329</v>
      </c>
      <c r="AD258" s="292" t="s">
        <v>329</v>
      </c>
      <c r="AE258" s="287" t="s">
        <v>329</v>
      </c>
      <c r="AF258" s="287" t="s">
        <v>329</v>
      </c>
      <c r="AG258" s="288" t="s">
        <v>329</v>
      </c>
      <c r="AH258" s="292" t="s">
        <v>329</v>
      </c>
      <c r="AI258" s="689" t="s">
        <v>329</v>
      </c>
      <c r="AJ258" s="287" t="s">
        <v>329</v>
      </c>
      <c r="AK258" s="288" t="s">
        <v>329</v>
      </c>
      <c r="AL258" s="786"/>
      <c r="AM258" s="815"/>
      <c r="AN258" s="1037"/>
      <c r="AO258" s="1049"/>
      <c r="AP258" s="287" t="s">
        <v>329</v>
      </c>
      <c r="AQ258" s="689" t="s">
        <v>329</v>
      </c>
      <c r="AR258" s="292" t="s">
        <v>329</v>
      </c>
      <c r="AS258" s="288" t="s">
        <v>329</v>
      </c>
      <c r="AT258" s="292" t="s">
        <v>329</v>
      </c>
      <c r="AU258" s="288" t="s">
        <v>329</v>
      </c>
      <c r="AV258" s="874"/>
      <c r="AW258" s="663"/>
      <c r="AX258" s="663"/>
      <c r="AY258" s="663"/>
      <c r="AZ258" s="664"/>
    </row>
    <row r="259" spans="1:52" s="55" customFormat="1" x14ac:dyDescent="0.25">
      <c r="A259" s="307" t="s">
        <v>577</v>
      </c>
      <c r="B259" s="1020"/>
      <c r="C259" s="1019"/>
      <c r="D259" s="1025"/>
      <c r="E259" s="1025"/>
      <c r="F259" s="502"/>
      <c r="G259" s="503"/>
      <c r="H259" s="1040">
        <f t="shared" si="45"/>
        <v>0.01</v>
      </c>
      <c r="I259" s="1041">
        <f t="shared" si="45"/>
        <v>1.0000000000000001E-5</v>
      </c>
      <c r="J259" s="1041">
        <f t="shared" si="45"/>
        <v>1.0000000000000001E-5</v>
      </c>
      <c r="K259" s="1041" t="str">
        <f t="shared" si="45"/>
        <v>NA</v>
      </c>
      <c r="L259" s="1042">
        <f t="shared" si="45"/>
        <v>1.2E-4</v>
      </c>
      <c r="M259" s="289">
        <v>322</v>
      </c>
      <c r="N259" s="645">
        <v>1.5999999999999999E-5</v>
      </c>
      <c r="O259" s="645">
        <f>IF(M259="NA","NA",(IF(N259="NA","NA",((((28.97+M259)/(28.97*M259))^0.5)*(10^-3)*(Data!$D$50^1.75)/((2*(20.1^(1/3)))^2)))))</f>
        <v>0.15023060480996905</v>
      </c>
      <c r="P259" s="637">
        <f>10^6.8</f>
        <v>6309573.4448019378</v>
      </c>
      <c r="Q259" s="629">
        <f>IF($P259="NA","NA",(0.617*Data!$D$9*$P259/100)/(1+Data!$D$15*$P259*0.000000617))</f>
        <v>116790.20446328387</v>
      </c>
      <c r="R259" s="629">
        <f t="shared" si="43"/>
        <v>116790.20446328387</v>
      </c>
      <c r="S259" s="290">
        <v>1</v>
      </c>
      <c r="T259" s="290">
        <f t="shared" si="44"/>
        <v>1</v>
      </c>
      <c r="U259" s="847">
        <v>0.2</v>
      </c>
      <c r="V259" s="860">
        <f>IF(Data!$D$69="",E259,IF(P259="NA","NA",(0.617*Data!$D$69*P259/100)/(1+Data!$D$15*P259*0.000000617)))</f>
        <v>77860.136308855901</v>
      </c>
      <c r="W259" s="847">
        <f>IF(OR(Q259="NA",Q259="",V259="NA",V259=""),"NA",(1+(V259/Q259)^1.5*((1-Data!$D$75)/(1-Data!$D$18))^1.5*(Data!$D$71/Data!$D$14)^1.5*(Data!$D$73/Data!$D$72)*(1/(39.37*Data!$D$72))^0.25))</f>
        <v>3.8303093677397895</v>
      </c>
      <c r="X259" s="847">
        <f>IF(W259="NA","NA",0.15*Data!$D$71*(1-Data!$D$75)*V259*((13.12*Data!$D$73)^(0.112*LN(Data!$D$71*(1-Data!$D$75)*V259)+1.38))/(W259*Data!$D$81))</f>
        <v>642938029.82473552</v>
      </c>
      <c r="Y259" s="847">
        <f>IF(OR(W259="NA",W259="",Data!$D$91="NA",Data!$D$91=""),"NA",W259*Data!$D$91)</f>
        <v>6.8495741227413927</v>
      </c>
      <c r="Z259" s="847">
        <f>IF(OR(W259="NA",W259="",Data!$D$91="NA",Data!$D$91=""),"NA",IF(Data!$D$68&lt;X259,W259*X259/Data!$D$68*Data!$D$91,W259*Data!$D$91))</f>
        <v>22019258.458069213</v>
      </c>
      <c r="AA259" s="853"/>
      <c r="AB259" s="715">
        <v>3.0000000000000001E-5</v>
      </c>
      <c r="AC259" s="715">
        <v>3.0000000000000001E-5</v>
      </c>
      <c r="AD259" s="292" t="s">
        <v>329</v>
      </c>
      <c r="AE259" s="287" t="s">
        <v>329</v>
      </c>
      <c r="AF259" s="287" t="s">
        <v>329</v>
      </c>
      <c r="AG259" s="288" t="s">
        <v>329</v>
      </c>
      <c r="AH259" s="696">
        <v>0.01</v>
      </c>
      <c r="AI259" s="1053">
        <v>1.0000000000000001E-5</v>
      </c>
      <c r="AJ259" s="287" t="s">
        <v>329</v>
      </c>
      <c r="AK259" s="288" t="s">
        <v>329</v>
      </c>
      <c r="AL259" s="785">
        <v>0.1</v>
      </c>
      <c r="AM259" s="825">
        <v>1.0000000000000001E-5</v>
      </c>
      <c r="AN259" s="1037"/>
      <c r="AO259" s="1049">
        <v>1.0000000000000001E-5</v>
      </c>
      <c r="AP259" s="287" t="s">
        <v>329</v>
      </c>
      <c r="AQ259" s="689" t="s">
        <v>329</v>
      </c>
      <c r="AR259" s="292" t="s">
        <v>329</v>
      </c>
      <c r="AS259" s="288" t="s">
        <v>329</v>
      </c>
      <c r="AT259" s="943">
        <v>1.2E-4</v>
      </c>
      <c r="AU259" s="934">
        <v>5.2999999999999998E-4</v>
      </c>
      <c r="AV259" s="874"/>
      <c r="AW259" s="663"/>
      <c r="AX259" s="663"/>
      <c r="AY259" s="663"/>
      <c r="AZ259" s="664"/>
    </row>
    <row r="260" spans="1:52" s="55" customFormat="1" x14ac:dyDescent="0.25">
      <c r="A260" s="307" t="s">
        <v>578</v>
      </c>
      <c r="B260" s="1020"/>
      <c r="C260" s="1019"/>
      <c r="D260" s="1025"/>
      <c r="E260" s="1025"/>
      <c r="F260" s="502"/>
      <c r="G260" s="503"/>
      <c r="H260" s="1040" t="str">
        <f t="shared" si="45"/>
        <v>NA</v>
      </c>
      <c r="I260" s="1041" t="str">
        <f t="shared" si="45"/>
        <v>NA</v>
      </c>
      <c r="J260" s="1041" t="str">
        <f t="shared" si="45"/>
        <v>NA</v>
      </c>
      <c r="K260" s="1041" t="str">
        <f t="shared" si="45"/>
        <v>NA</v>
      </c>
      <c r="L260" s="1042" t="str">
        <f t="shared" si="45"/>
        <v>NA</v>
      </c>
      <c r="M260" s="289">
        <v>306</v>
      </c>
      <c r="N260" s="645">
        <f>0.000113</f>
        <v>1.13E-4</v>
      </c>
      <c r="O260" s="645">
        <f>IF(M260="NA","NA",(IF(N260="NA","NA",((((28.97+M260)/(28.97*M260))^0.5)*(10^-3)*(Data!$D$50^1.75)/((2*(20.1^(1/3)))^2)))))</f>
        <v>0.15055445013591703</v>
      </c>
      <c r="P260" s="637">
        <f>10^6.53</f>
        <v>3388441.5613920307</v>
      </c>
      <c r="Q260" s="629">
        <f>IF($P260="NA","NA",(0.617*Data!$D$9*$P260/100)/(1+Data!$D$15*$P260*0.000000617))</f>
        <v>62720.053301366483</v>
      </c>
      <c r="R260" s="629">
        <f t="shared" si="43"/>
        <v>62720.053301366483</v>
      </c>
      <c r="S260" s="290">
        <v>1</v>
      </c>
      <c r="T260" s="290">
        <f t="shared" si="44"/>
        <v>1</v>
      </c>
      <c r="U260" s="847">
        <v>0.41899999999999998</v>
      </c>
      <c r="V260" s="860">
        <f>IF(Data!$D$69="",E260,IF(P260="NA","NA",(0.617*Data!$D$69*P260/100)/(1+Data!$D$15*P260*0.000000617)))</f>
        <v>41813.368867577658</v>
      </c>
      <c r="W260" s="847">
        <f>IF(OR(Q260="NA",Q260="",V260="NA",V260=""),"NA",(1+(V260/Q260)^1.5*((1-Data!$D$75)/(1-Data!$D$18))^1.5*(Data!$D$71/Data!$D$14)^1.5*(Data!$D$73/Data!$D$72)*(1/(39.37*Data!$D$72))^0.25))</f>
        <v>3.8303093677397904</v>
      </c>
      <c r="X260" s="847">
        <f>IF(W260="NA","NA",0.15*Data!$D$71*(1-Data!$D$75)*V260*((13.12*Data!$D$73)^(0.112*LN(Data!$D$71*(1-Data!$D$75)*V260)+1.38))/(W260*Data!$D$81))</f>
        <v>258022623.09605825</v>
      </c>
      <c r="Y260" s="847">
        <f>IF(OR(W260="NA",W260="",Data!$D$91="NA",Data!$D$91=""),"NA",W260*Data!$D$91)</f>
        <v>6.8495741227413944</v>
      </c>
      <c r="Z260" s="847">
        <f>IF(OR(W260="NA",W260="",Data!$D$91="NA",Data!$D$91=""),"NA",IF(Data!$D$68&lt;X260,W260*X260/Data!$D$68*Data!$D$91,W260*Data!$D$91))</f>
        <v>8836725.4112030827</v>
      </c>
      <c r="AA260" s="853"/>
      <c r="AB260" s="710" t="s">
        <v>329</v>
      </c>
      <c r="AC260" s="710" t="s">
        <v>329</v>
      </c>
      <c r="AD260" s="292" t="s">
        <v>329</v>
      </c>
      <c r="AE260" s="287" t="s">
        <v>329</v>
      </c>
      <c r="AF260" s="287" t="s">
        <v>329</v>
      </c>
      <c r="AG260" s="288" t="s">
        <v>329</v>
      </c>
      <c r="AH260" s="292" t="s">
        <v>329</v>
      </c>
      <c r="AI260" s="689" t="s">
        <v>329</v>
      </c>
      <c r="AJ260" s="287" t="s">
        <v>329</v>
      </c>
      <c r="AK260" s="288" t="s">
        <v>329</v>
      </c>
      <c r="AL260" s="786"/>
      <c r="AM260" s="815"/>
      <c r="AN260" s="1037"/>
      <c r="AO260" s="1049"/>
      <c r="AP260" s="287" t="s">
        <v>329</v>
      </c>
      <c r="AQ260" s="689" t="s">
        <v>329</v>
      </c>
      <c r="AR260" s="292" t="s">
        <v>329</v>
      </c>
      <c r="AS260" s="288" t="s">
        <v>329</v>
      </c>
      <c r="AT260" s="292" t="s">
        <v>329</v>
      </c>
      <c r="AU260" s="288" t="s">
        <v>329</v>
      </c>
      <c r="AV260" s="874"/>
      <c r="AW260" s="663"/>
      <c r="AX260" s="663"/>
      <c r="AY260" s="663"/>
      <c r="AZ260" s="664"/>
    </row>
    <row r="261" spans="1:52" s="55" customFormat="1" x14ac:dyDescent="0.25">
      <c r="A261" s="307" t="s">
        <v>579</v>
      </c>
      <c r="B261" s="1020"/>
      <c r="C261" s="1019"/>
      <c r="D261" s="1025"/>
      <c r="E261" s="1025"/>
      <c r="F261" s="502"/>
      <c r="G261" s="503"/>
      <c r="H261" s="1040" t="str">
        <f t="shared" si="45"/>
        <v>NA</v>
      </c>
      <c r="I261" s="1041" t="str">
        <f t="shared" si="45"/>
        <v>NA</v>
      </c>
      <c r="J261" s="1041" t="str">
        <f t="shared" si="45"/>
        <v>NA</v>
      </c>
      <c r="K261" s="1041" t="str">
        <f t="shared" si="45"/>
        <v>NA</v>
      </c>
      <c r="L261" s="1042" t="str">
        <f t="shared" si="45"/>
        <v>NA</v>
      </c>
      <c r="M261" s="289">
        <v>460</v>
      </c>
      <c r="N261" s="645">
        <f>0.00000674</f>
        <v>6.7399999999999998E-6</v>
      </c>
      <c r="O261" s="645">
        <f>IF(M261="NA","NA",(IF(N261="NA","NA",((((28.97+M261)/(28.97*M261))^0.5)*(10^-3)*(Data!$D$50^1.75)/((2*(20.1^(1/3)))^2)))))</f>
        <v>0.14835887965700084</v>
      </c>
      <c r="P261" s="637">
        <f>10^8.2</f>
        <v>158489319.24611133</v>
      </c>
      <c r="Q261" s="629">
        <f>IF($P261="NA","NA",(0.617*Data!$D$9*$P261/100)/(1+Data!$D$15*$P261*0.000000617))</f>
        <v>2933637.299245521</v>
      </c>
      <c r="R261" s="629">
        <f t="shared" si="43"/>
        <v>2933637.299245521</v>
      </c>
      <c r="S261" s="290">
        <v>1</v>
      </c>
      <c r="T261" s="290">
        <f t="shared" si="44"/>
        <v>1</v>
      </c>
      <c r="U261" s="847">
        <v>7.3999999999999996E-5</v>
      </c>
      <c r="V261" s="860">
        <f>IF(Data!$D$69="",E261,IF(P261="NA","NA",(0.617*Data!$D$69*P261/100)/(1+Data!$D$15*P261*0.000000617)))</f>
        <v>1955758.1994970136</v>
      </c>
      <c r="W261" s="847">
        <f>IF(OR(Q261="NA",Q261="",V261="NA",V261=""),"NA",(1+(V261/Q261)^1.5*((1-Data!$D$75)/(1-Data!$D$18))^1.5*(Data!$D$71/Data!$D$14)^1.5*(Data!$D$73/Data!$D$72)*(1/(39.37*Data!$D$72))^0.25))</f>
        <v>3.8303093677397886</v>
      </c>
      <c r="X261" s="847">
        <f>IF(W261="NA","NA",0.15*Data!$D$71*(1-Data!$D$75)*V261*((13.12*Data!$D$73)^(0.112*LN(Data!$D$71*(1-Data!$D$75)*V261)+1.38))/(W261*Data!$D$81))</f>
        <v>73139802654.48735</v>
      </c>
      <c r="Y261" s="847">
        <f>IF(OR(W261="NA",W261="",Data!$D$91="NA",Data!$D$91=""),"NA",W261*Data!$D$91)</f>
        <v>6.8495741227413909</v>
      </c>
      <c r="Z261" s="847">
        <f>IF(OR(W261="NA",W261="",Data!$D$91="NA",Data!$D$91=""),"NA",IF(Data!$D$68&lt;X261,W261*X261/Data!$D$68*Data!$D$91,W261*Data!$D$91))</f>
        <v>2504882498.0229435</v>
      </c>
      <c r="AA261" s="853"/>
      <c r="AB261" s="710" t="s">
        <v>329</v>
      </c>
      <c r="AC261" s="710" t="s">
        <v>329</v>
      </c>
      <c r="AD261" s="292" t="s">
        <v>329</v>
      </c>
      <c r="AE261" s="287" t="s">
        <v>329</v>
      </c>
      <c r="AF261" s="287" t="s">
        <v>329</v>
      </c>
      <c r="AG261" s="288" t="s">
        <v>329</v>
      </c>
      <c r="AH261" s="292" t="s">
        <v>329</v>
      </c>
      <c r="AI261" s="689" t="s">
        <v>329</v>
      </c>
      <c r="AJ261" s="287" t="s">
        <v>329</v>
      </c>
      <c r="AK261" s="288" t="s">
        <v>329</v>
      </c>
      <c r="AL261" s="786"/>
      <c r="AM261" s="815"/>
      <c r="AN261" s="1037"/>
      <c r="AO261" s="1049"/>
      <c r="AP261" s="287" t="s">
        <v>329</v>
      </c>
      <c r="AQ261" s="689" t="s">
        <v>329</v>
      </c>
      <c r="AR261" s="292" t="s">
        <v>329</v>
      </c>
      <c r="AS261" s="288" t="s">
        <v>329</v>
      </c>
      <c r="AT261" s="292" t="s">
        <v>329</v>
      </c>
      <c r="AU261" s="288" t="s">
        <v>329</v>
      </c>
      <c r="AV261" s="874"/>
      <c r="AW261" s="663"/>
      <c r="AX261" s="663"/>
      <c r="AY261" s="663"/>
      <c r="AZ261" s="664"/>
    </row>
    <row r="262" spans="1:52" s="55" customFormat="1" x14ac:dyDescent="0.25">
      <c r="A262" s="307" t="s">
        <v>580</v>
      </c>
      <c r="B262" s="1020"/>
      <c r="C262" s="1019"/>
      <c r="D262" s="1025"/>
      <c r="E262" s="1025"/>
      <c r="F262" s="502"/>
      <c r="G262" s="503"/>
      <c r="H262" s="1040" t="str">
        <f t="shared" si="45"/>
        <v>NA</v>
      </c>
      <c r="I262" s="1041" t="str">
        <f t="shared" si="45"/>
        <v>NA</v>
      </c>
      <c r="J262" s="1041" t="str">
        <f t="shared" si="45"/>
        <v>NA</v>
      </c>
      <c r="K262" s="1041" t="str">
        <f t="shared" si="45"/>
        <v>NA</v>
      </c>
      <c r="L262" s="1042" t="str">
        <f t="shared" si="45"/>
        <v>NA</v>
      </c>
      <c r="M262" s="289">
        <v>443.76</v>
      </c>
      <c r="N262" s="645">
        <v>9.8690000000000003E-7</v>
      </c>
      <c r="O262" s="645">
        <f>IF(M262="NA","NA",(IF(N262="NA","NA",((((28.97+M262)/(28.97*M262))^0.5)*(10^-3)*(Data!$D$50^1.75)/((2*(20.1^(1/3)))^2)))))</f>
        <v>0.14851963021214373</v>
      </c>
      <c r="P262" s="637">
        <f>10^(8)</f>
        <v>100000000</v>
      </c>
      <c r="Q262" s="629">
        <f>IF($P262="NA","NA",(0.617*Data!$D$9*$P262/100)/(1+Data!$D$15*$P262*0.000000617))</f>
        <v>1851000</v>
      </c>
      <c r="R262" s="629">
        <f t="shared" si="43"/>
        <v>1851000</v>
      </c>
      <c r="S262" s="290">
        <v>1</v>
      </c>
      <c r="T262" s="290">
        <f t="shared" si="44"/>
        <v>1</v>
      </c>
      <c r="U262" s="847">
        <v>1.16E-3</v>
      </c>
      <c r="V262" s="860">
        <f>IF(Data!$D$69="",E262,IF(P262="NA","NA",(0.617*Data!$D$69*P262/100)/(1+Data!$D$15*P262*0.000000617)))</f>
        <v>1234000</v>
      </c>
      <c r="W262" s="847">
        <f>IF(OR(Q262="NA",Q262="",V262="NA",V262=""),"NA",(1+(V262/Q262)^1.5*((1-Data!$D$75)/(1-Data!$D$18))^1.5*(Data!$D$71/Data!$D$14)^1.5*(Data!$D$73/Data!$D$72)*(1/(39.37*Data!$D$72))^0.25))</f>
        <v>3.8303093677397895</v>
      </c>
      <c r="X262" s="847">
        <f>IF(W262="NA","NA",0.15*Data!$D$71*(1-Data!$D$75)*V262*((13.12*Data!$D$73)^(0.112*LN(Data!$D$71*(1-Data!$D$75)*V262)+1.38))/(W262*Data!$D$81))</f>
        <v>37191328214.588615</v>
      </c>
      <c r="Y262" s="847">
        <f>IF(OR(W262="NA",W262="",Data!$D$91="NA",Data!$D$91=""),"NA",W262*Data!$D$91)</f>
        <v>6.8495741227413927</v>
      </c>
      <c r="Z262" s="847">
        <f>IF(OR(W262="NA",W262="",Data!$D$91="NA",Data!$D$91=""),"NA",IF(Data!$D$68&lt;X262,W262*X262/Data!$D$68*Data!$D$91,W262*Data!$D$91))</f>
        <v>1273723796.6451402</v>
      </c>
      <c r="AA262" s="853"/>
      <c r="AB262" s="710" t="s">
        <v>329</v>
      </c>
      <c r="AC262" s="710" t="s">
        <v>329</v>
      </c>
      <c r="AD262" s="292" t="s">
        <v>329</v>
      </c>
      <c r="AE262" s="287" t="s">
        <v>329</v>
      </c>
      <c r="AF262" s="287" t="s">
        <v>329</v>
      </c>
      <c r="AG262" s="288" t="s">
        <v>329</v>
      </c>
      <c r="AH262" s="292" t="s">
        <v>329</v>
      </c>
      <c r="AI262" s="689" t="s">
        <v>329</v>
      </c>
      <c r="AJ262" s="287" t="s">
        <v>329</v>
      </c>
      <c r="AK262" s="288" t="s">
        <v>329</v>
      </c>
      <c r="AL262" s="786"/>
      <c r="AM262" s="815"/>
      <c r="AN262" s="1037"/>
      <c r="AO262" s="1049"/>
      <c r="AP262" s="287" t="s">
        <v>329</v>
      </c>
      <c r="AQ262" s="689" t="s">
        <v>329</v>
      </c>
      <c r="AR262" s="292" t="s">
        <v>329</v>
      </c>
      <c r="AS262" s="288" t="s">
        <v>329</v>
      </c>
      <c r="AT262" s="292" t="s">
        <v>329</v>
      </c>
      <c r="AU262" s="288" t="s">
        <v>329</v>
      </c>
      <c r="AV262" s="874"/>
      <c r="AW262" s="663"/>
      <c r="AX262" s="663"/>
      <c r="AY262" s="663"/>
      <c r="AZ262" s="664"/>
    </row>
    <row r="263" spans="1:52" s="55" customFormat="1" x14ac:dyDescent="0.25">
      <c r="A263" s="307" t="s">
        <v>581</v>
      </c>
      <c r="B263" s="1020"/>
      <c r="C263" s="1019"/>
      <c r="D263" s="1025"/>
      <c r="E263" s="1025"/>
      <c r="F263" s="502"/>
      <c r="G263" s="503"/>
      <c r="H263" s="1040" t="str">
        <f t="shared" si="45"/>
        <v>NA</v>
      </c>
      <c r="I263" s="1041" t="str">
        <f t="shared" si="45"/>
        <v>NA</v>
      </c>
      <c r="J263" s="1041" t="str">
        <f t="shared" si="45"/>
        <v>NA</v>
      </c>
      <c r="K263" s="1041" t="str">
        <f t="shared" si="45"/>
        <v>NA</v>
      </c>
      <c r="L263" s="1042" t="str">
        <f t="shared" si="45"/>
        <v>NA</v>
      </c>
      <c r="M263" s="289" t="s">
        <v>329</v>
      </c>
      <c r="N263" s="637" t="s">
        <v>329</v>
      </c>
      <c r="O263" s="645" t="str">
        <f>IF(M263="NA","NA",(IF(N263="NA","NA",((((28.97+M263)/(28.97*M263))^0.5)*(10^-3)*(Data!$D$50^1.75)/((2*(20.1^(1/3)))^2)))))</f>
        <v>NA</v>
      </c>
      <c r="P263" s="637" t="s">
        <v>329</v>
      </c>
      <c r="Q263" s="629" t="str">
        <f>IF($P263="NA","NA",(0.617*Data!$D$9*$P263/100)/(1+Data!$D$15*$P263*0.000000617))</f>
        <v>NA</v>
      </c>
      <c r="R263" s="629" t="str">
        <f t="shared" si="43"/>
        <v>NA</v>
      </c>
      <c r="S263" s="290">
        <v>1</v>
      </c>
      <c r="T263" s="290">
        <f t="shared" si="44"/>
        <v>1</v>
      </c>
      <c r="U263" s="847" t="s">
        <v>329</v>
      </c>
      <c r="V263" s="860" t="str">
        <f>IF(Data!$D$69="",E263,IF(P263="NA","NA",(0.617*Data!$D$69*P263/100)/(1+Data!$D$15*P263*0.000000617)))</f>
        <v>NA</v>
      </c>
      <c r="W263" s="847" t="str">
        <f>IF(OR(Q263="NA",Q263="",V263="NA",V263=""),"NA",(1+(V263/Q263)^1.5*((1-Data!$D$75)/(1-Data!$D$18))^1.5*(Data!$D$71/Data!$D$14)^1.5*(Data!$D$73/Data!$D$72)*(1/(39.37*Data!$D$72))^0.25))</f>
        <v>NA</v>
      </c>
      <c r="X263" s="847" t="str">
        <f>IF(W263="NA","NA",0.15*Data!$D$71*(1-Data!$D$75)*V263*((13.12*Data!$D$73)^(0.112*LN(Data!$D$71*(1-Data!$D$75)*V263)+1.38))/(W263*Data!$D$81))</f>
        <v>NA</v>
      </c>
      <c r="Y263" s="847" t="str">
        <f>IF(OR(W263="NA",W263="",Data!$D$91="NA",Data!$D$91=""),"NA",W263*Data!$D$91)</f>
        <v>NA</v>
      </c>
      <c r="Z263" s="847" t="str">
        <f>IF(OR(W263="NA",W263="",Data!$D$91="NA",Data!$D$91=""),"NA",IF(Data!$D$68&lt;X263,W263*X263/Data!$D$68*Data!$D$91,W263*Data!$D$91))</f>
        <v>NA</v>
      </c>
      <c r="AA263" s="853"/>
      <c r="AB263" s="710" t="s">
        <v>329</v>
      </c>
      <c r="AC263" s="710" t="s">
        <v>329</v>
      </c>
      <c r="AD263" s="292" t="s">
        <v>329</v>
      </c>
      <c r="AE263" s="287" t="s">
        <v>329</v>
      </c>
      <c r="AF263" s="287" t="s">
        <v>329</v>
      </c>
      <c r="AG263" s="288" t="s">
        <v>329</v>
      </c>
      <c r="AH263" s="292" t="s">
        <v>329</v>
      </c>
      <c r="AI263" s="689" t="s">
        <v>329</v>
      </c>
      <c r="AJ263" s="287" t="s">
        <v>329</v>
      </c>
      <c r="AK263" s="288" t="s">
        <v>329</v>
      </c>
      <c r="AL263" s="786"/>
      <c r="AM263" s="815"/>
      <c r="AN263" s="1037"/>
      <c r="AO263" s="1049"/>
      <c r="AP263" s="287" t="s">
        <v>329</v>
      </c>
      <c r="AQ263" s="689" t="s">
        <v>329</v>
      </c>
      <c r="AR263" s="292" t="s">
        <v>329</v>
      </c>
      <c r="AS263" s="288" t="s">
        <v>329</v>
      </c>
      <c r="AT263" s="292" t="s">
        <v>329</v>
      </c>
      <c r="AU263" s="288" t="s">
        <v>329</v>
      </c>
      <c r="AV263" s="874"/>
      <c r="AW263" s="663"/>
      <c r="AX263" s="663"/>
      <c r="AY263" s="663"/>
      <c r="AZ263" s="664"/>
    </row>
    <row r="264" spans="1:52" s="55" customFormat="1" x14ac:dyDescent="0.25">
      <c r="A264" s="307" t="s">
        <v>582</v>
      </c>
      <c r="B264" s="1020"/>
      <c r="C264" s="1019"/>
      <c r="D264" s="1025"/>
      <c r="E264" s="1025"/>
      <c r="F264" s="502"/>
      <c r="G264" s="503"/>
      <c r="H264" s="1040" t="str">
        <f t="shared" si="45"/>
        <v>NA</v>
      </c>
      <c r="I264" s="1041" t="str">
        <f t="shared" si="45"/>
        <v>NA</v>
      </c>
      <c r="J264" s="1041" t="str">
        <f t="shared" si="45"/>
        <v>NA</v>
      </c>
      <c r="K264" s="1041" t="str">
        <f t="shared" si="45"/>
        <v>NA</v>
      </c>
      <c r="L264" s="1042" t="str">
        <f t="shared" si="45"/>
        <v>NA</v>
      </c>
      <c r="M264" s="289" t="s">
        <v>329</v>
      </c>
      <c r="N264" s="637" t="s">
        <v>329</v>
      </c>
      <c r="O264" s="645" t="str">
        <f>IF(M264="NA","NA",(IF(N264="NA","NA",((((28.97+M264)/(28.97*M264))^0.5)*(10^-3)*(Data!$D$50^1.75)/((2*(20.1^(1/3)))^2)))))</f>
        <v>NA</v>
      </c>
      <c r="P264" s="637" t="s">
        <v>329</v>
      </c>
      <c r="Q264" s="629" t="str">
        <f>IF($P264="NA","NA",(0.617*Data!$D$9*$P264/100)/(1+Data!$D$15*$P264*0.000000617))</f>
        <v>NA</v>
      </c>
      <c r="R264" s="629" t="str">
        <f t="shared" si="43"/>
        <v>NA</v>
      </c>
      <c r="S264" s="290">
        <v>1</v>
      </c>
      <c r="T264" s="290">
        <f t="shared" si="44"/>
        <v>1</v>
      </c>
      <c r="U264" s="847" t="s">
        <v>329</v>
      </c>
      <c r="V264" s="860" t="str">
        <f>IF(Data!$D$69="",E264,IF(P264="NA","NA",(0.617*Data!$D$69*P264/100)/(1+Data!$D$15*P264*0.000000617)))</f>
        <v>NA</v>
      </c>
      <c r="W264" s="847" t="str">
        <f>IF(OR(Q264="NA",Q264="",V264="NA",V264=""),"NA",(1+(V264/Q264)^1.5*((1-Data!$D$75)/(1-Data!$D$18))^1.5*(Data!$D$71/Data!$D$14)^1.5*(Data!$D$73/Data!$D$72)*(1/(39.37*Data!$D$72))^0.25))</f>
        <v>NA</v>
      </c>
      <c r="X264" s="847" t="str">
        <f>IF(W264="NA","NA",0.15*Data!$D$71*(1-Data!$D$75)*V264*((13.12*Data!$D$73)^(0.112*LN(Data!$D$71*(1-Data!$D$75)*V264)+1.38))/(W264*Data!$D$81))</f>
        <v>NA</v>
      </c>
      <c r="Y264" s="847" t="str">
        <f>IF(OR(W264="NA",W264="",Data!$D$91="NA",Data!$D$91=""),"NA",W264*Data!$D$91)</f>
        <v>NA</v>
      </c>
      <c r="Z264" s="847" t="str">
        <f>IF(OR(W264="NA",W264="",Data!$D$91="NA",Data!$D$91=""),"NA",IF(Data!$D$68&lt;X264,W264*X264/Data!$D$68*Data!$D$91,W264*Data!$D$91))</f>
        <v>NA</v>
      </c>
      <c r="AA264" s="853"/>
      <c r="AB264" s="710" t="s">
        <v>329</v>
      </c>
      <c r="AC264" s="710" t="s">
        <v>329</v>
      </c>
      <c r="AD264" s="292" t="s">
        <v>329</v>
      </c>
      <c r="AE264" s="287" t="s">
        <v>329</v>
      </c>
      <c r="AF264" s="287" t="s">
        <v>329</v>
      </c>
      <c r="AG264" s="288" t="s">
        <v>329</v>
      </c>
      <c r="AH264" s="292" t="s">
        <v>329</v>
      </c>
      <c r="AI264" s="689" t="s">
        <v>329</v>
      </c>
      <c r="AJ264" s="287" t="s">
        <v>329</v>
      </c>
      <c r="AK264" s="288" t="s">
        <v>329</v>
      </c>
      <c r="AL264" s="786"/>
      <c r="AM264" s="815"/>
      <c r="AN264" s="1037"/>
      <c r="AO264" s="1049"/>
      <c r="AP264" s="287" t="s">
        <v>329</v>
      </c>
      <c r="AQ264" s="689" t="s">
        <v>329</v>
      </c>
      <c r="AR264" s="292" t="s">
        <v>329</v>
      </c>
      <c r="AS264" s="288" t="s">
        <v>329</v>
      </c>
      <c r="AT264" s="292" t="s">
        <v>329</v>
      </c>
      <c r="AU264" s="288" t="s">
        <v>329</v>
      </c>
      <c r="AV264" s="874"/>
      <c r="AW264" s="663"/>
      <c r="AX264" s="663"/>
      <c r="AY264" s="663"/>
      <c r="AZ264" s="664"/>
    </row>
    <row r="265" spans="1:52" s="55" customFormat="1" x14ac:dyDescent="0.25">
      <c r="A265" s="307" t="s">
        <v>583</v>
      </c>
      <c r="B265" s="1020"/>
      <c r="C265" s="1019"/>
      <c r="D265" s="1025"/>
      <c r="E265" s="1025"/>
      <c r="F265" s="502"/>
      <c r="G265" s="503"/>
      <c r="H265" s="1040" t="str">
        <f t="shared" si="45"/>
        <v>NA</v>
      </c>
      <c r="I265" s="1041" t="str">
        <f t="shared" si="45"/>
        <v>NA</v>
      </c>
      <c r="J265" s="1041" t="str">
        <f t="shared" si="45"/>
        <v>NA</v>
      </c>
      <c r="K265" s="1041" t="str">
        <f t="shared" si="45"/>
        <v>NA</v>
      </c>
      <c r="L265" s="1042" t="str">
        <f t="shared" si="45"/>
        <v>NA</v>
      </c>
      <c r="M265" s="289" t="s">
        <v>329</v>
      </c>
      <c r="N265" s="637" t="s">
        <v>329</v>
      </c>
      <c r="O265" s="645" t="str">
        <f>IF(M265="NA","NA",(IF(N265="NA","NA",((((28.97+M265)/(28.97*M265))^0.5)*(10^-3)*(Data!$D$50^1.75)/((2*(20.1^(1/3)))^2)))))</f>
        <v>NA</v>
      </c>
      <c r="P265" s="637" t="s">
        <v>329</v>
      </c>
      <c r="Q265" s="629" t="str">
        <f>IF($P265="NA","NA",(0.617*Data!$D$9*$P265/100)/(1+Data!$D$15*$P265*0.000000617))</f>
        <v>NA</v>
      </c>
      <c r="R265" s="629" t="str">
        <f t="shared" si="43"/>
        <v>NA</v>
      </c>
      <c r="S265" s="290">
        <v>1</v>
      </c>
      <c r="T265" s="290">
        <f t="shared" si="44"/>
        <v>1</v>
      </c>
      <c r="U265" s="847" t="s">
        <v>329</v>
      </c>
      <c r="V265" s="860" t="str">
        <f>IF(Data!$D$69="",E265,IF(P265="NA","NA",(0.617*Data!$D$69*P265/100)/(1+Data!$D$15*P265*0.000000617)))</f>
        <v>NA</v>
      </c>
      <c r="W265" s="847" t="str">
        <f>IF(OR(Q265="NA",Q265="",V265="NA",V265=""),"NA",(1+(V265/Q265)^1.5*((1-Data!$D$75)/(1-Data!$D$18))^1.5*(Data!$D$71/Data!$D$14)^1.5*(Data!$D$73/Data!$D$72)*(1/(39.37*Data!$D$72))^0.25))</f>
        <v>NA</v>
      </c>
      <c r="X265" s="847" t="str">
        <f>IF(W265="NA","NA",0.15*Data!$D$71*(1-Data!$D$75)*V265*((13.12*Data!$D$73)^(0.112*LN(Data!$D$71*(1-Data!$D$75)*V265)+1.38))/(W265*Data!$D$81))</f>
        <v>NA</v>
      </c>
      <c r="Y265" s="847" t="str">
        <f>IF(OR(W265="NA",W265="",Data!$D$91="NA",Data!$D$91=""),"NA",W265*Data!$D$91)</f>
        <v>NA</v>
      </c>
      <c r="Z265" s="847" t="str">
        <f>IF(OR(W265="NA",W265="",Data!$D$91="NA",Data!$D$91=""),"NA",IF(Data!$D$68&lt;X265,W265*X265/Data!$D$68*Data!$D$91,W265*Data!$D$91))</f>
        <v>NA</v>
      </c>
      <c r="AA265" s="853"/>
      <c r="AB265" s="710" t="s">
        <v>329</v>
      </c>
      <c r="AC265" s="710" t="s">
        <v>329</v>
      </c>
      <c r="AD265" s="292" t="s">
        <v>329</v>
      </c>
      <c r="AE265" s="287" t="s">
        <v>329</v>
      </c>
      <c r="AF265" s="287" t="s">
        <v>329</v>
      </c>
      <c r="AG265" s="288" t="s">
        <v>329</v>
      </c>
      <c r="AH265" s="292" t="s">
        <v>329</v>
      </c>
      <c r="AI265" s="689" t="s">
        <v>329</v>
      </c>
      <c r="AJ265" s="287" t="s">
        <v>329</v>
      </c>
      <c r="AK265" s="288" t="s">
        <v>329</v>
      </c>
      <c r="AL265" s="786"/>
      <c r="AM265" s="815"/>
      <c r="AN265" s="1037"/>
      <c r="AO265" s="1049"/>
      <c r="AP265" s="287" t="s">
        <v>329</v>
      </c>
      <c r="AQ265" s="689" t="s">
        <v>329</v>
      </c>
      <c r="AR265" s="292" t="s">
        <v>329</v>
      </c>
      <c r="AS265" s="288" t="s">
        <v>329</v>
      </c>
      <c r="AT265" s="292" t="s">
        <v>329</v>
      </c>
      <c r="AU265" s="288" t="s">
        <v>329</v>
      </c>
      <c r="AV265" s="874"/>
      <c r="AW265" s="663"/>
      <c r="AX265" s="663"/>
      <c r="AY265" s="663"/>
      <c r="AZ265" s="664"/>
    </row>
    <row r="266" spans="1:52" s="55" customFormat="1" x14ac:dyDescent="0.25">
      <c r="A266" s="307" t="s">
        <v>584</v>
      </c>
      <c r="B266" s="1020"/>
      <c r="C266" s="1019"/>
      <c r="D266" s="1025"/>
      <c r="E266" s="1025"/>
      <c r="F266" s="502"/>
      <c r="G266" s="503"/>
      <c r="H266" s="1040" t="str">
        <f t="shared" ref="H266:L275" si="46">IF(INDEX($AB$11:$AZ$310,,H$7)=0,"NA",INDEX($AB$11:$AZ$310,,H$7))</f>
        <v>NA</v>
      </c>
      <c r="I266" s="1041" t="str">
        <f t="shared" si="46"/>
        <v>NA</v>
      </c>
      <c r="J266" s="1041" t="str">
        <f t="shared" si="46"/>
        <v>NA</v>
      </c>
      <c r="K266" s="1041" t="str">
        <f t="shared" si="46"/>
        <v>NA</v>
      </c>
      <c r="L266" s="1042" t="str">
        <f t="shared" si="46"/>
        <v>NA</v>
      </c>
      <c r="M266" s="289" t="s">
        <v>329</v>
      </c>
      <c r="N266" s="637" t="s">
        <v>329</v>
      </c>
      <c r="O266" s="645" t="str">
        <f>IF(M266="NA","NA",(IF(N266="NA","NA",((((28.97+M266)/(28.97*M266))^0.5)*(10^-3)*(Data!$D$50^1.75)/((2*(20.1^(1/3)))^2)))))</f>
        <v>NA</v>
      </c>
      <c r="P266" s="637" t="s">
        <v>329</v>
      </c>
      <c r="Q266" s="629" t="str">
        <f>IF($P266="NA","NA",(0.617*Data!$D$9*$P266/100)/(1+Data!$D$15*$P266*0.000000617))</f>
        <v>NA</v>
      </c>
      <c r="R266" s="629" t="str">
        <f t="shared" si="43"/>
        <v>NA</v>
      </c>
      <c r="S266" s="290">
        <v>1</v>
      </c>
      <c r="T266" s="290">
        <f t="shared" si="44"/>
        <v>1</v>
      </c>
      <c r="U266" s="847" t="s">
        <v>329</v>
      </c>
      <c r="V266" s="860" t="str">
        <f>IF(Data!$D$69="",E266,IF(P266="NA","NA",(0.617*Data!$D$69*P266/100)/(1+Data!$D$15*P266*0.000000617)))</f>
        <v>NA</v>
      </c>
      <c r="W266" s="847" t="str">
        <f>IF(OR(Q266="NA",Q266="",V266="NA",V266=""),"NA",(1+(V266/Q266)^1.5*((1-Data!$D$75)/(1-Data!$D$18))^1.5*(Data!$D$71/Data!$D$14)^1.5*(Data!$D$73/Data!$D$72)*(1/(39.37*Data!$D$72))^0.25))</f>
        <v>NA</v>
      </c>
      <c r="X266" s="847" t="str">
        <f>IF(W266="NA","NA",0.15*Data!$D$71*(1-Data!$D$75)*V266*((13.12*Data!$D$73)^(0.112*LN(Data!$D$71*(1-Data!$D$75)*V266)+1.38))/(W266*Data!$D$81))</f>
        <v>NA</v>
      </c>
      <c r="Y266" s="847" t="str">
        <f>IF(OR(W266="NA",W266="",Data!$D$91="NA",Data!$D$91=""),"NA",W266*Data!$D$91)</f>
        <v>NA</v>
      </c>
      <c r="Z266" s="847" t="str">
        <f>IF(OR(W266="NA",W266="",Data!$D$91="NA",Data!$D$91=""),"NA",IF(Data!$D$68&lt;X266,W266*X266/Data!$D$68*Data!$D$91,W266*Data!$D$91))</f>
        <v>NA</v>
      </c>
      <c r="AA266" s="853"/>
      <c r="AB266" s="710" t="s">
        <v>329</v>
      </c>
      <c r="AC266" s="710" t="s">
        <v>329</v>
      </c>
      <c r="AD266" s="292" t="s">
        <v>329</v>
      </c>
      <c r="AE266" s="287" t="s">
        <v>329</v>
      </c>
      <c r="AF266" s="287" t="s">
        <v>329</v>
      </c>
      <c r="AG266" s="288" t="s">
        <v>329</v>
      </c>
      <c r="AH266" s="292" t="s">
        <v>329</v>
      </c>
      <c r="AI266" s="689" t="s">
        <v>329</v>
      </c>
      <c r="AJ266" s="287" t="s">
        <v>329</v>
      </c>
      <c r="AK266" s="288" t="s">
        <v>329</v>
      </c>
      <c r="AL266" s="786"/>
      <c r="AM266" s="815"/>
      <c r="AN266" s="1037"/>
      <c r="AO266" s="1049"/>
      <c r="AP266" s="287" t="s">
        <v>329</v>
      </c>
      <c r="AQ266" s="689" t="s">
        <v>329</v>
      </c>
      <c r="AR266" s="292" t="s">
        <v>329</v>
      </c>
      <c r="AS266" s="288" t="s">
        <v>329</v>
      </c>
      <c r="AT266" s="292" t="s">
        <v>329</v>
      </c>
      <c r="AU266" s="288" t="s">
        <v>329</v>
      </c>
      <c r="AV266" s="874"/>
      <c r="AW266" s="663"/>
      <c r="AX266" s="663"/>
      <c r="AY266" s="663"/>
      <c r="AZ266" s="664"/>
    </row>
    <row r="267" spans="1:52" s="55" customFormat="1" x14ac:dyDescent="0.25">
      <c r="A267" s="307" t="s">
        <v>585</v>
      </c>
      <c r="B267" s="1020"/>
      <c r="C267" s="1019"/>
      <c r="D267" s="1025"/>
      <c r="E267" s="1025"/>
      <c r="F267" s="502"/>
      <c r="G267" s="503"/>
      <c r="H267" s="1040" t="str">
        <f t="shared" si="46"/>
        <v>NA</v>
      </c>
      <c r="I267" s="1041" t="str">
        <f t="shared" si="46"/>
        <v>NA</v>
      </c>
      <c r="J267" s="1041" t="str">
        <f t="shared" si="46"/>
        <v>NA</v>
      </c>
      <c r="K267" s="1041" t="str">
        <f t="shared" si="46"/>
        <v>NA</v>
      </c>
      <c r="L267" s="1042" t="str">
        <f t="shared" si="46"/>
        <v>NA</v>
      </c>
      <c r="M267" s="289" t="s">
        <v>329</v>
      </c>
      <c r="N267" s="637" t="s">
        <v>329</v>
      </c>
      <c r="O267" s="645" t="str">
        <f>IF(M267="NA","NA",(IF(N267="NA","NA",((((28.97+M267)/(28.97*M267))^0.5)*(10^-3)*(Data!$D$50^1.75)/((2*(20.1^(1/3)))^2)))))</f>
        <v>NA</v>
      </c>
      <c r="P267" s="637" t="s">
        <v>329</v>
      </c>
      <c r="Q267" s="629" t="str">
        <f>IF($P267="NA","NA",(0.617*Data!$D$9*$P267/100)/(1+Data!$D$15*$P267*0.000000617))</f>
        <v>NA</v>
      </c>
      <c r="R267" s="629" t="str">
        <f t="shared" si="43"/>
        <v>NA</v>
      </c>
      <c r="S267" s="290">
        <v>1</v>
      </c>
      <c r="T267" s="290">
        <f t="shared" si="44"/>
        <v>1</v>
      </c>
      <c r="U267" s="847" t="s">
        <v>329</v>
      </c>
      <c r="V267" s="860" t="str">
        <f>IF(Data!$D$69="",E267,IF(P267="NA","NA",(0.617*Data!$D$69*P267/100)/(1+Data!$D$15*P267*0.000000617)))</f>
        <v>NA</v>
      </c>
      <c r="W267" s="847" t="str">
        <f>IF(OR(Q267="NA",Q267="",V267="NA",V267=""),"NA",(1+(V267/Q267)^1.5*((1-Data!$D$75)/(1-Data!$D$18))^1.5*(Data!$D$71/Data!$D$14)^1.5*(Data!$D$73/Data!$D$72)*(1/(39.37*Data!$D$72))^0.25))</f>
        <v>NA</v>
      </c>
      <c r="X267" s="847" t="str">
        <f>IF(W267="NA","NA",0.15*Data!$D$71*(1-Data!$D$75)*V267*((13.12*Data!$D$73)^(0.112*LN(Data!$D$71*(1-Data!$D$75)*V267)+1.38))/(W267*Data!$D$81))</f>
        <v>NA</v>
      </c>
      <c r="Y267" s="847" t="str">
        <f>IF(OR(W267="NA",W267="",Data!$D$91="NA",Data!$D$91=""),"NA",W267*Data!$D$91)</f>
        <v>NA</v>
      </c>
      <c r="Z267" s="847" t="str">
        <f>IF(OR(W267="NA",W267="",Data!$D$91="NA",Data!$D$91=""),"NA",IF(Data!$D$68&lt;X267,W267*X267/Data!$D$68*Data!$D$91,W267*Data!$D$91))</f>
        <v>NA</v>
      </c>
      <c r="AA267" s="853"/>
      <c r="AB267" s="710" t="s">
        <v>329</v>
      </c>
      <c r="AC267" s="710" t="s">
        <v>329</v>
      </c>
      <c r="AD267" s="292" t="s">
        <v>329</v>
      </c>
      <c r="AE267" s="287" t="s">
        <v>329</v>
      </c>
      <c r="AF267" s="287" t="s">
        <v>329</v>
      </c>
      <c r="AG267" s="288" t="s">
        <v>329</v>
      </c>
      <c r="AH267" s="292" t="s">
        <v>329</v>
      </c>
      <c r="AI267" s="689" t="s">
        <v>329</v>
      </c>
      <c r="AJ267" s="287" t="s">
        <v>329</v>
      </c>
      <c r="AK267" s="288" t="s">
        <v>329</v>
      </c>
      <c r="AL267" s="786"/>
      <c r="AM267" s="815"/>
      <c r="AN267" s="1037"/>
      <c r="AO267" s="1049"/>
      <c r="AP267" s="287" t="s">
        <v>329</v>
      </c>
      <c r="AQ267" s="689" t="s">
        <v>329</v>
      </c>
      <c r="AR267" s="292" t="s">
        <v>329</v>
      </c>
      <c r="AS267" s="288" t="s">
        <v>329</v>
      </c>
      <c r="AT267" s="292" t="s">
        <v>329</v>
      </c>
      <c r="AU267" s="288" t="s">
        <v>329</v>
      </c>
      <c r="AV267" s="874"/>
      <c r="AW267" s="663"/>
      <c r="AX267" s="663"/>
      <c r="AY267" s="663"/>
      <c r="AZ267" s="664"/>
    </row>
    <row r="268" spans="1:52" s="55" customFormat="1" x14ac:dyDescent="0.25">
      <c r="A268" s="307" t="s">
        <v>586</v>
      </c>
      <c r="B268" s="1020"/>
      <c r="C268" s="1019"/>
      <c r="D268" s="1025"/>
      <c r="E268" s="1025"/>
      <c r="F268" s="502"/>
      <c r="G268" s="503"/>
      <c r="H268" s="1040" t="str">
        <f t="shared" si="46"/>
        <v>NA</v>
      </c>
      <c r="I268" s="1041" t="str">
        <f t="shared" si="46"/>
        <v>NA</v>
      </c>
      <c r="J268" s="1041" t="str">
        <f t="shared" si="46"/>
        <v>NA</v>
      </c>
      <c r="K268" s="1041" t="str">
        <f t="shared" si="46"/>
        <v>NA</v>
      </c>
      <c r="L268" s="1042" t="str">
        <f t="shared" si="46"/>
        <v>NA</v>
      </c>
      <c r="M268" s="289">
        <v>425</v>
      </c>
      <c r="N268" s="645">
        <f>0.0000218</f>
        <v>2.1800000000000001E-5</v>
      </c>
      <c r="O268" s="645">
        <f>IF(M268="NA","NA",(IF(N268="NA","NA",((((28.97+M268)/(28.97*M268))^0.5)*(10^-3)*(Data!$D$50^1.75)/((2*(20.1^(1/3)))^2)))))</f>
        <v>0.14872037288226861</v>
      </c>
      <c r="P268" s="637">
        <f>10^7.78</f>
        <v>60255958.607436009</v>
      </c>
      <c r="Q268" s="629">
        <f>IF($P268="NA","NA",(0.617*Data!$D$9*$P268/100)/(1+Data!$D$15*$P268*0.000000617))</f>
        <v>1115337.7938236406</v>
      </c>
      <c r="R268" s="629">
        <f t="shared" si="43"/>
        <v>1115337.7938236406</v>
      </c>
      <c r="S268" s="290">
        <v>1</v>
      </c>
      <c r="T268" s="290">
        <f t="shared" si="44"/>
        <v>1</v>
      </c>
      <c r="U268" s="847">
        <v>1.9</v>
      </c>
      <c r="V268" s="860">
        <f>IF(Data!$D$69="",E268,IF(P268="NA","NA",(0.617*Data!$D$69*P268/100)/(1+Data!$D$15*P268*0.000000617)))</f>
        <v>743558.52921576041</v>
      </c>
      <c r="W268" s="847">
        <f>IF(OR(Q268="NA",Q268="",V268="NA",V268=""),"NA",(1+(V268/Q268)^1.5*((1-Data!$D$75)/(1-Data!$D$18))^1.5*(Data!$D$71/Data!$D$14)^1.5*(Data!$D$73/Data!$D$72)*(1/(39.37*Data!$D$72))^0.25))</f>
        <v>3.8303093677397904</v>
      </c>
      <c r="X268" s="847">
        <f>IF(W268="NA","NA",0.15*Data!$D$71*(1-Data!$D$75)*V268*((13.12*Data!$D$73)^(0.112*LN(Data!$D$71*(1-Data!$D$75)*V268)+1.38))/(W268*Data!$D$81))</f>
        <v>17674957714.04393</v>
      </c>
      <c r="Y268" s="847">
        <f>IF(OR(W268="NA",W268="",Data!$D$91="NA",Data!$D$91=""),"NA",W268*Data!$D$91)</f>
        <v>6.8495741227413944</v>
      </c>
      <c r="Z268" s="847">
        <f>IF(OR(W268="NA",W268="",Data!$D$91="NA",Data!$D$91=""),"NA",IF(Data!$D$68&lt;X268,W268*X268/Data!$D$68*Data!$D$91,W268*Data!$D$91))</f>
        <v>605329664.89331841</v>
      </c>
      <c r="AA268" s="853"/>
      <c r="AB268" s="710" t="s">
        <v>329</v>
      </c>
      <c r="AC268" s="710" t="s">
        <v>329</v>
      </c>
      <c r="AD268" s="292" t="s">
        <v>329</v>
      </c>
      <c r="AE268" s="287" t="s">
        <v>329</v>
      </c>
      <c r="AF268" s="287" t="s">
        <v>329</v>
      </c>
      <c r="AG268" s="288" t="s">
        <v>329</v>
      </c>
      <c r="AH268" s="292" t="s">
        <v>329</v>
      </c>
      <c r="AI268" s="689" t="s">
        <v>329</v>
      </c>
      <c r="AJ268" s="287" t="s">
        <v>329</v>
      </c>
      <c r="AK268" s="288" t="s">
        <v>329</v>
      </c>
      <c r="AL268" s="786"/>
      <c r="AM268" s="815"/>
      <c r="AN268" s="1037"/>
      <c r="AO268" s="1049"/>
      <c r="AP268" s="287" t="s">
        <v>329</v>
      </c>
      <c r="AQ268" s="689" t="s">
        <v>329</v>
      </c>
      <c r="AR268" s="292" t="s">
        <v>329</v>
      </c>
      <c r="AS268" s="288" t="s">
        <v>329</v>
      </c>
      <c r="AT268" s="292" t="s">
        <v>329</v>
      </c>
      <c r="AU268" s="288" t="s">
        <v>329</v>
      </c>
      <c r="AV268" s="874"/>
      <c r="AW268" s="663"/>
      <c r="AX268" s="663"/>
      <c r="AY268" s="663"/>
      <c r="AZ268" s="664"/>
    </row>
    <row r="269" spans="1:52" s="55" customFormat="1" x14ac:dyDescent="0.25">
      <c r="A269" s="307" t="s">
        <v>587</v>
      </c>
      <c r="B269" s="1020"/>
      <c r="C269" s="1019"/>
      <c r="D269" s="1025"/>
      <c r="E269" s="1025"/>
      <c r="F269" s="502"/>
      <c r="G269" s="503"/>
      <c r="H269" s="1040" t="str">
        <f t="shared" si="46"/>
        <v>NA</v>
      </c>
      <c r="I269" s="1041" t="str">
        <f t="shared" si="46"/>
        <v>NA</v>
      </c>
      <c r="J269" s="1041" t="str">
        <f t="shared" si="46"/>
        <v>NA</v>
      </c>
      <c r="K269" s="1041" t="str">
        <f t="shared" si="46"/>
        <v>NA</v>
      </c>
      <c r="L269" s="1042" t="str">
        <f t="shared" si="46"/>
        <v>NA</v>
      </c>
      <c r="M269" s="289">
        <v>409</v>
      </c>
      <c r="N269" s="637" t="s">
        <v>329</v>
      </c>
      <c r="O269" s="645" t="str">
        <f>IF(M269="NA","NA",(IF(N269="NA","NA",((((28.97+M269)/(28.97*M269))^0.5)*(10^-3)*(Data!$D$50^1.75)/((2*(20.1^(1/3)))^2)))))</f>
        <v>NA</v>
      </c>
      <c r="P269" s="637">
        <f>10^8.23</f>
        <v>169824365.24617496</v>
      </c>
      <c r="Q269" s="629">
        <f>IF($P269="NA","NA",(0.617*Data!$D$9*$P269/100)/(1+Data!$D$15*$P269*0.000000617))</f>
        <v>3143449.0007066983</v>
      </c>
      <c r="R269" s="629">
        <f t="shared" si="43"/>
        <v>3143449.0007066983</v>
      </c>
      <c r="S269" s="290">
        <v>1</v>
      </c>
      <c r="T269" s="290">
        <f t="shared" si="44"/>
        <v>1</v>
      </c>
      <c r="U269" s="847" t="s">
        <v>329</v>
      </c>
      <c r="V269" s="860">
        <f>IF(Data!$D$69="",E269,IF(P269="NA","NA",(0.617*Data!$D$69*P269/100)/(1+Data!$D$15*P269*0.000000617)))</f>
        <v>2095632.6671377989</v>
      </c>
      <c r="W269" s="847">
        <f>IF(OR(Q269="NA",Q269="",V269="NA",V269=""),"NA",(1+(V269/Q269)^1.5*((1-Data!$D$75)/(1-Data!$D$18))^1.5*(Data!$D$71/Data!$D$14)^1.5*(Data!$D$73/Data!$D$72)*(1/(39.37*Data!$D$72))^0.25))</f>
        <v>3.8303093677397895</v>
      </c>
      <c r="X269" s="847">
        <f>IF(W269="NA","NA",0.15*Data!$D$71*(1-Data!$D$75)*V269*((13.12*Data!$D$73)^(0.112*LN(Data!$D$71*(1-Data!$D$75)*V269)+1.38))/(W269*Data!$D$81))</f>
        <v>80948834194.484512</v>
      </c>
      <c r="Y269" s="847">
        <f>IF(OR(W269="NA",W269="",Data!$D$91="NA",Data!$D$91=""),"NA",W269*Data!$D$91)</f>
        <v>6.8495741227413927</v>
      </c>
      <c r="Z269" s="847">
        <f>IF(OR(W269="NA",W269="",Data!$D$91="NA",Data!$D$91=""),"NA",IF(Data!$D$68&lt;X269,W269*X269/Data!$D$68*Data!$D$91,W269*Data!$D$91))</f>
        <v>2772325199.8231239</v>
      </c>
      <c r="AA269" s="853"/>
      <c r="AB269" s="710" t="s">
        <v>329</v>
      </c>
      <c r="AC269" s="710" t="s">
        <v>329</v>
      </c>
      <c r="AD269" s="292" t="s">
        <v>329</v>
      </c>
      <c r="AE269" s="287" t="s">
        <v>329</v>
      </c>
      <c r="AF269" s="287" t="s">
        <v>329</v>
      </c>
      <c r="AG269" s="288" t="s">
        <v>329</v>
      </c>
      <c r="AH269" s="292" t="s">
        <v>329</v>
      </c>
      <c r="AI269" s="689" t="s">
        <v>329</v>
      </c>
      <c r="AJ269" s="287" t="s">
        <v>329</v>
      </c>
      <c r="AK269" s="288" t="s">
        <v>329</v>
      </c>
      <c r="AL269" s="786"/>
      <c r="AM269" s="815"/>
      <c r="AN269" s="1037"/>
      <c r="AO269" s="1049"/>
      <c r="AP269" s="287" t="s">
        <v>329</v>
      </c>
      <c r="AQ269" s="689" t="s">
        <v>329</v>
      </c>
      <c r="AR269" s="292" t="s">
        <v>329</v>
      </c>
      <c r="AS269" s="288" t="s">
        <v>329</v>
      </c>
      <c r="AT269" s="292" t="s">
        <v>329</v>
      </c>
      <c r="AU269" s="288" t="s">
        <v>329</v>
      </c>
      <c r="AV269" s="874"/>
      <c r="AW269" s="663"/>
      <c r="AX269" s="663"/>
      <c r="AY269" s="663"/>
      <c r="AZ269" s="664"/>
    </row>
    <row r="270" spans="1:52" s="55" customFormat="1" x14ac:dyDescent="0.25">
      <c r="A270" s="307" t="s">
        <v>588</v>
      </c>
      <c r="B270" s="1020"/>
      <c r="C270" s="1019"/>
      <c r="D270" s="1025"/>
      <c r="E270" s="1025"/>
      <c r="F270" s="502"/>
      <c r="G270" s="503"/>
      <c r="H270" s="1040" t="str">
        <f t="shared" si="46"/>
        <v>NA</v>
      </c>
      <c r="I270" s="1041" t="str">
        <f t="shared" si="46"/>
        <v>NA</v>
      </c>
      <c r="J270" s="1041" t="str">
        <f t="shared" si="46"/>
        <v>NA</v>
      </c>
      <c r="K270" s="1041" t="str">
        <f t="shared" si="46"/>
        <v>NA</v>
      </c>
      <c r="L270" s="1042" t="str">
        <f t="shared" si="46"/>
        <v>NA</v>
      </c>
      <c r="M270" s="289">
        <v>391</v>
      </c>
      <c r="N270" s="645">
        <f>0.0000057</f>
        <v>5.6999999999999996E-6</v>
      </c>
      <c r="O270" s="645">
        <f>IF(M270="NA","NA",(IF(N270="NA","NA",((((28.97+M270)/(28.97*M270))^0.5)*(10^-3)*(Data!$D$50^1.75)/((2*(20.1^(1/3)))^2)))))</f>
        <v>0.14913243504107906</v>
      </c>
      <c r="P270" s="637">
        <f>10^8.21</f>
        <v>162181009.73589352</v>
      </c>
      <c r="Q270" s="629">
        <f>IF($P270="NA","NA",(0.617*Data!$D$9*$P270/100)/(1+Data!$D$15*$P270*0.000000617))</f>
        <v>3001970.490211389</v>
      </c>
      <c r="R270" s="629">
        <f t="shared" si="43"/>
        <v>3001970.490211389</v>
      </c>
      <c r="S270" s="290">
        <v>1</v>
      </c>
      <c r="T270" s="290">
        <f t="shared" si="44"/>
        <v>1</v>
      </c>
      <c r="U270" s="847">
        <v>4.0000000000000001E-3</v>
      </c>
      <c r="V270" s="860">
        <f>IF(Data!$D$69="",E270,IF(P270="NA","NA",(0.617*Data!$D$69*P270/100)/(1+Data!$D$15*P270*0.000000617)))</f>
        <v>2001313.660140926</v>
      </c>
      <c r="W270" s="847">
        <f>IF(OR(Q270="NA",Q270="",V270="NA",V270=""),"NA",(1+(V270/Q270)^1.5*((1-Data!$D$75)/(1-Data!$D$18))^1.5*(Data!$D$71/Data!$D$14)^1.5*(Data!$D$73/Data!$D$72)*(1/(39.37*Data!$D$72))^0.25))</f>
        <v>3.8303093677397895</v>
      </c>
      <c r="X270" s="847">
        <f>IF(W270="NA","NA",0.15*Data!$D$71*(1-Data!$D$75)*V270*((13.12*Data!$D$73)^(0.112*LN(Data!$D$71*(1-Data!$D$75)*V270)+1.38))/(W270*Data!$D$81))</f>
        <v>75655305440.451126</v>
      </c>
      <c r="Y270" s="847">
        <f>IF(OR(W270="NA",W270="",Data!$D$91="NA",Data!$D$91=""),"NA",W270*Data!$D$91)</f>
        <v>6.8495741227413927</v>
      </c>
      <c r="Z270" s="847">
        <f>IF(OR(W270="NA",W270="",Data!$D$91="NA",Data!$D$91=""),"NA",IF(Data!$D$68&lt;X270,W270*X270/Data!$D$68*Data!$D$91,W270*Data!$D$91))</f>
        <v>2591033111.9650507</v>
      </c>
      <c r="AA270" s="853"/>
      <c r="AB270" s="710" t="s">
        <v>329</v>
      </c>
      <c r="AC270" s="710" t="s">
        <v>329</v>
      </c>
      <c r="AD270" s="292" t="s">
        <v>329</v>
      </c>
      <c r="AE270" s="287" t="s">
        <v>329</v>
      </c>
      <c r="AF270" s="287" t="s">
        <v>329</v>
      </c>
      <c r="AG270" s="288" t="s">
        <v>329</v>
      </c>
      <c r="AH270" s="292" t="s">
        <v>329</v>
      </c>
      <c r="AI270" s="689" t="s">
        <v>329</v>
      </c>
      <c r="AJ270" s="287" t="s">
        <v>329</v>
      </c>
      <c r="AK270" s="288" t="s">
        <v>329</v>
      </c>
      <c r="AL270" s="786"/>
      <c r="AM270" s="815"/>
      <c r="AN270" s="1037"/>
      <c r="AO270" s="1049"/>
      <c r="AP270" s="287" t="s">
        <v>329</v>
      </c>
      <c r="AQ270" s="689" t="s">
        <v>329</v>
      </c>
      <c r="AR270" s="292" t="s">
        <v>329</v>
      </c>
      <c r="AS270" s="288" t="s">
        <v>329</v>
      </c>
      <c r="AT270" s="292" t="s">
        <v>329</v>
      </c>
      <c r="AU270" s="288" t="s">
        <v>329</v>
      </c>
      <c r="AV270" s="874"/>
      <c r="AW270" s="663"/>
      <c r="AX270" s="663"/>
      <c r="AY270" s="663"/>
      <c r="AZ270" s="664"/>
    </row>
    <row r="271" spans="1:52" s="55" customFormat="1" x14ac:dyDescent="0.25">
      <c r="A271" s="307" t="s">
        <v>589</v>
      </c>
      <c r="B271" s="1020"/>
      <c r="C271" s="1019"/>
      <c r="D271" s="1025"/>
      <c r="E271" s="1025"/>
      <c r="F271" s="502"/>
      <c r="G271" s="503"/>
      <c r="H271" s="1040" t="str">
        <f t="shared" si="46"/>
        <v>NA</v>
      </c>
      <c r="I271" s="1041" t="str">
        <f t="shared" si="46"/>
        <v>NA</v>
      </c>
      <c r="J271" s="1041" t="str">
        <f t="shared" si="46"/>
        <v>NA</v>
      </c>
      <c r="K271" s="1041" t="str">
        <f t="shared" si="46"/>
        <v>NA</v>
      </c>
      <c r="L271" s="1042" t="str">
        <f t="shared" si="46"/>
        <v>NA</v>
      </c>
      <c r="M271" s="289">
        <v>375</v>
      </c>
      <c r="N271" s="637" t="s">
        <v>329</v>
      </c>
      <c r="O271" s="645" t="str">
        <f>IF(M271="NA","NA",(IF(N271="NA","NA",((((28.97+M271)/(28.97*M271))^0.5)*(10^-3)*(Data!$D$50^1.75)/((2*(20.1^(1/3)))^2)))))</f>
        <v>NA</v>
      </c>
      <c r="P271" s="637">
        <f>10^7.58</f>
        <v>38018939.632056206</v>
      </c>
      <c r="Q271" s="629">
        <f>IF($P271="NA","NA",(0.617*Data!$D$9*$P271/100)/(1+Data!$D$15*$P271*0.000000617))</f>
        <v>703730.57258936029</v>
      </c>
      <c r="R271" s="629">
        <f t="shared" si="43"/>
        <v>703730.57258936029</v>
      </c>
      <c r="S271" s="290">
        <v>1</v>
      </c>
      <c r="T271" s="290">
        <f t="shared" si="44"/>
        <v>1</v>
      </c>
      <c r="U271" s="847" t="s">
        <v>329</v>
      </c>
      <c r="V271" s="860">
        <f>IF(Data!$D$69="",E271,IF(P271="NA","NA",(0.617*Data!$D$69*P271/100)/(1+Data!$D$15*P271*0.000000617)))</f>
        <v>469153.71505957359</v>
      </c>
      <c r="W271" s="847">
        <f>IF(OR(Q271="NA",Q271="",V271="NA",V271=""),"NA",(1+(V271/Q271)^1.5*((1-Data!$D$75)/(1-Data!$D$18))^1.5*(Data!$D$71/Data!$D$14)^1.5*(Data!$D$73/Data!$D$72)*(1/(39.37*Data!$D$72))^0.25))</f>
        <v>3.8303093677397904</v>
      </c>
      <c r="X271" s="847">
        <f>IF(W271="NA","NA",0.15*Data!$D$71*(1-Data!$D$75)*V271*((13.12*Data!$D$73)^(0.112*LN(Data!$D$71*(1-Data!$D$75)*V271)+1.38))/(W271*Data!$D$81))</f>
        <v>8987652819.181469</v>
      </c>
      <c r="Y271" s="847">
        <f>IF(OR(W271="NA",W271="",Data!$D$91="NA",Data!$D$91=""),"NA",W271*Data!$D$91)</f>
        <v>6.8495741227413944</v>
      </c>
      <c r="Z271" s="847">
        <f>IF(OR(W271="NA",W271="",Data!$D$91="NA",Data!$D$91=""),"NA",IF(Data!$D$68&lt;X271,W271*X271/Data!$D$68*Data!$D$91,W271*Data!$D$91))</f>
        <v>307807970.87224567</v>
      </c>
      <c r="AA271" s="853"/>
      <c r="AB271" s="710" t="s">
        <v>329</v>
      </c>
      <c r="AC271" s="710" t="s">
        <v>329</v>
      </c>
      <c r="AD271" s="292" t="s">
        <v>329</v>
      </c>
      <c r="AE271" s="287" t="s">
        <v>329</v>
      </c>
      <c r="AF271" s="287" t="s">
        <v>329</v>
      </c>
      <c r="AG271" s="288" t="s">
        <v>329</v>
      </c>
      <c r="AH271" s="292" t="s">
        <v>329</v>
      </c>
      <c r="AI271" s="689" t="s">
        <v>329</v>
      </c>
      <c r="AJ271" s="287" t="s">
        <v>329</v>
      </c>
      <c r="AK271" s="288" t="s">
        <v>329</v>
      </c>
      <c r="AL271" s="786"/>
      <c r="AM271" s="815"/>
      <c r="AN271" s="1037"/>
      <c r="AO271" s="1049"/>
      <c r="AP271" s="287" t="s">
        <v>329</v>
      </c>
      <c r="AQ271" s="830">
        <v>5.5700000000000003E-3</v>
      </c>
      <c r="AR271" s="292" t="s">
        <v>329</v>
      </c>
      <c r="AS271" s="288" t="s">
        <v>329</v>
      </c>
      <c r="AT271" s="292" t="s">
        <v>329</v>
      </c>
      <c r="AU271" s="288" t="s">
        <v>329</v>
      </c>
      <c r="AV271" s="874"/>
      <c r="AW271" s="663"/>
      <c r="AX271" s="663"/>
      <c r="AY271" s="663"/>
      <c r="AZ271" s="664"/>
    </row>
    <row r="272" spans="1:52" s="55" customFormat="1" x14ac:dyDescent="0.25">
      <c r="A272" s="307" t="s">
        <v>590</v>
      </c>
      <c r="B272" s="1020"/>
      <c r="C272" s="1019"/>
      <c r="D272" s="1025"/>
      <c r="E272" s="1025"/>
      <c r="F272" s="502"/>
      <c r="G272" s="503"/>
      <c r="H272" s="1040" t="str">
        <f t="shared" si="46"/>
        <v>NA</v>
      </c>
      <c r="I272" s="1041" t="str">
        <f t="shared" si="46"/>
        <v>NA</v>
      </c>
      <c r="J272" s="1041" t="str">
        <f t="shared" si="46"/>
        <v>NA</v>
      </c>
      <c r="K272" s="1041" t="str">
        <f t="shared" si="46"/>
        <v>NA</v>
      </c>
      <c r="L272" s="1042" t="str">
        <f t="shared" si="46"/>
        <v>NA</v>
      </c>
      <c r="M272" s="289">
        <v>356</v>
      </c>
      <c r="N272" s="645">
        <f>0.0000022</f>
        <v>2.2000000000000001E-6</v>
      </c>
      <c r="O272" s="645">
        <f>IF(M272="NA","NA",(IF(N272="NA","NA",((((28.97+M272)/(28.97*M272))^0.5)*(10^-3)*(Data!$D$50^1.75)/((2*(20.1^(1/3)))^2)))))</f>
        <v>0.14963727755675404</v>
      </c>
      <c r="P272" s="637">
        <f>10^6.5</f>
        <v>3162277.6601683851</v>
      </c>
      <c r="Q272" s="629">
        <f>IF($P272="NA","NA",(0.617*Data!$D$9*$P272/100)/(1+Data!$D$15*$P272*0.000000617))</f>
        <v>58533.759489716802</v>
      </c>
      <c r="R272" s="629">
        <f t="shared" si="43"/>
        <v>58533.759489716802</v>
      </c>
      <c r="S272" s="290">
        <v>1</v>
      </c>
      <c r="T272" s="290">
        <f t="shared" si="44"/>
        <v>1</v>
      </c>
      <c r="U272" s="847">
        <v>0.12</v>
      </c>
      <c r="V272" s="860">
        <f>IF(Data!$D$69="",E272,IF(P272="NA","NA",(0.617*Data!$D$69*P272/100)/(1+Data!$D$15*P272*0.000000617)))</f>
        <v>39022.506326477873</v>
      </c>
      <c r="W272" s="847">
        <f>IF(OR(Q272="NA",Q272="",V272="NA",V272=""),"NA",(1+(V272/Q272)^1.5*((1-Data!$D$75)/(1-Data!$D$18))^1.5*(Data!$D$71/Data!$D$14)^1.5*(Data!$D$73/Data!$D$72)*(1/(39.37*Data!$D$72))^0.25))</f>
        <v>3.8303093677397904</v>
      </c>
      <c r="X272" s="847">
        <f>IF(W272="NA","NA",0.15*Data!$D$71*(1-Data!$D$75)*V272*((13.12*Data!$D$73)^(0.112*LN(Data!$D$71*(1-Data!$D$75)*V272)+1.38))/(W272*Data!$D$81))</f>
        <v>233131507.34572035</v>
      </c>
      <c r="Y272" s="847">
        <f>IF(OR(W272="NA",W272="",Data!$D$91="NA",Data!$D$91=""),"NA",W272*Data!$D$91)</f>
        <v>6.8495741227413944</v>
      </c>
      <c r="Z272" s="847">
        <f>IF(OR(W272="NA",W272="",Data!$D$91="NA",Data!$D$91=""),"NA",IF(Data!$D$68&lt;X272,W272*X272/Data!$D$68*Data!$D$91,W272*Data!$D$91))</f>
        <v>7984257.6995547069</v>
      </c>
      <c r="AA272" s="853"/>
      <c r="AB272" s="710" t="s">
        <v>329</v>
      </c>
      <c r="AC272" s="710" t="s">
        <v>329</v>
      </c>
      <c r="AD272" s="292" t="s">
        <v>329</v>
      </c>
      <c r="AE272" s="287" t="s">
        <v>329</v>
      </c>
      <c r="AF272" s="287" t="s">
        <v>329</v>
      </c>
      <c r="AG272" s="288" t="s">
        <v>329</v>
      </c>
      <c r="AH272" s="292" t="s">
        <v>329</v>
      </c>
      <c r="AI272" s="689" t="s">
        <v>329</v>
      </c>
      <c r="AJ272" s="287" t="s">
        <v>329</v>
      </c>
      <c r="AK272" s="288" t="s">
        <v>329</v>
      </c>
      <c r="AL272" s="786"/>
      <c r="AM272" s="815"/>
      <c r="AN272" s="1037"/>
      <c r="AO272" s="1049"/>
      <c r="AP272" s="287" t="s">
        <v>329</v>
      </c>
      <c r="AQ272" s="831">
        <v>6.1399999999999996E-4</v>
      </c>
      <c r="AR272" s="292" t="s">
        <v>329</v>
      </c>
      <c r="AS272" s="288" t="s">
        <v>329</v>
      </c>
      <c r="AT272" s="292" t="s">
        <v>329</v>
      </c>
      <c r="AU272" s="288" t="s">
        <v>329</v>
      </c>
      <c r="AV272" s="874"/>
      <c r="AW272" s="663"/>
      <c r="AX272" s="663"/>
      <c r="AY272" s="663"/>
      <c r="AZ272" s="664"/>
    </row>
    <row r="273" spans="1:52" s="55" customFormat="1" x14ac:dyDescent="0.25">
      <c r="A273" s="307" t="s">
        <v>591</v>
      </c>
      <c r="B273" s="1020"/>
      <c r="C273" s="1019"/>
      <c r="D273" s="1025"/>
      <c r="E273" s="1025"/>
      <c r="F273" s="502"/>
      <c r="G273" s="503"/>
      <c r="H273" s="1040" t="str">
        <f t="shared" si="46"/>
        <v>NA</v>
      </c>
      <c r="I273" s="1041" t="str">
        <f t="shared" si="46"/>
        <v>NA</v>
      </c>
      <c r="J273" s="1041" t="str">
        <f t="shared" si="46"/>
        <v>NA</v>
      </c>
      <c r="K273" s="1041" t="str">
        <f t="shared" si="46"/>
        <v>NA</v>
      </c>
      <c r="L273" s="1042" t="str">
        <f t="shared" si="46"/>
        <v>NA</v>
      </c>
      <c r="M273" s="289">
        <v>340</v>
      </c>
      <c r="N273" s="637" t="s">
        <v>329</v>
      </c>
      <c r="O273" s="645" t="str">
        <f>IF(M273="NA","NA",(IF(N273="NA","NA",((((28.97+M273)/(28.97*M273))^0.5)*(10^-3)*(Data!$D$50^1.75)/((2*(20.1^(1/3)))^2)))))</f>
        <v>NA</v>
      </c>
      <c r="P273" s="637">
        <f>10^6.94</f>
        <v>8709635.8995608315</v>
      </c>
      <c r="Q273" s="629">
        <f>IF($P273="NA","NA",(0.617*Data!$D$9*$P273/100)/(1+Data!$D$15*$P273*0.000000617))</f>
        <v>161215.36050087097</v>
      </c>
      <c r="R273" s="629">
        <f t="shared" si="43"/>
        <v>161215.36050087097</v>
      </c>
      <c r="S273" s="290">
        <v>1</v>
      </c>
      <c r="T273" s="290">
        <f t="shared" si="44"/>
        <v>1</v>
      </c>
      <c r="U273" s="847" t="s">
        <v>329</v>
      </c>
      <c r="V273" s="860">
        <f>IF(Data!$D$69="",E273,IF(P273="NA","NA",(0.617*Data!$D$69*P273/100)/(1+Data!$D$15*P273*0.000000617)))</f>
        <v>107476.90700058066</v>
      </c>
      <c r="W273" s="847">
        <f>IF(OR(Q273="NA",Q273="",V273="NA",V273=""),"NA",(1+(V273/Q273)^1.5*((1-Data!$D$75)/(1-Data!$D$18))^1.5*(Data!$D$71/Data!$D$14)^1.5*(Data!$D$73/Data!$D$72)*(1/(39.37*Data!$D$72))^0.25))</f>
        <v>3.8303093677397904</v>
      </c>
      <c r="X273" s="847">
        <f>IF(W273="NA","NA",0.15*Data!$D$71*(1-Data!$D$75)*V273*((13.12*Data!$D$73)^(0.112*LN(Data!$D$71*(1-Data!$D$75)*V273)+1.38))/(W273*Data!$D$81))</f>
        <v>1032208858.6883126</v>
      </c>
      <c r="Y273" s="847">
        <f>IF(OR(W273="NA",W273="",Data!$D$91="NA",Data!$D$91=""),"NA",W273*Data!$D$91)</f>
        <v>6.8495741227413944</v>
      </c>
      <c r="Z273" s="847">
        <f>IF(OR(W273="NA",W273="",Data!$D$91="NA",Data!$D$91=""),"NA",IF(Data!$D$68&lt;X273,W273*X273/Data!$D$68*Data!$D$91,W273*Data!$D$91))</f>
        <v>35350955.438679472</v>
      </c>
      <c r="AA273" s="853"/>
      <c r="AB273" s="710" t="s">
        <v>329</v>
      </c>
      <c r="AC273" s="710" t="s">
        <v>329</v>
      </c>
      <c r="AD273" s="292" t="s">
        <v>329</v>
      </c>
      <c r="AE273" s="287" t="s">
        <v>329</v>
      </c>
      <c r="AF273" s="287" t="s">
        <v>329</v>
      </c>
      <c r="AG273" s="288" t="s">
        <v>329</v>
      </c>
      <c r="AH273" s="292" t="s">
        <v>329</v>
      </c>
      <c r="AI273" s="689" t="s">
        <v>329</v>
      </c>
      <c r="AJ273" s="287" t="s">
        <v>329</v>
      </c>
      <c r="AK273" s="288" t="s">
        <v>329</v>
      </c>
      <c r="AL273" s="786"/>
      <c r="AM273" s="815"/>
      <c r="AN273" s="1037"/>
      <c r="AO273" s="1049"/>
      <c r="AP273" s="287" t="s">
        <v>329</v>
      </c>
      <c r="AQ273" s="831">
        <v>3.2600000000000001E-4</v>
      </c>
      <c r="AR273" s="292" t="s">
        <v>329</v>
      </c>
      <c r="AS273" s="288" t="s">
        <v>329</v>
      </c>
      <c r="AT273" s="292" t="s">
        <v>329</v>
      </c>
      <c r="AU273" s="288" t="s">
        <v>329</v>
      </c>
      <c r="AV273" s="874"/>
      <c r="AW273" s="663"/>
      <c r="AX273" s="663"/>
      <c r="AY273" s="663"/>
      <c r="AZ273" s="664"/>
    </row>
    <row r="274" spans="1:52" s="55" customFormat="1" x14ac:dyDescent="0.25">
      <c r="A274" s="307" t="s">
        <v>592</v>
      </c>
      <c r="B274" s="1020"/>
      <c r="C274" s="1019"/>
      <c r="D274" s="1025"/>
      <c r="E274" s="1025"/>
      <c r="F274" s="502"/>
      <c r="G274" s="503"/>
      <c r="H274" s="1040" t="str">
        <f t="shared" si="46"/>
        <v>NA</v>
      </c>
      <c r="I274" s="1041" t="str">
        <f t="shared" si="46"/>
        <v>NA</v>
      </c>
      <c r="J274" s="1041" t="str">
        <f t="shared" si="46"/>
        <v>NA</v>
      </c>
      <c r="K274" s="1041" t="str">
        <f t="shared" si="46"/>
        <v>NA</v>
      </c>
      <c r="L274" s="1042" t="str">
        <f t="shared" si="46"/>
        <v>NA</v>
      </c>
      <c r="M274" s="289">
        <v>321.95999999999998</v>
      </c>
      <c r="N274" s="645">
        <f>0.00000007</f>
        <v>7.0000000000000005E-8</v>
      </c>
      <c r="O274" s="645">
        <f>IF(M274="NA","NA",(IF(N274="NA","NA",((((28.97+M274)/(28.97*M274))^0.5)*(10^-3)*(Data!$D$50^1.75)/((2*(20.1^(1/3)))^2)))))</f>
        <v>0.15023137511702978</v>
      </c>
      <c r="P274" s="637">
        <f>10^6.4</f>
        <v>2511886.431509587</v>
      </c>
      <c r="Q274" s="629">
        <f>IF($P274="NA","NA",(0.617*Data!$D$9*$P274/100)/(1+Data!$D$15*$P274*0.000000617))</f>
        <v>46495.01784724246</v>
      </c>
      <c r="R274" s="629">
        <f t="shared" si="43"/>
        <v>46495.01784724246</v>
      </c>
      <c r="S274" s="290">
        <v>1</v>
      </c>
      <c r="T274" s="290">
        <f t="shared" si="44"/>
        <v>1</v>
      </c>
      <c r="U274" s="847">
        <v>0.35</v>
      </c>
      <c r="V274" s="860">
        <f>IF(Data!$D$69="",E274,IF(P274="NA","NA",(0.617*Data!$D$69*P274/100)/(1+Data!$D$15*P274*0.000000617)))</f>
        <v>30996.678564828304</v>
      </c>
      <c r="W274" s="847">
        <f>IF(OR(Q274="NA",Q274="",V274="NA",V274=""),"NA",(1+(V274/Q274)^1.5*((1-Data!$D$75)/(1-Data!$D$18))^1.5*(Data!$D$71/Data!$D$14)^1.5*(Data!$D$73/Data!$D$72)*(1/(39.37*Data!$D$72))^0.25))</f>
        <v>3.8303093677397895</v>
      </c>
      <c r="X274" s="847">
        <f>IF(W274="NA","NA",0.15*Data!$D$71*(1-Data!$D$75)*V274*((13.12*Data!$D$73)^(0.112*LN(Data!$D$71*(1-Data!$D$75)*V274)+1.38))/(W274*Data!$D$81))</f>
        <v>166243595.76635909</v>
      </c>
      <c r="Y274" s="847">
        <f>IF(OR(W274="NA",W274="",Data!$D$91="NA",Data!$D$91=""),"NA",W274*Data!$D$91)</f>
        <v>6.8495741227413927</v>
      </c>
      <c r="Z274" s="847">
        <f>IF(OR(W274="NA",W274="",Data!$D$91="NA",Data!$D$91=""),"NA",IF(Data!$D$68&lt;X274,W274*X274/Data!$D$68*Data!$D$91,W274*Data!$D$91))</f>
        <v>5693489.1581636686</v>
      </c>
      <c r="AA274" s="853"/>
      <c r="AB274" s="710" t="s">
        <v>329</v>
      </c>
      <c r="AC274" s="710" t="s">
        <v>329</v>
      </c>
      <c r="AD274" s="292" t="s">
        <v>329</v>
      </c>
      <c r="AE274" s="287" t="s">
        <v>329</v>
      </c>
      <c r="AF274" s="287" t="s">
        <v>329</v>
      </c>
      <c r="AG274" s="288" t="s">
        <v>329</v>
      </c>
      <c r="AH274" s="292" t="s">
        <v>329</v>
      </c>
      <c r="AI274" s="689" t="s">
        <v>329</v>
      </c>
      <c r="AJ274" s="287" t="s">
        <v>329</v>
      </c>
      <c r="AK274" s="288" t="s">
        <v>329</v>
      </c>
      <c r="AL274" s="786"/>
      <c r="AM274" s="815"/>
      <c r="AN274" s="1037"/>
      <c r="AO274" s="1049"/>
      <c r="AP274" s="287" t="s">
        <v>329</v>
      </c>
      <c r="AQ274" s="831">
        <v>6.2699999999999995E-4</v>
      </c>
      <c r="AR274" s="292" t="s">
        <v>329</v>
      </c>
      <c r="AS274" s="288" t="s">
        <v>329</v>
      </c>
      <c r="AT274" s="292" t="s">
        <v>329</v>
      </c>
      <c r="AU274" s="288" t="s">
        <v>329</v>
      </c>
      <c r="AV274" s="874"/>
      <c r="AW274" s="663"/>
      <c r="AX274" s="663"/>
      <c r="AY274" s="663"/>
      <c r="AZ274" s="664"/>
    </row>
    <row r="275" spans="1:52" s="55" customFormat="1" ht="13.8" thickBot="1" x14ac:dyDescent="0.3">
      <c r="A275" s="308" t="s">
        <v>593</v>
      </c>
      <c r="B275" s="1020"/>
      <c r="C275" s="1019"/>
      <c r="D275" s="1025"/>
      <c r="E275" s="1025"/>
      <c r="F275" s="502"/>
      <c r="G275" s="503"/>
      <c r="H275" s="1040" t="str">
        <f t="shared" si="46"/>
        <v>NA</v>
      </c>
      <c r="I275" s="1041" t="str">
        <f t="shared" si="46"/>
        <v>NA</v>
      </c>
      <c r="J275" s="1041" t="str">
        <f t="shared" si="46"/>
        <v>NA</v>
      </c>
      <c r="K275" s="1041" t="str">
        <f t="shared" si="46"/>
        <v>NA</v>
      </c>
      <c r="L275" s="1042" t="str">
        <f t="shared" si="46"/>
        <v>NA</v>
      </c>
      <c r="M275" s="296">
        <v>306</v>
      </c>
      <c r="N275" s="637" t="s">
        <v>329</v>
      </c>
      <c r="O275" s="645" t="str">
        <f>IF(M275="NA","NA",(IF(N275="NA","NA",((((28.97+M275)/(28.97*M275))^0.5)*(10^-3)*(Data!$D$50^1.75)/((2*(20.1^(1/3)))^2)))))</f>
        <v>NA</v>
      </c>
      <c r="P275" s="638">
        <f>10^6.29</f>
        <v>1949844.5997580495</v>
      </c>
      <c r="Q275" s="630">
        <f>IF($P275="NA","NA",(0.617*Data!$D$9*$P275/100)/(1+Data!$D$15*$P275*0.000000617))</f>
        <v>36091.623541521498</v>
      </c>
      <c r="R275" s="630">
        <f t="shared" si="43"/>
        <v>36091.623541521498</v>
      </c>
      <c r="S275" s="297">
        <v>1</v>
      </c>
      <c r="T275" s="297">
        <f t="shared" si="44"/>
        <v>1</v>
      </c>
      <c r="U275" s="849" t="s">
        <v>329</v>
      </c>
      <c r="V275" s="860">
        <f>IF(Data!$D$69="",E275,IF(P275="NA","NA",(0.617*Data!$D$69*P275/100)/(1+Data!$D$15*P275*0.000000617)))</f>
        <v>24061.082361014331</v>
      </c>
      <c r="W275" s="847">
        <f>IF(OR(Q275="NA",Q275="",V275="NA",V275=""),"NA",(1+(V275/Q275)^1.5*((1-Data!$D$75)/(1-Data!$D$18))^1.5*(Data!$D$71/Data!$D$14)^1.5*(Data!$D$73/Data!$D$72)*(1/(39.37*Data!$D$72))^0.25))</f>
        <v>3.8303093677397895</v>
      </c>
      <c r="X275" s="847">
        <f>IF(W275="NA","NA",0.15*Data!$D$71*(1-Data!$D$75)*V275*((13.12*Data!$D$73)^(0.112*LN(Data!$D$71*(1-Data!$D$75)*V275)+1.38))/(W275*Data!$D$81))</f>
        <v>114604922.36966898</v>
      </c>
      <c r="Y275" s="847">
        <f>IF(OR(W275="NA",W275="",Data!$D$91="NA",Data!$D$91=""),"NA",W275*Data!$D$91)</f>
        <v>6.8495741227413927</v>
      </c>
      <c r="Z275" s="847">
        <f>IF(OR(W275="NA",W275="",Data!$D$91="NA",Data!$D$91=""),"NA",IF(Data!$D$68&lt;X275,W275*X275/Data!$D$68*Data!$D$91,W275*Data!$D$91))</f>
        <v>3924974.5530103543</v>
      </c>
      <c r="AA275" s="853"/>
      <c r="AB275" s="711" t="s">
        <v>329</v>
      </c>
      <c r="AC275" s="711" t="s">
        <v>329</v>
      </c>
      <c r="AD275" s="293" t="s">
        <v>329</v>
      </c>
      <c r="AE275" s="294" t="s">
        <v>329</v>
      </c>
      <c r="AF275" s="294" t="s">
        <v>329</v>
      </c>
      <c r="AG275" s="295" t="s">
        <v>329</v>
      </c>
      <c r="AH275" s="293" t="s">
        <v>329</v>
      </c>
      <c r="AI275" s="690" t="s">
        <v>329</v>
      </c>
      <c r="AJ275" s="294" t="s">
        <v>329</v>
      </c>
      <c r="AK275" s="295" t="s">
        <v>329</v>
      </c>
      <c r="AL275" s="786"/>
      <c r="AM275" s="815"/>
      <c r="AN275" s="1037"/>
      <c r="AO275" s="1049"/>
      <c r="AP275" s="294" t="s">
        <v>329</v>
      </c>
      <c r="AQ275" s="1039">
        <v>7.8100000000000001E-3</v>
      </c>
      <c r="AR275" s="292" t="s">
        <v>329</v>
      </c>
      <c r="AS275" s="288" t="s">
        <v>329</v>
      </c>
      <c r="AT275" s="292" t="s">
        <v>329</v>
      </c>
      <c r="AU275" s="288" t="s">
        <v>329</v>
      </c>
      <c r="AV275" s="874"/>
      <c r="AW275" s="663"/>
      <c r="AX275" s="663"/>
      <c r="AY275" s="663"/>
      <c r="AZ275" s="664"/>
    </row>
    <row r="276" spans="1:52" s="55" customFormat="1" x14ac:dyDescent="0.25">
      <c r="A276" s="573" t="s">
        <v>594</v>
      </c>
      <c r="B276" s="511"/>
      <c r="C276" s="512"/>
      <c r="D276" s="512"/>
      <c r="E276" s="513"/>
      <c r="F276" s="547"/>
      <c r="G276" s="548"/>
      <c r="H276" s="800"/>
      <c r="I276" s="534"/>
      <c r="J276" s="534"/>
      <c r="K276" s="534"/>
      <c r="L276" s="808"/>
      <c r="M276" s="511"/>
      <c r="N276" s="534"/>
      <c r="O276" s="534"/>
      <c r="P276" s="639"/>
      <c r="Q276" s="631"/>
      <c r="R276" s="631"/>
      <c r="S276" s="512"/>
      <c r="T276" s="512"/>
      <c r="U276" s="534"/>
      <c r="V276" s="800"/>
      <c r="W276" s="534"/>
      <c r="X276" s="534"/>
      <c r="Y276" s="534"/>
      <c r="Z276" s="534"/>
      <c r="AA276" s="513"/>
      <c r="AB276" s="527"/>
      <c r="AC276" s="527"/>
      <c r="AD276" s="511"/>
      <c r="AE276" s="512"/>
      <c r="AF276" s="512"/>
      <c r="AG276" s="513"/>
      <c r="AH276" s="511"/>
      <c r="AI276" s="512"/>
      <c r="AJ276" s="512"/>
      <c r="AK276" s="513"/>
      <c r="AL276" s="511"/>
      <c r="AM276" s="512"/>
      <c r="AN276" s="1050"/>
      <c r="AO276" s="1051"/>
      <c r="AP276" s="512"/>
      <c r="AQ276" s="1038"/>
      <c r="AR276" s="511"/>
      <c r="AS276" s="513"/>
      <c r="AT276" s="511"/>
      <c r="AU276" s="513"/>
      <c r="AV276" s="511"/>
      <c r="AW276" s="512"/>
      <c r="AX276" s="512"/>
      <c r="AY276" s="512"/>
      <c r="AZ276" s="513"/>
    </row>
    <row r="277" spans="1:52" s="55" customFormat="1" x14ac:dyDescent="0.25">
      <c r="A277" s="307" t="s">
        <v>595</v>
      </c>
      <c r="B277" s="1018"/>
      <c r="C277" s="1019"/>
      <c r="D277" s="1020"/>
      <c r="E277" s="1021"/>
      <c r="F277" s="502"/>
      <c r="G277" s="503"/>
      <c r="H277" s="1040" t="str">
        <f t="shared" ref="H277:L286" si="47">IF(INDEX($AB$11:$AZ$310,,H$7)=0,"NA",INDEX($AB$11:$AZ$310,,H$7))</f>
        <v>NA</v>
      </c>
      <c r="I277" s="1041" t="str">
        <f t="shared" si="47"/>
        <v>NA</v>
      </c>
      <c r="J277" s="1041" t="str">
        <f t="shared" si="47"/>
        <v>NA</v>
      </c>
      <c r="K277" s="1041" t="str">
        <f t="shared" si="47"/>
        <v>NA</v>
      </c>
      <c r="L277" s="1042" t="str">
        <f t="shared" si="47"/>
        <v>NA</v>
      </c>
      <c r="M277" s="289">
        <v>223.1</v>
      </c>
      <c r="N277" s="645">
        <v>2.3000000000000001E-4</v>
      </c>
      <c r="O277" s="645">
        <f>IF(M277="NA","NA",(IF(N277="NA","NA",((((28.97+M277)/(28.97*M277))^0.5)*(10^-3)*(Data!$D$50^1.75)/((2*(20.1^(1/3)))^2)))))</f>
        <v>0.15295446144984268</v>
      </c>
      <c r="P277" s="637">
        <f>10^5.1</f>
        <v>125892.54117941685</v>
      </c>
      <c r="Q277" s="629">
        <f>IF($P277="NA","NA",(0.617*Data!$D$9*$P277/100)/(1+Data!$D$15*$P277*0.000000617))</f>
        <v>2330.270937231006</v>
      </c>
      <c r="R277" s="629">
        <f t="shared" ref="R277:R302" si="48">Q277</f>
        <v>2330.270937231006</v>
      </c>
      <c r="S277" s="290">
        <v>1</v>
      </c>
      <c r="T277" s="290">
        <f t="shared" ref="T277:T302" si="49">IF(S277= "NA", "NA", S277)</f>
        <v>1</v>
      </c>
      <c r="U277" s="847">
        <v>1000</v>
      </c>
      <c r="V277" s="860">
        <f>IF(Data!$D$69="",E277,IF(P277="NA","NA",(0.617*Data!$D$69*P277/100)/(1+Data!$D$15*P277*0.000000617)))</f>
        <v>1553.5139581540038</v>
      </c>
      <c r="W277" s="645">
        <f>IF(OR(Q277="NA",Q277="",V277="NA",V277=""),"NA",(1+(V277/Q277)^1.5*((1-Data!$D$75)/(1-Data!$D$18))^1.5*(Data!$D$71/Data!$D$14)^1.5*(Data!$D$73/Data!$D$72)*(1/(39.37*Data!$D$72))^0.25))</f>
        <v>3.8303093677397895</v>
      </c>
      <c r="X277" s="645">
        <f>IF(W277="NA","NA",0.15*Data!$D$71*(1-Data!$D$75)*V277*((13.12*Data!$D$73)^(0.112*LN(Data!$D$71*(1-Data!$D$75)*V277)+1.38))/(W277*Data!$D$81))</f>
        <v>2049350.7855224116</v>
      </c>
      <c r="Y277" s="847">
        <f>IF(OR(W277="NA",W277="",Data!$D$91="NA",Data!$D$91=""),"NA",W277*Data!$D$91)</f>
        <v>6.8495741227413927</v>
      </c>
      <c r="Z277" s="847">
        <f>IF(OR(W277="NA",W277="",Data!$D$91="NA",Data!$D$91=""),"NA",IF(Data!$D$68&lt;X277,W277*X277/Data!$D$68*Data!$D$91,W277*Data!$D$91))</f>
        <v>70185.900544670279</v>
      </c>
      <c r="AA277" s="853"/>
      <c r="AB277" s="710" t="s">
        <v>329</v>
      </c>
      <c r="AC277" s="710" t="s">
        <v>329</v>
      </c>
      <c r="AD277" s="292" t="s">
        <v>329</v>
      </c>
      <c r="AE277" s="287" t="s">
        <v>329</v>
      </c>
      <c r="AF277" s="287" t="s">
        <v>329</v>
      </c>
      <c r="AG277" s="288" t="s">
        <v>329</v>
      </c>
      <c r="AH277" s="696" t="s">
        <v>329</v>
      </c>
      <c r="AI277" s="689" t="s">
        <v>329</v>
      </c>
      <c r="AJ277" s="287" t="s">
        <v>329</v>
      </c>
      <c r="AK277" s="288" t="s">
        <v>329</v>
      </c>
      <c r="AL277" s="786"/>
      <c r="AM277" s="815"/>
      <c r="AN277" s="1037"/>
      <c r="AO277" s="1049"/>
      <c r="AP277" s="287" t="s">
        <v>329</v>
      </c>
      <c r="AQ277" s="885">
        <v>4.02E-2</v>
      </c>
      <c r="AR277" s="292" t="s">
        <v>329</v>
      </c>
      <c r="AS277" s="288" t="s">
        <v>329</v>
      </c>
      <c r="AT277" s="292" t="s">
        <v>329</v>
      </c>
      <c r="AU277" s="288" t="s">
        <v>329</v>
      </c>
      <c r="AV277" s="874"/>
      <c r="AW277" s="663"/>
      <c r="AX277" s="663"/>
      <c r="AY277" s="663"/>
      <c r="AZ277" s="664"/>
    </row>
    <row r="278" spans="1:52" s="55" customFormat="1" x14ac:dyDescent="0.25">
      <c r="A278" s="307" t="s">
        <v>596</v>
      </c>
      <c r="B278" s="1020"/>
      <c r="C278" s="1019"/>
      <c r="D278" s="1025"/>
      <c r="E278" s="1025"/>
      <c r="F278" s="502"/>
      <c r="G278" s="503"/>
      <c r="H278" s="1040" t="str">
        <f t="shared" si="47"/>
        <v>NA</v>
      </c>
      <c r="I278" s="1041" t="str">
        <f t="shared" si="47"/>
        <v>NA</v>
      </c>
      <c r="J278" s="1041" t="str">
        <f t="shared" si="47"/>
        <v>NA</v>
      </c>
      <c r="K278" s="1041" t="str">
        <f t="shared" si="47"/>
        <v>NA</v>
      </c>
      <c r="L278" s="1042" t="str">
        <f t="shared" si="47"/>
        <v>NA</v>
      </c>
      <c r="M278" s="289">
        <v>257.5</v>
      </c>
      <c r="N278" s="645">
        <v>9.1E-4</v>
      </c>
      <c r="O278" s="645">
        <f>IF(M278="NA","NA",(IF(N278="NA","NA",((((28.97+M278)/(28.97*M278))^0.5)*(10^-3)*(Data!$D$50^1.75)/((2*(20.1^(1/3)))^2)))))</f>
        <v>0.15177572322701638</v>
      </c>
      <c r="P278" s="637">
        <f>10^5.6</f>
        <v>398107.17055349716</v>
      </c>
      <c r="Q278" s="629">
        <f>IF($P278="NA","NA",(0.617*Data!$D$9*$P278/100)/(1+Data!$D$15*$P278*0.000000617))</f>
        <v>7368.9637269452323</v>
      </c>
      <c r="R278" s="629">
        <f t="shared" si="48"/>
        <v>7368.9637269452323</v>
      </c>
      <c r="S278" s="290">
        <v>1</v>
      </c>
      <c r="T278" s="290">
        <f t="shared" si="49"/>
        <v>1</v>
      </c>
      <c r="U278" s="847">
        <v>1550</v>
      </c>
      <c r="V278" s="860">
        <f>IF(Data!$D$69="",E278,IF(P278="NA","NA",(0.617*Data!$D$69*P278/100)/(1+Data!$D$15*P278*0.000000617)))</f>
        <v>4912.6424846301552</v>
      </c>
      <c r="W278" s="645">
        <f>IF(OR(Q278="NA",Q278="",V278="NA",V278=""),"NA",(1+(V278/Q278)^1.5*((1-Data!$D$75)/(1-Data!$D$18))^1.5*(Data!$D$71/Data!$D$14)^1.5*(Data!$D$73/Data!$D$72)*(1/(39.37*Data!$D$72))^0.25))</f>
        <v>3.8303093677397904</v>
      </c>
      <c r="X278" s="645">
        <f>IF(W278="NA","NA",0.15*Data!$D$71*(1-Data!$D$75)*V278*((13.12*Data!$D$73)^(0.112*LN(Data!$D$71*(1-Data!$D$75)*V278)+1.38))/(W278*Data!$D$81))</f>
        <v>11114669.199492693</v>
      </c>
      <c r="Y278" s="847">
        <f>IF(OR(W278="NA",W278="",Data!$D$91="NA",Data!$D$91=""),"NA",W278*Data!$D$91)</f>
        <v>6.8495741227413944</v>
      </c>
      <c r="Z278" s="847">
        <f>IF(OR(W278="NA",W278="",Data!$D$91="NA",Data!$D$91=""),"NA",IF(Data!$D$68&lt;X278,W278*X278/Data!$D$68*Data!$D$91,W278*Data!$D$91))</f>
        <v>380653.75265837979</v>
      </c>
      <c r="AA278" s="853"/>
      <c r="AB278" s="710" t="s">
        <v>329</v>
      </c>
      <c r="AC278" s="710" t="s">
        <v>329</v>
      </c>
      <c r="AD278" s="292" t="s">
        <v>329</v>
      </c>
      <c r="AE278" s="287" t="s">
        <v>329</v>
      </c>
      <c r="AF278" s="287" t="s">
        <v>329</v>
      </c>
      <c r="AG278" s="288" t="s">
        <v>329</v>
      </c>
      <c r="AH278" s="696" t="s">
        <v>329</v>
      </c>
      <c r="AI278" s="689" t="s">
        <v>329</v>
      </c>
      <c r="AJ278" s="287" t="s">
        <v>329</v>
      </c>
      <c r="AK278" s="288" t="s">
        <v>329</v>
      </c>
      <c r="AL278" s="786"/>
      <c r="AM278" s="815"/>
      <c r="AN278" s="1037"/>
      <c r="AO278" s="1049"/>
      <c r="AP278" s="287" t="s">
        <v>329</v>
      </c>
      <c r="AQ278" s="689" t="s">
        <v>329</v>
      </c>
      <c r="AR278" s="292" t="s">
        <v>329</v>
      </c>
      <c r="AS278" s="288" t="s">
        <v>329</v>
      </c>
      <c r="AT278" s="292" t="s">
        <v>329</v>
      </c>
      <c r="AU278" s="288" t="s">
        <v>329</v>
      </c>
      <c r="AV278" s="874"/>
      <c r="AW278" s="663"/>
      <c r="AX278" s="663"/>
      <c r="AY278" s="663"/>
      <c r="AZ278" s="664"/>
    </row>
    <row r="279" spans="1:52" s="55" customFormat="1" x14ac:dyDescent="0.25">
      <c r="A279" s="307" t="s">
        <v>597</v>
      </c>
      <c r="B279" s="1020"/>
      <c r="C279" s="1019"/>
      <c r="D279" s="1025"/>
      <c r="E279" s="1025"/>
      <c r="F279" s="502"/>
      <c r="G279" s="503"/>
      <c r="H279" s="1040" t="str">
        <f t="shared" si="47"/>
        <v>NA</v>
      </c>
      <c r="I279" s="1041" t="str">
        <f t="shared" si="47"/>
        <v>NA</v>
      </c>
      <c r="J279" s="1041" t="str">
        <f t="shared" si="47"/>
        <v>NA</v>
      </c>
      <c r="K279" s="1041" t="str">
        <f t="shared" si="47"/>
        <v>NA</v>
      </c>
      <c r="L279" s="1042" t="str">
        <f t="shared" si="47"/>
        <v>NA</v>
      </c>
      <c r="M279" s="289">
        <v>257.5</v>
      </c>
      <c r="N279" s="645">
        <v>2.0000000000000001E-4</v>
      </c>
      <c r="O279" s="645">
        <f>IF(M279="NA","NA",(IF(N279="NA","NA",((((28.97+M279)/(28.97*M279))^0.5)*(10^-3)*(Data!$D$50^1.75)/((2*(20.1^(1/3)))^2)))))</f>
        <v>0.15177572322701638</v>
      </c>
      <c r="P279" s="637">
        <f>10^5.8</f>
        <v>630957.34448019415</v>
      </c>
      <c r="Q279" s="629">
        <f>IF($P279="NA","NA",(0.617*Data!$D$9*$P279/100)/(1+Data!$D$15*$P279*0.000000617))</f>
        <v>11679.020446328394</v>
      </c>
      <c r="R279" s="629">
        <f t="shared" si="48"/>
        <v>11679.020446328394</v>
      </c>
      <c r="S279" s="290">
        <v>1</v>
      </c>
      <c r="T279" s="290">
        <f t="shared" si="49"/>
        <v>1</v>
      </c>
      <c r="U279" s="847">
        <v>270</v>
      </c>
      <c r="V279" s="860">
        <f>IF(Data!$D$69="",E279,IF(P279="NA","NA",(0.617*Data!$D$69*P279/100)/(1+Data!$D$15*P279*0.000000617)))</f>
        <v>7786.0136308855963</v>
      </c>
      <c r="W279" s="645">
        <f>IF(OR(Q279="NA",Q279="",V279="NA",V279=""),"NA",(1+(V279/Q279)^1.5*((1-Data!$D$75)/(1-Data!$D$18))^1.5*(Data!$D$71/Data!$D$14)^1.5*(Data!$D$73/Data!$D$72)*(1/(39.37*Data!$D$72))^0.25))</f>
        <v>3.8303093677397904</v>
      </c>
      <c r="X279" s="645">
        <f>IF(W279="NA","NA",0.15*Data!$D$71*(1-Data!$D$75)*V279*((13.12*Data!$D$73)^(0.112*LN(Data!$D$71*(1-Data!$D$75)*V279)+1.38))/(W279*Data!$D$81))</f>
        <v>21857910.186222672</v>
      </c>
      <c r="Y279" s="847">
        <f>IF(OR(W279="NA",W279="",Data!$D$91="NA",Data!$D$91=""),"NA",W279*Data!$D$91)</f>
        <v>6.8495741227413944</v>
      </c>
      <c r="Z279" s="847">
        <f>IF(OR(W279="NA",W279="",Data!$D$91="NA",Data!$D$91=""),"NA",IF(Data!$D$68&lt;X279,W279*X279/Data!$D$68*Data!$D$91,W279*Data!$D$91))</f>
        <v>748586.87994378177</v>
      </c>
      <c r="AA279" s="853"/>
      <c r="AB279" s="710" t="s">
        <v>329</v>
      </c>
      <c r="AC279" s="710" t="s">
        <v>329</v>
      </c>
      <c r="AD279" s="292" t="s">
        <v>329</v>
      </c>
      <c r="AE279" s="287" t="s">
        <v>329</v>
      </c>
      <c r="AF279" s="287" t="s">
        <v>329</v>
      </c>
      <c r="AG279" s="288" t="s">
        <v>329</v>
      </c>
      <c r="AH279" s="696" t="s">
        <v>329</v>
      </c>
      <c r="AI279" s="689" t="s">
        <v>329</v>
      </c>
      <c r="AJ279" s="287" t="s">
        <v>329</v>
      </c>
      <c r="AK279" s="288" t="s">
        <v>329</v>
      </c>
      <c r="AL279" s="786"/>
      <c r="AM279" s="815"/>
      <c r="AN279" s="1037"/>
      <c r="AO279" s="1049"/>
      <c r="AP279" s="287" t="s">
        <v>329</v>
      </c>
      <c r="AQ279" s="689" t="s">
        <v>329</v>
      </c>
      <c r="AR279" s="292" t="s">
        <v>329</v>
      </c>
      <c r="AS279" s="288" t="s">
        <v>329</v>
      </c>
      <c r="AT279" s="292" t="s">
        <v>329</v>
      </c>
      <c r="AU279" s="288" t="s">
        <v>329</v>
      </c>
      <c r="AV279" s="874"/>
      <c r="AW279" s="663"/>
      <c r="AX279" s="663"/>
      <c r="AY279" s="663"/>
      <c r="AZ279" s="664"/>
    </row>
    <row r="280" spans="1:52" s="55" customFormat="1" x14ac:dyDescent="0.25">
      <c r="A280" s="307" t="s">
        <v>598</v>
      </c>
      <c r="B280" s="1020"/>
      <c r="C280" s="1019"/>
      <c r="D280" s="1025"/>
      <c r="E280" s="1025"/>
      <c r="F280" s="502"/>
      <c r="G280" s="503"/>
      <c r="H280" s="1040" t="str">
        <f t="shared" si="47"/>
        <v>NA</v>
      </c>
      <c r="I280" s="1041" t="str">
        <f t="shared" si="47"/>
        <v>NA</v>
      </c>
      <c r="J280" s="1041" t="str">
        <f t="shared" si="47"/>
        <v>NA</v>
      </c>
      <c r="K280" s="1041" t="str">
        <f t="shared" si="47"/>
        <v>NA</v>
      </c>
      <c r="L280" s="1042" t="str">
        <f t="shared" si="47"/>
        <v>NA</v>
      </c>
      <c r="M280" s="289">
        <v>292</v>
      </c>
      <c r="N280" s="645">
        <v>1.3999999999999999E-4</v>
      </c>
      <c r="O280" s="645">
        <f>IF(M280="NA","NA",(IF(N280="NA","NA",((((28.97+M280)/(28.97*M280))^0.5)*(10^-3)*(Data!$D$50^1.75)/((2*(20.1^(1/3)))^2)))))</f>
        <v>0.15086626862237232</v>
      </c>
      <c r="P280" s="637">
        <f>10^6</f>
        <v>1000000</v>
      </c>
      <c r="Q280" s="629">
        <f>IF($P280="NA","NA",(0.617*Data!$D$9*$P280/100)/(1+Data!$D$15*$P280*0.000000617))</f>
        <v>18510</v>
      </c>
      <c r="R280" s="629">
        <f t="shared" si="48"/>
        <v>18510</v>
      </c>
      <c r="S280" s="290">
        <v>1</v>
      </c>
      <c r="T280" s="290">
        <f t="shared" si="49"/>
        <v>1</v>
      </c>
      <c r="U280" s="847">
        <v>100</v>
      </c>
      <c r="V280" s="860">
        <f>IF(Data!$D$69="",E280,IF(P280="NA","NA",(0.617*Data!$D$69*P280/100)/(1+Data!$D$15*P280*0.000000617)))</f>
        <v>12340</v>
      </c>
      <c r="W280" s="645">
        <f>IF(OR(Q280="NA",Q280="",V280="NA",V280=""),"NA",(1+(V280/Q280)^1.5*((1-Data!$D$75)/(1-Data!$D$18))^1.5*(Data!$D$71/Data!$D$14)^1.5*(Data!$D$73/Data!$D$72)*(1/(39.37*Data!$D$72))^0.25))</f>
        <v>3.8303093677397895</v>
      </c>
      <c r="X280" s="645">
        <f>IF(W280="NA","NA",0.15*Data!$D$71*(1-Data!$D$75)*V280*((13.12*Data!$D$73)^(0.112*LN(Data!$D$71*(1-Data!$D$75)*V280)+1.38))/(W280*Data!$D$81))</f>
        <v>42985376.274696693</v>
      </c>
      <c r="Y280" s="847">
        <f>IF(OR(W280="NA",W280="",Data!$D$91="NA",Data!$D$91=""),"NA",W280*Data!$D$91)</f>
        <v>6.8495741227413927</v>
      </c>
      <c r="Z280" s="847">
        <f>IF(OR(W280="NA",W280="",Data!$D$91="NA",Data!$D$91=""),"NA",IF(Data!$D$68&lt;X280,W280*X280/Data!$D$68*Data!$D$91,W280*Data!$D$91))</f>
        <v>1472157.6049373213</v>
      </c>
      <c r="AA280" s="853"/>
      <c r="AB280" s="710" t="s">
        <v>329</v>
      </c>
      <c r="AC280" s="710" t="s">
        <v>329</v>
      </c>
      <c r="AD280" s="292" t="s">
        <v>329</v>
      </c>
      <c r="AE280" s="287" t="s">
        <v>329</v>
      </c>
      <c r="AF280" s="287" t="s">
        <v>329</v>
      </c>
      <c r="AG280" s="288" t="s">
        <v>329</v>
      </c>
      <c r="AH280" s="696" t="s">
        <v>329</v>
      </c>
      <c r="AI280" s="689" t="s">
        <v>329</v>
      </c>
      <c r="AJ280" s="287" t="s">
        <v>329</v>
      </c>
      <c r="AK280" s="288" t="s">
        <v>329</v>
      </c>
      <c r="AL280" s="786"/>
      <c r="AM280" s="815"/>
      <c r="AN280" s="1037"/>
      <c r="AO280" s="1049"/>
      <c r="AP280" s="287" t="s">
        <v>329</v>
      </c>
      <c r="AQ280" s="689" t="s">
        <v>329</v>
      </c>
      <c r="AR280" s="292" t="s">
        <v>329</v>
      </c>
      <c r="AS280" s="288" t="s">
        <v>329</v>
      </c>
      <c r="AT280" s="292" t="s">
        <v>329</v>
      </c>
      <c r="AU280" s="288" t="s">
        <v>329</v>
      </c>
      <c r="AV280" s="874"/>
      <c r="AW280" s="663"/>
      <c r="AX280" s="663"/>
      <c r="AY280" s="663"/>
      <c r="AZ280" s="664"/>
    </row>
    <row r="281" spans="1:52" s="55" customFormat="1" x14ac:dyDescent="0.25">
      <c r="A281" s="307" t="s">
        <v>599</v>
      </c>
      <c r="B281" s="1020"/>
      <c r="C281" s="1019"/>
      <c r="D281" s="1025"/>
      <c r="E281" s="1025"/>
      <c r="F281" s="502"/>
      <c r="G281" s="503"/>
      <c r="H281" s="1040" t="str">
        <f t="shared" si="47"/>
        <v>NA</v>
      </c>
      <c r="I281" s="1041" t="str">
        <f t="shared" si="47"/>
        <v>NA</v>
      </c>
      <c r="J281" s="1041" t="str">
        <f t="shared" si="47"/>
        <v>NA</v>
      </c>
      <c r="K281" s="1041" t="str">
        <f t="shared" si="47"/>
        <v>NA</v>
      </c>
      <c r="L281" s="1042" t="str">
        <f t="shared" si="47"/>
        <v>NA</v>
      </c>
      <c r="M281" s="289">
        <v>292</v>
      </c>
      <c r="N281" s="645">
        <v>2.1000000000000001E-4</v>
      </c>
      <c r="O281" s="645">
        <f>IF(M281="NA","NA",(IF(N281="NA","NA",((((28.97+M281)/(28.97*M281))^0.5)*(10^-3)*(Data!$D$50^1.75)/((2*(20.1^(1/3)))^2)))))</f>
        <v>0.15086626862237232</v>
      </c>
      <c r="P281" s="637">
        <f>10^6.1</f>
        <v>1258925.4117941677</v>
      </c>
      <c r="Q281" s="629">
        <f>IF($P281="NA","NA",(0.617*Data!$D$9*$P281/100)/(1+Data!$D$15*$P281*0.000000617))</f>
        <v>23302.709372310041</v>
      </c>
      <c r="R281" s="629">
        <f t="shared" si="48"/>
        <v>23302.709372310041</v>
      </c>
      <c r="S281" s="290">
        <v>1</v>
      </c>
      <c r="T281" s="290">
        <f t="shared" si="49"/>
        <v>1</v>
      </c>
      <c r="U281" s="847">
        <v>78.099999999999994</v>
      </c>
      <c r="V281" s="860">
        <f>IF(Data!$D$69="",E281,IF(P281="NA","NA",(0.617*Data!$D$69*P281/100)/(1+Data!$D$15*P281*0.000000617)))</f>
        <v>15535.139581540028</v>
      </c>
      <c r="W281" s="645">
        <f>IF(OR(Q281="NA",Q281="",V281="NA",V281=""),"NA",(1+(V281/Q281)^1.5*((1-Data!$D$75)/(1-Data!$D$18))^1.5*(Data!$D$71/Data!$D$14)^1.5*(Data!$D$73/Data!$D$72)*(1/(39.37*Data!$D$72))^0.25))</f>
        <v>3.8303093677397904</v>
      </c>
      <c r="X281" s="645">
        <f>IF(W281="NA","NA",0.15*Data!$D$71*(1-Data!$D$75)*V281*((13.12*Data!$D$73)^(0.112*LN(Data!$D$71*(1-Data!$D$75)*V281)+1.38))/(W281*Data!$D$81))</f>
        <v>60280490.917839773</v>
      </c>
      <c r="Y281" s="847">
        <f>IF(OR(W281="NA",W281="",Data!$D$91="NA",Data!$D$91=""),"NA",W281*Data!$D$91)</f>
        <v>6.8495741227413944</v>
      </c>
      <c r="Z281" s="847">
        <f>IF(OR(W281="NA",W281="",Data!$D$91="NA",Data!$D$91=""),"NA",IF(Data!$D$68&lt;X281,W281*X281/Data!$D$68*Data!$D$91,W281*Data!$D$91))</f>
        <v>2064478.4534849145</v>
      </c>
      <c r="AA281" s="853"/>
      <c r="AB281" s="710" t="s">
        <v>329</v>
      </c>
      <c r="AC281" s="710" t="s">
        <v>329</v>
      </c>
      <c r="AD281" s="292" t="s">
        <v>329</v>
      </c>
      <c r="AE281" s="287" t="s">
        <v>329</v>
      </c>
      <c r="AF281" s="287" t="s">
        <v>329</v>
      </c>
      <c r="AG281" s="288" t="s">
        <v>329</v>
      </c>
      <c r="AH281" s="696" t="s">
        <v>329</v>
      </c>
      <c r="AI281" s="689" t="s">
        <v>329</v>
      </c>
      <c r="AJ281" s="287" t="s">
        <v>329</v>
      </c>
      <c r="AK281" s="288" t="s">
        <v>329</v>
      </c>
      <c r="AL281" s="786"/>
      <c r="AM281" s="815"/>
      <c r="AN281" s="1037"/>
      <c r="AO281" s="1049"/>
      <c r="AP281" s="287" t="s">
        <v>329</v>
      </c>
      <c r="AQ281" s="689" t="s">
        <v>329</v>
      </c>
      <c r="AR281" s="292" t="s">
        <v>329</v>
      </c>
      <c r="AS281" s="288" t="s">
        <v>329</v>
      </c>
      <c r="AT281" s="292" t="s">
        <v>329</v>
      </c>
      <c r="AU281" s="288" t="s">
        <v>329</v>
      </c>
      <c r="AV281" s="874"/>
      <c r="AW281" s="663"/>
      <c r="AX281" s="663"/>
      <c r="AY281" s="663"/>
      <c r="AZ281" s="664"/>
    </row>
    <row r="282" spans="1:52" s="55" customFormat="1" x14ac:dyDescent="0.25">
      <c r="A282" s="307" t="s">
        <v>600</v>
      </c>
      <c r="B282" s="1020"/>
      <c r="C282" s="1019"/>
      <c r="D282" s="1025"/>
      <c r="E282" s="1025"/>
      <c r="F282" s="502"/>
      <c r="G282" s="503"/>
      <c r="H282" s="1040" t="str">
        <f t="shared" si="47"/>
        <v>NA</v>
      </c>
      <c r="I282" s="1041" t="str">
        <f t="shared" si="47"/>
        <v>NA</v>
      </c>
      <c r="J282" s="1041" t="str">
        <f t="shared" si="47"/>
        <v>NA</v>
      </c>
      <c r="K282" s="1041" t="str">
        <f t="shared" si="47"/>
        <v>NA</v>
      </c>
      <c r="L282" s="1042" t="str">
        <f t="shared" si="47"/>
        <v>NA</v>
      </c>
      <c r="M282" s="289">
        <v>292</v>
      </c>
      <c r="N282" s="645">
        <v>4.6969999999999998E-4</v>
      </c>
      <c r="O282" s="645">
        <f>IF(M282="NA","NA",(IF(N282="NA","NA",((((28.97+M282)/(28.97*M282))^0.5)*(10^-3)*(Data!$D$50^1.75)/((2*(20.1^(1/3)))^2)))))</f>
        <v>0.15086626862237232</v>
      </c>
      <c r="P282" s="637">
        <f>10^6.1</f>
        <v>1258925.4117941677</v>
      </c>
      <c r="Q282" s="629">
        <f>IF($P282="NA","NA",(0.617*Data!$D$9*$P282/100)/(1+Data!$D$15*$P282*0.000000617))</f>
        <v>23302.709372310041</v>
      </c>
      <c r="R282" s="629">
        <f t="shared" si="48"/>
        <v>23302.709372310041</v>
      </c>
      <c r="S282" s="290">
        <v>1</v>
      </c>
      <c r="T282" s="290">
        <f t="shared" si="49"/>
        <v>1</v>
      </c>
      <c r="U282" s="847">
        <v>30</v>
      </c>
      <c r="V282" s="860">
        <f>IF(Data!$D$69="",E282,IF(P282="NA","NA",(0.617*Data!$D$69*P282/100)/(1+Data!$D$15*P282*0.000000617)))</f>
        <v>15535.139581540028</v>
      </c>
      <c r="W282" s="645">
        <f>IF(OR(Q282="NA",Q282="",V282="NA",V282=""),"NA",(1+(V282/Q282)^1.5*((1-Data!$D$75)/(1-Data!$D$18))^1.5*(Data!$D$71/Data!$D$14)^1.5*(Data!$D$73/Data!$D$72)*(1/(39.37*Data!$D$72))^0.25))</f>
        <v>3.8303093677397904</v>
      </c>
      <c r="X282" s="645">
        <f>IF(W282="NA","NA",0.15*Data!$D$71*(1-Data!$D$75)*V282*((13.12*Data!$D$73)^(0.112*LN(Data!$D$71*(1-Data!$D$75)*V282)+1.38))/(W282*Data!$D$81))</f>
        <v>60280490.917839773</v>
      </c>
      <c r="Y282" s="847">
        <f>IF(OR(W282="NA",W282="",Data!$D$91="NA",Data!$D$91=""),"NA",W282*Data!$D$91)</f>
        <v>6.8495741227413944</v>
      </c>
      <c r="Z282" s="847">
        <f>IF(OR(W282="NA",W282="",Data!$D$91="NA",Data!$D$91=""),"NA",IF(Data!$D$68&lt;X282,W282*X282/Data!$D$68*Data!$D$91,W282*Data!$D$91))</f>
        <v>2064478.4534849145</v>
      </c>
      <c r="AA282" s="853"/>
      <c r="AB282" s="710" t="s">
        <v>329</v>
      </c>
      <c r="AC282" s="710" t="s">
        <v>329</v>
      </c>
      <c r="AD282" s="292" t="s">
        <v>329</v>
      </c>
      <c r="AE282" s="287" t="s">
        <v>329</v>
      </c>
      <c r="AF282" s="287" t="s">
        <v>329</v>
      </c>
      <c r="AG282" s="288" t="s">
        <v>329</v>
      </c>
      <c r="AH282" s="696" t="s">
        <v>329</v>
      </c>
      <c r="AI282" s="689" t="s">
        <v>329</v>
      </c>
      <c r="AJ282" s="287" t="s">
        <v>329</v>
      </c>
      <c r="AK282" s="288" t="s">
        <v>329</v>
      </c>
      <c r="AL282" s="786"/>
      <c r="AM282" s="815"/>
      <c r="AN282" s="1037"/>
      <c r="AO282" s="1049"/>
      <c r="AP282" s="287" t="s">
        <v>329</v>
      </c>
      <c r="AQ282" s="689" t="s">
        <v>329</v>
      </c>
      <c r="AR282" s="292" t="s">
        <v>329</v>
      </c>
      <c r="AS282" s="288" t="s">
        <v>329</v>
      </c>
      <c r="AT282" s="292" t="s">
        <v>329</v>
      </c>
      <c r="AU282" s="288" t="s">
        <v>329</v>
      </c>
      <c r="AV282" s="874"/>
      <c r="AW282" s="663"/>
      <c r="AX282" s="663"/>
      <c r="AY282" s="663"/>
      <c r="AZ282" s="664"/>
    </row>
    <row r="283" spans="1:52" s="55" customFormat="1" x14ac:dyDescent="0.25">
      <c r="A283" s="307" t="s">
        <v>601</v>
      </c>
      <c r="B283" s="1020"/>
      <c r="C283" s="1019"/>
      <c r="D283" s="1025"/>
      <c r="E283" s="1025"/>
      <c r="F283" s="502"/>
      <c r="G283" s="503"/>
      <c r="H283" s="1040" t="str">
        <f t="shared" si="47"/>
        <v>NA</v>
      </c>
      <c r="I283" s="1041" t="str">
        <f t="shared" si="47"/>
        <v>NA</v>
      </c>
      <c r="J283" s="1041" t="str">
        <f t="shared" si="47"/>
        <v>NA</v>
      </c>
      <c r="K283" s="1041" t="str">
        <f t="shared" si="47"/>
        <v>NA</v>
      </c>
      <c r="L283" s="1042" t="str">
        <f t="shared" si="47"/>
        <v>NA</v>
      </c>
      <c r="M283" s="289">
        <v>292</v>
      </c>
      <c r="N283" s="645">
        <v>1.2E-4</v>
      </c>
      <c r="O283" s="645">
        <f>IF(M283="NA","NA",(IF(N283="NA","NA",((((28.97+M283)/(28.97*M283))^0.5)*(10^-3)*(Data!$D$50^1.75)/((2*(20.1^(1/3)))^2)))))</f>
        <v>0.15086626862237232</v>
      </c>
      <c r="P283" s="637">
        <f>10^5.8</f>
        <v>630957.34448019415</v>
      </c>
      <c r="Q283" s="629">
        <f>IF($P283="NA","NA",(0.617*Data!$D$9*$P283/100)/(1+Data!$D$15*$P283*0.000000617))</f>
        <v>11679.020446328394</v>
      </c>
      <c r="R283" s="629">
        <f t="shared" si="48"/>
        <v>11679.020446328394</v>
      </c>
      <c r="S283" s="290">
        <v>1</v>
      </c>
      <c r="T283" s="290">
        <f t="shared" si="49"/>
        <v>1</v>
      </c>
      <c r="U283" s="847">
        <v>40</v>
      </c>
      <c r="V283" s="860">
        <f>IF(Data!$D$69="",E283,IF(P283="NA","NA",(0.617*Data!$D$69*P283/100)/(1+Data!$D$15*P283*0.000000617)))</f>
        <v>7786.0136308855963</v>
      </c>
      <c r="W283" s="645">
        <f>IF(OR(Q283="NA",Q283="",V283="NA",V283=""),"NA",(1+(V283/Q283)^1.5*((1-Data!$D$75)/(1-Data!$D$18))^1.5*(Data!$D$71/Data!$D$14)^1.5*(Data!$D$73/Data!$D$72)*(1/(39.37*Data!$D$72))^0.25))</f>
        <v>3.8303093677397904</v>
      </c>
      <c r="X283" s="645">
        <f>IF(W283="NA","NA",0.15*Data!$D$71*(1-Data!$D$75)*V283*((13.12*Data!$D$73)^(0.112*LN(Data!$D$71*(1-Data!$D$75)*V283)+1.38))/(W283*Data!$D$81))</f>
        <v>21857910.186222672</v>
      </c>
      <c r="Y283" s="847">
        <f>IF(OR(W283="NA",W283="",Data!$D$91="NA",Data!$D$91=""),"NA",W283*Data!$D$91)</f>
        <v>6.8495741227413944</v>
      </c>
      <c r="Z283" s="847">
        <f>IF(OR(W283="NA",W283="",Data!$D$91="NA",Data!$D$91=""),"NA",IF(Data!$D$68&lt;X283,W283*X283/Data!$D$68*Data!$D$91,W283*Data!$D$91))</f>
        <v>748586.87994378177</v>
      </c>
      <c r="AA283" s="853"/>
      <c r="AB283" s="710" t="s">
        <v>329</v>
      </c>
      <c r="AC283" s="710" t="s">
        <v>329</v>
      </c>
      <c r="AD283" s="292" t="s">
        <v>329</v>
      </c>
      <c r="AE283" s="287" t="s">
        <v>329</v>
      </c>
      <c r="AF283" s="287" t="s">
        <v>329</v>
      </c>
      <c r="AG283" s="288" t="s">
        <v>329</v>
      </c>
      <c r="AH283" s="696" t="s">
        <v>329</v>
      </c>
      <c r="AI283" s="689" t="s">
        <v>329</v>
      </c>
      <c r="AJ283" s="287" t="s">
        <v>329</v>
      </c>
      <c r="AK283" s="288" t="s">
        <v>329</v>
      </c>
      <c r="AL283" s="786"/>
      <c r="AM283" s="815"/>
      <c r="AN283" s="1037"/>
      <c r="AO283" s="1049"/>
      <c r="AP283" s="287" t="s">
        <v>329</v>
      </c>
      <c r="AQ283" s="689" t="s">
        <v>329</v>
      </c>
      <c r="AR283" s="292" t="s">
        <v>329</v>
      </c>
      <c r="AS283" s="288" t="s">
        <v>329</v>
      </c>
      <c r="AT283" s="292" t="s">
        <v>329</v>
      </c>
      <c r="AU283" s="288" t="s">
        <v>329</v>
      </c>
      <c r="AV283" s="874"/>
      <c r="AW283" s="663"/>
      <c r="AX283" s="663"/>
      <c r="AY283" s="663"/>
      <c r="AZ283" s="664"/>
    </row>
    <row r="284" spans="1:52" s="55" customFormat="1" x14ac:dyDescent="0.25">
      <c r="A284" s="307" t="s">
        <v>602</v>
      </c>
      <c r="B284" s="1020"/>
      <c r="C284" s="1019"/>
      <c r="D284" s="1025"/>
      <c r="E284" s="1025"/>
      <c r="F284" s="502"/>
      <c r="G284" s="503"/>
      <c r="H284" s="1040" t="str">
        <f t="shared" si="47"/>
        <v>NA</v>
      </c>
      <c r="I284" s="1041" t="str">
        <f t="shared" si="47"/>
        <v>NA</v>
      </c>
      <c r="J284" s="1041" t="str">
        <f t="shared" si="47"/>
        <v>NA</v>
      </c>
      <c r="K284" s="1041" t="str">
        <f t="shared" si="47"/>
        <v>NA</v>
      </c>
      <c r="L284" s="1042" t="str">
        <f t="shared" si="47"/>
        <v>NA</v>
      </c>
      <c r="M284" s="289">
        <v>292</v>
      </c>
      <c r="N284" s="645">
        <v>1.6974999999999999E-5</v>
      </c>
      <c r="O284" s="645">
        <f>IF(M284="NA","NA",(IF(N284="NA","NA",((((28.97+M284)/(28.97*M284))^0.5)*(10^-3)*(Data!$D$50^1.75)/((2*(20.1^(1/3)))^2)))))</f>
        <v>0.15086626862237232</v>
      </c>
      <c r="P284" s="637">
        <f>10^6.5</f>
        <v>3162277.6601683851</v>
      </c>
      <c r="Q284" s="629">
        <f>IF($P284="NA","NA",(0.617*Data!$D$9*$P284/100)/(1+Data!$D$15*$P284*0.000000617))</f>
        <v>58533.759489716802</v>
      </c>
      <c r="R284" s="629">
        <f t="shared" si="48"/>
        <v>58533.759489716802</v>
      </c>
      <c r="S284" s="290">
        <v>1</v>
      </c>
      <c r="T284" s="290">
        <f t="shared" si="49"/>
        <v>1</v>
      </c>
      <c r="U284" s="847">
        <v>175</v>
      </c>
      <c r="V284" s="860">
        <f>IF(Data!$D$69="",E284,IF(P284="NA","NA",(0.617*Data!$D$69*P284/100)/(1+Data!$D$15*P284*0.000000617)))</f>
        <v>39022.506326477873</v>
      </c>
      <c r="W284" s="645">
        <f>IF(OR(Q284="NA",Q284="",V284="NA",V284=""),"NA",(1+(V284/Q284)^1.5*((1-Data!$D$75)/(1-Data!$D$18))^1.5*(Data!$D$71/Data!$D$14)^1.5*(Data!$D$73/Data!$D$72)*(1/(39.37*Data!$D$72))^0.25))</f>
        <v>3.8303093677397904</v>
      </c>
      <c r="X284" s="645">
        <f>IF(W284="NA","NA",0.15*Data!$D$71*(1-Data!$D$75)*V284*((13.12*Data!$D$73)^(0.112*LN(Data!$D$71*(1-Data!$D$75)*V284)+1.38))/(W284*Data!$D$81))</f>
        <v>233131507.34572035</v>
      </c>
      <c r="Y284" s="847">
        <f>IF(OR(W284="NA",W284="",Data!$D$91="NA",Data!$D$91=""),"NA",W284*Data!$D$91)</f>
        <v>6.8495741227413944</v>
      </c>
      <c r="Z284" s="847">
        <f>IF(OR(W284="NA",W284="",Data!$D$91="NA",Data!$D$91=""),"NA",IF(Data!$D$68&lt;X284,W284*X284/Data!$D$68*Data!$D$91,W284*Data!$D$91))</f>
        <v>7984257.6995547069</v>
      </c>
      <c r="AA284" s="853"/>
      <c r="AB284" s="710" t="s">
        <v>329</v>
      </c>
      <c r="AC284" s="710" t="s">
        <v>329</v>
      </c>
      <c r="AD284" s="292" t="s">
        <v>329</v>
      </c>
      <c r="AE284" s="287" t="s">
        <v>329</v>
      </c>
      <c r="AF284" s="287" t="s">
        <v>329</v>
      </c>
      <c r="AG284" s="288" t="s">
        <v>329</v>
      </c>
      <c r="AH284" s="696" t="s">
        <v>329</v>
      </c>
      <c r="AI284" s="689" t="s">
        <v>329</v>
      </c>
      <c r="AJ284" s="287" t="s">
        <v>329</v>
      </c>
      <c r="AK284" s="288" t="s">
        <v>329</v>
      </c>
      <c r="AL284" s="786"/>
      <c r="AM284" s="815"/>
      <c r="AN284" s="1037"/>
      <c r="AO284" s="1049"/>
      <c r="AP284" s="287" t="s">
        <v>329</v>
      </c>
      <c r="AQ284" s="689" t="s">
        <v>329</v>
      </c>
      <c r="AR284" s="292" t="s">
        <v>329</v>
      </c>
      <c r="AS284" s="288" t="s">
        <v>329</v>
      </c>
      <c r="AT284" s="292" t="s">
        <v>329</v>
      </c>
      <c r="AU284" s="288" t="s">
        <v>329</v>
      </c>
      <c r="AV284" s="874"/>
      <c r="AW284" s="663"/>
      <c r="AX284" s="663"/>
      <c r="AY284" s="663"/>
      <c r="AZ284" s="664"/>
    </row>
    <row r="285" spans="1:52" s="55" customFormat="1" x14ac:dyDescent="0.25">
      <c r="A285" s="307" t="s">
        <v>603</v>
      </c>
      <c r="B285" s="1018"/>
      <c r="C285" s="1019"/>
      <c r="D285" s="1020"/>
      <c r="E285" s="1021"/>
      <c r="F285" s="502"/>
      <c r="G285" s="503"/>
      <c r="H285" s="1040" t="str">
        <f t="shared" si="47"/>
        <v>NA</v>
      </c>
      <c r="I285" s="1041" t="str">
        <f t="shared" si="47"/>
        <v>NA</v>
      </c>
      <c r="J285" s="1041" t="str">
        <f t="shared" si="47"/>
        <v>NA</v>
      </c>
      <c r="K285" s="1041" t="str">
        <f t="shared" si="47"/>
        <v>NA</v>
      </c>
      <c r="L285" s="1042" t="str">
        <f t="shared" si="47"/>
        <v>NA</v>
      </c>
      <c r="M285" s="289">
        <v>326.39999999999998</v>
      </c>
      <c r="N285" s="645">
        <v>2.4489999999999999E-4</v>
      </c>
      <c r="O285" s="645">
        <f>IF(M285="NA","NA",(IF(N285="NA","NA",((((28.97+M285)/(28.97*M285))^0.5)*(10^-3)*(Data!$D$50^1.75)/((2*(20.1^(1/3)))^2)))))</f>
        <v>0.15014700018423585</v>
      </c>
      <c r="P285" s="637">
        <f>10^6.5</f>
        <v>3162277.6601683851</v>
      </c>
      <c r="Q285" s="629">
        <f>IF($P285="NA","NA",(0.617*Data!$D$9*$P285/100)/(1+Data!$D$15*$P285*0.000000617))</f>
        <v>58533.759489716802</v>
      </c>
      <c r="R285" s="629">
        <f t="shared" si="48"/>
        <v>58533.759489716802</v>
      </c>
      <c r="S285" s="290">
        <v>1</v>
      </c>
      <c r="T285" s="290">
        <f t="shared" si="49"/>
        <v>1</v>
      </c>
      <c r="U285" s="847">
        <v>29.4</v>
      </c>
      <c r="V285" s="860">
        <f>IF(Data!$D$69="",E285,IF(P285="NA","NA",(0.617*Data!$D$69*P285/100)/(1+Data!$D$15*P285*0.000000617)))</f>
        <v>39022.506326477873</v>
      </c>
      <c r="W285" s="645">
        <f>IF(OR(Q285="NA",Q285="",V285="NA",V285=""),"NA",(1+(V285/Q285)^1.5*((1-Data!$D$75)/(1-Data!$D$18))^1.5*(Data!$D$71/Data!$D$14)^1.5*(Data!$D$73/Data!$D$72)*(1/(39.37*Data!$D$72))^0.25))</f>
        <v>3.8303093677397904</v>
      </c>
      <c r="X285" s="645">
        <f>IF(W285="NA","NA",0.15*Data!$D$71*(1-Data!$D$75)*V285*((13.12*Data!$D$73)^(0.112*LN(Data!$D$71*(1-Data!$D$75)*V285)+1.38))/(W285*Data!$D$81))</f>
        <v>233131507.34572035</v>
      </c>
      <c r="Y285" s="847">
        <f>IF(OR(W285="NA",W285="",Data!$D$91="NA",Data!$D$91=""),"NA",W285*Data!$D$91)</f>
        <v>6.8495741227413944</v>
      </c>
      <c r="Z285" s="847">
        <f>IF(OR(W285="NA",W285="",Data!$D$91="NA",Data!$D$91=""),"NA",IF(Data!$D$68&lt;X285,W285*X285/Data!$D$68*Data!$D$91,W285*Data!$D$91))</f>
        <v>7984257.6995547069</v>
      </c>
      <c r="AA285" s="853"/>
      <c r="AB285" s="710" t="s">
        <v>329</v>
      </c>
      <c r="AC285" s="710" t="s">
        <v>329</v>
      </c>
      <c r="AD285" s="292" t="s">
        <v>329</v>
      </c>
      <c r="AE285" s="287" t="s">
        <v>329</v>
      </c>
      <c r="AF285" s="287" t="s">
        <v>329</v>
      </c>
      <c r="AG285" s="288" t="s">
        <v>329</v>
      </c>
      <c r="AH285" s="696" t="s">
        <v>329</v>
      </c>
      <c r="AI285" s="689" t="s">
        <v>329</v>
      </c>
      <c r="AJ285" s="287" t="s">
        <v>329</v>
      </c>
      <c r="AK285" s="288" t="s">
        <v>329</v>
      </c>
      <c r="AL285" s="786"/>
      <c r="AM285" s="815"/>
      <c r="AN285" s="1037"/>
      <c r="AO285" s="1049"/>
      <c r="AP285" s="287" t="s">
        <v>329</v>
      </c>
      <c r="AQ285" s="689" t="s">
        <v>329</v>
      </c>
      <c r="AR285" s="292" t="s">
        <v>329</v>
      </c>
      <c r="AS285" s="288" t="s">
        <v>329</v>
      </c>
      <c r="AT285" s="292" t="s">
        <v>329</v>
      </c>
      <c r="AU285" s="288" t="s">
        <v>329</v>
      </c>
      <c r="AV285" s="874"/>
      <c r="AW285" s="663"/>
      <c r="AX285" s="663"/>
      <c r="AY285" s="663"/>
      <c r="AZ285" s="664"/>
    </row>
    <row r="286" spans="1:52" s="55" customFormat="1" x14ac:dyDescent="0.25">
      <c r="A286" s="307" t="s">
        <v>604</v>
      </c>
      <c r="B286" s="1018"/>
      <c r="C286" s="1019"/>
      <c r="D286" s="1020"/>
      <c r="E286" s="1021"/>
      <c r="F286" s="502"/>
      <c r="G286" s="503"/>
      <c r="H286" s="1040" t="str">
        <f t="shared" si="47"/>
        <v>NA</v>
      </c>
      <c r="I286" s="1041" t="str">
        <f t="shared" si="47"/>
        <v>NA</v>
      </c>
      <c r="J286" s="1041" t="str">
        <f t="shared" si="47"/>
        <v>NA</v>
      </c>
      <c r="K286" s="1041" t="str">
        <f t="shared" si="47"/>
        <v>NA</v>
      </c>
      <c r="L286" s="1042" t="str">
        <f t="shared" si="47"/>
        <v>NA</v>
      </c>
      <c r="M286" s="289">
        <v>326.39999999999998</v>
      </c>
      <c r="N286" s="645">
        <v>3.502E-4</v>
      </c>
      <c r="O286" s="645">
        <f>IF(M286="NA","NA",(IF(N286="NA","NA",((((28.97+M286)/(28.97*M286))^0.5)*(10^-3)*(Data!$D$50^1.75)/((2*(20.1^(1/3)))^2)))))</f>
        <v>0.15014700018423585</v>
      </c>
      <c r="P286" s="637">
        <f>10^6.4</f>
        <v>2511886.431509587</v>
      </c>
      <c r="Q286" s="629">
        <f>IF($P286="NA","NA",(0.617*Data!$D$9*$P286/100)/(1+Data!$D$15*$P286*0.000000617))</f>
        <v>46495.01784724246</v>
      </c>
      <c r="R286" s="629">
        <f t="shared" si="48"/>
        <v>46495.01784724246</v>
      </c>
      <c r="S286" s="290">
        <v>1</v>
      </c>
      <c r="T286" s="290">
        <f t="shared" si="49"/>
        <v>1</v>
      </c>
      <c r="U286" s="847">
        <v>10</v>
      </c>
      <c r="V286" s="860">
        <f>IF(Data!$D$69="",E286,IF(P286="NA","NA",(0.617*Data!$D$69*P286/100)/(1+Data!$D$15*P286*0.000000617)))</f>
        <v>30996.678564828304</v>
      </c>
      <c r="W286" s="645">
        <f>IF(OR(Q286="NA",Q286="",V286="NA",V286=""),"NA",(1+(V286/Q286)^1.5*((1-Data!$D$75)/(1-Data!$D$18))^1.5*(Data!$D$71/Data!$D$14)^1.5*(Data!$D$73/Data!$D$72)*(1/(39.37*Data!$D$72))^0.25))</f>
        <v>3.8303093677397895</v>
      </c>
      <c r="X286" s="645">
        <f>IF(W286="NA","NA",0.15*Data!$D$71*(1-Data!$D$75)*V286*((13.12*Data!$D$73)^(0.112*LN(Data!$D$71*(1-Data!$D$75)*V286)+1.38))/(W286*Data!$D$81))</f>
        <v>166243595.76635909</v>
      </c>
      <c r="Y286" s="847">
        <f>IF(OR(W286="NA",W286="",Data!$D$91="NA",Data!$D$91=""),"NA",W286*Data!$D$91)</f>
        <v>6.8495741227413927</v>
      </c>
      <c r="Z286" s="847">
        <f>IF(OR(W286="NA",W286="",Data!$D$91="NA",Data!$D$91=""),"NA",IF(Data!$D$68&lt;X286,W286*X286/Data!$D$68*Data!$D$91,W286*Data!$D$91))</f>
        <v>5693489.1581636686</v>
      </c>
      <c r="AA286" s="853"/>
      <c r="AB286" s="710" t="s">
        <v>329</v>
      </c>
      <c r="AC286" s="710" t="s">
        <v>329</v>
      </c>
      <c r="AD286" s="292" t="s">
        <v>329</v>
      </c>
      <c r="AE286" s="287" t="s">
        <v>329</v>
      </c>
      <c r="AF286" s="287" t="s">
        <v>329</v>
      </c>
      <c r="AG286" s="288" t="s">
        <v>329</v>
      </c>
      <c r="AH286" s="696" t="s">
        <v>329</v>
      </c>
      <c r="AI286" s="689" t="s">
        <v>329</v>
      </c>
      <c r="AJ286" s="287" t="s">
        <v>329</v>
      </c>
      <c r="AK286" s="288" t="s">
        <v>329</v>
      </c>
      <c r="AL286" s="786"/>
      <c r="AM286" s="815"/>
      <c r="AN286" s="1037"/>
      <c r="AO286" s="1049"/>
      <c r="AP286" s="287" t="s">
        <v>329</v>
      </c>
      <c r="AQ286" s="689" t="s">
        <v>329</v>
      </c>
      <c r="AR286" s="292" t="s">
        <v>329</v>
      </c>
      <c r="AS286" s="288" t="s">
        <v>329</v>
      </c>
      <c r="AT286" s="292" t="s">
        <v>329</v>
      </c>
      <c r="AU286" s="288" t="s">
        <v>329</v>
      </c>
      <c r="AV286" s="874"/>
      <c r="AW286" s="663"/>
      <c r="AX286" s="663"/>
      <c r="AY286" s="663"/>
      <c r="AZ286" s="664"/>
    </row>
    <row r="287" spans="1:52" s="55" customFormat="1" x14ac:dyDescent="0.25">
      <c r="A287" s="307" t="s">
        <v>605</v>
      </c>
      <c r="B287" s="1018"/>
      <c r="C287" s="1019"/>
      <c r="D287" s="1020"/>
      <c r="E287" s="1021"/>
      <c r="F287" s="502"/>
      <c r="G287" s="503"/>
      <c r="H287" s="1040" t="str">
        <f t="shared" ref="H287:L296" si="50">IF(INDEX($AB$11:$AZ$310,,H$7)=0,"NA",INDEX($AB$11:$AZ$310,,H$7))</f>
        <v>NA</v>
      </c>
      <c r="I287" s="1041" t="str">
        <f t="shared" si="50"/>
        <v>NA</v>
      </c>
      <c r="J287" s="1041" t="str">
        <f t="shared" si="50"/>
        <v>NA</v>
      </c>
      <c r="K287" s="1041" t="str">
        <f t="shared" si="50"/>
        <v>NA</v>
      </c>
      <c r="L287" s="1042" t="str">
        <f t="shared" si="50"/>
        <v>NA</v>
      </c>
      <c r="M287" s="289">
        <v>326.39999999999998</v>
      </c>
      <c r="N287" s="645">
        <v>8.25E-4</v>
      </c>
      <c r="O287" s="645">
        <f>IF(M287="NA","NA",(IF(N287="NA","NA",((((28.97+M287)/(28.97*M287))^0.5)*(10^-3)*(Data!$D$50^1.75)/((2*(20.1^(1/3)))^2)))))</f>
        <v>0.15014700018423585</v>
      </c>
      <c r="P287" s="637">
        <f>10^6.79</f>
        <v>6165950.0186148267</v>
      </c>
      <c r="Q287" s="629">
        <f>IF($P287="NA","NA",(0.617*Data!$D$9*$P287/100)/(1+Data!$D$15*$P287*0.000000617))</f>
        <v>114131.73484456044</v>
      </c>
      <c r="R287" s="629">
        <f t="shared" si="48"/>
        <v>114131.73484456044</v>
      </c>
      <c r="S287" s="290">
        <v>1</v>
      </c>
      <c r="T287" s="290">
        <f t="shared" si="49"/>
        <v>1</v>
      </c>
      <c r="U287" s="847">
        <v>3.4</v>
      </c>
      <c r="V287" s="860">
        <f>IF(Data!$D$69="",E287,IF(P287="NA","NA",(0.617*Data!$D$69*P287/100)/(1+Data!$D$15*P287*0.000000617)))</f>
        <v>76087.823229706963</v>
      </c>
      <c r="W287" s="645">
        <f>IF(OR(Q287="NA",Q287="",V287="NA",V287=""),"NA",(1+(V287/Q287)^1.5*((1-Data!$D$75)/(1-Data!$D$18))^1.5*(Data!$D$71/Data!$D$14)^1.5*(Data!$D$73/Data!$D$72)*(1/(39.37*Data!$D$72))^0.25))</f>
        <v>3.8303093677397895</v>
      </c>
      <c r="X287" s="645">
        <f>IF(W287="NA","NA",0.15*Data!$D$71*(1-Data!$D$75)*V287*((13.12*Data!$D$73)^(0.112*LN(Data!$D$71*(1-Data!$D$75)*V287)+1.38))/(W287*Data!$D$81))</f>
        <v>621560647.28942931</v>
      </c>
      <c r="Y287" s="847">
        <f>IF(OR(W287="NA",W287="",Data!$D$91="NA",Data!$D$91=""),"NA",W287*Data!$D$91)</f>
        <v>6.8495741227413927</v>
      </c>
      <c r="Z287" s="847">
        <f>IF(OR(W287="NA",W287="",Data!$D$91="NA",Data!$D$91=""),"NA",IF(Data!$D$68&lt;X287,W287*X287/Data!$D$68*Data!$D$91,W287*Data!$D$91))</f>
        <v>21287128.626940329</v>
      </c>
      <c r="AA287" s="853"/>
      <c r="AB287" s="710" t="s">
        <v>329</v>
      </c>
      <c r="AC287" s="710" t="s">
        <v>329</v>
      </c>
      <c r="AD287" s="292" t="s">
        <v>329</v>
      </c>
      <c r="AE287" s="287" t="s">
        <v>329</v>
      </c>
      <c r="AF287" s="287" t="s">
        <v>329</v>
      </c>
      <c r="AG287" s="288" t="s">
        <v>329</v>
      </c>
      <c r="AH287" s="696" t="s">
        <v>329</v>
      </c>
      <c r="AI287" s="689" t="s">
        <v>329</v>
      </c>
      <c r="AJ287" s="287" t="s">
        <v>329</v>
      </c>
      <c r="AK287" s="288" t="s">
        <v>329</v>
      </c>
      <c r="AL287" s="786"/>
      <c r="AM287" s="815"/>
      <c r="AN287" s="1037"/>
      <c r="AO287" s="1049"/>
      <c r="AP287" s="287" t="s">
        <v>329</v>
      </c>
      <c r="AQ287" s="689" t="s">
        <v>329</v>
      </c>
      <c r="AR287" s="292" t="s">
        <v>329</v>
      </c>
      <c r="AS287" s="288" t="s">
        <v>329</v>
      </c>
      <c r="AT287" s="292" t="s">
        <v>329</v>
      </c>
      <c r="AU287" s="288" t="s">
        <v>329</v>
      </c>
      <c r="AV287" s="874"/>
      <c r="AW287" s="663"/>
      <c r="AX287" s="663"/>
      <c r="AY287" s="663"/>
      <c r="AZ287" s="664"/>
    </row>
    <row r="288" spans="1:52" s="55" customFormat="1" x14ac:dyDescent="0.25">
      <c r="A288" s="307" t="s">
        <v>606</v>
      </c>
      <c r="B288" s="1018"/>
      <c r="C288" s="1019"/>
      <c r="D288" s="1020"/>
      <c r="E288" s="1021"/>
      <c r="F288" s="502"/>
      <c r="G288" s="503"/>
      <c r="H288" s="1040" t="str">
        <f t="shared" si="50"/>
        <v>NA</v>
      </c>
      <c r="I288" s="1041" t="str">
        <f t="shared" si="50"/>
        <v>NA</v>
      </c>
      <c r="J288" s="1041" t="str">
        <f t="shared" si="50"/>
        <v>NA</v>
      </c>
      <c r="K288" s="1041" t="str">
        <f t="shared" si="50"/>
        <v>NA</v>
      </c>
      <c r="L288" s="1042" t="str">
        <f t="shared" si="50"/>
        <v>NA</v>
      </c>
      <c r="M288" s="289">
        <v>326.39999999999998</v>
      </c>
      <c r="N288" s="645">
        <v>2.8800000000000001E-4</v>
      </c>
      <c r="O288" s="645">
        <f>IF(M288="NA","NA",(IF(N288="NA","NA",((((28.97+M288)/(28.97*M288))^0.5)*(10^-3)*(Data!$D$50^1.75)/((2*(20.1^(1/3)))^2)))))</f>
        <v>0.15014700018423585</v>
      </c>
      <c r="P288" s="637">
        <f>10^6.46</f>
        <v>2884031.5031266073</v>
      </c>
      <c r="Q288" s="629">
        <f>IF($P288="NA","NA",(0.617*Data!$D$9*$P288/100)/(1+Data!$D$15*$P288*0.000000617))</f>
        <v>53383.423122873501</v>
      </c>
      <c r="R288" s="629">
        <f t="shared" si="48"/>
        <v>53383.423122873501</v>
      </c>
      <c r="S288" s="290">
        <v>1</v>
      </c>
      <c r="T288" s="290">
        <f t="shared" si="49"/>
        <v>1</v>
      </c>
      <c r="U288" s="847">
        <v>13.4</v>
      </c>
      <c r="V288" s="860">
        <f>IF(Data!$D$69="",E288,IF(P288="NA","NA",(0.617*Data!$D$69*P288/100)/(1+Data!$D$15*P288*0.000000617)))</f>
        <v>35588.948748582334</v>
      </c>
      <c r="W288" s="645">
        <f>IF(OR(Q288="NA",Q288="",V288="NA",V288=""),"NA",(1+(V288/Q288)^1.5*((1-Data!$D$75)/(1-Data!$D$18))^1.5*(Data!$D$71/Data!$D$14)^1.5*(Data!$D$73/Data!$D$72)*(1/(39.37*Data!$D$72))^0.25))</f>
        <v>3.8303093677397895</v>
      </c>
      <c r="X288" s="645">
        <f>IF(W288="NA","NA",0.15*Data!$D$71*(1-Data!$D$75)*V288*((13.12*Data!$D$73)^(0.112*LN(Data!$D$71*(1-Data!$D$75)*V288)+1.38))/(W288*Data!$D$81))</f>
        <v>203637873.18161014</v>
      </c>
      <c r="Y288" s="847">
        <f>IF(OR(W288="NA",W288="",Data!$D$91="NA",Data!$D$91=""),"NA",W288*Data!$D$91)</f>
        <v>6.8495741227413927</v>
      </c>
      <c r="Z288" s="847">
        <f>IF(OR(W288="NA",W288="",Data!$D$91="NA",Data!$D$91=""),"NA",IF(Data!$D$68&lt;X288,W288*X288/Data!$D$68*Data!$D$91,W288*Data!$D$91))</f>
        <v>6974163.5327742519</v>
      </c>
      <c r="AA288" s="853"/>
      <c r="AB288" s="710" t="s">
        <v>329</v>
      </c>
      <c r="AC288" s="710" t="s">
        <v>329</v>
      </c>
      <c r="AD288" s="292" t="s">
        <v>329</v>
      </c>
      <c r="AE288" s="287" t="s">
        <v>329</v>
      </c>
      <c r="AF288" s="287" t="s">
        <v>329</v>
      </c>
      <c r="AG288" s="288" t="s">
        <v>329</v>
      </c>
      <c r="AH288" s="696" t="s">
        <v>329</v>
      </c>
      <c r="AI288" s="689" t="s">
        <v>329</v>
      </c>
      <c r="AJ288" s="287" t="s">
        <v>329</v>
      </c>
      <c r="AK288" s="288" t="s">
        <v>329</v>
      </c>
      <c r="AL288" s="786"/>
      <c r="AM288" s="815"/>
      <c r="AN288" s="1037"/>
      <c r="AO288" s="1049"/>
      <c r="AP288" s="287" t="s">
        <v>329</v>
      </c>
      <c r="AQ288" s="689" t="s">
        <v>329</v>
      </c>
      <c r="AR288" s="292" t="s">
        <v>329</v>
      </c>
      <c r="AS288" s="288" t="s">
        <v>329</v>
      </c>
      <c r="AT288" s="292" t="s">
        <v>329</v>
      </c>
      <c r="AU288" s="288" t="s">
        <v>329</v>
      </c>
      <c r="AV288" s="874"/>
      <c r="AW288" s="663"/>
      <c r="AX288" s="663"/>
      <c r="AY288" s="663"/>
      <c r="AZ288" s="664"/>
    </row>
    <row r="289" spans="1:52" s="55" customFormat="1" x14ac:dyDescent="0.25">
      <c r="A289" s="307" t="s">
        <v>607</v>
      </c>
      <c r="B289" s="1018"/>
      <c r="C289" s="1019"/>
      <c r="D289" s="1020"/>
      <c r="E289" s="1021"/>
      <c r="F289" s="502"/>
      <c r="G289" s="503"/>
      <c r="H289" s="1040" t="str">
        <f t="shared" si="50"/>
        <v>NA</v>
      </c>
      <c r="I289" s="1041" t="str">
        <f t="shared" si="50"/>
        <v>NA</v>
      </c>
      <c r="J289" s="1041" t="str">
        <f t="shared" si="50"/>
        <v>NA</v>
      </c>
      <c r="K289" s="1041" t="str">
        <f t="shared" si="50"/>
        <v>NA</v>
      </c>
      <c r="L289" s="1042" t="str">
        <f t="shared" si="50"/>
        <v>NA</v>
      </c>
      <c r="M289" s="289">
        <v>326.39999999999998</v>
      </c>
      <c r="N289" s="645" t="s">
        <v>329</v>
      </c>
      <c r="O289" s="645" t="str">
        <f>IF(M289="NA","NA",(IF(N289="NA","NA",((((28.97+M289)/(28.97*M289))^0.5)*(10^-3)*(Data!$D$50^1.75)/((2*(20.1^(1/3)))^2)))))</f>
        <v>NA</v>
      </c>
      <c r="P289" s="637">
        <f>10^6.6</f>
        <v>3981071.705534976</v>
      </c>
      <c r="Q289" s="629">
        <f>IF($P289="NA","NA",(0.617*Data!$D$9*$P289/100)/(1+Data!$D$15*$P289*0.000000617))</f>
        <v>73689.637269452403</v>
      </c>
      <c r="R289" s="629">
        <f t="shared" si="48"/>
        <v>73689.637269452403</v>
      </c>
      <c r="S289" s="290">
        <v>1</v>
      </c>
      <c r="T289" s="290">
        <f t="shared" si="49"/>
        <v>1</v>
      </c>
      <c r="U289" s="847" t="s">
        <v>329</v>
      </c>
      <c r="V289" s="860">
        <f>IF(Data!$D$69="",E289,IF(P289="NA","NA",(0.617*Data!$D$69*P289/100)/(1+Data!$D$15*P289*0.000000617)))</f>
        <v>49126.424846301597</v>
      </c>
      <c r="W289" s="645">
        <f>IF(OR(Q289="NA",Q289="",V289="NA",V289=""),"NA",(1+(V289/Q289)^1.5*((1-Data!$D$75)/(1-Data!$D$18))^1.5*(Data!$D$71/Data!$D$14)^1.5*(Data!$D$73/Data!$D$72)*(1/(39.37*Data!$D$72))^0.25))</f>
        <v>3.8303093677397895</v>
      </c>
      <c r="X289" s="645">
        <f>IF(W289="NA","NA",0.15*Data!$D$71*(1-Data!$D$75)*V289*((13.12*Data!$D$73)^(0.112*LN(Data!$D$71*(1-Data!$D$75)*V289)+1.38))/(W289*Data!$D$81))</f>
        <v>326931690.01031709</v>
      </c>
      <c r="Y289" s="847">
        <f>IF(OR(W289="NA",W289="",Data!$D$91="NA",Data!$D$91=""),"NA",W289*Data!$D$91)</f>
        <v>6.8495741227413927</v>
      </c>
      <c r="Z289" s="847">
        <f>IF(OR(W289="NA",W289="",Data!$D$91="NA",Data!$D$91=""),"NA",IF(Data!$D$68&lt;X289,W289*X289/Data!$D$68*Data!$D$91,W289*Data!$D$91))</f>
        <v>11196714.218993893</v>
      </c>
      <c r="AA289" s="853"/>
      <c r="AB289" s="710" t="s">
        <v>329</v>
      </c>
      <c r="AC289" s="710" t="s">
        <v>329</v>
      </c>
      <c r="AD289" s="292" t="s">
        <v>329</v>
      </c>
      <c r="AE289" s="287" t="s">
        <v>329</v>
      </c>
      <c r="AF289" s="287" t="s">
        <v>329</v>
      </c>
      <c r="AG289" s="288" t="s">
        <v>329</v>
      </c>
      <c r="AH289" s="696" t="s">
        <v>329</v>
      </c>
      <c r="AI289" s="689" t="s">
        <v>329</v>
      </c>
      <c r="AJ289" s="287" t="s">
        <v>329</v>
      </c>
      <c r="AK289" s="288" t="s">
        <v>329</v>
      </c>
      <c r="AL289" s="786"/>
      <c r="AM289" s="815"/>
      <c r="AN289" s="1037"/>
      <c r="AO289" s="1049"/>
      <c r="AP289" s="287" t="s">
        <v>329</v>
      </c>
      <c r="AQ289" s="689" t="s">
        <v>329</v>
      </c>
      <c r="AR289" s="292" t="s">
        <v>329</v>
      </c>
      <c r="AS289" s="288" t="s">
        <v>329</v>
      </c>
      <c r="AT289" s="292" t="s">
        <v>329</v>
      </c>
      <c r="AU289" s="288" t="s">
        <v>329</v>
      </c>
      <c r="AV289" s="874"/>
      <c r="AW289" s="663"/>
      <c r="AX289" s="663"/>
      <c r="AY289" s="663"/>
      <c r="AZ289" s="664"/>
    </row>
    <row r="290" spans="1:52" s="55" customFormat="1" x14ac:dyDescent="0.25">
      <c r="A290" s="307" t="s">
        <v>608</v>
      </c>
      <c r="B290" s="1018"/>
      <c r="C290" s="1019"/>
      <c r="D290" s="1020"/>
      <c r="E290" s="1021"/>
      <c r="F290" s="502"/>
      <c r="G290" s="503"/>
      <c r="H290" s="1040" t="str">
        <f t="shared" si="50"/>
        <v>NA</v>
      </c>
      <c r="I290" s="1041" t="str">
        <f t="shared" si="50"/>
        <v>NA</v>
      </c>
      <c r="J290" s="1041" t="str">
        <f t="shared" si="50"/>
        <v>NA</v>
      </c>
      <c r="K290" s="1041" t="str">
        <f t="shared" si="50"/>
        <v>NA</v>
      </c>
      <c r="L290" s="1042" t="str">
        <f t="shared" si="50"/>
        <v>NA</v>
      </c>
      <c r="M290" s="289">
        <v>360.9</v>
      </c>
      <c r="N290" s="645">
        <v>1.175E-4</v>
      </c>
      <c r="O290" s="645">
        <f>IF(M290="NA","NA",(IF(N290="NA","NA",((((28.97+M290)/(28.97*M290))^0.5)*(10^-3)*(Data!$D$50^1.75)/((2*(20.1^(1/3)))^2)))))</f>
        <v>0.14956081451285605</v>
      </c>
      <c r="P290" s="637">
        <f>10^7.31</f>
        <v>20417379.446695317</v>
      </c>
      <c r="Q290" s="629">
        <f>IF($P290="NA","NA",(0.617*Data!$D$9*$P290/100)/(1+Data!$D$15*$P290*0.000000617))</f>
        <v>377925.6935583303</v>
      </c>
      <c r="R290" s="629">
        <f t="shared" si="48"/>
        <v>377925.6935583303</v>
      </c>
      <c r="S290" s="290">
        <v>1</v>
      </c>
      <c r="T290" s="290">
        <f t="shared" si="49"/>
        <v>1</v>
      </c>
      <c r="U290" s="847">
        <v>0.6</v>
      </c>
      <c r="V290" s="860">
        <f>IF(Data!$D$69="",E290,IF(P290="NA","NA",(0.617*Data!$D$69*P290/100)/(1+Data!$D$15*P290*0.000000617)))</f>
        <v>251950.46237222021</v>
      </c>
      <c r="W290" s="645">
        <f>IF(OR(Q290="NA",Q290="",V290="NA",V290=""),"NA",(1+(V290/Q290)^1.5*((1-Data!$D$75)/(1-Data!$D$18))^1.5*(Data!$D$71/Data!$D$14)^1.5*(Data!$D$73/Data!$D$72)*(1/(39.37*Data!$D$72))^0.25))</f>
        <v>3.8303093677397904</v>
      </c>
      <c r="X290" s="645">
        <f>IF(W290="NA","NA",0.15*Data!$D$71*(1-Data!$D$75)*V290*((13.12*Data!$D$73)^(0.112*LN(Data!$D$71*(1-Data!$D$75)*V290)+1.38))/(W290*Data!$D$81))</f>
        <v>3606907117.4931808</v>
      </c>
      <c r="Y290" s="847">
        <f>IF(OR(W290="NA",W290="",Data!$D$91="NA",Data!$D$91=""),"NA",W290*Data!$D$91)</f>
        <v>6.8495741227413944</v>
      </c>
      <c r="Z290" s="847">
        <f>IF(OR(W290="NA",W290="",Data!$D$91="NA",Data!$D$91=""),"NA",IF(Data!$D$68&lt;X290,W290*X290/Data!$D$68*Data!$D$91,W290*Data!$D$91))</f>
        <v>123528888.27556521</v>
      </c>
      <c r="AA290" s="853"/>
      <c r="AB290" s="710" t="s">
        <v>329</v>
      </c>
      <c r="AC290" s="710" t="s">
        <v>329</v>
      </c>
      <c r="AD290" s="292" t="s">
        <v>329</v>
      </c>
      <c r="AE290" s="287" t="s">
        <v>329</v>
      </c>
      <c r="AF290" s="287" t="s">
        <v>329</v>
      </c>
      <c r="AG290" s="288" t="s">
        <v>329</v>
      </c>
      <c r="AH290" s="696" t="s">
        <v>329</v>
      </c>
      <c r="AI290" s="689" t="s">
        <v>329</v>
      </c>
      <c r="AJ290" s="287" t="s">
        <v>329</v>
      </c>
      <c r="AK290" s="288" t="s">
        <v>329</v>
      </c>
      <c r="AL290" s="786"/>
      <c r="AM290" s="815"/>
      <c r="AN290" s="1037"/>
      <c r="AO290" s="1049"/>
      <c r="AP290" s="287" t="s">
        <v>329</v>
      </c>
      <c r="AQ290" s="689" t="s">
        <v>329</v>
      </c>
      <c r="AR290" s="292" t="s">
        <v>329</v>
      </c>
      <c r="AS290" s="288" t="s">
        <v>329</v>
      </c>
      <c r="AT290" s="292" t="s">
        <v>329</v>
      </c>
      <c r="AU290" s="288" t="s">
        <v>329</v>
      </c>
      <c r="AV290" s="874"/>
      <c r="AW290" s="663"/>
      <c r="AX290" s="663"/>
      <c r="AY290" s="663"/>
      <c r="AZ290" s="664"/>
    </row>
    <row r="291" spans="1:52" s="55" customFormat="1" x14ac:dyDescent="0.25">
      <c r="A291" s="307" t="s">
        <v>609</v>
      </c>
      <c r="B291" s="1018"/>
      <c r="C291" s="1019"/>
      <c r="D291" s="1020"/>
      <c r="E291" s="1021"/>
      <c r="F291" s="502"/>
      <c r="G291" s="503"/>
      <c r="H291" s="1040" t="str">
        <f t="shared" si="50"/>
        <v>NA</v>
      </c>
      <c r="I291" s="1041" t="str">
        <f t="shared" si="50"/>
        <v>NA</v>
      </c>
      <c r="J291" s="1041" t="str">
        <f t="shared" si="50"/>
        <v>NA</v>
      </c>
      <c r="K291" s="1041" t="str">
        <f t="shared" si="50"/>
        <v>NA</v>
      </c>
      <c r="L291" s="1042" t="str">
        <f t="shared" si="50"/>
        <v>NA</v>
      </c>
      <c r="M291" s="289">
        <v>360.9</v>
      </c>
      <c r="N291" s="645">
        <v>2.0999999999999999E-5</v>
      </c>
      <c r="O291" s="645">
        <f>IF(M291="NA","NA",(IF(N291="NA","NA",((((28.97+M291)/(28.97*M291))^0.5)*(10^-3)*(Data!$D$50^1.75)/((2*(20.1^(1/3)))^2)))))</f>
        <v>0.14956081451285605</v>
      </c>
      <c r="P291" s="637">
        <f>10^6.71</f>
        <v>5128613.8399136569</v>
      </c>
      <c r="Q291" s="629">
        <f>IF($P291="NA","NA",(0.617*Data!$D$9*$P291/100)/(1+Data!$D$15*$P291*0.000000617))</f>
        <v>94930.64217680179</v>
      </c>
      <c r="R291" s="629">
        <f t="shared" si="48"/>
        <v>94930.64217680179</v>
      </c>
      <c r="S291" s="290">
        <v>1</v>
      </c>
      <c r="T291" s="290">
        <f t="shared" si="49"/>
        <v>1</v>
      </c>
      <c r="U291" s="847">
        <v>15.9</v>
      </c>
      <c r="V291" s="860">
        <f>IF(Data!$D$69="",E291,IF(P291="NA","NA",(0.617*Data!$D$69*P291/100)/(1+Data!$D$15*P291*0.000000617)))</f>
        <v>63287.094784534529</v>
      </c>
      <c r="W291" s="645">
        <f>IF(OR(Q291="NA",Q291="",V291="NA",V291=""),"NA",(1+(V291/Q291)^1.5*((1-Data!$D$75)/(1-Data!$D$18))^1.5*(Data!$D$71/Data!$D$14)^1.5*(Data!$D$73/Data!$D$72)*(1/(39.37*Data!$D$72))^0.25))</f>
        <v>3.8303093677397904</v>
      </c>
      <c r="X291" s="645">
        <f>IF(W291="NA","NA",0.15*Data!$D$71*(1-Data!$D$75)*V291*((13.12*Data!$D$73)^(0.112*LN(Data!$D$71*(1-Data!$D$75)*V291)+1.38))/(W291*Data!$D$81))</f>
        <v>474240535.1663323</v>
      </c>
      <c r="Y291" s="847">
        <f>IF(OR(W291="NA",W291="",Data!$D$91="NA",Data!$D$91=""),"NA",W291*Data!$D$91)</f>
        <v>6.8495741227413944</v>
      </c>
      <c r="Z291" s="847">
        <f>IF(OR(W291="NA",W291="",Data!$D$91="NA",Data!$D$91=""),"NA",IF(Data!$D$68&lt;X291,W291*X291/Data!$D$68*Data!$D$91,W291*Data!$D$91))</f>
        <v>16241728.488151701</v>
      </c>
      <c r="AA291" s="853"/>
      <c r="AB291" s="710" t="s">
        <v>329</v>
      </c>
      <c r="AC291" s="710" t="s">
        <v>329</v>
      </c>
      <c r="AD291" s="292" t="s">
        <v>329</v>
      </c>
      <c r="AE291" s="287" t="s">
        <v>329</v>
      </c>
      <c r="AF291" s="287" t="s">
        <v>329</v>
      </c>
      <c r="AG291" s="288" t="s">
        <v>329</v>
      </c>
      <c r="AH291" s="696" t="s">
        <v>329</v>
      </c>
      <c r="AI291" s="689" t="s">
        <v>329</v>
      </c>
      <c r="AJ291" s="287" t="s">
        <v>329</v>
      </c>
      <c r="AK291" s="288" t="s">
        <v>329</v>
      </c>
      <c r="AL291" s="786"/>
      <c r="AM291" s="815"/>
      <c r="AN291" s="1037"/>
      <c r="AO291" s="1049"/>
      <c r="AP291" s="287" t="s">
        <v>329</v>
      </c>
      <c r="AQ291" s="689" t="s">
        <v>329</v>
      </c>
      <c r="AR291" s="292" t="s">
        <v>329</v>
      </c>
      <c r="AS291" s="288" t="s">
        <v>329</v>
      </c>
      <c r="AT291" s="292" t="s">
        <v>329</v>
      </c>
      <c r="AU291" s="288" t="s">
        <v>329</v>
      </c>
      <c r="AV291" s="874"/>
      <c r="AW291" s="663"/>
      <c r="AX291" s="663"/>
      <c r="AY291" s="663"/>
      <c r="AZ291" s="664"/>
    </row>
    <row r="292" spans="1:52" s="55" customFormat="1" x14ac:dyDescent="0.25">
      <c r="A292" s="307" t="s">
        <v>610</v>
      </c>
      <c r="B292" s="1018"/>
      <c r="C292" s="1019"/>
      <c r="D292" s="1020"/>
      <c r="E292" s="1021"/>
      <c r="F292" s="502"/>
      <c r="G292" s="503"/>
      <c r="H292" s="1040" t="str">
        <f t="shared" si="50"/>
        <v>NA</v>
      </c>
      <c r="I292" s="1041" t="str">
        <f t="shared" si="50"/>
        <v>NA</v>
      </c>
      <c r="J292" s="1041" t="str">
        <f t="shared" si="50"/>
        <v>NA</v>
      </c>
      <c r="K292" s="1041" t="str">
        <f t="shared" si="50"/>
        <v>NA</v>
      </c>
      <c r="L292" s="1042" t="str">
        <f t="shared" si="50"/>
        <v>NA</v>
      </c>
      <c r="M292" s="289">
        <v>360.9</v>
      </c>
      <c r="N292" s="645">
        <v>4.2339999999999999E-4</v>
      </c>
      <c r="O292" s="645">
        <f>IF(M292="NA","NA",(IF(N292="NA","NA",((((28.97+M292)/(28.97*M292))^0.5)*(10^-3)*(Data!$D$50^1.75)/((2*(20.1^(1/3)))^2)))))</f>
        <v>0.14956081451285605</v>
      </c>
      <c r="P292" s="637">
        <f>10^6.9</f>
        <v>7943282.3472428275</v>
      </c>
      <c r="Q292" s="629">
        <f>IF($P292="NA","NA",(0.617*Data!$D$9*$P292/100)/(1+Data!$D$15*$P292*0.000000617))</f>
        <v>147030.15624746474</v>
      </c>
      <c r="R292" s="629">
        <f t="shared" si="48"/>
        <v>147030.15624746474</v>
      </c>
      <c r="S292" s="290">
        <v>1</v>
      </c>
      <c r="T292" s="290">
        <f t="shared" si="49"/>
        <v>1</v>
      </c>
      <c r="U292" s="847">
        <v>1</v>
      </c>
      <c r="V292" s="860">
        <f>IF(Data!$D$69="",E292,IF(P292="NA","NA",(0.617*Data!$D$69*P292/100)/(1+Data!$D$15*P292*0.000000617)))</f>
        <v>98020.104164976496</v>
      </c>
      <c r="W292" s="645">
        <f>IF(OR(Q292="NA",Q292="",V292="NA",V292=""),"NA",(1+(V292/Q292)^1.5*((1-Data!$D$75)/(1-Data!$D$18))^1.5*(Data!$D$71/Data!$D$14)^1.5*(Data!$D$73/Data!$D$72)*(1/(39.37*Data!$D$72))^0.25))</f>
        <v>3.8303093677397904</v>
      </c>
      <c r="X292" s="645">
        <f>IF(W292="NA","NA",0.15*Data!$D$71*(1-Data!$D$75)*V292*((13.12*Data!$D$73)^(0.112*LN(Data!$D$71*(1-Data!$D$75)*V292)+1.38))/(W292*Data!$D$81))</f>
        <v>901623375.8176446</v>
      </c>
      <c r="Y292" s="847">
        <f>IF(OR(W292="NA",W292="",Data!$D$91="NA",Data!$D$91=""),"NA",W292*Data!$D$91)</f>
        <v>6.8495741227413944</v>
      </c>
      <c r="Z292" s="847">
        <f>IF(OR(W292="NA",W292="",Data!$D$91="NA",Data!$D$91=""),"NA",IF(Data!$D$68&lt;X292,W292*X292/Data!$D$68*Data!$D$91,W292*Data!$D$91))</f>
        <v>30878680.717296388</v>
      </c>
      <c r="AA292" s="853"/>
      <c r="AB292" s="710" t="s">
        <v>329</v>
      </c>
      <c r="AC292" s="710" t="s">
        <v>329</v>
      </c>
      <c r="AD292" s="292" t="s">
        <v>329</v>
      </c>
      <c r="AE292" s="287" t="s">
        <v>329</v>
      </c>
      <c r="AF292" s="287" t="s">
        <v>329</v>
      </c>
      <c r="AG292" s="288" t="s">
        <v>329</v>
      </c>
      <c r="AH292" s="696" t="s">
        <v>329</v>
      </c>
      <c r="AI292" s="689" t="s">
        <v>329</v>
      </c>
      <c r="AJ292" s="287" t="s">
        <v>329</v>
      </c>
      <c r="AK292" s="288" t="s">
        <v>329</v>
      </c>
      <c r="AL292" s="786"/>
      <c r="AM292" s="815"/>
      <c r="AN292" s="1037"/>
      <c r="AO292" s="1049"/>
      <c r="AP292" s="287" t="s">
        <v>329</v>
      </c>
      <c r="AQ292" s="689" t="s">
        <v>329</v>
      </c>
      <c r="AR292" s="292" t="s">
        <v>329</v>
      </c>
      <c r="AS292" s="288" t="s">
        <v>329</v>
      </c>
      <c r="AT292" s="292" t="s">
        <v>329</v>
      </c>
      <c r="AU292" s="288" t="s">
        <v>329</v>
      </c>
      <c r="AV292" s="874"/>
      <c r="AW292" s="663"/>
      <c r="AX292" s="663"/>
      <c r="AY292" s="663"/>
      <c r="AZ292" s="664"/>
    </row>
    <row r="293" spans="1:52" s="55" customFormat="1" x14ac:dyDescent="0.25">
      <c r="A293" s="307" t="s">
        <v>611</v>
      </c>
      <c r="B293" s="1018"/>
      <c r="C293" s="1019"/>
      <c r="D293" s="1020"/>
      <c r="E293" s="1021"/>
      <c r="F293" s="502"/>
      <c r="G293" s="503"/>
      <c r="H293" s="1040" t="str">
        <f t="shared" si="50"/>
        <v>NA</v>
      </c>
      <c r="I293" s="1041" t="str">
        <f t="shared" si="50"/>
        <v>NA</v>
      </c>
      <c r="J293" s="1041" t="str">
        <f t="shared" si="50"/>
        <v>NA</v>
      </c>
      <c r="K293" s="1041" t="str">
        <f t="shared" si="50"/>
        <v>NA</v>
      </c>
      <c r="L293" s="1042" t="str">
        <f t="shared" si="50"/>
        <v>NA</v>
      </c>
      <c r="M293" s="289">
        <v>360.9</v>
      </c>
      <c r="N293" s="645">
        <v>1.4300000000000001E-4</v>
      </c>
      <c r="O293" s="645">
        <f>IF(M293="NA","NA",(IF(N293="NA","NA",((((28.97+M293)/(28.97*M293))^0.5)*(10^-3)*(Data!$D$50^1.75)/((2*(20.1^(1/3)))^2)))))</f>
        <v>0.14956081451285605</v>
      </c>
      <c r="P293" s="637">
        <f>10^6.84</f>
        <v>6918309.7091893675</v>
      </c>
      <c r="Q293" s="629">
        <f>IF($P293="NA","NA",(0.617*Data!$D$9*$P293/100)/(1+Data!$D$15*$P293*0.000000617))</f>
        <v>128057.91271709518</v>
      </c>
      <c r="R293" s="629">
        <f t="shared" si="48"/>
        <v>128057.91271709518</v>
      </c>
      <c r="S293" s="290">
        <v>1</v>
      </c>
      <c r="T293" s="290">
        <f t="shared" si="49"/>
        <v>1</v>
      </c>
      <c r="U293" s="847">
        <v>5.33</v>
      </c>
      <c r="V293" s="860">
        <f>IF(Data!$D$69="",E293,IF(P293="NA","NA",(0.617*Data!$D$69*P293/100)/(1+Data!$D$15*P293*0.000000617)))</f>
        <v>85371.941811396799</v>
      </c>
      <c r="W293" s="645">
        <f>IF(OR(Q293="NA",Q293="",V293="NA",V293=""),"NA",(1+(V293/Q293)^1.5*((1-Data!$D$75)/(1-Data!$D$18))^1.5*(Data!$D$71/Data!$D$14)^1.5*(Data!$D$73/Data!$D$72)*(1/(39.37*Data!$D$72))^0.25))</f>
        <v>3.8303093677397904</v>
      </c>
      <c r="X293" s="645">
        <f>IF(W293="NA","NA",0.15*Data!$D$71*(1-Data!$D$75)*V293*((13.12*Data!$D$73)^(0.112*LN(Data!$D$71*(1-Data!$D$75)*V293)+1.38))/(W293*Data!$D$81))</f>
        <v>736057147.33257198</v>
      </c>
      <c r="Y293" s="847">
        <f>IF(OR(W293="NA",W293="",Data!$D$91="NA",Data!$D$91=""),"NA",W293*Data!$D$91)</f>
        <v>6.8495741227413944</v>
      </c>
      <c r="Z293" s="847">
        <f>IF(OR(W293="NA",W293="",Data!$D$91="NA",Data!$D$91=""),"NA",IF(Data!$D$68&lt;X293,W293*X293/Data!$D$68*Data!$D$91,W293*Data!$D$91))</f>
        <v>25208389.946140174</v>
      </c>
      <c r="AA293" s="853"/>
      <c r="AB293" s="710" t="s">
        <v>329</v>
      </c>
      <c r="AC293" s="710" t="s">
        <v>329</v>
      </c>
      <c r="AD293" s="292" t="s">
        <v>329</v>
      </c>
      <c r="AE293" s="287" t="s">
        <v>329</v>
      </c>
      <c r="AF293" s="287" t="s">
        <v>329</v>
      </c>
      <c r="AG293" s="288" t="s">
        <v>329</v>
      </c>
      <c r="AH293" s="696" t="s">
        <v>329</v>
      </c>
      <c r="AI293" s="689" t="s">
        <v>329</v>
      </c>
      <c r="AJ293" s="287" t="s">
        <v>329</v>
      </c>
      <c r="AK293" s="288" t="s">
        <v>329</v>
      </c>
      <c r="AL293" s="786"/>
      <c r="AM293" s="815"/>
      <c r="AN293" s="1037"/>
      <c r="AO293" s="1049"/>
      <c r="AP293" s="287" t="s">
        <v>329</v>
      </c>
      <c r="AQ293" s="689" t="s">
        <v>329</v>
      </c>
      <c r="AR293" s="292" t="s">
        <v>329</v>
      </c>
      <c r="AS293" s="288" t="s">
        <v>329</v>
      </c>
      <c r="AT293" s="292" t="s">
        <v>329</v>
      </c>
      <c r="AU293" s="288" t="s">
        <v>329</v>
      </c>
      <c r="AV293" s="874"/>
      <c r="AW293" s="663"/>
      <c r="AX293" s="663"/>
      <c r="AY293" s="663"/>
      <c r="AZ293" s="664"/>
    </row>
    <row r="294" spans="1:52" s="55" customFormat="1" x14ac:dyDescent="0.25">
      <c r="A294" s="307" t="s">
        <v>612</v>
      </c>
      <c r="B294" s="1018"/>
      <c r="C294" s="1019"/>
      <c r="D294" s="1020"/>
      <c r="E294" s="1021"/>
      <c r="F294" s="502"/>
      <c r="G294" s="503"/>
      <c r="H294" s="1040" t="str">
        <f t="shared" si="50"/>
        <v>NA</v>
      </c>
      <c r="I294" s="1041" t="str">
        <f t="shared" si="50"/>
        <v>NA</v>
      </c>
      <c r="J294" s="1041" t="str">
        <f t="shared" si="50"/>
        <v>NA</v>
      </c>
      <c r="K294" s="1041" t="str">
        <f t="shared" si="50"/>
        <v>NA</v>
      </c>
      <c r="L294" s="1042" t="str">
        <f t="shared" si="50"/>
        <v>NA</v>
      </c>
      <c r="M294" s="289">
        <v>360.9</v>
      </c>
      <c r="N294" s="645">
        <v>6.8499999999999998E-5</v>
      </c>
      <c r="O294" s="645">
        <f>IF(M294="NA","NA",(IF(N294="NA","NA",((((28.97+M294)/(28.97*M294))^0.5)*(10^-3)*(Data!$D$50^1.75)/((2*(20.1^(1/3)))^2)))))</f>
        <v>0.14956081451285605</v>
      </c>
      <c r="P294" s="637">
        <f>10^7.06</f>
        <v>11481536.214968828</v>
      </c>
      <c r="Q294" s="629">
        <f>IF($P294="NA","NA",(0.617*Data!$D$9*$P294/100)/(1+Data!$D$15*$P294*0.000000617))</f>
        <v>212523.23533907303</v>
      </c>
      <c r="R294" s="629">
        <f t="shared" si="48"/>
        <v>212523.23533907303</v>
      </c>
      <c r="S294" s="290">
        <v>1</v>
      </c>
      <c r="T294" s="290">
        <f t="shared" si="49"/>
        <v>1</v>
      </c>
      <c r="U294" s="645">
        <v>0.51</v>
      </c>
      <c r="V294" s="860">
        <f>IF(Data!$D$69="",E294,IF(P294="NA","NA",(0.617*Data!$D$69*P294/100)/(1+Data!$D$15*P294*0.000000617)))</f>
        <v>141682.15689271534</v>
      </c>
      <c r="W294" s="645">
        <f>IF(OR(Q294="NA",Q294="",V294="NA",V294=""),"NA",(1+(V294/Q294)^1.5*((1-Data!$D$75)/(1-Data!$D$18))^1.5*(Data!$D$71/Data!$D$14)^1.5*(Data!$D$73/Data!$D$72)*(1/(39.37*Data!$D$72))^0.25))</f>
        <v>3.8303093677397895</v>
      </c>
      <c r="X294" s="645">
        <f>IF(W294="NA","NA",0.15*Data!$D$71*(1-Data!$D$75)*V294*((13.12*Data!$D$73)^(0.112*LN(Data!$D$71*(1-Data!$D$75)*V294)+1.38))/(W294*Data!$D$81))</f>
        <v>1548798214.6281703</v>
      </c>
      <c r="Y294" s="847">
        <f>IF(OR(W294="NA",W294="",Data!$D$91="NA",Data!$D$91=""),"NA",W294*Data!$D$91)</f>
        <v>6.8495741227413927</v>
      </c>
      <c r="Z294" s="847">
        <f>IF(OR(W294="NA",W294="",Data!$D$91="NA",Data!$D$91=""),"NA",IF(Data!$D$68&lt;X294,W294*X294/Data!$D$68*Data!$D$91,W294*Data!$D$91))</f>
        <v>53043040.86132592</v>
      </c>
      <c r="AA294" s="853"/>
      <c r="AB294" s="710" t="s">
        <v>329</v>
      </c>
      <c r="AC294" s="710" t="s">
        <v>329</v>
      </c>
      <c r="AD294" s="292" t="s">
        <v>329</v>
      </c>
      <c r="AE294" s="287" t="s">
        <v>329</v>
      </c>
      <c r="AF294" s="287" t="s">
        <v>329</v>
      </c>
      <c r="AG294" s="288" t="s">
        <v>329</v>
      </c>
      <c r="AH294" s="696" t="s">
        <v>329</v>
      </c>
      <c r="AI294" s="689" t="s">
        <v>329</v>
      </c>
      <c r="AJ294" s="287" t="s">
        <v>329</v>
      </c>
      <c r="AK294" s="288" t="s">
        <v>329</v>
      </c>
      <c r="AL294" s="786"/>
      <c r="AM294" s="815"/>
      <c r="AN294" s="1037"/>
      <c r="AO294" s="1049"/>
      <c r="AP294" s="287" t="s">
        <v>329</v>
      </c>
      <c r="AQ294" s="689" t="s">
        <v>329</v>
      </c>
      <c r="AR294" s="292" t="s">
        <v>329</v>
      </c>
      <c r="AS294" s="288" t="s">
        <v>329</v>
      </c>
      <c r="AT294" s="292" t="s">
        <v>329</v>
      </c>
      <c r="AU294" s="288" t="s">
        <v>329</v>
      </c>
      <c r="AV294" s="874"/>
      <c r="AW294" s="663"/>
      <c r="AX294" s="663"/>
      <c r="AY294" s="663"/>
      <c r="AZ294" s="664"/>
    </row>
    <row r="295" spans="1:52" s="55" customFormat="1" x14ac:dyDescent="0.25">
      <c r="A295" s="307" t="s">
        <v>613</v>
      </c>
      <c r="B295" s="1018"/>
      <c r="C295" s="1019"/>
      <c r="D295" s="1020"/>
      <c r="E295" s="1021"/>
      <c r="F295" s="502"/>
      <c r="G295" s="503"/>
      <c r="H295" s="1040" t="str">
        <f t="shared" si="50"/>
        <v>NA</v>
      </c>
      <c r="I295" s="1041" t="str">
        <f t="shared" si="50"/>
        <v>NA</v>
      </c>
      <c r="J295" s="1041" t="str">
        <f t="shared" si="50"/>
        <v>NA</v>
      </c>
      <c r="K295" s="1041" t="str">
        <f t="shared" si="50"/>
        <v>NA</v>
      </c>
      <c r="L295" s="1042" t="str">
        <f t="shared" si="50"/>
        <v>NA</v>
      </c>
      <c r="M295" s="289">
        <v>395.3</v>
      </c>
      <c r="N295" s="645">
        <v>9.0000000000000002E-6</v>
      </c>
      <c r="O295" s="645">
        <f>IF(M295="NA","NA",(IF(N295="NA","NA",((((28.97+M295)/(28.97*M295))^0.5)*(10^-3)*(Data!$D$50^1.75)/((2*(20.1^(1/3)))^2)))))</f>
        <v>0.14907647275152078</v>
      </c>
      <c r="P295" s="637">
        <f>10^7.09</f>
        <v>12302687.708123812</v>
      </c>
      <c r="Q295" s="629">
        <f>IF($P295="NA","NA",(0.617*Data!$D$9*$P295/100)/(1+Data!$D$15*$P295*0.000000617))</f>
        <v>227722.74947737175</v>
      </c>
      <c r="R295" s="629">
        <f t="shared" si="48"/>
        <v>227722.74947737175</v>
      </c>
      <c r="S295" s="290">
        <v>1</v>
      </c>
      <c r="T295" s="290">
        <f t="shared" si="49"/>
        <v>1</v>
      </c>
      <c r="U295" s="847">
        <v>3.47</v>
      </c>
      <c r="V295" s="860">
        <f>IF(Data!$D$69="",E295,IF(P295="NA","NA",(0.617*Data!$D$69*P295/100)/(1+Data!$D$15*P295*0.000000617)))</f>
        <v>151815.16631824785</v>
      </c>
      <c r="W295" s="645">
        <f>IF(OR(Q295="NA",Q295="",V295="NA",V295=""),"NA",(1+(V295/Q295)^1.5*((1-Data!$D$75)/(1-Data!$D$18))^1.5*(Data!$D$71/Data!$D$14)^1.5*(Data!$D$73/Data!$D$72)*(1/(39.37*Data!$D$72))^0.25))</f>
        <v>3.8303093677397904</v>
      </c>
      <c r="X295" s="645">
        <f>IF(W295="NA","NA",0.15*Data!$D$71*(1-Data!$D$75)*V295*((13.12*Data!$D$73)^(0.112*LN(Data!$D$71*(1-Data!$D$75)*V295)+1.38))/(W295*Data!$D$81))</f>
        <v>1714161172.5275345</v>
      </c>
      <c r="Y295" s="847">
        <f>IF(OR(W295="NA",W295="",Data!$D$91="NA",Data!$D$91=""),"NA",W295*Data!$D$91)</f>
        <v>6.8495741227413944</v>
      </c>
      <c r="Z295" s="847">
        <f>IF(OR(W295="NA",W295="",Data!$D$91="NA",Data!$D$91=""),"NA",IF(Data!$D$68&lt;X295,W295*X295/Data!$D$68*Data!$D$91,W295*Data!$D$91))</f>
        <v>58706370.047763228</v>
      </c>
      <c r="AA295" s="853"/>
      <c r="AB295" s="710" t="s">
        <v>329</v>
      </c>
      <c r="AC295" s="710" t="s">
        <v>329</v>
      </c>
      <c r="AD295" s="292" t="s">
        <v>329</v>
      </c>
      <c r="AE295" s="287" t="s">
        <v>329</v>
      </c>
      <c r="AF295" s="287" t="s">
        <v>329</v>
      </c>
      <c r="AG295" s="288" t="s">
        <v>329</v>
      </c>
      <c r="AH295" s="696" t="s">
        <v>329</v>
      </c>
      <c r="AI295" s="689" t="s">
        <v>329</v>
      </c>
      <c r="AJ295" s="287" t="s">
        <v>329</v>
      </c>
      <c r="AK295" s="288" t="s">
        <v>329</v>
      </c>
      <c r="AL295" s="786"/>
      <c r="AM295" s="815"/>
      <c r="AN295" s="1037"/>
      <c r="AO295" s="1049"/>
      <c r="AP295" s="287" t="s">
        <v>329</v>
      </c>
      <c r="AQ295" s="689" t="s">
        <v>329</v>
      </c>
      <c r="AR295" s="292" t="s">
        <v>329</v>
      </c>
      <c r="AS295" s="288" t="s">
        <v>329</v>
      </c>
      <c r="AT295" s="292" t="s">
        <v>329</v>
      </c>
      <c r="AU295" s="288" t="s">
        <v>329</v>
      </c>
      <c r="AV295" s="874"/>
      <c r="AW295" s="663"/>
      <c r="AX295" s="663"/>
      <c r="AY295" s="663"/>
      <c r="AZ295" s="664"/>
    </row>
    <row r="296" spans="1:52" s="55" customFormat="1" x14ac:dyDescent="0.25">
      <c r="A296" s="307" t="s">
        <v>614</v>
      </c>
      <c r="B296" s="1018"/>
      <c r="C296" s="1019"/>
      <c r="D296" s="1020"/>
      <c r="E296" s="1021"/>
      <c r="F296" s="502"/>
      <c r="G296" s="503"/>
      <c r="H296" s="1040" t="str">
        <f t="shared" si="50"/>
        <v>NA</v>
      </c>
      <c r="I296" s="1041" t="str">
        <f t="shared" si="50"/>
        <v>NA</v>
      </c>
      <c r="J296" s="1041" t="str">
        <f t="shared" si="50"/>
        <v>NA</v>
      </c>
      <c r="K296" s="1041" t="str">
        <f t="shared" si="50"/>
        <v>NA</v>
      </c>
      <c r="L296" s="1042" t="str">
        <f t="shared" si="50"/>
        <v>NA</v>
      </c>
      <c r="M296" s="289">
        <v>395.3</v>
      </c>
      <c r="N296" s="645">
        <v>1.0000000000000001E-5</v>
      </c>
      <c r="O296" s="645">
        <f>IF(M296="NA","NA",(IF(N296="NA","NA",((((28.97+M296)/(28.97*M296))^0.5)*(10^-3)*(Data!$D$50^1.75)/((2*(20.1^(1/3)))^2)))))</f>
        <v>0.14907647275152078</v>
      </c>
      <c r="P296" s="637">
        <f>10^7.17</f>
        <v>14791083.881682113</v>
      </c>
      <c r="Q296" s="629">
        <f>IF($P296="NA","NA",(0.617*Data!$D$9*$P296/100)/(1+Data!$D$15*$P296*0.000000617))</f>
        <v>273782.96264993591</v>
      </c>
      <c r="R296" s="629">
        <f t="shared" si="48"/>
        <v>273782.96264993591</v>
      </c>
      <c r="S296" s="290">
        <v>1</v>
      </c>
      <c r="T296" s="290">
        <f t="shared" si="49"/>
        <v>1</v>
      </c>
      <c r="U296" s="847">
        <v>3.85</v>
      </c>
      <c r="V296" s="860">
        <f>IF(Data!$D$69="",E296,IF(P296="NA","NA",(0.617*Data!$D$69*P296/100)/(1+Data!$D$15*P296*0.000000617)))</f>
        <v>182521.97509995729</v>
      </c>
      <c r="W296" s="645">
        <f>IF(OR(Q296="NA",Q296="",V296="NA",V296=""),"NA",(1+(V296/Q296)^1.5*((1-Data!$D$75)/(1-Data!$D$18))^1.5*(Data!$D$71/Data!$D$14)^1.5*(Data!$D$73/Data!$D$72)*(1/(39.37*Data!$D$72))^0.25))</f>
        <v>3.8303093677397904</v>
      </c>
      <c r="X296" s="645">
        <f>IF(W296="NA","NA",0.15*Data!$D$71*(1-Data!$D$75)*V296*((13.12*Data!$D$73)^(0.112*LN(Data!$D$71*(1-Data!$D$75)*V296)+1.38))/(W296*Data!$D$81))</f>
        <v>2246655544.9144306</v>
      </c>
      <c r="Y296" s="847">
        <f>IF(OR(W296="NA",W296="",Data!$D$91="NA",Data!$D$91=""),"NA",W296*Data!$D$91)</f>
        <v>6.8495741227413944</v>
      </c>
      <c r="Z296" s="847">
        <f>IF(OR(W296="NA",W296="",Data!$D$91="NA",Data!$D$91=""),"NA",IF(Data!$D$68&lt;X296,W296*X296/Data!$D$68*Data!$D$91,W296*Data!$D$91))</f>
        <v>76943168.415796742</v>
      </c>
      <c r="AA296" s="853"/>
      <c r="AB296" s="710" t="s">
        <v>329</v>
      </c>
      <c r="AC296" s="710" t="s">
        <v>329</v>
      </c>
      <c r="AD296" s="292" t="s">
        <v>329</v>
      </c>
      <c r="AE296" s="287" t="s">
        <v>329</v>
      </c>
      <c r="AF296" s="287" t="s">
        <v>329</v>
      </c>
      <c r="AG296" s="288" t="s">
        <v>329</v>
      </c>
      <c r="AH296" s="696" t="s">
        <v>329</v>
      </c>
      <c r="AI296" s="689" t="s">
        <v>329</v>
      </c>
      <c r="AJ296" s="287" t="s">
        <v>329</v>
      </c>
      <c r="AK296" s="288" t="s">
        <v>329</v>
      </c>
      <c r="AL296" s="786"/>
      <c r="AM296" s="815"/>
      <c r="AN296" s="1037"/>
      <c r="AO296" s="1049"/>
      <c r="AP296" s="287" t="s">
        <v>329</v>
      </c>
      <c r="AQ296" s="689" t="s">
        <v>329</v>
      </c>
      <c r="AR296" s="292" t="s">
        <v>329</v>
      </c>
      <c r="AS296" s="288" t="s">
        <v>329</v>
      </c>
      <c r="AT296" s="292" t="s">
        <v>329</v>
      </c>
      <c r="AU296" s="288" t="s">
        <v>329</v>
      </c>
      <c r="AV296" s="874"/>
      <c r="AW296" s="663"/>
      <c r="AX296" s="663"/>
      <c r="AY296" s="663"/>
      <c r="AZ296" s="664"/>
    </row>
    <row r="297" spans="1:52" s="55" customFormat="1" x14ac:dyDescent="0.25">
      <c r="A297" s="307" t="s">
        <v>615</v>
      </c>
      <c r="B297" s="1018"/>
      <c r="C297" s="1019"/>
      <c r="D297" s="1020"/>
      <c r="E297" s="1021"/>
      <c r="F297" s="502"/>
      <c r="G297" s="503"/>
      <c r="H297" s="1040" t="str">
        <f t="shared" ref="H297:L310" si="51">IF(INDEX($AB$11:$AZ$310,,H$7)=0,"NA",INDEX($AB$11:$AZ$310,,H$7))</f>
        <v>NA</v>
      </c>
      <c r="I297" s="1041" t="str">
        <f t="shared" si="51"/>
        <v>NA</v>
      </c>
      <c r="J297" s="1041" t="str">
        <f t="shared" si="51"/>
        <v>NA</v>
      </c>
      <c r="K297" s="1041" t="str">
        <f t="shared" si="51"/>
        <v>NA</v>
      </c>
      <c r="L297" s="1042" t="str">
        <f t="shared" si="51"/>
        <v>NA</v>
      </c>
      <c r="M297" s="289">
        <v>395.3</v>
      </c>
      <c r="N297" s="645">
        <v>5.0699999999999999E-5</v>
      </c>
      <c r="O297" s="645">
        <f>IF(M297="NA","NA",(IF(N297="NA","NA",((((28.97+M297)/(28.97*M297))^0.5)*(10^-3)*(Data!$D$50^1.75)/((2*(20.1^(1/3)))^2)))))</f>
        <v>0.14907647275152078</v>
      </c>
      <c r="P297" s="637">
        <f>10^7.03</f>
        <v>10715193.052376067</v>
      </c>
      <c r="Q297" s="629">
        <f>IF($P297="NA","NA",(0.617*Data!$D$9*$P297/100)/(1+Data!$D$15*$P297*0.000000617))</f>
        <v>198338.22339948098</v>
      </c>
      <c r="R297" s="629">
        <f t="shared" si="48"/>
        <v>198338.22339948098</v>
      </c>
      <c r="S297" s="290">
        <v>1</v>
      </c>
      <c r="T297" s="290">
        <f t="shared" si="49"/>
        <v>1</v>
      </c>
      <c r="U297" s="847">
        <v>4.9000000000000004</v>
      </c>
      <c r="V297" s="860">
        <f>IF(Data!$D$69="",E297,IF(P297="NA","NA",(0.617*Data!$D$69*P297/100)/(1+Data!$D$15*P297*0.000000617)))</f>
        <v>132225.48226632067</v>
      </c>
      <c r="W297" s="645">
        <f>IF(OR(Q297="NA",Q297="",V297="NA",V297=""),"NA",(1+(V297/Q297)^1.5*((1-Data!$D$75)/(1-Data!$D$18))^1.5*(Data!$D$71/Data!$D$14)^1.5*(Data!$D$73/Data!$D$72)*(1/(39.37*Data!$D$72))^0.25))</f>
        <v>3.8303093677397904</v>
      </c>
      <c r="X297" s="645">
        <f>IF(W297="NA","NA",0.15*Data!$D$71*(1-Data!$D$75)*V297*((13.12*Data!$D$73)^(0.112*LN(Data!$D$71*(1-Data!$D$75)*V297)+1.38))/(W297*Data!$D$81))</f>
        <v>1399387611.9002287</v>
      </c>
      <c r="Y297" s="847">
        <f>IF(OR(W297="NA",W297="",Data!$D$91="NA",Data!$D$91=""),"NA",W297*Data!$D$91)</f>
        <v>6.8495741227413944</v>
      </c>
      <c r="Z297" s="847">
        <f>IF(OR(W297="NA",W297="",Data!$D$91="NA",Data!$D$91=""),"NA",IF(Data!$D$68&lt;X297,W297*X297/Data!$D$68*Data!$D$91,W297*Data!$D$91))</f>
        <v>47926045.870783418</v>
      </c>
      <c r="AA297" s="853"/>
      <c r="AB297" s="710" t="s">
        <v>329</v>
      </c>
      <c r="AC297" s="710" t="s">
        <v>329</v>
      </c>
      <c r="AD297" s="292" t="s">
        <v>329</v>
      </c>
      <c r="AE297" s="287" t="s">
        <v>329</v>
      </c>
      <c r="AF297" s="287" t="s">
        <v>329</v>
      </c>
      <c r="AG297" s="288" t="s">
        <v>329</v>
      </c>
      <c r="AH297" s="696" t="s">
        <v>329</v>
      </c>
      <c r="AI297" s="689" t="s">
        <v>329</v>
      </c>
      <c r="AJ297" s="287" t="s">
        <v>329</v>
      </c>
      <c r="AK297" s="288" t="s">
        <v>329</v>
      </c>
      <c r="AL297" s="786"/>
      <c r="AM297" s="815"/>
      <c r="AN297" s="1037"/>
      <c r="AO297" s="1049"/>
      <c r="AP297" s="287" t="s">
        <v>329</v>
      </c>
      <c r="AQ297" s="689" t="s">
        <v>329</v>
      </c>
      <c r="AR297" s="292" t="s">
        <v>329</v>
      </c>
      <c r="AS297" s="288" t="s">
        <v>329</v>
      </c>
      <c r="AT297" s="292" t="s">
        <v>329</v>
      </c>
      <c r="AU297" s="288" t="s">
        <v>329</v>
      </c>
      <c r="AV297" s="874"/>
      <c r="AW297" s="663"/>
      <c r="AX297" s="663"/>
      <c r="AY297" s="663"/>
      <c r="AZ297" s="664"/>
    </row>
    <row r="298" spans="1:52" s="55" customFormat="1" x14ac:dyDescent="0.25">
      <c r="A298" s="307" t="s">
        <v>616</v>
      </c>
      <c r="B298" s="1018"/>
      <c r="C298" s="1019"/>
      <c r="D298" s="1020"/>
      <c r="E298" s="1021"/>
      <c r="F298" s="502"/>
      <c r="G298" s="503"/>
      <c r="H298" s="1040" t="str">
        <f t="shared" si="51"/>
        <v>NA</v>
      </c>
      <c r="I298" s="1041" t="str">
        <f t="shared" si="51"/>
        <v>NA</v>
      </c>
      <c r="J298" s="1041" t="str">
        <f t="shared" si="51"/>
        <v>NA</v>
      </c>
      <c r="K298" s="1041" t="str">
        <f t="shared" si="51"/>
        <v>NA</v>
      </c>
      <c r="L298" s="1042" t="str">
        <f t="shared" si="51"/>
        <v>NA</v>
      </c>
      <c r="M298" s="289">
        <v>395.3</v>
      </c>
      <c r="N298" s="645" t="s">
        <v>329</v>
      </c>
      <c r="O298" s="645" t="str">
        <f>IF(M298="NA","NA",(IF(N298="NA","NA",((((28.97+M298)/(28.97*M298))^0.5)*(10^-3)*(Data!$D$50^1.75)/((2*(20.1^(1/3)))^2)))))</f>
        <v>NA</v>
      </c>
      <c r="P298" s="637">
        <f>10^6.73</f>
        <v>5370317.9637025446</v>
      </c>
      <c r="Q298" s="629">
        <f>IF($P298="NA","NA",(0.617*Data!$D$9*$P298/100)/(1+Data!$D$15*$P298*0.000000617))</f>
        <v>99404.5855081341</v>
      </c>
      <c r="R298" s="629">
        <f t="shared" si="48"/>
        <v>99404.5855081341</v>
      </c>
      <c r="S298" s="290">
        <v>1</v>
      </c>
      <c r="T298" s="290">
        <f t="shared" si="49"/>
        <v>1</v>
      </c>
      <c r="U298" s="847" t="s">
        <v>329</v>
      </c>
      <c r="V298" s="860">
        <f>IF(Data!$D$69="",E298,IF(P298="NA","NA",(0.617*Data!$D$69*P298/100)/(1+Data!$D$15*P298*0.000000617)))</f>
        <v>66269.7236720894</v>
      </c>
      <c r="W298" s="645">
        <f>IF(OR(Q298="NA",Q298="",V298="NA",V298=""),"NA",(1+(V298/Q298)^1.5*((1-Data!$D$75)/(1-Data!$D$18))^1.5*(Data!$D$71/Data!$D$14)^1.5*(Data!$D$73/Data!$D$72)*(1/(39.37*Data!$D$72))^0.25))</f>
        <v>3.8303093677397895</v>
      </c>
      <c r="X298" s="645">
        <f>IF(W298="NA","NA",0.15*Data!$D$71*(1-Data!$D$75)*V298*((13.12*Data!$D$73)^(0.112*LN(Data!$D$71*(1-Data!$D$75)*V298)+1.38))/(W298*Data!$D$81))</f>
        <v>507422688.01887995</v>
      </c>
      <c r="Y298" s="847">
        <f>IF(OR(W298="NA",W298="",Data!$D$91="NA",Data!$D$91=""),"NA",W298*Data!$D$91)</f>
        <v>6.8495741227413927</v>
      </c>
      <c r="Z298" s="847">
        <f>IF(OR(W298="NA",W298="",Data!$D$91="NA",Data!$D$91=""),"NA",IF(Data!$D$68&lt;X298,W298*X298/Data!$D$68*Data!$D$91,W298*Data!$D$91))</f>
        <v>17378146.565729994</v>
      </c>
      <c r="AA298" s="853"/>
      <c r="AB298" s="710" t="s">
        <v>329</v>
      </c>
      <c r="AC298" s="710" t="s">
        <v>329</v>
      </c>
      <c r="AD298" s="292" t="s">
        <v>329</v>
      </c>
      <c r="AE298" s="287" t="s">
        <v>329</v>
      </c>
      <c r="AF298" s="287" t="s">
        <v>329</v>
      </c>
      <c r="AG298" s="288" t="s">
        <v>329</v>
      </c>
      <c r="AH298" s="696" t="s">
        <v>329</v>
      </c>
      <c r="AI298" s="689" t="s">
        <v>329</v>
      </c>
      <c r="AJ298" s="287" t="s">
        <v>329</v>
      </c>
      <c r="AK298" s="288" t="s">
        <v>329</v>
      </c>
      <c r="AL298" s="786"/>
      <c r="AM298" s="815"/>
      <c r="AN298" s="1037"/>
      <c r="AO298" s="1049"/>
      <c r="AP298" s="287" t="s">
        <v>329</v>
      </c>
      <c r="AQ298" s="689" t="s">
        <v>329</v>
      </c>
      <c r="AR298" s="292" t="s">
        <v>329</v>
      </c>
      <c r="AS298" s="288" t="s">
        <v>329</v>
      </c>
      <c r="AT298" s="292" t="s">
        <v>329</v>
      </c>
      <c r="AU298" s="288" t="s">
        <v>329</v>
      </c>
      <c r="AV298" s="874"/>
      <c r="AW298" s="663"/>
      <c r="AX298" s="663"/>
      <c r="AY298" s="663"/>
      <c r="AZ298" s="664"/>
    </row>
    <row r="299" spans="1:52" s="55" customFormat="1" x14ac:dyDescent="0.25">
      <c r="A299" s="307" t="s">
        <v>617</v>
      </c>
      <c r="B299" s="1018"/>
      <c r="C299" s="1019"/>
      <c r="D299" s="1020"/>
      <c r="E299" s="1021"/>
      <c r="F299" s="502"/>
      <c r="G299" s="503"/>
      <c r="H299" s="1040" t="str">
        <f t="shared" si="51"/>
        <v>NA</v>
      </c>
      <c r="I299" s="1041" t="str">
        <f t="shared" si="51"/>
        <v>NA</v>
      </c>
      <c r="J299" s="1041" t="str">
        <f t="shared" si="51"/>
        <v>NA</v>
      </c>
      <c r="K299" s="1041" t="str">
        <f t="shared" si="51"/>
        <v>NA</v>
      </c>
      <c r="L299" s="1042" t="str">
        <f t="shared" si="51"/>
        <v>NA</v>
      </c>
      <c r="M299" s="289">
        <v>395.3</v>
      </c>
      <c r="N299" s="645">
        <v>5.0699999999999999E-5</v>
      </c>
      <c r="O299" s="645">
        <f>IF(M299="NA","NA",(IF(N299="NA","NA",((((28.97+M299)/(28.97*M299))^0.5)*(10^-3)*(Data!$D$50^1.75)/((2*(20.1^(1/3)))^2)))))</f>
        <v>0.14907647275152078</v>
      </c>
      <c r="P299" s="637">
        <f>10^7.01</f>
        <v>10232929.922807546</v>
      </c>
      <c r="Q299" s="629">
        <f>IF($P299="NA","NA",(0.617*Data!$D$9*$P299/100)/(1+Data!$D$15*$P299*0.000000617))</f>
        <v>189411.5328711677</v>
      </c>
      <c r="R299" s="629">
        <f t="shared" si="48"/>
        <v>189411.5328711677</v>
      </c>
      <c r="S299" s="290">
        <v>1</v>
      </c>
      <c r="T299" s="290">
        <f t="shared" si="49"/>
        <v>1</v>
      </c>
      <c r="U299" s="847">
        <v>4.51</v>
      </c>
      <c r="V299" s="860">
        <f>IF(Data!$D$69="",E299,IF(P299="NA","NA",(0.617*Data!$D$69*P299/100)/(1+Data!$D$15*P299*0.000000617)))</f>
        <v>126274.35524744513</v>
      </c>
      <c r="W299" s="645">
        <f>IF(OR(Q299="NA",Q299="",V299="NA",V299=""),"NA",(1+(V299/Q299)^1.5*((1-Data!$D$75)/(1-Data!$D$18))^1.5*(Data!$D$71/Data!$D$14)^1.5*(Data!$D$73/Data!$D$72)*(1/(39.37*Data!$D$72))^0.25))</f>
        <v>3.8303093677397895</v>
      </c>
      <c r="X299" s="645">
        <f>IF(W299="NA","NA",0.15*Data!$D$71*(1-Data!$D$75)*V299*((13.12*Data!$D$73)^(0.112*LN(Data!$D$71*(1-Data!$D$75)*V299)+1.38))/(W299*Data!$D$81))</f>
        <v>1307876737.9593577</v>
      </c>
      <c r="Y299" s="847">
        <f>IF(OR(W299="NA",W299="",Data!$D$91="NA",Data!$D$91=""),"NA",W299*Data!$D$91)</f>
        <v>6.8495741227413927</v>
      </c>
      <c r="Z299" s="847">
        <f>IF(OR(W299="NA",W299="",Data!$D$91="NA",Data!$D$91=""),"NA",IF(Data!$D$68&lt;X299,W299*X299/Data!$D$68*Data!$D$91,W299*Data!$D$91))</f>
        <v>44791993.300309211</v>
      </c>
      <c r="AA299" s="853"/>
      <c r="AB299" s="710" t="s">
        <v>329</v>
      </c>
      <c r="AC299" s="710" t="s">
        <v>329</v>
      </c>
      <c r="AD299" s="292" t="s">
        <v>329</v>
      </c>
      <c r="AE299" s="287" t="s">
        <v>329</v>
      </c>
      <c r="AF299" s="287" t="s">
        <v>329</v>
      </c>
      <c r="AG299" s="288" t="s">
        <v>329</v>
      </c>
      <c r="AH299" s="696" t="s">
        <v>329</v>
      </c>
      <c r="AI299" s="689" t="s">
        <v>329</v>
      </c>
      <c r="AJ299" s="287" t="s">
        <v>329</v>
      </c>
      <c r="AK299" s="288" t="s">
        <v>329</v>
      </c>
      <c r="AL299" s="786"/>
      <c r="AM299" s="815"/>
      <c r="AN299" s="1037"/>
      <c r="AO299" s="1049"/>
      <c r="AP299" s="287" t="s">
        <v>329</v>
      </c>
      <c r="AQ299" s="689" t="s">
        <v>329</v>
      </c>
      <c r="AR299" s="292" t="s">
        <v>329</v>
      </c>
      <c r="AS299" s="288" t="s">
        <v>329</v>
      </c>
      <c r="AT299" s="292" t="s">
        <v>329</v>
      </c>
      <c r="AU299" s="288" t="s">
        <v>329</v>
      </c>
      <c r="AV299" s="874"/>
      <c r="AW299" s="663"/>
      <c r="AX299" s="663"/>
      <c r="AY299" s="663"/>
      <c r="AZ299" s="664"/>
    </row>
    <row r="300" spans="1:52" s="55" customFormat="1" x14ac:dyDescent="0.25">
      <c r="A300" s="307" t="s">
        <v>618</v>
      </c>
      <c r="B300" s="1018"/>
      <c r="C300" s="1019"/>
      <c r="D300" s="1020"/>
      <c r="E300" s="1021"/>
      <c r="F300" s="502"/>
      <c r="G300" s="503"/>
      <c r="H300" s="1040" t="str">
        <f t="shared" si="51"/>
        <v>NA</v>
      </c>
      <c r="I300" s="1041" t="str">
        <f t="shared" si="51"/>
        <v>NA</v>
      </c>
      <c r="J300" s="1041" t="str">
        <f t="shared" si="51"/>
        <v>NA</v>
      </c>
      <c r="K300" s="1041" t="str">
        <f t="shared" si="51"/>
        <v>NA</v>
      </c>
      <c r="L300" s="1042" t="str">
        <f t="shared" si="51"/>
        <v>NA</v>
      </c>
      <c r="M300" s="289">
        <v>429.77</v>
      </c>
      <c r="N300" s="645">
        <v>1.1E-5</v>
      </c>
      <c r="O300" s="645">
        <f>IF(M300="NA","NA",(IF(N300="NA","NA",((((28.97+M300)/(28.97*M300))^0.5)*(10^-3)*(Data!$D$50^1.75)/((2*(20.1^(1/3)))^2)))))</f>
        <v>0.14866769588457515</v>
      </c>
      <c r="P300" s="637">
        <f>10^7.34</f>
        <v>21877616.239495546</v>
      </c>
      <c r="Q300" s="629">
        <f>IF($P300="NA","NA",(0.617*Data!$D$9*$P300/100)/(1+Data!$D$15*$P300*0.000000617))</f>
        <v>404954.67659306258</v>
      </c>
      <c r="R300" s="629">
        <f t="shared" si="48"/>
        <v>404954.67659306258</v>
      </c>
      <c r="S300" s="290">
        <v>1</v>
      </c>
      <c r="T300" s="290">
        <f t="shared" si="49"/>
        <v>1</v>
      </c>
      <c r="U300" s="645">
        <v>0.22</v>
      </c>
      <c r="V300" s="860">
        <f>IF(Data!$D$69="",E300,IF(P300="NA","NA",(0.617*Data!$D$69*P300/100)/(1+Data!$D$15*P300*0.000000617)))</f>
        <v>269969.78439537506</v>
      </c>
      <c r="W300" s="645">
        <f>IF(OR(Q300="NA",Q300="",V300="NA",V300=""),"NA",(1+(V300/Q300)^1.5*((1-Data!$D$75)/(1-Data!$D$18))^1.5*(Data!$D$71/Data!$D$14)^1.5*(Data!$D$73/Data!$D$72)*(1/(39.37*Data!$D$72))^0.25))</f>
        <v>3.8303093677397895</v>
      </c>
      <c r="X300" s="645">
        <f>IF(W300="NA","NA",0.15*Data!$D$71*(1-Data!$D$75)*V300*((13.12*Data!$D$73)^(0.112*LN(Data!$D$71*(1-Data!$D$75)*V300)+1.38))/(W300*Data!$D$81))</f>
        <v>3992011402.9860058</v>
      </c>
      <c r="Y300" s="847">
        <f>IF(OR(W300="NA",W300="",Data!$D$91="NA",Data!$D$91=""),"NA",W300*Data!$D$91)</f>
        <v>6.8495741227413927</v>
      </c>
      <c r="Z300" s="847">
        <f>IF(OR(W300="NA",W300="",Data!$D$91="NA",Data!$D$91=""),"NA",IF(Data!$D$68&lt;X300,W300*X300/Data!$D$68*Data!$D$91,W300*Data!$D$91))</f>
        <v>136717890.01790753</v>
      </c>
      <c r="AA300" s="853"/>
      <c r="AB300" s="710" t="s">
        <v>329</v>
      </c>
      <c r="AC300" s="710" t="s">
        <v>329</v>
      </c>
      <c r="AD300" s="292" t="s">
        <v>329</v>
      </c>
      <c r="AE300" s="287" t="s">
        <v>329</v>
      </c>
      <c r="AF300" s="287" t="s">
        <v>329</v>
      </c>
      <c r="AG300" s="288" t="s">
        <v>329</v>
      </c>
      <c r="AH300" s="696" t="s">
        <v>329</v>
      </c>
      <c r="AI300" s="689" t="s">
        <v>329</v>
      </c>
      <c r="AJ300" s="287" t="s">
        <v>329</v>
      </c>
      <c r="AK300" s="288" t="s">
        <v>329</v>
      </c>
      <c r="AL300" s="786"/>
      <c r="AM300" s="815"/>
      <c r="AN300" s="1037"/>
      <c r="AO300" s="1049"/>
      <c r="AP300" s="287" t="s">
        <v>329</v>
      </c>
      <c r="AQ300" s="689" t="s">
        <v>329</v>
      </c>
      <c r="AR300" s="292" t="s">
        <v>329</v>
      </c>
      <c r="AS300" s="288" t="s">
        <v>329</v>
      </c>
      <c r="AT300" s="292" t="s">
        <v>329</v>
      </c>
      <c r="AU300" s="288" t="s">
        <v>329</v>
      </c>
      <c r="AV300" s="874"/>
      <c r="AW300" s="663"/>
      <c r="AX300" s="663"/>
      <c r="AY300" s="663"/>
      <c r="AZ300" s="664"/>
    </row>
    <row r="301" spans="1:52" s="55" customFormat="1" x14ac:dyDescent="0.25">
      <c r="A301" s="307" t="s">
        <v>619</v>
      </c>
      <c r="B301" s="1018"/>
      <c r="C301" s="1019"/>
      <c r="D301" s="1020"/>
      <c r="E301" s="1021"/>
      <c r="F301" s="502"/>
      <c r="G301" s="503"/>
      <c r="H301" s="1040" t="str">
        <f t="shared" si="51"/>
        <v>NA</v>
      </c>
      <c r="I301" s="1041" t="str">
        <f t="shared" si="51"/>
        <v>NA</v>
      </c>
      <c r="J301" s="1041" t="str">
        <f t="shared" si="51"/>
        <v>NA</v>
      </c>
      <c r="K301" s="1041" t="str">
        <f t="shared" si="51"/>
        <v>NA</v>
      </c>
      <c r="L301" s="1042" t="str">
        <f t="shared" si="51"/>
        <v>NA</v>
      </c>
      <c r="M301" s="289">
        <v>464.2</v>
      </c>
      <c r="N301" s="645">
        <v>8.1130000000000004E-4</v>
      </c>
      <c r="O301" s="645">
        <f>IF(M301="NA","NA",(IF(N301="NA","NA",((((28.97+M301)/(28.97*M301))^0.5)*(10^-3)*(Data!$D$50^1.75)/((2*(20.1^(1/3)))^2)))))</f>
        <v>0.14831910996773687</v>
      </c>
      <c r="P301" s="637">
        <f>10^7.2</f>
        <v>15848931.924611172</v>
      </c>
      <c r="Q301" s="629">
        <f>IF($P301="NA","NA",(0.617*Data!$D$9*$P301/100)/(1+Data!$D$15*$P301*0.000000617))</f>
        <v>293363.72992455278</v>
      </c>
      <c r="R301" s="629">
        <f t="shared" si="48"/>
        <v>293363.72992455278</v>
      </c>
      <c r="S301" s="290">
        <v>1</v>
      </c>
      <c r="T301" s="290">
        <f t="shared" si="49"/>
        <v>1</v>
      </c>
      <c r="U301" s="847">
        <v>0.11</v>
      </c>
      <c r="V301" s="860">
        <f>IF(Data!$D$69="",E301,IF(P301="NA","NA",(0.617*Data!$D$69*P301/100)/(1+Data!$D$15*P301*0.000000617)))</f>
        <v>195575.81994970184</v>
      </c>
      <c r="W301" s="645">
        <f>IF(OR(Q301="NA",Q301="",V301="NA",V301=""),"NA",(1+(V301/Q301)^1.5*((1-Data!$D$75)/(1-Data!$D$18))^1.5*(Data!$D$71/Data!$D$14)^1.5*(Data!$D$73/Data!$D$72)*(1/(39.37*Data!$D$72))^0.25))</f>
        <v>3.8303093677397895</v>
      </c>
      <c r="X301" s="645">
        <f>IF(W301="NA","NA",0.15*Data!$D$71*(1-Data!$D$75)*V301*((13.12*Data!$D$73)^(0.112*LN(Data!$D$71*(1-Data!$D$75)*V301)+1.38))/(W301*Data!$D$81))</f>
        <v>2486527726.3123527</v>
      </c>
      <c r="Y301" s="847">
        <f>IF(OR(W301="NA",W301="",Data!$D$91="NA",Data!$D$91=""),"NA",W301*Data!$D$91)</f>
        <v>6.8495741227413927</v>
      </c>
      <c r="Z301" s="847">
        <f>IF(OR(W301="NA",W301="",Data!$D$91="NA",Data!$D$91=""),"NA",IF(Data!$D$68&lt;X301,W301*X301/Data!$D$68*Data!$D$91,W301*Data!$D$91))</f>
        <v>85158279.848140419</v>
      </c>
      <c r="AA301" s="853"/>
      <c r="AB301" s="710" t="s">
        <v>329</v>
      </c>
      <c r="AC301" s="710" t="s">
        <v>329</v>
      </c>
      <c r="AD301" s="292" t="s">
        <v>329</v>
      </c>
      <c r="AE301" s="287" t="s">
        <v>329</v>
      </c>
      <c r="AF301" s="287" t="s">
        <v>329</v>
      </c>
      <c r="AG301" s="288" t="s">
        <v>329</v>
      </c>
      <c r="AH301" s="696" t="s">
        <v>329</v>
      </c>
      <c r="AI301" s="689" t="s">
        <v>329</v>
      </c>
      <c r="AJ301" s="287" t="s">
        <v>329</v>
      </c>
      <c r="AK301" s="288" t="s">
        <v>329</v>
      </c>
      <c r="AL301" s="786"/>
      <c r="AM301" s="815"/>
      <c r="AN301" s="1037"/>
      <c r="AO301" s="1049"/>
      <c r="AP301" s="287" t="s">
        <v>329</v>
      </c>
      <c r="AQ301" s="689" t="s">
        <v>329</v>
      </c>
      <c r="AR301" s="292" t="s">
        <v>329</v>
      </c>
      <c r="AS301" s="288" t="s">
        <v>329</v>
      </c>
      <c r="AT301" s="292" t="s">
        <v>329</v>
      </c>
      <c r="AU301" s="288" t="s">
        <v>329</v>
      </c>
      <c r="AV301" s="874"/>
      <c r="AW301" s="663"/>
      <c r="AX301" s="663"/>
      <c r="AY301" s="663"/>
      <c r="AZ301" s="664"/>
    </row>
    <row r="302" spans="1:52" s="55" customFormat="1" x14ac:dyDescent="0.25">
      <c r="A302" s="307" t="s">
        <v>620</v>
      </c>
      <c r="B302" s="1018"/>
      <c r="C302" s="1019"/>
      <c r="D302" s="1020"/>
      <c r="E302" s="1021"/>
      <c r="F302" s="502"/>
      <c r="G302" s="503"/>
      <c r="H302" s="1040" t="str">
        <f t="shared" si="51"/>
        <v>NA</v>
      </c>
      <c r="I302" s="1041" t="str">
        <f t="shared" si="51"/>
        <v>NA</v>
      </c>
      <c r="J302" s="1041" t="str">
        <f t="shared" si="51"/>
        <v>NA</v>
      </c>
      <c r="K302" s="1041" t="str">
        <f t="shared" si="51"/>
        <v>NA</v>
      </c>
      <c r="L302" s="1042" t="str">
        <f t="shared" si="51"/>
        <v>NA</v>
      </c>
      <c r="M302" s="289">
        <v>498.7</v>
      </c>
      <c r="N302" s="645">
        <v>2.0570000000000001E-4</v>
      </c>
      <c r="O302" s="645">
        <f>IF(M302="NA","NA",(IF(N302="NA","NA",((((28.97+M302)/(28.97*M302))^0.5)*(10^-3)*(Data!$D$50^1.75)/((2*(20.1^(1/3)))^2)))))</f>
        <v>0.1480174340924108</v>
      </c>
      <c r="P302" s="637">
        <f>10^8.26</f>
        <v>181970085.86099887</v>
      </c>
      <c r="Q302" s="629">
        <f>IF($P302="NA","NA",(0.617*Data!$D$9*$P302/100)/(1+Data!$D$15*$P302*0.000000617))</f>
        <v>3368266.2892870889</v>
      </c>
      <c r="R302" s="629">
        <f t="shared" si="48"/>
        <v>3368266.2892870889</v>
      </c>
      <c r="S302" s="290">
        <v>1</v>
      </c>
      <c r="T302" s="290">
        <f t="shared" si="49"/>
        <v>1</v>
      </c>
      <c r="U302" s="847">
        <v>1E-3</v>
      </c>
      <c r="V302" s="860">
        <f>IF(Data!$D$69="",E302,IF(P302="NA","NA",(0.617*Data!$D$69*P302/100)/(1+Data!$D$15*P302*0.000000617)))</f>
        <v>2245510.8595247259</v>
      </c>
      <c r="W302" s="645">
        <f>IF(OR(Q302="NA",Q302="",V302="NA",V302=""),"NA",(1+(V302/Q302)^1.5*((1-Data!$D$75)/(1-Data!$D$18))^1.5*(Data!$D$71/Data!$D$14)^1.5*(Data!$D$73/Data!$D$72)*(1/(39.37*Data!$D$72))^0.25))</f>
        <v>3.8303093677397895</v>
      </c>
      <c r="X302" s="645">
        <f>IF(W302="NA","NA",0.15*Data!$D$71*(1-Data!$D$75)*V302*((13.12*Data!$D$73)^(0.112*LN(Data!$D$71*(1-Data!$D$75)*V302)+1.38))/(W302*Data!$D$81))</f>
        <v>89591624801.083221</v>
      </c>
      <c r="Y302" s="847">
        <f>IF(OR(W302="NA",W302="",Data!$D$91="NA",Data!$D$91=""),"NA",W302*Data!$D$91)</f>
        <v>6.8495741227413927</v>
      </c>
      <c r="Z302" s="847">
        <f>IF(OR(W302="NA",W302="",Data!$D$91="NA",Data!$D$91=""),"NA",IF(Data!$D$68&lt;X302,W302*X302/Data!$D$68*Data!$D$91,W302*Data!$D$91))</f>
        <v>3068322374.2592778</v>
      </c>
      <c r="AA302" s="853"/>
      <c r="AB302" s="710" t="s">
        <v>329</v>
      </c>
      <c r="AC302" s="710" t="s">
        <v>329</v>
      </c>
      <c r="AD302" s="292" t="s">
        <v>329</v>
      </c>
      <c r="AE302" s="287" t="s">
        <v>329</v>
      </c>
      <c r="AF302" s="287" t="s">
        <v>329</v>
      </c>
      <c r="AG302" s="288" t="s">
        <v>329</v>
      </c>
      <c r="AH302" s="696" t="s">
        <v>329</v>
      </c>
      <c r="AI302" s="689" t="s">
        <v>329</v>
      </c>
      <c r="AJ302" s="287" t="s">
        <v>329</v>
      </c>
      <c r="AK302" s="288" t="s">
        <v>329</v>
      </c>
      <c r="AL302" s="786"/>
      <c r="AM302" s="815"/>
      <c r="AN302" s="1037"/>
      <c r="AO302" s="1049"/>
      <c r="AP302" s="287" t="s">
        <v>329</v>
      </c>
      <c r="AQ302" s="689" t="s">
        <v>329</v>
      </c>
      <c r="AR302" s="292" t="s">
        <v>329</v>
      </c>
      <c r="AS302" s="288" t="s">
        <v>329</v>
      </c>
      <c r="AT302" s="292" t="s">
        <v>329</v>
      </c>
      <c r="AU302" s="288" t="s">
        <v>329</v>
      </c>
      <c r="AV302" s="874"/>
      <c r="AW302" s="663"/>
      <c r="AX302" s="663"/>
      <c r="AY302" s="663"/>
      <c r="AZ302" s="664"/>
    </row>
    <row r="303" spans="1:52" s="55" customFormat="1" x14ac:dyDescent="0.25">
      <c r="A303" s="307" t="s">
        <v>621</v>
      </c>
      <c r="B303" s="1018"/>
      <c r="C303" s="1019"/>
      <c r="D303" s="1020"/>
      <c r="E303" s="1021"/>
      <c r="F303" s="502"/>
      <c r="G303" s="503"/>
      <c r="H303" s="1040" t="str">
        <f t="shared" si="51"/>
        <v>NA</v>
      </c>
      <c r="I303" s="1041" t="str">
        <f t="shared" si="51"/>
        <v>NA</v>
      </c>
      <c r="J303" s="1041" t="str">
        <f t="shared" si="51"/>
        <v>NA</v>
      </c>
      <c r="K303" s="1041">
        <f t="shared" si="51"/>
        <v>6.9999999999999994E-5</v>
      </c>
      <c r="L303" s="1042">
        <f t="shared" si="51"/>
        <v>15</v>
      </c>
      <c r="M303" s="289">
        <v>257.89999999999998</v>
      </c>
      <c r="N303" s="645">
        <v>3.3E-4</v>
      </c>
      <c r="O303" s="645">
        <v>2.2200000000000001E-2</v>
      </c>
      <c r="P303" s="637">
        <f>10^5.58</f>
        <v>380189.39632056188</v>
      </c>
      <c r="Q303" s="629">
        <f>IF($P303="NA","NA",(0.617*Data!$D$9*$P303/100)/(1+Data!$D$15*$P303*0.000000617))</f>
        <v>7037.3057258936005</v>
      </c>
      <c r="R303" s="629">
        <f t="shared" si="43"/>
        <v>7037.3057258936005</v>
      </c>
      <c r="S303" s="290">
        <v>1</v>
      </c>
      <c r="T303" s="290">
        <f t="shared" si="44"/>
        <v>1</v>
      </c>
      <c r="U303" s="847">
        <v>420</v>
      </c>
      <c r="V303" s="860">
        <f>IF(Data!$D$69="",E303,IF(P303="NA","NA",(0.617*Data!$D$69*P303/100)/(1+Data!$D$15*P303*0.000000617)))</f>
        <v>4691.5371505957337</v>
      </c>
      <c r="W303" s="645">
        <f>IF(OR(Q303="NA",Q303="",V303="NA",V303=""),"NA",(1+(V303/Q303)^1.5*((1-Data!$D$75)/(1-Data!$D$18))^1.5*(Data!$D$71/Data!$D$14)^1.5*(Data!$D$73/Data!$D$72)*(1/(39.37*Data!$D$72))^0.25))</f>
        <v>3.8303093677397895</v>
      </c>
      <c r="X303" s="645">
        <f>IF(W303="NA","NA",0.15*Data!$D$71*(1-Data!$D$75)*V303*((13.12*Data!$D$73)^(0.112*LN(Data!$D$71*(1-Data!$D$75)*V303)+1.38))/(W303*Data!$D$81))</f>
        <v>10387841.91921681</v>
      </c>
      <c r="Y303" s="847">
        <f>IF(OR(W303="NA",W303="",Data!$D$91="NA",Data!$D$91=""),"NA",W303*Data!$D$91)</f>
        <v>6.8495741227413927</v>
      </c>
      <c r="Z303" s="847">
        <f>IF(OR(W303="NA",W303="",Data!$D$91="NA",Data!$D$91=""),"NA",IF(Data!$D$68&lt;X303,W303*X303/Data!$D$68*Data!$D$91,W303*Data!$D$91))</f>
        <v>355761.46600497875</v>
      </c>
      <c r="AA303" s="853"/>
      <c r="AB303" s="710" t="s">
        <v>329</v>
      </c>
      <c r="AC303" s="710" t="s">
        <v>329</v>
      </c>
      <c r="AD303" s="292" t="s">
        <v>329</v>
      </c>
      <c r="AE303" s="287" t="s">
        <v>329</v>
      </c>
      <c r="AF303" s="287" t="s">
        <v>329</v>
      </c>
      <c r="AG303" s="288" t="s">
        <v>329</v>
      </c>
      <c r="AH303" s="696" t="s">
        <v>329</v>
      </c>
      <c r="AI303" s="689" t="s">
        <v>329</v>
      </c>
      <c r="AJ303" s="287" t="s">
        <v>329</v>
      </c>
      <c r="AK303" s="288" t="s">
        <v>329</v>
      </c>
      <c r="AL303" s="785">
        <v>0.2</v>
      </c>
      <c r="AM303" s="287">
        <v>1.4E-2</v>
      </c>
      <c r="AN303" s="1037">
        <v>1.05</v>
      </c>
      <c r="AO303" s="1049">
        <v>0.03</v>
      </c>
      <c r="AP303" s="825">
        <v>6.9999999999999994E-5</v>
      </c>
      <c r="AQ303" s="689" t="s">
        <v>329</v>
      </c>
      <c r="AR303" s="292" t="s">
        <v>329</v>
      </c>
      <c r="AS303" s="288" t="s">
        <v>329</v>
      </c>
      <c r="AT303" s="786">
        <v>15</v>
      </c>
      <c r="AU303" s="926">
        <v>200</v>
      </c>
      <c r="AV303" s="874"/>
      <c r="AW303" s="663"/>
      <c r="AX303" s="663"/>
      <c r="AY303" s="663"/>
      <c r="AZ303" s="664"/>
    </row>
    <row r="304" spans="1:52" s="55" customFormat="1" x14ac:dyDescent="0.25">
      <c r="A304" s="307" t="s">
        <v>622</v>
      </c>
      <c r="B304" s="1018"/>
      <c r="C304" s="1019"/>
      <c r="D304" s="1020"/>
      <c r="E304" s="1021"/>
      <c r="F304" s="502"/>
      <c r="G304" s="503"/>
      <c r="H304" s="1040">
        <f t="shared" si="51"/>
        <v>5</v>
      </c>
      <c r="I304" s="1041">
        <f t="shared" si="51"/>
        <v>0.28000000000000003</v>
      </c>
      <c r="J304" s="1041">
        <f t="shared" si="51"/>
        <v>0.28000000000000003</v>
      </c>
      <c r="K304" s="1041" t="str">
        <f t="shared" si="51"/>
        <v>NA</v>
      </c>
      <c r="L304" s="1042">
        <f t="shared" si="51"/>
        <v>0.63</v>
      </c>
      <c r="M304" s="289">
        <v>200.7</v>
      </c>
      <c r="N304" s="645">
        <v>1.7000000000000001E-4</v>
      </c>
      <c r="O304" s="645">
        <f>IF(M304="NA","NA",(IF(N304="NA","NA",((((28.97+M304)/(28.97*M304))^0.5)*(10^-3)*(Data!$D$50^1.75)/((2*(20.1^(1/3)))^2)))))</f>
        <v>0.15393231564168047</v>
      </c>
      <c r="P304" s="637">
        <f>10^4.08</f>
        <v>12022.644346174151</v>
      </c>
      <c r="Q304" s="629">
        <f>IF($P304="NA","NA",(0.617*Data!$D$9*$P304/100)/(1+Data!$D$15*$P304*0.000000617))</f>
        <v>222.53914684768353</v>
      </c>
      <c r="R304" s="629">
        <f t="shared" si="43"/>
        <v>222.53914684768353</v>
      </c>
      <c r="S304" s="290">
        <v>1</v>
      </c>
      <c r="T304" s="290">
        <f t="shared" si="44"/>
        <v>1</v>
      </c>
      <c r="U304" s="847">
        <v>40000</v>
      </c>
      <c r="V304" s="860">
        <f>IF(Data!$D$69="",E304,IF(P304="NA","NA",(0.617*Data!$D$69*P304/100)/(1+Data!$D$15*P304*0.000000617)))</f>
        <v>148.35943123178902</v>
      </c>
      <c r="W304" s="645">
        <f>IF(OR(Q304="NA",Q304="",V304="NA",V304=""),"NA",(1+(V304/Q304)^1.5*((1-Data!$D$75)/(1-Data!$D$18))^1.5*(Data!$D$71/Data!$D$14)^1.5*(Data!$D$73/Data!$D$72)*(1/(39.37*Data!$D$72))^0.25))</f>
        <v>3.8303093677397895</v>
      </c>
      <c r="X304" s="645">
        <f>IF(W304="NA","NA",0.15*Data!$D$71*(1-Data!$D$75)*V304*((13.12*Data!$D$73)^(0.112*LN(Data!$D$71*(1-Data!$D$75)*V304)+1.38))/(W304*Data!$D$81))</f>
        <v>65115.535286156563</v>
      </c>
      <c r="Y304" s="847">
        <f>IF(OR(W304="NA",W304="",Data!$D$91="NA",Data!$D$91=""),"NA",W304*Data!$D$91)</f>
        <v>6.8495741227413927</v>
      </c>
      <c r="Z304" s="847">
        <f>IF(OR(W304="NA",W304="",Data!$D$91="NA",Data!$D$91=""),"NA",IF(Data!$D$68&lt;X304,W304*X304/Data!$D$68*Data!$D$91,W304*Data!$D$91))</f>
        <v>2230.06842742256</v>
      </c>
      <c r="AA304" s="853"/>
      <c r="AB304" s="710" t="s">
        <v>329</v>
      </c>
      <c r="AC304" s="710" t="s">
        <v>329</v>
      </c>
      <c r="AD304" s="292" t="s">
        <v>329</v>
      </c>
      <c r="AE304" s="287" t="s">
        <v>329</v>
      </c>
      <c r="AF304" s="287" t="s">
        <v>329</v>
      </c>
      <c r="AG304" s="288" t="s">
        <v>329</v>
      </c>
      <c r="AH304" s="698">
        <v>5</v>
      </c>
      <c r="AI304" s="886">
        <v>0.28000000000000003</v>
      </c>
      <c r="AJ304" s="287" t="s">
        <v>329</v>
      </c>
      <c r="AK304" s="288" t="s">
        <v>329</v>
      </c>
      <c r="AL304" s="785">
        <v>0.2</v>
      </c>
      <c r="AM304" s="287">
        <v>1.4E-2</v>
      </c>
      <c r="AN304" s="1037">
        <v>1.05</v>
      </c>
      <c r="AO304" s="1049">
        <v>0.03</v>
      </c>
      <c r="AP304" s="287" t="s">
        <v>329</v>
      </c>
      <c r="AQ304" s="689" t="s">
        <v>329</v>
      </c>
      <c r="AR304" s="292" t="s">
        <v>329</v>
      </c>
      <c r="AS304" s="288" t="s">
        <v>329</v>
      </c>
      <c r="AT304" s="784">
        <v>0.63</v>
      </c>
      <c r="AU304" s="927">
        <v>2.5</v>
      </c>
      <c r="AV304" s="874"/>
      <c r="AW304" s="663"/>
      <c r="AX304" s="663"/>
      <c r="AY304" s="663"/>
      <c r="AZ304" s="664"/>
    </row>
    <row r="305" spans="1:52" s="55" customFormat="1" x14ac:dyDescent="0.25">
      <c r="A305" s="307" t="s">
        <v>623</v>
      </c>
      <c r="B305" s="1018"/>
      <c r="C305" s="1019"/>
      <c r="D305" s="1020"/>
      <c r="E305" s="1021"/>
      <c r="F305" s="502"/>
      <c r="G305" s="503"/>
      <c r="H305" s="1040">
        <f t="shared" si="51"/>
        <v>10</v>
      </c>
      <c r="I305" s="1041">
        <f t="shared" si="51"/>
        <v>0.57999999999999996</v>
      </c>
      <c r="J305" s="1041">
        <f t="shared" si="51"/>
        <v>0.57999999999999996</v>
      </c>
      <c r="K305" s="1041" t="str">
        <f t="shared" si="51"/>
        <v>NA</v>
      </c>
      <c r="L305" s="1042">
        <f t="shared" si="51"/>
        <v>0.5</v>
      </c>
      <c r="M305" s="289">
        <v>232.2</v>
      </c>
      <c r="N305" s="645">
        <v>1.13E-5</v>
      </c>
      <c r="O305" s="645">
        <f>IF(M305="NA","NA",(IF(N305="NA","NA",((((28.97+M305)/(28.97*M305))^0.5)*(10^-3)*(Data!$D$50^1.75)/((2*(20.1^(1/3)))^2)))))</f>
        <v>0.15260961281023519</v>
      </c>
      <c r="P305" s="637">
        <f>10^3.2</f>
        <v>1584.8931924611156</v>
      </c>
      <c r="Q305" s="629">
        <f>IF($P305="NA","NA",(0.617*Data!$D$9*$P305/100)/(1+Data!$D$15*$P305*0.000000617))</f>
        <v>29.336372992455249</v>
      </c>
      <c r="R305" s="629">
        <f t="shared" si="43"/>
        <v>29.336372992455249</v>
      </c>
      <c r="S305" s="290">
        <v>1</v>
      </c>
      <c r="T305" s="290">
        <f t="shared" si="44"/>
        <v>1</v>
      </c>
      <c r="U305" s="847">
        <v>407000</v>
      </c>
      <c r="V305" s="860">
        <f>IF(Data!$D$69="",E305,IF(P305="NA","NA",(0.617*Data!$D$69*P305/100)/(1+Data!$D$15*P305*0.000000617)))</f>
        <v>19.557581994970167</v>
      </c>
      <c r="W305" s="645">
        <f>IF(OR(Q305="NA",Q305="",V305="NA",V305=""),"NA",(1+(V305/Q305)^1.5*((1-Data!$D$75)/(1-Data!$D$18))^1.5*(Data!$D$71/Data!$D$14)^1.5*(Data!$D$73/Data!$D$72)*(1/(39.37*Data!$D$72))^0.25))</f>
        <v>3.8303093677397904</v>
      </c>
      <c r="X305" s="645">
        <f>IF(W305="NA","NA",0.15*Data!$D$71*(1-Data!$D$75)*V305*((13.12*Data!$D$73)^(0.112*LN(Data!$D$71*(1-Data!$D$75)*V305)+1.38))/(W305*Data!$D$81))</f>
        <v>3321.6310722049966</v>
      </c>
      <c r="Y305" s="847">
        <f>IF(OR(W305="NA",W305="",Data!$D$91="NA",Data!$D$91=""),"NA",W305*Data!$D$91)</f>
        <v>6.8495741227413944</v>
      </c>
      <c r="Z305" s="847">
        <f>IF(OR(W305="NA",W305="",Data!$D$91="NA",Data!$D$91=""),"NA",IF(Data!$D$68&lt;X305,W305*X305/Data!$D$68*Data!$D$91,W305*Data!$D$91))</f>
        <v>113.75879118734548</v>
      </c>
      <c r="AA305" s="853"/>
      <c r="AB305" s="710" t="s">
        <v>329</v>
      </c>
      <c r="AC305" s="710" t="s">
        <v>329</v>
      </c>
      <c r="AD305" s="292" t="s">
        <v>329</v>
      </c>
      <c r="AE305" s="287" t="s">
        <v>329</v>
      </c>
      <c r="AF305" s="287" t="s">
        <v>329</v>
      </c>
      <c r="AG305" s="288" t="s">
        <v>329</v>
      </c>
      <c r="AH305" s="698">
        <v>10</v>
      </c>
      <c r="AI305" s="886">
        <v>0.57999999999999996</v>
      </c>
      <c r="AJ305" s="287" t="s">
        <v>329</v>
      </c>
      <c r="AK305" s="288" t="s">
        <v>329</v>
      </c>
      <c r="AL305" s="785">
        <v>0.2</v>
      </c>
      <c r="AM305" s="287">
        <v>1.4E-2</v>
      </c>
      <c r="AN305" s="1037">
        <v>1.05</v>
      </c>
      <c r="AO305" s="1049">
        <v>0.03</v>
      </c>
      <c r="AP305" s="287" t="s">
        <v>329</v>
      </c>
      <c r="AQ305" s="689" t="s">
        <v>329</v>
      </c>
      <c r="AR305" s="292" t="s">
        <v>329</v>
      </c>
      <c r="AS305" s="288" t="s">
        <v>329</v>
      </c>
      <c r="AT305" s="785">
        <v>0.5</v>
      </c>
      <c r="AU305" s="926">
        <v>2</v>
      </c>
      <c r="AV305" s="874"/>
      <c r="AW305" s="663"/>
      <c r="AX305" s="663"/>
      <c r="AY305" s="663"/>
      <c r="AZ305" s="664"/>
    </row>
    <row r="306" spans="1:52" s="55" customFormat="1" x14ac:dyDescent="0.25">
      <c r="A306" s="307" t="s">
        <v>624</v>
      </c>
      <c r="B306" s="1018"/>
      <c r="C306" s="1019"/>
      <c r="D306" s="1020"/>
      <c r="E306" s="1021"/>
      <c r="F306" s="502"/>
      <c r="G306" s="503"/>
      <c r="H306" s="1040">
        <f t="shared" si="51"/>
        <v>1.2</v>
      </c>
      <c r="I306" s="1041">
        <f t="shared" si="51"/>
        <v>0.53</v>
      </c>
      <c r="J306" s="1041">
        <f t="shared" si="51"/>
        <v>0.53</v>
      </c>
      <c r="K306" s="1041" t="str">
        <f t="shared" si="51"/>
        <v>NA</v>
      </c>
      <c r="L306" s="1042">
        <f t="shared" si="51"/>
        <v>16</v>
      </c>
      <c r="M306" s="289">
        <v>266.5</v>
      </c>
      <c r="N306" s="645">
        <v>1.98E-3</v>
      </c>
      <c r="O306" s="645">
        <v>2.1399999999999999E-2</v>
      </c>
      <c r="P306" s="637">
        <f>10^4.11</f>
        <v>12882.49551693136</v>
      </c>
      <c r="Q306" s="629">
        <f>IF($P306="NA","NA",(0.617*Data!$D$9*$P306/100)/(1+Data!$D$15*$P306*0.000000617))</f>
        <v>238.45499201839945</v>
      </c>
      <c r="R306" s="629">
        <f t="shared" si="43"/>
        <v>238.45499201839945</v>
      </c>
      <c r="S306" s="290">
        <v>1</v>
      </c>
      <c r="T306" s="290">
        <f t="shared" si="44"/>
        <v>1</v>
      </c>
      <c r="U306" s="847">
        <v>230</v>
      </c>
      <c r="V306" s="860">
        <f>IF(Data!$D$69="",E306,IF(P306="NA","NA",(0.617*Data!$D$69*P306/100)/(1+Data!$D$15*P306*0.000000617)))</f>
        <v>158.96999467893298</v>
      </c>
      <c r="W306" s="645">
        <f>IF(OR(Q306="NA",Q306="",V306="NA",V306=""),"NA",(1+(V306/Q306)^1.5*((1-Data!$D$75)/(1-Data!$D$18))^1.5*(Data!$D$71/Data!$D$14)^1.5*(Data!$D$73/Data!$D$72)*(1/(39.37*Data!$D$72))^0.25))</f>
        <v>3.8303093677397904</v>
      </c>
      <c r="X306" s="645">
        <f>IF(W306="NA","NA",0.15*Data!$D$71*(1-Data!$D$75)*V306*((13.12*Data!$D$73)^(0.112*LN(Data!$D$71*(1-Data!$D$75)*V306)+1.38))/(W306*Data!$D$81))</f>
        <v>72067.827339711512</v>
      </c>
      <c r="Y306" s="847">
        <f>IF(OR(W306="NA",W306="",Data!$D$91="NA",Data!$D$91=""),"NA",W306*Data!$D$91)</f>
        <v>6.8495741227413944</v>
      </c>
      <c r="Z306" s="847">
        <f>IF(OR(W306="NA",W306="",Data!$D$91="NA",Data!$D$91=""),"NA",IF(Data!$D$68&lt;X306,W306*X306/Data!$D$68*Data!$D$91,W306*Data!$D$91))</f>
        <v>2468.1696261414136</v>
      </c>
      <c r="AA306" s="853"/>
      <c r="AB306" s="710" t="s">
        <v>329</v>
      </c>
      <c r="AC306" s="710" t="s">
        <v>329</v>
      </c>
      <c r="AD306" s="292" t="s">
        <v>329</v>
      </c>
      <c r="AE306" s="287" t="s">
        <v>329</v>
      </c>
      <c r="AF306" s="287" t="s">
        <v>329</v>
      </c>
      <c r="AG306" s="288" t="s">
        <v>329</v>
      </c>
      <c r="AH306" s="835">
        <v>1.2</v>
      </c>
      <c r="AI306" s="886">
        <v>0.53</v>
      </c>
      <c r="AJ306" s="287" t="s">
        <v>329</v>
      </c>
      <c r="AK306" s="288" t="s">
        <v>329</v>
      </c>
      <c r="AL306" s="785">
        <v>0.2</v>
      </c>
      <c r="AM306" s="287">
        <v>1.4E-2</v>
      </c>
      <c r="AN306" s="1037">
        <v>1.05</v>
      </c>
      <c r="AO306" s="1049">
        <v>0.03</v>
      </c>
      <c r="AP306" s="287" t="s">
        <v>329</v>
      </c>
      <c r="AQ306" s="689" t="s">
        <v>329</v>
      </c>
      <c r="AR306" s="292" t="s">
        <v>329</v>
      </c>
      <c r="AS306" s="288" t="s">
        <v>329</v>
      </c>
      <c r="AT306" s="786">
        <v>16</v>
      </c>
      <c r="AU306" s="926">
        <v>62</v>
      </c>
      <c r="AV306" s="874"/>
      <c r="AW306" s="663"/>
      <c r="AX306" s="663"/>
      <c r="AY306" s="663"/>
      <c r="AZ306" s="664"/>
    </row>
    <row r="307" spans="1:52" s="55" customFormat="1" x14ac:dyDescent="0.25">
      <c r="A307" s="307" t="s">
        <v>625</v>
      </c>
      <c r="B307" s="1018"/>
      <c r="C307" s="1019"/>
      <c r="D307" s="1020"/>
      <c r="E307" s="1021"/>
      <c r="F307" s="502"/>
      <c r="G307" s="503"/>
      <c r="H307" s="1040">
        <f t="shared" si="51"/>
        <v>1.4</v>
      </c>
      <c r="I307" s="1041">
        <f t="shared" si="51"/>
        <v>8.1000000000000003E-2</v>
      </c>
      <c r="J307" s="1041">
        <f t="shared" si="51"/>
        <v>8.1000000000000003E-2</v>
      </c>
      <c r="K307" s="1041" t="str">
        <f t="shared" si="51"/>
        <v>NA</v>
      </c>
      <c r="L307" s="1042">
        <f t="shared" si="51"/>
        <v>9.9</v>
      </c>
      <c r="M307" s="289">
        <v>299.5</v>
      </c>
      <c r="N307" s="645">
        <v>3.5999999999999999E-3</v>
      </c>
      <c r="O307" s="645">
        <f>IF(M307="NA","NA",(IF(N307="NA","NA",((((28.97+M307)/(28.97*M307))^0.5)*(10^-3)*(Data!$D$50^1.75)/((2*(20.1^(1/3)))^2)))))</f>
        <v>0.15069567756923907</v>
      </c>
      <c r="P307" s="637">
        <f>10^5.76</f>
        <v>575439.93733715697</v>
      </c>
      <c r="Q307" s="629">
        <f>IF($P307="NA","NA",(0.617*Data!$D$9*$P307/100)/(1+Data!$D$15*$P307*0.000000617))</f>
        <v>10651.393240110776</v>
      </c>
      <c r="R307" s="629">
        <f t="shared" si="43"/>
        <v>10651.393240110776</v>
      </c>
      <c r="S307" s="290">
        <v>1</v>
      </c>
      <c r="T307" s="290">
        <f t="shared" si="44"/>
        <v>1</v>
      </c>
      <c r="U307" s="847">
        <v>54</v>
      </c>
      <c r="V307" s="860">
        <f>IF(Data!$D$69="",E307,IF(P307="NA","NA",(0.617*Data!$D$69*P307/100)/(1+Data!$D$15*P307*0.000000617)))</f>
        <v>7100.9288267405173</v>
      </c>
      <c r="W307" s="645">
        <f>IF(OR(Q307="NA",Q307="",V307="NA",V307=""),"NA",(1+(V307/Q307)^1.5*((1-Data!$D$75)/(1-Data!$D$18))^1.5*(Data!$D$71/Data!$D$14)^1.5*(Data!$D$73/Data!$D$72)*(1/(39.37*Data!$D$72))^0.25))</f>
        <v>3.8303093677397895</v>
      </c>
      <c r="X307" s="645">
        <f>IF(W307="NA","NA",0.15*Data!$D$71*(1-Data!$D$75)*V307*((13.12*Data!$D$73)^(0.112*LN(Data!$D$71*(1-Data!$D$75)*V307)+1.38))/(W307*Data!$D$81))</f>
        <v>19092650.295081355</v>
      </c>
      <c r="Y307" s="847">
        <f>IF(OR(W307="NA",W307="",Data!$D$91="NA",Data!$D$91=""),"NA",W307*Data!$D$91)</f>
        <v>6.8495741227413927</v>
      </c>
      <c r="Z307" s="847">
        <f>IF(OR(W307="NA",W307="",Data!$D$91="NA",Data!$D$91=""),"NA",IF(Data!$D$68&lt;X307,W307*X307/Data!$D$68*Data!$D$91,W307*Data!$D$91))</f>
        <v>653882.61697870039</v>
      </c>
      <c r="AA307" s="853"/>
      <c r="AB307" s="710" t="s">
        <v>329</v>
      </c>
      <c r="AC307" s="710" t="s">
        <v>329</v>
      </c>
      <c r="AD307" s="292" t="s">
        <v>329</v>
      </c>
      <c r="AE307" s="287" t="s">
        <v>329</v>
      </c>
      <c r="AF307" s="287" t="s">
        <v>329</v>
      </c>
      <c r="AG307" s="288" t="s">
        <v>329</v>
      </c>
      <c r="AH307" s="835">
        <v>1.4</v>
      </c>
      <c r="AI307" s="900">
        <v>8.1000000000000003E-2</v>
      </c>
      <c r="AJ307" s="287" t="s">
        <v>329</v>
      </c>
      <c r="AK307" s="288" t="s">
        <v>329</v>
      </c>
      <c r="AL307" s="785">
        <v>0.2</v>
      </c>
      <c r="AM307" s="287">
        <v>1.4E-2</v>
      </c>
      <c r="AN307" s="1037">
        <v>1.05</v>
      </c>
      <c r="AO307" s="1049">
        <v>0.03</v>
      </c>
      <c r="AP307" s="287" t="s">
        <v>329</v>
      </c>
      <c r="AQ307" s="689" t="s">
        <v>329</v>
      </c>
      <c r="AR307" s="292" t="s">
        <v>329</v>
      </c>
      <c r="AS307" s="288" t="s">
        <v>329</v>
      </c>
      <c r="AT307" s="785">
        <v>9.9</v>
      </c>
      <c r="AU307" s="926">
        <v>44</v>
      </c>
      <c r="AV307" s="874"/>
      <c r="AW307" s="663"/>
      <c r="AX307" s="663"/>
      <c r="AY307" s="663"/>
      <c r="AZ307" s="664"/>
    </row>
    <row r="308" spans="1:52" s="55" customFormat="1" x14ac:dyDescent="0.25">
      <c r="A308" s="307" t="s">
        <v>626</v>
      </c>
      <c r="B308" s="1020"/>
      <c r="C308" s="1019"/>
      <c r="D308" s="1025"/>
      <c r="E308" s="1025"/>
      <c r="F308" s="502"/>
      <c r="G308" s="503"/>
      <c r="H308" s="1040">
        <f t="shared" si="51"/>
        <v>0.6</v>
      </c>
      <c r="I308" s="1041">
        <f t="shared" si="51"/>
        <v>3.3000000000000002E-2</v>
      </c>
      <c r="J308" s="1041">
        <f t="shared" si="51"/>
        <v>3.3000000000000002E-2</v>
      </c>
      <c r="K308" s="1041" t="str">
        <f t="shared" si="51"/>
        <v>NA</v>
      </c>
      <c r="L308" s="1042">
        <f t="shared" si="51"/>
        <v>4.4000000000000004</v>
      </c>
      <c r="M308" s="289">
        <v>328.4</v>
      </c>
      <c r="N308" s="645">
        <v>2.5999999999999999E-3</v>
      </c>
      <c r="O308" s="645">
        <v>1.5599999999999999E-2</v>
      </c>
      <c r="P308" s="637">
        <f>10^6.04</f>
        <v>1096478.196143186</v>
      </c>
      <c r="Q308" s="629">
        <f>IF($P308="NA","NA",(0.617*Data!$D$9*$P308/100)/(1+Data!$D$15*$P308*0.000000617))</f>
        <v>20295.811410610371</v>
      </c>
      <c r="R308" s="629">
        <f t="shared" si="43"/>
        <v>20295.811410610371</v>
      </c>
      <c r="S308" s="290">
        <v>1</v>
      </c>
      <c r="T308" s="290">
        <f>IF(S308= "NA", "NA", S308)</f>
        <v>1</v>
      </c>
      <c r="U308" s="847">
        <v>31</v>
      </c>
      <c r="V308" s="860">
        <f>IF(Data!$D$69="",E308,IF(P308="NA","NA",(0.617*Data!$D$69*P308/100)/(1+Data!$D$15*P308*0.000000617)))</f>
        <v>13530.540940406914</v>
      </c>
      <c r="W308" s="645">
        <f>IF(OR(Q308="NA",Q308="",V308="NA",V308=""),"NA",(1+(V308/Q308)^1.5*((1-Data!$D$75)/(1-Data!$D$18))^1.5*(Data!$D$71/Data!$D$14)^1.5*(Data!$D$73/Data!$D$72)*(1/(39.37*Data!$D$72))^0.25))</f>
        <v>3.8303093677397895</v>
      </c>
      <c r="X308" s="645">
        <f>IF(W308="NA","NA",0.15*Data!$D$71*(1-Data!$D$75)*V308*((13.12*Data!$D$73)^(0.112*LN(Data!$D$71*(1-Data!$D$75)*V308)+1.38))/(W308*Data!$D$81))</f>
        <v>49211108.956170365</v>
      </c>
      <c r="Y308" s="847">
        <f>IF(OR(W308="NA",W308="",Data!$D$91="NA",Data!$D$91=""),"NA",W308*Data!$D$91)</f>
        <v>6.8495741227413927</v>
      </c>
      <c r="Z308" s="847">
        <f>IF(OR(W308="NA",W308="",Data!$D$91="NA",Data!$D$91=""),"NA",IF(Data!$D$68&lt;X308,W308*X308/Data!$D$68*Data!$D$91,W308*Data!$D$91))</f>
        <v>1685375.6922879587</v>
      </c>
      <c r="AA308" s="853"/>
      <c r="AB308" s="710" t="s">
        <v>329</v>
      </c>
      <c r="AC308" s="710" t="s">
        <v>329</v>
      </c>
      <c r="AD308" s="292" t="s">
        <v>329</v>
      </c>
      <c r="AE308" s="287" t="s">
        <v>329</v>
      </c>
      <c r="AF308" s="287" t="s">
        <v>329</v>
      </c>
      <c r="AG308" s="288" t="s">
        <v>329</v>
      </c>
      <c r="AH308" s="835">
        <v>0.6</v>
      </c>
      <c r="AI308" s="900">
        <v>3.3000000000000002E-2</v>
      </c>
      <c r="AJ308" s="287" t="s">
        <v>329</v>
      </c>
      <c r="AK308" s="288" t="s">
        <v>329</v>
      </c>
      <c r="AL308" s="785">
        <v>0.2</v>
      </c>
      <c r="AM308" s="287">
        <v>1.4E-2</v>
      </c>
      <c r="AN308" s="1037">
        <v>1.05</v>
      </c>
      <c r="AO308" s="1049">
        <v>0.03</v>
      </c>
      <c r="AP308" s="287" t="s">
        <v>329</v>
      </c>
      <c r="AQ308" s="689" t="s">
        <v>329</v>
      </c>
      <c r="AR308" s="292" t="s">
        <v>329</v>
      </c>
      <c r="AS308" s="288" t="s">
        <v>329</v>
      </c>
      <c r="AT308" s="785">
        <v>4.4000000000000004</v>
      </c>
      <c r="AU308" s="926">
        <v>44</v>
      </c>
      <c r="AV308" s="874"/>
      <c r="AW308" s="663"/>
      <c r="AX308" s="663"/>
      <c r="AY308" s="663"/>
      <c r="AZ308" s="664"/>
    </row>
    <row r="309" spans="1:52" s="55" customFormat="1" x14ac:dyDescent="0.25">
      <c r="A309" s="307" t="s">
        <v>627</v>
      </c>
      <c r="B309" s="1020"/>
      <c r="C309" s="1019"/>
      <c r="D309" s="1025"/>
      <c r="E309" s="1025"/>
      <c r="F309" s="502"/>
      <c r="G309" s="503"/>
      <c r="H309" s="1040">
        <f t="shared" si="51"/>
        <v>1700</v>
      </c>
      <c r="I309" s="1041">
        <f t="shared" si="51"/>
        <v>94</v>
      </c>
      <c r="J309" s="1041">
        <f t="shared" si="51"/>
        <v>94</v>
      </c>
      <c r="K309" s="1041" t="str">
        <f t="shared" si="51"/>
        <v>NA</v>
      </c>
      <c r="L309" s="1042">
        <f t="shared" si="51"/>
        <v>30</v>
      </c>
      <c r="M309" s="289">
        <v>376</v>
      </c>
      <c r="N309" s="645">
        <v>0.74</v>
      </c>
      <c r="O309" s="645">
        <v>1.38E-2</v>
      </c>
      <c r="P309" s="637">
        <f>10^7.1</f>
        <v>12589254.117941668</v>
      </c>
      <c r="Q309" s="629">
        <f>IF($P309="NA","NA",(0.617*Data!$D$9*$P309/100)/(1+Data!$D$15*$P309*0.000000617))</f>
        <v>233027.09372310026</v>
      </c>
      <c r="R309" s="629">
        <f t="shared" si="43"/>
        <v>233027.09372310026</v>
      </c>
      <c r="S309" s="290">
        <v>1</v>
      </c>
      <c r="T309" s="290">
        <f>IF(S309= "NA", "NA", S309)</f>
        <v>1</v>
      </c>
      <c r="U309" s="847">
        <v>2.7</v>
      </c>
      <c r="V309" s="860">
        <f>IF(Data!$D$69="",E309,IF(P309="NA","NA",(0.617*Data!$D$69*P309/100)/(1+Data!$D$15*P309*0.000000617)))</f>
        <v>155351.39581540017</v>
      </c>
      <c r="W309" s="645">
        <f>IF(OR(Q309="NA",Q309="",V309="NA",V309=""),"NA",(1+(V309/Q309)^1.5*((1-Data!$D$75)/(1-Data!$D$18))^1.5*(Data!$D$71/Data!$D$14)^1.5*(Data!$D$73/Data!$D$72)*(1/(39.37*Data!$D$72))^0.25))</f>
        <v>3.8303093677397895</v>
      </c>
      <c r="X309" s="645">
        <f>IF(W309="NA","NA",0.15*Data!$D$71*(1-Data!$D$75)*V309*((13.12*Data!$D$73)^(0.112*LN(Data!$D$71*(1-Data!$D$75)*V309)+1.38))/(W309*Data!$D$81))</f>
        <v>1773116447.8849635</v>
      </c>
      <c r="Y309" s="847">
        <f>IF(OR(W309="NA",W309="",Data!$D$91="NA",Data!$D$91=""),"NA",W309*Data!$D$91)</f>
        <v>6.8495741227413927</v>
      </c>
      <c r="Z309" s="847">
        <f>IF(OR(W309="NA",W309="",Data!$D$91="NA",Data!$D$91=""),"NA",IF(Data!$D$68&lt;X309,W309*X309/Data!$D$68*Data!$D$91,W309*Data!$D$91))</f>
        <v>60725462.690199912</v>
      </c>
      <c r="AA309" s="853"/>
      <c r="AB309" s="710" t="s">
        <v>329</v>
      </c>
      <c r="AC309" s="710" t="s">
        <v>329</v>
      </c>
      <c r="AD309" s="292" t="s">
        <v>329</v>
      </c>
      <c r="AE309" s="287" t="s">
        <v>329</v>
      </c>
      <c r="AF309" s="287" t="s">
        <v>329</v>
      </c>
      <c r="AG309" s="288" t="s">
        <v>329</v>
      </c>
      <c r="AH309" s="698">
        <v>1700</v>
      </c>
      <c r="AI309" s="887">
        <v>94</v>
      </c>
      <c r="AJ309" s="287" t="s">
        <v>329</v>
      </c>
      <c r="AK309" s="288" t="s">
        <v>329</v>
      </c>
      <c r="AL309" s="785">
        <v>0.2</v>
      </c>
      <c r="AM309" s="287">
        <v>1.4E-2</v>
      </c>
      <c r="AN309" s="1037">
        <v>1.05</v>
      </c>
      <c r="AO309" s="1049">
        <v>0.03</v>
      </c>
      <c r="AP309" s="287" t="s">
        <v>329</v>
      </c>
      <c r="AQ309" s="689" t="s">
        <v>329</v>
      </c>
      <c r="AR309" s="292" t="s">
        <v>329</v>
      </c>
      <c r="AS309" s="288" t="s">
        <v>329</v>
      </c>
      <c r="AT309" s="786">
        <v>30</v>
      </c>
      <c r="AU309" s="926">
        <v>130</v>
      </c>
      <c r="AV309" s="874"/>
      <c r="AW309" s="663"/>
      <c r="AX309" s="663"/>
      <c r="AY309" s="663"/>
      <c r="AZ309" s="664"/>
    </row>
    <row r="310" spans="1:52" s="55" customFormat="1" ht="13.8" thickBot="1" x14ac:dyDescent="0.3">
      <c r="A310" s="309" t="s">
        <v>628</v>
      </c>
      <c r="B310" s="1033">
        <v>4.32</v>
      </c>
      <c r="C310" s="1034">
        <v>0</v>
      </c>
      <c r="D310" s="1034">
        <v>0</v>
      </c>
      <c r="E310" s="1035"/>
      <c r="F310" s="549"/>
      <c r="G310" s="550"/>
      <c r="H310" s="1043">
        <f t="shared" si="51"/>
        <v>2</v>
      </c>
      <c r="I310" s="1044">
        <f t="shared" si="51"/>
        <v>1.4E-2</v>
      </c>
      <c r="J310" s="1044">
        <f t="shared" si="51"/>
        <v>1.4E-2</v>
      </c>
      <c r="K310" s="1044" t="str">
        <f t="shared" si="51"/>
        <v>NA</v>
      </c>
      <c r="L310" s="1045" t="str">
        <f t="shared" si="51"/>
        <v>NA</v>
      </c>
      <c r="M310" s="303">
        <v>292</v>
      </c>
      <c r="N310" s="647">
        <f>0.00033</f>
        <v>3.3E-4</v>
      </c>
      <c r="O310" s="647">
        <v>1.7500000000000002E-2</v>
      </c>
      <c r="P310" s="640">
        <f>10^6.5</f>
        <v>3162277.6601683851</v>
      </c>
      <c r="Q310" s="640">
        <f>IF($P310="NA","NA",(0.617*Data!$D$9*$P310/100)/(1+Data!$D$15*$P310*0.000000617))</f>
        <v>58533.759489716802</v>
      </c>
      <c r="R310" s="632">
        <f>Q310</f>
        <v>58533.759489716802</v>
      </c>
      <c r="S310" s="304">
        <v>1</v>
      </c>
      <c r="T310" s="304">
        <f>IF(S310= "NA", "NA", S310)</f>
        <v>1</v>
      </c>
      <c r="U310" s="852">
        <v>70</v>
      </c>
      <c r="V310" s="863">
        <f>IF(Data!$D$69="",E310,IF(P310="NA","NA",(0.617*Data!$D$69*P310/100)/(1+Data!$D$15*P310*0.000000617)))</f>
        <v>39022.506326477873</v>
      </c>
      <c r="W310" s="647">
        <f>IF(OR(Q310="NA",Q310="",V310="NA",V310=""),"NA",(1+(V310/Q310)^1.5*((1-Data!$D$75)/(1-Data!$D$18))^1.5*(Data!$D$71/Data!$D$14)^1.5*(Data!$D$73/Data!$D$72)*(1/(39.37*Data!$D$72))^0.25))</f>
        <v>3.8303093677397904</v>
      </c>
      <c r="X310" s="647">
        <f>IF(W310="NA","NA",0.15*Data!$D$71*(1-Data!$D$75)*V310*((13.12*Data!$D$73)^(0.112*LN(Data!$D$71*(1-Data!$D$75)*V310)+1.38))/(W310*Data!$D$81))</f>
        <v>233131507.34572035</v>
      </c>
      <c r="Y310" s="852">
        <f>IF(OR(W310="NA",W310="",Data!$D$91="NA",Data!$D$91=""),"NA",W310*Data!$D$91)</f>
        <v>6.8495741227413944</v>
      </c>
      <c r="Z310" s="647">
        <f>IF(OR(W310="NA",W310="",Data!$D$91="NA",Data!$D$91=""),"NA",IF(Data!$D$68&lt;X310,W310*X310/Data!$D$68*Data!$D$91,W310*Data!$D$91))</f>
        <v>7984257.6995547069</v>
      </c>
      <c r="AA310" s="854"/>
      <c r="AB310" s="771">
        <v>0.5</v>
      </c>
      <c r="AC310" s="771">
        <v>0.5</v>
      </c>
      <c r="AD310" s="301" t="s">
        <v>329</v>
      </c>
      <c r="AE310" s="302">
        <v>1.4E-2</v>
      </c>
      <c r="AF310" s="302" t="s">
        <v>329</v>
      </c>
      <c r="AG310" s="820">
        <v>0.03</v>
      </c>
      <c r="AH310" s="844">
        <v>2</v>
      </c>
      <c r="AI310" s="691">
        <v>1.4E-2</v>
      </c>
      <c r="AJ310" s="1054">
        <v>10</v>
      </c>
      <c r="AK310" s="820">
        <v>0.03</v>
      </c>
      <c r="AL310" s="1048"/>
      <c r="AM310" s="691">
        <v>1.4E-2</v>
      </c>
      <c r="AN310" s="1054"/>
      <c r="AO310" s="820">
        <v>0.03</v>
      </c>
      <c r="AP310" s="302" t="s">
        <v>329</v>
      </c>
      <c r="AQ310" s="691" t="s">
        <v>329</v>
      </c>
      <c r="AR310" s="924">
        <v>4.5999999999999996</v>
      </c>
      <c r="AS310" s="925">
        <v>110</v>
      </c>
      <c r="AT310" s="301" t="s">
        <v>329</v>
      </c>
      <c r="AU310" s="938" t="s">
        <v>329</v>
      </c>
      <c r="AV310" s="876"/>
      <c r="AW310" s="877"/>
      <c r="AX310" s="877"/>
      <c r="AY310" s="877"/>
      <c r="AZ310" s="878"/>
    </row>
    <row r="311" spans="1:52" s="650" customFormat="1" ht="10.199999999999999" x14ac:dyDescent="0.2">
      <c r="A311" s="4"/>
      <c r="B311" s="4"/>
      <c r="C311" s="4"/>
      <c r="D311" s="4"/>
      <c r="E311" s="4"/>
      <c r="F311" s="4"/>
      <c r="G311" s="4"/>
      <c r="H311" s="4"/>
      <c r="I311" s="4"/>
      <c r="J311" s="4"/>
      <c r="K311" s="4"/>
      <c r="L311" s="4"/>
      <c r="M311" s="4" t="s">
        <v>629</v>
      </c>
      <c r="N311" s="4"/>
      <c r="O311" s="655"/>
      <c r="P311" s="4"/>
      <c r="Q311" s="4"/>
    </row>
    <row r="312" spans="1:52" s="650" customFormat="1" ht="10.199999999999999" x14ac:dyDescent="0.2">
      <c r="A312" s="4"/>
      <c r="B312" s="4"/>
      <c r="C312" s="4"/>
      <c r="D312" s="4"/>
      <c r="E312" s="4"/>
      <c r="F312" s="4"/>
      <c r="G312" s="4"/>
      <c r="H312" s="4"/>
      <c r="I312" s="4"/>
      <c r="J312" s="4"/>
      <c r="K312" s="4"/>
      <c r="L312" s="4"/>
      <c r="M312" s="4"/>
      <c r="N312" s="4"/>
      <c r="O312" s="655"/>
      <c r="P312" s="4"/>
      <c r="Q312" s="4"/>
    </row>
    <row r="313" spans="1:52" s="650" customFormat="1" ht="10.199999999999999" x14ac:dyDescent="0.2">
      <c r="A313" s="4"/>
      <c r="B313" s="4"/>
      <c r="C313" s="4"/>
      <c r="D313" s="4"/>
      <c r="E313" s="4"/>
      <c r="F313" s="4"/>
      <c r="G313" s="4"/>
      <c r="H313" s="4"/>
      <c r="I313" s="4"/>
      <c r="J313" s="4"/>
      <c r="K313" s="4"/>
      <c r="L313" s="4"/>
      <c r="M313" s="4"/>
      <c r="N313" s="4"/>
      <c r="O313" s="655"/>
      <c r="P313" s="4"/>
      <c r="Q313" s="4"/>
    </row>
    <row r="314" spans="1:52" s="650" customFormat="1" ht="10.199999999999999" x14ac:dyDescent="0.2">
      <c r="A314" s="4"/>
      <c r="B314" s="4"/>
      <c r="C314" s="4"/>
      <c r="D314" s="4"/>
      <c r="E314" s="4"/>
      <c r="F314" s="4"/>
      <c r="G314" s="4"/>
      <c r="H314" s="4"/>
      <c r="I314" s="4"/>
      <c r="J314" s="4"/>
      <c r="K314" s="4"/>
      <c r="L314" s="4"/>
      <c r="M314" s="4"/>
      <c r="N314" s="4"/>
      <c r="O314" s="655"/>
      <c r="P314" s="4"/>
      <c r="Q314" s="4"/>
      <c r="R314" s="4"/>
      <c r="S314" s="4"/>
      <c r="T314" s="4"/>
      <c r="U314" s="4"/>
      <c r="V314" s="4"/>
      <c r="W314" s="4"/>
      <c r="X314" s="4"/>
      <c r="Y314" s="4"/>
      <c r="Z314" s="4"/>
      <c r="AA314" s="4"/>
      <c r="AB314" s="4"/>
      <c r="AC314" s="4"/>
      <c r="AD314" s="4"/>
      <c r="AE314" s="4"/>
      <c r="AF314" s="4"/>
      <c r="AG314" s="4"/>
    </row>
    <row r="315" spans="1:52" s="650" customFormat="1" ht="10.199999999999999" x14ac:dyDescent="0.2">
      <c r="A315" s="4"/>
      <c r="B315" s="4"/>
      <c r="C315" s="4"/>
      <c r="D315" s="4"/>
      <c r="E315" s="4"/>
      <c r="F315" s="4"/>
      <c r="G315" s="4"/>
      <c r="H315" s="4"/>
      <c r="I315" s="4"/>
      <c r="J315" s="4"/>
      <c r="K315" s="4"/>
      <c r="L315" s="4"/>
      <c r="M315" s="4"/>
      <c r="N315" s="4"/>
      <c r="O315" s="655"/>
      <c r="P315" s="4"/>
      <c r="Q315" s="4"/>
      <c r="R315" s="4"/>
      <c r="S315" s="4"/>
      <c r="T315" s="4"/>
      <c r="U315" s="4"/>
      <c r="V315" s="4"/>
      <c r="W315" s="4"/>
      <c r="X315" s="4"/>
      <c r="Y315" s="4"/>
      <c r="Z315" s="4"/>
      <c r="AA315" s="4"/>
      <c r="AB315" s="4"/>
      <c r="AC315" s="4"/>
      <c r="AD315" s="4"/>
      <c r="AE315" s="4"/>
      <c r="AF315" s="4"/>
      <c r="AG315" s="4"/>
    </row>
    <row r="316" spans="1:52" s="650" customFormat="1" ht="10.199999999999999" x14ac:dyDescent="0.2">
      <c r="A316" s="4"/>
      <c r="B316" s="4"/>
      <c r="C316" s="4"/>
      <c r="D316" s="4"/>
      <c r="E316" s="4"/>
      <c r="F316" s="4"/>
      <c r="G316" s="4"/>
      <c r="H316" s="4"/>
      <c r="I316" s="4"/>
      <c r="J316" s="4"/>
      <c r="K316" s="4"/>
      <c r="L316" s="4"/>
      <c r="M316" s="4"/>
      <c r="N316" s="4"/>
      <c r="O316" s="655"/>
      <c r="P316" s="4"/>
      <c r="Q316" s="4"/>
      <c r="R316" s="4"/>
      <c r="S316" s="4"/>
      <c r="T316" s="4"/>
      <c r="U316" s="4"/>
      <c r="V316" s="4"/>
      <c r="W316" s="4"/>
      <c r="X316" s="4"/>
      <c r="Y316" s="4"/>
      <c r="Z316" s="4"/>
      <c r="AA316" s="4"/>
      <c r="AB316" s="4"/>
      <c r="AC316" s="4"/>
      <c r="AD316" s="4"/>
      <c r="AE316" s="4"/>
      <c r="AF316" s="4"/>
      <c r="AG316" s="4"/>
    </row>
    <row r="317" spans="1:52" s="650" customFormat="1" ht="10.199999999999999" x14ac:dyDescent="0.2">
      <c r="A317" s="4"/>
      <c r="B317" s="4"/>
      <c r="C317" s="4"/>
      <c r="D317" s="4"/>
      <c r="E317" s="4"/>
      <c r="F317" s="4"/>
      <c r="G317" s="4"/>
      <c r="H317" s="4"/>
      <c r="I317" s="4"/>
      <c r="J317" s="4"/>
      <c r="K317" s="4"/>
      <c r="L317" s="4"/>
      <c r="M317" s="4"/>
      <c r="N317" s="4"/>
      <c r="O317" s="655"/>
      <c r="P317" s="4"/>
      <c r="Q317" s="4"/>
      <c r="R317" s="4"/>
      <c r="S317" s="4"/>
      <c r="T317" s="4"/>
      <c r="U317" s="4"/>
      <c r="V317" s="4"/>
      <c r="W317" s="4"/>
      <c r="X317" s="4"/>
      <c r="Y317" s="4"/>
      <c r="Z317" s="4"/>
      <c r="AA317" s="4"/>
      <c r="AB317" s="4"/>
      <c r="AC317" s="4"/>
      <c r="AD317" s="4"/>
      <c r="AE317" s="4"/>
      <c r="AF317" s="4"/>
      <c r="AG317" s="4"/>
    </row>
    <row r="318" spans="1:52" s="650" customFormat="1" ht="10.199999999999999" x14ac:dyDescent="0.2">
      <c r="A318" s="4"/>
      <c r="B318" s="4"/>
      <c r="C318" s="4"/>
      <c r="D318" s="4"/>
      <c r="E318" s="4"/>
      <c r="F318" s="4"/>
      <c r="G318" s="4"/>
      <c r="H318" s="4"/>
      <c r="I318" s="4"/>
      <c r="J318" s="4"/>
      <c r="K318" s="4"/>
      <c r="L318" s="4"/>
      <c r="M318" s="4"/>
      <c r="N318" s="4"/>
      <c r="O318" s="655"/>
      <c r="P318" s="4"/>
      <c r="Q318" s="4"/>
      <c r="R318" s="4"/>
      <c r="S318" s="4"/>
      <c r="T318" s="4"/>
      <c r="U318" s="4"/>
      <c r="V318" s="4"/>
      <c r="W318" s="4"/>
      <c r="X318" s="4"/>
      <c r="Y318" s="4"/>
      <c r="Z318" s="4"/>
      <c r="AA318" s="4"/>
      <c r="AB318" s="4"/>
      <c r="AC318" s="4"/>
      <c r="AD318" s="4"/>
      <c r="AE318" s="4"/>
      <c r="AF318" s="4"/>
      <c r="AG318" s="4"/>
    </row>
    <row r="319" spans="1:52" s="650" customFormat="1" ht="10.199999999999999" x14ac:dyDescent="0.2">
      <c r="A319" s="4"/>
      <c r="B319" s="4"/>
      <c r="C319" s="4"/>
      <c r="D319" s="4"/>
      <c r="E319" s="4"/>
      <c r="F319" s="4"/>
      <c r="G319" s="4"/>
      <c r="H319" s="4"/>
      <c r="I319" s="4"/>
      <c r="J319" s="4"/>
      <c r="K319" s="4"/>
      <c r="L319" s="4"/>
      <c r="M319" s="652"/>
      <c r="N319" s="4"/>
      <c r="O319" s="655"/>
      <c r="P319" s="653"/>
      <c r="Q319" s="653"/>
      <c r="R319" s="654"/>
      <c r="S319" s="4"/>
      <c r="T319" s="4"/>
      <c r="U319" s="655"/>
      <c r="V319" s="655"/>
      <c r="W319" s="655"/>
      <c r="X319" s="655"/>
      <c r="Y319" s="655"/>
      <c r="Z319" s="655"/>
      <c r="AA319" s="4"/>
      <c r="AB319" s="4"/>
      <c r="AC319" s="4"/>
      <c r="AD319" s="4"/>
      <c r="AE319" s="4"/>
      <c r="AF319" s="4"/>
      <c r="AG319" s="4"/>
    </row>
    <row r="320" spans="1:52" s="650" customFormat="1" ht="10.199999999999999" x14ac:dyDescent="0.2">
      <c r="A320" s="4"/>
      <c r="B320" s="4"/>
      <c r="C320" s="656"/>
      <c r="D320" s="4"/>
      <c r="E320" s="4"/>
      <c r="F320" s="4"/>
      <c r="G320" s="4"/>
      <c r="H320" s="4"/>
      <c r="I320" s="35"/>
      <c r="J320" s="4"/>
      <c r="K320" s="4"/>
      <c r="L320" s="4"/>
      <c r="M320" s="4"/>
      <c r="N320" s="4"/>
      <c r="O320" s="655"/>
      <c r="P320" s="653"/>
      <c r="Q320" s="654"/>
      <c r="R320" s="654"/>
      <c r="S320" s="4"/>
      <c r="T320" s="4"/>
      <c r="U320" s="655"/>
      <c r="V320" s="655"/>
      <c r="W320" s="655"/>
      <c r="X320" s="655"/>
      <c r="Y320" s="655"/>
      <c r="Z320" s="655"/>
      <c r="AA320" s="4"/>
      <c r="AB320" s="4"/>
      <c r="AC320" s="4"/>
      <c r="AD320" s="4"/>
      <c r="AE320" s="4"/>
      <c r="AF320" s="4"/>
      <c r="AG320" s="4"/>
    </row>
    <row r="321" spans="1:52" s="650" customFormat="1" ht="10.199999999999999" x14ac:dyDescent="0.2">
      <c r="A321" s="4"/>
      <c r="B321" s="4"/>
      <c r="C321" s="4"/>
      <c r="D321" s="4"/>
      <c r="E321" s="4"/>
      <c r="F321" s="4"/>
      <c r="G321" s="4"/>
      <c r="H321" s="4"/>
      <c r="I321" s="35"/>
      <c r="J321" s="4"/>
      <c r="K321" s="4"/>
      <c r="L321" s="4"/>
      <c r="M321" s="4"/>
      <c r="N321" s="4"/>
      <c r="O321" s="655"/>
      <c r="P321" s="653"/>
      <c r="Q321" s="654"/>
      <c r="R321" s="654"/>
      <c r="S321" s="4"/>
      <c r="T321" s="4"/>
      <c r="U321" s="655"/>
      <c r="V321" s="655"/>
      <c r="W321" s="655"/>
      <c r="X321" s="655"/>
      <c r="Y321" s="655"/>
      <c r="Z321" s="655"/>
      <c r="AA321" s="4"/>
      <c r="AB321" s="4"/>
      <c r="AC321" s="4"/>
      <c r="AD321" s="4"/>
      <c r="AE321" s="4"/>
      <c r="AF321" s="4"/>
      <c r="AG321" s="4"/>
    </row>
    <row r="322" spans="1:52" s="650" customFormat="1" ht="10.8" thickBot="1" x14ac:dyDescent="0.25">
      <c r="A322" s="4"/>
      <c r="B322" s="4"/>
      <c r="C322" s="4"/>
      <c r="D322" s="4"/>
      <c r="E322" s="4"/>
      <c r="F322" s="4"/>
      <c r="G322" s="4"/>
      <c r="H322" s="4"/>
      <c r="I322" s="4"/>
      <c r="J322" s="4"/>
      <c r="K322" s="4"/>
      <c r="L322" s="4"/>
      <c r="M322" s="4"/>
      <c r="N322" s="4"/>
      <c r="O322" s="655"/>
      <c r="P322" s="653"/>
      <c r="Q322" s="654"/>
      <c r="R322" s="654"/>
      <c r="S322" s="4"/>
      <c r="T322" s="4"/>
      <c r="U322" s="655"/>
      <c r="V322" s="655"/>
      <c r="W322" s="655"/>
      <c r="X322" s="655"/>
      <c r="Y322" s="655"/>
      <c r="Z322" s="655"/>
      <c r="AA322" s="4"/>
      <c r="AB322" s="4"/>
      <c r="AC322" s="4"/>
      <c r="AD322" s="4"/>
      <c r="AE322" s="4"/>
      <c r="AF322" s="4"/>
      <c r="AG322" s="4"/>
    </row>
    <row r="323" spans="1:52" s="650" customFormat="1" ht="10.199999999999999" x14ac:dyDescent="0.2">
      <c r="A323" s="657"/>
      <c r="B323" s="658" t="s">
        <v>630</v>
      </c>
      <c r="C323" s="659"/>
      <c r="D323" s="659"/>
      <c r="E323" s="659"/>
      <c r="F323" s="659"/>
      <c r="G323" s="659"/>
      <c r="H323" s="659"/>
      <c r="I323" s="660"/>
      <c r="J323" s="204"/>
      <c r="K323" s="204"/>
      <c r="L323" s="204"/>
      <c r="M323" s="4"/>
      <c r="N323" s="4"/>
      <c r="O323" s="655"/>
      <c r="P323" s="653"/>
      <c r="Q323" s="654"/>
      <c r="R323" s="654"/>
      <c r="S323" s="4"/>
      <c r="T323" s="4"/>
      <c r="U323" s="655"/>
      <c r="V323" s="655"/>
      <c r="W323" s="655"/>
      <c r="X323" s="655"/>
      <c r="Y323" s="655"/>
      <c r="Z323" s="655"/>
      <c r="AA323" s="4"/>
      <c r="AB323" s="4"/>
      <c r="AC323" s="4"/>
      <c r="AD323" s="4"/>
      <c r="AE323" s="4"/>
      <c r="AF323" s="4"/>
      <c r="AG323" s="4"/>
    </row>
    <row r="324" spans="1:52" s="650" customFormat="1" ht="10.199999999999999" x14ac:dyDescent="0.2">
      <c r="A324" s="4"/>
      <c r="B324" s="661" t="s">
        <v>631</v>
      </c>
      <c r="C324" s="204"/>
      <c r="D324" s="204"/>
      <c r="E324" s="204"/>
      <c r="F324" s="204"/>
      <c r="G324" s="204"/>
      <c r="H324" s="204"/>
      <c r="I324" s="662"/>
      <c r="J324" s="204"/>
      <c r="K324" s="204"/>
      <c r="L324" s="204"/>
      <c r="M324" s="4"/>
      <c r="N324" s="4"/>
      <c r="O324" s="655"/>
      <c r="P324" s="653"/>
      <c r="Q324" s="654"/>
      <c r="R324" s="654"/>
      <c r="S324" s="4"/>
      <c r="T324" s="4"/>
      <c r="U324" s="655"/>
      <c r="V324" s="655"/>
      <c r="W324" s="655"/>
      <c r="X324" s="655"/>
      <c r="Y324" s="655"/>
      <c r="Z324" s="655"/>
      <c r="AA324" s="4"/>
      <c r="AB324" s="4"/>
      <c r="AC324" s="4"/>
      <c r="AD324" s="4"/>
      <c r="AE324" s="4"/>
      <c r="AF324" s="4"/>
      <c r="AG324" s="4"/>
    </row>
    <row r="325" spans="1:52" s="650" customFormat="1" ht="10.199999999999999" x14ac:dyDescent="0.2">
      <c r="A325" s="4"/>
      <c r="B325" s="661" t="s">
        <v>632</v>
      </c>
      <c r="C325" s="204"/>
      <c r="D325" s="204"/>
      <c r="E325" s="204"/>
      <c r="F325" s="204"/>
      <c r="G325" s="204"/>
      <c r="H325" s="204"/>
      <c r="I325" s="662"/>
      <c r="J325" s="204"/>
      <c r="K325" s="204"/>
      <c r="L325" s="204"/>
      <c r="M325" s="4"/>
      <c r="N325" s="4"/>
      <c r="O325" s="655"/>
      <c r="P325" s="653"/>
      <c r="Q325" s="654"/>
      <c r="R325" s="654"/>
      <c r="S325" s="4"/>
      <c r="T325" s="4"/>
      <c r="U325" s="655"/>
      <c r="V325" s="655"/>
      <c r="W325" s="655"/>
      <c r="X325" s="655"/>
      <c r="Y325" s="655"/>
      <c r="Z325" s="655"/>
      <c r="AA325" s="4"/>
      <c r="AB325" s="4"/>
      <c r="AC325" s="4"/>
      <c r="AD325" s="4"/>
      <c r="AE325" s="4"/>
      <c r="AF325" s="4"/>
      <c r="AG325" s="4"/>
    </row>
    <row r="326" spans="1:52" s="650" customFormat="1" ht="10.199999999999999" x14ac:dyDescent="0.2">
      <c r="A326" s="4"/>
      <c r="B326" s="661" t="s">
        <v>633</v>
      </c>
      <c r="C326" s="204"/>
      <c r="D326" s="204"/>
      <c r="E326" s="204"/>
      <c r="F326" s="204"/>
      <c r="G326" s="204"/>
      <c r="H326" s="204"/>
      <c r="I326" s="662"/>
      <c r="J326" s="204"/>
      <c r="K326" s="204"/>
      <c r="L326" s="204"/>
      <c r="M326" s="4"/>
      <c r="N326" s="4"/>
      <c r="O326" s="655"/>
      <c r="P326" s="653"/>
      <c r="Q326" s="654"/>
      <c r="R326" s="654"/>
      <c r="S326" s="4"/>
      <c r="T326" s="4"/>
      <c r="U326" s="655"/>
      <c r="V326" s="655"/>
      <c r="W326" s="655"/>
      <c r="X326" s="655"/>
      <c r="Y326" s="655"/>
      <c r="Z326" s="655"/>
      <c r="AA326" s="4"/>
      <c r="AB326" s="4"/>
      <c r="AC326" s="4"/>
      <c r="AD326" s="4"/>
      <c r="AE326" s="4"/>
      <c r="AF326" s="4"/>
      <c r="AG326" s="4"/>
    </row>
    <row r="327" spans="1:52" s="650" customFormat="1" ht="10.199999999999999" x14ac:dyDescent="0.2">
      <c r="A327" s="4"/>
      <c r="B327" s="661" t="s">
        <v>634</v>
      </c>
      <c r="C327" s="204"/>
      <c r="D327" s="204"/>
      <c r="E327" s="204"/>
      <c r="F327" s="204"/>
      <c r="G327" s="204"/>
      <c r="H327" s="204"/>
      <c r="I327" s="662"/>
      <c r="J327" s="204"/>
      <c r="K327" s="204"/>
      <c r="L327" s="204"/>
      <c r="M327" s="4"/>
      <c r="N327" s="4"/>
      <c r="O327" s="655"/>
      <c r="P327" s="653"/>
      <c r="Q327" s="654"/>
      <c r="R327" s="654"/>
      <c r="S327" s="4"/>
      <c r="T327" s="4"/>
      <c r="U327" s="655"/>
      <c r="V327" s="655"/>
      <c r="W327" s="655"/>
      <c r="X327" s="655"/>
      <c r="Y327" s="655"/>
      <c r="Z327" s="655"/>
      <c r="AA327" s="4"/>
      <c r="AB327" s="4"/>
      <c r="AC327" s="4"/>
      <c r="AD327" s="4"/>
      <c r="AE327" s="4"/>
      <c r="AF327" s="4"/>
      <c r="AG327" s="4"/>
    </row>
    <row r="328" spans="1:52" s="650" customFormat="1" ht="10.199999999999999" x14ac:dyDescent="0.2">
      <c r="A328" s="4"/>
      <c r="B328" s="1097" t="s">
        <v>635</v>
      </c>
      <c r="C328" s="1098"/>
      <c r="D328" s="1098"/>
      <c r="E328" s="1098"/>
      <c r="F328" s="1098"/>
      <c r="G328" s="1098"/>
      <c r="H328" s="1098"/>
      <c r="I328" s="1099"/>
      <c r="J328" s="4"/>
      <c r="K328" s="4"/>
      <c r="L328" s="4"/>
      <c r="M328" s="4"/>
      <c r="N328" s="4"/>
      <c r="O328" s="655"/>
      <c r="P328" s="653"/>
      <c r="Q328" s="654"/>
      <c r="R328" s="654"/>
      <c r="S328" s="4"/>
      <c r="T328" s="4"/>
      <c r="U328" s="655"/>
      <c r="V328" s="655"/>
      <c r="W328" s="655"/>
      <c r="X328" s="655"/>
      <c r="Y328" s="655"/>
      <c r="Z328" s="655"/>
      <c r="AA328" s="4"/>
      <c r="AB328" s="4"/>
      <c r="AC328" s="4"/>
      <c r="AD328" s="4"/>
      <c r="AE328" s="4"/>
      <c r="AF328" s="4"/>
      <c r="AG328" s="4"/>
    </row>
    <row r="329" spans="1:52" s="650" customFormat="1" ht="10.8" thickBot="1" x14ac:dyDescent="0.25">
      <c r="A329" s="4"/>
      <c r="B329" s="1100"/>
      <c r="C329" s="1101"/>
      <c r="D329" s="1101"/>
      <c r="E329" s="1101"/>
      <c r="F329" s="1101"/>
      <c r="G329" s="1101"/>
      <c r="H329" s="1101"/>
      <c r="I329" s="1102"/>
      <c r="J329" s="4"/>
      <c r="K329" s="4"/>
      <c r="L329" s="4"/>
      <c r="M329" s="4"/>
      <c r="N329" s="4"/>
      <c r="O329" s="655"/>
      <c r="P329" s="653"/>
      <c r="Q329" s="654"/>
      <c r="R329" s="654"/>
      <c r="S329" s="4"/>
      <c r="T329" s="4"/>
      <c r="U329" s="655"/>
      <c r="V329" s="655"/>
      <c r="W329" s="655"/>
      <c r="X329" s="655"/>
      <c r="Y329" s="655"/>
      <c r="Z329" s="655"/>
      <c r="AA329" s="4"/>
      <c r="AB329" s="4"/>
      <c r="AC329" s="4"/>
      <c r="AD329" s="4"/>
      <c r="AE329" s="4"/>
      <c r="AF329" s="4"/>
      <c r="AG329" s="4"/>
    </row>
    <row r="330" spans="1:52" s="650" customFormat="1" ht="10.199999999999999" x14ac:dyDescent="0.2">
      <c r="A330" s="4"/>
      <c r="B330" s="4"/>
      <c r="C330" s="4"/>
      <c r="D330" s="4"/>
      <c r="E330" s="4"/>
      <c r="F330" s="4"/>
      <c r="G330" s="4"/>
      <c r="H330" s="4"/>
      <c r="I330" s="4"/>
      <c r="J330" s="4"/>
      <c r="K330" s="4"/>
      <c r="L330" s="4"/>
      <c r="M330" s="4"/>
      <c r="N330" s="4"/>
      <c r="O330" s="655"/>
      <c r="P330" s="653"/>
      <c r="Q330" s="654"/>
      <c r="R330" s="654"/>
      <c r="S330" s="4"/>
      <c r="T330" s="4"/>
      <c r="U330" s="655"/>
      <c r="V330" s="655"/>
      <c r="W330" s="655"/>
      <c r="X330" s="655"/>
      <c r="Y330" s="655"/>
      <c r="Z330" s="655"/>
      <c r="AA330" s="4"/>
      <c r="AB330" s="4"/>
      <c r="AC330" s="4"/>
      <c r="AD330" s="4"/>
      <c r="AE330" s="4"/>
      <c r="AF330" s="4"/>
      <c r="AG330" s="4"/>
    </row>
    <row r="331" spans="1:52" s="55" customFormat="1" x14ac:dyDescent="0.25">
      <c r="A331" s="53"/>
      <c r="B331" s="15"/>
      <c r="C331" s="15"/>
      <c r="D331" s="15"/>
      <c r="E331" s="15"/>
      <c r="F331" s="15"/>
      <c r="G331" s="15"/>
      <c r="H331" s="15"/>
      <c r="I331" s="15"/>
      <c r="J331" s="15"/>
      <c r="K331" s="15"/>
      <c r="L331" s="15"/>
      <c r="M331" s="15"/>
      <c r="N331" s="15"/>
      <c r="O331" s="648"/>
      <c r="P331" s="641"/>
      <c r="Q331" s="633"/>
      <c r="R331" s="633"/>
      <c r="S331" s="15"/>
      <c r="T331" s="15"/>
      <c r="U331" s="648"/>
      <c r="V331" s="648"/>
      <c r="W331" s="648"/>
      <c r="X331" s="648"/>
      <c r="Y331" s="648"/>
      <c r="Z331" s="648"/>
      <c r="AA331" s="15"/>
      <c r="AB331" s="15"/>
      <c r="AC331" s="15"/>
      <c r="AD331" s="15"/>
      <c r="AE331" s="15"/>
      <c r="AF331" s="15"/>
      <c r="AG331" s="15"/>
      <c r="AH331" s="1093"/>
      <c r="AI331" s="1093"/>
      <c r="AJ331" s="1093"/>
      <c r="AK331" s="1093"/>
      <c r="AL331" s="1093"/>
      <c r="AM331" s="1093"/>
      <c r="AN331" s="1093"/>
      <c r="AO331" s="1093"/>
      <c r="AP331" s="1093"/>
      <c r="AQ331" s="1093"/>
      <c r="AR331" s="1093"/>
      <c r="AS331" s="1093"/>
      <c r="AT331" s="1093"/>
      <c r="AU331" s="1093"/>
      <c r="AV331" s="1093"/>
      <c r="AW331" s="1093"/>
      <c r="AX331" s="1093"/>
      <c r="AY331" s="1093"/>
      <c r="AZ331" s="1093"/>
    </row>
    <row r="332" spans="1:52" s="55" customFormat="1" x14ac:dyDescent="0.25">
      <c r="A332" s="53"/>
      <c r="B332" s="15"/>
      <c r="C332" s="15"/>
      <c r="D332" s="15"/>
      <c r="E332" s="15"/>
      <c r="F332" s="15"/>
      <c r="G332" s="15"/>
      <c r="H332" s="15"/>
      <c r="I332" s="15"/>
      <c r="J332" s="15"/>
      <c r="K332" s="15"/>
      <c r="L332" s="15"/>
      <c r="M332" s="15"/>
      <c r="N332" s="15"/>
      <c r="O332" s="648"/>
      <c r="P332" s="641"/>
      <c r="Q332" s="633"/>
      <c r="R332" s="633"/>
      <c r="S332" s="15"/>
      <c r="T332" s="15"/>
      <c r="U332" s="648"/>
      <c r="V332" s="648"/>
      <c r="W332" s="648"/>
      <c r="X332" s="648"/>
      <c r="Y332" s="648"/>
      <c r="Z332" s="648"/>
      <c r="AA332" s="15"/>
      <c r="AB332" s="15"/>
      <c r="AC332" s="15"/>
      <c r="AD332" s="15"/>
      <c r="AE332" s="15"/>
      <c r="AF332" s="15"/>
      <c r="AG332" s="15"/>
      <c r="AH332" s="1093"/>
      <c r="AI332" s="1093"/>
      <c r="AJ332" s="1093"/>
      <c r="AK332" s="1093"/>
      <c r="AL332" s="1093"/>
      <c r="AM332" s="1093"/>
      <c r="AN332" s="1093"/>
      <c r="AO332" s="1093"/>
      <c r="AP332" s="1093"/>
      <c r="AQ332" s="1093"/>
      <c r="AR332" s="1093"/>
      <c r="AS332" s="1093"/>
      <c r="AT332" s="1093"/>
      <c r="AU332" s="1093"/>
      <c r="AV332" s="1093"/>
      <c r="AW332" s="1093"/>
      <c r="AX332" s="1093"/>
      <c r="AY332" s="1093"/>
      <c r="AZ332" s="1093"/>
    </row>
    <row r="333" spans="1:52" s="55" customFormat="1" x14ac:dyDescent="0.25">
      <c r="A333" s="53"/>
      <c r="B333" s="53"/>
      <c r="C333" s="53"/>
      <c r="D333" s="53"/>
      <c r="E333" s="53"/>
      <c r="F333" s="53"/>
      <c r="G333" s="53"/>
      <c r="H333" s="53"/>
      <c r="I333" s="53"/>
      <c r="J333" s="53"/>
      <c r="K333" s="53"/>
      <c r="L333" s="53"/>
      <c r="M333" s="53"/>
      <c r="N333" s="53"/>
      <c r="O333" s="642"/>
      <c r="P333" s="634"/>
      <c r="Q333" s="620"/>
      <c r="R333" s="620"/>
      <c r="S333" s="53"/>
      <c r="T333" s="53"/>
      <c r="U333" s="642"/>
      <c r="V333" s="642"/>
      <c r="W333" s="642"/>
      <c r="X333" s="642"/>
      <c r="Y333" s="642"/>
      <c r="Z333" s="642"/>
      <c r="AA333" s="53"/>
      <c r="AB333" s="53"/>
      <c r="AC333" s="53"/>
      <c r="AD333" s="53"/>
      <c r="AE333" s="53"/>
      <c r="AF333" s="53"/>
      <c r="AG333" s="53"/>
      <c r="AH333" s="53"/>
      <c r="AI333" s="53"/>
      <c r="AJ333" s="53"/>
      <c r="AK333" s="53"/>
      <c r="AL333" s="53"/>
      <c r="AM333" s="53"/>
      <c r="AN333" s="53"/>
      <c r="AO333" s="53"/>
      <c r="AP333" s="53"/>
      <c r="AQ333" s="53"/>
      <c r="AR333" s="1093"/>
      <c r="AS333" s="1093"/>
      <c r="AT333" s="1093"/>
      <c r="AU333" s="1093"/>
      <c r="AV333" s="53"/>
      <c r="AW333" s="53"/>
      <c r="AX333" s="53"/>
      <c r="AY333" s="53"/>
      <c r="AZ333" s="53"/>
    </row>
    <row r="334" spans="1:52" s="55" customFormat="1" x14ac:dyDescent="0.25">
      <c r="A334" s="53"/>
      <c r="B334" s="53"/>
      <c r="C334" s="53"/>
      <c r="D334" s="53"/>
      <c r="E334" s="53"/>
      <c r="F334" s="53"/>
      <c r="G334" s="53"/>
      <c r="H334" s="53"/>
      <c r="I334" s="53"/>
      <c r="J334" s="53"/>
      <c r="K334" s="53"/>
      <c r="L334" s="53"/>
      <c r="M334" s="53"/>
      <c r="N334" s="53"/>
      <c r="O334" s="642"/>
      <c r="P334" s="634"/>
      <c r="Q334" s="620"/>
      <c r="R334" s="620"/>
      <c r="S334" s="53"/>
      <c r="T334" s="53"/>
      <c r="U334" s="642"/>
      <c r="V334" s="642"/>
      <c r="W334" s="642"/>
      <c r="X334" s="642"/>
      <c r="Y334" s="642"/>
      <c r="Z334" s="642"/>
      <c r="AA334" s="53"/>
      <c r="AB334" s="53"/>
      <c r="AC334" s="53"/>
      <c r="AD334" s="53"/>
      <c r="AE334" s="53"/>
      <c r="AF334" s="53"/>
      <c r="AG334" s="53"/>
      <c r="AH334" s="53"/>
      <c r="AI334" s="53"/>
      <c r="AJ334" s="53"/>
      <c r="AK334" s="53"/>
      <c r="AL334" s="53"/>
      <c r="AM334" s="53"/>
      <c r="AN334" s="53"/>
      <c r="AO334" s="53"/>
      <c r="AP334" s="53"/>
      <c r="AQ334" s="53"/>
      <c r="AR334" s="1093"/>
      <c r="AS334" s="1093"/>
      <c r="AT334" s="1093"/>
      <c r="AU334" s="1093"/>
      <c r="AV334" s="53"/>
      <c r="AW334" s="53"/>
      <c r="AX334" s="53"/>
      <c r="AY334" s="53"/>
      <c r="AZ334" s="53"/>
    </row>
    <row r="335" spans="1:52" s="55" customFormat="1" x14ac:dyDescent="0.25">
      <c r="A335" s="53"/>
      <c r="B335" s="15"/>
      <c r="C335" s="15"/>
      <c r="D335" s="15"/>
      <c r="E335" s="15"/>
      <c r="F335" s="15"/>
      <c r="G335" s="15"/>
      <c r="H335" s="15"/>
      <c r="I335" s="15"/>
      <c r="J335" s="15"/>
      <c r="K335" s="15"/>
      <c r="L335" s="15"/>
      <c r="M335" s="15"/>
      <c r="N335" s="15"/>
      <c r="O335" s="648"/>
      <c r="P335" s="641"/>
      <c r="Q335" s="633"/>
      <c r="R335" s="633"/>
      <c r="S335" s="15"/>
      <c r="T335" s="15"/>
      <c r="U335" s="648"/>
      <c r="V335" s="648"/>
      <c r="W335" s="648"/>
      <c r="X335" s="648"/>
      <c r="Y335" s="648"/>
      <c r="Z335" s="648"/>
      <c r="AA335" s="15"/>
      <c r="AB335" s="15"/>
      <c r="AC335" s="15"/>
      <c r="AD335" s="15"/>
      <c r="AE335" s="15"/>
      <c r="AF335" s="15"/>
      <c r="AG335" s="15"/>
      <c r="AH335" s="1093"/>
      <c r="AI335" s="1093"/>
      <c r="AJ335" s="1093"/>
      <c r="AK335" s="1093"/>
      <c r="AL335" s="1093"/>
      <c r="AM335" s="1093"/>
      <c r="AN335" s="1093"/>
      <c r="AO335" s="1093"/>
      <c r="AP335" s="1093"/>
      <c r="AQ335" s="1093"/>
      <c r="AR335" s="1093"/>
      <c r="AS335" s="1093"/>
      <c r="AT335" s="1093"/>
      <c r="AU335" s="1093"/>
      <c r="AV335" s="1093"/>
      <c r="AW335" s="1093"/>
      <c r="AX335" s="1093"/>
      <c r="AY335" s="1093"/>
      <c r="AZ335" s="1093"/>
    </row>
    <row r="336" spans="1:52" s="55" customFormat="1" x14ac:dyDescent="0.25">
      <c r="A336" s="53"/>
      <c r="B336" s="15"/>
      <c r="C336" s="15"/>
      <c r="D336" s="15"/>
      <c r="E336" s="15"/>
      <c r="F336" s="15"/>
      <c r="G336" s="15"/>
      <c r="H336" s="15"/>
      <c r="I336" s="15"/>
      <c r="J336" s="15"/>
      <c r="K336" s="15"/>
      <c r="L336" s="15"/>
      <c r="M336" s="15"/>
      <c r="N336" s="15"/>
      <c r="O336" s="648"/>
      <c r="P336" s="641"/>
      <c r="Q336" s="633"/>
      <c r="R336" s="633"/>
      <c r="S336" s="15"/>
      <c r="T336" s="15"/>
      <c r="U336" s="648"/>
      <c r="V336" s="648"/>
      <c r="W336" s="648"/>
      <c r="X336" s="648"/>
      <c r="Y336" s="648"/>
      <c r="Z336" s="648"/>
      <c r="AA336" s="15"/>
      <c r="AB336" s="15"/>
      <c r="AC336" s="15"/>
      <c r="AD336" s="15"/>
      <c r="AE336" s="15"/>
      <c r="AF336" s="15"/>
      <c r="AG336" s="15"/>
      <c r="AH336" s="1093"/>
      <c r="AI336" s="1093"/>
      <c r="AJ336" s="1093"/>
      <c r="AK336" s="1093"/>
      <c r="AL336" s="1093"/>
      <c r="AM336" s="1093"/>
      <c r="AN336" s="1093"/>
      <c r="AO336" s="1093"/>
      <c r="AP336" s="1093"/>
      <c r="AQ336" s="1093"/>
      <c r="AR336" s="1093"/>
      <c r="AS336" s="1093"/>
      <c r="AT336" s="1093"/>
      <c r="AU336" s="1093"/>
      <c r="AV336" s="1093"/>
      <c r="AW336" s="1093"/>
      <c r="AX336" s="1093"/>
      <c r="AY336" s="1093"/>
      <c r="AZ336" s="1093"/>
    </row>
    <row r="337" spans="1:33" s="55" customFormat="1" x14ac:dyDescent="0.25">
      <c r="A337" s="53"/>
      <c r="B337" s="15"/>
      <c r="C337" s="15"/>
      <c r="D337" s="15"/>
      <c r="E337" s="15"/>
      <c r="F337" s="15"/>
      <c r="G337" s="15"/>
      <c r="H337" s="15"/>
      <c r="I337" s="15"/>
      <c r="J337" s="15"/>
      <c r="K337" s="15"/>
      <c r="L337" s="15"/>
      <c r="M337" s="15"/>
      <c r="N337" s="15"/>
      <c r="O337" s="648"/>
      <c r="P337" s="641"/>
      <c r="Q337" s="633"/>
      <c r="R337" s="633"/>
      <c r="S337" s="15"/>
      <c r="T337" s="15"/>
      <c r="U337" s="648"/>
      <c r="V337" s="648"/>
      <c r="W337" s="648"/>
      <c r="X337" s="648"/>
      <c r="Y337" s="648"/>
      <c r="Z337" s="648"/>
      <c r="AA337" s="15"/>
      <c r="AB337" s="15"/>
      <c r="AC337" s="15"/>
      <c r="AD337" s="15"/>
      <c r="AE337" s="15"/>
      <c r="AF337" s="15"/>
      <c r="AG337" s="15"/>
    </row>
    <row r="338" spans="1:33" s="55" customFormat="1" x14ac:dyDescent="0.25">
      <c r="A338" s="53"/>
      <c r="B338" s="15"/>
      <c r="C338" s="15"/>
      <c r="D338" s="15"/>
      <c r="E338" s="15"/>
      <c r="F338" s="15"/>
      <c r="G338" s="15"/>
      <c r="H338" s="15"/>
      <c r="I338" s="15"/>
      <c r="J338" s="15"/>
      <c r="K338" s="15"/>
      <c r="L338" s="15"/>
      <c r="M338" s="15"/>
      <c r="N338" s="15"/>
      <c r="O338" s="648"/>
      <c r="P338" s="641"/>
      <c r="Q338" s="633"/>
      <c r="R338" s="633"/>
      <c r="S338" s="15"/>
      <c r="T338" s="15"/>
      <c r="U338" s="648"/>
      <c r="V338" s="648"/>
      <c r="W338" s="648"/>
      <c r="X338" s="648"/>
      <c r="Y338" s="648"/>
      <c r="Z338" s="648"/>
      <c r="AA338" s="15"/>
      <c r="AB338" s="15"/>
      <c r="AC338" s="15"/>
      <c r="AD338" s="15"/>
      <c r="AE338" s="15"/>
      <c r="AF338" s="15"/>
      <c r="AG338" s="15"/>
    </row>
    <row r="339" spans="1:33" s="55" customFormat="1" x14ac:dyDescent="0.25">
      <c r="A339" s="53"/>
      <c r="B339" s="15"/>
      <c r="C339" s="15"/>
      <c r="D339" s="15"/>
      <c r="E339" s="15"/>
      <c r="F339" s="15"/>
      <c r="G339" s="15"/>
      <c r="H339" s="15"/>
      <c r="I339" s="15"/>
      <c r="J339" s="15"/>
      <c r="K339" s="15"/>
      <c r="L339" s="15"/>
      <c r="M339" s="15"/>
      <c r="N339" s="15"/>
      <c r="O339" s="648"/>
      <c r="P339" s="641"/>
      <c r="Q339" s="633"/>
      <c r="R339" s="633"/>
      <c r="S339" s="15"/>
      <c r="T339" s="15"/>
      <c r="U339" s="648"/>
      <c r="V339" s="648"/>
      <c r="W339" s="648"/>
      <c r="X339" s="648"/>
      <c r="Y339" s="648"/>
      <c r="Z339" s="648"/>
      <c r="AA339" s="15"/>
      <c r="AB339" s="15"/>
      <c r="AC339" s="15"/>
      <c r="AD339" s="15"/>
      <c r="AE339" s="15"/>
      <c r="AF339" s="15"/>
      <c r="AG339" s="15"/>
    </row>
    <row r="340" spans="1:33" s="55" customFormat="1" x14ac:dyDescent="0.25">
      <c r="A340" s="53"/>
      <c r="B340" s="15"/>
      <c r="C340" s="15"/>
      <c r="D340" s="15"/>
      <c r="E340" s="15"/>
      <c r="F340" s="15"/>
      <c r="G340" s="15"/>
      <c r="H340" s="15"/>
      <c r="I340" s="15"/>
      <c r="J340" s="15"/>
      <c r="K340" s="15"/>
      <c r="L340" s="15"/>
      <c r="M340" s="15"/>
      <c r="N340" s="15"/>
      <c r="O340" s="648"/>
      <c r="P340" s="641"/>
      <c r="Q340" s="633"/>
      <c r="R340" s="633"/>
      <c r="S340" s="15"/>
      <c r="T340" s="15"/>
      <c r="U340" s="648"/>
      <c r="V340" s="648"/>
      <c r="W340" s="648"/>
      <c r="X340" s="648"/>
      <c r="Y340" s="648"/>
      <c r="Z340" s="648"/>
      <c r="AA340" s="15"/>
      <c r="AB340" s="15"/>
      <c r="AC340" s="15"/>
      <c r="AD340" s="15"/>
      <c r="AE340" s="15"/>
      <c r="AF340" s="15"/>
      <c r="AG340" s="15"/>
    </row>
    <row r="341" spans="1:33" s="55" customFormat="1" x14ac:dyDescent="0.25">
      <c r="A341" s="53"/>
      <c r="B341" s="15"/>
      <c r="C341" s="15"/>
      <c r="D341" s="15"/>
      <c r="E341" s="15"/>
      <c r="F341" s="15"/>
      <c r="G341" s="15"/>
      <c r="H341" s="15"/>
      <c r="I341" s="15"/>
      <c r="J341" s="15"/>
      <c r="K341" s="15"/>
      <c r="L341" s="15"/>
      <c r="M341" s="15"/>
      <c r="N341" s="15"/>
      <c r="O341" s="648"/>
      <c r="P341" s="641"/>
      <c r="Q341" s="633"/>
      <c r="R341" s="633"/>
      <c r="S341" s="15"/>
      <c r="T341" s="15"/>
      <c r="U341" s="648"/>
      <c r="V341" s="648"/>
      <c r="W341" s="648"/>
      <c r="X341" s="648"/>
      <c r="Y341" s="648"/>
      <c r="Z341" s="648"/>
      <c r="AA341" s="15"/>
      <c r="AB341" s="15"/>
      <c r="AC341" s="15"/>
      <c r="AD341" s="15"/>
      <c r="AE341" s="15"/>
      <c r="AF341" s="15"/>
      <c r="AG341" s="15"/>
    </row>
    <row r="342" spans="1:33" s="55" customFormat="1" x14ac:dyDescent="0.25">
      <c r="A342" s="53"/>
      <c r="B342" s="15"/>
      <c r="C342" s="15"/>
      <c r="D342" s="15"/>
      <c r="E342" s="15"/>
      <c r="F342" s="15"/>
      <c r="G342" s="15"/>
      <c r="H342" s="15"/>
      <c r="I342" s="15"/>
      <c r="J342" s="15"/>
      <c r="K342" s="15"/>
      <c r="L342" s="15"/>
      <c r="M342" s="15"/>
      <c r="N342" s="15"/>
      <c r="O342" s="648"/>
      <c r="P342" s="641"/>
      <c r="Q342" s="633"/>
      <c r="R342" s="633"/>
      <c r="S342" s="15"/>
      <c r="T342" s="15"/>
      <c r="U342" s="648"/>
      <c r="V342" s="648"/>
      <c r="W342" s="648"/>
      <c r="X342" s="648"/>
      <c r="Y342" s="648"/>
      <c r="Z342" s="648"/>
      <c r="AA342" s="15"/>
      <c r="AB342" s="15"/>
      <c r="AC342" s="15"/>
      <c r="AD342" s="15"/>
      <c r="AE342" s="15"/>
      <c r="AF342" s="15"/>
      <c r="AG342" s="15"/>
    </row>
    <row r="343" spans="1:33" s="55" customFormat="1" x14ac:dyDescent="0.25">
      <c r="A343" s="53"/>
      <c r="B343" s="15"/>
      <c r="C343" s="15"/>
      <c r="D343" s="15"/>
      <c r="E343" s="15"/>
      <c r="F343" s="15"/>
      <c r="G343" s="15"/>
      <c r="H343" s="15"/>
      <c r="I343" s="15"/>
      <c r="J343" s="15"/>
      <c r="K343" s="15"/>
      <c r="L343" s="15"/>
      <c r="M343" s="15"/>
      <c r="N343" s="15"/>
      <c r="O343" s="648"/>
      <c r="P343" s="641"/>
      <c r="Q343" s="633"/>
      <c r="R343" s="633"/>
      <c r="S343" s="15"/>
      <c r="T343" s="15"/>
      <c r="U343" s="648"/>
      <c r="V343" s="648"/>
      <c r="W343" s="648"/>
      <c r="X343" s="648"/>
      <c r="Y343" s="648"/>
      <c r="Z343" s="648"/>
      <c r="AA343" s="15"/>
      <c r="AB343" s="15"/>
      <c r="AC343" s="15"/>
      <c r="AD343" s="15"/>
      <c r="AE343" s="15"/>
      <c r="AF343" s="15"/>
      <c r="AG343" s="15"/>
    </row>
    <row r="344" spans="1:33" s="55" customFormat="1" x14ac:dyDescent="0.25">
      <c r="A344" s="53"/>
      <c r="B344" s="15"/>
      <c r="C344" s="15"/>
      <c r="D344" s="15"/>
      <c r="E344" s="15"/>
      <c r="F344" s="15"/>
      <c r="G344" s="15"/>
      <c r="H344" s="15"/>
      <c r="I344" s="15"/>
      <c r="J344" s="15"/>
      <c r="K344" s="15"/>
      <c r="L344" s="15"/>
      <c r="M344" s="15"/>
      <c r="N344" s="15"/>
      <c r="O344" s="648"/>
      <c r="P344" s="641"/>
      <c r="Q344" s="633"/>
      <c r="R344" s="633"/>
      <c r="S344" s="15"/>
      <c r="T344" s="15"/>
      <c r="U344" s="648"/>
      <c r="V344" s="648"/>
      <c r="W344" s="648"/>
      <c r="X344" s="648"/>
      <c r="Y344" s="648"/>
      <c r="Z344" s="648"/>
      <c r="AA344" s="15"/>
      <c r="AB344" s="15"/>
      <c r="AC344" s="15"/>
      <c r="AD344" s="15"/>
      <c r="AE344" s="15"/>
      <c r="AF344" s="15"/>
      <c r="AG344" s="15"/>
    </row>
    <row r="345" spans="1:33" s="55" customFormat="1" x14ac:dyDescent="0.25">
      <c r="A345" s="53"/>
      <c r="B345" s="15"/>
      <c r="C345" s="15"/>
      <c r="D345" s="15"/>
      <c r="E345" s="15"/>
      <c r="F345" s="15"/>
      <c r="G345" s="15"/>
      <c r="H345" s="15"/>
      <c r="I345" s="15"/>
      <c r="J345" s="15"/>
      <c r="K345" s="15"/>
      <c r="L345" s="15"/>
      <c r="M345" s="15"/>
      <c r="N345" s="15"/>
      <c r="O345" s="648"/>
      <c r="P345" s="641"/>
      <c r="Q345" s="633"/>
      <c r="R345" s="633"/>
      <c r="S345" s="15"/>
      <c r="T345" s="15"/>
      <c r="U345" s="648"/>
      <c r="V345" s="648"/>
      <c r="W345" s="648"/>
      <c r="X345" s="648"/>
      <c r="Y345" s="648"/>
      <c r="Z345" s="648"/>
      <c r="AA345" s="15"/>
      <c r="AB345" s="15"/>
      <c r="AC345" s="15"/>
      <c r="AD345" s="15"/>
      <c r="AE345" s="15"/>
      <c r="AF345" s="15"/>
      <c r="AG345" s="15"/>
    </row>
    <row r="346" spans="1:33" s="55" customFormat="1" x14ac:dyDescent="0.25">
      <c r="A346" s="53"/>
      <c r="B346" s="15"/>
      <c r="C346" s="15"/>
      <c r="D346" s="15"/>
      <c r="E346" s="15"/>
      <c r="F346" s="15"/>
      <c r="G346" s="15"/>
      <c r="H346" s="15"/>
      <c r="I346" s="15"/>
      <c r="J346" s="15"/>
      <c r="K346" s="15"/>
      <c r="L346" s="15"/>
      <c r="M346" s="15"/>
      <c r="N346" s="15"/>
      <c r="O346" s="648"/>
      <c r="P346" s="641"/>
      <c r="Q346" s="633"/>
      <c r="R346" s="633"/>
      <c r="S346" s="15"/>
      <c r="T346" s="15"/>
      <c r="U346" s="648"/>
      <c r="V346" s="648"/>
      <c r="W346" s="648"/>
      <c r="X346" s="648"/>
      <c r="Y346" s="648"/>
      <c r="Z346" s="648"/>
      <c r="AA346" s="15"/>
      <c r="AB346" s="15"/>
      <c r="AC346" s="15"/>
      <c r="AD346" s="15"/>
      <c r="AE346" s="15"/>
      <c r="AF346" s="15"/>
      <c r="AG346" s="15"/>
    </row>
    <row r="347" spans="1:33" s="55" customFormat="1" x14ac:dyDescent="0.25">
      <c r="A347" s="53"/>
      <c r="B347" s="15"/>
      <c r="C347" s="15"/>
      <c r="D347" s="15"/>
      <c r="E347" s="15"/>
      <c r="F347" s="15"/>
      <c r="G347" s="15"/>
      <c r="H347" s="15"/>
      <c r="I347" s="15"/>
      <c r="J347" s="15"/>
      <c r="K347" s="15"/>
      <c r="L347" s="15"/>
      <c r="M347" s="15"/>
      <c r="N347" s="15"/>
      <c r="O347" s="648"/>
      <c r="P347" s="641"/>
      <c r="Q347" s="633"/>
      <c r="R347" s="633"/>
      <c r="S347" s="15"/>
      <c r="T347" s="15"/>
      <c r="U347" s="648"/>
      <c r="V347" s="648"/>
      <c r="W347" s="648"/>
      <c r="X347" s="648"/>
      <c r="Y347" s="648"/>
      <c r="Z347" s="648"/>
      <c r="AA347" s="15"/>
      <c r="AB347" s="15"/>
      <c r="AC347" s="15"/>
      <c r="AD347" s="15"/>
      <c r="AE347" s="15"/>
      <c r="AF347" s="15"/>
      <c r="AG347" s="15"/>
    </row>
    <row r="348" spans="1:33" s="55" customFormat="1" x14ac:dyDescent="0.25">
      <c r="A348" s="53"/>
      <c r="B348" s="15"/>
      <c r="C348" s="15"/>
      <c r="D348" s="15"/>
      <c r="E348" s="15"/>
      <c r="F348" s="15"/>
      <c r="G348" s="15"/>
      <c r="H348" s="15"/>
      <c r="I348" s="15"/>
      <c r="J348" s="15"/>
      <c r="K348" s="15"/>
      <c r="L348" s="15"/>
      <c r="M348" s="15"/>
      <c r="N348" s="15"/>
      <c r="O348" s="648"/>
      <c r="P348" s="641"/>
      <c r="Q348" s="633"/>
      <c r="R348" s="633"/>
      <c r="S348" s="15"/>
      <c r="T348" s="15"/>
      <c r="U348" s="648"/>
      <c r="V348" s="648"/>
      <c r="W348" s="648"/>
      <c r="X348" s="648"/>
      <c r="Y348" s="648"/>
      <c r="Z348" s="648"/>
      <c r="AA348" s="15"/>
      <c r="AB348" s="15"/>
      <c r="AC348" s="15"/>
      <c r="AD348" s="15"/>
      <c r="AE348" s="15"/>
      <c r="AF348" s="15"/>
      <c r="AG348" s="15"/>
    </row>
    <row r="349" spans="1:33" s="55" customFormat="1" x14ac:dyDescent="0.25">
      <c r="A349" s="53"/>
      <c r="B349" s="15"/>
      <c r="C349" s="15"/>
      <c r="D349" s="15"/>
      <c r="E349" s="15"/>
      <c r="F349" s="15"/>
      <c r="G349" s="15"/>
      <c r="H349" s="15"/>
      <c r="I349" s="15"/>
      <c r="J349" s="15"/>
      <c r="K349" s="15"/>
      <c r="L349" s="15"/>
      <c r="M349" s="15"/>
      <c r="N349" s="15"/>
      <c r="O349" s="648"/>
      <c r="P349" s="641"/>
      <c r="Q349" s="633"/>
      <c r="R349" s="633"/>
      <c r="S349" s="15"/>
      <c r="T349" s="15"/>
      <c r="U349" s="648"/>
      <c r="V349" s="648"/>
      <c r="W349" s="648"/>
      <c r="X349" s="648"/>
      <c r="Y349" s="648"/>
      <c r="Z349" s="648"/>
      <c r="AA349" s="15"/>
      <c r="AB349" s="15"/>
      <c r="AC349" s="15"/>
      <c r="AD349" s="15"/>
      <c r="AE349" s="15"/>
      <c r="AF349" s="15"/>
      <c r="AG349" s="15"/>
    </row>
    <row r="350" spans="1:33" s="55" customFormat="1" x14ac:dyDescent="0.25">
      <c r="A350" s="53"/>
      <c r="B350" s="15"/>
      <c r="C350" s="15"/>
      <c r="D350" s="15"/>
      <c r="E350" s="15"/>
      <c r="F350" s="15"/>
      <c r="G350" s="15"/>
      <c r="H350" s="15"/>
      <c r="I350" s="15"/>
      <c r="J350" s="15"/>
      <c r="K350" s="15"/>
      <c r="L350" s="15"/>
      <c r="M350" s="15"/>
      <c r="N350" s="15"/>
      <c r="O350" s="648"/>
      <c r="P350" s="641"/>
      <c r="Q350" s="633"/>
      <c r="R350" s="633"/>
      <c r="S350" s="15"/>
      <c r="T350" s="15"/>
      <c r="U350" s="648"/>
      <c r="V350" s="648"/>
      <c r="W350" s="648"/>
      <c r="X350" s="648"/>
      <c r="Y350" s="648"/>
      <c r="Z350" s="648"/>
      <c r="AA350" s="15"/>
      <c r="AB350" s="15"/>
      <c r="AC350" s="15"/>
      <c r="AD350" s="15"/>
      <c r="AE350" s="15"/>
      <c r="AF350" s="15"/>
      <c r="AG350" s="15"/>
    </row>
  </sheetData>
  <mergeCells count="14">
    <mergeCell ref="H2:L2"/>
    <mergeCell ref="H3:L3"/>
    <mergeCell ref="H4:L4"/>
    <mergeCell ref="AR5:AS5"/>
    <mergeCell ref="AR4:AS4"/>
    <mergeCell ref="V2:AA2"/>
    <mergeCell ref="AL4:AO5"/>
    <mergeCell ref="B328:I329"/>
    <mergeCell ref="AT7:AU7"/>
    <mergeCell ref="AT6:AU6"/>
    <mergeCell ref="AT4:AU4"/>
    <mergeCell ref="AT5:AU5"/>
    <mergeCell ref="AL6:AM6"/>
    <mergeCell ref="AN6:AO6"/>
  </mergeCells>
  <phoneticPr fontId="2" type="noConversion"/>
  <conditionalFormatting sqref="F10:G10 F38:G327 F330:G517">
    <cfRule type="cellIs" dxfId="78" priority="1" stopIfTrue="1" operator="equal">
      <formula>0</formula>
    </cfRule>
  </conditionalFormatting>
  <conditionalFormatting sqref="H11:AU310 B83:D83">
    <cfRule type="cellIs" dxfId="77" priority="2" stopIfTrue="1" operator="equal">
      <formula>"NA"</formula>
    </cfRule>
  </conditionalFormatting>
  <printOptions headings="1"/>
  <pageMargins left="0.2" right="0.2" top="0.23" bottom="0.25" header="0.17" footer="0.17"/>
  <pageSetup scale="75" fitToWidth="2" fitToHeight="3"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dimension ref="A1:AC385"/>
  <sheetViews>
    <sheetView showGridLines="0" zoomScaleNormal="100" workbookViewId="0">
      <pane xSplit="1" ySplit="9" topLeftCell="B27" activePane="bottomRight" state="frozen"/>
      <selection pane="topRight" activeCell="B1" sqref="B1"/>
      <selection pane="bottomLeft" activeCell="A10" sqref="A10"/>
      <selection pane="bottomRight" activeCell="A43" sqref="A43"/>
    </sheetView>
  </sheetViews>
  <sheetFormatPr defaultColWidth="8.88671875" defaultRowHeight="13.2" x14ac:dyDescent="0.25"/>
  <cols>
    <col min="1" max="1" width="32.109375" bestFit="1" customWidth="1"/>
    <col min="2" max="4" width="10.5546875" style="15" customWidth="1"/>
    <col min="5" max="9" width="10.5546875" style="17" customWidth="1"/>
    <col min="10" max="10" width="10.5546875" style="4" customWidth="1"/>
    <col min="11" max="13" width="10.5546875" style="15" customWidth="1"/>
    <col min="14" max="14" width="10.5546875" customWidth="1"/>
    <col min="15" max="18" width="10.5546875" style="17" customWidth="1"/>
    <col min="19" max="21" width="10.5546875" style="4" customWidth="1"/>
    <col min="22" max="26" width="10.5546875" style="15" customWidth="1"/>
    <col min="27" max="28" width="10.5546875" style="23" customWidth="1"/>
    <col min="29" max="29" width="10.5546875" style="28" customWidth="1"/>
    <col min="30" max="16384" width="8.88671875" style="10"/>
  </cols>
  <sheetData>
    <row r="1" spans="1:29" ht="17.399999999999999" x14ac:dyDescent="0.3">
      <c r="A1" s="29"/>
      <c r="C1" s="97"/>
      <c r="D1" s="97"/>
      <c r="AB1" s="30"/>
    </row>
    <row r="2" spans="1:29" ht="13.8" thickBot="1" x14ac:dyDescent="0.3">
      <c r="C2" s="33"/>
      <c r="D2" s="33"/>
      <c r="E2" s="34"/>
      <c r="F2" s="34"/>
      <c r="G2" s="34"/>
      <c r="H2" s="34"/>
      <c r="I2" s="34"/>
      <c r="J2" s="139"/>
      <c r="L2" s="33"/>
      <c r="M2" s="33"/>
      <c r="N2" s="5"/>
      <c r="O2" s="34"/>
      <c r="P2" s="34"/>
      <c r="Q2" s="34"/>
      <c r="R2" s="34"/>
      <c r="S2" s="13"/>
      <c r="T2" s="13"/>
      <c r="U2" s="13"/>
      <c r="V2" s="61"/>
    </row>
    <row r="3" spans="1:29" ht="13.8" thickBot="1" x14ac:dyDescent="0.3">
      <c r="B3" s="1135" t="s">
        <v>636</v>
      </c>
      <c r="C3" s="1136"/>
      <c r="D3" s="1136"/>
      <c r="E3" s="1136"/>
      <c r="F3" s="1136"/>
      <c r="G3" s="1136"/>
      <c r="H3" s="1136"/>
      <c r="I3" s="1136"/>
      <c r="J3" s="1137"/>
      <c r="K3" s="1132" t="s">
        <v>637</v>
      </c>
      <c r="L3" s="1133"/>
      <c r="M3" s="1133"/>
      <c r="N3" s="1133"/>
      <c r="O3" s="1133"/>
      <c r="P3" s="1133"/>
      <c r="Q3" s="1133"/>
      <c r="R3" s="1133"/>
      <c r="S3" s="1133"/>
      <c r="T3" s="1133"/>
      <c r="U3" s="1134"/>
      <c r="V3" s="1135" t="s">
        <v>638</v>
      </c>
      <c r="W3" s="1136"/>
      <c r="X3" s="1136"/>
      <c r="Y3" s="1136"/>
      <c r="Z3" s="1136"/>
      <c r="AA3" s="1136"/>
      <c r="AB3" s="1136"/>
      <c r="AC3" s="1137"/>
    </row>
    <row r="4" spans="1:29" ht="13.8" thickBot="1" x14ac:dyDescent="0.3">
      <c r="B4" s="310"/>
      <c r="C4" s="311"/>
      <c r="D4" s="311"/>
      <c r="E4" s="311"/>
      <c r="F4" s="311"/>
      <c r="G4" s="311"/>
      <c r="H4" s="311"/>
      <c r="I4" s="311"/>
      <c r="J4" s="312"/>
      <c r="K4" s="313" t="s">
        <v>6</v>
      </c>
      <c r="L4" s="1147" t="s">
        <v>7</v>
      </c>
      <c r="M4" s="1153"/>
      <c r="N4" s="313" t="s">
        <v>8</v>
      </c>
      <c r="O4" s="1147" t="s">
        <v>10</v>
      </c>
      <c r="P4" s="1148"/>
      <c r="Q4" s="1148"/>
      <c r="R4" s="1149"/>
      <c r="S4" s="1132" t="s">
        <v>11</v>
      </c>
      <c r="T4" s="1133"/>
      <c r="U4" s="1134"/>
      <c r="V4" s="1138"/>
      <c r="W4" s="1139"/>
      <c r="X4" s="1139"/>
      <c r="Y4" s="1139"/>
      <c r="Z4" s="1139"/>
      <c r="AA4" s="1139"/>
      <c r="AB4" s="1139"/>
      <c r="AC4" s="1140"/>
    </row>
    <row r="5" spans="1:29" ht="13.8" thickBot="1" x14ac:dyDescent="0.3">
      <c r="B5" s="314" t="s">
        <v>6</v>
      </c>
      <c r="C5" s="1130" t="s">
        <v>7</v>
      </c>
      <c r="D5" s="1131"/>
      <c r="E5" s="315" t="s">
        <v>8</v>
      </c>
      <c r="F5" s="1150" t="s">
        <v>10</v>
      </c>
      <c r="G5" s="1151"/>
      <c r="H5" s="1151"/>
      <c r="I5" s="1152"/>
      <c r="J5" s="316" t="s">
        <v>245</v>
      </c>
      <c r="K5" s="317" t="s">
        <v>639</v>
      </c>
      <c r="L5" s="318" t="s">
        <v>640</v>
      </c>
      <c r="M5" s="319" t="s">
        <v>640</v>
      </c>
      <c r="N5" s="320" t="s">
        <v>641</v>
      </c>
      <c r="O5" s="1145" t="s">
        <v>642</v>
      </c>
      <c r="P5" s="1146"/>
      <c r="Q5" s="1145" t="s">
        <v>643</v>
      </c>
      <c r="R5" s="1146"/>
      <c r="S5" s="321"/>
      <c r="T5" s="321"/>
      <c r="U5" s="322"/>
      <c r="V5" s="1141" t="s">
        <v>6</v>
      </c>
      <c r="W5" s="1154" t="s">
        <v>7</v>
      </c>
      <c r="X5" s="1156"/>
      <c r="Y5" s="1141" t="s">
        <v>8</v>
      </c>
      <c r="Z5" s="1154" t="s">
        <v>10</v>
      </c>
      <c r="AA5" s="1155"/>
      <c r="AB5" s="1155"/>
      <c r="AC5" s="1156"/>
    </row>
    <row r="6" spans="1:29" ht="13.8" thickBot="1" x14ac:dyDescent="0.3">
      <c r="B6" s="323" t="str">
        <f>IF(Start!C15="x","Modified","Not Required")</f>
        <v>Not Required</v>
      </c>
      <c r="C6" s="323" t="str">
        <f>IF(Start!C16="x","SLRP","Not Required")</f>
        <v>Not Required</v>
      </c>
      <c r="D6" s="323" t="str">
        <f>IF(Start!C16="x","SLRP","Not Required")</f>
        <v>Not Required</v>
      </c>
      <c r="E6" s="323" t="str">
        <f>IF(Start!$C$17="x","","Not Required")</f>
        <v/>
      </c>
      <c r="F6" s="1143" t="s">
        <v>642</v>
      </c>
      <c r="G6" s="1144"/>
      <c r="H6" s="1143" t="s">
        <v>643</v>
      </c>
      <c r="I6" s="1144"/>
      <c r="J6" s="324" t="s">
        <v>262</v>
      </c>
      <c r="K6" s="317" t="s">
        <v>644</v>
      </c>
      <c r="L6" s="318" t="s">
        <v>645</v>
      </c>
      <c r="M6" s="317" t="s">
        <v>645</v>
      </c>
      <c r="N6" s="320" t="s">
        <v>646</v>
      </c>
      <c r="O6" s="319" t="s">
        <v>647</v>
      </c>
      <c r="P6" s="319" t="s">
        <v>647</v>
      </c>
      <c r="Q6" s="319" t="s">
        <v>647</v>
      </c>
      <c r="R6" s="319" t="s">
        <v>647</v>
      </c>
      <c r="S6" s="325" t="s">
        <v>648</v>
      </c>
      <c r="T6" s="325" t="s">
        <v>218</v>
      </c>
      <c r="U6" s="325" t="s">
        <v>218</v>
      </c>
      <c r="V6" s="1142"/>
      <c r="W6" s="1147"/>
      <c r="X6" s="1149"/>
      <c r="Y6" s="1142"/>
      <c r="Z6" s="1147"/>
      <c r="AA6" s="1148"/>
      <c r="AB6" s="1148"/>
      <c r="AC6" s="1149"/>
    </row>
    <row r="7" spans="1:29" ht="13.8" thickBot="1" x14ac:dyDescent="0.3">
      <c r="B7" s="326" t="str">
        <f>IF(Start!C15="x","Elutriate","based on")</f>
        <v>based on</v>
      </c>
      <c r="C7" s="326" t="str">
        <f>IF(Start!C16="x","Testing","based on")</f>
        <v>based on</v>
      </c>
      <c r="D7" s="326" t="str">
        <f>IF(Start!C16="x","Testing","based on")</f>
        <v>based on</v>
      </c>
      <c r="E7" s="326" t="str">
        <f>IF(Start!$C$17="x","Testing","based on")</f>
        <v>Testing</v>
      </c>
      <c r="F7" s="323" t="str">
        <f>IF(Start!C18="x","Testing ","Not Req. based")</f>
        <v xml:space="preserve">Testing </v>
      </c>
      <c r="G7" s="323" t="str">
        <f>IF(Start!C18="x","Testing ","Not Req. based")</f>
        <v xml:space="preserve">Testing </v>
      </c>
      <c r="H7" s="323" t="str">
        <f>IF(Start!C18="x","Testing ","Not Req. based")</f>
        <v xml:space="preserve">Testing </v>
      </c>
      <c r="I7" s="323" t="str">
        <f>IF(Start!C18="x","Testing ","Not Req. based")</f>
        <v xml:space="preserve">Testing </v>
      </c>
      <c r="J7" s="327" t="str">
        <f>IF(Start!C19="x","Testing","Not Required")</f>
        <v>Not Required</v>
      </c>
      <c r="K7" s="317" t="s">
        <v>649</v>
      </c>
      <c r="L7" s="318" t="s">
        <v>650</v>
      </c>
      <c r="M7" s="317" t="s">
        <v>650</v>
      </c>
      <c r="N7" s="320" t="s">
        <v>651</v>
      </c>
      <c r="O7" s="317" t="s">
        <v>652</v>
      </c>
      <c r="P7" s="317" t="s">
        <v>652</v>
      </c>
      <c r="Q7" s="317" t="s">
        <v>652</v>
      </c>
      <c r="R7" s="317" t="s">
        <v>652</v>
      </c>
      <c r="S7" s="325" t="s">
        <v>653</v>
      </c>
      <c r="T7" s="325" t="s">
        <v>654</v>
      </c>
      <c r="U7" s="325" t="s">
        <v>654</v>
      </c>
      <c r="V7" s="247"/>
      <c r="W7" s="1159" t="s">
        <v>236</v>
      </c>
      <c r="X7" s="1159" t="s">
        <v>254</v>
      </c>
      <c r="Y7" s="247"/>
      <c r="Z7" s="1157" t="s">
        <v>642</v>
      </c>
      <c r="AA7" s="1158"/>
      <c r="AB7" s="1157" t="s">
        <v>643</v>
      </c>
      <c r="AC7" s="1158"/>
    </row>
    <row r="8" spans="1:29" x14ac:dyDescent="0.25">
      <c r="B8" s="326" t="str">
        <f>IF(Start!C15="x","Testing","Tier I Results")</f>
        <v>Tier I Results</v>
      </c>
      <c r="C8" s="326" t="str">
        <f>IF(Start!C16="x","Required?","Tier I Results")</f>
        <v>Tier I Results</v>
      </c>
      <c r="D8" s="326" t="str">
        <f>IF(Start!C16="x","Required?","Tier I Results")</f>
        <v>Tier I Results</v>
      </c>
      <c r="E8" s="326" t="str">
        <f>IF(Start!$C$17="x","Required?","Tier I Results")</f>
        <v>Required?</v>
      </c>
      <c r="F8" s="326" t="str">
        <f>IF(Start!C18="x","Required?","on Tier I Result.")</f>
        <v>Required?</v>
      </c>
      <c r="G8" s="326" t="str">
        <f>IF(Start!C18="x","Required?","on Tier I Result.")</f>
        <v>Required?</v>
      </c>
      <c r="H8" s="326" t="str">
        <f>IF(Start!C18="x","Required?","on Tier I Result.")</f>
        <v>Required?</v>
      </c>
      <c r="I8" s="326" t="str">
        <f>IF(Start!C18="x","Required?","on Tier I Result.")</f>
        <v>Required?</v>
      </c>
      <c r="J8" s="327" t="str">
        <f>IF(Start!C19="x","Required?","based on")</f>
        <v>based on</v>
      </c>
      <c r="K8" s="317" t="s">
        <v>300</v>
      </c>
      <c r="L8" s="318" t="s">
        <v>314</v>
      </c>
      <c r="M8" s="317" t="s">
        <v>314</v>
      </c>
      <c r="N8" s="320" t="s">
        <v>655</v>
      </c>
      <c r="O8" s="317" t="s">
        <v>314</v>
      </c>
      <c r="P8" s="317" t="s">
        <v>314</v>
      </c>
      <c r="Q8" s="317" t="s">
        <v>314</v>
      </c>
      <c r="R8" s="317" t="s">
        <v>314</v>
      </c>
      <c r="S8" s="325" t="s">
        <v>656</v>
      </c>
      <c r="T8" s="325" t="s">
        <v>213</v>
      </c>
      <c r="U8" s="325" t="s">
        <v>300</v>
      </c>
      <c r="V8" s="1077"/>
      <c r="W8" s="1160"/>
      <c r="X8" s="1160"/>
      <c r="Y8" s="1077"/>
      <c r="Z8" s="618" t="s">
        <v>657</v>
      </c>
      <c r="AA8" s="618" t="s">
        <v>658</v>
      </c>
      <c r="AB8" s="618" t="s">
        <v>657</v>
      </c>
      <c r="AC8" s="618" t="s">
        <v>658</v>
      </c>
    </row>
    <row r="9" spans="1:29" ht="13.8" thickBot="1" x14ac:dyDescent="0.3">
      <c r="B9" s="328" t="str">
        <f>IF(Start!C15="x","Required?","")</f>
        <v/>
      </c>
      <c r="C9" s="329" t="s">
        <v>236</v>
      </c>
      <c r="D9" s="329" t="s">
        <v>254</v>
      </c>
      <c r="E9" s="328"/>
      <c r="F9" s="329" t="s">
        <v>659</v>
      </c>
      <c r="G9" s="329" t="s">
        <v>660</v>
      </c>
      <c r="H9" s="329" t="s">
        <v>659</v>
      </c>
      <c r="I9" s="329" t="s">
        <v>660</v>
      </c>
      <c r="J9" s="330" t="str">
        <f>IF(Start!C19="x","","Tier I Results")</f>
        <v>Tier I Results</v>
      </c>
      <c r="K9" s="331" t="s">
        <v>314</v>
      </c>
      <c r="L9" s="332" t="s">
        <v>236</v>
      </c>
      <c r="M9" s="333" t="s">
        <v>254</v>
      </c>
      <c r="N9" s="334" t="s">
        <v>314</v>
      </c>
      <c r="O9" s="333" t="s">
        <v>105</v>
      </c>
      <c r="P9" s="333" t="s">
        <v>661</v>
      </c>
      <c r="Q9" s="333" t="s">
        <v>105</v>
      </c>
      <c r="R9" s="333" t="s">
        <v>661</v>
      </c>
      <c r="S9" s="684" t="s">
        <v>662</v>
      </c>
      <c r="T9" s="335" t="s">
        <v>291</v>
      </c>
      <c r="U9" s="335" t="s">
        <v>314</v>
      </c>
      <c r="V9" s="619" t="s">
        <v>663</v>
      </c>
      <c r="W9" s="619" t="s">
        <v>663</v>
      </c>
      <c r="X9" s="619" t="s">
        <v>663</v>
      </c>
      <c r="Y9" s="619" t="s">
        <v>663</v>
      </c>
      <c r="Z9" s="619" t="s">
        <v>664</v>
      </c>
      <c r="AA9" s="619" t="s">
        <v>664</v>
      </c>
      <c r="AB9" s="619" t="s">
        <v>664</v>
      </c>
      <c r="AC9" s="619" t="s">
        <v>664</v>
      </c>
    </row>
    <row r="10" spans="1:29" x14ac:dyDescent="0.25">
      <c r="A10" s="554" t="s">
        <v>326</v>
      </c>
      <c r="B10" s="555"/>
      <c r="C10" s="556"/>
      <c r="D10" s="557"/>
      <c r="E10" s="558"/>
      <c r="F10" s="559"/>
      <c r="G10" s="560"/>
      <c r="H10" s="560"/>
      <c r="I10" s="561"/>
      <c r="J10" s="558"/>
      <c r="K10" s="507"/>
      <c r="L10" s="511"/>
      <c r="M10" s="513"/>
      <c r="N10" s="507"/>
      <c r="O10" s="511"/>
      <c r="P10" s="512"/>
      <c r="Q10" s="512"/>
      <c r="R10" s="513"/>
      <c r="S10" s="544"/>
      <c r="T10" s="562"/>
      <c r="U10" s="563"/>
      <c r="V10" s="527"/>
      <c r="W10" s="511"/>
      <c r="X10" s="513"/>
      <c r="Y10" s="901"/>
      <c r="Z10" s="511"/>
      <c r="AA10" s="615"/>
      <c r="AB10" s="616"/>
      <c r="AC10" s="617"/>
    </row>
    <row r="11" spans="1:29" x14ac:dyDescent="0.25">
      <c r="A11" s="56" t="s">
        <v>327</v>
      </c>
      <c r="B11" s="336" t="str">
        <f>IF(Start!$C$15="x",('H-Effluent'!B11),"---")</f>
        <v>---</v>
      </c>
      <c r="C11" s="337" t="str">
        <f>IF(Start!$C$16="x",'H-Runoff'!B11,"---")</f>
        <v>---</v>
      </c>
      <c r="D11" s="338" t="str">
        <f>IF(Start!$C$16="x",'H-Runoff'!C11,"---")</f>
        <v>---</v>
      </c>
      <c r="E11" s="868" t="str">
        <f>IF(Start!$C$17="x",'H-Leachate'!B11,"---")</f>
        <v/>
      </c>
      <c r="F11" s="340" t="str">
        <f>IF(Start!$C$18="x",('H-Volatilization'!B11),"---")</f>
        <v/>
      </c>
      <c r="G11" s="341" t="str">
        <f>IF(Start!$C$18="x",('H-Volatilization'!C11),"---")</f>
        <v/>
      </c>
      <c r="H11" s="341" t="str">
        <f>IF(Start!$C$18="x",('H-Volatilization'!D11),"---")</f>
        <v/>
      </c>
      <c r="I11" s="342" t="str">
        <f>IF(Start!$C$18="x",('H-Volatilization'!E11),"---")</f>
        <v/>
      </c>
      <c r="J11" s="339" t="str">
        <f>IF(Start!$C$19="x",'H-Plant &amp; Animal'!B11,"---")</f>
        <v>---</v>
      </c>
      <c r="K11" s="343" t="str">
        <f>'H-Effluent'!Q11</f>
        <v>Not Req.</v>
      </c>
      <c r="L11" s="286" t="str">
        <f>'H-Runoff'!T11</f>
        <v>Not Req.</v>
      </c>
      <c r="M11" s="344" t="str">
        <f>'H-Runoff'!U11</f>
        <v>Not Req.</v>
      </c>
      <c r="N11" s="343" t="str">
        <f>'H-Leachate'!O11</f>
        <v/>
      </c>
      <c r="O11" s="283" t="str">
        <f>'H-Volatilization'!AV11</f>
        <v/>
      </c>
      <c r="P11" s="284" t="str">
        <f>'H-Volatilization'!AW11</f>
        <v/>
      </c>
      <c r="Q11" s="284" t="str">
        <f>'H-Volatilization'!AX11</f>
        <v/>
      </c>
      <c r="R11" s="285" t="str">
        <f>'H-Volatilization'!AY11</f>
        <v/>
      </c>
      <c r="S11" s="343" t="str">
        <f>'H-Plant &amp; Animal'!K11</f>
        <v>Not Req.</v>
      </c>
      <c r="T11" s="345" t="str">
        <f>'H-Plant &amp; Animal'!L11</f>
        <v>Not Req.</v>
      </c>
      <c r="U11" s="346" t="str">
        <f>'H-Plant &amp; Animal'!M11</f>
        <v>Not Req.</v>
      </c>
      <c r="V11" s="794" t="str">
        <f>'H-Effluent'!O11</f>
        <v>---</v>
      </c>
      <c r="W11" s="797" t="str">
        <f>'H-Runoff'!Q11</f>
        <v>---</v>
      </c>
      <c r="X11" s="799" t="str">
        <f>'H-Runoff'!S11</f>
        <v>---</v>
      </c>
      <c r="Y11" s="794" t="str">
        <f>'H-Leachate'!N11</f>
        <v>NA</v>
      </c>
      <c r="Z11" s="797" t="str">
        <f>'H-Volatilization'!AD11</f>
        <v>NA</v>
      </c>
      <c r="AA11" s="798" t="str">
        <f>'H-Volatilization'!AF11</f>
        <v>NA</v>
      </c>
      <c r="AB11" s="798" t="str">
        <f>'H-Volatilization'!AO11</f>
        <v>NA</v>
      </c>
      <c r="AC11" s="799" t="str">
        <f>'H-Volatilization'!AU11</f>
        <v>NA</v>
      </c>
    </row>
    <row r="12" spans="1:29" x14ac:dyDescent="0.25">
      <c r="A12" s="56" t="s">
        <v>330</v>
      </c>
      <c r="B12" s="336" t="str">
        <f>IF(Start!$C$15="x",('H-Effluent'!B12),"---")</f>
        <v>---</v>
      </c>
      <c r="C12" s="337" t="str">
        <f>IF(Start!$C$16="x",'H-Runoff'!B12,"---")</f>
        <v>---</v>
      </c>
      <c r="D12" s="338" t="str">
        <f>IF(Start!$C$16="x",'H-Runoff'!C12,"---")</f>
        <v>---</v>
      </c>
      <c r="E12" s="868" t="str">
        <f>IF(Start!$C$17="x",'H-Leachate'!B12,"---")</f>
        <v/>
      </c>
      <c r="F12" s="340" t="str">
        <f>IF(Start!$C$18="x",('H-Volatilization'!B12),"---")</f>
        <v/>
      </c>
      <c r="G12" s="341" t="str">
        <f>IF(Start!$C$18="x",('H-Volatilization'!C12),"---")</f>
        <v/>
      </c>
      <c r="H12" s="341" t="str">
        <f>IF(Start!$C$18="x",('H-Volatilization'!D12),"---")</f>
        <v/>
      </c>
      <c r="I12" s="342" t="str">
        <f>IF(Start!$C$18="x",('H-Volatilization'!E12),"---")</f>
        <v/>
      </c>
      <c r="J12" s="339" t="str">
        <f>IF(Start!$C$19="x",'H-Plant &amp; Animal'!B12,"---")</f>
        <v>---</v>
      </c>
      <c r="K12" s="343" t="str">
        <f>'H-Effluent'!Q12</f>
        <v>Not Req.</v>
      </c>
      <c r="L12" s="286" t="str">
        <f>'H-Runoff'!T12</f>
        <v>Not Req.</v>
      </c>
      <c r="M12" s="344" t="str">
        <f>'H-Runoff'!U12</f>
        <v>Not Req.</v>
      </c>
      <c r="N12" s="343" t="str">
        <f>'H-Leachate'!O12</f>
        <v/>
      </c>
      <c r="O12" s="283" t="str">
        <f>'H-Volatilization'!AV12</f>
        <v/>
      </c>
      <c r="P12" s="284" t="str">
        <f>'H-Volatilization'!AW12</f>
        <v/>
      </c>
      <c r="Q12" s="284" t="str">
        <f>'H-Volatilization'!AX12</f>
        <v/>
      </c>
      <c r="R12" s="285" t="str">
        <f>'H-Volatilization'!AY12</f>
        <v/>
      </c>
      <c r="S12" s="343" t="str">
        <f>'H-Plant &amp; Animal'!K12</f>
        <v>Not Req.</v>
      </c>
      <c r="T12" s="345" t="str">
        <f>'H-Plant &amp; Animal'!L12</f>
        <v>Not Req.</v>
      </c>
      <c r="U12" s="346" t="str">
        <f>'H-Plant &amp; Animal'!M12</f>
        <v>Not Req.</v>
      </c>
      <c r="V12" s="794" t="str">
        <f>'H-Effluent'!O12</f>
        <v>---</v>
      </c>
      <c r="W12" s="797" t="str">
        <f>'H-Runoff'!Q12</f>
        <v>---</v>
      </c>
      <c r="X12" s="799" t="str">
        <f>'H-Runoff'!S12</f>
        <v>---</v>
      </c>
      <c r="Y12" s="794" t="str">
        <f>'H-Leachate'!N12</f>
        <v>NA</v>
      </c>
      <c r="Z12" s="797" t="str">
        <f>'H-Volatilization'!AD12</f>
        <v>NA</v>
      </c>
      <c r="AA12" s="798" t="str">
        <f>'H-Volatilization'!AF12</f>
        <v>NA</v>
      </c>
      <c r="AB12" s="798" t="str">
        <f>'H-Volatilization'!AO12</f>
        <v>NA</v>
      </c>
      <c r="AC12" s="799" t="str">
        <f>'H-Volatilization'!AU12</f>
        <v>NA</v>
      </c>
    </row>
    <row r="13" spans="1:29" x14ac:dyDescent="0.25">
      <c r="A13" s="56" t="s">
        <v>331</v>
      </c>
      <c r="B13" s="336" t="str">
        <f>IF(Start!$C$15="x",('H-Effluent'!B13),"---")</f>
        <v>---</v>
      </c>
      <c r="C13" s="337" t="str">
        <f>IF(Start!$C$16="x",'H-Runoff'!B13,"---")</f>
        <v>---</v>
      </c>
      <c r="D13" s="338" t="str">
        <f>IF(Start!$C$16="x",'H-Runoff'!C13,"---")</f>
        <v>---</v>
      </c>
      <c r="E13" s="868" t="str">
        <f>IF(Start!$C$17="x",'H-Leachate'!B13,"---")</f>
        <v/>
      </c>
      <c r="F13" s="340" t="str">
        <f>IF(Start!$C$18="x",('H-Volatilization'!B13),"---")</f>
        <v/>
      </c>
      <c r="G13" s="341" t="str">
        <f>IF(Start!$C$18="x",('H-Volatilization'!C13),"---")</f>
        <v/>
      </c>
      <c r="H13" s="341" t="str">
        <f>IF(Start!$C$18="x",('H-Volatilization'!D13),"---")</f>
        <v/>
      </c>
      <c r="I13" s="342" t="str">
        <f>IF(Start!$C$18="x",('H-Volatilization'!E13),"---")</f>
        <v/>
      </c>
      <c r="J13" s="339" t="str">
        <f>IF(Start!$C$19="x",'H-Plant &amp; Animal'!B13,"---")</f>
        <v>---</v>
      </c>
      <c r="K13" s="343" t="str">
        <f>'H-Effluent'!Q13</f>
        <v>Not Req.</v>
      </c>
      <c r="L13" s="286" t="str">
        <f>'H-Runoff'!T13</f>
        <v>Not Req.</v>
      </c>
      <c r="M13" s="344" t="str">
        <f>'H-Runoff'!U13</f>
        <v>Not Req.</v>
      </c>
      <c r="N13" s="343" t="str">
        <f>'H-Leachate'!O13</f>
        <v/>
      </c>
      <c r="O13" s="283" t="str">
        <f>'H-Volatilization'!AV13</f>
        <v/>
      </c>
      <c r="P13" s="284" t="str">
        <f>'H-Volatilization'!AW13</f>
        <v/>
      </c>
      <c r="Q13" s="284" t="str">
        <f>'H-Volatilization'!AX13</f>
        <v/>
      </c>
      <c r="R13" s="285" t="str">
        <f>'H-Volatilization'!AY13</f>
        <v/>
      </c>
      <c r="S13" s="343" t="str">
        <f>'H-Plant &amp; Animal'!K13</f>
        <v>Not Req.</v>
      </c>
      <c r="T13" s="345" t="str">
        <f>'H-Plant &amp; Animal'!L13</f>
        <v>Not Req.</v>
      </c>
      <c r="U13" s="346" t="str">
        <f>'H-Plant &amp; Animal'!M13</f>
        <v>Not Req.</v>
      </c>
      <c r="V13" s="794" t="str">
        <f>'H-Effluent'!O13</f>
        <v>---</v>
      </c>
      <c r="W13" s="797" t="str">
        <f>'H-Runoff'!Q13</f>
        <v>---</v>
      </c>
      <c r="X13" s="799" t="str">
        <f>'H-Runoff'!S13</f>
        <v>---</v>
      </c>
      <c r="Y13" s="794" t="str">
        <f>'H-Leachate'!N13</f>
        <v>NA</v>
      </c>
      <c r="Z13" s="797" t="str">
        <f>'H-Volatilization'!AD13</f>
        <v>NA</v>
      </c>
      <c r="AA13" s="798" t="str">
        <f>'H-Volatilization'!AF13</f>
        <v>NA</v>
      </c>
      <c r="AB13" s="798" t="str">
        <f>'H-Volatilization'!AO13</f>
        <v>NA</v>
      </c>
      <c r="AC13" s="799" t="str">
        <f>'H-Volatilization'!AU13</f>
        <v>NA</v>
      </c>
    </row>
    <row r="14" spans="1:29" x14ac:dyDescent="0.25">
      <c r="A14" s="56" t="s">
        <v>332</v>
      </c>
      <c r="B14" s="336" t="str">
        <f>IF(Start!$C$15="x",('H-Effluent'!B14),"---")</f>
        <v>---</v>
      </c>
      <c r="C14" s="337" t="str">
        <f>IF(Start!$C$16="x",'H-Runoff'!B14,"---")</f>
        <v>---</v>
      </c>
      <c r="D14" s="338" t="str">
        <f>IF(Start!$C$16="x",'H-Runoff'!C14,"---")</f>
        <v>---</v>
      </c>
      <c r="E14" s="868" t="str">
        <f>IF(Start!$C$17="x",'H-Leachate'!B14,"---")</f>
        <v/>
      </c>
      <c r="F14" s="340" t="str">
        <f>IF(Start!$C$18="x",('H-Volatilization'!B14),"---")</f>
        <v/>
      </c>
      <c r="G14" s="341" t="str">
        <f>IF(Start!$C$18="x",('H-Volatilization'!C14),"---")</f>
        <v/>
      </c>
      <c r="H14" s="341" t="str">
        <f>IF(Start!$C$18="x",('H-Volatilization'!D14),"---")</f>
        <v/>
      </c>
      <c r="I14" s="342" t="str">
        <f>IF(Start!$C$18="x",('H-Volatilization'!E14),"---")</f>
        <v/>
      </c>
      <c r="J14" s="339" t="str">
        <f>IF(Start!$C$19="x",'H-Plant &amp; Animal'!B14,"---")</f>
        <v>---</v>
      </c>
      <c r="K14" s="343" t="str">
        <f>'H-Effluent'!Q14</f>
        <v>Not Req.</v>
      </c>
      <c r="L14" s="286" t="str">
        <f>'H-Runoff'!T14</f>
        <v>Not Req.</v>
      </c>
      <c r="M14" s="344" t="str">
        <f>'H-Runoff'!U14</f>
        <v>Not Req.</v>
      </c>
      <c r="N14" s="343" t="str">
        <f>'H-Leachate'!O14</f>
        <v/>
      </c>
      <c r="O14" s="283" t="str">
        <f>'H-Volatilization'!AV14</f>
        <v/>
      </c>
      <c r="P14" s="284" t="str">
        <f>'H-Volatilization'!AW14</f>
        <v/>
      </c>
      <c r="Q14" s="284" t="str">
        <f>'H-Volatilization'!AX14</f>
        <v/>
      </c>
      <c r="R14" s="285" t="str">
        <f>'H-Volatilization'!AY14</f>
        <v/>
      </c>
      <c r="S14" s="343" t="str">
        <f>'H-Plant &amp; Animal'!K14</f>
        <v>Not Req.</v>
      </c>
      <c r="T14" s="345" t="str">
        <f>'H-Plant &amp; Animal'!L14</f>
        <v>Not Req.</v>
      </c>
      <c r="U14" s="346" t="str">
        <f>'H-Plant &amp; Animal'!M14</f>
        <v>Not Req.</v>
      </c>
      <c r="V14" s="794" t="str">
        <f>'H-Effluent'!O14</f>
        <v>---</v>
      </c>
      <c r="W14" s="797" t="str">
        <f>'H-Runoff'!Q14</f>
        <v>---</v>
      </c>
      <c r="X14" s="799" t="str">
        <f>'H-Runoff'!S14</f>
        <v>---</v>
      </c>
      <c r="Y14" s="794" t="str">
        <f>'H-Leachate'!N14</f>
        <v>NA</v>
      </c>
      <c r="Z14" s="797" t="str">
        <f>'H-Volatilization'!AD14</f>
        <v>NA</v>
      </c>
      <c r="AA14" s="798" t="str">
        <f>'H-Volatilization'!AF14</f>
        <v>NA</v>
      </c>
      <c r="AB14" s="798" t="str">
        <f>'H-Volatilization'!AO14</f>
        <v>NA</v>
      </c>
      <c r="AC14" s="799" t="str">
        <f>'H-Volatilization'!AU14</f>
        <v>NA</v>
      </c>
    </row>
    <row r="15" spans="1:29" x14ac:dyDescent="0.25">
      <c r="A15" s="56" t="s">
        <v>333</v>
      </c>
      <c r="B15" s="336" t="str">
        <f>IF(Start!$C$15="x",('H-Effluent'!B15),"---")</f>
        <v>---</v>
      </c>
      <c r="C15" s="337" t="str">
        <f>IF(Start!$C$16="x",'H-Runoff'!B15,"---")</f>
        <v>---</v>
      </c>
      <c r="D15" s="338" t="str">
        <f>IF(Start!$C$16="x",'H-Runoff'!C15,"---")</f>
        <v>---</v>
      </c>
      <c r="E15" s="868" t="str">
        <f>IF(Start!$C$17="x",'H-Leachate'!B15,"---")</f>
        <v/>
      </c>
      <c r="F15" s="340" t="str">
        <f>IF(Start!$C$18="x",('H-Volatilization'!B15),"---")</f>
        <v/>
      </c>
      <c r="G15" s="341" t="str">
        <f>IF(Start!$C$18="x",('H-Volatilization'!C15),"---")</f>
        <v/>
      </c>
      <c r="H15" s="341" t="str">
        <f>IF(Start!$C$18="x",('H-Volatilization'!D15),"---")</f>
        <v/>
      </c>
      <c r="I15" s="342" t="str">
        <f>IF(Start!$C$18="x",('H-Volatilization'!E15),"---")</f>
        <v/>
      </c>
      <c r="J15" s="339" t="str">
        <f>IF(Start!$C$19="x",'H-Plant &amp; Animal'!B15,"---")</f>
        <v>---</v>
      </c>
      <c r="K15" s="343" t="str">
        <f>'H-Effluent'!Q15</f>
        <v>Not Req.</v>
      </c>
      <c r="L15" s="286" t="str">
        <f>'H-Runoff'!T15</f>
        <v>Not Req.</v>
      </c>
      <c r="M15" s="344" t="str">
        <f>'H-Runoff'!U15</f>
        <v>Not Req.</v>
      </c>
      <c r="N15" s="343" t="str">
        <f>'H-Leachate'!O15</f>
        <v/>
      </c>
      <c r="O15" s="283" t="str">
        <f>'H-Volatilization'!AV15</f>
        <v/>
      </c>
      <c r="P15" s="284" t="str">
        <f>'H-Volatilization'!AW15</f>
        <v/>
      </c>
      <c r="Q15" s="284" t="str">
        <f>'H-Volatilization'!AX15</f>
        <v/>
      </c>
      <c r="R15" s="285" t="str">
        <f>'H-Volatilization'!AY15</f>
        <v/>
      </c>
      <c r="S15" s="343" t="str">
        <f>'H-Plant &amp; Animal'!K15</f>
        <v>Not Req.</v>
      </c>
      <c r="T15" s="345" t="str">
        <f>'H-Plant &amp; Animal'!L15</f>
        <v>Not Req.</v>
      </c>
      <c r="U15" s="346" t="str">
        <f>'H-Plant &amp; Animal'!M15</f>
        <v>Not Req.</v>
      </c>
      <c r="V15" s="794" t="str">
        <f>'H-Effluent'!O15</f>
        <v>---</v>
      </c>
      <c r="W15" s="797" t="str">
        <f>'H-Runoff'!Q15</f>
        <v>---</v>
      </c>
      <c r="X15" s="799" t="str">
        <f>'H-Runoff'!S15</f>
        <v>---</v>
      </c>
      <c r="Y15" s="794" t="str">
        <f>'H-Leachate'!N15</f>
        <v>NA</v>
      </c>
      <c r="Z15" s="797" t="str">
        <f>'H-Volatilization'!AD15</f>
        <v>NA</v>
      </c>
      <c r="AA15" s="798" t="str">
        <f>'H-Volatilization'!AF15</f>
        <v>NA</v>
      </c>
      <c r="AB15" s="798" t="str">
        <f>'H-Volatilization'!AO15</f>
        <v>NA</v>
      </c>
      <c r="AC15" s="799" t="str">
        <f>'H-Volatilization'!AU15</f>
        <v>NA</v>
      </c>
    </row>
    <row r="16" spans="1:29" x14ac:dyDescent="0.25">
      <c r="A16" s="56" t="s">
        <v>334</v>
      </c>
      <c r="B16" s="336" t="str">
        <f>IF(Start!$C$15="x",('H-Effluent'!B16),"---")</f>
        <v>---</v>
      </c>
      <c r="C16" s="337" t="str">
        <f>IF(Start!$C$16="x",'H-Runoff'!B16,"---")</f>
        <v>---</v>
      </c>
      <c r="D16" s="338" t="str">
        <f>IF(Start!$C$16="x",'H-Runoff'!C16,"---")</f>
        <v>---</v>
      </c>
      <c r="E16" s="868" t="str">
        <f>IF(Start!$C$17="x",'H-Leachate'!B16,"---")</f>
        <v/>
      </c>
      <c r="F16" s="340" t="str">
        <f>IF(Start!$C$18="x",('H-Volatilization'!B16),"---")</f>
        <v/>
      </c>
      <c r="G16" s="341" t="str">
        <f>IF(Start!$C$18="x",('H-Volatilization'!C16),"---")</f>
        <v/>
      </c>
      <c r="H16" s="341" t="str">
        <f>IF(Start!$C$18="x",('H-Volatilization'!D16),"---")</f>
        <v/>
      </c>
      <c r="I16" s="342" t="str">
        <f>IF(Start!$C$18="x",('H-Volatilization'!E16),"---")</f>
        <v/>
      </c>
      <c r="J16" s="339" t="str">
        <f>IF(Start!$C$19="x",'H-Plant &amp; Animal'!B16,"---")</f>
        <v>---</v>
      </c>
      <c r="K16" s="343" t="str">
        <f>'H-Effluent'!Q16</f>
        <v>Not Req.</v>
      </c>
      <c r="L16" s="286" t="str">
        <f>'H-Runoff'!T16</f>
        <v>Not Req.</v>
      </c>
      <c r="M16" s="344" t="str">
        <f>'H-Runoff'!U16</f>
        <v>Not Req.</v>
      </c>
      <c r="N16" s="343" t="str">
        <f>'H-Leachate'!O16</f>
        <v/>
      </c>
      <c r="O16" s="283" t="str">
        <f>'H-Volatilization'!AV16</f>
        <v/>
      </c>
      <c r="P16" s="284" t="str">
        <f>'H-Volatilization'!AW16</f>
        <v/>
      </c>
      <c r="Q16" s="284" t="str">
        <f>'H-Volatilization'!AX16</f>
        <v/>
      </c>
      <c r="R16" s="285" t="str">
        <f>'H-Volatilization'!AY16</f>
        <v/>
      </c>
      <c r="S16" s="343" t="str">
        <f>'H-Plant &amp; Animal'!K16</f>
        <v>Not Req.</v>
      </c>
      <c r="T16" s="345" t="str">
        <f>'H-Plant &amp; Animal'!L16</f>
        <v>Not Req.</v>
      </c>
      <c r="U16" s="346" t="str">
        <f>'H-Plant &amp; Animal'!M16</f>
        <v>Not Req.</v>
      </c>
      <c r="V16" s="794" t="str">
        <f>'H-Effluent'!O16</f>
        <v>---</v>
      </c>
      <c r="W16" s="797" t="str">
        <f>'H-Runoff'!Q16</f>
        <v>---</v>
      </c>
      <c r="X16" s="799" t="str">
        <f>'H-Runoff'!S16</f>
        <v>---</v>
      </c>
      <c r="Y16" s="794" t="str">
        <f>'H-Leachate'!N16</f>
        <v>NA</v>
      </c>
      <c r="Z16" s="797" t="str">
        <f>'H-Volatilization'!AD16</f>
        <v>NA</v>
      </c>
      <c r="AA16" s="798" t="str">
        <f>'H-Volatilization'!AF16</f>
        <v>NA</v>
      </c>
      <c r="AB16" s="798" t="str">
        <f>'H-Volatilization'!AO16</f>
        <v>NA</v>
      </c>
      <c r="AC16" s="799" t="str">
        <f>'H-Volatilization'!AU16</f>
        <v>NA</v>
      </c>
    </row>
    <row r="17" spans="1:29" x14ac:dyDescent="0.25">
      <c r="A17" s="56" t="s">
        <v>335</v>
      </c>
      <c r="B17" s="336" t="str">
        <f>IF(Start!$C$15="x",('H-Effluent'!B17),"---")</f>
        <v>---</v>
      </c>
      <c r="C17" s="337" t="str">
        <f>IF(Start!$C$16="x",'H-Runoff'!B17,"---")</f>
        <v>---</v>
      </c>
      <c r="D17" s="338" t="str">
        <f>IF(Start!$C$16="x",'H-Runoff'!C17,"---")</f>
        <v>---</v>
      </c>
      <c r="E17" s="868" t="str">
        <f>IF(Start!$C$17="x",'H-Leachate'!B17,"---")</f>
        <v/>
      </c>
      <c r="F17" s="340" t="str">
        <f>IF(Start!$C$18="x",('H-Volatilization'!B17),"---")</f>
        <v/>
      </c>
      <c r="G17" s="341" t="str">
        <f>IF(Start!$C$18="x",('H-Volatilization'!C17),"---")</f>
        <v/>
      </c>
      <c r="H17" s="341" t="str">
        <f>IF(Start!$C$18="x",('H-Volatilization'!D17),"---")</f>
        <v/>
      </c>
      <c r="I17" s="342" t="str">
        <f>IF(Start!$C$18="x",('H-Volatilization'!E17),"---")</f>
        <v/>
      </c>
      <c r="J17" s="339" t="str">
        <f>IF(Start!$C$19="x",'H-Plant &amp; Animal'!B17,"---")</f>
        <v>---</v>
      </c>
      <c r="K17" s="343" t="str">
        <f>'H-Effluent'!Q17</f>
        <v>Not Req.</v>
      </c>
      <c r="L17" s="286" t="str">
        <f>'H-Runoff'!T17</f>
        <v>Not Req.</v>
      </c>
      <c r="M17" s="344" t="str">
        <f>'H-Runoff'!U17</f>
        <v>Not Req.</v>
      </c>
      <c r="N17" s="343" t="str">
        <f>'H-Leachate'!O17</f>
        <v/>
      </c>
      <c r="O17" s="283" t="str">
        <f>'H-Volatilization'!AV17</f>
        <v/>
      </c>
      <c r="P17" s="284" t="str">
        <f>'H-Volatilization'!AW17</f>
        <v/>
      </c>
      <c r="Q17" s="284" t="str">
        <f>'H-Volatilization'!AX17</f>
        <v/>
      </c>
      <c r="R17" s="285" t="str">
        <f>'H-Volatilization'!AY17</f>
        <v/>
      </c>
      <c r="S17" s="343" t="str">
        <f>'H-Plant &amp; Animal'!K17</f>
        <v>Not Req.</v>
      </c>
      <c r="T17" s="345" t="str">
        <f>'H-Plant &amp; Animal'!L17</f>
        <v>Not Req.</v>
      </c>
      <c r="U17" s="346" t="str">
        <f>'H-Plant &amp; Animal'!M17</f>
        <v>Not Req.</v>
      </c>
      <c r="V17" s="794" t="str">
        <f>'H-Effluent'!O17</f>
        <v>---</v>
      </c>
      <c r="W17" s="797" t="str">
        <f>'H-Runoff'!Q17</f>
        <v>---</v>
      </c>
      <c r="X17" s="799" t="str">
        <f>'H-Runoff'!S17</f>
        <v>---</v>
      </c>
      <c r="Y17" s="794" t="str">
        <f>'H-Leachate'!N17</f>
        <v>NA</v>
      </c>
      <c r="Z17" s="797" t="str">
        <f>'H-Volatilization'!AD17</f>
        <v>NA</v>
      </c>
      <c r="AA17" s="798" t="str">
        <f>'H-Volatilization'!AF17</f>
        <v>NA</v>
      </c>
      <c r="AB17" s="798" t="str">
        <f>'H-Volatilization'!AO17</f>
        <v>NA</v>
      </c>
      <c r="AC17" s="799" t="str">
        <f>'H-Volatilization'!AU17</f>
        <v>NA</v>
      </c>
    </row>
    <row r="18" spans="1:29" x14ac:dyDescent="0.25">
      <c r="A18" s="56" t="s">
        <v>336</v>
      </c>
      <c r="B18" s="1000" t="str">
        <f>IF(Start!$C$15="x",('H-Effluent'!B18),"---")</f>
        <v>---</v>
      </c>
      <c r="C18" s="337" t="str">
        <f>IF(Start!$C$16="x",'H-Runoff'!B18,"---")</f>
        <v>---</v>
      </c>
      <c r="D18" s="338" t="str">
        <f>IF(Start!$C$16="x",'H-Runoff'!C18,"---")</f>
        <v>---</v>
      </c>
      <c r="E18" s="868" t="str">
        <f>IF(Start!$C$17="x",'H-Leachate'!B18,"---")</f>
        <v/>
      </c>
      <c r="F18" s="1001" t="str">
        <f>IF(Start!$C$18="x",('H-Volatilization'!B18),"---")</f>
        <v/>
      </c>
      <c r="G18" s="1002" t="str">
        <f>IF(Start!$C$18="x",('H-Volatilization'!C18),"---")</f>
        <v/>
      </c>
      <c r="H18" s="1002" t="str">
        <f>IF(Start!$C$18="x",('H-Volatilization'!D18),"---")</f>
        <v/>
      </c>
      <c r="I18" s="1003" t="str">
        <f>IF(Start!$C$18="x",('H-Volatilization'!E18),"---")</f>
        <v/>
      </c>
      <c r="J18" s="1004" t="str">
        <f>IF(Start!$C$19="x",'H-Plant &amp; Animal'!B18,"---")</f>
        <v>---</v>
      </c>
      <c r="K18" s="1005" t="str">
        <f>'H-Effluent'!Q18</f>
        <v>Not Req.</v>
      </c>
      <c r="L18" s="286" t="str">
        <f>'H-Runoff'!T18</f>
        <v>Not Req.</v>
      </c>
      <c r="M18" s="344" t="str">
        <f>'H-Runoff'!U18</f>
        <v>Not Req.</v>
      </c>
      <c r="N18" s="343" t="str">
        <f>'H-Leachate'!O18</f>
        <v/>
      </c>
      <c r="O18" s="1006" t="str">
        <f>'H-Volatilization'!AV18</f>
        <v/>
      </c>
      <c r="P18" s="1007" t="str">
        <f>'H-Volatilization'!AW18</f>
        <v/>
      </c>
      <c r="Q18" s="1007" t="str">
        <f>'H-Volatilization'!AX18</f>
        <v/>
      </c>
      <c r="R18" s="1008" t="str">
        <f>'H-Volatilization'!AY18</f>
        <v/>
      </c>
      <c r="S18" s="1005" t="str">
        <f>'H-Plant &amp; Animal'!K18</f>
        <v>Not Req.</v>
      </c>
      <c r="T18" s="1009" t="str">
        <f>'H-Plant &amp; Animal'!L18</f>
        <v>Not Req.</v>
      </c>
      <c r="U18" s="1010" t="str">
        <f>'H-Plant &amp; Animal'!M18</f>
        <v>Not Req.</v>
      </c>
      <c r="V18" s="1011" t="str">
        <f>'H-Effluent'!O18</f>
        <v>---</v>
      </c>
      <c r="W18" s="797" t="str">
        <f>'H-Runoff'!Q18</f>
        <v>---</v>
      </c>
      <c r="X18" s="799" t="str">
        <f>'H-Runoff'!S18</f>
        <v>---</v>
      </c>
      <c r="Y18" s="794" t="str">
        <f>'H-Leachate'!N18</f>
        <v>NA</v>
      </c>
      <c r="Z18" s="1012" t="str">
        <f>'H-Volatilization'!AD18</f>
        <v>NA</v>
      </c>
      <c r="AA18" s="1013" t="str">
        <f>'H-Volatilization'!AF18</f>
        <v>NA</v>
      </c>
      <c r="AB18" s="1013" t="str">
        <f>'H-Volatilization'!AO18</f>
        <v>NA</v>
      </c>
      <c r="AC18" s="1014" t="str">
        <f>'H-Volatilization'!AU18</f>
        <v>NA</v>
      </c>
    </row>
    <row r="19" spans="1:29" x14ac:dyDescent="0.25">
      <c r="A19" s="56" t="s">
        <v>337</v>
      </c>
      <c r="B19" s="336" t="str">
        <f>IF(Start!$C$15="x",('H-Effluent'!B19),"---")</f>
        <v>---</v>
      </c>
      <c r="C19" s="337" t="str">
        <f>IF(Start!$C$16="x",'H-Runoff'!B19,"---")</f>
        <v>---</v>
      </c>
      <c r="D19" s="338" t="str">
        <f>IF(Start!$C$16="x",'H-Runoff'!C19,"---")</f>
        <v>---</v>
      </c>
      <c r="E19" s="1015" t="str">
        <f>IF(Start!$C$17="x",'H-Leachate'!B19,"---")</f>
        <v/>
      </c>
      <c r="F19" s="340" t="str">
        <f>IF(Start!$C$18="x",('H-Volatilization'!B19),"---")</f>
        <v/>
      </c>
      <c r="G19" s="341" t="str">
        <f>IF(Start!$C$18="x",('H-Volatilization'!C19),"---")</f>
        <v/>
      </c>
      <c r="H19" s="341" t="str">
        <f>IF(Start!$C$18="x",('H-Volatilization'!D19),"---")</f>
        <v/>
      </c>
      <c r="I19" s="342" t="str">
        <f>IF(Start!$C$18="x",('H-Volatilization'!E19),"---")</f>
        <v/>
      </c>
      <c r="J19" s="339" t="str">
        <f>IF(Start!$C$19="x",'H-Plant &amp; Animal'!B19,"---")</f>
        <v>---</v>
      </c>
      <c r="K19" s="343" t="str">
        <f>'H-Effluent'!Q19</f>
        <v>Not Req.</v>
      </c>
      <c r="L19" s="286" t="str">
        <f>'H-Runoff'!T19</f>
        <v>Not Req.</v>
      </c>
      <c r="M19" s="344" t="str">
        <f>'H-Runoff'!U19</f>
        <v>Not Req.</v>
      </c>
      <c r="N19" s="1005" t="str">
        <f>'H-Leachate'!O19</f>
        <v/>
      </c>
      <c r="O19" s="283" t="str">
        <f>'H-Volatilization'!AV19</f>
        <v/>
      </c>
      <c r="P19" s="284" t="str">
        <f>'H-Volatilization'!AW19</f>
        <v/>
      </c>
      <c r="Q19" s="284" t="str">
        <f>'H-Volatilization'!AX19</f>
        <v/>
      </c>
      <c r="R19" s="285" t="str">
        <f>'H-Volatilization'!AY19</f>
        <v/>
      </c>
      <c r="S19" s="343" t="str">
        <f>'H-Plant &amp; Animal'!K19</f>
        <v>Not Req.</v>
      </c>
      <c r="T19" s="345" t="str">
        <f>'H-Plant &amp; Animal'!L19</f>
        <v>Not Req.</v>
      </c>
      <c r="U19" s="346" t="str">
        <f>'H-Plant &amp; Animal'!M19</f>
        <v>Not Req.</v>
      </c>
      <c r="V19" s="794" t="str">
        <f>'H-Effluent'!O19</f>
        <v>---</v>
      </c>
      <c r="W19" s="797" t="str">
        <f>'H-Runoff'!Q19</f>
        <v>---</v>
      </c>
      <c r="X19" s="799" t="str">
        <f>'H-Runoff'!S19</f>
        <v>---</v>
      </c>
      <c r="Y19" s="1011" t="str">
        <f>'H-Leachate'!N19</f>
        <v>NA</v>
      </c>
      <c r="Z19" s="797" t="str">
        <f>'H-Volatilization'!AD19</f>
        <v>NA</v>
      </c>
      <c r="AA19" s="798" t="str">
        <f>'H-Volatilization'!AF19</f>
        <v>NA</v>
      </c>
      <c r="AB19" s="798" t="str">
        <f>'H-Volatilization'!AO19</f>
        <v>NA</v>
      </c>
      <c r="AC19" s="799" t="str">
        <f>'H-Volatilization'!AU19</f>
        <v>NA</v>
      </c>
    </row>
    <row r="20" spans="1:29" x14ac:dyDescent="0.25">
      <c r="A20" s="56" t="s">
        <v>338</v>
      </c>
      <c r="B20" s="336" t="str">
        <f>IF(Start!$C$15="x",('H-Effluent'!B20),"---")</f>
        <v>---</v>
      </c>
      <c r="C20" s="337" t="str">
        <f>IF(Start!$C$16="x",'H-Runoff'!B20,"---")</f>
        <v>---</v>
      </c>
      <c r="D20" s="338" t="str">
        <f>IF(Start!$C$16="x",'H-Runoff'!C20,"---")</f>
        <v>---</v>
      </c>
      <c r="E20" s="868" t="str">
        <f>IF(Start!$C$17="x",'H-Leachate'!B20,"---")</f>
        <v/>
      </c>
      <c r="F20" s="340" t="str">
        <f>IF(Start!$C$18="x",('H-Volatilization'!B20),"---")</f>
        <v/>
      </c>
      <c r="G20" s="341" t="str">
        <f>IF(Start!$C$18="x",('H-Volatilization'!C20),"---")</f>
        <v/>
      </c>
      <c r="H20" s="341" t="str">
        <f>IF(Start!$C$18="x",('H-Volatilization'!D20),"---")</f>
        <v/>
      </c>
      <c r="I20" s="342" t="str">
        <f>IF(Start!$C$18="x",('H-Volatilization'!E20),"---")</f>
        <v/>
      </c>
      <c r="J20" s="339" t="str">
        <f>IF(Start!$C$19="x",'H-Plant &amp; Animal'!B20,"---")</f>
        <v>---</v>
      </c>
      <c r="K20" s="343" t="str">
        <f>'H-Effluent'!Q20</f>
        <v>Not Req.</v>
      </c>
      <c r="L20" s="286" t="str">
        <f>'H-Runoff'!T20</f>
        <v>Not Req.</v>
      </c>
      <c r="M20" s="344" t="str">
        <f>'H-Runoff'!U20</f>
        <v>Not Req.</v>
      </c>
      <c r="N20" s="343" t="str">
        <f>'H-Leachate'!O20</f>
        <v/>
      </c>
      <c r="O20" s="283" t="str">
        <f>'H-Volatilization'!AV20</f>
        <v/>
      </c>
      <c r="P20" s="284" t="str">
        <f>'H-Volatilization'!AW20</f>
        <v/>
      </c>
      <c r="Q20" s="284" t="str">
        <f>'H-Volatilization'!AX20</f>
        <v/>
      </c>
      <c r="R20" s="285" t="str">
        <f>'H-Volatilization'!AY20</f>
        <v/>
      </c>
      <c r="S20" s="343" t="str">
        <f>'H-Plant &amp; Animal'!K20</f>
        <v>Not Req.</v>
      </c>
      <c r="T20" s="345" t="str">
        <f>'H-Plant &amp; Animal'!L20</f>
        <v>Not Req.</v>
      </c>
      <c r="U20" s="346" t="str">
        <f>'H-Plant &amp; Animal'!M20</f>
        <v>Not Req.</v>
      </c>
      <c r="V20" s="794" t="str">
        <f>'H-Effluent'!O20</f>
        <v>---</v>
      </c>
      <c r="W20" s="797" t="str">
        <f>'H-Runoff'!Q20</f>
        <v>---</v>
      </c>
      <c r="X20" s="799" t="str">
        <f>'H-Runoff'!S20</f>
        <v>---</v>
      </c>
      <c r="Y20" s="794" t="str">
        <f>'H-Leachate'!N20</f>
        <v>NA</v>
      </c>
      <c r="Z20" s="797" t="str">
        <f>'H-Volatilization'!AD20</f>
        <v>NA</v>
      </c>
      <c r="AA20" s="798" t="str">
        <f>'H-Volatilization'!AF20</f>
        <v>NA</v>
      </c>
      <c r="AB20" s="798" t="str">
        <f>'H-Volatilization'!AO20</f>
        <v>NA</v>
      </c>
      <c r="AC20" s="799" t="str">
        <f>'H-Volatilization'!AU20</f>
        <v>NA</v>
      </c>
    </row>
    <row r="21" spans="1:29" x14ac:dyDescent="0.25">
      <c r="A21" s="56" t="s">
        <v>339</v>
      </c>
      <c r="B21" s="336" t="str">
        <f>IF(Start!$C$15="x",('H-Effluent'!B21),"---")</f>
        <v>---</v>
      </c>
      <c r="C21" s="337" t="str">
        <f>IF(Start!$C$16="x",'H-Runoff'!B21,"---")</f>
        <v>---</v>
      </c>
      <c r="D21" s="338" t="str">
        <f>IF(Start!$C$16="x",'H-Runoff'!C21,"---")</f>
        <v>---</v>
      </c>
      <c r="E21" s="868" t="str">
        <f>IF(Start!$C$17="x",'H-Leachate'!B21,"---")</f>
        <v/>
      </c>
      <c r="F21" s="340" t="str">
        <f>IF(Start!$C$18="x",('H-Volatilization'!B21),"---")</f>
        <v/>
      </c>
      <c r="G21" s="341" t="str">
        <f>IF(Start!$C$18="x",('H-Volatilization'!C21),"---")</f>
        <v/>
      </c>
      <c r="H21" s="341" t="str">
        <f>IF(Start!$C$18="x",('H-Volatilization'!D21),"---")</f>
        <v/>
      </c>
      <c r="I21" s="342" t="str">
        <f>IF(Start!$C$18="x",('H-Volatilization'!E21),"---")</f>
        <v/>
      </c>
      <c r="J21" s="339" t="str">
        <f>IF(Start!$C$19="x",'H-Plant &amp; Animal'!B21,"---")</f>
        <v>---</v>
      </c>
      <c r="K21" s="343" t="str">
        <f>'H-Effluent'!Q21</f>
        <v>Not Req.</v>
      </c>
      <c r="L21" s="286" t="str">
        <f>'H-Runoff'!T21</f>
        <v>Not Req.</v>
      </c>
      <c r="M21" s="344" t="str">
        <f>'H-Runoff'!U21</f>
        <v>Not Req.</v>
      </c>
      <c r="N21" s="343" t="str">
        <f>'H-Leachate'!O21</f>
        <v/>
      </c>
      <c r="O21" s="283" t="str">
        <f>'H-Volatilization'!AV21</f>
        <v/>
      </c>
      <c r="P21" s="284" t="str">
        <f>'H-Volatilization'!AW21</f>
        <v/>
      </c>
      <c r="Q21" s="284" t="str">
        <f>'H-Volatilization'!AX21</f>
        <v/>
      </c>
      <c r="R21" s="285" t="str">
        <f>'H-Volatilization'!AY21</f>
        <v/>
      </c>
      <c r="S21" s="343" t="str">
        <f>'H-Plant &amp; Animal'!K21</f>
        <v>Not Req.</v>
      </c>
      <c r="T21" s="345" t="str">
        <f>'H-Plant &amp; Animal'!L21</f>
        <v>Not Req.</v>
      </c>
      <c r="U21" s="346" t="str">
        <f>'H-Plant &amp; Animal'!M21</f>
        <v>Not Req.</v>
      </c>
      <c r="V21" s="794" t="str">
        <f>'H-Effluent'!O21</f>
        <v>---</v>
      </c>
      <c r="W21" s="797" t="str">
        <f>'H-Runoff'!Q21</f>
        <v>---</v>
      </c>
      <c r="X21" s="799" t="str">
        <f>'H-Runoff'!S21</f>
        <v>---</v>
      </c>
      <c r="Y21" s="794" t="str">
        <f>'H-Leachate'!N21</f>
        <v>NA</v>
      </c>
      <c r="Z21" s="797" t="str">
        <f>'H-Volatilization'!AD21</f>
        <v>NA</v>
      </c>
      <c r="AA21" s="798" t="str">
        <f>'H-Volatilization'!AF21</f>
        <v>NA</v>
      </c>
      <c r="AB21" s="798" t="str">
        <f>'H-Volatilization'!AO21</f>
        <v>NA</v>
      </c>
      <c r="AC21" s="799" t="str">
        <f>'H-Volatilization'!AU21</f>
        <v>NA</v>
      </c>
    </row>
    <row r="22" spans="1:29" x14ac:dyDescent="0.25">
      <c r="A22" s="56" t="s">
        <v>340</v>
      </c>
      <c r="B22" s="336" t="str">
        <f>IF(Start!$C$15="x",('H-Effluent'!B22),"---")</f>
        <v>---</v>
      </c>
      <c r="C22" s="337" t="str">
        <f>IF(Start!$C$16="x",'H-Runoff'!B22,"---")</f>
        <v>---</v>
      </c>
      <c r="D22" s="338" t="str">
        <f>IF(Start!$C$16="x",'H-Runoff'!C22,"---")</f>
        <v>---</v>
      </c>
      <c r="E22" s="868" t="str">
        <f>IF(Start!$C$17="x",'H-Leachate'!B22,"---")</f>
        <v/>
      </c>
      <c r="F22" s="340" t="str">
        <f>IF(Start!$C$18="x",('H-Volatilization'!B22),"---")</f>
        <v/>
      </c>
      <c r="G22" s="341" t="str">
        <f>IF(Start!$C$18="x",('H-Volatilization'!C22),"---")</f>
        <v/>
      </c>
      <c r="H22" s="341" t="str">
        <f>IF(Start!$C$18="x",('H-Volatilization'!D22),"---")</f>
        <v/>
      </c>
      <c r="I22" s="342" t="str">
        <f>IF(Start!$C$18="x",('H-Volatilization'!E22),"---")</f>
        <v/>
      </c>
      <c r="J22" s="339" t="str">
        <f>IF(Start!$C$19="x",'H-Plant &amp; Animal'!B22,"---")</f>
        <v>---</v>
      </c>
      <c r="K22" s="343" t="str">
        <f>'H-Effluent'!Q22</f>
        <v>Not Req.</v>
      </c>
      <c r="L22" s="286" t="str">
        <f>'H-Runoff'!T22</f>
        <v>Not Req.</v>
      </c>
      <c r="M22" s="344" t="str">
        <f>'H-Runoff'!U22</f>
        <v>Not Req.</v>
      </c>
      <c r="N22" s="343" t="str">
        <f>'H-Leachate'!O22</f>
        <v/>
      </c>
      <c r="O22" s="283" t="str">
        <f>'H-Volatilization'!AV22</f>
        <v/>
      </c>
      <c r="P22" s="284" t="str">
        <f>'H-Volatilization'!AW22</f>
        <v/>
      </c>
      <c r="Q22" s="284" t="str">
        <f>'H-Volatilization'!AX22</f>
        <v/>
      </c>
      <c r="R22" s="285" t="str">
        <f>'H-Volatilization'!AY22</f>
        <v/>
      </c>
      <c r="S22" s="343" t="str">
        <f>'H-Plant &amp; Animal'!K22</f>
        <v>Not Req.</v>
      </c>
      <c r="T22" s="345" t="str">
        <f>'H-Plant &amp; Animal'!L22</f>
        <v>Not Req.</v>
      </c>
      <c r="U22" s="346" t="str">
        <f>'H-Plant &amp; Animal'!M22</f>
        <v>Not Req.</v>
      </c>
      <c r="V22" s="794" t="str">
        <f>'H-Effluent'!O22</f>
        <v>---</v>
      </c>
      <c r="W22" s="797" t="str">
        <f>'H-Runoff'!Q22</f>
        <v>---</v>
      </c>
      <c r="X22" s="799" t="str">
        <f>'H-Runoff'!S22</f>
        <v>---</v>
      </c>
      <c r="Y22" s="794" t="str">
        <f>'H-Leachate'!N22</f>
        <v>NA</v>
      </c>
      <c r="Z22" s="797" t="str">
        <f>'H-Volatilization'!AD22</f>
        <v>NA</v>
      </c>
      <c r="AA22" s="798" t="str">
        <f>'H-Volatilization'!AF22</f>
        <v>NA</v>
      </c>
      <c r="AB22" s="798" t="str">
        <f>'H-Volatilization'!AO22</f>
        <v>NA</v>
      </c>
      <c r="AC22" s="799" t="str">
        <f>'H-Volatilization'!AU22</f>
        <v>NA</v>
      </c>
    </row>
    <row r="23" spans="1:29" x14ac:dyDescent="0.25">
      <c r="A23" s="56" t="s">
        <v>341</v>
      </c>
      <c r="B23" s="336" t="str">
        <f>IF(Start!$C$15="x",('H-Effluent'!B23),"---")</f>
        <v>---</v>
      </c>
      <c r="C23" s="337" t="str">
        <f>IF(Start!$C$16="x",'H-Runoff'!B23,"---")</f>
        <v>---</v>
      </c>
      <c r="D23" s="338" t="str">
        <f>IF(Start!$C$16="x",'H-Runoff'!C23,"---")</f>
        <v>---</v>
      </c>
      <c r="E23" s="868" t="str">
        <f>IF(Start!$C$17="x",'H-Leachate'!B23,"---")</f>
        <v/>
      </c>
      <c r="F23" s="340" t="str">
        <f>IF(Start!$C$18="x",('H-Volatilization'!B23),"---")</f>
        <v/>
      </c>
      <c r="G23" s="341" t="str">
        <f>IF(Start!$C$18="x",('H-Volatilization'!C23),"---")</f>
        <v/>
      </c>
      <c r="H23" s="341" t="str">
        <f>IF(Start!$C$18="x",('H-Volatilization'!D23),"---")</f>
        <v/>
      </c>
      <c r="I23" s="342" t="str">
        <f>IF(Start!$C$18="x",('H-Volatilization'!E23),"---")</f>
        <v/>
      </c>
      <c r="J23" s="339" t="str">
        <f>IF(Start!$C$19="x",'H-Plant &amp; Animal'!B23,"---")</f>
        <v>---</v>
      </c>
      <c r="K23" s="343" t="str">
        <f>'H-Effluent'!Q23</f>
        <v>Not Req.</v>
      </c>
      <c r="L23" s="286" t="str">
        <f>'H-Runoff'!T23</f>
        <v>Not Req.</v>
      </c>
      <c r="M23" s="344" t="str">
        <f>'H-Runoff'!U23</f>
        <v>Not Req.</v>
      </c>
      <c r="N23" s="343" t="str">
        <f>'H-Leachate'!O23</f>
        <v/>
      </c>
      <c r="O23" s="283" t="str">
        <f>'H-Volatilization'!AV23</f>
        <v/>
      </c>
      <c r="P23" s="284" t="str">
        <f>'H-Volatilization'!AW23</f>
        <v/>
      </c>
      <c r="Q23" s="284" t="str">
        <f>'H-Volatilization'!AX23</f>
        <v/>
      </c>
      <c r="R23" s="285" t="str">
        <f>'H-Volatilization'!AY23</f>
        <v/>
      </c>
      <c r="S23" s="343" t="str">
        <f>'H-Plant &amp; Animal'!K23</f>
        <v>Not Req.</v>
      </c>
      <c r="T23" s="345" t="str">
        <f>'H-Plant &amp; Animal'!L23</f>
        <v>Not Req.</v>
      </c>
      <c r="U23" s="346" t="str">
        <f>'H-Plant &amp; Animal'!M23</f>
        <v>Not Req.</v>
      </c>
      <c r="V23" s="794" t="str">
        <f>'H-Effluent'!O23</f>
        <v>---</v>
      </c>
      <c r="W23" s="797" t="str">
        <f>'H-Runoff'!Q23</f>
        <v>---</v>
      </c>
      <c r="X23" s="799" t="str">
        <f>'H-Runoff'!S23</f>
        <v>---</v>
      </c>
      <c r="Y23" s="794" t="str">
        <f>'H-Leachate'!N23</f>
        <v>NA</v>
      </c>
      <c r="Z23" s="797" t="str">
        <f>'H-Volatilization'!AD23</f>
        <v>NA</v>
      </c>
      <c r="AA23" s="798" t="str">
        <f>'H-Volatilization'!AF23</f>
        <v>NA</v>
      </c>
      <c r="AB23" s="798" t="str">
        <f>'H-Volatilization'!AO23</f>
        <v>NA</v>
      </c>
      <c r="AC23" s="799" t="str">
        <f>'H-Volatilization'!AU23</f>
        <v>NA</v>
      </c>
    </row>
    <row r="24" spans="1:29" x14ac:dyDescent="0.25">
      <c r="A24" s="56" t="s">
        <v>342</v>
      </c>
      <c r="B24" s="336" t="str">
        <f>IF(Start!$C$15="x",('H-Effluent'!B24),"---")</f>
        <v>---</v>
      </c>
      <c r="C24" s="337" t="str">
        <f>IF(Start!$C$16="x",'H-Runoff'!B24,"---")</f>
        <v>---</v>
      </c>
      <c r="D24" s="338" t="str">
        <f>IF(Start!$C$16="x",'H-Runoff'!C24,"---")</f>
        <v>---</v>
      </c>
      <c r="E24" s="868" t="str">
        <f>IF(Start!$C$17="x",'H-Leachate'!B24,"---")</f>
        <v/>
      </c>
      <c r="F24" s="340" t="str">
        <f>IF(Start!$C$18="x",('H-Volatilization'!B24),"---")</f>
        <v/>
      </c>
      <c r="G24" s="341" t="str">
        <f>IF(Start!$C$18="x",('H-Volatilization'!C24),"---")</f>
        <v/>
      </c>
      <c r="H24" s="341" t="str">
        <f>IF(Start!$C$18="x",('H-Volatilization'!D24),"---")</f>
        <v/>
      </c>
      <c r="I24" s="342" t="str">
        <f>IF(Start!$C$18="x",('H-Volatilization'!E24),"---")</f>
        <v/>
      </c>
      <c r="J24" s="339" t="str">
        <f>IF(Start!$C$19="x",'H-Plant &amp; Animal'!B24,"---")</f>
        <v>---</v>
      </c>
      <c r="K24" s="343" t="str">
        <f>'H-Effluent'!Q24</f>
        <v>Not Req.</v>
      </c>
      <c r="L24" s="286" t="str">
        <f>'H-Runoff'!T24</f>
        <v>Not Req.</v>
      </c>
      <c r="M24" s="344" t="str">
        <f>'H-Runoff'!U24</f>
        <v>Not Req.</v>
      </c>
      <c r="N24" s="343" t="str">
        <f>'H-Leachate'!O24</f>
        <v/>
      </c>
      <c r="O24" s="283" t="str">
        <f>'H-Volatilization'!AV24</f>
        <v/>
      </c>
      <c r="P24" s="284" t="str">
        <f>'H-Volatilization'!AW24</f>
        <v/>
      </c>
      <c r="Q24" s="284" t="str">
        <f>'H-Volatilization'!AX24</f>
        <v/>
      </c>
      <c r="R24" s="285" t="str">
        <f>'H-Volatilization'!AY24</f>
        <v/>
      </c>
      <c r="S24" s="343" t="str">
        <f>'H-Plant &amp; Animal'!K24</f>
        <v>Not Req.</v>
      </c>
      <c r="T24" s="345" t="str">
        <f>'H-Plant &amp; Animal'!L24</f>
        <v>Not Req.</v>
      </c>
      <c r="U24" s="346" t="str">
        <f>'H-Plant &amp; Animal'!M24</f>
        <v>Not Req.</v>
      </c>
      <c r="V24" s="794" t="str">
        <f>'H-Effluent'!O24</f>
        <v>---</v>
      </c>
      <c r="W24" s="797" t="str">
        <f>'H-Runoff'!Q24</f>
        <v>---</v>
      </c>
      <c r="X24" s="799" t="str">
        <f>'H-Runoff'!S24</f>
        <v>---</v>
      </c>
      <c r="Y24" s="794" t="str">
        <f>'H-Leachate'!N24</f>
        <v>NA</v>
      </c>
      <c r="Z24" s="797" t="str">
        <f>'H-Volatilization'!AD24</f>
        <v>NA</v>
      </c>
      <c r="AA24" s="798" t="str">
        <f>'H-Volatilization'!AF24</f>
        <v>NA</v>
      </c>
      <c r="AB24" s="798" t="str">
        <f>'H-Volatilization'!AO24</f>
        <v>NA</v>
      </c>
      <c r="AC24" s="799" t="str">
        <f>'H-Volatilization'!AU24</f>
        <v>NA</v>
      </c>
    </row>
    <row r="25" spans="1:29" x14ac:dyDescent="0.25">
      <c r="A25" s="56" t="s">
        <v>343</v>
      </c>
      <c r="B25" s="336" t="str">
        <f>IF(Start!$C$15="x",('H-Effluent'!B25),"---")</f>
        <v>---</v>
      </c>
      <c r="C25" s="337" t="str">
        <f>IF(Start!$C$16="x",'H-Runoff'!B25,"---")</f>
        <v>---</v>
      </c>
      <c r="D25" s="338" t="str">
        <f>IF(Start!$C$16="x",'H-Runoff'!C25,"---")</f>
        <v>---</v>
      </c>
      <c r="E25" s="868" t="str">
        <f>IF(Start!$C$17="x",'H-Leachate'!B25,"---")</f>
        <v/>
      </c>
      <c r="F25" s="340" t="str">
        <f>IF(Start!$C$18="x",('H-Volatilization'!B25),"---")</f>
        <v/>
      </c>
      <c r="G25" s="341" t="str">
        <f>IF(Start!$C$18="x",('H-Volatilization'!C25),"---")</f>
        <v/>
      </c>
      <c r="H25" s="341" t="str">
        <f>IF(Start!$C$18="x",('H-Volatilization'!D25),"---")</f>
        <v/>
      </c>
      <c r="I25" s="342" t="str">
        <f>IF(Start!$C$18="x",('H-Volatilization'!E25),"---")</f>
        <v/>
      </c>
      <c r="J25" s="339" t="str">
        <f>IF(Start!$C$19="x",'H-Plant &amp; Animal'!B25,"---")</f>
        <v>---</v>
      </c>
      <c r="K25" s="343" t="str">
        <f>'H-Effluent'!Q25</f>
        <v>Not Req.</v>
      </c>
      <c r="L25" s="286" t="str">
        <f>'H-Runoff'!T25</f>
        <v>Not Req.</v>
      </c>
      <c r="M25" s="344" t="str">
        <f>'H-Runoff'!U25</f>
        <v>Not Req.</v>
      </c>
      <c r="N25" s="343" t="str">
        <f>'H-Leachate'!O25</f>
        <v/>
      </c>
      <c r="O25" s="283" t="str">
        <f>'H-Volatilization'!AV25</f>
        <v/>
      </c>
      <c r="P25" s="284" t="str">
        <f>'H-Volatilization'!AW25</f>
        <v/>
      </c>
      <c r="Q25" s="284" t="str">
        <f>'H-Volatilization'!AX25</f>
        <v/>
      </c>
      <c r="R25" s="285" t="str">
        <f>'H-Volatilization'!AY25</f>
        <v/>
      </c>
      <c r="S25" s="343" t="str">
        <f>'H-Plant &amp; Animal'!K25</f>
        <v>Not Req.</v>
      </c>
      <c r="T25" s="345" t="str">
        <f>'H-Plant &amp; Animal'!L25</f>
        <v>Not Req.</v>
      </c>
      <c r="U25" s="346" t="str">
        <f>'H-Plant &amp; Animal'!M25</f>
        <v>Not Req.</v>
      </c>
      <c r="V25" s="794" t="str">
        <f>'H-Effluent'!O25</f>
        <v>---</v>
      </c>
      <c r="W25" s="797" t="str">
        <f>'H-Runoff'!Q25</f>
        <v>---</v>
      </c>
      <c r="X25" s="799" t="str">
        <f>'H-Runoff'!S25</f>
        <v>---</v>
      </c>
      <c r="Y25" s="794" t="str">
        <f>'H-Leachate'!N25</f>
        <v>NA</v>
      </c>
      <c r="Z25" s="797" t="str">
        <f>'H-Volatilization'!AD25</f>
        <v>NA</v>
      </c>
      <c r="AA25" s="798" t="str">
        <f>'H-Volatilization'!AF25</f>
        <v>NA</v>
      </c>
      <c r="AB25" s="798" t="str">
        <f>'H-Volatilization'!AO25</f>
        <v>NA</v>
      </c>
      <c r="AC25" s="799" t="str">
        <f>'H-Volatilization'!AU25</f>
        <v>NA</v>
      </c>
    </row>
    <row r="26" spans="1:29" x14ac:dyDescent="0.25">
      <c r="A26" s="56" t="s">
        <v>344</v>
      </c>
      <c r="B26" s="336" t="str">
        <f>IF(Start!$C$15="x",('H-Effluent'!B26),"---")</f>
        <v>---</v>
      </c>
      <c r="C26" s="337" t="str">
        <f>IF(Start!$C$16="x",'H-Runoff'!B26,"---")</f>
        <v>---</v>
      </c>
      <c r="D26" s="338" t="str">
        <f>IF(Start!$C$16="x",'H-Runoff'!C26,"---")</f>
        <v>---</v>
      </c>
      <c r="E26" s="868" t="str">
        <f>IF(Start!$C$17="x",'H-Leachate'!B26,"---")</f>
        <v/>
      </c>
      <c r="F26" s="340" t="str">
        <f>IF(Start!$C$18="x",('H-Volatilization'!B26),"---")</f>
        <v/>
      </c>
      <c r="G26" s="341" t="str">
        <f>IF(Start!$C$18="x",('H-Volatilization'!C26),"---")</f>
        <v/>
      </c>
      <c r="H26" s="341" t="str">
        <f>IF(Start!$C$18="x",('H-Volatilization'!D26),"---")</f>
        <v/>
      </c>
      <c r="I26" s="342" t="str">
        <f>IF(Start!$C$18="x",('H-Volatilization'!E26),"---")</f>
        <v/>
      </c>
      <c r="J26" s="339" t="str">
        <f>IF(Start!$C$19="x",'H-Plant &amp; Animal'!B26,"---")</f>
        <v>---</v>
      </c>
      <c r="K26" s="343" t="str">
        <f>'H-Effluent'!Q26</f>
        <v>Not Req.</v>
      </c>
      <c r="L26" s="286" t="str">
        <f>'H-Runoff'!T26</f>
        <v>Not Req.</v>
      </c>
      <c r="M26" s="344" t="str">
        <f>'H-Runoff'!U26</f>
        <v>Not Req.</v>
      </c>
      <c r="N26" s="343" t="str">
        <f>'H-Leachate'!O26</f>
        <v/>
      </c>
      <c r="O26" s="283" t="str">
        <f>'H-Volatilization'!AV26</f>
        <v/>
      </c>
      <c r="P26" s="284" t="str">
        <f>'H-Volatilization'!AW26</f>
        <v/>
      </c>
      <c r="Q26" s="284" t="str">
        <f>'H-Volatilization'!AX26</f>
        <v/>
      </c>
      <c r="R26" s="285" t="str">
        <f>'H-Volatilization'!AY26</f>
        <v/>
      </c>
      <c r="S26" s="343" t="str">
        <f>'H-Plant &amp; Animal'!K26</f>
        <v>Not Req.</v>
      </c>
      <c r="T26" s="345" t="str">
        <f>'H-Plant &amp; Animal'!L26</f>
        <v>Not Req.</v>
      </c>
      <c r="U26" s="346" t="str">
        <f>'H-Plant &amp; Animal'!M26</f>
        <v>Not Req.</v>
      </c>
      <c r="V26" s="794" t="str">
        <f>'H-Effluent'!O26</f>
        <v>---</v>
      </c>
      <c r="W26" s="797" t="str">
        <f>'H-Runoff'!Q26</f>
        <v>---</v>
      </c>
      <c r="X26" s="799" t="str">
        <f>'H-Runoff'!S26</f>
        <v>---</v>
      </c>
      <c r="Y26" s="794" t="str">
        <f>'H-Leachate'!N26</f>
        <v>NA</v>
      </c>
      <c r="Z26" s="797" t="str">
        <f>'H-Volatilization'!AD26</f>
        <v>NA</v>
      </c>
      <c r="AA26" s="798" t="str">
        <f>'H-Volatilization'!AF26</f>
        <v>NA</v>
      </c>
      <c r="AB26" s="798" t="str">
        <f>'H-Volatilization'!AO26</f>
        <v>NA</v>
      </c>
      <c r="AC26" s="799" t="str">
        <f>'H-Volatilization'!AU26</f>
        <v>NA</v>
      </c>
    </row>
    <row r="27" spans="1:29" x14ac:dyDescent="0.25">
      <c r="A27" s="56" t="s">
        <v>345</v>
      </c>
      <c r="B27" s="336" t="str">
        <f>IF(Start!$C$15="x",('H-Effluent'!B27),"---")</f>
        <v>---</v>
      </c>
      <c r="C27" s="337" t="str">
        <f>IF(Start!$C$16="x",'H-Runoff'!B27,"---")</f>
        <v>---</v>
      </c>
      <c r="D27" s="338" t="str">
        <f>IF(Start!$C$16="x",'H-Runoff'!C27,"---")</f>
        <v>---</v>
      </c>
      <c r="E27" s="868" t="str">
        <f>IF(Start!$C$17="x",'H-Leachate'!B27,"---")</f>
        <v/>
      </c>
      <c r="F27" s="340" t="str">
        <f>IF(Start!$C$18="x",('H-Volatilization'!B27),"---")</f>
        <v/>
      </c>
      <c r="G27" s="341" t="str">
        <f>IF(Start!$C$18="x",('H-Volatilization'!C27),"---")</f>
        <v/>
      </c>
      <c r="H27" s="341" t="str">
        <f>IF(Start!$C$18="x",('H-Volatilization'!D27),"---")</f>
        <v/>
      </c>
      <c r="I27" s="342" t="str">
        <f>IF(Start!$C$18="x",('H-Volatilization'!E27),"---")</f>
        <v/>
      </c>
      <c r="J27" s="339" t="str">
        <f>IF(Start!$C$19="x",'H-Plant &amp; Animal'!B27,"---")</f>
        <v>---</v>
      </c>
      <c r="K27" s="343" t="str">
        <f>'H-Effluent'!Q27</f>
        <v>Not Req.</v>
      </c>
      <c r="L27" s="286" t="str">
        <f>'H-Runoff'!T27</f>
        <v>Not Req.</v>
      </c>
      <c r="M27" s="344" t="str">
        <f>'H-Runoff'!U27</f>
        <v>Not Req.</v>
      </c>
      <c r="N27" s="343" t="str">
        <f>'H-Leachate'!O27</f>
        <v/>
      </c>
      <c r="O27" s="283" t="str">
        <f>'H-Volatilization'!AV27</f>
        <v/>
      </c>
      <c r="P27" s="284" t="str">
        <f>'H-Volatilization'!AW27</f>
        <v/>
      </c>
      <c r="Q27" s="284" t="str">
        <f>'H-Volatilization'!AX27</f>
        <v/>
      </c>
      <c r="R27" s="285" t="str">
        <f>'H-Volatilization'!AY27</f>
        <v/>
      </c>
      <c r="S27" s="343" t="str">
        <f>'H-Plant &amp; Animal'!K27</f>
        <v>Not Req.</v>
      </c>
      <c r="T27" s="345" t="str">
        <f>'H-Plant &amp; Animal'!L27</f>
        <v>Not Req.</v>
      </c>
      <c r="U27" s="346" t="str">
        <f>'H-Plant &amp; Animal'!M27</f>
        <v>Not Req.</v>
      </c>
      <c r="V27" s="794" t="str">
        <f>'H-Effluent'!O27</f>
        <v>---</v>
      </c>
      <c r="W27" s="797" t="str">
        <f>'H-Runoff'!Q27</f>
        <v>---</v>
      </c>
      <c r="X27" s="799" t="str">
        <f>'H-Runoff'!S27</f>
        <v>---</v>
      </c>
      <c r="Y27" s="794" t="str">
        <f>'H-Leachate'!N27</f>
        <v>NA</v>
      </c>
      <c r="Z27" s="797" t="str">
        <f>'H-Volatilization'!AD27</f>
        <v>NA</v>
      </c>
      <c r="AA27" s="798" t="str">
        <f>'H-Volatilization'!AF27</f>
        <v>NA</v>
      </c>
      <c r="AB27" s="798" t="str">
        <f>'H-Volatilization'!AO27</f>
        <v>NA</v>
      </c>
      <c r="AC27" s="799" t="str">
        <f>'H-Volatilization'!AU27</f>
        <v>NA</v>
      </c>
    </row>
    <row r="28" spans="1:29" x14ac:dyDescent="0.25">
      <c r="A28" s="56" t="s">
        <v>346</v>
      </c>
      <c r="B28" s="336" t="str">
        <f>IF(Start!$C$15="x",('H-Effluent'!B28),"---")</f>
        <v>---</v>
      </c>
      <c r="C28" s="337" t="str">
        <f>IF(Start!$C$16="x",'H-Runoff'!B28,"---")</f>
        <v>---</v>
      </c>
      <c r="D28" s="338" t="str">
        <f>IF(Start!$C$16="x",'H-Runoff'!C28,"---")</f>
        <v>---</v>
      </c>
      <c r="E28" s="868" t="str">
        <f>IF(Start!$C$17="x",'H-Leachate'!B28,"---")</f>
        <v/>
      </c>
      <c r="F28" s="340" t="str">
        <f>IF(Start!$C$18="x",('H-Volatilization'!B28),"---")</f>
        <v/>
      </c>
      <c r="G28" s="341" t="str">
        <f>IF(Start!$C$18="x",('H-Volatilization'!C28),"---")</f>
        <v/>
      </c>
      <c r="H28" s="341" t="str">
        <f>IF(Start!$C$18="x",('H-Volatilization'!D28),"---")</f>
        <v/>
      </c>
      <c r="I28" s="342" t="str">
        <f>IF(Start!$C$18="x",('H-Volatilization'!E28),"---")</f>
        <v/>
      </c>
      <c r="J28" s="339" t="str">
        <f>IF(Start!$C$19="x",'H-Plant &amp; Animal'!B28,"---")</f>
        <v>---</v>
      </c>
      <c r="K28" s="343" t="str">
        <f>'H-Effluent'!Q28</f>
        <v>Not Req.</v>
      </c>
      <c r="L28" s="286" t="str">
        <f>'H-Runoff'!T28</f>
        <v>Not Req.</v>
      </c>
      <c r="M28" s="344" t="str">
        <f>'H-Runoff'!U28</f>
        <v>Not Req.</v>
      </c>
      <c r="N28" s="343" t="str">
        <f>'H-Leachate'!O28</f>
        <v/>
      </c>
      <c r="O28" s="283" t="str">
        <f>'H-Volatilization'!AV28</f>
        <v/>
      </c>
      <c r="P28" s="284" t="str">
        <f>'H-Volatilization'!AW28</f>
        <v/>
      </c>
      <c r="Q28" s="284" t="str">
        <f>'H-Volatilization'!AX28</f>
        <v/>
      </c>
      <c r="R28" s="285" t="str">
        <f>'H-Volatilization'!AY28</f>
        <v/>
      </c>
      <c r="S28" s="343" t="str">
        <f>'H-Plant &amp; Animal'!K28</f>
        <v>Not Req.</v>
      </c>
      <c r="T28" s="345" t="str">
        <f>'H-Plant &amp; Animal'!L28</f>
        <v>Not Req.</v>
      </c>
      <c r="U28" s="346" t="str">
        <f>'H-Plant &amp; Animal'!M28</f>
        <v>Not Req.</v>
      </c>
      <c r="V28" s="794" t="str">
        <f>'H-Effluent'!O28</f>
        <v>---</v>
      </c>
      <c r="W28" s="797" t="str">
        <f>'H-Runoff'!Q28</f>
        <v>---</v>
      </c>
      <c r="X28" s="799" t="str">
        <f>'H-Runoff'!S28</f>
        <v>---</v>
      </c>
      <c r="Y28" s="794" t="str">
        <f>'H-Leachate'!N28</f>
        <v>NA</v>
      </c>
      <c r="Z28" s="797" t="str">
        <f>'H-Volatilization'!AD28</f>
        <v>NA</v>
      </c>
      <c r="AA28" s="798" t="str">
        <f>'H-Volatilization'!AF28</f>
        <v>NA</v>
      </c>
      <c r="AB28" s="798" t="str">
        <f>'H-Volatilization'!AO28</f>
        <v>NA</v>
      </c>
      <c r="AC28" s="799" t="str">
        <f>'H-Volatilization'!AU28</f>
        <v>NA</v>
      </c>
    </row>
    <row r="29" spans="1:29" x14ac:dyDescent="0.25">
      <c r="A29" s="56" t="s">
        <v>347</v>
      </c>
      <c r="B29" s="336" t="str">
        <f>IF(Start!$C$15="x",('H-Effluent'!B29),"---")</f>
        <v>---</v>
      </c>
      <c r="C29" s="337" t="str">
        <f>IF(Start!$C$16="x",'H-Runoff'!B29,"---")</f>
        <v>---</v>
      </c>
      <c r="D29" s="338" t="str">
        <f>IF(Start!$C$16="x",'H-Runoff'!C29,"---")</f>
        <v>---</v>
      </c>
      <c r="E29" s="868" t="str">
        <f>IF(Start!$C$17="x",'H-Leachate'!B29,"---")</f>
        <v/>
      </c>
      <c r="F29" s="340" t="str">
        <f>IF(Start!$C$18="x",('H-Volatilization'!B29),"---")</f>
        <v/>
      </c>
      <c r="G29" s="341" t="str">
        <f>IF(Start!$C$18="x",('H-Volatilization'!C29),"---")</f>
        <v/>
      </c>
      <c r="H29" s="341" t="str">
        <f>IF(Start!$C$18="x",('H-Volatilization'!D29),"---")</f>
        <v/>
      </c>
      <c r="I29" s="342" t="str">
        <f>IF(Start!$C$18="x",('H-Volatilization'!E29),"---")</f>
        <v/>
      </c>
      <c r="J29" s="339" t="str">
        <f>IF(Start!$C$19="x",'H-Plant &amp; Animal'!B29,"---")</f>
        <v>---</v>
      </c>
      <c r="K29" s="343" t="str">
        <f>'H-Effluent'!Q29</f>
        <v>Not Req.</v>
      </c>
      <c r="L29" s="286" t="str">
        <f>'H-Runoff'!T29</f>
        <v>Not Req.</v>
      </c>
      <c r="M29" s="344" t="str">
        <f>'H-Runoff'!U29</f>
        <v>Not Req.</v>
      </c>
      <c r="N29" s="343" t="str">
        <f>'H-Leachate'!O29</f>
        <v/>
      </c>
      <c r="O29" s="283" t="str">
        <f>'H-Volatilization'!AV29</f>
        <v/>
      </c>
      <c r="P29" s="284" t="str">
        <f>'H-Volatilization'!AW29</f>
        <v/>
      </c>
      <c r="Q29" s="284" t="str">
        <f>'H-Volatilization'!AX29</f>
        <v/>
      </c>
      <c r="R29" s="285" t="str">
        <f>'H-Volatilization'!AY29</f>
        <v/>
      </c>
      <c r="S29" s="343" t="str">
        <f>'H-Plant &amp; Animal'!K29</f>
        <v>Not Req.</v>
      </c>
      <c r="T29" s="345" t="str">
        <f>'H-Plant &amp; Animal'!L29</f>
        <v>Not Req.</v>
      </c>
      <c r="U29" s="346" t="str">
        <f>'H-Plant &amp; Animal'!M29</f>
        <v>Not Req.</v>
      </c>
      <c r="V29" s="794" t="str">
        <f>'H-Effluent'!O29</f>
        <v>---</v>
      </c>
      <c r="W29" s="797" t="str">
        <f>'H-Runoff'!Q29</f>
        <v>---</v>
      </c>
      <c r="X29" s="799" t="str">
        <f>'H-Runoff'!S29</f>
        <v>---</v>
      </c>
      <c r="Y29" s="794" t="str">
        <f>'H-Leachate'!N29</f>
        <v>NA</v>
      </c>
      <c r="Z29" s="797" t="str">
        <f>'H-Volatilization'!AD29</f>
        <v>NA</v>
      </c>
      <c r="AA29" s="798" t="str">
        <f>'H-Volatilization'!AF29</f>
        <v>NA</v>
      </c>
      <c r="AB29" s="798" t="str">
        <f>'H-Volatilization'!AO29</f>
        <v>NA</v>
      </c>
      <c r="AC29" s="799" t="str">
        <f>'H-Volatilization'!AU29</f>
        <v>NA</v>
      </c>
    </row>
    <row r="30" spans="1:29" x14ac:dyDescent="0.25">
      <c r="A30" s="56" t="s">
        <v>348</v>
      </c>
      <c r="B30" s="336" t="str">
        <f>IF(Start!$C$15="x",('H-Effluent'!B30),"---")</f>
        <v>---</v>
      </c>
      <c r="C30" s="337" t="str">
        <f>IF(Start!$C$16="x",'H-Runoff'!B30,"---")</f>
        <v>---</v>
      </c>
      <c r="D30" s="338" t="str">
        <f>IF(Start!$C$16="x",'H-Runoff'!C30,"---")</f>
        <v>---</v>
      </c>
      <c r="E30" s="868" t="str">
        <f>IF(Start!$C$17="x",'H-Leachate'!B30,"---")</f>
        <v/>
      </c>
      <c r="F30" s="340" t="str">
        <f>IF(Start!$C$18="x",('H-Volatilization'!B30),"---")</f>
        <v/>
      </c>
      <c r="G30" s="341" t="str">
        <f>IF(Start!$C$18="x",('H-Volatilization'!C30),"---")</f>
        <v/>
      </c>
      <c r="H30" s="341" t="str">
        <f>IF(Start!$C$18="x",('H-Volatilization'!D30),"---")</f>
        <v/>
      </c>
      <c r="I30" s="342" t="str">
        <f>IF(Start!$C$18="x",('H-Volatilization'!E30),"---")</f>
        <v/>
      </c>
      <c r="J30" s="339" t="str">
        <f>IF(Start!$C$19="x",'H-Plant &amp; Animal'!B30,"---")</f>
        <v>---</v>
      </c>
      <c r="K30" s="343" t="str">
        <f>'H-Effluent'!Q30</f>
        <v>Not Req.</v>
      </c>
      <c r="L30" s="286" t="str">
        <f>'H-Runoff'!T30</f>
        <v>Not Req.</v>
      </c>
      <c r="M30" s="344" t="str">
        <f>'H-Runoff'!U30</f>
        <v>Not Req.</v>
      </c>
      <c r="N30" s="343" t="str">
        <f>'H-Leachate'!O30</f>
        <v/>
      </c>
      <c r="O30" s="283" t="str">
        <f>'H-Volatilization'!AV30</f>
        <v/>
      </c>
      <c r="P30" s="284" t="str">
        <f>'H-Volatilization'!AW30</f>
        <v/>
      </c>
      <c r="Q30" s="284" t="str">
        <f>'H-Volatilization'!AX30</f>
        <v/>
      </c>
      <c r="R30" s="285" t="str">
        <f>'H-Volatilization'!AY30</f>
        <v/>
      </c>
      <c r="S30" s="343" t="str">
        <f>'H-Plant &amp; Animal'!K30</f>
        <v>Not Req.</v>
      </c>
      <c r="T30" s="345" t="str">
        <f>'H-Plant &amp; Animal'!L30</f>
        <v>Not Req.</v>
      </c>
      <c r="U30" s="346" t="str">
        <f>'H-Plant &amp; Animal'!M30</f>
        <v>Not Req.</v>
      </c>
      <c r="V30" s="794" t="str">
        <f>'H-Effluent'!O30</f>
        <v>---</v>
      </c>
      <c r="W30" s="797" t="str">
        <f>'H-Runoff'!Q30</f>
        <v>---</v>
      </c>
      <c r="X30" s="799" t="str">
        <f>'H-Runoff'!S30</f>
        <v>---</v>
      </c>
      <c r="Y30" s="794" t="str">
        <f>'H-Leachate'!N30</f>
        <v>NA</v>
      </c>
      <c r="Z30" s="797" t="str">
        <f>'H-Volatilization'!AD30</f>
        <v>NA</v>
      </c>
      <c r="AA30" s="798" t="str">
        <f>'H-Volatilization'!AF30</f>
        <v>NA</v>
      </c>
      <c r="AB30" s="798" t="str">
        <f>'H-Volatilization'!AO30</f>
        <v>NA</v>
      </c>
      <c r="AC30" s="799" t="str">
        <f>'H-Volatilization'!AU30</f>
        <v>NA</v>
      </c>
    </row>
    <row r="31" spans="1:29" x14ac:dyDescent="0.25">
      <c r="A31" s="56" t="s">
        <v>349</v>
      </c>
      <c r="B31" s="336" t="str">
        <f>IF(Start!$C$15="x",('H-Effluent'!B31),"---")</f>
        <v>---</v>
      </c>
      <c r="C31" s="337" t="str">
        <f>IF(Start!$C$16="x",'H-Runoff'!B31,"---")</f>
        <v>---</v>
      </c>
      <c r="D31" s="338" t="str">
        <f>IF(Start!$C$16="x",'H-Runoff'!C31,"---")</f>
        <v>---</v>
      </c>
      <c r="E31" s="868" t="str">
        <f>IF(Start!$C$17="x",'H-Leachate'!B31,"---")</f>
        <v/>
      </c>
      <c r="F31" s="340" t="str">
        <f>IF(Start!$C$18="x",('H-Volatilization'!B31),"---")</f>
        <v/>
      </c>
      <c r="G31" s="341" t="str">
        <f>IF(Start!$C$18="x",('H-Volatilization'!C31),"---")</f>
        <v/>
      </c>
      <c r="H31" s="341" t="str">
        <f>IF(Start!$C$18="x",('H-Volatilization'!D31),"---")</f>
        <v/>
      </c>
      <c r="I31" s="342" t="str">
        <f>IF(Start!$C$18="x",('H-Volatilization'!E31),"---")</f>
        <v/>
      </c>
      <c r="J31" s="339" t="str">
        <f>IF(Start!$C$19="x",'H-Plant &amp; Animal'!B31,"---")</f>
        <v>---</v>
      </c>
      <c r="K31" s="343" t="str">
        <f>'H-Effluent'!Q31</f>
        <v>Not Req.</v>
      </c>
      <c r="L31" s="286" t="str">
        <f>'H-Runoff'!T31</f>
        <v>Not Req.</v>
      </c>
      <c r="M31" s="344" t="str">
        <f>'H-Runoff'!U31</f>
        <v>Not Req.</v>
      </c>
      <c r="N31" s="343" t="str">
        <f>'H-Leachate'!O31</f>
        <v/>
      </c>
      <c r="O31" s="283" t="str">
        <f>'H-Volatilization'!AV31</f>
        <v/>
      </c>
      <c r="P31" s="284" t="str">
        <f>'H-Volatilization'!AW31</f>
        <v/>
      </c>
      <c r="Q31" s="284" t="str">
        <f>'H-Volatilization'!AX31</f>
        <v/>
      </c>
      <c r="R31" s="285" t="str">
        <f>'H-Volatilization'!AY31</f>
        <v/>
      </c>
      <c r="S31" s="343" t="str">
        <f>'H-Plant &amp; Animal'!K31</f>
        <v>Not Req.</v>
      </c>
      <c r="T31" s="345" t="str">
        <f>'H-Plant &amp; Animal'!L31</f>
        <v>Not Req.</v>
      </c>
      <c r="U31" s="346" t="str">
        <f>'H-Plant &amp; Animal'!M31</f>
        <v>Not Req.</v>
      </c>
      <c r="V31" s="794" t="str">
        <f>'H-Effluent'!O31</f>
        <v>---</v>
      </c>
      <c r="W31" s="797" t="str">
        <f>'H-Runoff'!Q31</f>
        <v>---</v>
      </c>
      <c r="X31" s="799" t="str">
        <f>'H-Runoff'!S31</f>
        <v>---</v>
      </c>
      <c r="Y31" s="794" t="str">
        <f>'H-Leachate'!N31</f>
        <v>NA</v>
      </c>
      <c r="Z31" s="797" t="str">
        <f>'H-Volatilization'!AD31</f>
        <v>NA</v>
      </c>
      <c r="AA31" s="798" t="str">
        <f>'H-Volatilization'!AF31</f>
        <v>NA</v>
      </c>
      <c r="AB31" s="798" t="str">
        <f>'H-Volatilization'!AO31</f>
        <v>NA</v>
      </c>
      <c r="AC31" s="799" t="str">
        <f>'H-Volatilization'!AU31</f>
        <v>NA</v>
      </c>
    </row>
    <row r="32" spans="1:29" x14ac:dyDescent="0.25">
      <c r="A32" s="56" t="s">
        <v>350</v>
      </c>
      <c r="B32" s="336" t="str">
        <f>IF(Start!$C$15="x",('H-Effluent'!B32),"---")</f>
        <v>---</v>
      </c>
      <c r="C32" s="337" t="str">
        <f>IF(Start!$C$16="x",'H-Runoff'!B32,"---")</f>
        <v>---</v>
      </c>
      <c r="D32" s="338" t="str">
        <f>IF(Start!$C$16="x",'H-Runoff'!C32,"---")</f>
        <v>---</v>
      </c>
      <c r="E32" s="868" t="str">
        <f>IF(Start!$C$17="x",'H-Leachate'!B32,"---")</f>
        <v/>
      </c>
      <c r="F32" s="340" t="str">
        <f>IF(Start!$C$18="x",('H-Volatilization'!B32),"---")</f>
        <v/>
      </c>
      <c r="G32" s="341" t="str">
        <f>IF(Start!$C$18="x",('H-Volatilization'!C32),"---")</f>
        <v/>
      </c>
      <c r="H32" s="341" t="str">
        <f>IF(Start!$C$18="x",('H-Volatilization'!D32),"---")</f>
        <v/>
      </c>
      <c r="I32" s="342" t="str">
        <f>IF(Start!$C$18="x",('H-Volatilization'!E32),"---")</f>
        <v/>
      </c>
      <c r="J32" s="339" t="str">
        <f>IF(Start!$C$19="x",'H-Plant &amp; Animal'!B32,"---")</f>
        <v>---</v>
      </c>
      <c r="K32" s="343" t="str">
        <f>'H-Effluent'!Q32</f>
        <v>Not Req.</v>
      </c>
      <c r="L32" s="286" t="str">
        <f>'H-Runoff'!T32</f>
        <v>Not Req.</v>
      </c>
      <c r="M32" s="344" t="str">
        <f>'H-Runoff'!U32</f>
        <v>Not Req.</v>
      </c>
      <c r="N32" s="343" t="str">
        <f>'H-Leachate'!O32</f>
        <v/>
      </c>
      <c r="O32" s="283" t="str">
        <f>'H-Volatilization'!AV32</f>
        <v/>
      </c>
      <c r="P32" s="284" t="str">
        <f>'H-Volatilization'!AW32</f>
        <v/>
      </c>
      <c r="Q32" s="284" t="str">
        <f>'H-Volatilization'!AX32</f>
        <v/>
      </c>
      <c r="R32" s="285" t="str">
        <f>'H-Volatilization'!AY32</f>
        <v/>
      </c>
      <c r="S32" s="343" t="str">
        <f>'H-Plant &amp; Animal'!K32</f>
        <v>Not Req.</v>
      </c>
      <c r="T32" s="345" t="str">
        <f>'H-Plant &amp; Animal'!L32</f>
        <v>Not Req.</v>
      </c>
      <c r="U32" s="346" t="str">
        <f>'H-Plant &amp; Animal'!M32</f>
        <v>Not Req.</v>
      </c>
      <c r="V32" s="794" t="str">
        <f>'H-Effluent'!O32</f>
        <v>---</v>
      </c>
      <c r="W32" s="797" t="str">
        <f>'H-Runoff'!Q32</f>
        <v>---</v>
      </c>
      <c r="X32" s="799" t="str">
        <f>'H-Runoff'!S32</f>
        <v>---</v>
      </c>
      <c r="Y32" s="794" t="str">
        <f>'H-Leachate'!N32</f>
        <v>NA</v>
      </c>
      <c r="Z32" s="797" t="str">
        <f>'H-Volatilization'!AD32</f>
        <v>NA</v>
      </c>
      <c r="AA32" s="798" t="str">
        <f>'H-Volatilization'!AF32</f>
        <v>NA</v>
      </c>
      <c r="AB32" s="798" t="str">
        <f>'H-Volatilization'!AO32</f>
        <v>NA</v>
      </c>
      <c r="AC32" s="799" t="str">
        <f>'H-Volatilization'!AU32</f>
        <v>NA</v>
      </c>
    </row>
    <row r="33" spans="1:29" x14ac:dyDescent="0.25">
      <c r="A33" s="56" t="s">
        <v>351</v>
      </c>
      <c r="B33" s="336" t="str">
        <f>IF(Start!$C$15="x",('H-Effluent'!B33),"---")</f>
        <v>---</v>
      </c>
      <c r="C33" s="337" t="str">
        <f>IF(Start!$C$16="x",'H-Runoff'!B33,"---")</f>
        <v>---</v>
      </c>
      <c r="D33" s="338" t="str">
        <f>IF(Start!$C$16="x",'H-Runoff'!C33,"---")</f>
        <v>---</v>
      </c>
      <c r="E33" s="868" t="str">
        <f>IF(Start!$C$17="x",'H-Leachate'!B33,"---")</f>
        <v/>
      </c>
      <c r="F33" s="340" t="str">
        <f>IF(Start!$C$18="x",('H-Volatilization'!B33),"---")</f>
        <v/>
      </c>
      <c r="G33" s="341" t="str">
        <f>IF(Start!$C$18="x",('H-Volatilization'!C33),"---")</f>
        <v/>
      </c>
      <c r="H33" s="341" t="str">
        <f>IF(Start!$C$18="x",('H-Volatilization'!D33),"---")</f>
        <v/>
      </c>
      <c r="I33" s="342" t="str">
        <f>IF(Start!$C$18="x",('H-Volatilization'!E33),"---")</f>
        <v/>
      </c>
      <c r="J33" s="339" t="str">
        <f>IF(Start!$C$19="x",'H-Plant &amp; Animal'!B33,"---")</f>
        <v>---</v>
      </c>
      <c r="K33" s="343" t="str">
        <f>'H-Effluent'!Q33</f>
        <v>Not Req.</v>
      </c>
      <c r="L33" s="286" t="str">
        <f>'H-Runoff'!T33</f>
        <v>Not Req.</v>
      </c>
      <c r="M33" s="344" t="str">
        <f>'H-Runoff'!U33</f>
        <v>Not Req.</v>
      </c>
      <c r="N33" s="343" t="str">
        <f>'H-Leachate'!O33</f>
        <v/>
      </c>
      <c r="O33" s="283" t="str">
        <f>'H-Volatilization'!AV33</f>
        <v/>
      </c>
      <c r="P33" s="284" t="str">
        <f>'H-Volatilization'!AW33</f>
        <v/>
      </c>
      <c r="Q33" s="284" t="str">
        <f>'H-Volatilization'!AX33</f>
        <v/>
      </c>
      <c r="R33" s="285" t="str">
        <f>'H-Volatilization'!AY33</f>
        <v/>
      </c>
      <c r="S33" s="343" t="str">
        <f>'H-Plant &amp; Animal'!K33</f>
        <v>Not Req.</v>
      </c>
      <c r="T33" s="345" t="str">
        <f>'H-Plant &amp; Animal'!L33</f>
        <v>Not Req.</v>
      </c>
      <c r="U33" s="346" t="str">
        <f>'H-Plant &amp; Animal'!M33</f>
        <v>Not Req.</v>
      </c>
      <c r="V33" s="794" t="str">
        <f>'H-Effluent'!O33</f>
        <v>---</v>
      </c>
      <c r="W33" s="797" t="str">
        <f>'H-Runoff'!Q33</f>
        <v>---</v>
      </c>
      <c r="X33" s="799" t="str">
        <f>'H-Runoff'!S33</f>
        <v>---</v>
      </c>
      <c r="Y33" s="794" t="str">
        <f>'H-Leachate'!N33</f>
        <v>NA</v>
      </c>
      <c r="Z33" s="797" t="str">
        <f>'H-Volatilization'!AD33</f>
        <v>NA</v>
      </c>
      <c r="AA33" s="798" t="str">
        <f>'H-Volatilization'!AF33</f>
        <v>NA</v>
      </c>
      <c r="AB33" s="798" t="str">
        <f>'H-Volatilization'!AO33</f>
        <v>NA</v>
      </c>
      <c r="AC33" s="799" t="str">
        <f>'H-Volatilization'!AU33</f>
        <v>NA</v>
      </c>
    </row>
    <row r="34" spans="1:29" x14ac:dyDescent="0.25">
      <c r="A34" s="56" t="s">
        <v>352</v>
      </c>
      <c r="B34" s="336" t="str">
        <f>IF(Start!$C$15="x",('H-Effluent'!B34),"---")</f>
        <v>---</v>
      </c>
      <c r="C34" s="337" t="str">
        <f>IF(Start!$C$16="x",'H-Runoff'!B34,"---")</f>
        <v>---</v>
      </c>
      <c r="D34" s="338" t="str">
        <f>IF(Start!$C$16="x",'H-Runoff'!C34,"---")</f>
        <v>---</v>
      </c>
      <c r="E34" s="868" t="str">
        <f>IF(Start!$C$17="x",'H-Leachate'!B34,"---")</f>
        <v/>
      </c>
      <c r="F34" s="340" t="str">
        <f>IF(Start!$C$18="x",('H-Volatilization'!B34),"---")</f>
        <v/>
      </c>
      <c r="G34" s="341" t="str">
        <f>IF(Start!$C$18="x",('H-Volatilization'!C34),"---")</f>
        <v/>
      </c>
      <c r="H34" s="341" t="str">
        <f>IF(Start!$C$18="x",('H-Volatilization'!D34),"---")</f>
        <v/>
      </c>
      <c r="I34" s="342" t="str">
        <f>IF(Start!$C$18="x",('H-Volatilization'!E34),"---")</f>
        <v/>
      </c>
      <c r="J34" s="339" t="str">
        <f>IF(Start!$C$19="x",'H-Plant &amp; Animal'!B34,"---")</f>
        <v>---</v>
      </c>
      <c r="K34" s="343" t="str">
        <f>'H-Effluent'!Q34</f>
        <v>Not Req.</v>
      </c>
      <c r="L34" s="286" t="str">
        <f>'H-Runoff'!T34</f>
        <v>Not Req.</v>
      </c>
      <c r="M34" s="344" t="str">
        <f>'H-Runoff'!U34</f>
        <v>Not Req.</v>
      </c>
      <c r="N34" s="343" t="str">
        <f>'H-Leachate'!O34</f>
        <v/>
      </c>
      <c r="O34" s="283" t="str">
        <f>'H-Volatilization'!AV34</f>
        <v/>
      </c>
      <c r="P34" s="284" t="str">
        <f>'H-Volatilization'!AW34</f>
        <v/>
      </c>
      <c r="Q34" s="284" t="str">
        <f>'H-Volatilization'!AX34</f>
        <v/>
      </c>
      <c r="R34" s="285" t="str">
        <f>'H-Volatilization'!AY34</f>
        <v/>
      </c>
      <c r="S34" s="343" t="str">
        <f>'H-Plant &amp; Animal'!K34</f>
        <v>Not Req.</v>
      </c>
      <c r="T34" s="345" t="str">
        <f>'H-Plant &amp; Animal'!L34</f>
        <v>Not Req.</v>
      </c>
      <c r="U34" s="346" t="str">
        <f>'H-Plant &amp; Animal'!M34</f>
        <v>Not Req.</v>
      </c>
      <c r="V34" s="794" t="str">
        <f>'H-Effluent'!O34</f>
        <v>---</v>
      </c>
      <c r="W34" s="797" t="str">
        <f>'H-Runoff'!Q34</f>
        <v>---</v>
      </c>
      <c r="X34" s="799" t="str">
        <f>'H-Runoff'!S34</f>
        <v>---</v>
      </c>
      <c r="Y34" s="794" t="str">
        <f>'H-Leachate'!N34</f>
        <v>NA</v>
      </c>
      <c r="Z34" s="797" t="str">
        <f>'H-Volatilization'!AD34</f>
        <v>NA</v>
      </c>
      <c r="AA34" s="798" t="str">
        <f>'H-Volatilization'!AF34</f>
        <v>NA</v>
      </c>
      <c r="AB34" s="798" t="str">
        <f>'H-Volatilization'!AO34</f>
        <v>NA</v>
      </c>
      <c r="AC34" s="799" t="str">
        <f>'H-Volatilization'!AU34</f>
        <v>NA</v>
      </c>
    </row>
    <row r="35" spans="1:29" x14ac:dyDescent="0.25">
      <c r="A35" s="56" t="s">
        <v>353</v>
      </c>
      <c r="B35" s="336" t="str">
        <f>IF(Start!$C$15="x",('H-Effluent'!B35),"---")</f>
        <v>---</v>
      </c>
      <c r="C35" s="337" t="str">
        <f>IF(Start!$C$16="x",'H-Runoff'!B35,"---")</f>
        <v>---</v>
      </c>
      <c r="D35" s="338" t="str">
        <f>IF(Start!$C$16="x",'H-Runoff'!C35,"---")</f>
        <v>---</v>
      </c>
      <c r="E35" s="868" t="str">
        <f>IF(Start!$C$17="x",'H-Leachate'!B35,"---")</f>
        <v/>
      </c>
      <c r="F35" s="340" t="str">
        <f>IF(Start!$C$18="x",('H-Volatilization'!B35),"---")</f>
        <v/>
      </c>
      <c r="G35" s="341" t="str">
        <f>IF(Start!$C$18="x",('H-Volatilization'!C35),"---")</f>
        <v/>
      </c>
      <c r="H35" s="341" t="str">
        <f>IF(Start!$C$18="x",('H-Volatilization'!D35),"---")</f>
        <v/>
      </c>
      <c r="I35" s="342" t="str">
        <f>IF(Start!$C$18="x",('H-Volatilization'!E35),"---")</f>
        <v/>
      </c>
      <c r="J35" s="339" t="str">
        <f>IF(Start!$C$19="x",'H-Plant &amp; Animal'!B35,"---")</f>
        <v>---</v>
      </c>
      <c r="K35" s="343" t="str">
        <f>'H-Effluent'!Q35</f>
        <v>Not Req.</v>
      </c>
      <c r="L35" s="286" t="str">
        <f>'H-Runoff'!T35</f>
        <v>Not Req.</v>
      </c>
      <c r="M35" s="344" t="str">
        <f>'H-Runoff'!U35</f>
        <v>Not Req.</v>
      </c>
      <c r="N35" s="343" t="str">
        <f>'H-Leachate'!O35</f>
        <v/>
      </c>
      <c r="O35" s="283" t="str">
        <f>'H-Volatilization'!AV35</f>
        <v/>
      </c>
      <c r="P35" s="284" t="str">
        <f>'H-Volatilization'!AW35</f>
        <v/>
      </c>
      <c r="Q35" s="284" t="str">
        <f>'H-Volatilization'!AX35</f>
        <v/>
      </c>
      <c r="R35" s="285" t="str">
        <f>'H-Volatilization'!AY35</f>
        <v/>
      </c>
      <c r="S35" s="343" t="str">
        <f>'H-Plant &amp; Animal'!K35</f>
        <v>Not Req.</v>
      </c>
      <c r="T35" s="345" t="str">
        <f>'H-Plant &amp; Animal'!L35</f>
        <v>Not Req.</v>
      </c>
      <c r="U35" s="346" t="str">
        <f>'H-Plant &amp; Animal'!M35</f>
        <v>Not Req.</v>
      </c>
      <c r="V35" s="794" t="str">
        <f>'H-Effluent'!O35</f>
        <v>---</v>
      </c>
      <c r="W35" s="797" t="str">
        <f>'H-Runoff'!Q35</f>
        <v>---</v>
      </c>
      <c r="X35" s="799" t="str">
        <f>'H-Runoff'!S35</f>
        <v>---</v>
      </c>
      <c r="Y35" s="794" t="str">
        <f>'H-Leachate'!N35</f>
        <v>NA</v>
      </c>
      <c r="Z35" s="797" t="str">
        <f>'H-Volatilization'!AD35</f>
        <v>NA</v>
      </c>
      <c r="AA35" s="798" t="str">
        <f>'H-Volatilization'!AF35</f>
        <v>NA</v>
      </c>
      <c r="AB35" s="798" t="str">
        <f>'H-Volatilization'!AO35</f>
        <v>NA</v>
      </c>
      <c r="AC35" s="799" t="str">
        <f>'H-Volatilization'!AU35</f>
        <v>NA</v>
      </c>
    </row>
    <row r="36" spans="1:29" x14ac:dyDescent="0.25">
      <c r="A36" s="56" t="s">
        <v>354</v>
      </c>
      <c r="B36" s="336" t="str">
        <f>IF(Start!$C$15="x",('H-Effluent'!B36),"---")</f>
        <v>---</v>
      </c>
      <c r="C36" s="337" t="str">
        <f>IF(Start!$C$16="x",'H-Runoff'!B36,"---")</f>
        <v>---</v>
      </c>
      <c r="D36" s="338" t="str">
        <f>IF(Start!$C$16="x",'H-Runoff'!C36,"---")</f>
        <v>---</v>
      </c>
      <c r="E36" s="868" t="str">
        <f>IF(Start!$C$17="x",'H-Leachate'!B36,"---")</f>
        <v/>
      </c>
      <c r="F36" s="340" t="str">
        <f>IF(Start!$C$18="x",('H-Volatilization'!B36),"---")</f>
        <v/>
      </c>
      <c r="G36" s="341" t="str">
        <f>IF(Start!$C$18="x",('H-Volatilization'!C36),"---")</f>
        <v/>
      </c>
      <c r="H36" s="341" t="str">
        <f>IF(Start!$C$18="x",('H-Volatilization'!D36),"---")</f>
        <v/>
      </c>
      <c r="I36" s="342" t="str">
        <f>IF(Start!$C$18="x",('H-Volatilization'!E36),"---")</f>
        <v/>
      </c>
      <c r="J36" s="339" t="str">
        <f>IF(Start!$C$19="x",'H-Plant &amp; Animal'!B36,"---")</f>
        <v>---</v>
      </c>
      <c r="K36" s="343" t="str">
        <f>'H-Effluent'!Q36</f>
        <v>Not Req.</v>
      </c>
      <c r="L36" s="286" t="str">
        <f>'H-Runoff'!T36</f>
        <v>Not Req.</v>
      </c>
      <c r="M36" s="344" t="str">
        <f>'H-Runoff'!U36</f>
        <v>Not Req.</v>
      </c>
      <c r="N36" s="343" t="str">
        <f>'H-Leachate'!O36</f>
        <v/>
      </c>
      <c r="O36" s="283" t="str">
        <f>'H-Volatilization'!AV36</f>
        <v/>
      </c>
      <c r="P36" s="284" t="str">
        <f>'H-Volatilization'!AW36</f>
        <v/>
      </c>
      <c r="Q36" s="284" t="str">
        <f>'H-Volatilization'!AX36</f>
        <v/>
      </c>
      <c r="R36" s="285" t="str">
        <f>'H-Volatilization'!AY36</f>
        <v/>
      </c>
      <c r="S36" s="343" t="str">
        <f>'H-Plant &amp; Animal'!K36</f>
        <v>Not Req.</v>
      </c>
      <c r="T36" s="345" t="str">
        <f>'H-Plant &amp; Animal'!L36</f>
        <v>Not Req.</v>
      </c>
      <c r="U36" s="346" t="str">
        <f>'H-Plant &amp; Animal'!M36</f>
        <v>Not Req.</v>
      </c>
      <c r="V36" s="794" t="str">
        <f>'H-Effluent'!O36</f>
        <v>---</v>
      </c>
      <c r="W36" s="797" t="str">
        <f>'H-Runoff'!Q36</f>
        <v>---</v>
      </c>
      <c r="X36" s="799" t="str">
        <f>'H-Runoff'!S36</f>
        <v>---</v>
      </c>
      <c r="Y36" s="794" t="str">
        <f>'H-Leachate'!N36</f>
        <v>NA</v>
      </c>
      <c r="Z36" s="797" t="str">
        <f>'H-Volatilization'!AD36</f>
        <v>NA</v>
      </c>
      <c r="AA36" s="798" t="str">
        <f>'H-Volatilization'!AF36</f>
        <v>NA</v>
      </c>
      <c r="AB36" s="798" t="str">
        <f>'H-Volatilization'!AO36</f>
        <v>NA</v>
      </c>
      <c r="AC36" s="799" t="str">
        <f>'H-Volatilization'!AU36</f>
        <v>NA</v>
      </c>
    </row>
    <row r="37" spans="1:29" ht="13.8" thickBot="1" x14ac:dyDescent="0.3">
      <c r="A37" s="761" t="s">
        <v>355</v>
      </c>
      <c r="B37" s="336" t="str">
        <f>IF(Start!$C$15="x",('H-Effluent'!B37),"---")</f>
        <v>---</v>
      </c>
      <c r="C37" s="337" t="str">
        <f>IF(Start!$C$16="x",'H-Runoff'!B37,"---")</f>
        <v>---</v>
      </c>
      <c r="D37" s="338" t="str">
        <f>IF(Start!$C$16="x",'H-Runoff'!C37,"---")</f>
        <v>---</v>
      </c>
      <c r="E37" s="868" t="str">
        <f>IF(Start!$C$17="x",'H-Leachate'!B37,"---")</f>
        <v/>
      </c>
      <c r="F37" s="340" t="str">
        <f>IF(Start!$C$18="x",('H-Volatilization'!B37),"---")</f>
        <v/>
      </c>
      <c r="G37" s="341" t="str">
        <f>IF(Start!$C$18="x",('H-Volatilization'!C37),"---")</f>
        <v/>
      </c>
      <c r="H37" s="341" t="str">
        <f>IF(Start!$C$18="x",('H-Volatilization'!D37),"---")</f>
        <v/>
      </c>
      <c r="I37" s="342" t="str">
        <f>IF(Start!$C$18="x",('H-Volatilization'!E37),"---")</f>
        <v/>
      </c>
      <c r="J37" s="339" t="str">
        <f>IF(Start!$C$19="x",'H-Plant &amp; Animal'!B37,"---")</f>
        <v>---</v>
      </c>
      <c r="K37" s="343" t="str">
        <f>'H-Effluent'!Q37</f>
        <v>Not Req.</v>
      </c>
      <c r="L37" s="286" t="str">
        <f>'H-Runoff'!T37</f>
        <v>Not Req.</v>
      </c>
      <c r="M37" s="344" t="str">
        <f>'H-Runoff'!U37</f>
        <v>Not Req.</v>
      </c>
      <c r="N37" s="343" t="str">
        <f>'H-Leachate'!O37</f>
        <v/>
      </c>
      <c r="O37" s="283" t="str">
        <f>'H-Volatilization'!AV37</f>
        <v/>
      </c>
      <c r="P37" s="284" t="str">
        <f>'H-Volatilization'!AW37</f>
        <v/>
      </c>
      <c r="Q37" s="284" t="str">
        <f>'H-Volatilization'!AX37</f>
        <v/>
      </c>
      <c r="R37" s="285" t="str">
        <f>'H-Volatilization'!AY37</f>
        <v/>
      </c>
      <c r="S37" s="343" t="str">
        <f>'H-Plant &amp; Animal'!K37</f>
        <v>Not Req.</v>
      </c>
      <c r="T37" s="345" t="str">
        <f>'H-Plant &amp; Animal'!L37</f>
        <v>Not Req.</v>
      </c>
      <c r="U37" s="346" t="str">
        <f>'H-Plant &amp; Animal'!M37</f>
        <v>Not Req.</v>
      </c>
      <c r="V37" s="794" t="str">
        <f>'H-Effluent'!O37</f>
        <v>---</v>
      </c>
      <c r="W37" s="797" t="str">
        <f>'H-Runoff'!Q37</f>
        <v>---</v>
      </c>
      <c r="X37" s="799" t="str">
        <f>'H-Runoff'!S37</f>
        <v>---</v>
      </c>
      <c r="Y37" s="794" t="str">
        <f>'H-Leachate'!N37</f>
        <v>NA</v>
      </c>
      <c r="Z37" s="797" t="str">
        <f>'H-Volatilization'!AD37</f>
        <v>NA</v>
      </c>
      <c r="AA37" s="798" t="str">
        <f>'H-Volatilization'!AF37</f>
        <v>NA</v>
      </c>
      <c r="AB37" s="798" t="str">
        <f>'H-Volatilization'!AO37</f>
        <v>NA</v>
      </c>
      <c r="AC37" s="799" t="str">
        <f>'H-Volatilization'!AU37</f>
        <v>NA</v>
      </c>
    </row>
    <row r="38" spans="1:29" x14ac:dyDescent="0.25">
      <c r="A38" s="573" t="s">
        <v>356</v>
      </c>
      <c r="B38" s="543"/>
      <c r="C38" s="556"/>
      <c r="D38" s="557"/>
      <c r="E38" s="543"/>
      <c r="F38" s="559"/>
      <c r="G38" s="560"/>
      <c r="H38" s="560"/>
      <c r="I38" s="561"/>
      <c r="J38" s="543"/>
      <c r="K38" s="543"/>
      <c r="L38" s="511"/>
      <c r="M38" s="513"/>
      <c r="N38" s="543"/>
      <c r="O38" s="511"/>
      <c r="P38" s="512"/>
      <c r="Q38" s="512"/>
      <c r="R38" s="513"/>
      <c r="S38" s="543"/>
      <c r="T38" s="562"/>
      <c r="U38" s="563"/>
      <c r="V38" s="807"/>
      <c r="W38" s="800"/>
      <c r="X38" s="808"/>
      <c r="Y38" s="527"/>
      <c r="Z38" s="800"/>
      <c r="AA38" s="801"/>
      <c r="AB38" s="802"/>
      <c r="AC38" s="803"/>
    </row>
    <row r="39" spans="1:29" x14ac:dyDescent="0.25">
      <c r="A39" s="56" t="s">
        <v>665</v>
      </c>
      <c r="B39" s="336" t="str">
        <f>IF(Start!$C$15="x",('H-Effluent'!B39),"---")</f>
        <v>---</v>
      </c>
      <c r="C39" s="337" t="str">
        <f>IF(Start!$C$16="x",'H-Runoff'!B39,"---")</f>
        <v>---</v>
      </c>
      <c r="D39" s="338" t="str">
        <f>IF(Start!$C$16="x",'H-Runoff'!C39,"---")</f>
        <v>---</v>
      </c>
      <c r="E39" s="868" t="str">
        <f>IF(Start!$C$17="x",'H-Leachate'!B39,"---")</f>
        <v/>
      </c>
      <c r="F39" s="340" t="str">
        <f>IF(Start!$C$18="x",('H-Volatilization'!B39),"---")</f>
        <v/>
      </c>
      <c r="G39" s="341" t="str">
        <f>IF(Start!$C$18="x",('H-Volatilization'!C39),"---")</f>
        <v/>
      </c>
      <c r="H39" s="341" t="str">
        <f>IF(Start!$C$18="x",('H-Volatilization'!D39),"---")</f>
        <v/>
      </c>
      <c r="I39" s="342" t="str">
        <f>IF(Start!$C$18="x",('H-Volatilization'!E39),"---")</f>
        <v/>
      </c>
      <c r="J39" s="339" t="str">
        <f>IF(Start!$C$19="x",'H-Plant &amp; Animal'!B39,"---")</f>
        <v>---</v>
      </c>
      <c r="K39" s="343" t="str">
        <f>'H-Effluent'!Q39</f>
        <v>Not Req.</v>
      </c>
      <c r="L39" s="286" t="str">
        <f>'H-Runoff'!T39</f>
        <v>Not Req.</v>
      </c>
      <c r="M39" s="344" t="str">
        <f>'H-Runoff'!U39</f>
        <v>Not Req.</v>
      </c>
      <c r="N39" s="343" t="str">
        <f>'H-Leachate'!O39</f>
        <v/>
      </c>
      <c r="O39" s="283" t="str">
        <f>'H-Volatilization'!AV39</f>
        <v/>
      </c>
      <c r="P39" s="284" t="str">
        <f>'H-Volatilization'!AW39</f>
        <v/>
      </c>
      <c r="Q39" s="284" t="str">
        <f>'H-Volatilization'!AX39</f>
        <v/>
      </c>
      <c r="R39" s="285" t="str">
        <f>'H-Volatilization'!AY39</f>
        <v/>
      </c>
      <c r="S39" s="462"/>
      <c r="T39" s="345" t="str">
        <f>'H-Plant &amp; Animal'!L39</f>
        <v>Not Req.</v>
      </c>
      <c r="U39" s="346" t="str">
        <f>'H-Plant &amp; Animal'!M39</f>
        <v>Not Req.</v>
      </c>
      <c r="V39" s="794" t="str">
        <f>'H-Effluent'!O39</f>
        <v>---</v>
      </c>
      <c r="W39" s="797" t="str">
        <f>'H-Runoff'!Q39</f>
        <v>---</v>
      </c>
      <c r="X39" s="799" t="str">
        <f>'H-Runoff'!S39</f>
        <v>---</v>
      </c>
      <c r="Y39" s="794" t="str">
        <f>'H-Leachate'!N39</f>
        <v>NA</v>
      </c>
      <c r="Z39" s="797" t="str">
        <f>'H-Volatilization'!AD39</f>
        <v>NA</v>
      </c>
      <c r="AA39" s="798" t="str">
        <f>'H-Volatilization'!AF39</f>
        <v>NA</v>
      </c>
      <c r="AB39" s="798" t="str">
        <f>'H-Volatilization'!AO39</f>
        <v>NA</v>
      </c>
      <c r="AC39" s="799" t="str">
        <f>'H-Volatilization'!AU39</f>
        <v>NA</v>
      </c>
    </row>
    <row r="40" spans="1:29" x14ac:dyDescent="0.25">
      <c r="A40" s="56" t="s">
        <v>358</v>
      </c>
      <c r="B40" s="336" t="str">
        <f>IF(Start!$C$15="x",('H-Effluent'!B40),"---")</f>
        <v>---</v>
      </c>
      <c r="C40" s="337" t="str">
        <f>IF(Start!$C$16="x",'H-Runoff'!B40,"---")</f>
        <v>---</v>
      </c>
      <c r="D40" s="338" t="str">
        <f>IF(Start!$C$16="x",'H-Runoff'!C40,"---")</f>
        <v>---</v>
      </c>
      <c r="E40" s="868" t="str">
        <f>IF(Start!$C$17="x",'H-Leachate'!B40,"---")</f>
        <v/>
      </c>
      <c r="F40" s="340" t="str">
        <f>IF(Start!$C$18="x",('H-Volatilization'!B40),"---")</f>
        <v/>
      </c>
      <c r="G40" s="341" t="str">
        <f>IF(Start!$C$18="x",('H-Volatilization'!C40),"---")</f>
        <v/>
      </c>
      <c r="H40" s="341" t="str">
        <f>IF(Start!$C$18="x",('H-Volatilization'!D40),"---")</f>
        <v/>
      </c>
      <c r="I40" s="342" t="str">
        <f>IF(Start!$C$18="x",('H-Volatilization'!E40),"---")</f>
        <v/>
      </c>
      <c r="J40" s="339" t="str">
        <f>IF(Start!$C$19="x",'H-Plant &amp; Animal'!B40,"---")</f>
        <v>---</v>
      </c>
      <c r="K40" s="343" t="str">
        <f>'H-Effluent'!Q40</f>
        <v>Not Req.</v>
      </c>
      <c r="L40" s="286" t="str">
        <f>'H-Runoff'!T40</f>
        <v>Not Req.</v>
      </c>
      <c r="M40" s="344" t="str">
        <f>'H-Runoff'!U40</f>
        <v>Not Req.</v>
      </c>
      <c r="N40" s="343" t="str">
        <f>'H-Leachate'!O40</f>
        <v/>
      </c>
      <c r="O40" s="283" t="str">
        <f>'H-Volatilization'!AV40</f>
        <v/>
      </c>
      <c r="P40" s="284" t="str">
        <f>'H-Volatilization'!AW40</f>
        <v/>
      </c>
      <c r="Q40" s="284" t="str">
        <f>'H-Volatilization'!AX40</f>
        <v/>
      </c>
      <c r="R40" s="285" t="str">
        <f>'H-Volatilization'!AY40</f>
        <v/>
      </c>
      <c r="S40" s="462"/>
      <c r="T40" s="345" t="str">
        <f>'H-Plant &amp; Animal'!L40</f>
        <v>Not Req.</v>
      </c>
      <c r="U40" s="346" t="str">
        <f>'H-Plant &amp; Animal'!M40</f>
        <v>Not Req.</v>
      </c>
      <c r="V40" s="794" t="str">
        <f>'H-Effluent'!O40</f>
        <v>---</v>
      </c>
      <c r="W40" s="797" t="str">
        <f>'H-Runoff'!Q40</f>
        <v>---</v>
      </c>
      <c r="X40" s="799" t="str">
        <f>'H-Runoff'!S40</f>
        <v>---</v>
      </c>
      <c r="Y40" s="794" t="str">
        <f>'H-Leachate'!N40</f>
        <v>NA</v>
      </c>
      <c r="Z40" s="797" t="str">
        <f>'H-Volatilization'!AD40</f>
        <v>NA</v>
      </c>
      <c r="AA40" s="798" t="str">
        <f>'H-Volatilization'!AF40</f>
        <v>NA</v>
      </c>
      <c r="AB40" s="798" t="str">
        <f>'H-Volatilization'!AO40</f>
        <v>NA</v>
      </c>
      <c r="AC40" s="799" t="str">
        <f>'H-Volatilization'!AU40</f>
        <v>NA</v>
      </c>
    </row>
    <row r="41" spans="1:29" x14ac:dyDescent="0.25">
      <c r="A41" s="56" t="s">
        <v>359</v>
      </c>
      <c r="B41" s="336" t="str">
        <f>IF(Start!$C$15="x",('H-Effluent'!B41),"---")</f>
        <v>---</v>
      </c>
      <c r="C41" s="337" t="str">
        <f>IF(Start!$C$16="x",'H-Runoff'!B41,"---")</f>
        <v>---</v>
      </c>
      <c r="D41" s="338" t="str">
        <f>IF(Start!$C$16="x",'H-Runoff'!C41,"---")</f>
        <v>---</v>
      </c>
      <c r="E41" s="868" t="str">
        <f>IF(Start!$C$17="x",'H-Leachate'!B41,"---")</f>
        <v/>
      </c>
      <c r="F41" s="340" t="str">
        <f>IF(Start!$C$18="x",('H-Volatilization'!B41),"---")</f>
        <v/>
      </c>
      <c r="G41" s="341" t="str">
        <f>IF(Start!$C$18="x",('H-Volatilization'!C41),"---")</f>
        <v/>
      </c>
      <c r="H41" s="341" t="str">
        <f>IF(Start!$C$18="x",('H-Volatilization'!D41),"---")</f>
        <v/>
      </c>
      <c r="I41" s="342" t="str">
        <f>IF(Start!$C$18="x",('H-Volatilization'!E41),"---")</f>
        <v/>
      </c>
      <c r="J41" s="339" t="str">
        <f>IF(Start!$C$19="x",'H-Plant &amp; Animal'!B41,"---")</f>
        <v>---</v>
      </c>
      <c r="K41" s="343" t="str">
        <f>'H-Effluent'!Q41</f>
        <v>Not Req.</v>
      </c>
      <c r="L41" s="286" t="str">
        <f>'H-Runoff'!T41</f>
        <v>Not Req.</v>
      </c>
      <c r="M41" s="344" t="str">
        <f>'H-Runoff'!U41</f>
        <v>Not Req.</v>
      </c>
      <c r="N41" s="343" t="str">
        <f>'H-Leachate'!O41</f>
        <v/>
      </c>
      <c r="O41" s="283" t="str">
        <f>'H-Volatilization'!AV41</f>
        <v/>
      </c>
      <c r="P41" s="284" t="str">
        <f>'H-Volatilization'!AW41</f>
        <v/>
      </c>
      <c r="Q41" s="284" t="str">
        <f>'H-Volatilization'!AX41</f>
        <v/>
      </c>
      <c r="R41" s="285" t="str">
        <f>'H-Volatilization'!AY41</f>
        <v/>
      </c>
      <c r="S41" s="462"/>
      <c r="T41" s="345" t="str">
        <f>'H-Plant &amp; Animal'!L41</f>
        <v>Not Req.</v>
      </c>
      <c r="U41" s="346" t="str">
        <f>'H-Plant &amp; Animal'!M41</f>
        <v>Not Req.</v>
      </c>
      <c r="V41" s="794" t="str">
        <f>'H-Effluent'!O41</f>
        <v>---</v>
      </c>
      <c r="W41" s="797" t="str">
        <f>'H-Runoff'!Q41</f>
        <v>---</v>
      </c>
      <c r="X41" s="799" t="str">
        <f>'H-Runoff'!S41</f>
        <v>---</v>
      </c>
      <c r="Y41" s="794" t="str">
        <f>'H-Leachate'!N41</f>
        <v>NA</v>
      </c>
      <c r="Z41" s="797" t="str">
        <f>'H-Volatilization'!AD41</f>
        <v>NA</v>
      </c>
      <c r="AA41" s="798" t="str">
        <f>'H-Volatilization'!AF41</f>
        <v>NA</v>
      </c>
      <c r="AB41" s="798" t="str">
        <f>'H-Volatilization'!AO41</f>
        <v>NA</v>
      </c>
      <c r="AC41" s="799" t="str">
        <f>'H-Volatilization'!AU41</f>
        <v>NA</v>
      </c>
    </row>
    <row r="42" spans="1:29" x14ac:dyDescent="0.25">
      <c r="A42" s="676" t="s">
        <v>360</v>
      </c>
      <c r="B42" s="772" t="str">
        <f>IF(Start!$C$15="x",('H-Effluent'!B42),"---")</f>
        <v>---</v>
      </c>
      <c r="C42" s="773" t="str">
        <f>IF(Start!$C$16="x",'H-Runoff'!B42,"---")</f>
        <v>---</v>
      </c>
      <c r="D42" s="774" t="str">
        <f>IF(Start!$C$16="x",'H-Runoff'!C42,"---")</f>
        <v>---</v>
      </c>
      <c r="E42" s="868" t="str">
        <f>IF(Start!$C$17="x",'H-Leachate'!B42,"---")</f>
        <v/>
      </c>
      <c r="F42" s="776" t="str">
        <f>IF(Start!$C$18="x",('H-Volatilization'!B42),"---")</f>
        <v/>
      </c>
      <c r="G42" s="777" t="str">
        <f>IF(Start!$C$18="x",('H-Volatilization'!C42),"---")</f>
        <v/>
      </c>
      <c r="H42" s="777" t="str">
        <f>IF(Start!$C$18="x",('H-Volatilization'!D42),"---")</f>
        <v/>
      </c>
      <c r="I42" s="778" t="str">
        <f>IF(Start!$C$18="x",('H-Volatilization'!E42),"---")</f>
        <v/>
      </c>
      <c r="J42" s="775" t="str">
        <f>IF(Start!$C$19="x",'H-Plant &amp; Animal'!B42,"---")</f>
        <v>---</v>
      </c>
      <c r="K42" s="762" t="str">
        <f>'H-Effluent'!Q42</f>
        <v>Not Req.</v>
      </c>
      <c r="L42" s="768" t="str">
        <f>'H-Runoff'!T42</f>
        <v>Not Req.</v>
      </c>
      <c r="M42" s="779" t="str">
        <f>'H-Runoff'!U42</f>
        <v>Not Req.</v>
      </c>
      <c r="N42" s="762" t="str">
        <f>'H-Leachate'!O42</f>
        <v/>
      </c>
      <c r="O42" s="780" t="str">
        <f>'H-Volatilization'!AV42</f>
        <v/>
      </c>
      <c r="P42" s="781" t="str">
        <f>'H-Volatilization'!AW42</f>
        <v/>
      </c>
      <c r="Q42" s="781" t="str">
        <f>'H-Volatilization'!AX42</f>
        <v/>
      </c>
      <c r="R42" s="769" t="str">
        <f>'H-Volatilization'!AY42</f>
        <v/>
      </c>
      <c r="S42" s="462"/>
      <c r="T42" s="782" t="str">
        <f>'H-Plant &amp; Animal'!L42</f>
        <v>Not Req.</v>
      </c>
      <c r="U42" s="783" t="str">
        <f>'H-Plant &amp; Animal'!M42</f>
        <v>Not Req.</v>
      </c>
      <c r="V42" s="796" t="str">
        <f>'H-Effluent'!O42</f>
        <v>---</v>
      </c>
      <c r="W42" s="809" t="str">
        <f>'H-Runoff'!Q42</f>
        <v>---</v>
      </c>
      <c r="X42" s="810" t="str">
        <f>'H-Runoff'!S42</f>
        <v>---</v>
      </c>
      <c r="Y42" s="794" t="str">
        <f>'H-Leachate'!N42</f>
        <v>NA</v>
      </c>
      <c r="Z42" s="809" t="str">
        <f>'H-Volatilization'!AD42</f>
        <v>NA</v>
      </c>
      <c r="AA42" s="834" t="str">
        <f>'H-Volatilization'!AF42</f>
        <v>NA</v>
      </c>
      <c r="AB42" s="834" t="str">
        <f>'H-Volatilization'!AO42</f>
        <v>NA</v>
      </c>
      <c r="AC42" s="810" t="str">
        <f>'H-Volatilization'!AU42</f>
        <v>NA</v>
      </c>
    </row>
    <row r="43" spans="1:29" ht="13.8" thickBot="1" x14ac:dyDescent="0.3">
      <c r="A43" s="56" t="s">
        <v>361</v>
      </c>
      <c r="B43" s="336" t="str">
        <f>IF(Start!$C$15="x",('H-Effluent'!B43),"---")</f>
        <v>---</v>
      </c>
      <c r="C43" s="337" t="str">
        <f>IF(Start!$C$16="x",'H-Runoff'!B43,"---")</f>
        <v>---</v>
      </c>
      <c r="D43" s="338" t="str">
        <f>IF(Start!$C$16="x",'H-Runoff'!C43,"---")</f>
        <v>---</v>
      </c>
      <c r="E43" s="868" t="str">
        <f>IF(Start!$C$17="x",'H-Leachate'!B43,"---")</f>
        <v/>
      </c>
      <c r="F43" s="340" t="str">
        <f>IF(Start!$C$18="x",('H-Volatilization'!B43),"---")</f>
        <v/>
      </c>
      <c r="G43" s="341" t="str">
        <f>IF(Start!$C$18="x",('H-Volatilization'!C43),"---")</f>
        <v/>
      </c>
      <c r="H43" s="341" t="str">
        <f>IF(Start!$C$18="x",('H-Volatilization'!D43),"---")</f>
        <v/>
      </c>
      <c r="I43" s="342" t="str">
        <f>IF(Start!$C$18="x",('H-Volatilization'!E43),"---")</f>
        <v/>
      </c>
      <c r="J43" s="339" t="str">
        <f>IF(Start!$C$19="x",'H-Plant &amp; Animal'!B43,"---")</f>
        <v>---</v>
      </c>
      <c r="K43" s="343" t="str">
        <f>'H-Effluent'!Q43</f>
        <v>Not Req.</v>
      </c>
      <c r="L43" s="286" t="str">
        <f>'H-Runoff'!T43</f>
        <v>Not Req.</v>
      </c>
      <c r="M43" s="344" t="str">
        <f>'H-Runoff'!U43</f>
        <v>Not Req.</v>
      </c>
      <c r="N43" s="343" t="str">
        <f>'H-Leachate'!O43</f>
        <v/>
      </c>
      <c r="O43" s="283" t="str">
        <f>'H-Volatilization'!AV43</f>
        <v/>
      </c>
      <c r="P43" s="284" t="str">
        <f>'H-Volatilization'!AW43</f>
        <v/>
      </c>
      <c r="Q43" s="284" t="str">
        <f>'H-Volatilization'!AX43</f>
        <v/>
      </c>
      <c r="R43" s="285" t="str">
        <f>'H-Volatilization'!AY43</f>
        <v/>
      </c>
      <c r="S43" s="462"/>
      <c r="T43" s="345" t="str">
        <f>'H-Plant &amp; Animal'!L43</f>
        <v>Not Req.</v>
      </c>
      <c r="U43" s="346" t="str">
        <f>'H-Plant &amp; Animal'!M43</f>
        <v>Not Req.</v>
      </c>
      <c r="V43" s="794" t="str">
        <f>'H-Effluent'!O43</f>
        <v>---</v>
      </c>
      <c r="W43" s="797" t="str">
        <f>'H-Runoff'!Q43</f>
        <v>---</v>
      </c>
      <c r="X43" s="799" t="str">
        <f>'H-Runoff'!S43</f>
        <v>---</v>
      </c>
      <c r="Y43" s="794" t="str">
        <f>'H-Leachate'!N43</f>
        <v>NA</v>
      </c>
      <c r="Z43" s="797" t="str">
        <f>'H-Volatilization'!AD43</f>
        <v>NA</v>
      </c>
      <c r="AA43" s="798" t="str">
        <f>'H-Volatilization'!AF43</f>
        <v>NA</v>
      </c>
      <c r="AB43" s="798" t="str">
        <f>'H-Volatilization'!AO43</f>
        <v>NA</v>
      </c>
      <c r="AC43" s="799" t="str">
        <f>'H-Volatilization'!AU43</f>
        <v>NA</v>
      </c>
    </row>
    <row r="44" spans="1:29" x14ac:dyDescent="0.25">
      <c r="A44" s="554" t="s">
        <v>362</v>
      </c>
      <c r="B44" s="559"/>
      <c r="C44" s="556"/>
      <c r="D44" s="557"/>
      <c r="E44" s="572"/>
      <c r="F44" s="559"/>
      <c r="G44" s="560"/>
      <c r="H44" s="560"/>
      <c r="I44" s="561"/>
      <c r="J44" s="572"/>
      <c r="K44" s="543"/>
      <c r="L44" s="511"/>
      <c r="M44" s="513"/>
      <c r="N44" s="543"/>
      <c r="O44" s="511"/>
      <c r="P44" s="512"/>
      <c r="Q44" s="512"/>
      <c r="R44" s="513"/>
      <c r="S44" s="543"/>
      <c r="T44" s="562"/>
      <c r="U44" s="563"/>
      <c r="V44" s="807"/>
      <c r="W44" s="800"/>
      <c r="X44" s="808"/>
      <c r="Y44" s="527"/>
      <c r="Z44" s="800"/>
      <c r="AA44" s="801"/>
      <c r="AB44" s="802"/>
      <c r="AC44" s="803"/>
    </row>
    <row r="45" spans="1:29" x14ac:dyDescent="0.25">
      <c r="A45" s="56" t="s">
        <v>363</v>
      </c>
      <c r="B45" s="336" t="str">
        <f>IF(Start!$C$15="x",('H-Effluent'!B45),"---")</f>
        <v>---</v>
      </c>
      <c r="C45" s="337" t="str">
        <f>IF(Start!$C$16="x",'H-Runoff'!B45,"---")</f>
        <v>---</v>
      </c>
      <c r="D45" s="338" t="str">
        <f>IF(Start!$C$16="x",'H-Runoff'!C45,"---")</f>
        <v>---</v>
      </c>
      <c r="E45" s="868" t="str">
        <f>IF(Start!$C$17="x",'H-Leachate'!B45,"---")</f>
        <v/>
      </c>
      <c r="F45" s="340" t="str">
        <f>IF(Start!$C$18="x",('H-Volatilization'!B45),"---")</f>
        <v/>
      </c>
      <c r="G45" s="341" t="str">
        <f>IF(Start!$C$18="x",('H-Volatilization'!C45),"---")</f>
        <v/>
      </c>
      <c r="H45" s="341" t="str">
        <f>IF(Start!$C$18="x",('H-Volatilization'!D45),"---")</f>
        <v/>
      </c>
      <c r="I45" s="342" t="str">
        <f>IF(Start!$C$18="x",('H-Volatilization'!E45),"---")</f>
        <v/>
      </c>
      <c r="J45" s="339" t="str">
        <f>IF(Start!$C$19="x",'H-Plant &amp; Animal'!B45,"---")</f>
        <v>---</v>
      </c>
      <c r="K45" s="343" t="str">
        <f>'H-Effluent'!Q45</f>
        <v>Not Req.</v>
      </c>
      <c r="L45" s="286" t="str">
        <f>'H-Runoff'!T45</f>
        <v>Not Req.</v>
      </c>
      <c r="M45" s="344" t="str">
        <f>'H-Runoff'!U45</f>
        <v>Not Req.</v>
      </c>
      <c r="N45" s="343" t="str">
        <f>'H-Leachate'!O45</f>
        <v/>
      </c>
      <c r="O45" s="283" t="str">
        <f>'H-Volatilization'!AV45</f>
        <v/>
      </c>
      <c r="P45" s="284" t="str">
        <f>'H-Volatilization'!AW45</f>
        <v/>
      </c>
      <c r="Q45" s="284" t="str">
        <f>'H-Volatilization'!AX45</f>
        <v/>
      </c>
      <c r="R45" s="285" t="str">
        <f>'H-Volatilization'!AY45</f>
        <v/>
      </c>
      <c r="S45" s="462"/>
      <c r="T45" s="345" t="str">
        <f>'H-Plant &amp; Animal'!L45</f>
        <v>Not Req.</v>
      </c>
      <c r="U45" s="346" t="str">
        <f>'H-Plant &amp; Animal'!M45</f>
        <v>Not Req.</v>
      </c>
      <c r="V45" s="794" t="str">
        <f>'H-Effluent'!O45</f>
        <v>---</v>
      </c>
      <c r="W45" s="797" t="str">
        <f>'H-Runoff'!Q45</f>
        <v>---</v>
      </c>
      <c r="X45" s="799" t="str">
        <f>'H-Runoff'!S45</f>
        <v>---</v>
      </c>
      <c r="Y45" s="794" t="str">
        <f>'H-Leachate'!N45</f>
        <v>NA</v>
      </c>
      <c r="Z45" s="797" t="str">
        <f>'H-Volatilization'!AD45</f>
        <v>NA</v>
      </c>
      <c r="AA45" s="798" t="str">
        <f>'H-Volatilization'!AF45</f>
        <v>NA</v>
      </c>
      <c r="AB45" s="798" t="str">
        <f>'H-Volatilization'!AO45</f>
        <v>NA</v>
      </c>
      <c r="AC45" s="799" t="str">
        <f>'H-Volatilization'!AU45</f>
        <v>NA</v>
      </c>
    </row>
    <row r="46" spans="1:29" x14ac:dyDescent="0.25">
      <c r="A46" s="56" t="s">
        <v>364</v>
      </c>
      <c r="B46" s="336" t="str">
        <f>IF(Start!$C$15="x",('H-Effluent'!B46),"---")</f>
        <v>---</v>
      </c>
      <c r="C46" s="337" t="str">
        <f>IF(Start!$C$16="x",'H-Runoff'!B46,"---")</f>
        <v>---</v>
      </c>
      <c r="D46" s="338" t="str">
        <f>IF(Start!$C$16="x",'H-Runoff'!C46,"---")</f>
        <v>---</v>
      </c>
      <c r="E46" s="868" t="str">
        <f>IF(Start!$C$17="x",'H-Leachate'!B46,"---")</f>
        <v>No-2</v>
      </c>
      <c r="F46" s="340" t="str">
        <f>IF(Start!$C$18="x",('H-Volatilization'!B46),"---")</f>
        <v>Needed</v>
      </c>
      <c r="G46" s="341" t="str">
        <f>IF(Start!$C$18="x",('H-Volatilization'!C46),"---")</f>
        <v>Needed</v>
      </c>
      <c r="H46" s="341" t="str">
        <f>IF(Start!$C$18="x",('H-Volatilization'!D46),"---")</f>
        <v>No</v>
      </c>
      <c r="I46" s="342" t="str">
        <f>IF(Start!$C$18="x",('H-Volatilization'!E46),"---")</f>
        <v>No</v>
      </c>
      <c r="J46" s="339" t="str">
        <f>IF(Start!$C$19="x",'H-Plant &amp; Animal'!B46,"---")</f>
        <v>---</v>
      </c>
      <c r="K46" s="343" t="str">
        <f>'H-Effluent'!Q46</f>
        <v>Not Req.</v>
      </c>
      <c r="L46" s="286" t="str">
        <f>'H-Runoff'!T46</f>
        <v>Not Req.</v>
      </c>
      <c r="M46" s="344" t="str">
        <f>'H-Runoff'!U46</f>
        <v>Not Req.</v>
      </c>
      <c r="N46" s="343">
        <f>'H-Leachate'!O46</f>
        <v>3.5768939646560957E-2</v>
      </c>
      <c r="O46" s="283">
        <f>'H-Volatilization'!AV46</f>
        <v>1.952053675582053</v>
      </c>
      <c r="P46" s="284">
        <f>'H-Volatilization'!AW46</f>
        <v>3.2224131444677262</v>
      </c>
      <c r="Q46" s="284">
        <f>'H-Volatilization'!AX46</f>
        <v>3.7837762491214434E-2</v>
      </c>
      <c r="R46" s="285">
        <f>'H-Volatilization'!AY46</f>
        <v>4.9969487923053613E-2</v>
      </c>
      <c r="S46" s="462"/>
      <c r="T46" s="345" t="str">
        <f>'H-Plant &amp; Animal'!L46</f>
        <v>Not Req.</v>
      </c>
      <c r="U46" s="346" t="str">
        <f>'H-Plant &amp; Animal'!M46</f>
        <v>Not Req.</v>
      </c>
      <c r="V46" s="794" t="str">
        <f>'H-Effluent'!O46</f>
        <v>---</v>
      </c>
      <c r="W46" s="797" t="str">
        <f>'H-Runoff'!Q46</f>
        <v>---</v>
      </c>
      <c r="X46" s="799" t="str">
        <f>'H-Runoff'!S46</f>
        <v>---</v>
      </c>
      <c r="Y46" s="794">
        <f>'H-Leachate'!N46</f>
        <v>60.80719739915363</v>
      </c>
      <c r="Z46" s="797">
        <f>'H-Volatilization'!AD46</f>
        <v>5.6609556591879537E-2</v>
      </c>
      <c r="AA46" s="798">
        <f>'H-Volatilization'!AF46</f>
        <v>9.344998118956406E-2</v>
      </c>
      <c r="AB46" s="798">
        <f>'H-Volatilization'!AO46</f>
        <v>1.0972951122452186E-3</v>
      </c>
      <c r="AC46" s="799">
        <f>'H-Volatilization'!AU46</f>
        <v>1.4491151497685549E-3</v>
      </c>
    </row>
    <row r="47" spans="1:29" x14ac:dyDescent="0.25">
      <c r="A47" s="56" t="s">
        <v>365</v>
      </c>
      <c r="B47" s="336" t="str">
        <f>IF(Start!$C$15="x",('H-Effluent'!B47),"---")</f>
        <v>---</v>
      </c>
      <c r="C47" s="337" t="str">
        <f>IF(Start!$C$16="x",'H-Runoff'!B47,"---")</f>
        <v>---</v>
      </c>
      <c r="D47" s="338" t="str">
        <f>IF(Start!$C$16="x",'H-Runoff'!C47,"---")</f>
        <v>---</v>
      </c>
      <c r="E47" s="868" t="str">
        <f>IF(Start!$C$17="x",'H-Leachate'!B47,"---")</f>
        <v/>
      </c>
      <c r="F47" s="340" t="str">
        <f>IF(Start!$C$18="x",('H-Volatilization'!B47),"---")</f>
        <v/>
      </c>
      <c r="G47" s="341" t="str">
        <f>IF(Start!$C$18="x",('H-Volatilization'!C47),"---")</f>
        <v/>
      </c>
      <c r="H47" s="341" t="str">
        <f>IF(Start!$C$18="x",('H-Volatilization'!D47),"---")</f>
        <v/>
      </c>
      <c r="I47" s="342" t="str">
        <f>IF(Start!$C$18="x",('H-Volatilization'!E47),"---")</f>
        <v/>
      </c>
      <c r="J47" s="339" t="str">
        <f>IF(Start!$C$19="x",'H-Plant &amp; Animal'!B47,"---")</f>
        <v>---</v>
      </c>
      <c r="K47" s="343" t="str">
        <f>'H-Effluent'!Q47</f>
        <v>Not Req.</v>
      </c>
      <c r="L47" s="286" t="str">
        <f>'H-Runoff'!T47</f>
        <v>Not Req.</v>
      </c>
      <c r="M47" s="344" t="str">
        <f>'H-Runoff'!U47</f>
        <v>Not Req.</v>
      </c>
      <c r="N47" s="343" t="str">
        <f>'H-Leachate'!O47</f>
        <v/>
      </c>
      <c r="O47" s="283" t="str">
        <f>'H-Volatilization'!AV47</f>
        <v/>
      </c>
      <c r="P47" s="284" t="str">
        <f>'H-Volatilization'!AW47</f>
        <v/>
      </c>
      <c r="Q47" s="284" t="str">
        <f>'H-Volatilization'!AX47</f>
        <v/>
      </c>
      <c r="R47" s="285" t="str">
        <f>'H-Volatilization'!AY47</f>
        <v/>
      </c>
      <c r="S47" s="462"/>
      <c r="T47" s="345" t="str">
        <f>'H-Plant &amp; Animal'!L47</f>
        <v>Not Req.</v>
      </c>
      <c r="U47" s="346" t="str">
        <f>'H-Plant &amp; Animal'!M47</f>
        <v>Not Req.</v>
      </c>
      <c r="V47" s="794" t="str">
        <f>'H-Effluent'!O47</f>
        <v>---</v>
      </c>
      <c r="W47" s="797" t="str">
        <f>'H-Runoff'!Q47</f>
        <v>---</v>
      </c>
      <c r="X47" s="799" t="str">
        <f>'H-Runoff'!S47</f>
        <v>---</v>
      </c>
      <c r="Y47" s="794" t="str">
        <f>'H-Leachate'!N47</f>
        <v>NA</v>
      </c>
      <c r="Z47" s="797" t="str">
        <f>'H-Volatilization'!AD47</f>
        <v>NA</v>
      </c>
      <c r="AA47" s="798" t="str">
        <f>'H-Volatilization'!AF47</f>
        <v>NA</v>
      </c>
      <c r="AB47" s="798" t="str">
        <f>'H-Volatilization'!AO47</f>
        <v>NA</v>
      </c>
      <c r="AC47" s="799" t="str">
        <f>'H-Volatilization'!AU47</f>
        <v>NA</v>
      </c>
    </row>
    <row r="48" spans="1:29" ht="13.8" thickBot="1" x14ac:dyDescent="0.3">
      <c r="A48" s="676" t="s">
        <v>366</v>
      </c>
      <c r="B48" s="772" t="str">
        <f>IF(Start!$C$15="x",('H-Effluent'!B48),"---")</f>
        <v>---</v>
      </c>
      <c r="C48" s="773" t="str">
        <f>IF(Start!$C$16="x",'H-Runoff'!B48,"---")</f>
        <v>---</v>
      </c>
      <c r="D48" s="774" t="str">
        <f>IF(Start!$C$16="x",'H-Runoff'!C48,"---")</f>
        <v>---</v>
      </c>
      <c r="E48" s="868" t="str">
        <f>IF(Start!$C$17="x",'H-Leachate'!B48,"---")</f>
        <v/>
      </c>
      <c r="F48" s="776" t="str">
        <f>IF(Start!$C$18="x",('H-Volatilization'!B48),"---")</f>
        <v/>
      </c>
      <c r="G48" s="777" t="str">
        <f>IF(Start!$C$18="x",('H-Volatilization'!C48),"---")</f>
        <v/>
      </c>
      <c r="H48" s="777" t="str">
        <f>IF(Start!$C$18="x",('H-Volatilization'!D48),"---")</f>
        <v/>
      </c>
      <c r="I48" s="778" t="str">
        <f>IF(Start!$C$18="x",('H-Volatilization'!E48),"---")</f>
        <v/>
      </c>
      <c r="J48" s="775" t="str">
        <f>IF(Start!$C$19="x",'H-Plant &amp; Animal'!B48,"---")</f>
        <v>---</v>
      </c>
      <c r="K48" s="762" t="str">
        <f>'H-Effluent'!Q48</f>
        <v>Not Req.</v>
      </c>
      <c r="L48" s="768" t="str">
        <f>'H-Runoff'!T48</f>
        <v>Not Req.</v>
      </c>
      <c r="M48" s="779" t="str">
        <f>'H-Runoff'!U48</f>
        <v>Not Req.</v>
      </c>
      <c r="N48" s="762" t="str">
        <f>'H-Leachate'!O48</f>
        <v/>
      </c>
      <c r="O48" s="780" t="str">
        <f>'H-Volatilization'!AV48</f>
        <v/>
      </c>
      <c r="P48" s="781" t="str">
        <f>'H-Volatilization'!AW48</f>
        <v/>
      </c>
      <c r="Q48" s="781" t="str">
        <f>'H-Volatilization'!AX48</f>
        <v/>
      </c>
      <c r="R48" s="769" t="str">
        <f>'H-Volatilization'!AY48</f>
        <v/>
      </c>
      <c r="S48" s="462"/>
      <c r="T48" s="782" t="str">
        <f>'H-Plant &amp; Animal'!L48</f>
        <v>Not Req.</v>
      </c>
      <c r="U48" s="783" t="str">
        <f>'H-Plant &amp; Animal'!M48</f>
        <v>Not Req.</v>
      </c>
      <c r="V48" s="796" t="str">
        <f>'H-Effluent'!O48</f>
        <v>---</v>
      </c>
      <c r="W48" s="809" t="str">
        <f>'H-Runoff'!Q48</f>
        <v>---</v>
      </c>
      <c r="X48" s="810" t="str">
        <f>'H-Runoff'!S48</f>
        <v>---</v>
      </c>
      <c r="Y48" s="794" t="str">
        <f>'H-Leachate'!N48</f>
        <v>NA</v>
      </c>
      <c r="Z48" s="809" t="str">
        <f>'H-Volatilization'!AD48</f>
        <v>NA</v>
      </c>
      <c r="AA48" s="834" t="str">
        <f>'H-Volatilization'!AF48</f>
        <v>NA</v>
      </c>
      <c r="AB48" s="834" t="str">
        <f>'H-Volatilization'!AO48</f>
        <v>NA</v>
      </c>
      <c r="AC48" s="810" t="str">
        <f>'H-Volatilization'!AU48</f>
        <v>NA</v>
      </c>
    </row>
    <row r="49" spans="1:29" x14ac:dyDescent="0.25">
      <c r="A49" s="554" t="s">
        <v>367</v>
      </c>
      <c r="B49" s="559"/>
      <c r="C49" s="556"/>
      <c r="D49" s="557"/>
      <c r="E49" s="572"/>
      <c r="F49" s="559"/>
      <c r="G49" s="560"/>
      <c r="H49" s="560"/>
      <c r="I49" s="561"/>
      <c r="J49" s="572"/>
      <c r="K49" s="543"/>
      <c r="L49" s="511"/>
      <c r="M49" s="513"/>
      <c r="N49" s="543"/>
      <c r="O49" s="511"/>
      <c r="P49" s="512"/>
      <c r="Q49" s="512"/>
      <c r="R49" s="513"/>
      <c r="S49" s="543"/>
      <c r="T49" s="562"/>
      <c r="U49" s="563"/>
      <c r="V49" s="807"/>
      <c r="W49" s="800"/>
      <c r="X49" s="808"/>
      <c r="Y49" s="527"/>
      <c r="Z49" s="800"/>
      <c r="AA49" s="801"/>
      <c r="AB49" s="802"/>
      <c r="AC49" s="803"/>
    </row>
    <row r="50" spans="1:29" x14ac:dyDescent="0.25">
      <c r="A50" s="56" t="s">
        <v>368</v>
      </c>
      <c r="B50" s="336" t="str">
        <f>IF(Start!$C$15="x",('H-Effluent'!B50),"---")</f>
        <v>---</v>
      </c>
      <c r="C50" s="337" t="str">
        <f>IF(Start!$C$16="x",'H-Runoff'!B50,"---")</f>
        <v>---</v>
      </c>
      <c r="D50" s="338" t="str">
        <f>IF(Start!$C$16="x",'H-Runoff'!C50,"---")</f>
        <v>---</v>
      </c>
      <c r="E50" s="868" t="str">
        <f>IF(Start!$C$17="x",'H-Leachate'!B50,"---")</f>
        <v/>
      </c>
      <c r="F50" s="340" t="str">
        <f>IF(Start!$C$18="x",('H-Volatilization'!B50),"---")</f>
        <v/>
      </c>
      <c r="G50" s="341" t="str">
        <f>IF(Start!$C$18="x",('H-Volatilization'!C50),"---")</f>
        <v/>
      </c>
      <c r="H50" s="341" t="str">
        <f>IF(Start!$C$18="x",('H-Volatilization'!D50),"---")</f>
        <v/>
      </c>
      <c r="I50" s="342" t="str">
        <f>IF(Start!$C$18="x",('H-Volatilization'!E50),"---")</f>
        <v/>
      </c>
      <c r="J50" s="339" t="str">
        <f>IF(Start!$C$19="x",'H-Plant &amp; Animal'!B50,"---")</f>
        <v>---</v>
      </c>
      <c r="K50" s="343" t="str">
        <f>'H-Effluent'!Q50</f>
        <v>Not Req.</v>
      </c>
      <c r="L50" s="286" t="str">
        <f>'H-Runoff'!T50</f>
        <v>Not Req.</v>
      </c>
      <c r="M50" s="344" t="str">
        <f>'H-Runoff'!U50</f>
        <v>Not Req.</v>
      </c>
      <c r="N50" s="343" t="str">
        <f>'H-Leachate'!O50</f>
        <v/>
      </c>
      <c r="O50" s="283" t="str">
        <f>'H-Volatilization'!AV50</f>
        <v/>
      </c>
      <c r="P50" s="284" t="str">
        <f>'H-Volatilization'!AW50</f>
        <v/>
      </c>
      <c r="Q50" s="284" t="str">
        <f>'H-Volatilization'!AX50</f>
        <v/>
      </c>
      <c r="R50" s="285" t="str">
        <f>'H-Volatilization'!AY50</f>
        <v/>
      </c>
      <c r="S50" s="462"/>
      <c r="T50" s="345" t="str">
        <f>'H-Plant &amp; Animal'!L50</f>
        <v>Not Req.</v>
      </c>
      <c r="U50" s="346" t="str">
        <f>'H-Plant &amp; Animal'!M50</f>
        <v>Not Req.</v>
      </c>
      <c r="V50" s="794" t="str">
        <f>'H-Effluent'!O50</f>
        <v>---</v>
      </c>
      <c r="W50" s="797" t="str">
        <f>'H-Runoff'!Q50</f>
        <v>---</v>
      </c>
      <c r="X50" s="799" t="str">
        <f>'H-Runoff'!S50</f>
        <v>---</v>
      </c>
      <c r="Y50" s="794" t="str">
        <f>'H-Leachate'!N50</f>
        <v>NA</v>
      </c>
      <c r="Z50" s="797" t="str">
        <f>'H-Volatilization'!AD50</f>
        <v>NA</v>
      </c>
      <c r="AA50" s="798" t="str">
        <f>'H-Volatilization'!AF50</f>
        <v>NA</v>
      </c>
      <c r="AB50" s="798" t="str">
        <f>'H-Volatilization'!AO50</f>
        <v>NA</v>
      </c>
      <c r="AC50" s="799" t="str">
        <f>'H-Volatilization'!AU50</f>
        <v>NA</v>
      </c>
    </row>
    <row r="51" spans="1:29" x14ac:dyDescent="0.25">
      <c r="A51" s="56" t="s">
        <v>369</v>
      </c>
      <c r="B51" s="336" t="str">
        <f>IF(Start!$C$15="x",('H-Effluent'!B51),"---")</f>
        <v>---</v>
      </c>
      <c r="C51" s="337" t="str">
        <f>IF(Start!$C$16="x",'H-Runoff'!B51,"---")</f>
        <v>---</v>
      </c>
      <c r="D51" s="338" t="str">
        <f>IF(Start!$C$16="x",'H-Runoff'!C51,"---")</f>
        <v>---</v>
      </c>
      <c r="E51" s="868" t="str">
        <f>IF(Start!$C$17="x",'H-Leachate'!B51,"---")</f>
        <v/>
      </c>
      <c r="F51" s="340" t="str">
        <f>IF(Start!$C$18="x",('H-Volatilization'!B51),"---")</f>
        <v/>
      </c>
      <c r="G51" s="341" t="str">
        <f>IF(Start!$C$18="x",('H-Volatilization'!C51),"---")</f>
        <v/>
      </c>
      <c r="H51" s="341" t="str">
        <f>IF(Start!$C$18="x",('H-Volatilization'!D51),"---")</f>
        <v/>
      </c>
      <c r="I51" s="342" t="str">
        <f>IF(Start!$C$18="x",('H-Volatilization'!E51),"---")</f>
        <v/>
      </c>
      <c r="J51" s="339" t="str">
        <f>IF(Start!$C$19="x",'H-Plant &amp; Animal'!B51,"---")</f>
        <v>---</v>
      </c>
      <c r="K51" s="343" t="str">
        <f>'H-Effluent'!Q51</f>
        <v>Not Req.</v>
      </c>
      <c r="L51" s="286" t="str">
        <f>'H-Runoff'!T51</f>
        <v>Not Req.</v>
      </c>
      <c r="M51" s="344" t="str">
        <f>'H-Runoff'!U51</f>
        <v>Not Req.</v>
      </c>
      <c r="N51" s="343" t="str">
        <f>'H-Leachate'!O51</f>
        <v/>
      </c>
      <c r="O51" s="283" t="str">
        <f>'H-Volatilization'!AV51</f>
        <v/>
      </c>
      <c r="P51" s="284" t="str">
        <f>'H-Volatilization'!AW51</f>
        <v/>
      </c>
      <c r="Q51" s="284" t="str">
        <f>'H-Volatilization'!AX51</f>
        <v/>
      </c>
      <c r="R51" s="285" t="str">
        <f>'H-Volatilization'!AY51</f>
        <v/>
      </c>
      <c r="S51" s="462"/>
      <c r="T51" s="345" t="str">
        <f>'H-Plant &amp; Animal'!L51</f>
        <v>Not Req.</v>
      </c>
      <c r="U51" s="346" t="str">
        <f>'H-Plant &amp; Animal'!M51</f>
        <v>Not Req.</v>
      </c>
      <c r="V51" s="794" t="str">
        <f>'H-Effluent'!O51</f>
        <v>---</v>
      </c>
      <c r="W51" s="797" t="str">
        <f>'H-Runoff'!Q51</f>
        <v>---</v>
      </c>
      <c r="X51" s="799" t="str">
        <f>'H-Runoff'!S51</f>
        <v>---</v>
      </c>
      <c r="Y51" s="794" t="str">
        <f>'H-Leachate'!N51</f>
        <v>NA</v>
      </c>
      <c r="Z51" s="797" t="str">
        <f>'H-Volatilization'!AD51</f>
        <v>NA</v>
      </c>
      <c r="AA51" s="798" t="str">
        <f>'H-Volatilization'!AF51</f>
        <v>NA</v>
      </c>
      <c r="AB51" s="798" t="str">
        <f>'H-Volatilization'!AO51</f>
        <v>NA</v>
      </c>
      <c r="AC51" s="799" t="str">
        <f>'H-Volatilization'!AU51</f>
        <v>NA</v>
      </c>
    </row>
    <row r="52" spans="1:29" x14ac:dyDescent="0.25">
      <c r="A52" s="56" t="s">
        <v>370</v>
      </c>
      <c r="B52" s="336" t="str">
        <f>IF(Start!$C$15="x",('H-Effluent'!B52),"---")</f>
        <v>---</v>
      </c>
      <c r="C52" s="337" t="str">
        <f>IF(Start!$C$16="x",'H-Runoff'!B52,"---")</f>
        <v>---</v>
      </c>
      <c r="D52" s="338" t="str">
        <f>IF(Start!$C$16="x",'H-Runoff'!C52,"---")</f>
        <v>---</v>
      </c>
      <c r="E52" s="868" t="str">
        <f>IF(Start!$C$17="x",'H-Leachate'!B52,"---")</f>
        <v/>
      </c>
      <c r="F52" s="340" t="str">
        <f>IF(Start!$C$18="x",('H-Volatilization'!B52),"---")</f>
        <v/>
      </c>
      <c r="G52" s="341" t="str">
        <f>IF(Start!$C$18="x",('H-Volatilization'!C52),"---")</f>
        <v/>
      </c>
      <c r="H52" s="341" t="str">
        <f>IF(Start!$C$18="x",('H-Volatilization'!D52),"---")</f>
        <v/>
      </c>
      <c r="I52" s="342" t="str">
        <f>IF(Start!$C$18="x",('H-Volatilization'!E52),"---")</f>
        <v/>
      </c>
      <c r="J52" s="339" t="str">
        <f>IF(Start!$C$19="x",'H-Plant &amp; Animal'!B52,"---")</f>
        <v>---</v>
      </c>
      <c r="K52" s="343" t="str">
        <f>'H-Effluent'!Q52</f>
        <v>Not Req.</v>
      </c>
      <c r="L52" s="286" t="str">
        <f>'H-Runoff'!T52</f>
        <v>Not Req.</v>
      </c>
      <c r="M52" s="344" t="str">
        <f>'H-Runoff'!U52</f>
        <v>Not Req.</v>
      </c>
      <c r="N52" s="343" t="str">
        <f>'H-Leachate'!O52</f>
        <v/>
      </c>
      <c r="O52" s="283" t="str">
        <f>'H-Volatilization'!AV52</f>
        <v/>
      </c>
      <c r="P52" s="284" t="str">
        <f>'H-Volatilization'!AW52</f>
        <v/>
      </c>
      <c r="Q52" s="284" t="str">
        <f>'H-Volatilization'!AX52</f>
        <v/>
      </c>
      <c r="R52" s="285" t="str">
        <f>'H-Volatilization'!AY52</f>
        <v/>
      </c>
      <c r="S52" s="462"/>
      <c r="T52" s="345" t="str">
        <f>'H-Plant &amp; Animal'!L52</f>
        <v>Not Req.</v>
      </c>
      <c r="U52" s="346" t="str">
        <f>'H-Plant &amp; Animal'!M52</f>
        <v>Not Req.</v>
      </c>
      <c r="V52" s="794" t="str">
        <f>'H-Effluent'!O52</f>
        <v>---</v>
      </c>
      <c r="W52" s="797" t="str">
        <f>'H-Runoff'!Q52</f>
        <v>---</v>
      </c>
      <c r="X52" s="799" t="str">
        <f>'H-Runoff'!S52</f>
        <v>---</v>
      </c>
      <c r="Y52" s="794" t="str">
        <f>'H-Leachate'!N52</f>
        <v>NA</v>
      </c>
      <c r="Z52" s="797" t="str">
        <f>'H-Volatilization'!AD52</f>
        <v>NA</v>
      </c>
      <c r="AA52" s="798" t="str">
        <f>'H-Volatilization'!AF52</f>
        <v>NA</v>
      </c>
      <c r="AB52" s="798" t="str">
        <f>'H-Volatilization'!AO52</f>
        <v>NA</v>
      </c>
      <c r="AC52" s="799" t="str">
        <f>'H-Volatilization'!AU52</f>
        <v>NA</v>
      </c>
    </row>
    <row r="53" spans="1:29" x14ac:dyDescent="0.25">
      <c r="A53" s="56" t="s">
        <v>371</v>
      </c>
      <c r="B53" s="336" t="str">
        <f>IF(Start!$C$15="x",('H-Effluent'!B53),"---")</f>
        <v>---</v>
      </c>
      <c r="C53" s="337" t="str">
        <f>IF(Start!$C$16="x",'H-Runoff'!B53,"---")</f>
        <v>---</v>
      </c>
      <c r="D53" s="338" t="str">
        <f>IF(Start!$C$16="x",'H-Runoff'!C53,"---")</f>
        <v>---</v>
      </c>
      <c r="E53" s="868" t="str">
        <f>IF(Start!$C$17="x",'H-Leachate'!B53,"---")</f>
        <v/>
      </c>
      <c r="F53" s="340" t="str">
        <f>IF(Start!$C$18="x",('H-Volatilization'!B53),"---")</f>
        <v/>
      </c>
      <c r="G53" s="341" t="str">
        <f>IF(Start!$C$18="x",('H-Volatilization'!C53),"---")</f>
        <v/>
      </c>
      <c r="H53" s="341" t="str">
        <f>IF(Start!$C$18="x",('H-Volatilization'!D53),"---")</f>
        <v/>
      </c>
      <c r="I53" s="342" t="str">
        <f>IF(Start!$C$18="x",('H-Volatilization'!E53),"---")</f>
        <v/>
      </c>
      <c r="J53" s="339" t="str">
        <f>IF(Start!$C$19="x",'H-Plant &amp; Animal'!B53,"---")</f>
        <v>---</v>
      </c>
      <c r="K53" s="343" t="str">
        <f>'H-Effluent'!Q53</f>
        <v>Not Req.</v>
      </c>
      <c r="L53" s="286" t="str">
        <f>'H-Runoff'!T53</f>
        <v>Not Req.</v>
      </c>
      <c r="M53" s="344" t="str">
        <f>'H-Runoff'!U53</f>
        <v>Not Req.</v>
      </c>
      <c r="N53" s="343" t="str">
        <f>'H-Leachate'!O53</f>
        <v/>
      </c>
      <c r="O53" s="283" t="str">
        <f>'H-Volatilization'!AV53</f>
        <v/>
      </c>
      <c r="P53" s="284" t="str">
        <f>'H-Volatilization'!AW53</f>
        <v/>
      </c>
      <c r="Q53" s="284" t="str">
        <f>'H-Volatilization'!AX53</f>
        <v/>
      </c>
      <c r="R53" s="285" t="str">
        <f>'H-Volatilization'!AY53</f>
        <v/>
      </c>
      <c r="S53" s="462"/>
      <c r="T53" s="345" t="str">
        <f>'H-Plant &amp; Animal'!L53</f>
        <v>Not Req.</v>
      </c>
      <c r="U53" s="346" t="str">
        <f>'H-Plant &amp; Animal'!M53</f>
        <v>Not Req.</v>
      </c>
      <c r="V53" s="794" t="str">
        <f>'H-Effluent'!O53</f>
        <v>---</v>
      </c>
      <c r="W53" s="797" t="str">
        <f>'H-Runoff'!Q53</f>
        <v>---</v>
      </c>
      <c r="X53" s="799" t="str">
        <f>'H-Runoff'!S53</f>
        <v>---</v>
      </c>
      <c r="Y53" s="794" t="str">
        <f>'H-Leachate'!N53</f>
        <v>NA</v>
      </c>
      <c r="Z53" s="797" t="str">
        <f>'H-Volatilization'!AD53</f>
        <v>NA</v>
      </c>
      <c r="AA53" s="798" t="str">
        <f>'H-Volatilization'!AF53</f>
        <v>NA</v>
      </c>
      <c r="AB53" s="798" t="str">
        <f>'H-Volatilization'!AO53</f>
        <v>NA</v>
      </c>
      <c r="AC53" s="799" t="str">
        <f>'H-Volatilization'!AU53</f>
        <v>NA</v>
      </c>
    </row>
    <row r="54" spans="1:29" x14ac:dyDescent="0.25">
      <c r="A54" s="56" t="s">
        <v>372</v>
      </c>
      <c r="B54" s="336" t="str">
        <f>IF(Start!$C$15="x",('H-Effluent'!B54),"---")</f>
        <v>---</v>
      </c>
      <c r="C54" s="337" t="str">
        <f>IF(Start!$C$16="x",'H-Runoff'!B54,"---")</f>
        <v>---</v>
      </c>
      <c r="D54" s="338" t="str">
        <f>IF(Start!$C$16="x",'H-Runoff'!C54,"---")</f>
        <v>---</v>
      </c>
      <c r="E54" s="868" t="str">
        <f>IF(Start!$C$17="x",'H-Leachate'!B54,"---")</f>
        <v/>
      </c>
      <c r="F54" s="340" t="str">
        <f>IF(Start!$C$18="x",('H-Volatilization'!B54),"---")</f>
        <v/>
      </c>
      <c r="G54" s="341" t="str">
        <f>IF(Start!$C$18="x",('H-Volatilization'!C54),"---")</f>
        <v/>
      </c>
      <c r="H54" s="341" t="str">
        <f>IF(Start!$C$18="x",('H-Volatilization'!D54),"---")</f>
        <v/>
      </c>
      <c r="I54" s="342" t="str">
        <f>IF(Start!$C$18="x",('H-Volatilization'!E54),"---")</f>
        <v/>
      </c>
      <c r="J54" s="339" t="str">
        <f>IF(Start!$C$19="x",'H-Plant &amp; Animal'!B54,"---")</f>
        <v>---</v>
      </c>
      <c r="K54" s="343" t="str">
        <f>'H-Effluent'!Q54</f>
        <v>Not Req.</v>
      </c>
      <c r="L54" s="286" t="str">
        <f>'H-Runoff'!T54</f>
        <v>Not Req.</v>
      </c>
      <c r="M54" s="344" t="str">
        <f>'H-Runoff'!U54</f>
        <v>Not Req.</v>
      </c>
      <c r="N54" s="343" t="str">
        <f>'H-Leachate'!O54</f>
        <v/>
      </c>
      <c r="O54" s="283" t="str">
        <f>'H-Volatilization'!AV54</f>
        <v/>
      </c>
      <c r="P54" s="284" t="str">
        <f>'H-Volatilization'!AW54</f>
        <v/>
      </c>
      <c r="Q54" s="284" t="str">
        <f>'H-Volatilization'!AX54</f>
        <v/>
      </c>
      <c r="R54" s="285" t="str">
        <f>'H-Volatilization'!AY54</f>
        <v/>
      </c>
      <c r="S54" s="462"/>
      <c r="T54" s="345" t="str">
        <f>'H-Plant &amp; Animal'!L54</f>
        <v>Not Req.</v>
      </c>
      <c r="U54" s="346" t="str">
        <f>'H-Plant &amp; Animal'!M54</f>
        <v>Not Req.</v>
      </c>
      <c r="V54" s="794" t="str">
        <f>'H-Effluent'!O54</f>
        <v>---</v>
      </c>
      <c r="W54" s="797" t="str">
        <f>'H-Runoff'!Q54</f>
        <v>---</v>
      </c>
      <c r="X54" s="799" t="str">
        <f>'H-Runoff'!S54</f>
        <v>---</v>
      </c>
      <c r="Y54" s="794" t="str">
        <f>'H-Leachate'!N54</f>
        <v>NA</v>
      </c>
      <c r="Z54" s="797" t="str">
        <f>'H-Volatilization'!AD54</f>
        <v>NA</v>
      </c>
      <c r="AA54" s="798" t="str">
        <f>'H-Volatilization'!AF54</f>
        <v>NA</v>
      </c>
      <c r="AB54" s="798" t="str">
        <f>'H-Volatilization'!AO54</f>
        <v>NA</v>
      </c>
      <c r="AC54" s="799" t="str">
        <f>'H-Volatilization'!AU54</f>
        <v>NA</v>
      </c>
    </row>
    <row r="55" spans="1:29" x14ac:dyDescent="0.25">
      <c r="A55" s="56" t="s">
        <v>373</v>
      </c>
      <c r="B55" s="336" t="str">
        <f>IF(Start!$C$15="x",('H-Effluent'!B55),"---")</f>
        <v>---</v>
      </c>
      <c r="C55" s="337" t="str">
        <f>IF(Start!$C$16="x",'H-Runoff'!B55,"---")</f>
        <v>---</v>
      </c>
      <c r="D55" s="338" t="str">
        <f>IF(Start!$C$16="x",'H-Runoff'!C55,"---")</f>
        <v>---</v>
      </c>
      <c r="E55" s="868" t="str">
        <f>IF(Start!$C$17="x",'H-Leachate'!B55,"---")</f>
        <v/>
      </c>
      <c r="F55" s="340" t="str">
        <f>IF(Start!$C$18="x",('H-Volatilization'!B55),"---")</f>
        <v/>
      </c>
      <c r="G55" s="341" t="str">
        <f>IF(Start!$C$18="x",('H-Volatilization'!C55),"---")</f>
        <v/>
      </c>
      <c r="H55" s="341" t="str">
        <f>IF(Start!$C$18="x",('H-Volatilization'!D55),"---")</f>
        <v/>
      </c>
      <c r="I55" s="342" t="str">
        <f>IF(Start!$C$18="x",('H-Volatilization'!E55),"---")</f>
        <v/>
      </c>
      <c r="J55" s="339" t="str">
        <f>IF(Start!$C$19="x",'H-Plant &amp; Animal'!B55,"---")</f>
        <v>---</v>
      </c>
      <c r="K55" s="343" t="str">
        <f>'H-Effluent'!Q55</f>
        <v>Not Req.</v>
      </c>
      <c r="L55" s="286" t="str">
        <f>'H-Runoff'!T55</f>
        <v>Not Req.</v>
      </c>
      <c r="M55" s="344" t="str">
        <f>'H-Runoff'!U55</f>
        <v>Not Req.</v>
      </c>
      <c r="N55" s="343" t="str">
        <f>'H-Leachate'!O55</f>
        <v/>
      </c>
      <c r="O55" s="283" t="str">
        <f>'H-Volatilization'!AV55</f>
        <v/>
      </c>
      <c r="P55" s="284" t="str">
        <f>'H-Volatilization'!AW55</f>
        <v/>
      </c>
      <c r="Q55" s="284" t="str">
        <f>'H-Volatilization'!AX55</f>
        <v/>
      </c>
      <c r="R55" s="285" t="str">
        <f>'H-Volatilization'!AY55</f>
        <v/>
      </c>
      <c r="S55" s="462"/>
      <c r="T55" s="345" t="str">
        <f>'H-Plant &amp; Animal'!L55</f>
        <v>Not Req.</v>
      </c>
      <c r="U55" s="346" t="str">
        <f>'H-Plant &amp; Animal'!M55</f>
        <v>Not Req.</v>
      </c>
      <c r="V55" s="794" t="str">
        <f>'H-Effluent'!O55</f>
        <v>---</v>
      </c>
      <c r="W55" s="797" t="str">
        <f>'H-Runoff'!Q55</f>
        <v>---</v>
      </c>
      <c r="X55" s="799" t="str">
        <f>'H-Runoff'!S55</f>
        <v>---</v>
      </c>
      <c r="Y55" s="794" t="str">
        <f>'H-Leachate'!N55</f>
        <v>NA</v>
      </c>
      <c r="Z55" s="797" t="str">
        <f>'H-Volatilization'!AD55</f>
        <v>NA</v>
      </c>
      <c r="AA55" s="798" t="str">
        <f>'H-Volatilization'!AF55</f>
        <v>NA</v>
      </c>
      <c r="AB55" s="798" t="str">
        <f>'H-Volatilization'!AO55</f>
        <v>NA</v>
      </c>
      <c r="AC55" s="799" t="str">
        <f>'H-Volatilization'!AU55</f>
        <v>NA</v>
      </c>
    </row>
    <row r="56" spans="1:29" x14ac:dyDescent="0.25">
      <c r="A56" s="56" t="s">
        <v>374</v>
      </c>
      <c r="B56" s="336" t="str">
        <f>IF(Start!$C$15="x",('H-Effluent'!B56),"---")</f>
        <v>---</v>
      </c>
      <c r="C56" s="337" t="str">
        <f>IF(Start!$C$16="x",'H-Runoff'!B56,"---")</f>
        <v>---</v>
      </c>
      <c r="D56" s="338" t="str">
        <f>IF(Start!$C$16="x",'H-Runoff'!C56,"---")</f>
        <v>---</v>
      </c>
      <c r="E56" s="868" t="str">
        <f>IF(Start!$C$17="x",'H-Leachate'!B56,"---")</f>
        <v/>
      </c>
      <c r="F56" s="340" t="str">
        <f>IF(Start!$C$18="x",('H-Volatilization'!B56),"---")</f>
        <v/>
      </c>
      <c r="G56" s="341" t="str">
        <f>IF(Start!$C$18="x",('H-Volatilization'!C56),"---")</f>
        <v/>
      </c>
      <c r="H56" s="341" t="str">
        <f>IF(Start!$C$18="x",('H-Volatilization'!D56),"---")</f>
        <v/>
      </c>
      <c r="I56" s="342" t="str">
        <f>IF(Start!$C$18="x",('H-Volatilization'!E56),"---")</f>
        <v/>
      </c>
      <c r="J56" s="339" t="str">
        <f>IF(Start!$C$19="x",'H-Plant &amp; Animal'!B56,"---")</f>
        <v>---</v>
      </c>
      <c r="K56" s="343" t="str">
        <f>'H-Effluent'!Q56</f>
        <v>Not Req.</v>
      </c>
      <c r="L56" s="286" t="str">
        <f>'H-Runoff'!T56</f>
        <v>Not Req.</v>
      </c>
      <c r="M56" s="344" t="str">
        <f>'H-Runoff'!U56</f>
        <v>Not Req.</v>
      </c>
      <c r="N56" s="343" t="str">
        <f>'H-Leachate'!O56</f>
        <v/>
      </c>
      <c r="O56" s="283" t="str">
        <f>'H-Volatilization'!AV56</f>
        <v/>
      </c>
      <c r="P56" s="284" t="str">
        <f>'H-Volatilization'!AW56</f>
        <v/>
      </c>
      <c r="Q56" s="284" t="str">
        <f>'H-Volatilization'!AX56</f>
        <v/>
      </c>
      <c r="R56" s="285" t="str">
        <f>'H-Volatilization'!AY56</f>
        <v/>
      </c>
      <c r="S56" s="462"/>
      <c r="T56" s="345" t="str">
        <f>'H-Plant &amp; Animal'!L56</f>
        <v>Not Req.</v>
      </c>
      <c r="U56" s="346" t="str">
        <f>'H-Plant &amp; Animal'!M56</f>
        <v>Not Req.</v>
      </c>
      <c r="V56" s="794" t="str">
        <f>'H-Effluent'!O56</f>
        <v>---</v>
      </c>
      <c r="W56" s="797" t="str">
        <f>'H-Runoff'!Q56</f>
        <v>---</v>
      </c>
      <c r="X56" s="799" t="str">
        <f>'H-Runoff'!S56</f>
        <v>---</v>
      </c>
      <c r="Y56" s="794" t="str">
        <f>'H-Leachate'!N56</f>
        <v>NA</v>
      </c>
      <c r="Z56" s="797" t="str">
        <f>'H-Volatilization'!AD56</f>
        <v>NA</v>
      </c>
      <c r="AA56" s="798" t="str">
        <f>'H-Volatilization'!AF56</f>
        <v>NA</v>
      </c>
      <c r="AB56" s="798" t="str">
        <f>'H-Volatilization'!AO56</f>
        <v>NA</v>
      </c>
      <c r="AC56" s="799" t="str">
        <f>'H-Volatilization'!AU56</f>
        <v>NA</v>
      </c>
    </row>
    <row r="57" spans="1:29" x14ac:dyDescent="0.25">
      <c r="A57" s="56" t="s">
        <v>375</v>
      </c>
      <c r="B57" s="336" t="str">
        <f>IF(Start!$C$15="x",('H-Effluent'!B57),"---")</f>
        <v>---</v>
      </c>
      <c r="C57" s="337" t="str">
        <f>IF(Start!$C$16="x",'H-Runoff'!B57,"---")</f>
        <v>---</v>
      </c>
      <c r="D57" s="338" t="str">
        <f>IF(Start!$C$16="x",'H-Runoff'!C57,"---")</f>
        <v>---</v>
      </c>
      <c r="E57" s="868" t="str">
        <f>IF(Start!$C$17="x",'H-Leachate'!B57,"---")</f>
        <v/>
      </c>
      <c r="F57" s="340" t="str">
        <f>IF(Start!$C$18="x",('H-Volatilization'!B57),"---")</f>
        <v/>
      </c>
      <c r="G57" s="341" t="str">
        <f>IF(Start!$C$18="x",('H-Volatilization'!C57),"---")</f>
        <v/>
      </c>
      <c r="H57" s="341" t="str">
        <f>IF(Start!$C$18="x",('H-Volatilization'!D57),"---")</f>
        <v/>
      </c>
      <c r="I57" s="342" t="str">
        <f>IF(Start!$C$18="x",('H-Volatilization'!E57),"---")</f>
        <v/>
      </c>
      <c r="J57" s="339" t="str">
        <f>IF(Start!$C$19="x",'H-Plant &amp; Animal'!B57,"---")</f>
        <v>---</v>
      </c>
      <c r="K57" s="343" t="str">
        <f>'H-Effluent'!Q57</f>
        <v>Not Req.</v>
      </c>
      <c r="L57" s="286" t="str">
        <f>'H-Runoff'!T57</f>
        <v>Not Req.</v>
      </c>
      <c r="M57" s="344" t="str">
        <f>'H-Runoff'!U57</f>
        <v>Not Req.</v>
      </c>
      <c r="N57" s="343" t="str">
        <f>'H-Leachate'!O57</f>
        <v/>
      </c>
      <c r="O57" s="283" t="str">
        <f>'H-Volatilization'!AV57</f>
        <v/>
      </c>
      <c r="P57" s="284" t="str">
        <f>'H-Volatilization'!AW57</f>
        <v/>
      </c>
      <c r="Q57" s="284" t="str">
        <f>'H-Volatilization'!AX57</f>
        <v/>
      </c>
      <c r="R57" s="285" t="str">
        <f>'H-Volatilization'!AY57</f>
        <v/>
      </c>
      <c r="S57" s="462"/>
      <c r="T57" s="345" t="str">
        <f>'H-Plant &amp; Animal'!L57</f>
        <v>Not Req.</v>
      </c>
      <c r="U57" s="346" t="str">
        <f>'H-Plant &amp; Animal'!M57</f>
        <v>Not Req.</v>
      </c>
      <c r="V57" s="794" t="str">
        <f>'H-Effluent'!O57</f>
        <v>---</v>
      </c>
      <c r="W57" s="797" t="str">
        <f>'H-Runoff'!Q57</f>
        <v>---</v>
      </c>
      <c r="X57" s="799" t="str">
        <f>'H-Runoff'!S57</f>
        <v>---</v>
      </c>
      <c r="Y57" s="794" t="str">
        <f>'H-Leachate'!N57</f>
        <v>NA</v>
      </c>
      <c r="Z57" s="797" t="str">
        <f>'H-Volatilization'!AD57</f>
        <v>NA</v>
      </c>
      <c r="AA57" s="798" t="str">
        <f>'H-Volatilization'!AF57</f>
        <v>NA</v>
      </c>
      <c r="AB57" s="798" t="str">
        <f>'H-Volatilization'!AO57</f>
        <v>NA</v>
      </c>
      <c r="AC57" s="799" t="str">
        <f>'H-Volatilization'!AU57</f>
        <v>NA</v>
      </c>
    </row>
    <row r="58" spans="1:29" x14ac:dyDescent="0.25">
      <c r="A58" s="56" t="s">
        <v>376</v>
      </c>
      <c r="B58" s="336" t="str">
        <f>IF(Start!$C$15="x",('H-Effluent'!B58),"---")</f>
        <v>---</v>
      </c>
      <c r="C58" s="337" t="str">
        <f>IF(Start!$C$16="x",'H-Runoff'!B58,"---")</f>
        <v>---</v>
      </c>
      <c r="D58" s="338" t="str">
        <f>IF(Start!$C$16="x",'H-Runoff'!C58,"---")</f>
        <v>---</v>
      </c>
      <c r="E58" s="868" t="str">
        <f>IF(Start!$C$17="x",'H-Leachate'!B58,"---")</f>
        <v/>
      </c>
      <c r="F58" s="340" t="str">
        <f>IF(Start!$C$18="x",('H-Volatilization'!B58),"---")</f>
        <v/>
      </c>
      <c r="G58" s="341" t="str">
        <f>IF(Start!$C$18="x",('H-Volatilization'!C58),"---")</f>
        <v/>
      </c>
      <c r="H58" s="341" t="str">
        <f>IF(Start!$C$18="x",('H-Volatilization'!D58),"---")</f>
        <v/>
      </c>
      <c r="I58" s="342" t="str">
        <f>IF(Start!$C$18="x",('H-Volatilization'!E58),"---")</f>
        <v/>
      </c>
      <c r="J58" s="339" t="str">
        <f>IF(Start!$C$19="x",'H-Plant &amp; Animal'!B58,"---")</f>
        <v>---</v>
      </c>
      <c r="K58" s="343" t="str">
        <f>'H-Effluent'!Q58</f>
        <v>Not Req.</v>
      </c>
      <c r="L58" s="286" t="str">
        <f>'H-Runoff'!T58</f>
        <v>Not Req.</v>
      </c>
      <c r="M58" s="344" t="str">
        <f>'H-Runoff'!U58</f>
        <v>Not Req.</v>
      </c>
      <c r="N58" s="343" t="str">
        <f>'H-Leachate'!O58</f>
        <v/>
      </c>
      <c r="O58" s="283" t="str">
        <f>'H-Volatilization'!AV58</f>
        <v/>
      </c>
      <c r="P58" s="284" t="str">
        <f>'H-Volatilization'!AW58</f>
        <v/>
      </c>
      <c r="Q58" s="284" t="str">
        <f>'H-Volatilization'!AX58</f>
        <v/>
      </c>
      <c r="R58" s="285" t="str">
        <f>'H-Volatilization'!AY58</f>
        <v/>
      </c>
      <c r="S58" s="462"/>
      <c r="T58" s="345" t="str">
        <f>'H-Plant &amp; Animal'!L58</f>
        <v>Not Req.</v>
      </c>
      <c r="U58" s="346" t="str">
        <f>'H-Plant &amp; Animal'!M58</f>
        <v>Not Req.</v>
      </c>
      <c r="V58" s="794" t="str">
        <f>'H-Effluent'!O58</f>
        <v>---</v>
      </c>
      <c r="W58" s="797" t="str">
        <f>'H-Runoff'!Q58</f>
        <v>---</v>
      </c>
      <c r="X58" s="799" t="str">
        <f>'H-Runoff'!S58</f>
        <v>---</v>
      </c>
      <c r="Y58" s="794" t="str">
        <f>'H-Leachate'!N58</f>
        <v>NA</v>
      </c>
      <c r="Z58" s="797" t="str">
        <f>'H-Volatilization'!AD58</f>
        <v>NA</v>
      </c>
      <c r="AA58" s="798" t="str">
        <f>'H-Volatilization'!AF58</f>
        <v>NA</v>
      </c>
      <c r="AB58" s="798" t="str">
        <f>'H-Volatilization'!AO58</f>
        <v>NA</v>
      </c>
      <c r="AC58" s="799" t="str">
        <f>'H-Volatilization'!AU58</f>
        <v>NA</v>
      </c>
    </row>
    <row r="59" spans="1:29" x14ac:dyDescent="0.25">
      <c r="A59" s="56" t="s">
        <v>377</v>
      </c>
      <c r="B59" s="336" t="str">
        <f>IF(Start!$C$15="x",('H-Effluent'!B59),"---")</f>
        <v>---</v>
      </c>
      <c r="C59" s="337" t="str">
        <f>IF(Start!$C$16="x",'H-Runoff'!B59,"---")</f>
        <v>---</v>
      </c>
      <c r="D59" s="338" t="str">
        <f>IF(Start!$C$16="x",'H-Runoff'!C59,"---")</f>
        <v>---</v>
      </c>
      <c r="E59" s="868" t="str">
        <f>IF(Start!$C$17="x",'H-Leachate'!B59,"---")</f>
        <v/>
      </c>
      <c r="F59" s="340" t="str">
        <f>IF(Start!$C$18="x",('H-Volatilization'!B59),"---")</f>
        <v/>
      </c>
      <c r="G59" s="341" t="str">
        <f>IF(Start!$C$18="x",('H-Volatilization'!C59),"---")</f>
        <v/>
      </c>
      <c r="H59" s="341" t="str">
        <f>IF(Start!$C$18="x",('H-Volatilization'!D59),"---")</f>
        <v/>
      </c>
      <c r="I59" s="342" t="str">
        <f>IF(Start!$C$18="x",('H-Volatilization'!E59),"---")</f>
        <v/>
      </c>
      <c r="J59" s="339" t="str">
        <f>IF(Start!$C$19="x",'H-Plant &amp; Animal'!B59,"---")</f>
        <v>---</v>
      </c>
      <c r="K59" s="343" t="str">
        <f>'H-Effluent'!Q59</f>
        <v>Not Req.</v>
      </c>
      <c r="L59" s="286" t="str">
        <f>'H-Runoff'!T59</f>
        <v>Not Req.</v>
      </c>
      <c r="M59" s="344" t="str">
        <f>'H-Runoff'!U59</f>
        <v>Not Req.</v>
      </c>
      <c r="N59" s="343" t="str">
        <f>'H-Leachate'!O59</f>
        <v/>
      </c>
      <c r="O59" s="283" t="str">
        <f>'H-Volatilization'!AV59</f>
        <v/>
      </c>
      <c r="P59" s="284" t="str">
        <f>'H-Volatilization'!AW59</f>
        <v/>
      </c>
      <c r="Q59" s="284" t="str">
        <f>'H-Volatilization'!AX59</f>
        <v/>
      </c>
      <c r="R59" s="285" t="str">
        <f>'H-Volatilization'!AY59</f>
        <v/>
      </c>
      <c r="S59" s="462"/>
      <c r="T59" s="345" t="str">
        <f>'H-Plant &amp; Animal'!L59</f>
        <v>Not Req.</v>
      </c>
      <c r="U59" s="346" t="str">
        <f>'H-Plant &amp; Animal'!M59</f>
        <v>Not Req.</v>
      </c>
      <c r="V59" s="794" t="str">
        <f>'H-Effluent'!O59</f>
        <v>---</v>
      </c>
      <c r="W59" s="797" t="str">
        <f>'H-Runoff'!Q59</f>
        <v>---</v>
      </c>
      <c r="X59" s="799" t="str">
        <f>'H-Runoff'!S59</f>
        <v>---</v>
      </c>
      <c r="Y59" s="794" t="str">
        <f>'H-Leachate'!N59</f>
        <v>NA</v>
      </c>
      <c r="Z59" s="797" t="str">
        <f>'H-Volatilization'!AD59</f>
        <v>NA</v>
      </c>
      <c r="AA59" s="798" t="str">
        <f>'H-Volatilization'!AF59</f>
        <v>NA</v>
      </c>
      <c r="AB59" s="798" t="str">
        <f>'H-Volatilization'!AO59</f>
        <v>NA</v>
      </c>
      <c r="AC59" s="799" t="str">
        <f>'H-Volatilization'!AU59</f>
        <v>NA</v>
      </c>
    </row>
    <row r="60" spans="1:29" x14ac:dyDescent="0.25">
      <c r="A60" s="56" t="s">
        <v>378</v>
      </c>
      <c r="B60" s="336" t="str">
        <f>IF(Start!$C$15="x",('H-Effluent'!B60),"---")</f>
        <v>---</v>
      </c>
      <c r="C60" s="337" t="str">
        <f>IF(Start!$C$16="x",'H-Runoff'!B60,"---")</f>
        <v>---</v>
      </c>
      <c r="D60" s="338" t="str">
        <f>IF(Start!$C$16="x",'H-Runoff'!C60,"---")</f>
        <v>---</v>
      </c>
      <c r="E60" s="868" t="str">
        <f>IF(Start!$C$17="x",'H-Leachate'!B60,"---")</f>
        <v/>
      </c>
      <c r="F60" s="340" t="str">
        <f>IF(Start!$C$18="x",('H-Volatilization'!B60),"---")</f>
        <v/>
      </c>
      <c r="G60" s="341" t="str">
        <f>IF(Start!$C$18="x",('H-Volatilization'!C60),"---")</f>
        <v/>
      </c>
      <c r="H60" s="341" t="str">
        <f>IF(Start!$C$18="x",('H-Volatilization'!D60),"---")</f>
        <v/>
      </c>
      <c r="I60" s="342" t="str">
        <f>IF(Start!$C$18="x",('H-Volatilization'!E60),"---")</f>
        <v/>
      </c>
      <c r="J60" s="339" t="str">
        <f>IF(Start!$C$19="x",'H-Plant &amp; Animal'!B60,"---")</f>
        <v>---</v>
      </c>
      <c r="K60" s="343" t="str">
        <f>'H-Effluent'!Q60</f>
        <v>Not Req.</v>
      </c>
      <c r="L60" s="286" t="str">
        <f>'H-Runoff'!T60</f>
        <v>Not Req.</v>
      </c>
      <c r="M60" s="344" t="str">
        <f>'H-Runoff'!U60</f>
        <v>Not Req.</v>
      </c>
      <c r="N60" s="343" t="str">
        <f>'H-Leachate'!O60</f>
        <v/>
      </c>
      <c r="O60" s="283" t="str">
        <f>'H-Volatilization'!AV60</f>
        <v/>
      </c>
      <c r="P60" s="284" t="str">
        <f>'H-Volatilization'!AW60</f>
        <v/>
      </c>
      <c r="Q60" s="284" t="str">
        <f>'H-Volatilization'!AX60</f>
        <v/>
      </c>
      <c r="R60" s="285" t="str">
        <f>'H-Volatilization'!AY60</f>
        <v/>
      </c>
      <c r="S60" s="462"/>
      <c r="T60" s="345" t="str">
        <f>'H-Plant &amp; Animal'!L60</f>
        <v>Not Req.</v>
      </c>
      <c r="U60" s="346" t="str">
        <f>'H-Plant &amp; Animal'!M60</f>
        <v>Not Req.</v>
      </c>
      <c r="V60" s="794" t="str">
        <f>'H-Effluent'!O60</f>
        <v>---</v>
      </c>
      <c r="W60" s="797" t="str">
        <f>'H-Runoff'!Q60</f>
        <v>---</v>
      </c>
      <c r="X60" s="799" t="str">
        <f>'H-Runoff'!S60</f>
        <v>---</v>
      </c>
      <c r="Y60" s="794" t="str">
        <f>'H-Leachate'!N60</f>
        <v>NA</v>
      </c>
      <c r="Z60" s="797" t="str">
        <f>'H-Volatilization'!AD60</f>
        <v>NA</v>
      </c>
      <c r="AA60" s="798" t="str">
        <f>'H-Volatilization'!AF60</f>
        <v>NA</v>
      </c>
      <c r="AB60" s="798" t="str">
        <f>'H-Volatilization'!AO60</f>
        <v>NA</v>
      </c>
      <c r="AC60" s="799" t="str">
        <f>'H-Volatilization'!AU60</f>
        <v>NA</v>
      </c>
    </row>
    <row r="61" spans="1:29" x14ac:dyDescent="0.25">
      <c r="A61" s="56" t="s">
        <v>379</v>
      </c>
      <c r="B61" s="336" t="str">
        <f>IF(Start!$C$15="x",('H-Effluent'!B61),"---")</f>
        <v>---</v>
      </c>
      <c r="C61" s="337" t="str">
        <f>IF(Start!$C$16="x",'H-Runoff'!B61,"---")</f>
        <v>---</v>
      </c>
      <c r="D61" s="338" t="str">
        <f>IF(Start!$C$16="x",'H-Runoff'!C61,"---")</f>
        <v>---</v>
      </c>
      <c r="E61" s="868" t="str">
        <f>IF(Start!$C$17="x",'H-Leachate'!B61,"---")</f>
        <v/>
      </c>
      <c r="F61" s="340" t="str">
        <f>IF(Start!$C$18="x",('H-Volatilization'!B61),"---")</f>
        <v/>
      </c>
      <c r="G61" s="341" t="str">
        <f>IF(Start!$C$18="x",('H-Volatilization'!C61),"---")</f>
        <v/>
      </c>
      <c r="H61" s="341" t="str">
        <f>IF(Start!$C$18="x",('H-Volatilization'!D61),"---")</f>
        <v/>
      </c>
      <c r="I61" s="342" t="str">
        <f>IF(Start!$C$18="x",('H-Volatilization'!E61),"---")</f>
        <v/>
      </c>
      <c r="J61" s="339" t="str">
        <f>IF(Start!$C$19="x",'H-Plant &amp; Animal'!B61,"---")</f>
        <v>---</v>
      </c>
      <c r="K61" s="343" t="str">
        <f>'H-Effluent'!Q61</f>
        <v>Not Req.</v>
      </c>
      <c r="L61" s="286" t="str">
        <f>'H-Runoff'!T61</f>
        <v>Not Req.</v>
      </c>
      <c r="M61" s="344" t="str">
        <f>'H-Runoff'!U61</f>
        <v>Not Req.</v>
      </c>
      <c r="N61" s="343" t="str">
        <f>'H-Leachate'!O61</f>
        <v/>
      </c>
      <c r="O61" s="283" t="str">
        <f>'H-Volatilization'!AV61</f>
        <v/>
      </c>
      <c r="P61" s="284" t="str">
        <f>'H-Volatilization'!AW61</f>
        <v/>
      </c>
      <c r="Q61" s="284" t="str">
        <f>'H-Volatilization'!AX61</f>
        <v/>
      </c>
      <c r="R61" s="285" t="str">
        <f>'H-Volatilization'!AY61</f>
        <v/>
      </c>
      <c r="S61" s="462"/>
      <c r="T61" s="345" t="str">
        <f>'H-Plant &amp; Animal'!L61</f>
        <v>Not Req.</v>
      </c>
      <c r="U61" s="346" t="str">
        <f>'H-Plant &amp; Animal'!M61</f>
        <v>Not Req.</v>
      </c>
      <c r="V61" s="794" t="str">
        <f>'H-Effluent'!O61</f>
        <v>---</v>
      </c>
      <c r="W61" s="797" t="str">
        <f>'H-Runoff'!Q61</f>
        <v>---</v>
      </c>
      <c r="X61" s="799" t="str">
        <f>'H-Runoff'!S61</f>
        <v>---</v>
      </c>
      <c r="Y61" s="794" t="str">
        <f>'H-Leachate'!N61</f>
        <v>NA</v>
      </c>
      <c r="Z61" s="797" t="str">
        <f>'H-Volatilization'!AD61</f>
        <v>NA</v>
      </c>
      <c r="AA61" s="798" t="str">
        <f>'H-Volatilization'!AF61</f>
        <v>NA</v>
      </c>
      <c r="AB61" s="798" t="str">
        <f>'H-Volatilization'!AO61</f>
        <v>NA</v>
      </c>
      <c r="AC61" s="799" t="str">
        <f>'H-Volatilization'!AU61</f>
        <v>NA</v>
      </c>
    </row>
    <row r="62" spans="1:29" x14ac:dyDescent="0.25">
      <c r="A62" s="56" t="s">
        <v>380</v>
      </c>
      <c r="B62" s="336" t="str">
        <f>IF(Start!$C$15="x",('H-Effluent'!B62),"---")</f>
        <v>---</v>
      </c>
      <c r="C62" s="337" t="str">
        <f>IF(Start!$C$16="x",'H-Runoff'!B62,"---")</f>
        <v>---</v>
      </c>
      <c r="D62" s="338" t="str">
        <f>IF(Start!$C$16="x",'H-Runoff'!C62,"---")</f>
        <v>---</v>
      </c>
      <c r="E62" s="868" t="str">
        <f>IF(Start!$C$17="x",'H-Leachate'!B62,"---")</f>
        <v/>
      </c>
      <c r="F62" s="340" t="str">
        <f>IF(Start!$C$18="x",('H-Volatilization'!B62),"---")</f>
        <v/>
      </c>
      <c r="G62" s="341" t="str">
        <f>IF(Start!$C$18="x",('H-Volatilization'!C62),"---")</f>
        <v/>
      </c>
      <c r="H62" s="341" t="str">
        <f>IF(Start!$C$18="x",('H-Volatilization'!D62),"---")</f>
        <v/>
      </c>
      <c r="I62" s="342" t="str">
        <f>IF(Start!$C$18="x",('H-Volatilization'!E62),"---")</f>
        <v/>
      </c>
      <c r="J62" s="339" t="str">
        <f>IF(Start!$C$19="x",'H-Plant &amp; Animal'!B62,"---")</f>
        <v>---</v>
      </c>
      <c r="K62" s="343" t="str">
        <f>'H-Effluent'!Q62</f>
        <v>Not Req.</v>
      </c>
      <c r="L62" s="286" t="str">
        <f>'H-Runoff'!T62</f>
        <v>Not Req.</v>
      </c>
      <c r="M62" s="344" t="str">
        <f>'H-Runoff'!U62</f>
        <v>Not Req.</v>
      </c>
      <c r="N62" s="343" t="str">
        <f>'H-Leachate'!O62</f>
        <v/>
      </c>
      <c r="O62" s="283" t="str">
        <f>'H-Volatilization'!AV62</f>
        <v/>
      </c>
      <c r="P62" s="284" t="str">
        <f>'H-Volatilization'!AW62</f>
        <v/>
      </c>
      <c r="Q62" s="284" t="str">
        <f>'H-Volatilization'!AX62</f>
        <v/>
      </c>
      <c r="R62" s="285" t="str">
        <f>'H-Volatilization'!AY62</f>
        <v/>
      </c>
      <c r="S62" s="462"/>
      <c r="T62" s="345" t="str">
        <f>'H-Plant &amp; Animal'!L62</f>
        <v>Not Req.</v>
      </c>
      <c r="U62" s="346" t="str">
        <f>'H-Plant &amp; Animal'!M62</f>
        <v>Not Req.</v>
      </c>
      <c r="V62" s="794" t="str">
        <f>'H-Effluent'!O62</f>
        <v>---</v>
      </c>
      <c r="W62" s="797" t="str">
        <f>'H-Runoff'!Q62</f>
        <v>---</v>
      </c>
      <c r="X62" s="799" t="str">
        <f>'H-Runoff'!S62</f>
        <v>---</v>
      </c>
      <c r="Y62" s="794" t="str">
        <f>'H-Leachate'!N62</f>
        <v>NA</v>
      </c>
      <c r="Z62" s="797" t="str">
        <f>'H-Volatilization'!AD62</f>
        <v>NA</v>
      </c>
      <c r="AA62" s="798" t="str">
        <f>'H-Volatilization'!AF62</f>
        <v>NA</v>
      </c>
      <c r="AB62" s="798" t="str">
        <f>'H-Volatilization'!AO62</f>
        <v>NA</v>
      </c>
      <c r="AC62" s="799" t="str">
        <f>'H-Volatilization'!AU62</f>
        <v>NA</v>
      </c>
    </row>
    <row r="63" spans="1:29" x14ac:dyDescent="0.25">
      <c r="A63" s="56" t="s">
        <v>381</v>
      </c>
      <c r="B63" s="336" t="str">
        <f>IF(Start!$C$15="x",('H-Effluent'!B63),"---")</f>
        <v>---</v>
      </c>
      <c r="C63" s="337" t="str">
        <f>IF(Start!$C$16="x",'H-Runoff'!B63,"---")</f>
        <v>---</v>
      </c>
      <c r="D63" s="338" t="str">
        <f>IF(Start!$C$16="x",'H-Runoff'!C63,"---")</f>
        <v>---</v>
      </c>
      <c r="E63" s="868" t="str">
        <f>IF(Start!$C$17="x",'H-Leachate'!B63,"---")</f>
        <v/>
      </c>
      <c r="F63" s="340" t="str">
        <f>IF(Start!$C$18="x",('H-Volatilization'!B63),"---")</f>
        <v/>
      </c>
      <c r="G63" s="341" t="str">
        <f>IF(Start!$C$18="x",('H-Volatilization'!C63),"---")</f>
        <v/>
      </c>
      <c r="H63" s="341" t="str">
        <f>IF(Start!$C$18="x",('H-Volatilization'!D63),"---")</f>
        <v/>
      </c>
      <c r="I63" s="342" t="str">
        <f>IF(Start!$C$18="x",('H-Volatilization'!E63),"---")</f>
        <v/>
      </c>
      <c r="J63" s="339" t="str">
        <f>IF(Start!$C$19="x",'H-Plant &amp; Animal'!B63,"---")</f>
        <v>---</v>
      </c>
      <c r="K63" s="343" t="str">
        <f>'H-Effluent'!Q63</f>
        <v>Not Req.</v>
      </c>
      <c r="L63" s="286" t="str">
        <f>'H-Runoff'!T63</f>
        <v>Not Req.</v>
      </c>
      <c r="M63" s="344" t="str">
        <f>'H-Runoff'!U63</f>
        <v>Not Req.</v>
      </c>
      <c r="N63" s="343" t="str">
        <f>'H-Leachate'!O63</f>
        <v/>
      </c>
      <c r="O63" s="283" t="str">
        <f>'H-Volatilization'!AV63</f>
        <v/>
      </c>
      <c r="P63" s="284" t="str">
        <f>'H-Volatilization'!AW63</f>
        <v/>
      </c>
      <c r="Q63" s="284" t="str">
        <f>'H-Volatilization'!AX63</f>
        <v/>
      </c>
      <c r="R63" s="285" t="str">
        <f>'H-Volatilization'!AY63</f>
        <v/>
      </c>
      <c r="S63" s="462"/>
      <c r="T63" s="345" t="str">
        <f>'H-Plant &amp; Animal'!L63</f>
        <v>Not Req.</v>
      </c>
      <c r="U63" s="346" t="str">
        <f>'H-Plant &amp; Animal'!M63</f>
        <v>Not Req.</v>
      </c>
      <c r="V63" s="794" t="str">
        <f>'H-Effluent'!O63</f>
        <v>---</v>
      </c>
      <c r="W63" s="797" t="str">
        <f>'H-Runoff'!Q63</f>
        <v>---</v>
      </c>
      <c r="X63" s="799" t="str">
        <f>'H-Runoff'!S63</f>
        <v>---</v>
      </c>
      <c r="Y63" s="794" t="str">
        <f>'H-Leachate'!N63</f>
        <v>NA</v>
      </c>
      <c r="Z63" s="797" t="str">
        <f>'H-Volatilization'!AD63</f>
        <v>NA</v>
      </c>
      <c r="AA63" s="798" t="str">
        <f>'H-Volatilization'!AF63</f>
        <v>NA</v>
      </c>
      <c r="AB63" s="798" t="str">
        <f>'H-Volatilization'!AO63</f>
        <v>NA</v>
      </c>
      <c r="AC63" s="799" t="str">
        <f>'H-Volatilization'!AU63</f>
        <v>NA</v>
      </c>
    </row>
    <row r="64" spans="1:29" x14ac:dyDescent="0.25">
      <c r="A64" s="56" t="s">
        <v>382</v>
      </c>
      <c r="B64" s="336" t="str">
        <f>IF(Start!$C$15="x",('H-Effluent'!B64),"---")</f>
        <v>---</v>
      </c>
      <c r="C64" s="337" t="str">
        <f>IF(Start!$C$16="x",'H-Runoff'!B64,"---")</f>
        <v>---</v>
      </c>
      <c r="D64" s="338" t="str">
        <f>IF(Start!$C$16="x",'H-Runoff'!C64,"---")</f>
        <v>---</v>
      </c>
      <c r="E64" s="868" t="str">
        <f>IF(Start!$C$17="x",'H-Leachate'!B64,"---")</f>
        <v/>
      </c>
      <c r="F64" s="340" t="str">
        <f>IF(Start!$C$18="x",('H-Volatilization'!B64),"---")</f>
        <v/>
      </c>
      <c r="G64" s="341" t="str">
        <f>IF(Start!$C$18="x",('H-Volatilization'!C64),"---")</f>
        <v/>
      </c>
      <c r="H64" s="341" t="str">
        <f>IF(Start!$C$18="x",('H-Volatilization'!D64),"---")</f>
        <v/>
      </c>
      <c r="I64" s="342" t="str">
        <f>IF(Start!$C$18="x",('H-Volatilization'!E64),"---")</f>
        <v/>
      </c>
      <c r="J64" s="339" t="str">
        <f>IF(Start!$C$19="x",'H-Plant &amp; Animal'!B64,"---")</f>
        <v>---</v>
      </c>
      <c r="K64" s="343" t="str">
        <f>'H-Effluent'!Q64</f>
        <v>Not Req.</v>
      </c>
      <c r="L64" s="286" t="str">
        <f>'H-Runoff'!T64</f>
        <v>Not Req.</v>
      </c>
      <c r="M64" s="344" t="str">
        <f>'H-Runoff'!U64</f>
        <v>Not Req.</v>
      </c>
      <c r="N64" s="343" t="str">
        <f>'H-Leachate'!O64</f>
        <v/>
      </c>
      <c r="O64" s="283" t="str">
        <f>'H-Volatilization'!AV64</f>
        <v/>
      </c>
      <c r="P64" s="284" t="str">
        <f>'H-Volatilization'!AW64</f>
        <v/>
      </c>
      <c r="Q64" s="284" t="str">
        <f>'H-Volatilization'!AX64</f>
        <v/>
      </c>
      <c r="R64" s="285" t="str">
        <f>'H-Volatilization'!AY64</f>
        <v/>
      </c>
      <c r="S64" s="462"/>
      <c r="T64" s="345" t="str">
        <f>'H-Plant &amp; Animal'!L64</f>
        <v>Not Req.</v>
      </c>
      <c r="U64" s="346" t="str">
        <f>'H-Plant &amp; Animal'!M64</f>
        <v>Not Req.</v>
      </c>
      <c r="V64" s="794" t="str">
        <f>'H-Effluent'!O64</f>
        <v>---</v>
      </c>
      <c r="W64" s="797" t="str">
        <f>'H-Runoff'!Q64</f>
        <v>---</v>
      </c>
      <c r="X64" s="799" t="str">
        <f>'H-Runoff'!S64</f>
        <v>---</v>
      </c>
      <c r="Y64" s="794" t="str">
        <f>'H-Leachate'!N64</f>
        <v>NA</v>
      </c>
      <c r="Z64" s="797" t="str">
        <f>'H-Volatilization'!AD64</f>
        <v>NA</v>
      </c>
      <c r="AA64" s="798" t="str">
        <f>'H-Volatilization'!AF64</f>
        <v>NA</v>
      </c>
      <c r="AB64" s="798" t="str">
        <f>'H-Volatilization'!AO64</f>
        <v>NA</v>
      </c>
      <c r="AC64" s="799" t="str">
        <f>'H-Volatilization'!AU64</f>
        <v>NA</v>
      </c>
    </row>
    <row r="65" spans="1:29" x14ac:dyDescent="0.25">
      <c r="A65" s="56" t="s">
        <v>383</v>
      </c>
      <c r="B65" s="336" t="str">
        <f>IF(Start!$C$15="x",('H-Effluent'!B65),"---")</f>
        <v>---</v>
      </c>
      <c r="C65" s="337" t="str">
        <f>IF(Start!$C$16="x",'H-Runoff'!B65,"---")</f>
        <v>---</v>
      </c>
      <c r="D65" s="338" t="str">
        <f>IF(Start!$C$16="x",'H-Runoff'!C65,"---")</f>
        <v>---</v>
      </c>
      <c r="E65" s="868" t="str">
        <f>IF(Start!$C$17="x",'H-Leachate'!B65,"---")</f>
        <v/>
      </c>
      <c r="F65" s="340" t="str">
        <f>IF(Start!$C$18="x",('H-Volatilization'!B65),"---")</f>
        <v/>
      </c>
      <c r="G65" s="341" t="str">
        <f>IF(Start!$C$18="x",('H-Volatilization'!C65),"---")</f>
        <v/>
      </c>
      <c r="H65" s="341" t="str">
        <f>IF(Start!$C$18="x",('H-Volatilization'!D65),"---")</f>
        <v/>
      </c>
      <c r="I65" s="342" t="str">
        <f>IF(Start!$C$18="x",('H-Volatilization'!E65),"---")</f>
        <v/>
      </c>
      <c r="J65" s="339" t="str">
        <f>IF(Start!$C$19="x",'H-Plant &amp; Animal'!B65,"---")</f>
        <v>---</v>
      </c>
      <c r="K65" s="343" t="str">
        <f>'H-Effluent'!Q65</f>
        <v>Not Req.</v>
      </c>
      <c r="L65" s="286" t="str">
        <f>'H-Runoff'!T65</f>
        <v>Not Req.</v>
      </c>
      <c r="M65" s="344" t="str">
        <f>'H-Runoff'!U65</f>
        <v>Not Req.</v>
      </c>
      <c r="N65" s="343" t="str">
        <f>'H-Leachate'!O65</f>
        <v/>
      </c>
      <c r="O65" s="283" t="str">
        <f>'H-Volatilization'!AV65</f>
        <v/>
      </c>
      <c r="P65" s="284" t="str">
        <f>'H-Volatilization'!AW65</f>
        <v/>
      </c>
      <c r="Q65" s="284" t="str">
        <f>'H-Volatilization'!AX65</f>
        <v/>
      </c>
      <c r="R65" s="285" t="str">
        <f>'H-Volatilization'!AY65</f>
        <v/>
      </c>
      <c r="S65" s="462"/>
      <c r="T65" s="345" t="str">
        <f>'H-Plant &amp; Animal'!L65</f>
        <v>Not Req.</v>
      </c>
      <c r="U65" s="346" t="str">
        <f>'H-Plant &amp; Animal'!M65</f>
        <v>Not Req.</v>
      </c>
      <c r="V65" s="794" t="str">
        <f>'H-Effluent'!O65</f>
        <v>---</v>
      </c>
      <c r="W65" s="797" t="str">
        <f>'H-Runoff'!Q65</f>
        <v>---</v>
      </c>
      <c r="X65" s="799" t="str">
        <f>'H-Runoff'!S65</f>
        <v>---</v>
      </c>
      <c r="Y65" s="794" t="str">
        <f>'H-Leachate'!N65</f>
        <v>NA</v>
      </c>
      <c r="Z65" s="797" t="str">
        <f>'H-Volatilization'!AD65</f>
        <v>NA</v>
      </c>
      <c r="AA65" s="798" t="str">
        <f>'H-Volatilization'!AF65</f>
        <v>NA</v>
      </c>
      <c r="AB65" s="798" t="str">
        <f>'H-Volatilization'!AO65</f>
        <v>NA</v>
      </c>
      <c r="AC65" s="799" t="str">
        <f>'H-Volatilization'!AU65</f>
        <v>NA</v>
      </c>
    </row>
    <row r="66" spans="1:29" x14ac:dyDescent="0.25">
      <c r="A66" s="56" t="s">
        <v>384</v>
      </c>
      <c r="B66" s="336" t="str">
        <f>IF(Start!$C$15="x",('H-Effluent'!B66),"---")</f>
        <v>---</v>
      </c>
      <c r="C66" s="337" t="str">
        <f>IF(Start!$C$16="x",'H-Runoff'!B66,"---")</f>
        <v>---</v>
      </c>
      <c r="D66" s="338" t="str">
        <f>IF(Start!$C$16="x",'H-Runoff'!C66,"---")</f>
        <v>---</v>
      </c>
      <c r="E66" s="868" t="str">
        <f>IF(Start!$C$17="x",'H-Leachate'!B66,"---")</f>
        <v/>
      </c>
      <c r="F66" s="340" t="str">
        <f>IF(Start!$C$18="x",('H-Volatilization'!B66),"---")</f>
        <v/>
      </c>
      <c r="G66" s="341" t="str">
        <f>IF(Start!$C$18="x",('H-Volatilization'!C66),"---")</f>
        <v/>
      </c>
      <c r="H66" s="341" t="str">
        <f>IF(Start!$C$18="x",('H-Volatilization'!D66),"---")</f>
        <v/>
      </c>
      <c r="I66" s="342" t="str">
        <f>IF(Start!$C$18="x",('H-Volatilization'!E66),"---")</f>
        <v/>
      </c>
      <c r="J66" s="339" t="str">
        <f>IF(Start!$C$19="x",'H-Plant &amp; Animal'!B66,"---")</f>
        <v>---</v>
      </c>
      <c r="K66" s="343" t="str">
        <f>'H-Effluent'!Q66</f>
        <v>Not Req.</v>
      </c>
      <c r="L66" s="286" t="str">
        <f>'H-Runoff'!T66</f>
        <v>Not Req.</v>
      </c>
      <c r="M66" s="344" t="str">
        <f>'H-Runoff'!U66</f>
        <v>Not Req.</v>
      </c>
      <c r="N66" s="343" t="str">
        <f>'H-Leachate'!O66</f>
        <v/>
      </c>
      <c r="O66" s="283" t="str">
        <f>'H-Volatilization'!AV66</f>
        <v/>
      </c>
      <c r="P66" s="284" t="str">
        <f>'H-Volatilization'!AW66</f>
        <v/>
      </c>
      <c r="Q66" s="284" t="str">
        <f>'H-Volatilization'!AX66</f>
        <v/>
      </c>
      <c r="R66" s="285" t="str">
        <f>'H-Volatilization'!AY66</f>
        <v/>
      </c>
      <c r="S66" s="462"/>
      <c r="T66" s="345" t="str">
        <f>'H-Plant &amp; Animal'!L66</f>
        <v>Not Req.</v>
      </c>
      <c r="U66" s="346" t="str">
        <f>'H-Plant &amp; Animal'!M66</f>
        <v>Not Req.</v>
      </c>
      <c r="V66" s="794" t="str">
        <f>'H-Effluent'!O66</f>
        <v>---</v>
      </c>
      <c r="W66" s="797" t="str">
        <f>'H-Runoff'!Q66</f>
        <v>---</v>
      </c>
      <c r="X66" s="799" t="str">
        <f>'H-Runoff'!S66</f>
        <v>---</v>
      </c>
      <c r="Y66" s="794" t="str">
        <f>'H-Leachate'!N66</f>
        <v>NA</v>
      </c>
      <c r="Z66" s="797" t="str">
        <f>'H-Volatilization'!AD66</f>
        <v>NA</v>
      </c>
      <c r="AA66" s="798" t="str">
        <f>'H-Volatilization'!AF66</f>
        <v>NA</v>
      </c>
      <c r="AB66" s="798" t="str">
        <f>'H-Volatilization'!AO66</f>
        <v>NA</v>
      </c>
      <c r="AC66" s="799" t="str">
        <f>'H-Volatilization'!AU66</f>
        <v>NA</v>
      </c>
    </row>
    <row r="67" spans="1:29" x14ac:dyDescent="0.25">
      <c r="A67" s="56" t="s">
        <v>385</v>
      </c>
      <c r="B67" s="336" t="str">
        <f>IF(Start!$C$15="x",('H-Effluent'!B67),"---")</f>
        <v>---</v>
      </c>
      <c r="C67" s="337" t="str">
        <f>IF(Start!$C$16="x",'H-Runoff'!B67,"---")</f>
        <v>---</v>
      </c>
      <c r="D67" s="338" t="str">
        <f>IF(Start!$C$16="x",'H-Runoff'!C67,"---")</f>
        <v>---</v>
      </c>
      <c r="E67" s="868" t="str">
        <f>IF(Start!$C$17="x",'H-Leachate'!B67,"---")</f>
        <v/>
      </c>
      <c r="F67" s="340" t="str">
        <f>IF(Start!$C$18="x",('H-Volatilization'!B67),"---")</f>
        <v/>
      </c>
      <c r="G67" s="341" t="str">
        <f>IF(Start!$C$18="x",('H-Volatilization'!C67),"---")</f>
        <v/>
      </c>
      <c r="H67" s="341" t="str">
        <f>IF(Start!$C$18="x",('H-Volatilization'!D67),"---")</f>
        <v/>
      </c>
      <c r="I67" s="342" t="str">
        <f>IF(Start!$C$18="x",('H-Volatilization'!E67),"---")</f>
        <v/>
      </c>
      <c r="J67" s="339" t="str">
        <f>IF(Start!$C$19="x",'H-Plant &amp; Animal'!B67,"---")</f>
        <v>---</v>
      </c>
      <c r="K67" s="343" t="str">
        <f>'H-Effluent'!Q67</f>
        <v>Not Req.</v>
      </c>
      <c r="L67" s="286" t="str">
        <f>'H-Runoff'!T67</f>
        <v>Not Req.</v>
      </c>
      <c r="M67" s="344" t="str">
        <f>'H-Runoff'!U67</f>
        <v>Not Req.</v>
      </c>
      <c r="N67" s="343" t="str">
        <f>'H-Leachate'!O67</f>
        <v/>
      </c>
      <c r="O67" s="283" t="str">
        <f>'H-Volatilization'!AV67</f>
        <v/>
      </c>
      <c r="P67" s="284" t="str">
        <f>'H-Volatilization'!AW67</f>
        <v/>
      </c>
      <c r="Q67" s="284" t="str">
        <f>'H-Volatilization'!AX67</f>
        <v/>
      </c>
      <c r="R67" s="285" t="str">
        <f>'H-Volatilization'!AY67</f>
        <v/>
      </c>
      <c r="S67" s="462"/>
      <c r="T67" s="345" t="str">
        <f>'H-Plant &amp; Animal'!L67</f>
        <v>Not Req.</v>
      </c>
      <c r="U67" s="346" t="str">
        <f>'H-Plant &amp; Animal'!M67</f>
        <v>Not Req.</v>
      </c>
      <c r="V67" s="794" t="str">
        <f>'H-Effluent'!O67</f>
        <v>---</v>
      </c>
      <c r="W67" s="797" t="str">
        <f>'H-Runoff'!Q67</f>
        <v>---</v>
      </c>
      <c r="X67" s="799" t="str">
        <f>'H-Runoff'!S67</f>
        <v>---</v>
      </c>
      <c r="Y67" s="794" t="str">
        <f>'H-Leachate'!N67</f>
        <v>NA</v>
      </c>
      <c r="Z67" s="797" t="str">
        <f>'H-Volatilization'!AD67</f>
        <v>NA</v>
      </c>
      <c r="AA67" s="798" t="str">
        <f>'H-Volatilization'!AF67</f>
        <v>NA</v>
      </c>
      <c r="AB67" s="798" t="str">
        <f>'H-Volatilization'!AO67</f>
        <v>NA</v>
      </c>
      <c r="AC67" s="799" t="str">
        <f>'H-Volatilization'!AU67</f>
        <v>NA</v>
      </c>
    </row>
    <row r="68" spans="1:29" x14ac:dyDescent="0.25">
      <c r="A68" s="57" t="s">
        <v>386</v>
      </c>
      <c r="B68" s="336" t="str">
        <f>IF(Start!$C$15="x",('H-Effluent'!B68),"---")</f>
        <v>---</v>
      </c>
      <c r="C68" s="337" t="str">
        <f>IF(Start!$C$16="x",'H-Runoff'!B68,"---")</f>
        <v>---</v>
      </c>
      <c r="D68" s="338" t="str">
        <f>IF(Start!$C$16="x",'H-Runoff'!C68,"---")</f>
        <v>---</v>
      </c>
      <c r="E68" s="868" t="str">
        <f>IF(Start!$C$17="x",'H-Leachate'!B68,"---")</f>
        <v/>
      </c>
      <c r="F68" s="340" t="str">
        <f>IF(Start!$C$18="x",('H-Volatilization'!B68),"---")</f>
        <v/>
      </c>
      <c r="G68" s="341" t="str">
        <f>IF(Start!$C$18="x",('H-Volatilization'!C68),"---")</f>
        <v/>
      </c>
      <c r="H68" s="341" t="str">
        <f>IF(Start!$C$18="x",('H-Volatilization'!D68),"---")</f>
        <v/>
      </c>
      <c r="I68" s="342" t="str">
        <f>IF(Start!$C$18="x",('H-Volatilization'!E68),"---")</f>
        <v/>
      </c>
      <c r="J68" s="339" t="str">
        <f>IF(Start!$C$19="x",'H-Plant &amp; Animal'!B68,"---")</f>
        <v>---</v>
      </c>
      <c r="K68" s="343" t="str">
        <f>'H-Effluent'!Q68</f>
        <v>Not Req.</v>
      </c>
      <c r="L68" s="286" t="str">
        <f>'H-Runoff'!T68</f>
        <v>Not Req.</v>
      </c>
      <c r="M68" s="344" t="str">
        <f>'H-Runoff'!U68</f>
        <v>Not Req.</v>
      </c>
      <c r="N68" s="343" t="str">
        <f>'H-Leachate'!O68</f>
        <v/>
      </c>
      <c r="O68" s="283" t="str">
        <f>'H-Volatilization'!AV68</f>
        <v/>
      </c>
      <c r="P68" s="284" t="str">
        <f>'H-Volatilization'!AW68</f>
        <v/>
      </c>
      <c r="Q68" s="284" t="str">
        <f>'H-Volatilization'!AX68</f>
        <v/>
      </c>
      <c r="R68" s="285" t="str">
        <f>'H-Volatilization'!AY68</f>
        <v/>
      </c>
      <c r="S68" s="462"/>
      <c r="T68" s="345" t="str">
        <f>'H-Plant &amp; Animal'!L68</f>
        <v>Not Req.</v>
      </c>
      <c r="U68" s="346" t="str">
        <f>'H-Plant &amp; Animal'!M68</f>
        <v>Not Req.</v>
      </c>
      <c r="V68" s="794" t="str">
        <f>'H-Effluent'!O68</f>
        <v>---</v>
      </c>
      <c r="W68" s="797" t="str">
        <f>'H-Runoff'!Q68</f>
        <v>---</v>
      </c>
      <c r="X68" s="799" t="str">
        <f>'H-Runoff'!S68</f>
        <v>---</v>
      </c>
      <c r="Y68" s="794" t="str">
        <f>'H-Leachate'!N68</f>
        <v>NA</v>
      </c>
      <c r="Z68" s="797" t="str">
        <f>'H-Volatilization'!AD68</f>
        <v>NA</v>
      </c>
      <c r="AA68" s="798" t="str">
        <f>'H-Volatilization'!AF68</f>
        <v>NA</v>
      </c>
      <c r="AB68" s="798" t="str">
        <f>'H-Volatilization'!AO68</f>
        <v>NA</v>
      </c>
      <c r="AC68" s="799" t="str">
        <f>'H-Volatilization'!AU68</f>
        <v>NA</v>
      </c>
    </row>
    <row r="69" spans="1:29" x14ac:dyDescent="0.25">
      <c r="A69" s="56" t="s">
        <v>387</v>
      </c>
      <c r="B69" s="336" t="str">
        <f>IF(Start!$C$15="x",('H-Effluent'!B69),"---")</f>
        <v>---</v>
      </c>
      <c r="C69" s="337" t="str">
        <f>IF(Start!$C$16="x",'H-Runoff'!B69,"---")</f>
        <v>---</v>
      </c>
      <c r="D69" s="338" t="str">
        <f>IF(Start!$C$16="x",'H-Runoff'!C69,"---")</f>
        <v>---</v>
      </c>
      <c r="E69" s="868" t="str">
        <f>IF(Start!$C$17="x",'H-Leachate'!B69,"---")</f>
        <v/>
      </c>
      <c r="F69" s="340" t="str">
        <f>IF(Start!$C$18="x",('H-Volatilization'!B69),"---")</f>
        <v/>
      </c>
      <c r="G69" s="341" t="str">
        <f>IF(Start!$C$18="x",('H-Volatilization'!C69),"---")</f>
        <v/>
      </c>
      <c r="H69" s="341" t="str">
        <f>IF(Start!$C$18="x",('H-Volatilization'!D69),"---")</f>
        <v/>
      </c>
      <c r="I69" s="342" t="str">
        <f>IF(Start!$C$18="x",('H-Volatilization'!E69),"---")</f>
        <v/>
      </c>
      <c r="J69" s="339" t="str">
        <f>IF(Start!$C$19="x",'H-Plant &amp; Animal'!B69,"---")</f>
        <v>---</v>
      </c>
      <c r="K69" s="343" t="str">
        <f>'H-Effluent'!Q69</f>
        <v>Not Req.</v>
      </c>
      <c r="L69" s="286" t="str">
        <f>'H-Runoff'!T69</f>
        <v>Not Req.</v>
      </c>
      <c r="M69" s="344" t="str">
        <f>'H-Runoff'!U69</f>
        <v>Not Req.</v>
      </c>
      <c r="N69" s="343" t="str">
        <f>'H-Leachate'!O69</f>
        <v/>
      </c>
      <c r="O69" s="283" t="str">
        <f>'H-Volatilization'!AV69</f>
        <v/>
      </c>
      <c r="P69" s="284" t="str">
        <f>'H-Volatilization'!AW69</f>
        <v/>
      </c>
      <c r="Q69" s="284" t="str">
        <f>'H-Volatilization'!AX69</f>
        <v/>
      </c>
      <c r="R69" s="285" t="str">
        <f>'H-Volatilization'!AY69</f>
        <v/>
      </c>
      <c r="S69" s="462"/>
      <c r="T69" s="345" t="str">
        <f>'H-Plant &amp; Animal'!L69</f>
        <v>Not Req.</v>
      </c>
      <c r="U69" s="346" t="str">
        <f>'H-Plant &amp; Animal'!M69</f>
        <v>Not Req.</v>
      </c>
      <c r="V69" s="794" t="str">
        <f>'H-Effluent'!O69</f>
        <v>---</v>
      </c>
      <c r="W69" s="797" t="str">
        <f>'H-Runoff'!Q69</f>
        <v>---</v>
      </c>
      <c r="X69" s="799" t="str">
        <f>'H-Runoff'!S69</f>
        <v>---</v>
      </c>
      <c r="Y69" s="794" t="str">
        <f>'H-Leachate'!N69</f>
        <v>NA</v>
      </c>
      <c r="Z69" s="797" t="str">
        <f>'H-Volatilization'!AD69</f>
        <v>NA</v>
      </c>
      <c r="AA69" s="798" t="str">
        <f>'H-Volatilization'!AF69</f>
        <v>NA</v>
      </c>
      <c r="AB69" s="798" t="str">
        <f>'H-Volatilization'!AO69</f>
        <v>NA</v>
      </c>
      <c r="AC69" s="799" t="str">
        <f>'H-Volatilization'!AU69</f>
        <v>NA</v>
      </c>
    </row>
    <row r="70" spans="1:29" x14ac:dyDescent="0.25">
      <c r="A70" s="56" t="s">
        <v>388</v>
      </c>
      <c r="B70" s="336" t="str">
        <f>IF(Start!$C$15="x",('H-Effluent'!B70),"---")</f>
        <v>---</v>
      </c>
      <c r="C70" s="337" t="str">
        <f>IF(Start!$C$16="x",'H-Runoff'!B70,"---")</f>
        <v>---</v>
      </c>
      <c r="D70" s="338" t="str">
        <f>IF(Start!$C$16="x",'H-Runoff'!C70,"---")</f>
        <v>---</v>
      </c>
      <c r="E70" s="868" t="str">
        <f>IF(Start!$C$17="x",'H-Leachate'!B70,"---")</f>
        <v/>
      </c>
      <c r="F70" s="340" t="str">
        <f>IF(Start!$C$18="x",('H-Volatilization'!B70),"---")</f>
        <v/>
      </c>
      <c r="G70" s="341" t="str">
        <f>IF(Start!$C$18="x",('H-Volatilization'!C70),"---")</f>
        <v/>
      </c>
      <c r="H70" s="341" t="str">
        <f>IF(Start!$C$18="x",('H-Volatilization'!D70),"---")</f>
        <v/>
      </c>
      <c r="I70" s="342" t="str">
        <f>IF(Start!$C$18="x",('H-Volatilization'!E70),"---")</f>
        <v/>
      </c>
      <c r="J70" s="339" t="str">
        <f>IF(Start!$C$19="x",'H-Plant &amp; Animal'!B70,"---")</f>
        <v>---</v>
      </c>
      <c r="K70" s="343" t="str">
        <f>'H-Effluent'!Q70</f>
        <v>Not Req.</v>
      </c>
      <c r="L70" s="286" t="str">
        <f>'H-Runoff'!T70</f>
        <v>Not Req.</v>
      </c>
      <c r="M70" s="344" t="str">
        <f>'H-Runoff'!U70</f>
        <v>Not Req.</v>
      </c>
      <c r="N70" s="343" t="str">
        <f>'H-Leachate'!O70</f>
        <v/>
      </c>
      <c r="O70" s="283" t="str">
        <f>'H-Volatilization'!AV70</f>
        <v/>
      </c>
      <c r="P70" s="284" t="str">
        <f>'H-Volatilization'!AW70</f>
        <v/>
      </c>
      <c r="Q70" s="284" t="str">
        <f>'H-Volatilization'!AX70</f>
        <v/>
      </c>
      <c r="R70" s="285" t="str">
        <f>'H-Volatilization'!AY70</f>
        <v/>
      </c>
      <c r="S70" s="462"/>
      <c r="T70" s="345" t="str">
        <f>'H-Plant &amp; Animal'!L70</f>
        <v>Not Req.</v>
      </c>
      <c r="U70" s="346" t="str">
        <f>'H-Plant &amp; Animal'!M70</f>
        <v>Not Req.</v>
      </c>
      <c r="V70" s="794" t="str">
        <f>'H-Effluent'!O70</f>
        <v>---</v>
      </c>
      <c r="W70" s="797" t="str">
        <f>'H-Runoff'!Q70</f>
        <v>---</v>
      </c>
      <c r="X70" s="799" t="str">
        <f>'H-Runoff'!S70</f>
        <v>---</v>
      </c>
      <c r="Y70" s="794" t="str">
        <f>'H-Leachate'!N70</f>
        <v>NA</v>
      </c>
      <c r="Z70" s="797" t="str">
        <f>'H-Volatilization'!AD70</f>
        <v>NA</v>
      </c>
      <c r="AA70" s="798" t="str">
        <f>'H-Volatilization'!AF70</f>
        <v>NA</v>
      </c>
      <c r="AB70" s="798" t="str">
        <f>'H-Volatilization'!AO70</f>
        <v>NA</v>
      </c>
      <c r="AC70" s="799" t="str">
        <f>'H-Volatilization'!AU70</f>
        <v>NA</v>
      </c>
    </row>
    <row r="71" spans="1:29" x14ac:dyDescent="0.25">
      <c r="A71" s="56" t="s">
        <v>389</v>
      </c>
      <c r="B71" s="336" t="str">
        <f>IF(Start!$C$15="x",('H-Effluent'!B71),"---")</f>
        <v>---</v>
      </c>
      <c r="C71" s="337" t="str">
        <f>IF(Start!$C$16="x",'H-Runoff'!B71,"---")</f>
        <v>---</v>
      </c>
      <c r="D71" s="338" t="str">
        <f>IF(Start!$C$16="x",'H-Runoff'!C71,"---")</f>
        <v>---</v>
      </c>
      <c r="E71" s="868" t="str">
        <f>IF(Start!$C$17="x",'H-Leachate'!B71,"---")</f>
        <v/>
      </c>
      <c r="F71" s="340" t="str">
        <f>IF(Start!$C$18="x",('H-Volatilization'!B71),"---")</f>
        <v/>
      </c>
      <c r="G71" s="341" t="str">
        <f>IF(Start!$C$18="x",('H-Volatilization'!C71),"---")</f>
        <v/>
      </c>
      <c r="H71" s="341" t="str">
        <f>IF(Start!$C$18="x",('H-Volatilization'!D71),"---")</f>
        <v/>
      </c>
      <c r="I71" s="342" t="str">
        <f>IF(Start!$C$18="x",('H-Volatilization'!E71),"---")</f>
        <v/>
      </c>
      <c r="J71" s="339" t="str">
        <f>IF(Start!$C$19="x",'H-Plant &amp; Animal'!B71,"---")</f>
        <v>---</v>
      </c>
      <c r="K71" s="343" t="str">
        <f>'H-Effluent'!Q71</f>
        <v>Not Req.</v>
      </c>
      <c r="L71" s="286" t="str">
        <f>'H-Runoff'!T71</f>
        <v>Not Req.</v>
      </c>
      <c r="M71" s="344" t="str">
        <f>'H-Runoff'!U71</f>
        <v>Not Req.</v>
      </c>
      <c r="N71" s="343" t="str">
        <f>'H-Leachate'!O71</f>
        <v/>
      </c>
      <c r="O71" s="283" t="str">
        <f>'H-Volatilization'!AV71</f>
        <v/>
      </c>
      <c r="P71" s="284" t="str">
        <f>'H-Volatilization'!AW71</f>
        <v/>
      </c>
      <c r="Q71" s="284" t="str">
        <f>'H-Volatilization'!AX71</f>
        <v/>
      </c>
      <c r="R71" s="285" t="str">
        <f>'H-Volatilization'!AY71</f>
        <v/>
      </c>
      <c r="S71" s="462"/>
      <c r="T71" s="345" t="str">
        <f>'H-Plant &amp; Animal'!L71</f>
        <v>Not Req.</v>
      </c>
      <c r="U71" s="346" t="str">
        <f>'H-Plant &amp; Animal'!M71</f>
        <v>Not Req.</v>
      </c>
      <c r="V71" s="794" t="str">
        <f>'H-Effluent'!O71</f>
        <v>---</v>
      </c>
      <c r="W71" s="797" t="str">
        <f>'H-Runoff'!Q71</f>
        <v>---</v>
      </c>
      <c r="X71" s="799" t="str">
        <f>'H-Runoff'!S71</f>
        <v>---</v>
      </c>
      <c r="Y71" s="794" t="str">
        <f>'H-Leachate'!N71</f>
        <v>NA</v>
      </c>
      <c r="Z71" s="797" t="str">
        <f>'H-Volatilization'!AD71</f>
        <v>NA</v>
      </c>
      <c r="AA71" s="798" t="str">
        <f>'H-Volatilization'!AF71</f>
        <v>NA</v>
      </c>
      <c r="AB71" s="798" t="str">
        <f>'H-Volatilization'!AO71</f>
        <v>NA</v>
      </c>
      <c r="AC71" s="799" t="str">
        <f>'H-Volatilization'!AU71</f>
        <v>NA</v>
      </c>
    </row>
    <row r="72" spans="1:29" x14ac:dyDescent="0.25">
      <c r="A72" s="56" t="s">
        <v>390</v>
      </c>
      <c r="B72" s="336" t="str">
        <f>IF(Start!$C$15="x",('H-Effluent'!B72),"---")</f>
        <v>---</v>
      </c>
      <c r="C72" s="337" t="str">
        <f>IF(Start!$C$16="x",'H-Runoff'!B72,"---")</f>
        <v>---</v>
      </c>
      <c r="D72" s="338" t="str">
        <f>IF(Start!$C$16="x",'H-Runoff'!C72,"---")</f>
        <v>---</v>
      </c>
      <c r="E72" s="868" t="str">
        <f>IF(Start!$C$17="x",'H-Leachate'!B72,"---")</f>
        <v/>
      </c>
      <c r="F72" s="340" t="str">
        <f>IF(Start!$C$18="x",('H-Volatilization'!B72),"---")</f>
        <v/>
      </c>
      <c r="G72" s="341" t="str">
        <f>IF(Start!$C$18="x",('H-Volatilization'!C72),"---")</f>
        <v/>
      </c>
      <c r="H72" s="341" t="str">
        <f>IF(Start!$C$18="x",('H-Volatilization'!D72),"---")</f>
        <v/>
      </c>
      <c r="I72" s="342" t="str">
        <f>IF(Start!$C$18="x",('H-Volatilization'!E72),"---")</f>
        <v/>
      </c>
      <c r="J72" s="339" t="str">
        <f>IF(Start!$C$19="x",'H-Plant &amp; Animal'!B72,"---")</f>
        <v>---</v>
      </c>
      <c r="K72" s="343" t="str">
        <f>'H-Effluent'!Q72</f>
        <v>Not Req.</v>
      </c>
      <c r="L72" s="286" t="str">
        <f>'H-Runoff'!T72</f>
        <v>Not Req.</v>
      </c>
      <c r="M72" s="344" t="str">
        <f>'H-Runoff'!U72</f>
        <v>Not Req.</v>
      </c>
      <c r="N72" s="343" t="str">
        <f>'H-Leachate'!O72</f>
        <v/>
      </c>
      <c r="O72" s="283" t="str">
        <f>'H-Volatilization'!AV72</f>
        <v/>
      </c>
      <c r="P72" s="284" t="str">
        <f>'H-Volatilization'!AW72</f>
        <v/>
      </c>
      <c r="Q72" s="284" t="str">
        <f>'H-Volatilization'!AX72</f>
        <v/>
      </c>
      <c r="R72" s="285" t="str">
        <f>'H-Volatilization'!AY72</f>
        <v/>
      </c>
      <c r="S72" s="462"/>
      <c r="T72" s="345" t="str">
        <f>'H-Plant &amp; Animal'!L72</f>
        <v>Not Req.</v>
      </c>
      <c r="U72" s="346" t="str">
        <f>'H-Plant &amp; Animal'!M72</f>
        <v>Not Req.</v>
      </c>
      <c r="V72" s="794" t="str">
        <f>'H-Effluent'!O72</f>
        <v>---</v>
      </c>
      <c r="W72" s="797" t="str">
        <f>'H-Runoff'!Q72</f>
        <v>---</v>
      </c>
      <c r="X72" s="799" t="str">
        <f>'H-Runoff'!S72</f>
        <v>---</v>
      </c>
      <c r="Y72" s="794" t="str">
        <f>'H-Leachate'!N72</f>
        <v>NA</v>
      </c>
      <c r="Z72" s="797" t="str">
        <f>'H-Volatilization'!AD72</f>
        <v>NA</v>
      </c>
      <c r="AA72" s="798" t="str">
        <f>'H-Volatilization'!AF72</f>
        <v>NA</v>
      </c>
      <c r="AB72" s="798" t="str">
        <f>'H-Volatilization'!AO72</f>
        <v>NA</v>
      </c>
      <c r="AC72" s="799" t="str">
        <f>'H-Volatilization'!AU72</f>
        <v>NA</v>
      </c>
    </row>
    <row r="73" spans="1:29" x14ac:dyDescent="0.25">
      <c r="A73" s="56" t="s">
        <v>391</v>
      </c>
      <c r="B73" s="336" t="str">
        <f>IF(Start!$C$15="x",('H-Effluent'!B73),"---")</f>
        <v>---</v>
      </c>
      <c r="C73" s="337" t="str">
        <f>IF(Start!$C$16="x",'H-Runoff'!B73,"---")</f>
        <v>---</v>
      </c>
      <c r="D73" s="338" t="str">
        <f>IF(Start!$C$16="x",'H-Runoff'!C73,"---")</f>
        <v>---</v>
      </c>
      <c r="E73" s="868" t="str">
        <f>IF(Start!$C$17="x",'H-Leachate'!B73,"---")</f>
        <v/>
      </c>
      <c r="F73" s="340" t="str">
        <f>IF(Start!$C$18="x",('H-Volatilization'!B73),"---")</f>
        <v/>
      </c>
      <c r="G73" s="341" t="str">
        <f>IF(Start!$C$18="x",('H-Volatilization'!C73),"---")</f>
        <v/>
      </c>
      <c r="H73" s="341" t="str">
        <f>IF(Start!$C$18="x",('H-Volatilization'!D73),"---")</f>
        <v/>
      </c>
      <c r="I73" s="342" t="str">
        <f>IF(Start!$C$18="x",('H-Volatilization'!E73),"---")</f>
        <v/>
      </c>
      <c r="J73" s="339" t="str">
        <f>IF(Start!$C$19="x",'H-Plant &amp; Animal'!B73,"---")</f>
        <v>---</v>
      </c>
      <c r="K73" s="343" t="str">
        <f>'H-Effluent'!Q73</f>
        <v>Not Req.</v>
      </c>
      <c r="L73" s="286" t="str">
        <f>'H-Runoff'!T73</f>
        <v>Not Req.</v>
      </c>
      <c r="M73" s="344" t="str">
        <f>'H-Runoff'!U73</f>
        <v>Not Req.</v>
      </c>
      <c r="N73" s="343" t="str">
        <f>'H-Leachate'!O73</f>
        <v/>
      </c>
      <c r="O73" s="283" t="str">
        <f>'H-Volatilization'!AV73</f>
        <v/>
      </c>
      <c r="P73" s="284" t="str">
        <f>'H-Volatilization'!AW73</f>
        <v/>
      </c>
      <c r="Q73" s="284" t="str">
        <f>'H-Volatilization'!AX73</f>
        <v/>
      </c>
      <c r="R73" s="285" t="str">
        <f>'H-Volatilization'!AY73</f>
        <v/>
      </c>
      <c r="S73" s="462"/>
      <c r="T73" s="345" t="str">
        <f>'H-Plant &amp; Animal'!L73</f>
        <v>Not Req.</v>
      </c>
      <c r="U73" s="346" t="str">
        <f>'H-Plant &amp; Animal'!M73</f>
        <v>Not Req.</v>
      </c>
      <c r="V73" s="794" t="str">
        <f>'H-Effluent'!O73</f>
        <v>---</v>
      </c>
      <c r="W73" s="797" t="str">
        <f>'H-Runoff'!Q73</f>
        <v>---</v>
      </c>
      <c r="X73" s="799" t="str">
        <f>'H-Runoff'!S73</f>
        <v>---</v>
      </c>
      <c r="Y73" s="794" t="str">
        <f>'H-Leachate'!N73</f>
        <v>NA</v>
      </c>
      <c r="Z73" s="797" t="str">
        <f>'H-Volatilization'!AD73</f>
        <v>NA</v>
      </c>
      <c r="AA73" s="798" t="str">
        <f>'H-Volatilization'!AF73</f>
        <v>NA</v>
      </c>
      <c r="AB73" s="798" t="str">
        <f>'H-Volatilization'!AO73</f>
        <v>NA</v>
      </c>
      <c r="AC73" s="799" t="str">
        <f>'H-Volatilization'!AU73</f>
        <v>NA</v>
      </c>
    </row>
    <row r="74" spans="1:29" x14ac:dyDescent="0.25">
      <c r="A74" s="56" t="s">
        <v>392</v>
      </c>
      <c r="B74" s="336" t="str">
        <f>IF(Start!$C$15="x",('H-Effluent'!B74),"---")</f>
        <v>---</v>
      </c>
      <c r="C74" s="337" t="str">
        <f>IF(Start!$C$16="x",'H-Runoff'!B74,"---")</f>
        <v>---</v>
      </c>
      <c r="D74" s="338" t="str">
        <f>IF(Start!$C$16="x",'H-Runoff'!C74,"---")</f>
        <v>---</v>
      </c>
      <c r="E74" s="868" t="str">
        <f>IF(Start!$C$17="x",'H-Leachate'!B74,"---")</f>
        <v/>
      </c>
      <c r="F74" s="340" t="str">
        <f>IF(Start!$C$18="x",('H-Volatilization'!B74),"---")</f>
        <v/>
      </c>
      <c r="G74" s="341" t="str">
        <f>IF(Start!$C$18="x",('H-Volatilization'!C74),"---")</f>
        <v/>
      </c>
      <c r="H74" s="341" t="str">
        <f>IF(Start!$C$18="x",('H-Volatilization'!D74),"---")</f>
        <v/>
      </c>
      <c r="I74" s="342" t="str">
        <f>IF(Start!$C$18="x",('H-Volatilization'!E74),"---")</f>
        <v/>
      </c>
      <c r="J74" s="339" t="str">
        <f>IF(Start!$C$19="x",'H-Plant &amp; Animal'!B74,"---")</f>
        <v>---</v>
      </c>
      <c r="K74" s="343" t="str">
        <f>'H-Effluent'!Q74</f>
        <v>Not Req.</v>
      </c>
      <c r="L74" s="286" t="str">
        <f>'H-Runoff'!T74</f>
        <v>Not Req.</v>
      </c>
      <c r="M74" s="344" t="str">
        <f>'H-Runoff'!U74</f>
        <v>Not Req.</v>
      </c>
      <c r="N74" s="343" t="str">
        <f>'H-Leachate'!O74</f>
        <v/>
      </c>
      <c r="O74" s="283" t="str">
        <f>'H-Volatilization'!AV74</f>
        <v/>
      </c>
      <c r="P74" s="284" t="str">
        <f>'H-Volatilization'!AW74</f>
        <v/>
      </c>
      <c r="Q74" s="284" t="str">
        <f>'H-Volatilization'!AX74</f>
        <v/>
      </c>
      <c r="R74" s="285" t="str">
        <f>'H-Volatilization'!AY74</f>
        <v/>
      </c>
      <c r="S74" s="462"/>
      <c r="T74" s="345" t="str">
        <f>'H-Plant &amp; Animal'!L74</f>
        <v>Not Req.</v>
      </c>
      <c r="U74" s="346" t="str">
        <f>'H-Plant &amp; Animal'!M74</f>
        <v>Not Req.</v>
      </c>
      <c r="V74" s="794" t="str">
        <f>'H-Effluent'!O74</f>
        <v>---</v>
      </c>
      <c r="W74" s="797" t="str">
        <f>'H-Runoff'!Q74</f>
        <v>---</v>
      </c>
      <c r="X74" s="799" t="str">
        <f>'H-Runoff'!S74</f>
        <v>---</v>
      </c>
      <c r="Y74" s="794" t="str">
        <f>'H-Leachate'!N74</f>
        <v>NA</v>
      </c>
      <c r="Z74" s="797" t="str">
        <f>'H-Volatilization'!AD74</f>
        <v>NA</v>
      </c>
      <c r="AA74" s="798" t="str">
        <f>'H-Volatilization'!AF74</f>
        <v>NA</v>
      </c>
      <c r="AB74" s="798" t="str">
        <f>'H-Volatilization'!AO74</f>
        <v>NA</v>
      </c>
      <c r="AC74" s="799" t="str">
        <f>'H-Volatilization'!AU74</f>
        <v>NA</v>
      </c>
    </row>
    <row r="75" spans="1:29" x14ac:dyDescent="0.25">
      <c r="A75" s="56" t="s">
        <v>393</v>
      </c>
      <c r="B75" s="336" t="str">
        <f>IF(Start!$C$15="x",('H-Effluent'!B75),"---")</f>
        <v>---</v>
      </c>
      <c r="C75" s="337" t="str">
        <f>IF(Start!$C$16="x",'H-Runoff'!B75,"---")</f>
        <v>---</v>
      </c>
      <c r="D75" s="338" t="str">
        <f>IF(Start!$C$16="x",'H-Runoff'!C75,"---")</f>
        <v>---</v>
      </c>
      <c r="E75" s="868" t="str">
        <f>IF(Start!$C$17="x",'H-Leachate'!B75,"---")</f>
        <v/>
      </c>
      <c r="F75" s="340" t="str">
        <f>IF(Start!$C$18="x",('H-Volatilization'!B75),"---")</f>
        <v/>
      </c>
      <c r="G75" s="341" t="str">
        <f>IF(Start!$C$18="x",('H-Volatilization'!C75),"---")</f>
        <v/>
      </c>
      <c r="H75" s="341" t="str">
        <f>IF(Start!$C$18="x",('H-Volatilization'!D75),"---")</f>
        <v/>
      </c>
      <c r="I75" s="342" t="str">
        <f>IF(Start!$C$18="x",('H-Volatilization'!E75),"---")</f>
        <v/>
      </c>
      <c r="J75" s="339" t="str">
        <f>IF(Start!$C$19="x",'H-Plant &amp; Animal'!B75,"---")</f>
        <v>---</v>
      </c>
      <c r="K75" s="343" t="str">
        <f>'H-Effluent'!Q75</f>
        <v>Not Req.</v>
      </c>
      <c r="L75" s="286" t="str">
        <f>'H-Runoff'!T75</f>
        <v>Not Req.</v>
      </c>
      <c r="M75" s="344" t="str">
        <f>'H-Runoff'!U75</f>
        <v>Not Req.</v>
      </c>
      <c r="N75" s="343" t="str">
        <f>'H-Leachate'!O75</f>
        <v/>
      </c>
      <c r="O75" s="283" t="str">
        <f>'H-Volatilization'!AV75</f>
        <v/>
      </c>
      <c r="P75" s="284" t="str">
        <f>'H-Volatilization'!AW75</f>
        <v/>
      </c>
      <c r="Q75" s="284" t="str">
        <f>'H-Volatilization'!AX75</f>
        <v/>
      </c>
      <c r="R75" s="285" t="str">
        <f>'H-Volatilization'!AY75</f>
        <v/>
      </c>
      <c r="S75" s="462"/>
      <c r="T75" s="345" t="str">
        <f>'H-Plant &amp; Animal'!L75</f>
        <v>Not Req.</v>
      </c>
      <c r="U75" s="346" t="str">
        <f>'H-Plant &amp; Animal'!M75</f>
        <v>Not Req.</v>
      </c>
      <c r="V75" s="794" t="str">
        <f>'H-Effluent'!O75</f>
        <v>---</v>
      </c>
      <c r="W75" s="797" t="str">
        <f>'H-Runoff'!Q75</f>
        <v>---</v>
      </c>
      <c r="X75" s="799" t="str">
        <f>'H-Runoff'!S75</f>
        <v>---</v>
      </c>
      <c r="Y75" s="794" t="str">
        <f>'H-Leachate'!N75</f>
        <v>NA</v>
      </c>
      <c r="Z75" s="797" t="str">
        <f>'H-Volatilization'!AD75</f>
        <v>NA</v>
      </c>
      <c r="AA75" s="798" t="str">
        <f>'H-Volatilization'!AF75</f>
        <v>NA</v>
      </c>
      <c r="AB75" s="798" t="str">
        <f>'H-Volatilization'!AO75</f>
        <v>NA</v>
      </c>
      <c r="AC75" s="799" t="str">
        <f>'H-Volatilization'!AU75</f>
        <v>NA</v>
      </c>
    </row>
    <row r="76" spans="1:29" x14ac:dyDescent="0.25">
      <c r="A76" s="56" t="s">
        <v>394</v>
      </c>
      <c r="B76" s="336" t="str">
        <f>IF(Start!$C$15="x",('H-Effluent'!B76),"---")</f>
        <v>---</v>
      </c>
      <c r="C76" s="337" t="str">
        <f>IF(Start!$C$16="x",'H-Runoff'!B76,"---")</f>
        <v>---</v>
      </c>
      <c r="D76" s="338" t="str">
        <f>IF(Start!$C$16="x",'H-Runoff'!C76,"---")</f>
        <v>---</v>
      </c>
      <c r="E76" s="868" t="str">
        <f>IF(Start!$C$17="x",'H-Leachate'!B76,"---")</f>
        <v/>
      </c>
      <c r="F76" s="340" t="str">
        <f>IF(Start!$C$18="x",('H-Volatilization'!B76),"---")</f>
        <v/>
      </c>
      <c r="G76" s="341" t="str">
        <f>IF(Start!$C$18="x",('H-Volatilization'!C76),"---")</f>
        <v/>
      </c>
      <c r="H76" s="341" t="str">
        <f>IF(Start!$C$18="x",('H-Volatilization'!D76),"---")</f>
        <v/>
      </c>
      <c r="I76" s="342" t="str">
        <f>IF(Start!$C$18="x",('H-Volatilization'!E76),"---")</f>
        <v/>
      </c>
      <c r="J76" s="339" t="str">
        <f>IF(Start!$C$19="x",'H-Plant &amp; Animal'!B76,"---")</f>
        <v>---</v>
      </c>
      <c r="K76" s="343" t="str">
        <f>'H-Effluent'!Q76</f>
        <v>Not Req.</v>
      </c>
      <c r="L76" s="286" t="str">
        <f>'H-Runoff'!T76</f>
        <v>Not Req.</v>
      </c>
      <c r="M76" s="344" t="str">
        <f>'H-Runoff'!U76</f>
        <v>Not Req.</v>
      </c>
      <c r="N76" s="343" t="str">
        <f>'H-Leachate'!O76</f>
        <v/>
      </c>
      <c r="O76" s="283" t="str">
        <f>'H-Volatilization'!AV76</f>
        <v/>
      </c>
      <c r="P76" s="284" t="str">
        <f>'H-Volatilization'!AW76</f>
        <v/>
      </c>
      <c r="Q76" s="284" t="str">
        <f>'H-Volatilization'!AX76</f>
        <v/>
      </c>
      <c r="R76" s="285" t="str">
        <f>'H-Volatilization'!AY76</f>
        <v/>
      </c>
      <c r="S76" s="462"/>
      <c r="T76" s="345" t="str">
        <f>'H-Plant &amp; Animal'!L76</f>
        <v>Not Req.</v>
      </c>
      <c r="U76" s="346" t="str">
        <f>'H-Plant &amp; Animal'!M76</f>
        <v>Not Req.</v>
      </c>
      <c r="V76" s="794" t="str">
        <f>'H-Effluent'!O76</f>
        <v>---</v>
      </c>
      <c r="W76" s="797" t="str">
        <f>'H-Runoff'!Q76</f>
        <v>---</v>
      </c>
      <c r="X76" s="799" t="str">
        <f>'H-Runoff'!S76</f>
        <v>---</v>
      </c>
      <c r="Y76" s="794" t="str">
        <f>'H-Leachate'!N76</f>
        <v>NA</v>
      </c>
      <c r="Z76" s="797" t="str">
        <f>'H-Volatilization'!AD76</f>
        <v>NA</v>
      </c>
      <c r="AA76" s="798" t="str">
        <f>'H-Volatilization'!AF76</f>
        <v>NA</v>
      </c>
      <c r="AB76" s="798" t="str">
        <f>'H-Volatilization'!AO76</f>
        <v>NA</v>
      </c>
      <c r="AC76" s="799" t="str">
        <f>'H-Volatilization'!AU76</f>
        <v>NA</v>
      </c>
    </row>
    <row r="77" spans="1:29" x14ac:dyDescent="0.25">
      <c r="A77" s="60" t="s">
        <v>395</v>
      </c>
      <c r="B77" s="336" t="str">
        <f>IF(Start!$C$15="x",('H-Effluent'!B77),"---")</f>
        <v>---</v>
      </c>
      <c r="C77" s="337" t="str">
        <f>IF(Start!$C$16="x",'H-Runoff'!B77,"---")</f>
        <v>---</v>
      </c>
      <c r="D77" s="338" t="str">
        <f>IF(Start!$C$16="x",'H-Runoff'!C77,"---")</f>
        <v>---</v>
      </c>
      <c r="E77" s="868" t="str">
        <f>IF(Start!$C$17="x",'H-Leachate'!B77,"---")</f>
        <v/>
      </c>
      <c r="F77" s="340" t="str">
        <f>IF(Start!$C$18="x",('H-Volatilization'!B77),"---")</f>
        <v/>
      </c>
      <c r="G77" s="341" t="str">
        <f>IF(Start!$C$18="x",('H-Volatilization'!C77),"---")</f>
        <v/>
      </c>
      <c r="H77" s="341" t="str">
        <f>IF(Start!$C$18="x",('H-Volatilization'!D77),"---")</f>
        <v/>
      </c>
      <c r="I77" s="342" t="str">
        <f>IF(Start!$C$18="x",('H-Volatilization'!E77),"---")</f>
        <v/>
      </c>
      <c r="J77" s="339" t="str">
        <f>IF(Start!$C$19="x",'H-Plant &amp; Animal'!B77,"---")</f>
        <v>---</v>
      </c>
      <c r="K77" s="343" t="str">
        <f>'H-Effluent'!Q77</f>
        <v>Not Req.</v>
      </c>
      <c r="L77" s="286" t="str">
        <f>'H-Runoff'!T77</f>
        <v>Not Req.</v>
      </c>
      <c r="M77" s="344" t="str">
        <f>'H-Runoff'!U77</f>
        <v>Not Req.</v>
      </c>
      <c r="N77" s="343" t="str">
        <f>'H-Leachate'!O77</f>
        <v/>
      </c>
      <c r="O77" s="283" t="str">
        <f>'H-Volatilization'!AV77</f>
        <v/>
      </c>
      <c r="P77" s="284" t="str">
        <f>'H-Volatilization'!AW77</f>
        <v/>
      </c>
      <c r="Q77" s="284" t="str">
        <f>'H-Volatilization'!AX77</f>
        <v/>
      </c>
      <c r="R77" s="285" t="str">
        <f>'H-Volatilization'!AY77</f>
        <v/>
      </c>
      <c r="S77" s="462"/>
      <c r="T77" s="345" t="str">
        <f>'H-Plant &amp; Animal'!L77</f>
        <v>Not Req.</v>
      </c>
      <c r="U77" s="346" t="str">
        <f>'H-Plant &amp; Animal'!M77</f>
        <v>Not Req.</v>
      </c>
      <c r="V77" s="794" t="str">
        <f>'H-Effluent'!O77</f>
        <v>---</v>
      </c>
      <c r="W77" s="797" t="str">
        <f>'H-Runoff'!Q77</f>
        <v>---</v>
      </c>
      <c r="X77" s="799" t="str">
        <f>'H-Runoff'!S77</f>
        <v>---</v>
      </c>
      <c r="Y77" s="794" t="str">
        <f>'H-Leachate'!N77</f>
        <v>NA</v>
      </c>
      <c r="Z77" s="797" t="str">
        <f>'H-Volatilization'!AD77</f>
        <v>NA</v>
      </c>
      <c r="AA77" s="798" t="str">
        <f>'H-Volatilization'!AF77</f>
        <v>NA</v>
      </c>
      <c r="AB77" s="798" t="str">
        <f>'H-Volatilization'!AO77</f>
        <v>NA</v>
      </c>
      <c r="AC77" s="799" t="str">
        <f>'H-Volatilization'!AU77</f>
        <v>NA</v>
      </c>
    </row>
    <row r="78" spans="1:29" x14ac:dyDescent="0.25">
      <c r="A78" s="56" t="s">
        <v>396</v>
      </c>
      <c r="B78" s="336" t="str">
        <f>IF(Start!$C$15="x",('H-Effluent'!B78),"---")</f>
        <v>---</v>
      </c>
      <c r="C78" s="337" t="str">
        <f>IF(Start!$C$16="x",'H-Runoff'!B78,"---")</f>
        <v>---</v>
      </c>
      <c r="D78" s="338" t="str">
        <f>IF(Start!$C$16="x",'H-Runoff'!C78,"---")</f>
        <v>---</v>
      </c>
      <c r="E78" s="868" t="str">
        <f>IF(Start!$C$17="x",'H-Leachate'!B78,"---")</f>
        <v/>
      </c>
      <c r="F78" s="340" t="str">
        <f>IF(Start!$C$18="x",('H-Volatilization'!B78),"---")</f>
        <v/>
      </c>
      <c r="G78" s="341" t="str">
        <f>IF(Start!$C$18="x",('H-Volatilization'!C78),"---")</f>
        <v/>
      </c>
      <c r="H78" s="341" t="str">
        <f>IF(Start!$C$18="x",('H-Volatilization'!D78),"---")</f>
        <v/>
      </c>
      <c r="I78" s="342" t="str">
        <f>IF(Start!$C$18="x",('H-Volatilization'!E78),"---")</f>
        <v/>
      </c>
      <c r="J78" s="339" t="str">
        <f>IF(Start!$C$19="x",'H-Plant &amp; Animal'!B78,"---")</f>
        <v>---</v>
      </c>
      <c r="K78" s="343" t="str">
        <f>'H-Effluent'!Q78</f>
        <v>Not Req.</v>
      </c>
      <c r="L78" s="286" t="str">
        <f>'H-Runoff'!T78</f>
        <v>Not Req.</v>
      </c>
      <c r="M78" s="344" t="str">
        <f>'H-Runoff'!U78</f>
        <v>Not Req.</v>
      </c>
      <c r="N78" s="343" t="str">
        <f>'H-Leachate'!O78</f>
        <v/>
      </c>
      <c r="O78" s="283" t="str">
        <f>'H-Volatilization'!AV78</f>
        <v/>
      </c>
      <c r="P78" s="284" t="str">
        <f>'H-Volatilization'!AW78</f>
        <v/>
      </c>
      <c r="Q78" s="284" t="str">
        <f>'H-Volatilization'!AX78</f>
        <v/>
      </c>
      <c r="R78" s="285" t="str">
        <f>'H-Volatilization'!AY78</f>
        <v/>
      </c>
      <c r="S78" s="462"/>
      <c r="T78" s="345" t="str">
        <f>'H-Plant &amp; Animal'!L78</f>
        <v>Not Req.</v>
      </c>
      <c r="U78" s="346" t="str">
        <f>'H-Plant &amp; Animal'!M78</f>
        <v>Not Req.</v>
      </c>
      <c r="V78" s="794" t="str">
        <f>'H-Effluent'!O78</f>
        <v>---</v>
      </c>
      <c r="W78" s="797" t="str">
        <f>'H-Runoff'!Q78</f>
        <v>---</v>
      </c>
      <c r="X78" s="799" t="str">
        <f>'H-Runoff'!S78</f>
        <v>---</v>
      </c>
      <c r="Y78" s="794" t="str">
        <f>'H-Leachate'!N78</f>
        <v>NA</v>
      </c>
      <c r="Z78" s="797" t="str">
        <f>'H-Volatilization'!AD78</f>
        <v>NA</v>
      </c>
      <c r="AA78" s="798" t="str">
        <f>'H-Volatilization'!AF78</f>
        <v>NA</v>
      </c>
      <c r="AB78" s="798" t="str">
        <f>'H-Volatilization'!AO78</f>
        <v>NA</v>
      </c>
      <c r="AC78" s="799" t="str">
        <f>'H-Volatilization'!AU78</f>
        <v>NA</v>
      </c>
    </row>
    <row r="79" spans="1:29" x14ac:dyDescent="0.25">
      <c r="A79" s="56" t="s">
        <v>397</v>
      </c>
      <c r="B79" s="336" t="str">
        <f>IF(Start!$C$15="x",('H-Effluent'!B79),"---")</f>
        <v>---</v>
      </c>
      <c r="C79" s="337" t="str">
        <f>IF(Start!$C$16="x",'H-Runoff'!B79,"---")</f>
        <v>---</v>
      </c>
      <c r="D79" s="338" t="str">
        <f>IF(Start!$C$16="x",'H-Runoff'!C79,"---")</f>
        <v>---</v>
      </c>
      <c r="E79" s="868" t="str">
        <f>IF(Start!$C$17="x",'H-Leachate'!B79,"---")</f>
        <v/>
      </c>
      <c r="F79" s="340" t="str">
        <f>IF(Start!$C$18="x",('H-Volatilization'!B79),"---")</f>
        <v/>
      </c>
      <c r="G79" s="341" t="str">
        <f>IF(Start!$C$18="x",('H-Volatilization'!C79),"---")</f>
        <v/>
      </c>
      <c r="H79" s="341" t="str">
        <f>IF(Start!$C$18="x",('H-Volatilization'!D79),"---")</f>
        <v/>
      </c>
      <c r="I79" s="342" t="str">
        <f>IF(Start!$C$18="x",('H-Volatilization'!E79),"---")</f>
        <v/>
      </c>
      <c r="J79" s="339" t="str">
        <f>IF(Start!$C$19="x",'H-Plant &amp; Animal'!B79,"---")</f>
        <v>---</v>
      </c>
      <c r="K79" s="343" t="str">
        <f>'H-Effluent'!Q79</f>
        <v>Not Req.</v>
      </c>
      <c r="L79" s="286" t="str">
        <f>'H-Runoff'!T79</f>
        <v>Not Req.</v>
      </c>
      <c r="M79" s="344" t="str">
        <f>'H-Runoff'!U79</f>
        <v>Not Req.</v>
      </c>
      <c r="N79" s="343" t="str">
        <f>'H-Leachate'!O79</f>
        <v/>
      </c>
      <c r="O79" s="283" t="str">
        <f>'H-Volatilization'!AV79</f>
        <v/>
      </c>
      <c r="P79" s="284" t="str">
        <f>'H-Volatilization'!AW79</f>
        <v/>
      </c>
      <c r="Q79" s="284" t="str">
        <f>'H-Volatilization'!AX79</f>
        <v/>
      </c>
      <c r="R79" s="285" t="str">
        <f>'H-Volatilization'!AY79</f>
        <v/>
      </c>
      <c r="S79" s="462"/>
      <c r="T79" s="345" t="str">
        <f>'H-Plant &amp; Animal'!L79</f>
        <v>Not Req.</v>
      </c>
      <c r="U79" s="346" t="str">
        <f>'H-Plant &amp; Animal'!M79</f>
        <v>Not Req.</v>
      </c>
      <c r="V79" s="794" t="str">
        <f>'H-Effluent'!O79</f>
        <v>---</v>
      </c>
      <c r="W79" s="797" t="str">
        <f>'H-Runoff'!Q79</f>
        <v>---</v>
      </c>
      <c r="X79" s="799" t="str">
        <f>'H-Runoff'!S79</f>
        <v>---</v>
      </c>
      <c r="Y79" s="794" t="str">
        <f>'H-Leachate'!N79</f>
        <v>NA</v>
      </c>
      <c r="Z79" s="797" t="str">
        <f>'H-Volatilization'!AD79</f>
        <v>NA</v>
      </c>
      <c r="AA79" s="798" t="str">
        <f>'H-Volatilization'!AF79</f>
        <v>NA</v>
      </c>
      <c r="AB79" s="798" t="str">
        <f>'H-Volatilization'!AO79</f>
        <v>NA</v>
      </c>
      <c r="AC79" s="799" t="str">
        <f>'H-Volatilization'!AU79</f>
        <v>NA</v>
      </c>
    </row>
    <row r="80" spans="1:29" x14ac:dyDescent="0.25">
      <c r="A80" s="56" t="s">
        <v>398</v>
      </c>
      <c r="B80" s="336" t="str">
        <f>IF(Start!$C$15="x",('H-Effluent'!B80),"---")</f>
        <v>---</v>
      </c>
      <c r="C80" s="337" t="str">
        <f>IF(Start!$C$16="x",'H-Runoff'!B80,"---")</f>
        <v>---</v>
      </c>
      <c r="D80" s="338" t="str">
        <f>IF(Start!$C$16="x",'H-Runoff'!C80,"---")</f>
        <v>---</v>
      </c>
      <c r="E80" s="868" t="str">
        <f>IF(Start!$C$17="x",'H-Leachate'!B80,"---")</f>
        <v/>
      </c>
      <c r="F80" s="340" t="str">
        <f>IF(Start!$C$18="x",('H-Volatilization'!B80),"---")</f>
        <v/>
      </c>
      <c r="G80" s="341" t="str">
        <f>IF(Start!$C$18="x",('H-Volatilization'!C80),"---")</f>
        <v/>
      </c>
      <c r="H80" s="341" t="str">
        <f>IF(Start!$C$18="x",('H-Volatilization'!D80),"---")</f>
        <v/>
      </c>
      <c r="I80" s="342" t="str">
        <f>IF(Start!$C$18="x",('H-Volatilization'!E80),"---")</f>
        <v/>
      </c>
      <c r="J80" s="339" t="str">
        <f>IF(Start!$C$19="x",'H-Plant &amp; Animal'!B80,"---")</f>
        <v>---</v>
      </c>
      <c r="K80" s="343" t="str">
        <f>'H-Effluent'!Q80</f>
        <v>Not Req.</v>
      </c>
      <c r="L80" s="286" t="str">
        <f>'H-Runoff'!T80</f>
        <v>Not Req.</v>
      </c>
      <c r="M80" s="344" t="str">
        <f>'H-Runoff'!U80</f>
        <v>Not Req.</v>
      </c>
      <c r="N80" s="343" t="str">
        <f>'H-Leachate'!O80</f>
        <v/>
      </c>
      <c r="O80" s="283" t="str">
        <f>'H-Volatilization'!AV80</f>
        <v/>
      </c>
      <c r="P80" s="284" t="str">
        <f>'H-Volatilization'!AW80</f>
        <v/>
      </c>
      <c r="Q80" s="284" t="str">
        <f>'H-Volatilization'!AX80</f>
        <v/>
      </c>
      <c r="R80" s="285" t="str">
        <f>'H-Volatilization'!AY80</f>
        <v/>
      </c>
      <c r="S80" s="462"/>
      <c r="T80" s="345" t="str">
        <f>'H-Plant &amp; Animal'!L80</f>
        <v>Not Req.</v>
      </c>
      <c r="U80" s="346" t="str">
        <f>'H-Plant &amp; Animal'!M80</f>
        <v>Not Req.</v>
      </c>
      <c r="V80" s="794" t="str">
        <f>'H-Effluent'!O80</f>
        <v>---</v>
      </c>
      <c r="W80" s="797" t="str">
        <f>'H-Runoff'!Q80</f>
        <v>---</v>
      </c>
      <c r="X80" s="799" t="str">
        <f>'H-Runoff'!S80</f>
        <v>---</v>
      </c>
      <c r="Y80" s="794" t="str">
        <f>'H-Leachate'!N80</f>
        <v>NA</v>
      </c>
      <c r="Z80" s="797" t="str">
        <f>'H-Volatilization'!AD80</f>
        <v>NA</v>
      </c>
      <c r="AA80" s="798" t="str">
        <f>'H-Volatilization'!AF80</f>
        <v>NA</v>
      </c>
      <c r="AB80" s="798" t="str">
        <f>'H-Volatilization'!AO80</f>
        <v>NA</v>
      </c>
      <c r="AC80" s="799" t="str">
        <f>'H-Volatilization'!AU80</f>
        <v>NA</v>
      </c>
    </row>
    <row r="81" spans="1:29" x14ac:dyDescent="0.25">
      <c r="A81" s="56" t="s">
        <v>399</v>
      </c>
      <c r="B81" s="336" t="str">
        <f>IF(Start!$C$15="x",('H-Effluent'!B81),"---")</f>
        <v>---</v>
      </c>
      <c r="C81" s="337" t="str">
        <f>IF(Start!$C$16="x",'H-Runoff'!B81,"---")</f>
        <v>---</v>
      </c>
      <c r="D81" s="338" t="str">
        <f>IF(Start!$C$16="x",'H-Runoff'!C81,"---")</f>
        <v>---</v>
      </c>
      <c r="E81" s="868" t="str">
        <f>IF(Start!$C$17="x",'H-Leachate'!B81,"---")</f>
        <v/>
      </c>
      <c r="F81" s="340" t="str">
        <f>IF(Start!$C$18="x",('H-Volatilization'!B81),"---")</f>
        <v/>
      </c>
      <c r="G81" s="341" t="str">
        <f>IF(Start!$C$18="x",('H-Volatilization'!C81),"---")</f>
        <v/>
      </c>
      <c r="H81" s="341" t="str">
        <f>IF(Start!$C$18="x",('H-Volatilization'!D81),"---")</f>
        <v/>
      </c>
      <c r="I81" s="342" t="str">
        <f>IF(Start!$C$18="x",('H-Volatilization'!E81),"---")</f>
        <v/>
      </c>
      <c r="J81" s="339" t="str">
        <f>IF(Start!$C$19="x",'H-Plant &amp; Animal'!B81,"---")</f>
        <v>---</v>
      </c>
      <c r="K81" s="343" t="str">
        <f>'H-Effluent'!Q81</f>
        <v>Not Req.</v>
      </c>
      <c r="L81" s="286" t="str">
        <f>'H-Runoff'!T81</f>
        <v>Not Req.</v>
      </c>
      <c r="M81" s="344" t="str">
        <f>'H-Runoff'!U81</f>
        <v>Not Req.</v>
      </c>
      <c r="N81" s="343" t="str">
        <f>'H-Leachate'!O81</f>
        <v/>
      </c>
      <c r="O81" s="283" t="str">
        <f>'H-Volatilization'!AV81</f>
        <v/>
      </c>
      <c r="P81" s="284" t="str">
        <f>'H-Volatilization'!AW81</f>
        <v/>
      </c>
      <c r="Q81" s="284" t="str">
        <f>'H-Volatilization'!AX81</f>
        <v/>
      </c>
      <c r="R81" s="285" t="str">
        <f>'H-Volatilization'!AY81</f>
        <v/>
      </c>
      <c r="S81" s="462"/>
      <c r="T81" s="345" t="str">
        <f>'H-Plant &amp; Animal'!L81</f>
        <v>Not Req.</v>
      </c>
      <c r="U81" s="346" t="str">
        <f>'H-Plant &amp; Animal'!M81</f>
        <v>Not Req.</v>
      </c>
      <c r="V81" s="794" t="str">
        <f>'H-Effluent'!O81</f>
        <v>---</v>
      </c>
      <c r="W81" s="797" t="str">
        <f>'H-Runoff'!Q81</f>
        <v>---</v>
      </c>
      <c r="X81" s="799" t="str">
        <f>'H-Runoff'!S81</f>
        <v>---</v>
      </c>
      <c r="Y81" s="794" t="str">
        <f>'H-Leachate'!N81</f>
        <v>NA</v>
      </c>
      <c r="Z81" s="797" t="str">
        <f>'H-Volatilization'!AD81</f>
        <v>NA</v>
      </c>
      <c r="AA81" s="798" t="str">
        <f>'H-Volatilization'!AF81</f>
        <v>NA</v>
      </c>
      <c r="AB81" s="798" t="str">
        <f>'H-Volatilization'!AO81</f>
        <v>NA</v>
      </c>
      <c r="AC81" s="799" t="str">
        <f>'H-Volatilization'!AU81</f>
        <v>NA</v>
      </c>
    </row>
    <row r="82" spans="1:29" ht="13.8" thickBot="1" x14ac:dyDescent="0.3">
      <c r="A82" s="676" t="s">
        <v>400</v>
      </c>
      <c r="B82" s="772" t="str">
        <f>IF(Start!$C$15="x",('H-Effluent'!B82),"---")</f>
        <v>---</v>
      </c>
      <c r="C82" s="773" t="str">
        <f>IF(Start!$C$16="x",'H-Runoff'!B82,"---")</f>
        <v>---</v>
      </c>
      <c r="D82" s="774" t="str">
        <f>IF(Start!$C$16="x",'H-Runoff'!C82,"---")</f>
        <v>---</v>
      </c>
      <c r="E82" s="868" t="str">
        <f>IF(Start!$C$17="x",'H-Leachate'!B82,"---")</f>
        <v/>
      </c>
      <c r="F82" s="776" t="str">
        <f>IF(Start!$C$18="x",('H-Volatilization'!B82),"---")</f>
        <v/>
      </c>
      <c r="G82" s="777" t="str">
        <f>IF(Start!$C$18="x",('H-Volatilization'!C82),"---")</f>
        <v/>
      </c>
      <c r="H82" s="777" t="str">
        <f>IF(Start!$C$18="x",('H-Volatilization'!D82),"---")</f>
        <v/>
      </c>
      <c r="I82" s="778" t="str">
        <f>IF(Start!$C$18="x",('H-Volatilization'!E82),"---")</f>
        <v/>
      </c>
      <c r="J82" s="775" t="str">
        <f>IF(Start!$C$19="x",'H-Plant &amp; Animal'!B82,"---")</f>
        <v>---</v>
      </c>
      <c r="K82" s="762" t="str">
        <f>'H-Effluent'!Q82</f>
        <v>Not Req.</v>
      </c>
      <c r="L82" s="768" t="str">
        <f>'H-Runoff'!T82</f>
        <v>Not Req.</v>
      </c>
      <c r="M82" s="779" t="str">
        <f>'H-Runoff'!U82</f>
        <v>Not Req.</v>
      </c>
      <c r="N82" s="762" t="str">
        <f>'H-Leachate'!O82</f>
        <v/>
      </c>
      <c r="O82" s="780" t="str">
        <f>'H-Volatilization'!AV82</f>
        <v/>
      </c>
      <c r="P82" s="781" t="str">
        <f>'H-Volatilization'!AW82</f>
        <v/>
      </c>
      <c r="Q82" s="781" t="str">
        <f>'H-Volatilization'!AX82</f>
        <v/>
      </c>
      <c r="R82" s="769" t="str">
        <f>'H-Volatilization'!AY82</f>
        <v/>
      </c>
      <c r="S82" s="462"/>
      <c r="T82" s="782" t="str">
        <f>'H-Plant &amp; Animal'!L82</f>
        <v>Not Req.</v>
      </c>
      <c r="U82" s="783" t="str">
        <f>'H-Plant &amp; Animal'!M82</f>
        <v>Not Req.</v>
      </c>
      <c r="V82" s="796" t="str">
        <f>'H-Effluent'!O82</f>
        <v>---</v>
      </c>
      <c r="W82" s="809" t="str">
        <f>'H-Runoff'!Q82</f>
        <v>---</v>
      </c>
      <c r="X82" s="810" t="str">
        <f>'H-Runoff'!S82</f>
        <v>---</v>
      </c>
      <c r="Y82" s="796" t="str">
        <f>'H-Leachate'!N82</f>
        <v>NA</v>
      </c>
      <c r="Z82" s="809" t="str">
        <f>'H-Volatilization'!AD82</f>
        <v>NA</v>
      </c>
      <c r="AA82" s="834" t="str">
        <f>'H-Volatilization'!AF82</f>
        <v>NA</v>
      </c>
      <c r="AB82" s="834" t="str">
        <f>'H-Volatilization'!AO82</f>
        <v>NA</v>
      </c>
      <c r="AC82" s="810" t="str">
        <f>'H-Volatilization'!AU82</f>
        <v>NA</v>
      </c>
    </row>
    <row r="83" spans="1:29" x14ac:dyDescent="0.25">
      <c r="A83" s="554" t="s">
        <v>401</v>
      </c>
      <c r="B83" s="559"/>
      <c r="C83" s="556"/>
      <c r="D83" s="557"/>
      <c r="E83" s="572"/>
      <c r="F83" s="559"/>
      <c r="G83" s="560"/>
      <c r="H83" s="560"/>
      <c r="I83" s="561"/>
      <c r="J83" s="572"/>
      <c r="K83" s="527"/>
      <c r="L83" s="511"/>
      <c r="M83" s="513"/>
      <c r="N83" s="527"/>
      <c r="O83" s="511"/>
      <c r="P83" s="512"/>
      <c r="Q83" s="512"/>
      <c r="R83" s="513"/>
      <c r="S83" s="543"/>
      <c r="T83" s="562"/>
      <c r="U83" s="563"/>
      <c r="V83" s="807"/>
      <c r="W83" s="800"/>
      <c r="X83" s="808"/>
      <c r="Y83" s="527"/>
      <c r="Z83" s="800"/>
      <c r="AA83" s="801"/>
      <c r="AB83" s="802"/>
      <c r="AC83" s="803"/>
    </row>
    <row r="84" spans="1:29" x14ac:dyDescent="0.25">
      <c r="A84" s="56" t="s">
        <v>402</v>
      </c>
      <c r="B84" s="336" t="str">
        <f>IF(Start!$C$15="x",('H-Effluent'!B84),"---")</f>
        <v>---</v>
      </c>
      <c r="C84" s="337" t="str">
        <f>IF(Start!$C$16="x",'H-Runoff'!B84,"---")</f>
        <v>---</v>
      </c>
      <c r="D84" s="338" t="str">
        <f>IF(Start!$C$16="x",'H-Runoff'!C84,"---")</f>
        <v>---</v>
      </c>
      <c r="E84" s="868" t="str">
        <f>IF(Start!$C$17="x",'H-Leachate'!B84,"---")</f>
        <v/>
      </c>
      <c r="F84" s="340" t="str">
        <f>IF(Start!$C$18="x",('H-Volatilization'!B84),"---")</f>
        <v/>
      </c>
      <c r="G84" s="341" t="str">
        <f>IF(Start!$C$18="x",('H-Volatilization'!C84),"---")</f>
        <v/>
      </c>
      <c r="H84" s="341" t="str">
        <f>IF(Start!$C$18="x",('H-Volatilization'!D84),"---")</f>
        <v/>
      </c>
      <c r="I84" s="342" t="str">
        <f>IF(Start!$C$18="x",('H-Volatilization'!E84),"---")</f>
        <v/>
      </c>
      <c r="J84" s="339" t="str">
        <f>IF(Start!$C$19="x",'H-Plant &amp; Animal'!B84,"---")</f>
        <v>---</v>
      </c>
      <c r="K84" s="343" t="str">
        <f>'H-Effluent'!Q84</f>
        <v>Not Req.</v>
      </c>
      <c r="L84" s="286" t="str">
        <f>'H-Runoff'!T84</f>
        <v>Not Req.</v>
      </c>
      <c r="M84" s="344" t="str">
        <f>'H-Runoff'!U84</f>
        <v>Not Req.</v>
      </c>
      <c r="N84" s="343" t="str">
        <f>'H-Leachate'!O84</f>
        <v/>
      </c>
      <c r="O84" s="283" t="str">
        <f>'H-Volatilization'!AV84</f>
        <v/>
      </c>
      <c r="P84" s="284" t="str">
        <f>'H-Volatilization'!AW84</f>
        <v/>
      </c>
      <c r="Q84" s="284" t="str">
        <f>'H-Volatilization'!AX84</f>
        <v/>
      </c>
      <c r="R84" s="285" t="str">
        <f>'H-Volatilization'!AY84</f>
        <v/>
      </c>
      <c r="S84" s="462"/>
      <c r="T84" s="345" t="str">
        <f>'H-Plant &amp; Animal'!L84</f>
        <v>Not Req.</v>
      </c>
      <c r="U84" s="346" t="str">
        <f>'H-Plant &amp; Animal'!M84</f>
        <v>Not Req.</v>
      </c>
      <c r="V84" s="794" t="str">
        <f>'H-Effluent'!O84</f>
        <v>---</v>
      </c>
      <c r="W84" s="797" t="str">
        <f>'H-Runoff'!Q84</f>
        <v>---</v>
      </c>
      <c r="X84" s="799" t="str">
        <f>'H-Runoff'!S84</f>
        <v>---</v>
      </c>
      <c r="Y84" s="794" t="str">
        <f>'H-Leachate'!N84</f>
        <v>NA</v>
      </c>
      <c r="Z84" s="797" t="str">
        <f>'H-Volatilization'!AD84</f>
        <v>NA</v>
      </c>
      <c r="AA84" s="798" t="str">
        <f>'H-Volatilization'!AF84</f>
        <v>NA</v>
      </c>
      <c r="AB84" s="798" t="str">
        <f>'H-Volatilization'!AO84</f>
        <v>NA</v>
      </c>
      <c r="AC84" s="799" t="str">
        <f>'H-Volatilization'!AU84</f>
        <v>NA</v>
      </c>
    </row>
    <row r="85" spans="1:29" x14ac:dyDescent="0.25">
      <c r="A85" s="56" t="s">
        <v>403</v>
      </c>
      <c r="B85" s="336" t="str">
        <f>IF(Start!$C$15="x",('H-Effluent'!B85),"---")</f>
        <v>---</v>
      </c>
      <c r="C85" s="337" t="str">
        <f>IF(Start!$C$16="x",'H-Runoff'!B85,"---")</f>
        <v>---</v>
      </c>
      <c r="D85" s="338" t="str">
        <f>IF(Start!$C$16="x",'H-Runoff'!C85,"---")</f>
        <v>---</v>
      </c>
      <c r="E85" s="868" t="str">
        <f>IF(Start!$C$17="x",'H-Leachate'!B85,"---")</f>
        <v/>
      </c>
      <c r="F85" s="340" t="str">
        <f>IF(Start!$C$18="x",('H-Volatilization'!B85),"---")</f>
        <v/>
      </c>
      <c r="G85" s="341" t="str">
        <f>IF(Start!$C$18="x",('H-Volatilization'!C85),"---")</f>
        <v/>
      </c>
      <c r="H85" s="341" t="str">
        <f>IF(Start!$C$18="x",('H-Volatilization'!D85),"---")</f>
        <v/>
      </c>
      <c r="I85" s="342" t="str">
        <f>IF(Start!$C$18="x",('H-Volatilization'!E85),"---")</f>
        <v/>
      </c>
      <c r="J85" s="339" t="str">
        <f>IF(Start!$C$19="x",'H-Plant &amp; Animal'!B85,"---")</f>
        <v>---</v>
      </c>
      <c r="K85" s="343" t="str">
        <f>'H-Effluent'!Q85</f>
        <v>Not Req.</v>
      </c>
      <c r="L85" s="286" t="str">
        <f>'H-Runoff'!T85</f>
        <v>Not Req.</v>
      </c>
      <c r="M85" s="344" t="str">
        <f>'H-Runoff'!U85</f>
        <v>Not Req.</v>
      </c>
      <c r="N85" s="343" t="str">
        <f>'H-Leachate'!O85</f>
        <v/>
      </c>
      <c r="O85" s="283" t="str">
        <f>'H-Volatilization'!AV85</f>
        <v/>
      </c>
      <c r="P85" s="284" t="str">
        <f>'H-Volatilization'!AW85</f>
        <v/>
      </c>
      <c r="Q85" s="284" t="str">
        <f>'H-Volatilization'!AX85</f>
        <v/>
      </c>
      <c r="R85" s="285" t="str">
        <f>'H-Volatilization'!AY85</f>
        <v/>
      </c>
      <c r="S85" s="462"/>
      <c r="T85" s="345" t="str">
        <f>'H-Plant &amp; Animal'!L85</f>
        <v>Not Req.</v>
      </c>
      <c r="U85" s="346" t="str">
        <f>'H-Plant &amp; Animal'!M85</f>
        <v>Not Req.</v>
      </c>
      <c r="V85" s="794" t="str">
        <f>'H-Effluent'!O85</f>
        <v>---</v>
      </c>
      <c r="W85" s="797" t="str">
        <f>'H-Runoff'!Q85</f>
        <v>---</v>
      </c>
      <c r="X85" s="799" t="str">
        <f>'H-Runoff'!S85</f>
        <v>---</v>
      </c>
      <c r="Y85" s="794" t="str">
        <f>'H-Leachate'!N85</f>
        <v>NA</v>
      </c>
      <c r="Z85" s="797" t="str">
        <f>'H-Volatilization'!AD85</f>
        <v>NA</v>
      </c>
      <c r="AA85" s="798" t="str">
        <f>'H-Volatilization'!AF85</f>
        <v>NA</v>
      </c>
      <c r="AB85" s="798" t="str">
        <f>'H-Volatilization'!AO85</f>
        <v>NA</v>
      </c>
      <c r="AC85" s="799" t="str">
        <f>'H-Volatilization'!AU85</f>
        <v>NA</v>
      </c>
    </row>
    <row r="86" spans="1:29" x14ac:dyDescent="0.25">
      <c r="A86" s="56" t="s">
        <v>404</v>
      </c>
      <c r="B86" s="336" t="str">
        <f>IF(Start!$C$15="x",('H-Effluent'!B86),"---")</f>
        <v>---</v>
      </c>
      <c r="C86" s="337" t="str">
        <f>IF(Start!$C$16="x",'H-Runoff'!B86,"---")</f>
        <v>---</v>
      </c>
      <c r="D86" s="338" t="str">
        <f>IF(Start!$C$16="x",'H-Runoff'!C86,"---")</f>
        <v>---</v>
      </c>
      <c r="E86" s="868" t="str">
        <f>IF(Start!$C$17="x",'H-Leachate'!B86,"---")</f>
        <v/>
      </c>
      <c r="F86" s="340" t="str">
        <f>IF(Start!$C$18="x",('H-Volatilization'!B86),"---")</f>
        <v/>
      </c>
      <c r="G86" s="341" t="str">
        <f>IF(Start!$C$18="x",('H-Volatilization'!C86),"---")</f>
        <v/>
      </c>
      <c r="H86" s="341" t="str">
        <f>IF(Start!$C$18="x",('H-Volatilization'!D86),"---")</f>
        <v/>
      </c>
      <c r="I86" s="342" t="str">
        <f>IF(Start!$C$18="x",('H-Volatilization'!E86),"---")</f>
        <v/>
      </c>
      <c r="J86" s="339" t="str">
        <f>IF(Start!$C$19="x",'H-Plant &amp; Animal'!B86,"---")</f>
        <v>---</v>
      </c>
      <c r="K86" s="343" t="str">
        <f>'H-Effluent'!Q86</f>
        <v>Not Req.</v>
      </c>
      <c r="L86" s="286" t="str">
        <f>'H-Runoff'!T86</f>
        <v>Not Req.</v>
      </c>
      <c r="M86" s="344" t="str">
        <f>'H-Runoff'!U86</f>
        <v>Not Req.</v>
      </c>
      <c r="N86" s="343" t="str">
        <f>'H-Leachate'!O86</f>
        <v/>
      </c>
      <c r="O86" s="283" t="str">
        <f>'H-Volatilization'!AV86</f>
        <v/>
      </c>
      <c r="P86" s="284" t="str">
        <f>'H-Volatilization'!AW86</f>
        <v/>
      </c>
      <c r="Q86" s="284" t="str">
        <f>'H-Volatilization'!AX86</f>
        <v/>
      </c>
      <c r="R86" s="285" t="str">
        <f>'H-Volatilization'!AY86</f>
        <v/>
      </c>
      <c r="S86" s="462"/>
      <c r="T86" s="345" t="str">
        <f>'H-Plant &amp; Animal'!L86</f>
        <v>Not Req.</v>
      </c>
      <c r="U86" s="346" t="str">
        <f>'H-Plant &amp; Animal'!M86</f>
        <v>Not Req.</v>
      </c>
      <c r="V86" s="794" t="str">
        <f>'H-Effluent'!O86</f>
        <v>---</v>
      </c>
      <c r="W86" s="797" t="str">
        <f>'H-Runoff'!Q86</f>
        <v>---</v>
      </c>
      <c r="X86" s="799" t="str">
        <f>'H-Runoff'!S86</f>
        <v>---</v>
      </c>
      <c r="Y86" s="794" t="str">
        <f>'H-Leachate'!N86</f>
        <v>NA</v>
      </c>
      <c r="Z86" s="797" t="str">
        <f>'H-Volatilization'!AD86</f>
        <v>NA</v>
      </c>
      <c r="AA86" s="798" t="str">
        <f>'H-Volatilization'!AF86</f>
        <v>NA</v>
      </c>
      <c r="AB86" s="798" t="str">
        <f>'H-Volatilization'!AO86</f>
        <v>NA</v>
      </c>
      <c r="AC86" s="799" t="str">
        <f>'H-Volatilization'!AU86</f>
        <v>NA</v>
      </c>
    </row>
    <row r="87" spans="1:29" x14ac:dyDescent="0.25">
      <c r="A87" s="56" t="s">
        <v>405</v>
      </c>
      <c r="B87" s="336" t="str">
        <f>IF(Start!$C$15="x",('H-Effluent'!B87),"---")</f>
        <v>---</v>
      </c>
      <c r="C87" s="337" t="str">
        <f>IF(Start!$C$16="x",'H-Runoff'!B87,"---")</f>
        <v>---</v>
      </c>
      <c r="D87" s="338" t="str">
        <f>IF(Start!$C$16="x",'H-Runoff'!C87,"---")</f>
        <v>---</v>
      </c>
      <c r="E87" s="868" t="str">
        <f>IF(Start!$C$17="x",'H-Leachate'!B87,"---")</f>
        <v/>
      </c>
      <c r="F87" s="340" t="str">
        <f>IF(Start!$C$18="x",('H-Volatilization'!B87),"---")</f>
        <v/>
      </c>
      <c r="G87" s="341" t="str">
        <f>IF(Start!$C$18="x",('H-Volatilization'!C87),"---")</f>
        <v/>
      </c>
      <c r="H87" s="341" t="str">
        <f>IF(Start!$C$18="x",('H-Volatilization'!D87),"---")</f>
        <v/>
      </c>
      <c r="I87" s="342" t="str">
        <f>IF(Start!$C$18="x",('H-Volatilization'!E87),"---")</f>
        <v/>
      </c>
      <c r="J87" s="339" t="str">
        <f>IF(Start!$C$19="x",'H-Plant &amp; Animal'!B87,"---")</f>
        <v>---</v>
      </c>
      <c r="K87" s="343" t="str">
        <f>'H-Effluent'!Q87</f>
        <v>Not Req.</v>
      </c>
      <c r="L87" s="286" t="str">
        <f>'H-Runoff'!T87</f>
        <v>Not Req.</v>
      </c>
      <c r="M87" s="344" t="str">
        <f>'H-Runoff'!U87</f>
        <v>Not Req.</v>
      </c>
      <c r="N87" s="343" t="str">
        <f>'H-Leachate'!O87</f>
        <v/>
      </c>
      <c r="O87" s="283" t="str">
        <f>'H-Volatilization'!AV87</f>
        <v/>
      </c>
      <c r="P87" s="284" t="str">
        <f>'H-Volatilization'!AW87</f>
        <v/>
      </c>
      <c r="Q87" s="284" t="str">
        <f>'H-Volatilization'!AX87</f>
        <v/>
      </c>
      <c r="R87" s="285" t="str">
        <f>'H-Volatilization'!AY87</f>
        <v/>
      </c>
      <c r="S87" s="462"/>
      <c r="T87" s="345" t="str">
        <f>'H-Plant &amp; Animal'!L87</f>
        <v>Not Req.</v>
      </c>
      <c r="U87" s="346" t="str">
        <f>'H-Plant &amp; Animal'!M87</f>
        <v>Not Req.</v>
      </c>
      <c r="V87" s="794" t="str">
        <f>'H-Effluent'!O87</f>
        <v>---</v>
      </c>
      <c r="W87" s="797" t="str">
        <f>'H-Runoff'!Q87</f>
        <v>---</v>
      </c>
      <c r="X87" s="799" t="str">
        <f>'H-Runoff'!S87</f>
        <v>---</v>
      </c>
      <c r="Y87" s="794" t="str">
        <f>'H-Leachate'!N87</f>
        <v>NA</v>
      </c>
      <c r="Z87" s="797" t="str">
        <f>'H-Volatilization'!AD87</f>
        <v>NA</v>
      </c>
      <c r="AA87" s="798" t="str">
        <f>'H-Volatilization'!AF87</f>
        <v>NA</v>
      </c>
      <c r="AB87" s="798" t="str">
        <f>'H-Volatilization'!AO87</f>
        <v>NA</v>
      </c>
      <c r="AC87" s="799" t="str">
        <f>'H-Volatilization'!AU87</f>
        <v>NA</v>
      </c>
    </row>
    <row r="88" spans="1:29" x14ac:dyDescent="0.25">
      <c r="A88" s="56" t="s">
        <v>406</v>
      </c>
      <c r="B88" s="336" t="str">
        <f>IF(Start!$C$15="x",('H-Effluent'!B88),"---")</f>
        <v>---</v>
      </c>
      <c r="C88" s="337" t="str">
        <f>IF(Start!$C$16="x",'H-Runoff'!B88,"---")</f>
        <v>---</v>
      </c>
      <c r="D88" s="338" t="str">
        <f>IF(Start!$C$16="x",'H-Runoff'!C88,"---")</f>
        <v>---</v>
      </c>
      <c r="E88" s="868" t="str">
        <f>IF(Start!$C$17="x",'H-Leachate'!B88,"---")</f>
        <v/>
      </c>
      <c r="F88" s="340" t="str">
        <f>IF(Start!$C$18="x",('H-Volatilization'!B88),"---")</f>
        <v/>
      </c>
      <c r="G88" s="341" t="str">
        <f>IF(Start!$C$18="x",('H-Volatilization'!C88),"---")</f>
        <v/>
      </c>
      <c r="H88" s="341" t="str">
        <f>IF(Start!$C$18="x",('H-Volatilization'!D88),"---")</f>
        <v/>
      </c>
      <c r="I88" s="342" t="str">
        <f>IF(Start!$C$18="x",('H-Volatilization'!E88),"---")</f>
        <v/>
      </c>
      <c r="J88" s="339" t="str">
        <f>IF(Start!$C$19="x",'H-Plant &amp; Animal'!B88,"---")</f>
        <v>---</v>
      </c>
      <c r="K88" s="343" t="str">
        <f>'H-Effluent'!Q88</f>
        <v>Not Req.</v>
      </c>
      <c r="L88" s="286" t="str">
        <f>'H-Runoff'!T88</f>
        <v>Not Req.</v>
      </c>
      <c r="M88" s="344" t="str">
        <f>'H-Runoff'!U88</f>
        <v>Not Req.</v>
      </c>
      <c r="N88" s="343" t="str">
        <f>'H-Leachate'!O88</f>
        <v/>
      </c>
      <c r="O88" s="283" t="str">
        <f>'H-Volatilization'!AV88</f>
        <v/>
      </c>
      <c r="P88" s="284" t="str">
        <f>'H-Volatilization'!AW88</f>
        <v/>
      </c>
      <c r="Q88" s="284" t="str">
        <f>'H-Volatilization'!AX88</f>
        <v/>
      </c>
      <c r="R88" s="285" t="str">
        <f>'H-Volatilization'!AY88</f>
        <v/>
      </c>
      <c r="S88" s="462"/>
      <c r="T88" s="345" t="str">
        <f>'H-Plant &amp; Animal'!L88</f>
        <v>Not Req.</v>
      </c>
      <c r="U88" s="346" t="str">
        <f>'H-Plant &amp; Animal'!M88</f>
        <v>Not Req.</v>
      </c>
      <c r="V88" s="794" t="str">
        <f>'H-Effluent'!O88</f>
        <v>---</v>
      </c>
      <c r="W88" s="797" t="str">
        <f>'H-Runoff'!Q88</f>
        <v>---</v>
      </c>
      <c r="X88" s="799" t="str">
        <f>'H-Runoff'!S88</f>
        <v>---</v>
      </c>
      <c r="Y88" s="794" t="str">
        <f>'H-Leachate'!N88</f>
        <v>NA</v>
      </c>
      <c r="Z88" s="797" t="str">
        <f>'H-Volatilization'!AD88</f>
        <v>NA</v>
      </c>
      <c r="AA88" s="798" t="str">
        <f>'H-Volatilization'!AF88</f>
        <v>NA</v>
      </c>
      <c r="AB88" s="798" t="str">
        <f>'H-Volatilization'!AO88</f>
        <v>NA</v>
      </c>
      <c r="AC88" s="799" t="str">
        <f>'H-Volatilization'!AU88</f>
        <v>NA</v>
      </c>
    </row>
    <row r="89" spans="1:29" x14ac:dyDescent="0.25">
      <c r="A89" s="56" t="s">
        <v>407</v>
      </c>
      <c r="B89" s="336" t="str">
        <f>IF(Start!$C$15="x",('H-Effluent'!B89),"---")</f>
        <v>---</v>
      </c>
      <c r="C89" s="337" t="str">
        <f>IF(Start!$C$16="x",'H-Runoff'!B89,"---")</f>
        <v>---</v>
      </c>
      <c r="D89" s="338" t="str">
        <f>IF(Start!$C$16="x",'H-Runoff'!C89,"---")</f>
        <v>---</v>
      </c>
      <c r="E89" s="868" t="str">
        <f>IF(Start!$C$17="x",'H-Leachate'!B89,"---")</f>
        <v/>
      </c>
      <c r="F89" s="340" t="str">
        <f>IF(Start!$C$18="x",('H-Volatilization'!B89),"---")</f>
        <v/>
      </c>
      <c r="G89" s="341" t="str">
        <f>IF(Start!$C$18="x",('H-Volatilization'!C89),"---")</f>
        <v/>
      </c>
      <c r="H89" s="341" t="str">
        <f>IF(Start!$C$18="x",('H-Volatilization'!D89),"---")</f>
        <v/>
      </c>
      <c r="I89" s="342" t="str">
        <f>IF(Start!$C$18="x",('H-Volatilization'!E89),"---")</f>
        <v/>
      </c>
      <c r="J89" s="339" t="str">
        <f>IF(Start!$C$19="x",'H-Plant &amp; Animal'!B89,"---")</f>
        <v>---</v>
      </c>
      <c r="K89" s="343" t="str">
        <f>'H-Effluent'!Q89</f>
        <v>Not Req.</v>
      </c>
      <c r="L89" s="286" t="str">
        <f>'H-Runoff'!T89</f>
        <v>Not Req.</v>
      </c>
      <c r="M89" s="344" t="str">
        <f>'H-Runoff'!U89</f>
        <v>Not Req.</v>
      </c>
      <c r="N89" s="343" t="str">
        <f>'H-Leachate'!O89</f>
        <v/>
      </c>
      <c r="O89" s="283" t="str">
        <f>'H-Volatilization'!AV89</f>
        <v/>
      </c>
      <c r="P89" s="284" t="str">
        <f>'H-Volatilization'!AW89</f>
        <v/>
      </c>
      <c r="Q89" s="284" t="str">
        <f>'H-Volatilization'!AX89</f>
        <v/>
      </c>
      <c r="R89" s="285" t="str">
        <f>'H-Volatilization'!AY89</f>
        <v/>
      </c>
      <c r="S89" s="462"/>
      <c r="T89" s="345" t="str">
        <f>'H-Plant &amp; Animal'!L89</f>
        <v>Not Req.</v>
      </c>
      <c r="U89" s="346" t="str">
        <f>'H-Plant &amp; Animal'!M89</f>
        <v>Not Req.</v>
      </c>
      <c r="V89" s="794" t="str">
        <f>'H-Effluent'!O89</f>
        <v>---</v>
      </c>
      <c r="W89" s="797" t="str">
        <f>'H-Runoff'!Q89</f>
        <v>---</v>
      </c>
      <c r="X89" s="799" t="str">
        <f>'H-Runoff'!S89</f>
        <v>---</v>
      </c>
      <c r="Y89" s="794" t="str">
        <f>'H-Leachate'!N89</f>
        <v>NA</v>
      </c>
      <c r="Z89" s="797" t="str">
        <f>'H-Volatilization'!AD89</f>
        <v>NA</v>
      </c>
      <c r="AA89" s="798" t="str">
        <f>'H-Volatilization'!AF89</f>
        <v>NA</v>
      </c>
      <c r="AB89" s="798" t="str">
        <f>'H-Volatilization'!AO89</f>
        <v>NA</v>
      </c>
      <c r="AC89" s="799" t="str">
        <f>'H-Volatilization'!AU89</f>
        <v>NA</v>
      </c>
    </row>
    <row r="90" spans="1:29" x14ac:dyDescent="0.25">
      <c r="A90" s="56" t="s">
        <v>408</v>
      </c>
      <c r="B90" s="336" t="str">
        <f>IF(Start!$C$15="x",('H-Effluent'!B90),"---")</f>
        <v>---</v>
      </c>
      <c r="C90" s="337" t="str">
        <f>IF(Start!$C$16="x",'H-Runoff'!B90,"---")</f>
        <v>---</v>
      </c>
      <c r="D90" s="338" t="str">
        <f>IF(Start!$C$16="x",'H-Runoff'!C90,"---")</f>
        <v>---</v>
      </c>
      <c r="E90" s="868" t="str">
        <f>IF(Start!$C$17="x",'H-Leachate'!B90,"---")</f>
        <v/>
      </c>
      <c r="F90" s="340" t="str">
        <f>IF(Start!$C$18="x",('H-Volatilization'!B90),"---")</f>
        <v/>
      </c>
      <c r="G90" s="341" t="str">
        <f>IF(Start!$C$18="x",('H-Volatilization'!C90),"---")</f>
        <v/>
      </c>
      <c r="H90" s="341" t="str">
        <f>IF(Start!$C$18="x",('H-Volatilization'!D90),"---")</f>
        <v/>
      </c>
      <c r="I90" s="342" t="str">
        <f>IF(Start!$C$18="x",('H-Volatilization'!E90),"---")</f>
        <v/>
      </c>
      <c r="J90" s="339" t="str">
        <f>IF(Start!$C$19="x",'H-Plant &amp; Animal'!B90,"---")</f>
        <v>---</v>
      </c>
      <c r="K90" s="343" t="str">
        <f>'H-Effluent'!Q90</f>
        <v>Not Req.</v>
      </c>
      <c r="L90" s="286" t="str">
        <f>'H-Runoff'!T90</f>
        <v>Not Req.</v>
      </c>
      <c r="M90" s="344" t="str">
        <f>'H-Runoff'!U90</f>
        <v>Not Req.</v>
      </c>
      <c r="N90" s="343" t="str">
        <f>'H-Leachate'!O90</f>
        <v/>
      </c>
      <c r="O90" s="283" t="str">
        <f>'H-Volatilization'!AV90</f>
        <v/>
      </c>
      <c r="P90" s="284" t="str">
        <f>'H-Volatilization'!AW90</f>
        <v/>
      </c>
      <c r="Q90" s="284" t="str">
        <f>'H-Volatilization'!AX90</f>
        <v/>
      </c>
      <c r="R90" s="285" t="str">
        <f>'H-Volatilization'!AY90</f>
        <v/>
      </c>
      <c r="S90" s="462"/>
      <c r="T90" s="345" t="str">
        <f>'H-Plant &amp; Animal'!L90</f>
        <v>Not Req.</v>
      </c>
      <c r="U90" s="346" t="str">
        <f>'H-Plant &amp; Animal'!M90</f>
        <v>Not Req.</v>
      </c>
      <c r="V90" s="794" t="str">
        <f>'H-Effluent'!O90</f>
        <v>---</v>
      </c>
      <c r="W90" s="797" t="str">
        <f>'H-Runoff'!Q90</f>
        <v>---</v>
      </c>
      <c r="X90" s="799" t="str">
        <f>'H-Runoff'!S90</f>
        <v>---</v>
      </c>
      <c r="Y90" s="794" t="str">
        <f>'H-Leachate'!N90</f>
        <v>NA</v>
      </c>
      <c r="Z90" s="797" t="str">
        <f>'H-Volatilization'!AD90</f>
        <v>NA</v>
      </c>
      <c r="AA90" s="798" t="str">
        <f>'H-Volatilization'!AF90</f>
        <v>NA</v>
      </c>
      <c r="AB90" s="798" t="str">
        <f>'H-Volatilization'!AO90</f>
        <v>NA</v>
      </c>
      <c r="AC90" s="799" t="str">
        <f>'H-Volatilization'!AU90</f>
        <v>NA</v>
      </c>
    </row>
    <row r="91" spans="1:29" x14ac:dyDescent="0.25">
      <c r="A91" s="56" t="s">
        <v>409</v>
      </c>
      <c r="B91" s="336" t="str">
        <f>IF(Start!$C$15="x",('H-Effluent'!B91),"---")</f>
        <v>---</v>
      </c>
      <c r="C91" s="337" t="str">
        <f>IF(Start!$C$16="x",'H-Runoff'!B91,"---")</f>
        <v>---</v>
      </c>
      <c r="D91" s="338" t="str">
        <f>IF(Start!$C$16="x",'H-Runoff'!C91,"---")</f>
        <v>---</v>
      </c>
      <c r="E91" s="868" t="str">
        <f>IF(Start!$C$17="x",'H-Leachate'!B91,"---")</f>
        <v/>
      </c>
      <c r="F91" s="340" t="str">
        <f>IF(Start!$C$18="x",('H-Volatilization'!B91),"---")</f>
        <v/>
      </c>
      <c r="G91" s="341" t="str">
        <f>IF(Start!$C$18="x",('H-Volatilization'!C91),"---")</f>
        <v/>
      </c>
      <c r="H91" s="341" t="str">
        <f>IF(Start!$C$18="x",('H-Volatilization'!D91),"---")</f>
        <v/>
      </c>
      <c r="I91" s="342" t="str">
        <f>IF(Start!$C$18="x",('H-Volatilization'!E91),"---")</f>
        <v/>
      </c>
      <c r="J91" s="339" t="str">
        <f>IF(Start!$C$19="x",'H-Plant &amp; Animal'!B91,"---")</f>
        <v>---</v>
      </c>
      <c r="K91" s="343" t="str">
        <f>'H-Effluent'!Q91</f>
        <v>Not Req.</v>
      </c>
      <c r="L91" s="286" t="str">
        <f>'H-Runoff'!T91</f>
        <v>Not Req.</v>
      </c>
      <c r="M91" s="344" t="str">
        <f>'H-Runoff'!U91</f>
        <v>Not Req.</v>
      </c>
      <c r="N91" s="343" t="str">
        <f>'H-Leachate'!O91</f>
        <v/>
      </c>
      <c r="O91" s="283" t="str">
        <f>'H-Volatilization'!AV91</f>
        <v/>
      </c>
      <c r="P91" s="284" t="str">
        <f>'H-Volatilization'!AW91</f>
        <v/>
      </c>
      <c r="Q91" s="284" t="str">
        <f>'H-Volatilization'!AX91</f>
        <v/>
      </c>
      <c r="R91" s="285" t="str">
        <f>'H-Volatilization'!AY91</f>
        <v/>
      </c>
      <c r="S91" s="462"/>
      <c r="T91" s="345" t="str">
        <f>'H-Plant &amp; Animal'!L91</f>
        <v>Not Req.</v>
      </c>
      <c r="U91" s="346" t="str">
        <f>'H-Plant &amp; Animal'!M91</f>
        <v>Not Req.</v>
      </c>
      <c r="V91" s="794" t="str">
        <f>'H-Effluent'!O91</f>
        <v>---</v>
      </c>
      <c r="W91" s="797" t="str">
        <f>'H-Runoff'!Q91</f>
        <v>---</v>
      </c>
      <c r="X91" s="799" t="str">
        <f>'H-Runoff'!S91</f>
        <v>---</v>
      </c>
      <c r="Y91" s="794" t="str">
        <f>'H-Leachate'!N91</f>
        <v>NA</v>
      </c>
      <c r="Z91" s="797" t="str">
        <f>'H-Volatilization'!AD91</f>
        <v>NA</v>
      </c>
      <c r="AA91" s="798" t="str">
        <f>'H-Volatilization'!AF91</f>
        <v>NA</v>
      </c>
      <c r="AB91" s="798" t="str">
        <f>'H-Volatilization'!AO91</f>
        <v>NA</v>
      </c>
      <c r="AC91" s="799" t="str">
        <f>'H-Volatilization'!AU91</f>
        <v>NA</v>
      </c>
    </row>
    <row r="92" spans="1:29" x14ac:dyDescent="0.25">
      <c r="A92" s="56" t="s">
        <v>410</v>
      </c>
      <c r="B92" s="336" t="str">
        <f>IF(Start!$C$15="x",('H-Effluent'!B92),"---")</f>
        <v>---</v>
      </c>
      <c r="C92" s="337" t="str">
        <f>IF(Start!$C$16="x",'H-Runoff'!B92,"---")</f>
        <v>---</v>
      </c>
      <c r="D92" s="338" t="str">
        <f>IF(Start!$C$16="x",'H-Runoff'!C92,"---")</f>
        <v>---</v>
      </c>
      <c r="E92" s="868" t="str">
        <f>IF(Start!$C$17="x",'H-Leachate'!B92,"---")</f>
        <v/>
      </c>
      <c r="F92" s="340" t="str">
        <f>IF(Start!$C$18="x",('H-Volatilization'!B92),"---")</f>
        <v/>
      </c>
      <c r="G92" s="341" t="str">
        <f>IF(Start!$C$18="x",('H-Volatilization'!C92),"---")</f>
        <v/>
      </c>
      <c r="H92" s="341" t="str">
        <f>IF(Start!$C$18="x",('H-Volatilization'!D92),"---")</f>
        <v/>
      </c>
      <c r="I92" s="342" t="str">
        <f>IF(Start!$C$18="x",('H-Volatilization'!E92),"---")</f>
        <v/>
      </c>
      <c r="J92" s="339" t="str">
        <f>IF(Start!$C$19="x",'H-Plant &amp; Animal'!B92,"---")</f>
        <v>---</v>
      </c>
      <c r="K92" s="343" t="str">
        <f>'H-Effluent'!Q92</f>
        <v>Not Req.</v>
      </c>
      <c r="L92" s="286" t="str">
        <f>'H-Runoff'!T92</f>
        <v>Not Req.</v>
      </c>
      <c r="M92" s="344" t="str">
        <f>'H-Runoff'!U92</f>
        <v>Not Req.</v>
      </c>
      <c r="N92" s="343" t="str">
        <f>'H-Leachate'!O92</f>
        <v/>
      </c>
      <c r="O92" s="283" t="str">
        <f>'H-Volatilization'!AV92</f>
        <v/>
      </c>
      <c r="P92" s="284" t="str">
        <f>'H-Volatilization'!AW92</f>
        <v/>
      </c>
      <c r="Q92" s="284" t="str">
        <f>'H-Volatilization'!AX92</f>
        <v/>
      </c>
      <c r="R92" s="285" t="str">
        <f>'H-Volatilization'!AY92</f>
        <v/>
      </c>
      <c r="S92" s="462"/>
      <c r="T92" s="345" t="str">
        <f>'H-Plant &amp; Animal'!L92</f>
        <v>Not Req.</v>
      </c>
      <c r="U92" s="346" t="str">
        <f>'H-Plant &amp; Animal'!M92</f>
        <v>Not Req.</v>
      </c>
      <c r="V92" s="794" t="str">
        <f>'H-Effluent'!O92</f>
        <v>---</v>
      </c>
      <c r="W92" s="797" t="str">
        <f>'H-Runoff'!Q92</f>
        <v>---</v>
      </c>
      <c r="X92" s="799" t="str">
        <f>'H-Runoff'!S92</f>
        <v>---</v>
      </c>
      <c r="Y92" s="794" t="str">
        <f>'H-Leachate'!N92</f>
        <v>NA</v>
      </c>
      <c r="Z92" s="797" t="str">
        <f>'H-Volatilization'!AD92</f>
        <v>NA</v>
      </c>
      <c r="AA92" s="798" t="str">
        <f>'H-Volatilization'!AF92</f>
        <v>NA</v>
      </c>
      <c r="AB92" s="798" t="str">
        <f>'H-Volatilization'!AO92</f>
        <v>NA</v>
      </c>
      <c r="AC92" s="799" t="str">
        <f>'H-Volatilization'!AU92</f>
        <v>NA</v>
      </c>
    </row>
    <row r="93" spans="1:29" x14ac:dyDescent="0.25">
      <c r="A93" s="56" t="s">
        <v>411</v>
      </c>
      <c r="B93" s="336" t="str">
        <f>IF(Start!$C$15="x",('H-Effluent'!B93),"---")</f>
        <v>---</v>
      </c>
      <c r="C93" s="337" t="str">
        <f>IF(Start!$C$16="x",'H-Runoff'!B93,"---")</f>
        <v>---</v>
      </c>
      <c r="D93" s="338" t="str">
        <f>IF(Start!$C$16="x",'H-Runoff'!C93,"---")</f>
        <v>---</v>
      </c>
      <c r="E93" s="868" t="str">
        <f>IF(Start!$C$17="x",'H-Leachate'!B93,"---")</f>
        <v/>
      </c>
      <c r="F93" s="340" t="str">
        <f>IF(Start!$C$18="x",('H-Volatilization'!B93),"---")</f>
        <v/>
      </c>
      <c r="G93" s="341" t="str">
        <f>IF(Start!$C$18="x",('H-Volatilization'!C93),"---")</f>
        <v/>
      </c>
      <c r="H93" s="341" t="str">
        <f>IF(Start!$C$18="x",('H-Volatilization'!D93),"---")</f>
        <v/>
      </c>
      <c r="I93" s="342" t="str">
        <f>IF(Start!$C$18="x",('H-Volatilization'!E93),"---")</f>
        <v/>
      </c>
      <c r="J93" s="339" t="str">
        <f>IF(Start!$C$19="x",'H-Plant &amp; Animal'!B93,"---")</f>
        <v>---</v>
      </c>
      <c r="K93" s="343" t="str">
        <f>'H-Effluent'!Q93</f>
        <v>Not Req.</v>
      </c>
      <c r="L93" s="286" t="str">
        <f>'H-Runoff'!T93</f>
        <v>Not Req.</v>
      </c>
      <c r="M93" s="344" t="str">
        <f>'H-Runoff'!U93</f>
        <v>Not Req.</v>
      </c>
      <c r="N93" s="343" t="str">
        <f>'H-Leachate'!O93</f>
        <v/>
      </c>
      <c r="O93" s="283" t="str">
        <f>'H-Volatilization'!AV93</f>
        <v/>
      </c>
      <c r="P93" s="284" t="str">
        <f>'H-Volatilization'!AW93</f>
        <v/>
      </c>
      <c r="Q93" s="284" t="str">
        <f>'H-Volatilization'!AX93</f>
        <v/>
      </c>
      <c r="R93" s="285" t="str">
        <f>'H-Volatilization'!AY93</f>
        <v/>
      </c>
      <c r="S93" s="462"/>
      <c r="T93" s="345" t="str">
        <f>'H-Plant &amp; Animal'!L93</f>
        <v>Not Req.</v>
      </c>
      <c r="U93" s="346" t="str">
        <f>'H-Plant &amp; Animal'!M93</f>
        <v>Not Req.</v>
      </c>
      <c r="V93" s="794" t="str">
        <f>'H-Effluent'!O93</f>
        <v>---</v>
      </c>
      <c r="W93" s="797" t="str">
        <f>'H-Runoff'!Q93</f>
        <v>---</v>
      </c>
      <c r="X93" s="799" t="str">
        <f>'H-Runoff'!S93</f>
        <v>---</v>
      </c>
      <c r="Y93" s="794" t="str">
        <f>'H-Leachate'!N93</f>
        <v>NA</v>
      </c>
      <c r="Z93" s="797" t="str">
        <f>'H-Volatilization'!AD93</f>
        <v>NA</v>
      </c>
      <c r="AA93" s="798" t="str">
        <f>'H-Volatilization'!AF93</f>
        <v>NA</v>
      </c>
      <c r="AB93" s="798" t="str">
        <f>'H-Volatilization'!AO93</f>
        <v>NA</v>
      </c>
      <c r="AC93" s="799" t="str">
        <f>'H-Volatilization'!AU93</f>
        <v>NA</v>
      </c>
    </row>
    <row r="94" spans="1:29" x14ac:dyDescent="0.25">
      <c r="A94" s="56" t="s">
        <v>412</v>
      </c>
      <c r="B94" s="336" t="str">
        <f>IF(Start!$C$15="x",('H-Effluent'!B94),"---")</f>
        <v>---</v>
      </c>
      <c r="C94" s="337" t="str">
        <f>IF(Start!$C$16="x",'H-Runoff'!B94,"---")</f>
        <v>---</v>
      </c>
      <c r="D94" s="338" t="str">
        <f>IF(Start!$C$16="x",'H-Runoff'!C94,"---")</f>
        <v>---</v>
      </c>
      <c r="E94" s="868" t="str">
        <f>IF(Start!$C$17="x",'H-Leachate'!B94,"---")</f>
        <v/>
      </c>
      <c r="F94" s="340" t="str">
        <f>IF(Start!$C$18="x",('H-Volatilization'!B94),"---")</f>
        <v/>
      </c>
      <c r="G94" s="341" t="str">
        <f>IF(Start!$C$18="x",('H-Volatilization'!C94),"---")</f>
        <v/>
      </c>
      <c r="H94" s="341" t="str">
        <f>IF(Start!$C$18="x",('H-Volatilization'!D94),"---")</f>
        <v/>
      </c>
      <c r="I94" s="342" t="str">
        <f>IF(Start!$C$18="x",('H-Volatilization'!E94),"---")</f>
        <v/>
      </c>
      <c r="J94" s="339" t="str">
        <f>IF(Start!$C$19="x",'H-Plant &amp; Animal'!B94,"---")</f>
        <v>---</v>
      </c>
      <c r="K94" s="343" t="str">
        <f>'H-Effluent'!Q94</f>
        <v>Not Req.</v>
      </c>
      <c r="L94" s="286" t="str">
        <f>'H-Runoff'!T94</f>
        <v>Not Req.</v>
      </c>
      <c r="M94" s="344" t="str">
        <f>'H-Runoff'!U94</f>
        <v>Not Req.</v>
      </c>
      <c r="N94" s="343" t="str">
        <f>'H-Leachate'!O94</f>
        <v/>
      </c>
      <c r="O94" s="283" t="str">
        <f>'H-Volatilization'!AV94</f>
        <v/>
      </c>
      <c r="P94" s="284" t="str">
        <f>'H-Volatilization'!AW94</f>
        <v/>
      </c>
      <c r="Q94" s="284" t="str">
        <f>'H-Volatilization'!AX94</f>
        <v/>
      </c>
      <c r="R94" s="285" t="str">
        <f>'H-Volatilization'!AY94</f>
        <v/>
      </c>
      <c r="S94" s="462"/>
      <c r="T94" s="345" t="str">
        <f>'H-Plant &amp; Animal'!L94</f>
        <v>Not Req.</v>
      </c>
      <c r="U94" s="346" t="str">
        <f>'H-Plant &amp; Animal'!M94</f>
        <v>Not Req.</v>
      </c>
      <c r="V94" s="794" t="str">
        <f>'H-Effluent'!O94</f>
        <v>---</v>
      </c>
      <c r="W94" s="797" t="str">
        <f>'H-Runoff'!Q94</f>
        <v>---</v>
      </c>
      <c r="X94" s="799" t="str">
        <f>'H-Runoff'!S94</f>
        <v>---</v>
      </c>
      <c r="Y94" s="794" t="str">
        <f>'H-Leachate'!N94</f>
        <v>NA</v>
      </c>
      <c r="Z94" s="797" t="str">
        <f>'H-Volatilization'!AD94</f>
        <v>NA</v>
      </c>
      <c r="AA94" s="798" t="str">
        <f>'H-Volatilization'!AF94</f>
        <v>NA</v>
      </c>
      <c r="AB94" s="798" t="str">
        <f>'H-Volatilization'!AO94</f>
        <v>NA</v>
      </c>
      <c r="AC94" s="799" t="str">
        <f>'H-Volatilization'!AU94</f>
        <v>NA</v>
      </c>
    </row>
    <row r="95" spans="1:29" x14ac:dyDescent="0.25">
      <c r="A95" s="56" t="s">
        <v>413</v>
      </c>
      <c r="B95" s="336" t="str">
        <f>IF(Start!$C$15="x",('H-Effluent'!B95),"---")</f>
        <v>---</v>
      </c>
      <c r="C95" s="337" t="str">
        <f>IF(Start!$C$16="x",'H-Runoff'!B95,"---")</f>
        <v>---</v>
      </c>
      <c r="D95" s="338" t="str">
        <f>IF(Start!$C$16="x",'H-Runoff'!C95,"---")</f>
        <v>---</v>
      </c>
      <c r="E95" s="868" t="str">
        <f>IF(Start!$C$17="x",'H-Leachate'!B95,"---")</f>
        <v/>
      </c>
      <c r="F95" s="340" t="str">
        <f>IF(Start!$C$18="x",('H-Volatilization'!B95),"---")</f>
        <v/>
      </c>
      <c r="G95" s="341" t="str">
        <f>IF(Start!$C$18="x",('H-Volatilization'!C95),"---")</f>
        <v/>
      </c>
      <c r="H95" s="341" t="str">
        <f>IF(Start!$C$18="x",('H-Volatilization'!D95),"---")</f>
        <v/>
      </c>
      <c r="I95" s="342" t="str">
        <f>IF(Start!$C$18="x",('H-Volatilization'!E95),"---")</f>
        <v/>
      </c>
      <c r="J95" s="339" t="str">
        <f>IF(Start!$C$19="x",'H-Plant &amp; Animal'!B95,"---")</f>
        <v>---</v>
      </c>
      <c r="K95" s="343" t="str">
        <f>'H-Effluent'!Q95</f>
        <v>Not Req.</v>
      </c>
      <c r="L95" s="286" t="str">
        <f>'H-Runoff'!T95</f>
        <v>Not Req.</v>
      </c>
      <c r="M95" s="344" t="str">
        <f>'H-Runoff'!U95</f>
        <v>Not Req.</v>
      </c>
      <c r="N95" s="343" t="str">
        <f>'H-Leachate'!O95</f>
        <v/>
      </c>
      <c r="O95" s="283" t="str">
        <f>'H-Volatilization'!AV95</f>
        <v/>
      </c>
      <c r="P95" s="284" t="str">
        <f>'H-Volatilization'!AW95</f>
        <v/>
      </c>
      <c r="Q95" s="284" t="str">
        <f>'H-Volatilization'!AX95</f>
        <v/>
      </c>
      <c r="R95" s="285" t="str">
        <f>'H-Volatilization'!AY95</f>
        <v/>
      </c>
      <c r="S95" s="462"/>
      <c r="T95" s="345" t="str">
        <f>'H-Plant &amp; Animal'!L95</f>
        <v>Not Req.</v>
      </c>
      <c r="U95" s="346" t="str">
        <f>'H-Plant &amp; Animal'!M95</f>
        <v>Not Req.</v>
      </c>
      <c r="V95" s="794" t="str">
        <f>'H-Effluent'!O95</f>
        <v>---</v>
      </c>
      <c r="W95" s="797" t="str">
        <f>'H-Runoff'!Q95</f>
        <v>---</v>
      </c>
      <c r="X95" s="799" t="str">
        <f>'H-Runoff'!S95</f>
        <v>---</v>
      </c>
      <c r="Y95" s="794" t="str">
        <f>'H-Leachate'!N95</f>
        <v>NA</v>
      </c>
      <c r="Z95" s="797" t="str">
        <f>'H-Volatilization'!AD95</f>
        <v>NA</v>
      </c>
      <c r="AA95" s="798" t="str">
        <f>'H-Volatilization'!AF95</f>
        <v>NA</v>
      </c>
      <c r="AB95" s="798" t="str">
        <f>'H-Volatilization'!AO95</f>
        <v>NA</v>
      </c>
      <c r="AC95" s="799" t="str">
        <f>'H-Volatilization'!AU95</f>
        <v>NA</v>
      </c>
    </row>
    <row r="96" spans="1:29" x14ac:dyDescent="0.25">
      <c r="A96" s="56" t="s">
        <v>666</v>
      </c>
      <c r="B96" s="336" t="str">
        <f>IF(Start!$C$15="x",('H-Effluent'!B96),"---")</f>
        <v>---</v>
      </c>
      <c r="C96" s="337" t="str">
        <f>IF(Start!$C$16="x",'H-Runoff'!B96,"---")</f>
        <v>---</v>
      </c>
      <c r="D96" s="338" t="str">
        <f>IF(Start!$C$16="x",'H-Runoff'!C96,"---")</f>
        <v>---</v>
      </c>
      <c r="E96" s="868" t="str">
        <f>IF(Start!$C$17="x",'H-Leachate'!B96,"---")</f>
        <v/>
      </c>
      <c r="F96" s="340" t="str">
        <f>IF(Start!$C$18="x",('H-Volatilization'!B96),"---")</f>
        <v/>
      </c>
      <c r="G96" s="341" t="str">
        <f>IF(Start!$C$18="x",('H-Volatilization'!C96),"---")</f>
        <v/>
      </c>
      <c r="H96" s="341" t="str">
        <f>IF(Start!$C$18="x",('H-Volatilization'!D96),"---")</f>
        <v/>
      </c>
      <c r="I96" s="342" t="str">
        <f>IF(Start!$C$18="x",('H-Volatilization'!E96),"---")</f>
        <v/>
      </c>
      <c r="J96" s="339" t="str">
        <f>IF(Start!$C$19="x",'H-Plant &amp; Animal'!B96,"---")</f>
        <v>---</v>
      </c>
      <c r="K96" s="343" t="str">
        <f>'H-Effluent'!Q96</f>
        <v>Not Req.</v>
      </c>
      <c r="L96" s="286" t="str">
        <f>'H-Runoff'!T96</f>
        <v>Not Req.</v>
      </c>
      <c r="M96" s="344" t="str">
        <f>'H-Runoff'!U96</f>
        <v>Not Req.</v>
      </c>
      <c r="N96" s="343" t="str">
        <f>'H-Leachate'!O96</f>
        <v/>
      </c>
      <c r="O96" s="283" t="str">
        <f>'H-Volatilization'!AV96</f>
        <v/>
      </c>
      <c r="P96" s="284" t="str">
        <f>'H-Volatilization'!AW96</f>
        <v/>
      </c>
      <c r="Q96" s="284" t="str">
        <f>'H-Volatilization'!AX96</f>
        <v/>
      </c>
      <c r="R96" s="285" t="str">
        <f>'H-Volatilization'!AY96</f>
        <v/>
      </c>
      <c r="S96" s="462"/>
      <c r="T96" s="345" t="str">
        <f>'H-Plant &amp; Animal'!L96</f>
        <v>Not Req.</v>
      </c>
      <c r="U96" s="346" t="str">
        <f>'H-Plant &amp; Animal'!M96</f>
        <v>Not Req.</v>
      </c>
      <c r="V96" s="794" t="str">
        <f>'H-Effluent'!O96</f>
        <v>---</v>
      </c>
      <c r="W96" s="797" t="str">
        <f>'H-Runoff'!Q96</f>
        <v>---</v>
      </c>
      <c r="X96" s="799" t="str">
        <f>'H-Runoff'!S96</f>
        <v>---</v>
      </c>
      <c r="Y96" s="794" t="str">
        <f>'H-Leachate'!N96</f>
        <v>NA</v>
      </c>
      <c r="Z96" s="797" t="str">
        <f>'H-Volatilization'!AD96</f>
        <v>NA</v>
      </c>
      <c r="AA96" s="798" t="str">
        <f>'H-Volatilization'!AF96</f>
        <v>NA</v>
      </c>
      <c r="AB96" s="798" t="str">
        <f>'H-Volatilization'!AO96</f>
        <v>NA</v>
      </c>
      <c r="AC96" s="799" t="str">
        <f>'H-Volatilization'!AU96</f>
        <v>NA</v>
      </c>
    </row>
    <row r="97" spans="1:29" x14ac:dyDescent="0.25">
      <c r="A97" s="56" t="s">
        <v>415</v>
      </c>
      <c r="B97" s="336" t="str">
        <f>IF(Start!$C$15="x",('H-Effluent'!B97),"---")</f>
        <v>---</v>
      </c>
      <c r="C97" s="337" t="str">
        <f>IF(Start!$C$16="x",'H-Runoff'!B97,"---")</f>
        <v>---</v>
      </c>
      <c r="D97" s="338" t="str">
        <f>IF(Start!$C$16="x",'H-Runoff'!C97,"---")</f>
        <v>---</v>
      </c>
      <c r="E97" s="868" t="str">
        <f>IF(Start!$C$17="x",'H-Leachate'!B97,"---")</f>
        <v/>
      </c>
      <c r="F97" s="340" t="str">
        <f>IF(Start!$C$18="x",('H-Volatilization'!B97),"---")</f>
        <v/>
      </c>
      <c r="G97" s="341" t="str">
        <f>IF(Start!$C$18="x",('H-Volatilization'!C97),"---")</f>
        <v/>
      </c>
      <c r="H97" s="341" t="str">
        <f>IF(Start!$C$18="x",('H-Volatilization'!D97),"---")</f>
        <v/>
      </c>
      <c r="I97" s="342" t="str">
        <f>IF(Start!$C$18="x",('H-Volatilization'!E97),"---")</f>
        <v/>
      </c>
      <c r="J97" s="339" t="str">
        <f>IF(Start!$C$19="x",'H-Plant &amp; Animal'!B97,"---")</f>
        <v>---</v>
      </c>
      <c r="K97" s="343" t="str">
        <f>'H-Effluent'!Q97</f>
        <v>Not Req.</v>
      </c>
      <c r="L97" s="286" t="str">
        <f>'H-Runoff'!T97</f>
        <v>Not Req.</v>
      </c>
      <c r="M97" s="344" t="str">
        <f>'H-Runoff'!U97</f>
        <v>Not Req.</v>
      </c>
      <c r="N97" s="343" t="str">
        <f>'H-Leachate'!O97</f>
        <v/>
      </c>
      <c r="O97" s="283" t="str">
        <f>'H-Volatilization'!AV97</f>
        <v/>
      </c>
      <c r="P97" s="284" t="str">
        <f>'H-Volatilization'!AW97</f>
        <v/>
      </c>
      <c r="Q97" s="284" t="str">
        <f>'H-Volatilization'!AX97</f>
        <v/>
      </c>
      <c r="R97" s="285" t="str">
        <f>'H-Volatilization'!AY97</f>
        <v/>
      </c>
      <c r="S97" s="462"/>
      <c r="T97" s="345" t="str">
        <f>'H-Plant &amp; Animal'!L97</f>
        <v>Not Req.</v>
      </c>
      <c r="U97" s="346" t="str">
        <f>'H-Plant &amp; Animal'!M97</f>
        <v>Not Req.</v>
      </c>
      <c r="V97" s="794" t="str">
        <f>'H-Effluent'!O97</f>
        <v>---</v>
      </c>
      <c r="W97" s="797" t="str">
        <f>'H-Runoff'!Q97</f>
        <v>---</v>
      </c>
      <c r="X97" s="799" t="str">
        <f>'H-Runoff'!S97</f>
        <v>---</v>
      </c>
      <c r="Y97" s="794" t="str">
        <f>'H-Leachate'!N97</f>
        <v>NA</v>
      </c>
      <c r="Z97" s="797" t="str">
        <f>'H-Volatilization'!AD97</f>
        <v>NA</v>
      </c>
      <c r="AA97" s="798" t="str">
        <f>'H-Volatilization'!AF97</f>
        <v>NA</v>
      </c>
      <c r="AB97" s="798" t="str">
        <f>'H-Volatilization'!AO97</f>
        <v>NA</v>
      </c>
      <c r="AC97" s="799" t="str">
        <f>'H-Volatilization'!AU97</f>
        <v>NA</v>
      </c>
    </row>
    <row r="98" spans="1:29" x14ac:dyDescent="0.25">
      <c r="A98" s="60" t="s">
        <v>416</v>
      </c>
      <c r="B98" s="336" t="str">
        <f>IF(Start!$C$15="x",('H-Effluent'!B98),"---")</f>
        <v>---</v>
      </c>
      <c r="C98" s="337" t="str">
        <f>IF(Start!$C$16="x",'H-Runoff'!B98,"---")</f>
        <v>---</v>
      </c>
      <c r="D98" s="338" t="str">
        <f>IF(Start!$C$16="x",'H-Runoff'!C98,"---")</f>
        <v>---</v>
      </c>
      <c r="E98" s="868" t="str">
        <f>IF(Start!$C$17="x",'H-Leachate'!B98,"---")</f>
        <v/>
      </c>
      <c r="F98" s="340" t="str">
        <f>IF(Start!$C$18="x",('H-Volatilization'!B98),"---")</f>
        <v/>
      </c>
      <c r="G98" s="341" t="str">
        <f>IF(Start!$C$18="x",('H-Volatilization'!C98),"---")</f>
        <v/>
      </c>
      <c r="H98" s="341" t="str">
        <f>IF(Start!$C$18="x",('H-Volatilization'!D98),"---")</f>
        <v/>
      </c>
      <c r="I98" s="342" t="str">
        <f>IF(Start!$C$18="x",('H-Volatilization'!E98),"---")</f>
        <v/>
      </c>
      <c r="J98" s="339" t="str">
        <f>IF(Start!$C$19="x",'H-Plant &amp; Animal'!B98,"---")</f>
        <v>---</v>
      </c>
      <c r="K98" s="343" t="str">
        <f>'H-Effluent'!Q98</f>
        <v>Not Req.</v>
      </c>
      <c r="L98" s="286" t="str">
        <f>'H-Runoff'!T98</f>
        <v>Not Req.</v>
      </c>
      <c r="M98" s="344" t="str">
        <f>'H-Runoff'!U98</f>
        <v>Not Req.</v>
      </c>
      <c r="N98" s="343" t="str">
        <f>'H-Leachate'!O98</f>
        <v/>
      </c>
      <c r="O98" s="283" t="str">
        <f>'H-Volatilization'!AV98</f>
        <v/>
      </c>
      <c r="P98" s="284" t="str">
        <f>'H-Volatilization'!AW98</f>
        <v/>
      </c>
      <c r="Q98" s="284" t="str">
        <f>'H-Volatilization'!AX98</f>
        <v/>
      </c>
      <c r="R98" s="285" t="str">
        <f>'H-Volatilization'!AY98</f>
        <v/>
      </c>
      <c r="S98" s="462"/>
      <c r="T98" s="345" t="str">
        <f>'H-Plant &amp; Animal'!L98</f>
        <v>Not Req.</v>
      </c>
      <c r="U98" s="346" t="str">
        <f>'H-Plant &amp; Animal'!M98</f>
        <v>Not Req.</v>
      </c>
      <c r="V98" s="794" t="str">
        <f>'H-Effluent'!O98</f>
        <v>---</v>
      </c>
      <c r="W98" s="797" t="str">
        <f>'H-Runoff'!Q98</f>
        <v>---</v>
      </c>
      <c r="X98" s="799" t="str">
        <f>'H-Runoff'!S98</f>
        <v>---</v>
      </c>
      <c r="Y98" s="794" t="str">
        <f>'H-Leachate'!N98</f>
        <v>NA</v>
      </c>
      <c r="Z98" s="797" t="str">
        <f>'H-Volatilization'!AD98</f>
        <v>NA</v>
      </c>
      <c r="AA98" s="798" t="str">
        <f>'H-Volatilization'!AF98</f>
        <v>NA</v>
      </c>
      <c r="AB98" s="798" t="str">
        <f>'H-Volatilization'!AO98</f>
        <v>NA</v>
      </c>
      <c r="AC98" s="799" t="str">
        <f>'H-Volatilization'!AU98</f>
        <v>NA</v>
      </c>
    </row>
    <row r="99" spans="1:29" x14ac:dyDescent="0.25">
      <c r="A99" s="60" t="s">
        <v>417</v>
      </c>
      <c r="B99" s="336" t="str">
        <f>IF(Start!$C$15="x",('H-Effluent'!B99),"---")</f>
        <v>---</v>
      </c>
      <c r="C99" s="337" t="str">
        <f>IF(Start!$C$16="x",'H-Runoff'!B99,"---")</f>
        <v>---</v>
      </c>
      <c r="D99" s="338" t="str">
        <f>IF(Start!$C$16="x",'H-Runoff'!C99,"---")</f>
        <v>---</v>
      </c>
      <c r="E99" s="868" t="str">
        <f>IF(Start!$C$17="x",'H-Leachate'!B99,"---")</f>
        <v/>
      </c>
      <c r="F99" s="340" t="str">
        <f>IF(Start!$C$18="x",('H-Volatilization'!B99),"---")</f>
        <v/>
      </c>
      <c r="G99" s="341" t="str">
        <f>IF(Start!$C$18="x",('H-Volatilization'!C99),"---")</f>
        <v/>
      </c>
      <c r="H99" s="341" t="str">
        <f>IF(Start!$C$18="x",('H-Volatilization'!D99),"---")</f>
        <v/>
      </c>
      <c r="I99" s="342" t="str">
        <f>IF(Start!$C$18="x",('H-Volatilization'!E99),"---")</f>
        <v/>
      </c>
      <c r="J99" s="339" t="str">
        <f>IF(Start!$C$19="x",'H-Plant &amp; Animal'!B99,"---")</f>
        <v>---</v>
      </c>
      <c r="K99" s="343" t="str">
        <f>'H-Effluent'!Q99</f>
        <v>Not Req.</v>
      </c>
      <c r="L99" s="286" t="str">
        <f>'H-Runoff'!T99</f>
        <v>Not Req.</v>
      </c>
      <c r="M99" s="344" t="str">
        <f>'H-Runoff'!U99</f>
        <v>Not Req.</v>
      </c>
      <c r="N99" s="343" t="str">
        <f>'H-Leachate'!O99</f>
        <v/>
      </c>
      <c r="O99" s="283" t="str">
        <f>'H-Volatilization'!AV99</f>
        <v/>
      </c>
      <c r="P99" s="284" t="str">
        <f>'H-Volatilization'!AW99</f>
        <v/>
      </c>
      <c r="Q99" s="284" t="str">
        <f>'H-Volatilization'!AX99</f>
        <v/>
      </c>
      <c r="R99" s="285" t="str">
        <f>'H-Volatilization'!AY99</f>
        <v/>
      </c>
      <c r="S99" s="462"/>
      <c r="T99" s="345" t="str">
        <f>'H-Plant &amp; Animal'!L99</f>
        <v>Not Req.</v>
      </c>
      <c r="U99" s="346" t="str">
        <f>'H-Plant &amp; Animal'!M99</f>
        <v>Not Req.</v>
      </c>
      <c r="V99" s="794" t="str">
        <f>'H-Effluent'!O99</f>
        <v>---</v>
      </c>
      <c r="W99" s="797" t="str">
        <f>'H-Runoff'!Q99</f>
        <v>---</v>
      </c>
      <c r="X99" s="799" t="str">
        <f>'H-Runoff'!S99</f>
        <v>---</v>
      </c>
      <c r="Y99" s="794" t="str">
        <f>'H-Leachate'!N99</f>
        <v>NA</v>
      </c>
      <c r="Z99" s="797" t="str">
        <f>'H-Volatilization'!AD99</f>
        <v>NA</v>
      </c>
      <c r="AA99" s="798" t="str">
        <f>'H-Volatilization'!AF99</f>
        <v>NA</v>
      </c>
      <c r="AB99" s="798" t="str">
        <f>'H-Volatilization'!AO99</f>
        <v>NA</v>
      </c>
      <c r="AC99" s="799" t="str">
        <f>'H-Volatilization'!AU99</f>
        <v>NA</v>
      </c>
    </row>
    <row r="100" spans="1:29" x14ac:dyDescent="0.25">
      <c r="A100" s="56" t="s">
        <v>418</v>
      </c>
      <c r="B100" s="336" t="str">
        <f>IF(Start!$C$15="x",('H-Effluent'!B100),"---")</f>
        <v>---</v>
      </c>
      <c r="C100" s="337" t="str">
        <f>IF(Start!$C$16="x",'H-Runoff'!B100,"---")</f>
        <v>---</v>
      </c>
      <c r="D100" s="338" t="str">
        <f>IF(Start!$C$16="x",'H-Runoff'!C100,"---")</f>
        <v>---</v>
      </c>
      <c r="E100" s="868" t="str">
        <f>IF(Start!$C$17="x",'H-Leachate'!B100,"---")</f>
        <v/>
      </c>
      <c r="F100" s="340" t="str">
        <f>IF(Start!$C$18="x",('H-Volatilization'!B100),"---")</f>
        <v/>
      </c>
      <c r="G100" s="341" t="str">
        <f>IF(Start!$C$18="x",('H-Volatilization'!C100),"---")</f>
        <v/>
      </c>
      <c r="H100" s="341" t="str">
        <f>IF(Start!$C$18="x",('H-Volatilization'!D100),"---")</f>
        <v/>
      </c>
      <c r="I100" s="342" t="str">
        <f>IF(Start!$C$18="x",('H-Volatilization'!E100),"---")</f>
        <v/>
      </c>
      <c r="J100" s="339" t="str">
        <f>IF(Start!$C$19="x",'H-Plant &amp; Animal'!B100,"---")</f>
        <v>---</v>
      </c>
      <c r="K100" s="343" t="str">
        <f>'H-Effluent'!Q100</f>
        <v>Not Req.</v>
      </c>
      <c r="L100" s="286" t="str">
        <f>'H-Runoff'!T100</f>
        <v>Not Req.</v>
      </c>
      <c r="M100" s="344" t="str">
        <f>'H-Runoff'!U100</f>
        <v>Not Req.</v>
      </c>
      <c r="N100" s="343" t="str">
        <f>'H-Leachate'!O100</f>
        <v/>
      </c>
      <c r="O100" s="283" t="str">
        <f>'H-Volatilization'!AV100</f>
        <v/>
      </c>
      <c r="P100" s="284" t="str">
        <f>'H-Volatilization'!AW100</f>
        <v/>
      </c>
      <c r="Q100" s="284" t="str">
        <f>'H-Volatilization'!AX100</f>
        <v/>
      </c>
      <c r="R100" s="285" t="str">
        <f>'H-Volatilization'!AY100</f>
        <v/>
      </c>
      <c r="S100" s="462"/>
      <c r="T100" s="345" t="str">
        <f>'H-Plant &amp; Animal'!L100</f>
        <v>Not Req.</v>
      </c>
      <c r="U100" s="346" t="str">
        <f>'H-Plant &amp; Animal'!M100</f>
        <v>Not Req.</v>
      </c>
      <c r="V100" s="794" t="str">
        <f>'H-Effluent'!O100</f>
        <v>---</v>
      </c>
      <c r="W100" s="797" t="str">
        <f>'H-Runoff'!Q100</f>
        <v>---</v>
      </c>
      <c r="X100" s="799" t="str">
        <f>'H-Runoff'!S100</f>
        <v>---</v>
      </c>
      <c r="Y100" s="794" t="str">
        <f>'H-Leachate'!N100</f>
        <v>NA</v>
      </c>
      <c r="Z100" s="797" t="str">
        <f>'H-Volatilization'!AD100</f>
        <v>NA</v>
      </c>
      <c r="AA100" s="798" t="str">
        <f>'H-Volatilization'!AF100</f>
        <v>NA</v>
      </c>
      <c r="AB100" s="798" t="str">
        <f>'H-Volatilization'!AO100</f>
        <v>NA</v>
      </c>
      <c r="AC100" s="799" t="str">
        <f>'H-Volatilization'!AU100</f>
        <v>NA</v>
      </c>
    </row>
    <row r="101" spans="1:29" x14ac:dyDescent="0.25">
      <c r="A101" s="56" t="s">
        <v>419</v>
      </c>
      <c r="B101" s="336" t="str">
        <f>IF(Start!$C$15="x",('H-Effluent'!B101),"---")</f>
        <v>---</v>
      </c>
      <c r="C101" s="337" t="str">
        <f>IF(Start!$C$16="x",'H-Runoff'!B101,"---")</f>
        <v>---</v>
      </c>
      <c r="D101" s="338" t="str">
        <f>IF(Start!$C$16="x",'H-Runoff'!C101,"---")</f>
        <v>---</v>
      </c>
      <c r="E101" s="868" t="str">
        <f>IF(Start!$C$17="x",'H-Leachate'!B101,"---")</f>
        <v/>
      </c>
      <c r="F101" s="340" t="str">
        <f>IF(Start!$C$18="x",('H-Volatilization'!B101),"---")</f>
        <v/>
      </c>
      <c r="G101" s="341" t="str">
        <f>IF(Start!$C$18="x",('H-Volatilization'!C101),"---")</f>
        <v/>
      </c>
      <c r="H101" s="341" t="str">
        <f>IF(Start!$C$18="x",('H-Volatilization'!D101),"---")</f>
        <v/>
      </c>
      <c r="I101" s="342" t="str">
        <f>IF(Start!$C$18="x",('H-Volatilization'!E101),"---")</f>
        <v/>
      </c>
      <c r="J101" s="339" t="str">
        <f>IF(Start!$C$19="x",'H-Plant &amp; Animal'!B101,"---")</f>
        <v>---</v>
      </c>
      <c r="K101" s="343" t="str">
        <f>'H-Effluent'!Q101</f>
        <v>Not Req.</v>
      </c>
      <c r="L101" s="286" t="str">
        <f>'H-Runoff'!T101</f>
        <v>Not Req.</v>
      </c>
      <c r="M101" s="344" t="str">
        <f>'H-Runoff'!U101</f>
        <v>Not Req.</v>
      </c>
      <c r="N101" s="343" t="str">
        <f>'H-Leachate'!O101</f>
        <v/>
      </c>
      <c r="O101" s="283" t="str">
        <f>'H-Volatilization'!AV101</f>
        <v/>
      </c>
      <c r="P101" s="284" t="str">
        <f>'H-Volatilization'!AW101</f>
        <v/>
      </c>
      <c r="Q101" s="284" t="str">
        <f>'H-Volatilization'!AX101</f>
        <v/>
      </c>
      <c r="R101" s="285" t="str">
        <f>'H-Volatilization'!AY101</f>
        <v/>
      </c>
      <c r="S101" s="462"/>
      <c r="T101" s="345" t="str">
        <f>'H-Plant &amp; Animal'!L101</f>
        <v>Not Req.</v>
      </c>
      <c r="U101" s="346" t="str">
        <f>'H-Plant &amp; Animal'!M101</f>
        <v>Not Req.</v>
      </c>
      <c r="V101" s="794" t="str">
        <f>'H-Effluent'!O101</f>
        <v>---</v>
      </c>
      <c r="W101" s="797" t="str">
        <f>'H-Runoff'!Q101</f>
        <v>---</v>
      </c>
      <c r="X101" s="799" t="str">
        <f>'H-Runoff'!S101</f>
        <v>---</v>
      </c>
      <c r="Y101" s="794" t="str">
        <f>'H-Leachate'!N101</f>
        <v>NA</v>
      </c>
      <c r="Z101" s="797" t="str">
        <f>'H-Volatilization'!AD101</f>
        <v>NA</v>
      </c>
      <c r="AA101" s="798" t="str">
        <f>'H-Volatilization'!AF101</f>
        <v>NA</v>
      </c>
      <c r="AB101" s="798" t="str">
        <f>'H-Volatilization'!AO101</f>
        <v>NA</v>
      </c>
      <c r="AC101" s="799" t="str">
        <f>'H-Volatilization'!AU101</f>
        <v>NA</v>
      </c>
    </row>
    <row r="102" spans="1:29" x14ac:dyDescent="0.25">
      <c r="A102" s="56" t="s">
        <v>420</v>
      </c>
      <c r="B102" s="336" t="str">
        <f>IF(Start!$C$15="x",('H-Effluent'!B102),"---")</f>
        <v>---</v>
      </c>
      <c r="C102" s="337" t="str">
        <f>IF(Start!$C$16="x",'H-Runoff'!B102,"---")</f>
        <v>---</v>
      </c>
      <c r="D102" s="338" t="str">
        <f>IF(Start!$C$16="x",'H-Runoff'!C102,"---")</f>
        <v>---</v>
      </c>
      <c r="E102" s="868" t="str">
        <f>IF(Start!$C$17="x",'H-Leachate'!B102,"---")</f>
        <v/>
      </c>
      <c r="F102" s="340" t="str">
        <f>IF(Start!$C$18="x",('H-Volatilization'!B102),"---")</f>
        <v/>
      </c>
      <c r="G102" s="341" t="str">
        <f>IF(Start!$C$18="x",('H-Volatilization'!C102),"---")</f>
        <v/>
      </c>
      <c r="H102" s="341" t="str">
        <f>IF(Start!$C$18="x",('H-Volatilization'!D102),"---")</f>
        <v/>
      </c>
      <c r="I102" s="342" t="str">
        <f>IF(Start!$C$18="x",('H-Volatilization'!E102),"---")</f>
        <v/>
      </c>
      <c r="J102" s="339" t="str">
        <f>IF(Start!$C$19="x",'H-Plant &amp; Animal'!B102,"---")</f>
        <v>---</v>
      </c>
      <c r="K102" s="343" t="str">
        <f>'H-Effluent'!Q102</f>
        <v>Not Req.</v>
      </c>
      <c r="L102" s="286" t="str">
        <f>'H-Runoff'!T102</f>
        <v>Not Req.</v>
      </c>
      <c r="M102" s="344" t="str">
        <f>'H-Runoff'!U102</f>
        <v>Not Req.</v>
      </c>
      <c r="N102" s="343" t="str">
        <f>'H-Leachate'!O102</f>
        <v/>
      </c>
      <c r="O102" s="283" t="str">
        <f>'H-Volatilization'!AV102</f>
        <v/>
      </c>
      <c r="P102" s="284" t="str">
        <f>'H-Volatilization'!AW102</f>
        <v/>
      </c>
      <c r="Q102" s="284" t="str">
        <f>'H-Volatilization'!AX102</f>
        <v/>
      </c>
      <c r="R102" s="285" t="str">
        <f>'H-Volatilization'!AY102</f>
        <v/>
      </c>
      <c r="S102" s="462"/>
      <c r="T102" s="345" t="str">
        <f>'H-Plant &amp; Animal'!L102</f>
        <v>Not Req.</v>
      </c>
      <c r="U102" s="346" t="str">
        <f>'H-Plant &amp; Animal'!M102</f>
        <v>Not Req.</v>
      </c>
      <c r="V102" s="794" t="str">
        <f>'H-Effluent'!O102</f>
        <v>---</v>
      </c>
      <c r="W102" s="797" t="str">
        <f>'H-Runoff'!Q102</f>
        <v>---</v>
      </c>
      <c r="X102" s="799" t="str">
        <f>'H-Runoff'!S102</f>
        <v>---</v>
      </c>
      <c r="Y102" s="794" t="str">
        <f>'H-Leachate'!N102</f>
        <v>NA</v>
      </c>
      <c r="Z102" s="797" t="str">
        <f>'H-Volatilization'!AD102</f>
        <v>NA</v>
      </c>
      <c r="AA102" s="798" t="str">
        <f>'H-Volatilization'!AF102</f>
        <v>NA</v>
      </c>
      <c r="AB102" s="798" t="str">
        <f>'H-Volatilization'!AO102</f>
        <v>NA</v>
      </c>
      <c r="AC102" s="799" t="str">
        <f>'H-Volatilization'!AU102</f>
        <v>NA</v>
      </c>
    </row>
    <row r="103" spans="1:29" x14ac:dyDescent="0.25">
      <c r="A103" s="56" t="s">
        <v>421</v>
      </c>
      <c r="B103" s="336" t="str">
        <f>IF(Start!$C$15="x",('H-Effluent'!B103),"---")</f>
        <v>---</v>
      </c>
      <c r="C103" s="337" t="str">
        <f>IF(Start!$C$16="x",'H-Runoff'!B103,"---")</f>
        <v>---</v>
      </c>
      <c r="D103" s="338" t="str">
        <f>IF(Start!$C$16="x",'H-Runoff'!C103,"---")</f>
        <v>---</v>
      </c>
      <c r="E103" s="868" t="str">
        <f>IF(Start!$C$17="x",'H-Leachate'!B103,"---")</f>
        <v/>
      </c>
      <c r="F103" s="340" t="str">
        <f>IF(Start!$C$18="x",('H-Volatilization'!B103),"---")</f>
        <v/>
      </c>
      <c r="G103" s="341" t="str">
        <f>IF(Start!$C$18="x",('H-Volatilization'!C103),"---")</f>
        <v/>
      </c>
      <c r="H103" s="341" t="str">
        <f>IF(Start!$C$18="x",('H-Volatilization'!D103),"---")</f>
        <v/>
      </c>
      <c r="I103" s="342" t="str">
        <f>IF(Start!$C$18="x",('H-Volatilization'!E103),"---")</f>
        <v/>
      </c>
      <c r="J103" s="339" t="str">
        <f>IF(Start!$C$19="x",'H-Plant &amp; Animal'!B103,"---")</f>
        <v>---</v>
      </c>
      <c r="K103" s="343" t="str">
        <f>'H-Effluent'!Q103</f>
        <v>Not Req.</v>
      </c>
      <c r="L103" s="286" t="str">
        <f>'H-Runoff'!T103</f>
        <v>Not Req.</v>
      </c>
      <c r="M103" s="344" t="str">
        <f>'H-Runoff'!U103</f>
        <v>Not Req.</v>
      </c>
      <c r="N103" s="343" t="str">
        <f>'H-Leachate'!O103</f>
        <v/>
      </c>
      <c r="O103" s="283" t="str">
        <f>'H-Volatilization'!AV103</f>
        <v/>
      </c>
      <c r="P103" s="284" t="str">
        <f>'H-Volatilization'!AW103</f>
        <v/>
      </c>
      <c r="Q103" s="284" t="str">
        <f>'H-Volatilization'!AX103</f>
        <v/>
      </c>
      <c r="R103" s="285" t="str">
        <f>'H-Volatilization'!AY103</f>
        <v/>
      </c>
      <c r="S103" s="462"/>
      <c r="T103" s="345" t="str">
        <f>'H-Plant &amp; Animal'!L103</f>
        <v>Not Req.</v>
      </c>
      <c r="U103" s="346" t="str">
        <f>'H-Plant &amp; Animal'!M103</f>
        <v>Not Req.</v>
      </c>
      <c r="V103" s="794" t="str">
        <f>'H-Effluent'!O103</f>
        <v>---</v>
      </c>
      <c r="W103" s="797" t="str">
        <f>'H-Runoff'!Q103</f>
        <v>---</v>
      </c>
      <c r="X103" s="799" t="str">
        <f>'H-Runoff'!S103</f>
        <v>---</v>
      </c>
      <c r="Y103" s="794" t="str">
        <f>'H-Leachate'!N103</f>
        <v>NA</v>
      </c>
      <c r="Z103" s="797" t="str">
        <f>'H-Volatilization'!AD103</f>
        <v>NA</v>
      </c>
      <c r="AA103" s="798" t="str">
        <f>'H-Volatilization'!AF103</f>
        <v>NA</v>
      </c>
      <c r="AB103" s="798" t="str">
        <f>'H-Volatilization'!AO103</f>
        <v>NA</v>
      </c>
      <c r="AC103" s="799" t="str">
        <f>'H-Volatilization'!AU103</f>
        <v>NA</v>
      </c>
    </row>
    <row r="104" spans="1:29" x14ac:dyDescent="0.25">
      <c r="A104" s="56" t="s">
        <v>422</v>
      </c>
      <c r="B104" s="336" t="str">
        <f>IF(Start!$C$15="x",('H-Effluent'!B104),"---")</f>
        <v>---</v>
      </c>
      <c r="C104" s="337" t="str">
        <f>IF(Start!$C$16="x",'H-Runoff'!B104,"---")</f>
        <v>---</v>
      </c>
      <c r="D104" s="338" t="str">
        <f>IF(Start!$C$16="x",'H-Runoff'!C104,"---")</f>
        <v>---</v>
      </c>
      <c r="E104" s="868" t="str">
        <f>IF(Start!$C$17="x",'H-Leachate'!B104,"---")</f>
        <v/>
      </c>
      <c r="F104" s="340" t="str">
        <f>IF(Start!$C$18="x",('H-Volatilization'!B104),"---")</f>
        <v/>
      </c>
      <c r="G104" s="341" t="str">
        <f>IF(Start!$C$18="x",('H-Volatilization'!C104),"---")</f>
        <v/>
      </c>
      <c r="H104" s="341" t="str">
        <f>IF(Start!$C$18="x",('H-Volatilization'!D104),"---")</f>
        <v/>
      </c>
      <c r="I104" s="342" t="str">
        <f>IF(Start!$C$18="x",('H-Volatilization'!E104),"---")</f>
        <v/>
      </c>
      <c r="J104" s="339" t="str">
        <f>IF(Start!$C$19="x",'H-Plant &amp; Animal'!B104,"---")</f>
        <v>---</v>
      </c>
      <c r="K104" s="343" t="str">
        <f>'H-Effluent'!Q104</f>
        <v>Not Req.</v>
      </c>
      <c r="L104" s="286" t="str">
        <f>'H-Runoff'!T104</f>
        <v>Not Req.</v>
      </c>
      <c r="M104" s="344" t="str">
        <f>'H-Runoff'!U104</f>
        <v>Not Req.</v>
      </c>
      <c r="N104" s="343" t="str">
        <f>'H-Leachate'!O104</f>
        <v/>
      </c>
      <c r="O104" s="283" t="str">
        <f>'H-Volatilization'!AV104</f>
        <v/>
      </c>
      <c r="P104" s="284" t="str">
        <f>'H-Volatilization'!AW104</f>
        <v/>
      </c>
      <c r="Q104" s="284" t="str">
        <f>'H-Volatilization'!AX104</f>
        <v/>
      </c>
      <c r="R104" s="285" t="str">
        <f>'H-Volatilization'!AY104</f>
        <v/>
      </c>
      <c r="S104" s="462"/>
      <c r="T104" s="345" t="str">
        <f>'H-Plant &amp; Animal'!L104</f>
        <v>Not Req.</v>
      </c>
      <c r="U104" s="346" t="str">
        <f>'H-Plant &amp; Animal'!M104</f>
        <v>Not Req.</v>
      </c>
      <c r="V104" s="794" t="str">
        <f>'H-Effluent'!O104</f>
        <v>---</v>
      </c>
      <c r="W104" s="797" t="str">
        <f>'H-Runoff'!Q104</f>
        <v>---</v>
      </c>
      <c r="X104" s="799" t="str">
        <f>'H-Runoff'!S104</f>
        <v>---</v>
      </c>
      <c r="Y104" s="794" t="str">
        <f>'H-Leachate'!N104</f>
        <v>NA</v>
      </c>
      <c r="Z104" s="797" t="str">
        <f>'H-Volatilization'!AD104</f>
        <v>NA</v>
      </c>
      <c r="AA104" s="798" t="str">
        <f>'H-Volatilization'!AF104</f>
        <v>NA</v>
      </c>
      <c r="AB104" s="798" t="str">
        <f>'H-Volatilization'!AO104</f>
        <v>NA</v>
      </c>
      <c r="AC104" s="799" t="str">
        <f>'H-Volatilization'!AU104</f>
        <v>NA</v>
      </c>
    </row>
    <row r="105" spans="1:29" x14ac:dyDescent="0.25">
      <c r="A105" s="56" t="s">
        <v>423</v>
      </c>
      <c r="B105" s="336" t="str">
        <f>IF(Start!$C$15="x",('H-Effluent'!B105),"---")</f>
        <v>---</v>
      </c>
      <c r="C105" s="337" t="str">
        <f>IF(Start!$C$16="x",'H-Runoff'!B105,"---")</f>
        <v>---</v>
      </c>
      <c r="D105" s="338" t="str">
        <f>IF(Start!$C$16="x",'H-Runoff'!C105,"---")</f>
        <v>---</v>
      </c>
      <c r="E105" s="868" t="str">
        <f>IF(Start!$C$17="x",'H-Leachate'!B105,"---")</f>
        <v/>
      </c>
      <c r="F105" s="340" t="str">
        <f>IF(Start!$C$18="x",('H-Volatilization'!B105),"---")</f>
        <v/>
      </c>
      <c r="G105" s="341" t="str">
        <f>IF(Start!$C$18="x",('H-Volatilization'!C105),"---")</f>
        <v/>
      </c>
      <c r="H105" s="341" t="str">
        <f>IF(Start!$C$18="x",('H-Volatilization'!D105),"---")</f>
        <v/>
      </c>
      <c r="I105" s="342" t="str">
        <f>IF(Start!$C$18="x",('H-Volatilization'!E105),"---")</f>
        <v/>
      </c>
      <c r="J105" s="339" t="str">
        <f>IF(Start!$C$19="x",'H-Plant &amp; Animal'!B105,"---")</f>
        <v>---</v>
      </c>
      <c r="K105" s="343" t="str">
        <f>'H-Effluent'!Q105</f>
        <v>Not Req.</v>
      </c>
      <c r="L105" s="286" t="str">
        <f>'H-Runoff'!T105</f>
        <v>Not Req.</v>
      </c>
      <c r="M105" s="344" t="str">
        <f>'H-Runoff'!U105</f>
        <v>Not Req.</v>
      </c>
      <c r="N105" s="343" t="str">
        <f>'H-Leachate'!O105</f>
        <v/>
      </c>
      <c r="O105" s="283" t="str">
        <f>'H-Volatilization'!AV105</f>
        <v/>
      </c>
      <c r="P105" s="284" t="str">
        <f>'H-Volatilization'!AW105</f>
        <v/>
      </c>
      <c r="Q105" s="284" t="str">
        <f>'H-Volatilization'!AX105</f>
        <v/>
      </c>
      <c r="R105" s="285" t="str">
        <f>'H-Volatilization'!AY105</f>
        <v/>
      </c>
      <c r="S105" s="462"/>
      <c r="T105" s="345" t="str">
        <f>'H-Plant &amp; Animal'!L105</f>
        <v>Not Req.</v>
      </c>
      <c r="U105" s="346" t="str">
        <f>'H-Plant &amp; Animal'!M105</f>
        <v>Not Req.</v>
      </c>
      <c r="V105" s="794" t="str">
        <f>'H-Effluent'!O105</f>
        <v>---</v>
      </c>
      <c r="W105" s="797" t="str">
        <f>'H-Runoff'!Q105</f>
        <v>---</v>
      </c>
      <c r="X105" s="799" t="str">
        <f>'H-Runoff'!S105</f>
        <v>---</v>
      </c>
      <c r="Y105" s="794" t="str">
        <f>'H-Leachate'!N105</f>
        <v>NA</v>
      </c>
      <c r="Z105" s="797" t="str">
        <f>'H-Volatilization'!AD105</f>
        <v>NA</v>
      </c>
      <c r="AA105" s="798" t="str">
        <f>'H-Volatilization'!AF105</f>
        <v>NA</v>
      </c>
      <c r="AB105" s="798" t="str">
        <f>'H-Volatilization'!AO105</f>
        <v>NA</v>
      </c>
      <c r="AC105" s="799" t="str">
        <f>'H-Volatilization'!AU105</f>
        <v>NA</v>
      </c>
    </row>
    <row r="106" spans="1:29" x14ac:dyDescent="0.25">
      <c r="A106" s="56" t="s">
        <v>424</v>
      </c>
      <c r="B106" s="336" t="str">
        <f>IF(Start!$C$15="x",('H-Effluent'!B106),"---")</f>
        <v>---</v>
      </c>
      <c r="C106" s="337" t="str">
        <f>IF(Start!$C$16="x",'H-Runoff'!B106,"---")</f>
        <v>---</v>
      </c>
      <c r="D106" s="338" t="str">
        <f>IF(Start!$C$16="x",'H-Runoff'!C106,"---")</f>
        <v>---</v>
      </c>
      <c r="E106" s="868" t="str">
        <f>IF(Start!$C$17="x",'H-Leachate'!B106,"---")</f>
        <v/>
      </c>
      <c r="F106" s="340" t="str">
        <f>IF(Start!$C$18="x",('H-Volatilization'!B106),"---")</f>
        <v/>
      </c>
      <c r="G106" s="341" t="str">
        <f>IF(Start!$C$18="x",('H-Volatilization'!C106),"---")</f>
        <v/>
      </c>
      <c r="H106" s="341" t="str">
        <f>IF(Start!$C$18="x",('H-Volatilization'!D106),"---")</f>
        <v/>
      </c>
      <c r="I106" s="342" t="str">
        <f>IF(Start!$C$18="x",('H-Volatilization'!E106),"---")</f>
        <v/>
      </c>
      <c r="J106" s="339" t="str">
        <f>IF(Start!$C$19="x",'H-Plant &amp; Animal'!B106,"---")</f>
        <v>---</v>
      </c>
      <c r="K106" s="343" t="str">
        <f>'H-Effluent'!Q106</f>
        <v>Not Req.</v>
      </c>
      <c r="L106" s="286" t="str">
        <f>'H-Runoff'!T106</f>
        <v>Not Req.</v>
      </c>
      <c r="M106" s="344" t="str">
        <f>'H-Runoff'!U106</f>
        <v>Not Req.</v>
      </c>
      <c r="N106" s="343" t="str">
        <f>'H-Leachate'!O106</f>
        <v/>
      </c>
      <c r="O106" s="283" t="str">
        <f>'H-Volatilization'!AV106</f>
        <v/>
      </c>
      <c r="P106" s="284" t="str">
        <f>'H-Volatilization'!AW106</f>
        <v/>
      </c>
      <c r="Q106" s="284" t="str">
        <f>'H-Volatilization'!AX106</f>
        <v/>
      </c>
      <c r="R106" s="285" t="str">
        <f>'H-Volatilization'!AY106</f>
        <v/>
      </c>
      <c r="S106" s="462"/>
      <c r="T106" s="345" t="str">
        <f>'H-Plant &amp; Animal'!L106</f>
        <v>Not Req.</v>
      </c>
      <c r="U106" s="346" t="str">
        <f>'H-Plant &amp; Animal'!M106</f>
        <v>Not Req.</v>
      </c>
      <c r="V106" s="794" t="str">
        <f>'H-Effluent'!O106</f>
        <v>---</v>
      </c>
      <c r="W106" s="797" t="str">
        <f>'H-Runoff'!Q106</f>
        <v>---</v>
      </c>
      <c r="X106" s="799" t="str">
        <f>'H-Runoff'!S106</f>
        <v>---</v>
      </c>
      <c r="Y106" s="794" t="str">
        <f>'H-Leachate'!N106</f>
        <v>NA</v>
      </c>
      <c r="Z106" s="797" t="str">
        <f>'H-Volatilization'!AD106</f>
        <v>NA</v>
      </c>
      <c r="AA106" s="798" t="str">
        <f>'H-Volatilization'!AF106</f>
        <v>NA</v>
      </c>
      <c r="AB106" s="798" t="str">
        <f>'H-Volatilization'!AO106</f>
        <v>NA</v>
      </c>
      <c r="AC106" s="799" t="str">
        <f>'H-Volatilization'!AU106</f>
        <v>NA</v>
      </c>
    </row>
    <row r="107" spans="1:29" x14ac:dyDescent="0.25">
      <c r="A107" s="56" t="s">
        <v>425</v>
      </c>
      <c r="B107" s="336" t="str">
        <f>IF(Start!$C$15="x",('H-Effluent'!B107),"---")</f>
        <v>---</v>
      </c>
      <c r="C107" s="337" t="str">
        <f>IF(Start!$C$16="x",'H-Runoff'!B107,"---")</f>
        <v>---</v>
      </c>
      <c r="D107" s="338" t="str">
        <f>IF(Start!$C$16="x",'H-Runoff'!C107,"---")</f>
        <v>---</v>
      </c>
      <c r="E107" s="868" t="str">
        <f>IF(Start!$C$17="x",'H-Leachate'!B107,"---")</f>
        <v/>
      </c>
      <c r="F107" s="340" t="str">
        <f>IF(Start!$C$18="x",('H-Volatilization'!B107),"---")</f>
        <v/>
      </c>
      <c r="G107" s="341" t="str">
        <f>IF(Start!$C$18="x",('H-Volatilization'!C107),"---")</f>
        <v/>
      </c>
      <c r="H107" s="341" t="str">
        <f>IF(Start!$C$18="x",('H-Volatilization'!D107),"---")</f>
        <v/>
      </c>
      <c r="I107" s="342" t="str">
        <f>IF(Start!$C$18="x",('H-Volatilization'!E107),"---")</f>
        <v/>
      </c>
      <c r="J107" s="339" t="str">
        <f>IF(Start!$C$19="x",'H-Plant &amp; Animal'!B107,"---")</f>
        <v>---</v>
      </c>
      <c r="K107" s="343" t="str">
        <f>'H-Effluent'!Q107</f>
        <v>Not Req.</v>
      </c>
      <c r="L107" s="286" t="str">
        <f>'H-Runoff'!T107</f>
        <v>Not Req.</v>
      </c>
      <c r="M107" s="344" t="str">
        <f>'H-Runoff'!U107</f>
        <v>Not Req.</v>
      </c>
      <c r="N107" s="343" t="str">
        <f>'H-Leachate'!O107</f>
        <v/>
      </c>
      <c r="O107" s="283" t="str">
        <f>'H-Volatilization'!AV107</f>
        <v/>
      </c>
      <c r="P107" s="284" t="str">
        <f>'H-Volatilization'!AW107</f>
        <v/>
      </c>
      <c r="Q107" s="284" t="str">
        <f>'H-Volatilization'!AX107</f>
        <v/>
      </c>
      <c r="R107" s="285" t="str">
        <f>'H-Volatilization'!AY107</f>
        <v/>
      </c>
      <c r="S107" s="462"/>
      <c r="T107" s="345" t="str">
        <f>'H-Plant &amp; Animal'!L107</f>
        <v>Not Req.</v>
      </c>
      <c r="U107" s="346" t="str">
        <f>'H-Plant &amp; Animal'!M107</f>
        <v>Not Req.</v>
      </c>
      <c r="V107" s="794" t="str">
        <f>'H-Effluent'!O107</f>
        <v>---</v>
      </c>
      <c r="W107" s="797" t="str">
        <f>'H-Runoff'!Q107</f>
        <v>---</v>
      </c>
      <c r="X107" s="799" t="str">
        <f>'H-Runoff'!S107</f>
        <v>---</v>
      </c>
      <c r="Y107" s="794" t="str">
        <f>'H-Leachate'!N107</f>
        <v>NA</v>
      </c>
      <c r="Z107" s="797" t="str">
        <f>'H-Volatilization'!AD107</f>
        <v>NA</v>
      </c>
      <c r="AA107" s="798" t="str">
        <f>'H-Volatilization'!AF107</f>
        <v>NA</v>
      </c>
      <c r="AB107" s="798" t="str">
        <f>'H-Volatilization'!AO107</f>
        <v>NA</v>
      </c>
      <c r="AC107" s="799" t="str">
        <f>'H-Volatilization'!AU107</f>
        <v>NA</v>
      </c>
    </row>
    <row r="108" spans="1:29" x14ac:dyDescent="0.25">
      <c r="A108" s="60" t="s">
        <v>426</v>
      </c>
      <c r="B108" s="336" t="str">
        <f>IF(Start!$C$15="x",('H-Effluent'!B108),"---")</f>
        <v>---</v>
      </c>
      <c r="C108" s="337" t="str">
        <f>IF(Start!$C$16="x",'H-Runoff'!B108,"---")</f>
        <v>---</v>
      </c>
      <c r="D108" s="338" t="str">
        <f>IF(Start!$C$16="x",'H-Runoff'!C108,"---")</f>
        <v>---</v>
      </c>
      <c r="E108" s="868" t="str">
        <f>IF(Start!$C$17="x",'H-Leachate'!B108,"---")</f>
        <v/>
      </c>
      <c r="F108" s="340" t="str">
        <f>IF(Start!$C$18="x",('H-Volatilization'!B108),"---")</f>
        <v/>
      </c>
      <c r="G108" s="341" t="str">
        <f>IF(Start!$C$18="x",('H-Volatilization'!C108),"---")</f>
        <v/>
      </c>
      <c r="H108" s="341" t="str">
        <f>IF(Start!$C$18="x",('H-Volatilization'!D108),"---")</f>
        <v/>
      </c>
      <c r="I108" s="342" t="str">
        <f>IF(Start!$C$18="x",('H-Volatilization'!E108),"---")</f>
        <v/>
      </c>
      <c r="J108" s="339" t="str">
        <f>IF(Start!$C$19="x",'H-Plant &amp; Animal'!B108,"---")</f>
        <v>---</v>
      </c>
      <c r="K108" s="343" t="str">
        <f>'H-Effluent'!Q108</f>
        <v>Not Req.</v>
      </c>
      <c r="L108" s="286" t="str">
        <f>'H-Runoff'!T108</f>
        <v>Not Req.</v>
      </c>
      <c r="M108" s="344" t="str">
        <f>'H-Runoff'!U108</f>
        <v>Not Req.</v>
      </c>
      <c r="N108" s="343" t="str">
        <f>'H-Leachate'!O108</f>
        <v/>
      </c>
      <c r="O108" s="283" t="str">
        <f>'H-Volatilization'!AV108</f>
        <v/>
      </c>
      <c r="P108" s="284" t="str">
        <f>'H-Volatilization'!AW108</f>
        <v/>
      </c>
      <c r="Q108" s="284" t="str">
        <f>'H-Volatilization'!AX108</f>
        <v/>
      </c>
      <c r="R108" s="285" t="str">
        <f>'H-Volatilization'!AY108</f>
        <v/>
      </c>
      <c r="S108" s="462"/>
      <c r="T108" s="345" t="str">
        <f>'H-Plant &amp; Animal'!L108</f>
        <v>Not Req.</v>
      </c>
      <c r="U108" s="346" t="str">
        <f>'H-Plant &amp; Animal'!M108</f>
        <v>Not Req.</v>
      </c>
      <c r="V108" s="794" t="str">
        <f>'H-Effluent'!O108</f>
        <v>---</v>
      </c>
      <c r="W108" s="797" t="str">
        <f>'H-Runoff'!Q108</f>
        <v>---</v>
      </c>
      <c r="X108" s="799" t="str">
        <f>'H-Runoff'!S108</f>
        <v>---</v>
      </c>
      <c r="Y108" s="794" t="str">
        <f>'H-Leachate'!N108</f>
        <v>NA</v>
      </c>
      <c r="Z108" s="797" t="str">
        <f>'H-Volatilization'!AD108</f>
        <v>NA</v>
      </c>
      <c r="AA108" s="798" t="str">
        <f>'H-Volatilization'!AF108</f>
        <v>NA</v>
      </c>
      <c r="AB108" s="798" t="str">
        <f>'H-Volatilization'!AO108</f>
        <v>NA</v>
      </c>
      <c r="AC108" s="799" t="str">
        <f>'H-Volatilization'!AU108</f>
        <v>NA</v>
      </c>
    </row>
    <row r="109" spans="1:29" x14ac:dyDescent="0.25">
      <c r="A109" s="56" t="s">
        <v>427</v>
      </c>
      <c r="B109" s="336" t="str">
        <f>IF(Start!$C$15="x",('H-Effluent'!B109),"---")</f>
        <v>---</v>
      </c>
      <c r="C109" s="337" t="str">
        <f>IF(Start!$C$16="x",'H-Runoff'!B109,"---")</f>
        <v>---</v>
      </c>
      <c r="D109" s="338" t="str">
        <f>IF(Start!$C$16="x",'H-Runoff'!C109,"---")</f>
        <v>---</v>
      </c>
      <c r="E109" s="868" t="str">
        <f>IF(Start!$C$17="x",'H-Leachate'!B109,"---")</f>
        <v/>
      </c>
      <c r="F109" s="340" t="str">
        <f>IF(Start!$C$18="x",('H-Volatilization'!B109),"---")</f>
        <v/>
      </c>
      <c r="G109" s="341" t="str">
        <f>IF(Start!$C$18="x",('H-Volatilization'!C109),"---")</f>
        <v/>
      </c>
      <c r="H109" s="341" t="str">
        <f>IF(Start!$C$18="x",('H-Volatilization'!D109),"---")</f>
        <v/>
      </c>
      <c r="I109" s="342" t="str">
        <f>IF(Start!$C$18="x",('H-Volatilization'!E109),"---")</f>
        <v/>
      </c>
      <c r="J109" s="339" t="str">
        <f>IF(Start!$C$19="x",'H-Plant &amp; Animal'!B109,"---")</f>
        <v>---</v>
      </c>
      <c r="K109" s="343" t="str">
        <f>'H-Effluent'!Q109</f>
        <v>Not Req.</v>
      </c>
      <c r="L109" s="286" t="str">
        <f>'H-Runoff'!T109</f>
        <v>Not Req.</v>
      </c>
      <c r="M109" s="344" t="str">
        <f>'H-Runoff'!U109</f>
        <v>Not Req.</v>
      </c>
      <c r="N109" s="343" t="str">
        <f>'H-Leachate'!O109</f>
        <v/>
      </c>
      <c r="O109" s="283" t="str">
        <f>'H-Volatilization'!AV109</f>
        <v/>
      </c>
      <c r="P109" s="284" t="str">
        <f>'H-Volatilization'!AW109</f>
        <v/>
      </c>
      <c r="Q109" s="284" t="str">
        <f>'H-Volatilization'!AX109</f>
        <v/>
      </c>
      <c r="R109" s="285" t="str">
        <f>'H-Volatilization'!AY109</f>
        <v/>
      </c>
      <c r="S109" s="462"/>
      <c r="T109" s="345" t="str">
        <f>'H-Plant &amp; Animal'!L109</f>
        <v>Not Req.</v>
      </c>
      <c r="U109" s="346" t="str">
        <f>'H-Plant &amp; Animal'!M109</f>
        <v>Not Req.</v>
      </c>
      <c r="V109" s="794" t="str">
        <f>'H-Effluent'!O109</f>
        <v>---</v>
      </c>
      <c r="W109" s="797" t="str">
        <f>'H-Runoff'!Q109</f>
        <v>---</v>
      </c>
      <c r="X109" s="799" t="str">
        <f>'H-Runoff'!S109</f>
        <v>---</v>
      </c>
      <c r="Y109" s="794" t="str">
        <f>'H-Leachate'!N109</f>
        <v>NA</v>
      </c>
      <c r="Z109" s="797" t="str">
        <f>'H-Volatilization'!AD109</f>
        <v>NA</v>
      </c>
      <c r="AA109" s="798" t="str">
        <f>'H-Volatilization'!AF109</f>
        <v>NA</v>
      </c>
      <c r="AB109" s="798" t="str">
        <f>'H-Volatilization'!AO109</f>
        <v>NA</v>
      </c>
      <c r="AC109" s="799" t="str">
        <f>'H-Volatilization'!AU109</f>
        <v>NA</v>
      </c>
    </row>
    <row r="110" spans="1:29" x14ac:dyDescent="0.25">
      <c r="A110" s="56" t="s">
        <v>428</v>
      </c>
      <c r="B110" s="336" t="str">
        <f>IF(Start!$C$15="x",('H-Effluent'!B110),"---")</f>
        <v>---</v>
      </c>
      <c r="C110" s="337" t="str">
        <f>IF(Start!$C$16="x",'H-Runoff'!B110,"---")</f>
        <v>---</v>
      </c>
      <c r="D110" s="338" t="str">
        <f>IF(Start!$C$16="x",'H-Runoff'!C110,"---")</f>
        <v>---</v>
      </c>
      <c r="E110" s="868" t="str">
        <f>IF(Start!$C$17="x",'H-Leachate'!B110,"---")</f>
        <v/>
      </c>
      <c r="F110" s="340" t="str">
        <f>IF(Start!$C$18="x",('H-Volatilization'!B110),"---")</f>
        <v/>
      </c>
      <c r="G110" s="341" t="str">
        <f>IF(Start!$C$18="x",('H-Volatilization'!C110),"---")</f>
        <v/>
      </c>
      <c r="H110" s="341" t="str">
        <f>IF(Start!$C$18="x",('H-Volatilization'!D110),"---")</f>
        <v/>
      </c>
      <c r="I110" s="342" t="str">
        <f>IF(Start!$C$18="x",('H-Volatilization'!E110),"---")</f>
        <v/>
      </c>
      <c r="J110" s="339" t="str">
        <f>IF(Start!$C$19="x",'H-Plant &amp; Animal'!B110,"---")</f>
        <v>---</v>
      </c>
      <c r="K110" s="343" t="str">
        <f>'H-Effluent'!Q110</f>
        <v>Not Req.</v>
      </c>
      <c r="L110" s="286" t="str">
        <f>'H-Runoff'!T110</f>
        <v>Not Req.</v>
      </c>
      <c r="M110" s="344" t="str">
        <f>'H-Runoff'!U110</f>
        <v>Not Req.</v>
      </c>
      <c r="N110" s="343" t="str">
        <f>'H-Leachate'!O110</f>
        <v/>
      </c>
      <c r="O110" s="283" t="str">
        <f>'H-Volatilization'!AV110</f>
        <v/>
      </c>
      <c r="P110" s="284" t="str">
        <f>'H-Volatilization'!AW110</f>
        <v/>
      </c>
      <c r="Q110" s="284" t="str">
        <f>'H-Volatilization'!AX110</f>
        <v/>
      </c>
      <c r="R110" s="285" t="str">
        <f>'H-Volatilization'!AY110</f>
        <v/>
      </c>
      <c r="S110" s="462"/>
      <c r="T110" s="345" t="str">
        <f>'H-Plant &amp; Animal'!L110</f>
        <v>Not Req.</v>
      </c>
      <c r="U110" s="346" t="str">
        <f>'H-Plant &amp; Animal'!M110</f>
        <v>Not Req.</v>
      </c>
      <c r="V110" s="794" t="str">
        <f>'H-Effluent'!O110</f>
        <v>---</v>
      </c>
      <c r="W110" s="797" t="str">
        <f>'H-Runoff'!Q110</f>
        <v>---</v>
      </c>
      <c r="X110" s="799" t="str">
        <f>'H-Runoff'!S110</f>
        <v>---</v>
      </c>
      <c r="Y110" s="794" t="str">
        <f>'H-Leachate'!N110</f>
        <v>NA</v>
      </c>
      <c r="Z110" s="797" t="str">
        <f>'H-Volatilization'!AD110</f>
        <v>NA</v>
      </c>
      <c r="AA110" s="798" t="str">
        <f>'H-Volatilization'!AF110</f>
        <v>NA</v>
      </c>
      <c r="AB110" s="798" t="str">
        <f>'H-Volatilization'!AO110</f>
        <v>NA</v>
      </c>
      <c r="AC110" s="799" t="str">
        <f>'H-Volatilization'!AU110</f>
        <v>NA</v>
      </c>
    </row>
    <row r="111" spans="1:29" x14ac:dyDescent="0.25">
      <c r="A111" s="60" t="s">
        <v>429</v>
      </c>
      <c r="B111" s="336" t="str">
        <f>IF(Start!$C$15="x",('H-Effluent'!B111),"---")</f>
        <v>---</v>
      </c>
      <c r="C111" s="337" t="str">
        <f>IF(Start!$C$16="x",'H-Runoff'!B111,"---")</f>
        <v>---</v>
      </c>
      <c r="D111" s="338" t="str">
        <f>IF(Start!$C$16="x",'H-Runoff'!C111,"---")</f>
        <v>---</v>
      </c>
      <c r="E111" s="868" t="str">
        <f>IF(Start!$C$17="x",'H-Leachate'!B111,"---")</f>
        <v/>
      </c>
      <c r="F111" s="340" t="str">
        <f>IF(Start!$C$18="x",('H-Volatilization'!B111),"---")</f>
        <v/>
      </c>
      <c r="G111" s="341" t="str">
        <f>IF(Start!$C$18="x",('H-Volatilization'!C111),"---")</f>
        <v/>
      </c>
      <c r="H111" s="341" t="str">
        <f>IF(Start!$C$18="x",('H-Volatilization'!D111),"---")</f>
        <v/>
      </c>
      <c r="I111" s="342" t="str">
        <f>IF(Start!$C$18="x",('H-Volatilization'!E111),"---")</f>
        <v/>
      </c>
      <c r="J111" s="339" t="str">
        <f>IF(Start!$C$19="x",'H-Plant &amp; Animal'!B111,"---")</f>
        <v>---</v>
      </c>
      <c r="K111" s="343" t="str">
        <f>'H-Effluent'!Q111</f>
        <v>Not Req.</v>
      </c>
      <c r="L111" s="286" t="str">
        <f>'H-Runoff'!T111</f>
        <v>Not Req.</v>
      </c>
      <c r="M111" s="344" t="str">
        <f>'H-Runoff'!U111</f>
        <v>Not Req.</v>
      </c>
      <c r="N111" s="343" t="str">
        <f>'H-Leachate'!O111</f>
        <v/>
      </c>
      <c r="O111" s="283" t="str">
        <f>'H-Volatilization'!AV111</f>
        <v/>
      </c>
      <c r="P111" s="284" t="str">
        <f>'H-Volatilization'!AW111</f>
        <v/>
      </c>
      <c r="Q111" s="284" t="str">
        <f>'H-Volatilization'!AX111</f>
        <v/>
      </c>
      <c r="R111" s="285" t="str">
        <f>'H-Volatilization'!AY111</f>
        <v/>
      </c>
      <c r="S111" s="462"/>
      <c r="T111" s="345" t="str">
        <f>'H-Plant &amp; Animal'!L111</f>
        <v>Not Req.</v>
      </c>
      <c r="U111" s="346" t="str">
        <f>'H-Plant &amp; Animal'!M111</f>
        <v>Not Req.</v>
      </c>
      <c r="V111" s="794" t="str">
        <f>'H-Effluent'!O111</f>
        <v>---</v>
      </c>
      <c r="W111" s="797" t="str">
        <f>'H-Runoff'!Q111</f>
        <v>---</v>
      </c>
      <c r="X111" s="799" t="str">
        <f>'H-Runoff'!S111</f>
        <v>---</v>
      </c>
      <c r="Y111" s="794" t="str">
        <f>'H-Leachate'!N111</f>
        <v>NA</v>
      </c>
      <c r="Z111" s="797" t="str">
        <f>'H-Volatilization'!AD111</f>
        <v>NA</v>
      </c>
      <c r="AA111" s="798" t="str">
        <f>'H-Volatilization'!AF111</f>
        <v>NA</v>
      </c>
      <c r="AB111" s="798" t="str">
        <f>'H-Volatilization'!AO111</f>
        <v>NA</v>
      </c>
      <c r="AC111" s="799" t="str">
        <f>'H-Volatilization'!AU111</f>
        <v>NA</v>
      </c>
    </row>
    <row r="112" spans="1:29" x14ac:dyDescent="0.25">
      <c r="A112" s="60" t="s">
        <v>430</v>
      </c>
      <c r="B112" s="336" t="str">
        <f>IF(Start!$C$15="x",('H-Effluent'!B112),"---")</f>
        <v>---</v>
      </c>
      <c r="C112" s="337" t="str">
        <f>IF(Start!$C$16="x",'H-Runoff'!B112,"---")</f>
        <v>---</v>
      </c>
      <c r="D112" s="338" t="str">
        <f>IF(Start!$C$16="x",'H-Runoff'!C112,"---")</f>
        <v>---</v>
      </c>
      <c r="E112" s="868" t="str">
        <f>IF(Start!$C$17="x",'H-Leachate'!B112,"---")</f>
        <v/>
      </c>
      <c r="F112" s="340" t="str">
        <f>IF(Start!$C$18="x",('H-Volatilization'!B112),"---")</f>
        <v/>
      </c>
      <c r="G112" s="341" t="str">
        <f>IF(Start!$C$18="x",('H-Volatilization'!C112),"---")</f>
        <v/>
      </c>
      <c r="H112" s="341" t="str">
        <f>IF(Start!$C$18="x",('H-Volatilization'!D112),"---")</f>
        <v/>
      </c>
      <c r="I112" s="342" t="str">
        <f>IF(Start!$C$18="x",('H-Volatilization'!E112),"---")</f>
        <v/>
      </c>
      <c r="J112" s="339" t="str">
        <f>IF(Start!$C$19="x",'H-Plant &amp; Animal'!B112,"---")</f>
        <v>---</v>
      </c>
      <c r="K112" s="343" t="str">
        <f>'H-Effluent'!Q112</f>
        <v>Not Req.</v>
      </c>
      <c r="L112" s="286" t="str">
        <f>'H-Runoff'!T112</f>
        <v>Not Req.</v>
      </c>
      <c r="M112" s="344" t="str">
        <f>'H-Runoff'!U112</f>
        <v>Not Req.</v>
      </c>
      <c r="N112" s="343" t="str">
        <f>'H-Leachate'!O112</f>
        <v/>
      </c>
      <c r="O112" s="283" t="str">
        <f>'H-Volatilization'!AV112</f>
        <v/>
      </c>
      <c r="P112" s="284" t="str">
        <f>'H-Volatilization'!AW112</f>
        <v/>
      </c>
      <c r="Q112" s="284" t="str">
        <f>'H-Volatilization'!AX112</f>
        <v/>
      </c>
      <c r="R112" s="285" t="str">
        <f>'H-Volatilization'!AY112</f>
        <v/>
      </c>
      <c r="S112" s="462"/>
      <c r="T112" s="345" t="str">
        <f>'H-Plant &amp; Animal'!L112</f>
        <v>Not Req.</v>
      </c>
      <c r="U112" s="346" t="str">
        <f>'H-Plant &amp; Animal'!M112</f>
        <v>Not Req.</v>
      </c>
      <c r="V112" s="794" t="str">
        <f>'H-Effluent'!O112</f>
        <v>---</v>
      </c>
      <c r="W112" s="797" t="str">
        <f>'H-Runoff'!Q112</f>
        <v>---</v>
      </c>
      <c r="X112" s="799" t="str">
        <f>'H-Runoff'!S112</f>
        <v>---</v>
      </c>
      <c r="Y112" s="794" t="str">
        <f>'H-Leachate'!N112</f>
        <v>NA</v>
      </c>
      <c r="Z112" s="797" t="str">
        <f>'H-Volatilization'!AD112</f>
        <v>NA</v>
      </c>
      <c r="AA112" s="798" t="str">
        <f>'H-Volatilization'!AF112</f>
        <v>NA</v>
      </c>
      <c r="AB112" s="798" t="str">
        <f>'H-Volatilization'!AO112</f>
        <v>NA</v>
      </c>
      <c r="AC112" s="799" t="str">
        <f>'H-Volatilization'!AU112</f>
        <v>NA</v>
      </c>
    </row>
    <row r="113" spans="1:29" x14ac:dyDescent="0.25">
      <c r="A113" s="60" t="s">
        <v>431</v>
      </c>
      <c r="B113" s="336" t="str">
        <f>IF(Start!$C$15="x",('H-Effluent'!B113),"---")</f>
        <v>---</v>
      </c>
      <c r="C113" s="337" t="str">
        <f>IF(Start!$C$16="x",'H-Runoff'!B113,"---")</f>
        <v>---</v>
      </c>
      <c r="D113" s="338" t="str">
        <f>IF(Start!$C$16="x",'H-Runoff'!C113,"---")</f>
        <v>---</v>
      </c>
      <c r="E113" s="868" t="str">
        <f>IF(Start!$C$17="x",'H-Leachate'!B113,"---")</f>
        <v/>
      </c>
      <c r="F113" s="340" t="str">
        <f>IF(Start!$C$18="x",('H-Volatilization'!B113),"---")</f>
        <v/>
      </c>
      <c r="G113" s="341" t="str">
        <f>IF(Start!$C$18="x",('H-Volatilization'!C113),"---")</f>
        <v/>
      </c>
      <c r="H113" s="341" t="str">
        <f>IF(Start!$C$18="x",('H-Volatilization'!D113),"---")</f>
        <v/>
      </c>
      <c r="I113" s="342" t="str">
        <f>IF(Start!$C$18="x",('H-Volatilization'!E113),"---")</f>
        <v/>
      </c>
      <c r="J113" s="339" t="str">
        <f>IF(Start!$C$19="x",'H-Plant &amp; Animal'!B113,"---")</f>
        <v>---</v>
      </c>
      <c r="K113" s="343" t="str">
        <f>'H-Effluent'!Q113</f>
        <v>Not Req.</v>
      </c>
      <c r="L113" s="286" t="str">
        <f>'H-Runoff'!T113</f>
        <v>Not Req.</v>
      </c>
      <c r="M113" s="344" t="str">
        <f>'H-Runoff'!U113</f>
        <v>Not Req.</v>
      </c>
      <c r="N113" s="343" t="str">
        <f>'H-Leachate'!O113</f>
        <v/>
      </c>
      <c r="O113" s="283" t="str">
        <f>'H-Volatilization'!AV113</f>
        <v/>
      </c>
      <c r="P113" s="284" t="str">
        <f>'H-Volatilization'!AW113</f>
        <v/>
      </c>
      <c r="Q113" s="284" t="str">
        <f>'H-Volatilization'!AX113</f>
        <v/>
      </c>
      <c r="R113" s="285" t="str">
        <f>'H-Volatilization'!AY113</f>
        <v/>
      </c>
      <c r="S113" s="462"/>
      <c r="T113" s="345" t="str">
        <f>'H-Plant &amp; Animal'!L113</f>
        <v>Not Req.</v>
      </c>
      <c r="U113" s="346" t="str">
        <f>'H-Plant &amp; Animal'!M113</f>
        <v>Not Req.</v>
      </c>
      <c r="V113" s="794" t="str">
        <f>'H-Effluent'!O113</f>
        <v>---</v>
      </c>
      <c r="W113" s="797" t="str">
        <f>'H-Runoff'!Q113</f>
        <v>---</v>
      </c>
      <c r="X113" s="799" t="str">
        <f>'H-Runoff'!S113</f>
        <v>---</v>
      </c>
      <c r="Y113" s="794" t="str">
        <f>'H-Leachate'!N113</f>
        <v>NA</v>
      </c>
      <c r="Z113" s="797" t="str">
        <f>'H-Volatilization'!AD113</f>
        <v>NA</v>
      </c>
      <c r="AA113" s="798" t="str">
        <f>'H-Volatilization'!AF113</f>
        <v>NA</v>
      </c>
      <c r="AB113" s="798" t="str">
        <f>'H-Volatilization'!AO113</f>
        <v>NA</v>
      </c>
      <c r="AC113" s="799" t="str">
        <f>'H-Volatilization'!AU113</f>
        <v>NA</v>
      </c>
    </row>
    <row r="114" spans="1:29" x14ac:dyDescent="0.25">
      <c r="A114" s="60" t="s">
        <v>432</v>
      </c>
      <c r="B114" s="336" t="str">
        <f>IF(Start!$C$15="x",('H-Effluent'!B114),"---")</f>
        <v>---</v>
      </c>
      <c r="C114" s="337" t="str">
        <f>IF(Start!$C$16="x",'H-Runoff'!B114,"---")</f>
        <v>---</v>
      </c>
      <c r="D114" s="338" t="str">
        <f>IF(Start!$C$16="x",'H-Runoff'!C114,"---")</f>
        <v>---</v>
      </c>
      <c r="E114" s="868" t="str">
        <f>IF(Start!$C$17="x",'H-Leachate'!B114,"---")</f>
        <v/>
      </c>
      <c r="F114" s="340" t="str">
        <f>IF(Start!$C$18="x",('H-Volatilization'!B114),"---")</f>
        <v/>
      </c>
      <c r="G114" s="341" t="str">
        <f>IF(Start!$C$18="x",('H-Volatilization'!C114),"---")</f>
        <v/>
      </c>
      <c r="H114" s="341" t="str">
        <f>IF(Start!$C$18="x",('H-Volatilization'!D114),"---")</f>
        <v/>
      </c>
      <c r="I114" s="342" t="str">
        <f>IF(Start!$C$18="x",('H-Volatilization'!E114),"---")</f>
        <v/>
      </c>
      <c r="J114" s="339" t="str">
        <f>IF(Start!$C$19="x",'H-Plant &amp; Animal'!B114,"---")</f>
        <v>---</v>
      </c>
      <c r="K114" s="343" t="str">
        <f>'H-Effluent'!Q114</f>
        <v>Not Req.</v>
      </c>
      <c r="L114" s="286" t="str">
        <f>'H-Runoff'!T114</f>
        <v>Not Req.</v>
      </c>
      <c r="M114" s="344" t="str">
        <f>'H-Runoff'!U114</f>
        <v>Not Req.</v>
      </c>
      <c r="N114" s="343" t="str">
        <f>'H-Leachate'!O114</f>
        <v/>
      </c>
      <c r="O114" s="283" t="str">
        <f>'H-Volatilization'!AV114</f>
        <v/>
      </c>
      <c r="P114" s="284" t="str">
        <f>'H-Volatilization'!AW114</f>
        <v/>
      </c>
      <c r="Q114" s="284" t="str">
        <f>'H-Volatilization'!AX114</f>
        <v/>
      </c>
      <c r="R114" s="285" t="str">
        <f>'H-Volatilization'!AY114</f>
        <v/>
      </c>
      <c r="S114" s="462"/>
      <c r="T114" s="345" t="str">
        <f>'H-Plant &amp; Animal'!L114</f>
        <v>Not Req.</v>
      </c>
      <c r="U114" s="346" t="str">
        <f>'H-Plant &amp; Animal'!M114</f>
        <v>Not Req.</v>
      </c>
      <c r="V114" s="794" t="str">
        <f>'H-Effluent'!O114</f>
        <v>---</v>
      </c>
      <c r="W114" s="797" t="str">
        <f>'H-Runoff'!Q114</f>
        <v>---</v>
      </c>
      <c r="X114" s="799" t="str">
        <f>'H-Runoff'!S114</f>
        <v>---</v>
      </c>
      <c r="Y114" s="794" t="str">
        <f>'H-Leachate'!N114</f>
        <v>NA</v>
      </c>
      <c r="Z114" s="797" t="str">
        <f>'H-Volatilization'!AD114</f>
        <v>NA</v>
      </c>
      <c r="AA114" s="798" t="str">
        <f>'H-Volatilization'!AF114</f>
        <v>NA</v>
      </c>
      <c r="AB114" s="798" t="str">
        <f>'H-Volatilization'!AO114</f>
        <v>NA</v>
      </c>
      <c r="AC114" s="799" t="str">
        <f>'H-Volatilization'!AU114</f>
        <v>NA</v>
      </c>
    </row>
    <row r="115" spans="1:29" x14ac:dyDescent="0.25">
      <c r="A115" s="60" t="s">
        <v>433</v>
      </c>
      <c r="B115" s="336" t="str">
        <f>IF(Start!$C$15="x",('H-Effluent'!B115),"---")</f>
        <v>---</v>
      </c>
      <c r="C115" s="337" t="str">
        <f>IF(Start!$C$16="x",'H-Runoff'!B115,"---")</f>
        <v>---</v>
      </c>
      <c r="D115" s="338" t="str">
        <f>IF(Start!$C$16="x",'H-Runoff'!C115,"---")</f>
        <v>---</v>
      </c>
      <c r="E115" s="868" t="str">
        <f>IF(Start!$C$17="x",'H-Leachate'!B115,"---")</f>
        <v/>
      </c>
      <c r="F115" s="340" t="str">
        <f>IF(Start!$C$18="x",('H-Volatilization'!B115),"---")</f>
        <v/>
      </c>
      <c r="G115" s="341" t="str">
        <f>IF(Start!$C$18="x",('H-Volatilization'!C115),"---")</f>
        <v/>
      </c>
      <c r="H115" s="341" t="str">
        <f>IF(Start!$C$18="x",('H-Volatilization'!D115),"---")</f>
        <v/>
      </c>
      <c r="I115" s="342" t="str">
        <f>IF(Start!$C$18="x",('H-Volatilization'!E115),"---")</f>
        <v/>
      </c>
      <c r="J115" s="339" t="str">
        <f>IF(Start!$C$19="x",'H-Plant &amp; Animal'!B115,"---")</f>
        <v>---</v>
      </c>
      <c r="K115" s="343" t="str">
        <f>'H-Effluent'!Q115</f>
        <v>Not Req.</v>
      </c>
      <c r="L115" s="286" t="str">
        <f>'H-Runoff'!T115</f>
        <v>Not Req.</v>
      </c>
      <c r="M115" s="344" t="str">
        <f>'H-Runoff'!U115</f>
        <v>Not Req.</v>
      </c>
      <c r="N115" s="343" t="str">
        <f>'H-Leachate'!O115</f>
        <v/>
      </c>
      <c r="O115" s="283" t="str">
        <f>'H-Volatilization'!AV115</f>
        <v/>
      </c>
      <c r="P115" s="284" t="str">
        <f>'H-Volatilization'!AW115</f>
        <v/>
      </c>
      <c r="Q115" s="284" t="str">
        <f>'H-Volatilization'!AX115</f>
        <v/>
      </c>
      <c r="R115" s="285" t="str">
        <f>'H-Volatilization'!AY115</f>
        <v/>
      </c>
      <c r="S115" s="462"/>
      <c r="T115" s="345" t="str">
        <f>'H-Plant &amp; Animal'!L115</f>
        <v>Not Req.</v>
      </c>
      <c r="U115" s="346" t="str">
        <f>'H-Plant &amp; Animal'!M115</f>
        <v>Not Req.</v>
      </c>
      <c r="V115" s="794" t="str">
        <f>'H-Effluent'!O115</f>
        <v>---</v>
      </c>
      <c r="W115" s="797" t="str">
        <f>'H-Runoff'!Q115</f>
        <v>---</v>
      </c>
      <c r="X115" s="799" t="str">
        <f>'H-Runoff'!S115</f>
        <v>---</v>
      </c>
      <c r="Y115" s="794" t="str">
        <f>'H-Leachate'!N115</f>
        <v>NA</v>
      </c>
      <c r="Z115" s="797" t="str">
        <f>'H-Volatilization'!AD115</f>
        <v>NA</v>
      </c>
      <c r="AA115" s="798" t="str">
        <f>'H-Volatilization'!AF115</f>
        <v>NA</v>
      </c>
      <c r="AB115" s="798" t="str">
        <f>'H-Volatilization'!AO115</f>
        <v>NA</v>
      </c>
      <c r="AC115" s="799" t="str">
        <f>'H-Volatilization'!AU115</f>
        <v>NA</v>
      </c>
    </row>
    <row r="116" spans="1:29" x14ac:dyDescent="0.25">
      <c r="A116" s="56" t="s">
        <v>434</v>
      </c>
      <c r="B116" s="336" t="str">
        <f>IF(Start!$C$15="x",('H-Effluent'!B116),"---")</f>
        <v>---</v>
      </c>
      <c r="C116" s="337" t="str">
        <f>IF(Start!$C$16="x",'H-Runoff'!B116,"---")</f>
        <v>---</v>
      </c>
      <c r="D116" s="338" t="str">
        <f>IF(Start!$C$16="x",'H-Runoff'!C116,"---")</f>
        <v>---</v>
      </c>
      <c r="E116" s="868" t="str">
        <f>IF(Start!$C$17="x",'H-Leachate'!B116,"---")</f>
        <v/>
      </c>
      <c r="F116" s="340" t="str">
        <f>IF(Start!$C$18="x",('H-Volatilization'!B116),"---")</f>
        <v/>
      </c>
      <c r="G116" s="341" t="str">
        <f>IF(Start!$C$18="x",('H-Volatilization'!C116),"---")</f>
        <v/>
      </c>
      <c r="H116" s="341" t="str">
        <f>IF(Start!$C$18="x",('H-Volatilization'!D116),"---")</f>
        <v/>
      </c>
      <c r="I116" s="342" t="str">
        <f>IF(Start!$C$18="x",('H-Volatilization'!E116),"---")</f>
        <v/>
      </c>
      <c r="J116" s="339" t="str">
        <f>IF(Start!$C$19="x",'H-Plant &amp; Animal'!B116,"---")</f>
        <v>---</v>
      </c>
      <c r="K116" s="343" t="str">
        <f>'H-Effluent'!Q116</f>
        <v>Not Req.</v>
      </c>
      <c r="L116" s="286" t="str">
        <f>'H-Runoff'!T116</f>
        <v>Not Req.</v>
      </c>
      <c r="M116" s="344" t="str">
        <f>'H-Runoff'!U116</f>
        <v>Not Req.</v>
      </c>
      <c r="N116" s="343" t="str">
        <f>'H-Leachate'!O116</f>
        <v/>
      </c>
      <c r="O116" s="283" t="str">
        <f>'H-Volatilization'!AV116</f>
        <v/>
      </c>
      <c r="P116" s="284" t="str">
        <f>'H-Volatilization'!AW116</f>
        <v/>
      </c>
      <c r="Q116" s="284" t="str">
        <f>'H-Volatilization'!AX116</f>
        <v/>
      </c>
      <c r="R116" s="285" t="str">
        <f>'H-Volatilization'!AY116</f>
        <v/>
      </c>
      <c r="S116" s="462"/>
      <c r="T116" s="345" t="str">
        <f>'H-Plant &amp; Animal'!L116</f>
        <v>Not Req.</v>
      </c>
      <c r="U116" s="346" t="str">
        <f>'H-Plant &amp; Animal'!M116</f>
        <v>Not Req.</v>
      </c>
      <c r="V116" s="794" t="str">
        <f>'H-Effluent'!O116</f>
        <v>---</v>
      </c>
      <c r="W116" s="797" t="str">
        <f>'H-Runoff'!Q116</f>
        <v>---</v>
      </c>
      <c r="X116" s="799" t="str">
        <f>'H-Runoff'!S116</f>
        <v>---</v>
      </c>
      <c r="Y116" s="794" t="str">
        <f>'H-Leachate'!N116</f>
        <v>NA</v>
      </c>
      <c r="Z116" s="797" t="str">
        <f>'H-Volatilization'!AD116</f>
        <v>NA</v>
      </c>
      <c r="AA116" s="798" t="str">
        <f>'H-Volatilization'!AF116</f>
        <v>NA</v>
      </c>
      <c r="AB116" s="798" t="str">
        <f>'H-Volatilization'!AO116</f>
        <v>NA</v>
      </c>
      <c r="AC116" s="799" t="str">
        <f>'H-Volatilization'!AU116</f>
        <v>NA</v>
      </c>
    </row>
    <row r="117" spans="1:29" x14ac:dyDescent="0.25">
      <c r="A117" s="56" t="s">
        <v>435</v>
      </c>
      <c r="B117" s="336" t="str">
        <f>IF(Start!$C$15="x",('H-Effluent'!B117),"---")</f>
        <v>---</v>
      </c>
      <c r="C117" s="337" t="str">
        <f>IF(Start!$C$16="x",'H-Runoff'!B117,"---")</f>
        <v>---</v>
      </c>
      <c r="D117" s="338" t="str">
        <f>IF(Start!$C$16="x",'H-Runoff'!C117,"---")</f>
        <v>---</v>
      </c>
      <c r="E117" s="868" t="str">
        <f>IF(Start!$C$17="x",'H-Leachate'!B117,"---")</f>
        <v/>
      </c>
      <c r="F117" s="340" t="str">
        <f>IF(Start!$C$18="x",('H-Volatilization'!B117),"---")</f>
        <v/>
      </c>
      <c r="G117" s="341" t="str">
        <f>IF(Start!$C$18="x",('H-Volatilization'!C117),"---")</f>
        <v/>
      </c>
      <c r="H117" s="341" t="str">
        <f>IF(Start!$C$18="x",('H-Volatilization'!D117),"---")</f>
        <v/>
      </c>
      <c r="I117" s="342" t="str">
        <f>IF(Start!$C$18="x",('H-Volatilization'!E117),"---")</f>
        <v/>
      </c>
      <c r="J117" s="339" t="str">
        <f>IF(Start!$C$19="x",'H-Plant &amp; Animal'!B117,"---")</f>
        <v>---</v>
      </c>
      <c r="K117" s="343" t="str">
        <f>'H-Effluent'!Q117</f>
        <v>Not Req.</v>
      </c>
      <c r="L117" s="286" t="str">
        <f>'H-Runoff'!T117</f>
        <v>Not Req.</v>
      </c>
      <c r="M117" s="344" t="str">
        <f>'H-Runoff'!U117</f>
        <v>Not Req.</v>
      </c>
      <c r="N117" s="343" t="str">
        <f>'H-Leachate'!O117</f>
        <v/>
      </c>
      <c r="O117" s="283" t="str">
        <f>'H-Volatilization'!AV117</f>
        <v/>
      </c>
      <c r="P117" s="284" t="str">
        <f>'H-Volatilization'!AW117</f>
        <v/>
      </c>
      <c r="Q117" s="284" t="str">
        <f>'H-Volatilization'!AX117</f>
        <v/>
      </c>
      <c r="R117" s="285" t="str">
        <f>'H-Volatilization'!AY117</f>
        <v/>
      </c>
      <c r="S117" s="462"/>
      <c r="T117" s="345" t="str">
        <f>'H-Plant &amp; Animal'!L117</f>
        <v>Not Req.</v>
      </c>
      <c r="U117" s="346" t="str">
        <f>'H-Plant &amp; Animal'!M117</f>
        <v>Not Req.</v>
      </c>
      <c r="V117" s="794" t="str">
        <f>'H-Effluent'!O117</f>
        <v>---</v>
      </c>
      <c r="W117" s="797" t="str">
        <f>'H-Runoff'!Q117</f>
        <v>---</v>
      </c>
      <c r="X117" s="799" t="str">
        <f>'H-Runoff'!S117</f>
        <v>---</v>
      </c>
      <c r="Y117" s="794" t="str">
        <f>'H-Leachate'!N117</f>
        <v>NA</v>
      </c>
      <c r="Z117" s="797" t="str">
        <f>'H-Volatilization'!AD117</f>
        <v>NA</v>
      </c>
      <c r="AA117" s="798" t="str">
        <f>'H-Volatilization'!AF117</f>
        <v>NA</v>
      </c>
      <c r="AB117" s="798" t="str">
        <f>'H-Volatilization'!AO117</f>
        <v>NA</v>
      </c>
      <c r="AC117" s="799" t="str">
        <f>'H-Volatilization'!AU117</f>
        <v>NA</v>
      </c>
    </row>
    <row r="118" spans="1:29" x14ac:dyDescent="0.25">
      <c r="A118" s="56" t="s">
        <v>436</v>
      </c>
      <c r="B118" s="336" t="str">
        <f>IF(Start!$C$15="x",('H-Effluent'!B118),"---")</f>
        <v>---</v>
      </c>
      <c r="C118" s="337" t="str">
        <f>IF(Start!$C$16="x",'H-Runoff'!B118,"---")</f>
        <v>---</v>
      </c>
      <c r="D118" s="338" t="str">
        <f>IF(Start!$C$16="x",'H-Runoff'!C118,"---")</f>
        <v>---</v>
      </c>
      <c r="E118" s="868" t="str">
        <f>IF(Start!$C$17="x",'H-Leachate'!B118,"---")</f>
        <v/>
      </c>
      <c r="F118" s="340" t="str">
        <f>IF(Start!$C$18="x",('H-Volatilization'!B118),"---")</f>
        <v/>
      </c>
      <c r="G118" s="341" t="str">
        <f>IF(Start!$C$18="x",('H-Volatilization'!C118),"---")</f>
        <v/>
      </c>
      <c r="H118" s="341" t="str">
        <f>IF(Start!$C$18="x",('H-Volatilization'!D118),"---")</f>
        <v/>
      </c>
      <c r="I118" s="342" t="str">
        <f>IF(Start!$C$18="x",('H-Volatilization'!E118),"---")</f>
        <v/>
      </c>
      <c r="J118" s="339" t="str">
        <f>IF(Start!$C$19="x",'H-Plant &amp; Animal'!B118,"---")</f>
        <v>---</v>
      </c>
      <c r="K118" s="343" t="str">
        <f>'H-Effluent'!Q118</f>
        <v>Not Req.</v>
      </c>
      <c r="L118" s="286" t="str">
        <f>'H-Runoff'!T118</f>
        <v>Not Req.</v>
      </c>
      <c r="M118" s="344" t="str">
        <f>'H-Runoff'!U118</f>
        <v>Not Req.</v>
      </c>
      <c r="N118" s="343" t="str">
        <f>'H-Leachate'!O118</f>
        <v/>
      </c>
      <c r="O118" s="283" t="str">
        <f>'H-Volatilization'!AV118</f>
        <v/>
      </c>
      <c r="P118" s="284" t="str">
        <f>'H-Volatilization'!AW118</f>
        <v/>
      </c>
      <c r="Q118" s="284" t="str">
        <f>'H-Volatilization'!AX118</f>
        <v/>
      </c>
      <c r="R118" s="285" t="str">
        <f>'H-Volatilization'!AY118</f>
        <v/>
      </c>
      <c r="S118" s="462"/>
      <c r="T118" s="345" t="str">
        <f>'H-Plant &amp; Animal'!L118</f>
        <v>Not Req.</v>
      </c>
      <c r="U118" s="346" t="str">
        <f>'H-Plant &amp; Animal'!M118</f>
        <v>Not Req.</v>
      </c>
      <c r="V118" s="794" t="str">
        <f>'H-Effluent'!O118</f>
        <v>---</v>
      </c>
      <c r="W118" s="797" t="str">
        <f>'H-Runoff'!Q118</f>
        <v>---</v>
      </c>
      <c r="X118" s="799" t="str">
        <f>'H-Runoff'!S118</f>
        <v>---</v>
      </c>
      <c r="Y118" s="794" t="str">
        <f>'H-Leachate'!N118</f>
        <v>NA</v>
      </c>
      <c r="Z118" s="797" t="str">
        <f>'H-Volatilization'!AD118</f>
        <v>NA</v>
      </c>
      <c r="AA118" s="798" t="str">
        <f>'H-Volatilization'!AF118</f>
        <v>NA</v>
      </c>
      <c r="AB118" s="798" t="str">
        <f>'H-Volatilization'!AO118</f>
        <v>NA</v>
      </c>
      <c r="AC118" s="799" t="str">
        <f>'H-Volatilization'!AU118</f>
        <v>NA</v>
      </c>
    </row>
    <row r="119" spans="1:29" x14ac:dyDescent="0.25">
      <c r="A119" s="56" t="s">
        <v>437</v>
      </c>
      <c r="B119" s="336" t="str">
        <f>IF(Start!$C$15="x",('H-Effluent'!B119),"---")</f>
        <v>---</v>
      </c>
      <c r="C119" s="337" t="str">
        <f>IF(Start!$C$16="x",'H-Runoff'!B119,"---")</f>
        <v>---</v>
      </c>
      <c r="D119" s="338" t="str">
        <f>IF(Start!$C$16="x",'H-Runoff'!C119,"---")</f>
        <v>---</v>
      </c>
      <c r="E119" s="868" t="str">
        <f>IF(Start!$C$17="x",'H-Leachate'!B119,"---")</f>
        <v/>
      </c>
      <c r="F119" s="340" t="str">
        <f>IF(Start!$C$18="x",('H-Volatilization'!B119),"---")</f>
        <v/>
      </c>
      <c r="G119" s="341" t="str">
        <f>IF(Start!$C$18="x",('H-Volatilization'!C119),"---")</f>
        <v/>
      </c>
      <c r="H119" s="341" t="str">
        <f>IF(Start!$C$18="x",('H-Volatilization'!D119),"---")</f>
        <v/>
      </c>
      <c r="I119" s="342" t="str">
        <f>IF(Start!$C$18="x",('H-Volatilization'!E119),"---")</f>
        <v/>
      </c>
      <c r="J119" s="339" t="str">
        <f>IF(Start!$C$19="x",'H-Plant &amp; Animal'!B119,"---")</f>
        <v>---</v>
      </c>
      <c r="K119" s="343" t="str">
        <f>'H-Effluent'!Q119</f>
        <v>Not Req.</v>
      </c>
      <c r="L119" s="286" t="str">
        <f>'H-Runoff'!T119</f>
        <v>Not Req.</v>
      </c>
      <c r="M119" s="344" t="str">
        <f>'H-Runoff'!U119</f>
        <v>Not Req.</v>
      </c>
      <c r="N119" s="343" t="str">
        <f>'H-Leachate'!O119</f>
        <v/>
      </c>
      <c r="O119" s="283" t="str">
        <f>'H-Volatilization'!AV119</f>
        <v/>
      </c>
      <c r="P119" s="284" t="str">
        <f>'H-Volatilization'!AW119</f>
        <v/>
      </c>
      <c r="Q119" s="284" t="str">
        <f>'H-Volatilization'!AX119</f>
        <v/>
      </c>
      <c r="R119" s="285" t="str">
        <f>'H-Volatilization'!AY119</f>
        <v/>
      </c>
      <c r="S119" s="462"/>
      <c r="T119" s="345" t="str">
        <f>'H-Plant &amp; Animal'!L119</f>
        <v>Not Req.</v>
      </c>
      <c r="U119" s="346" t="str">
        <f>'H-Plant &amp; Animal'!M119</f>
        <v>Not Req.</v>
      </c>
      <c r="V119" s="794" t="str">
        <f>'H-Effluent'!O119</f>
        <v>---</v>
      </c>
      <c r="W119" s="797" t="str">
        <f>'H-Runoff'!Q119</f>
        <v>---</v>
      </c>
      <c r="X119" s="799" t="str">
        <f>'H-Runoff'!S119</f>
        <v>---</v>
      </c>
      <c r="Y119" s="794" t="str">
        <f>'H-Leachate'!N119</f>
        <v>NA</v>
      </c>
      <c r="Z119" s="797" t="str">
        <f>'H-Volatilization'!AD119</f>
        <v>NA</v>
      </c>
      <c r="AA119" s="798" t="str">
        <f>'H-Volatilization'!AF119</f>
        <v>NA</v>
      </c>
      <c r="AB119" s="798" t="str">
        <f>'H-Volatilization'!AO119</f>
        <v>NA</v>
      </c>
      <c r="AC119" s="799" t="str">
        <f>'H-Volatilization'!AU119</f>
        <v>NA</v>
      </c>
    </row>
    <row r="120" spans="1:29" x14ac:dyDescent="0.25">
      <c r="A120" s="56" t="s">
        <v>438</v>
      </c>
      <c r="B120" s="336" t="str">
        <f>IF(Start!$C$15="x",('H-Effluent'!B120),"---")</f>
        <v>---</v>
      </c>
      <c r="C120" s="337" t="str">
        <f>IF(Start!$C$16="x",'H-Runoff'!B120,"---")</f>
        <v>---</v>
      </c>
      <c r="D120" s="338" t="str">
        <f>IF(Start!$C$16="x",'H-Runoff'!C120,"---")</f>
        <v>---</v>
      </c>
      <c r="E120" s="868" t="str">
        <f>IF(Start!$C$17="x",'H-Leachate'!B120,"---")</f>
        <v/>
      </c>
      <c r="F120" s="340" t="str">
        <f>IF(Start!$C$18="x",('H-Volatilization'!B120),"---")</f>
        <v/>
      </c>
      <c r="G120" s="341" t="str">
        <f>IF(Start!$C$18="x",('H-Volatilization'!C120),"---")</f>
        <v/>
      </c>
      <c r="H120" s="341" t="str">
        <f>IF(Start!$C$18="x",('H-Volatilization'!D120),"---")</f>
        <v/>
      </c>
      <c r="I120" s="342" t="str">
        <f>IF(Start!$C$18="x",('H-Volatilization'!E120),"---")</f>
        <v/>
      </c>
      <c r="J120" s="339" t="str">
        <f>IF(Start!$C$19="x",'H-Plant &amp; Animal'!B120,"---")</f>
        <v>---</v>
      </c>
      <c r="K120" s="343" t="str">
        <f>'H-Effluent'!Q120</f>
        <v>Not Req.</v>
      </c>
      <c r="L120" s="286" t="str">
        <f>'H-Runoff'!T120</f>
        <v>Not Req.</v>
      </c>
      <c r="M120" s="344" t="str">
        <f>'H-Runoff'!U120</f>
        <v>Not Req.</v>
      </c>
      <c r="N120" s="343" t="str">
        <f>'H-Leachate'!O120</f>
        <v/>
      </c>
      <c r="O120" s="283" t="str">
        <f>'H-Volatilization'!AV120</f>
        <v/>
      </c>
      <c r="P120" s="284" t="str">
        <f>'H-Volatilization'!AW120</f>
        <v/>
      </c>
      <c r="Q120" s="284" t="str">
        <f>'H-Volatilization'!AX120</f>
        <v/>
      </c>
      <c r="R120" s="285" t="str">
        <f>'H-Volatilization'!AY120</f>
        <v/>
      </c>
      <c r="S120" s="462"/>
      <c r="T120" s="345" t="str">
        <f>'H-Plant &amp; Animal'!L120</f>
        <v>Not Req.</v>
      </c>
      <c r="U120" s="346" t="str">
        <f>'H-Plant &amp; Animal'!M120</f>
        <v>Not Req.</v>
      </c>
      <c r="V120" s="794" t="str">
        <f>'H-Effluent'!O120</f>
        <v>---</v>
      </c>
      <c r="W120" s="797" t="str">
        <f>'H-Runoff'!Q120</f>
        <v>---</v>
      </c>
      <c r="X120" s="799" t="str">
        <f>'H-Runoff'!S120</f>
        <v>---</v>
      </c>
      <c r="Y120" s="794" t="str">
        <f>'H-Leachate'!N120</f>
        <v>NA</v>
      </c>
      <c r="Z120" s="797" t="str">
        <f>'H-Volatilization'!AD120</f>
        <v>NA</v>
      </c>
      <c r="AA120" s="798" t="str">
        <f>'H-Volatilization'!AF120</f>
        <v>NA</v>
      </c>
      <c r="AB120" s="798" t="str">
        <f>'H-Volatilization'!AO120</f>
        <v>NA</v>
      </c>
      <c r="AC120" s="799" t="str">
        <f>'H-Volatilization'!AU120</f>
        <v>NA</v>
      </c>
    </row>
    <row r="121" spans="1:29" x14ac:dyDescent="0.25">
      <c r="A121" s="56" t="s">
        <v>439</v>
      </c>
      <c r="B121" s="336" t="str">
        <f>IF(Start!$C$15="x",('H-Effluent'!B121),"---")</f>
        <v>---</v>
      </c>
      <c r="C121" s="337" t="str">
        <f>IF(Start!$C$16="x",'H-Runoff'!B121,"---")</f>
        <v>---</v>
      </c>
      <c r="D121" s="338" t="str">
        <f>IF(Start!$C$16="x",'H-Runoff'!C121,"---")</f>
        <v>---</v>
      </c>
      <c r="E121" s="868" t="str">
        <f>IF(Start!$C$17="x",'H-Leachate'!B121,"---")</f>
        <v/>
      </c>
      <c r="F121" s="340" t="str">
        <f>IF(Start!$C$18="x",('H-Volatilization'!B121),"---")</f>
        <v/>
      </c>
      <c r="G121" s="341" t="str">
        <f>IF(Start!$C$18="x",('H-Volatilization'!C121),"---")</f>
        <v/>
      </c>
      <c r="H121" s="341" t="str">
        <f>IF(Start!$C$18="x",('H-Volatilization'!D121),"---")</f>
        <v/>
      </c>
      <c r="I121" s="342" t="str">
        <f>IF(Start!$C$18="x",('H-Volatilization'!E121),"---")</f>
        <v/>
      </c>
      <c r="J121" s="339" t="str">
        <f>IF(Start!$C$19="x",'H-Plant &amp; Animal'!B121,"---")</f>
        <v>---</v>
      </c>
      <c r="K121" s="343" t="str">
        <f>'H-Effluent'!Q121</f>
        <v>Not Req.</v>
      </c>
      <c r="L121" s="286" t="str">
        <f>'H-Runoff'!T121</f>
        <v>Not Req.</v>
      </c>
      <c r="M121" s="344" t="str">
        <f>'H-Runoff'!U121</f>
        <v>Not Req.</v>
      </c>
      <c r="N121" s="343" t="str">
        <f>'H-Leachate'!O121</f>
        <v/>
      </c>
      <c r="O121" s="283" t="str">
        <f>'H-Volatilization'!AV121</f>
        <v/>
      </c>
      <c r="P121" s="284" t="str">
        <f>'H-Volatilization'!AW121</f>
        <v/>
      </c>
      <c r="Q121" s="284" t="str">
        <f>'H-Volatilization'!AX121</f>
        <v/>
      </c>
      <c r="R121" s="285" t="str">
        <f>'H-Volatilization'!AY121</f>
        <v/>
      </c>
      <c r="S121" s="462"/>
      <c r="T121" s="345" t="str">
        <f>'H-Plant &amp; Animal'!L121</f>
        <v>Not Req.</v>
      </c>
      <c r="U121" s="346" t="str">
        <f>'H-Plant &amp; Animal'!M121</f>
        <v>Not Req.</v>
      </c>
      <c r="V121" s="794" t="str">
        <f>'H-Effluent'!O121</f>
        <v>---</v>
      </c>
      <c r="W121" s="797" t="str">
        <f>'H-Runoff'!Q121</f>
        <v>---</v>
      </c>
      <c r="X121" s="799" t="str">
        <f>'H-Runoff'!S121</f>
        <v>---</v>
      </c>
      <c r="Y121" s="794" t="str">
        <f>'H-Leachate'!N121</f>
        <v>NA</v>
      </c>
      <c r="Z121" s="797" t="str">
        <f>'H-Volatilization'!AD121</f>
        <v>NA</v>
      </c>
      <c r="AA121" s="798" t="str">
        <f>'H-Volatilization'!AF121</f>
        <v>NA</v>
      </c>
      <c r="AB121" s="798" t="str">
        <f>'H-Volatilization'!AO121</f>
        <v>NA</v>
      </c>
      <c r="AC121" s="799" t="str">
        <f>'H-Volatilization'!AU121</f>
        <v>NA</v>
      </c>
    </row>
    <row r="122" spans="1:29" x14ac:dyDescent="0.25">
      <c r="A122" s="56" t="s">
        <v>440</v>
      </c>
      <c r="B122" s="336" t="str">
        <f>IF(Start!$C$15="x",('H-Effluent'!B122),"---")</f>
        <v>---</v>
      </c>
      <c r="C122" s="337" t="str">
        <f>IF(Start!$C$16="x",'H-Runoff'!B122,"---")</f>
        <v>---</v>
      </c>
      <c r="D122" s="338" t="str">
        <f>IF(Start!$C$16="x",'H-Runoff'!C122,"---")</f>
        <v>---</v>
      </c>
      <c r="E122" s="868" t="str">
        <f>IF(Start!$C$17="x",'H-Leachate'!B122,"---")</f>
        <v/>
      </c>
      <c r="F122" s="340" t="str">
        <f>IF(Start!$C$18="x",('H-Volatilization'!B122),"---")</f>
        <v/>
      </c>
      <c r="G122" s="341" t="str">
        <f>IF(Start!$C$18="x",('H-Volatilization'!C122),"---")</f>
        <v/>
      </c>
      <c r="H122" s="341" t="str">
        <f>IF(Start!$C$18="x",('H-Volatilization'!D122),"---")</f>
        <v/>
      </c>
      <c r="I122" s="342" t="str">
        <f>IF(Start!$C$18="x",('H-Volatilization'!E122),"---")</f>
        <v/>
      </c>
      <c r="J122" s="339" t="str">
        <f>IF(Start!$C$19="x",'H-Plant &amp; Animal'!B122,"---")</f>
        <v>---</v>
      </c>
      <c r="K122" s="343" t="str">
        <f>'H-Effluent'!Q122</f>
        <v>Not Req.</v>
      </c>
      <c r="L122" s="286" t="str">
        <f>'H-Runoff'!T122</f>
        <v>Not Req.</v>
      </c>
      <c r="M122" s="344" t="str">
        <f>'H-Runoff'!U122</f>
        <v>Not Req.</v>
      </c>
      <c r="N122" s="343" t="str">
        <f>'H-Leachate'!O122</f>
        <v/>
      </c>
      <c r="O122" s="283" t="str">
        <f>'H-Volatilization'!AV122</f>
        <v/>
      </c>
      <c r="P122" s="284" t="str">
        <f>'H-Volatilization'!AW122</f>
        <v/>
      </c>
      <c r="Q122" s="284" t="str">
        <f>'H-Volatilization'!AX122</f>
        <v/>
      </c>
      <c r="R122" s="285" t="str">
        <f>'H-Volatilization'!AY122</f>
        <v/>
      </c>
      <c r="S122" s="462"/>
      <c r="T122" s="345" t="str">
        <f>'H-Plant &amp; Animal'!L122</f>
        <v>Not Req.</v>
      </c>
      <c r="U122" s="346" t="str">
        <f>'H-Plant &amp; Animal'!M122</f>
        <v>Not Req.</v>
      </c>
      <c r="V122" s="794" t="str">
        <f>'H-Effluent'!O122</f>
        <v>---</v>
      </c>
      <c r="W122" s="797" t="str">
        <f>'H-Runoff'!Q122</f>
        <v>---</v>
      </c>
      <c r="X122" s="799" t="str">
        <f>'H-Runoff'!S122</f>
        <v>---</v>
      </c>
      <c r="Y122" s="794" t="str">
        <f>'H-Leachate'!N122</f>
        <v>NA</v>
      </c>
      <c r="Z122" s="797" t="str">
        <f>'H-Volatilization'!AD122</f>
        <v>NA</v>
      </c>
      <c r="AA122" s="798" t="str">
        <f>'H-Volatilization'!AF122</f>
        <v>NA</v>
      </c>
      <c r="AB122" s="798" t="str">
        <f>'H-Volatilization'!AO122</f>
        <v>NA</v>
      </c>
      <c r="AC122" s="799" t="str">
        <f>'H-Volatilization'!AU122</f>
        <v>NA</v>
      </c>
    </row>
    <row r="123" spans="1:29" x14ac:dyDescent="0.25">
      <c r="A123" s="60" t="s">
        <v>441</v>
      </c>
      <c r="B123" s="336" t="str">
        <f>IF(Start!$C$15="x",('H-Effluent'!B123),"---")</f>
        <v>---</v>
      </c>
      <c r="C123" s="337" t="str">
        <f>IF(Start!$C$16="x",'H-Runoff'!B123,"---")</f>
        <v>---</v>
      </c>
      <c r="D123" s="338" t="str">
        <f>IF(Start!$C$16="x",'H-Runoff'!C123,"---")</f>
        <v>---</v>
      </c>
      <c r="E123" s="868" t="str">
        <f>IF(Start!$C$17="x",'H-Leachate'!B123,"---")</f>
        <v/>
      </c>
      <c r="F123" s="340" t="str">
        <f>IF(Start!$C$18="x",('H-Volatilization'!B123),"---")</f>
        <v/>
      </c>
      <c r="G123" s="341" t="str">
        <f>IF(Start!$C$18="x",('H-Volatilization'!C123),"---")</f>
        <v/>
      </c>
      <c r="H123" s="341" t="str">
        <f>IF(Start!$C$18="x",('H-Volatilization'!D123),"---")</f>
        <v/>
      </c>
      <c r="I123" s="342" t="str">
        <f>IF(Start!$C$18="x",('H-Volatilization'!E123),"---")</f>
        <v/>
      </c>
      <c r="J123" s="339" t="str">
        <f>IF(Start!$C$19="x",'H-Plant &amp; Animal'!B123,"---")</f>
        <v>---</v>
      </c>
      <c r="K123" s="343" t="str">
        <f>'H-Effluent'!Q123</f>
        <v>Not Req.</v>
      </c>
      <c r="L123" s="286" t="str">
        <f>'H-Runoff'!T123</f>
        <v>Not Req.</v>
      </c>
      <c r="M123" s="344" t="str">
        <f>'H-Runoff'!U123</f>
        <v>Not Req.</v>
      </c>
      <c r="N123" s="343" t="str">
        <f>'H-Leachate'!O123</f>
        <v/>
      </c>
      <c r="O123" s="283" t="str">
        <f>'H-Volatilization'!AV123</f>
        <v/>
      </c>
      <c r="P123" s="284" t="str">
        <f>'H-Volatilization'!AW123</f>
        <v/>
      </c>
      <c r="Q123" s="284" t="str">
        <f>'H-Volatilization'!AX123</f>
        <v/>
      </c>
      <c r="R123" s="285" t="str">
        <f>'H-Volatilization'!AY123</f>
        <v/>
      </c>
      <c r="S123" s="462"/>
      <c r="T123" s="345" t="str">
        <f>'H-Plant &amp; Animal'!L123</f>
        <v>Not Req.</v>
      </c>
      <c r="U123" s="346" t="str">
        <f>'H-Plant &amp; Animal'!M123</f>
        <v>Not Req.</v>
      </c>
      <c r="V123" s="794" t="str">
        <f>'H-Effluent'!O123</f>
        <v>---</v>
      </c>
      <c r="W123" s="797" t="str">
        <f>'H-Runoff'!Q123</f>
        <v>---</v>
      </c>
      <c r="X123" s="799" t="str">
        <f>'H-Runoff'!S123</f>
        <v>---</v>
      </c>
      <c r="Y123" s="794" t="str">
        <f>'H-Leachate'!N123</f>
        <v>NA</v>
      </c>
      <c r="Z123" s="797" t="str">
        <f>'H-Volatilization'!AD123</f>
        <v>NA</v>
      </c>
      <c r="AA123" s="798" t="str">
        <f>'H-Volatilization'!AF123</f>
        <v>NA</v>
      </c>
      <c r="AB123" s="798" t="str">
        <f>'H-Volatilization'!AO123</f>
        <v>NA</v>
      </c>
      <c r="AC123" s="799" t="str">
        <f>'H-Volatilization'!AU123</f>
        <v>NA</v>
      </c>
    </row>
    <row r="124" spans="1:29" x14ac:dyDescent="0.25">
      <c r="A124" s="56" t="s">
        <v>667</v>
      </c>
      <c r="B124" s="336" t="str">
        <f>IF(Start!$C$15="x",('H-Effluent'!B124),"---")</f>
        <v>---</v>
      </c>
      <c r="C124" s="337" t="str">
        <f>IF(Start!$C$16="x",'H-Runoff'!B124,"---")</f>
        <v>---</v>
      </c>
      <c r="D124" s="338" t="str">
        <f>IF(Start!$C$16="x",'H-Runoff'!C124,"---")</f>
        <v>---</v>
      </c>
      <c r="E124" s="868" t="str">
        <f>IF(Start!$C$17="x",'H-Leachate'!B124,"---")</f>
        <v/>
      </c>
      <c r="F124" s="340" t="str">
        <f>IF(Start!$C$18="x",('H-Volatilization'!B124),"---")</f>
        <v/>
      </c>
      <c r="G124" s="341" t="str">
        <f>IF(Start!$C$18="x",('H-Volatilization'!C124),"---")</f>
        <v/>
      </c>
      <c r="H124" s="341" t="str">
        <f>IF(Start!$C$18="x",('H-Volatilization'!D124),"---")</f>
        <v/>
      </c>
      <c r="I124" s="342" t="str">
        <f>IF(Start!$C$18="x",('H-Volatilization'!E124),"---")</f>
        <v/>
      </c>
      <c r="J124" s="339" t="str">
        <f>IF(Start!$C$19="x",'H-Plant &amp; Animal'!B124,"---")</f>
        <v>---</v>
      </c>
      <c r="K124" s="343" t="str">
        <f>'H-Effluent'!Q124</f>
        <v>Not Req.</v>
      </c>
      <c r="L124" s="286" t="str">
        <f>'H-Runoff'!T124</f>
        <v>Not Req.</v>
      </c>
      <c r="M124" s="344" t="str">
        <f>'H-Runoff'!U124</f>
        <v>Not Req.</v>
      </c>
      <c r="N124" s="343" t="str">
        <f>'H-Leachate'!O124</f>
        <v/>
      </c>
      <c r="O124" s="283" t="str">
        <f>'H-Volatilization'!AV124</f>
        <v/>
      </c>
      <c r="P124" s="284" t="str">
        <f>'H-Volatilization'!AW124</f>
        <v/>
      </c>
      <c r="Q124" s="284" t="str">
        <f>'H-Volatilization'!AX124</f>
        <v/>
      </c>
      <c r="R124" s="285" t="str">
        <f>'H-Volatilization'!AY124</f>
        <v/>
      </c>
      <c r="S124" s="462"/>
      <c r="T124" s="345" t="str">
        <f>'H-Plant &amp; Animal'!L124</f>
        <v>Not Req.</v>
      </c>
      <c r="U124" s="346" t="str">
        <f>'H-Plant &amp; Animal'!M124</f>
        <v>Not Req.</v>
      </c>
      <c r="V124" s="794" t="str">
        <f>'H-Effluent'!O124</f>
        <v>---</v>
      </c>
      <c r="W124" s="797" t="str">
        <f>'H-Runoff'!Q124</f>
        <v>---</v>
      </c>
      <c r="X124" s="799" t="str">
        <f>'H-Runoff'!S124</f>
        <v>---</v>
      </c>
      <c r="Y124" s="794" t="str">
        <f>'H-Leachate'!N124</f>
        <v>NA</v>
      </c>
      <c r="Z124" s="797" t="str">
        <f>'H-Volatilization'!AD124</f>
        <v>NA</v>
      </c>
      <c r="AA124" s="798" t="str">
        <f>'H-Volatilization'!AF124</f>
        <v>NA</v>
      </c>
      <c r="AB124" s="798" t="str">
        <f>'H-Volatilization'!AO124</f>
        <v>NA</v>
      </c>
      <c r="AC124" s="799" t="str">
        <f>'H-Volatilization'!AU124</f>
        <v>NA</v>
      </c>
    </row>
    <row r="125" spans="1:29" x14ac:dyDescent="0.25">
      <c r="A125" s="56" t="s">
        <v>668</v>
      </c>
      <c r="B125" s="336" t="str">
        <f>IF(Start!$C$15="x",('H-Effluent'!B125),"---")</f>
        <v>---</v>
      </c>
      <c r="C125" s="337" t="str">
        <f>IF(Start!$C$16="x",'H-Runoff'!B125,"---")</f>
        <v>---</v>
      </c>
      <c r="D125" s="338" t="str">
        <f>IF(Start!$C$16="x",'H-Runoff'!C125,"---")</f>
        <v>---</v>
      </c>
      <c r="E125" s="868" t="str">
        <f>IF(Start!$C$17="x",'H-Leachate'!B125,"---")</f>
        <v/>
      </c>
      <c r="F125" s="340" t="str">
        <f>IF(Start!$C$18="x",('H-Volatilization'!B125),"---")</f>
        <v/>
      </c>
      <c r="G125" s="341" t="str">
        <f>IF(Start!$C$18="x",('H-Volatilization'!C125),"---")</f>
        <v/>
      </c>
      <c r="H125" s="341" t="str">
        <f>IF(Start!$C$18="x",('H-Volatilization'!D125),"---")</f>
        <v/>
      </c>
      <c r="I125" s="342" t="str">
        <f>IF(Start!$C$18="x",('H-Volatilization'!E125),"---")</f>
        <v/>
      </c>
      <c r="J125" s="339" t="str">
        <f>IF(Start!$C$19="x",'H-Plant &amp; Animal'!B125,"---")</f>
        <v>---</v>
      </c>
      <c r="K125" s="343" t="str">
        <f>'H-Effluent'!Q125</f>
        <v>Not Req.</v>
      </c>
      <c r="L125" s="286" t="str">
        <f>'H-Runoff'!T125</f>
        <v>Not Req.</v>
      </c>
      <c r="M125" s="344" t="str">
        <f>'H-Runoff'!U125</f>
        <v>Not Req.</v>
      </c>
      <c r="N125" s="343" t="str">
        <f>'H-Leachate'!O125</f>
        <v/>
      </c>
      <c r="O125" s="283" t="str">
        <f>'H-Volatilization'!AV125</f>
        <v/>
      </c>
      <c r="P125" s="284" t="str">
        <f>'H-Volatilization'!AW125</f>
        <v/>
      </c>
      <c r="Q125" s="284" t="str">
        <f>'H-Volatilization'!AX125</f>
        <v/>
      </c>
      <c r="R125" s="285" t="str">
        <f>'H-Volatilization'!AY125</f>
        <v/>
      </c>
      <c r="S125" s="462"/>
      <c r="T125" s="345" t="str">
        <f>'H-Plant &amp; Animal'!L125</f>
        <v>Not Req.</v>
      </c>
      <c r="U125" s="346" t="str">
        <f>'H-Plant &amp; Animal'!M125</f>
        <v>Not Req.</v>
      </c>
      <c r="V125" s="794" t="str">
        <f>'H-Effluent'!O125</f>
        <v>---</v>
      </c>
      <c r="W125" s="797" t="str">
        <f>'H-Runoff'!Q125</f>
        <v>---</v>
      </c>
      <c r="X125" s="799" t="str">
        <f>'H-Runoff'!S125</f>
        <v>---</v>
      </c>
      <c r="Y125" s="794" t="str">
        <f>'H-Leachate'!N125</f>
        <v>NA</v>
      </c>
      <c r="Z125" s="797" t="str">
        <f>'H-Volatilization'!AD125</f>
        <v>NA</v>
      </c>
      <c r="AA125" s="798" t="str">
        <f>'H-Volatilization'!AF125</f>
        <v>NA</v>
      </c>
      <c r="AB125" s="798" t="str">
        <f>'H-Volatilization'!AO125</f>
        <v>NA</v>
      </c>
      <c r="AC125" s="799" t="str">
        <f>'H-Volatilization'!AU125</f>
        <v>NA</v>
      </c>
    </row>
    <row r="126" spans="1:29" x14ac:dyDescent="0.25">
      <c r="A126" s="56" t="s">
        <v>444</v>
      </c>
      <c r="B126" s="336" t="str">
        <f>IF(Start!$C$15="x",('H-Effluent'!B126),"---")</f>
        <v>---</v>
      </c>
      <c r="C126" s="337" t="str">
        <f>IF(Start!$C$16="x",'H-Runoff'!B126,"---")</f>
        <v>---</v>
      </c>
      <c r="D126" s="338" t="str">
        <f>IF(Start!$C$16="x",'H-Runoff'!C126,"---")</f>
        <v>---</v>
      </c>
      <c r="E126" s="868" t="str">
        <f>IF(Start!$C$17="x",'H-Leachate'!B126,"---")</f>
        <v/>
      </c>
      <c r="F126" s="340" t="str">
        <f>IF(Start!$C$18="x",('H-Volatilization'!B126),"---")</f>
        <v/>
      </c>
      <c r="G126" s="341" t="str">
        <f>IF(Start!$C$18="x",('H-Volatilization'!C126),"---")</f>
        <v/>
      </c>
      <c r="H126" s="341" t="str">
        <f>IF(Start!$C$18="x",('H-Volatilization'!D126),"---")</f>
        <v/>
      </c>
      <c r="I126" s="342" t="str">
        <f>IF(Start!$C$18="x",('H-Volatilization'!E126),"---")</f>
        <v/>
      </c>
      <c r="J126" s="339" t="str">
        <f>IF(Start!$C$19="x",'H-Plant &amp; Animal'!B126,"---")</f>
        <v>---</v>
      </c>
      <c r="K126" s="343" t="str">
        <f>'H-Effluent'!Q126</f>
        <v>Not Req.</v>
      </c>
      <c r="L126" s="286" t="str">
        <f>'H-Runoff'!T126</f>
        <v>Not Req.</v>
      </c>
      <c r="M126" s="344" t="str">
        <f>'H-Runoff'!U126</f>
        <v>Not Req.</v>
      </c>
      <c r="N126" s="343" t="str">
        <f>'H-Leachate'!O126</f>
        <v/>
      </c>
      <c r="O126" s="283" t="str">
        <f>'H-Volatilization'!AV126</f>
        <v/>
      </c>
      <c r="P126" s="284" t="str">
        <f>'H-Volatilization'!AW126</f>
        <v/>
      </c>
      <c r="Q126" s="284" t="str">
        <f>'H-Volatilization'!AX126</f>
        <v/>
      </c>
      <c r="R126" s="285" t="str">
        <f>'H-Volatilization'!AY126</f>
        <v/>
      </c>
      <c r="S126" s="462"/>
      <c r="T126" s="345" t="str">
        <f>'H-Plant &amp; Animal'!L126</f>
        <v>Not Req.</v>
      </c>
      <c r="U126" s="346" t="str">
        <f>'H-Plant &amp; Animal'!M126</f>
        <v>Not Req.</v>
      </c>
      <c r="V126" s="794" t="str">
        <f>'H-Effluent'!O126</f>
        <v>---</v>
      </c>
      <c r="W126" s="797" t="str">
        <f>'H-Runoff'!Q126</f>
        <v>---</v>
      </c>
      <c r="X126" s="799" t="str">
        <f>'H-Runoff'!S126</f>
        <v>---</v>
      </c>
      <c r="Y126" s="794" t="str">
        <f>'H-Leachate'!N126</f>
        <v>NA</v>
      </c>
      <c r="Z126" s="797" t="str">
        <f>'H-Volatilization'!AD126</f>
        <v>NA</v>
      </c>
      <c r="AA126" s="798" t="str">
        <f>'H-Volatilization'!AF126</f>
        <v>NA</v>
      </c>
      <c r="AB126" s="798" t="str">
        <f>'H-Volatilization'!AO126</f>
        <v>NA</v>
      </c>
      <c r="AC126" s="799" t="str">
        <f>'H-Volatilization'!AU126</f>
        <v>NA</v>
      </c>
    </row>
    <row r="127" spans="1:29" x14ac:dyDescent="0.25">
      <c r="A127" s="56" t="s">
        <v>445</v>
      </c>
      <c r="B127" s="336" t="str">
        <f>IF(Start!$C$15="x",('H-Effluent'!B127),"---")</f>
        <v>---</v>
      </c>
      <c r="C127" s="337" t="str">
        <f>IF(Start!$C$16="x",'H-Runoff'!B127,"---")</f>
        <v>---</v>
      </c>
      <c r="D127" s="338" t="str">
        <f>IF(Start!$C$16="x",'H-Runoff'!C127,"---")</f>
        <v>---</v>
      </c>
      <c r="E127" s="868" t="str">
        <f>IF(Start!$C$17="x",'H-Leachate'!B127,"---")</f>
        <v/>
      </c>
      <c r="F127" s="340" t="str">
        <f>IF(Start!$C$18="x",('H-Volatilization'!B127),"---")</f>
        <v/>
      </c>
      <c r="G127" s="341" t="str">
        <f>IF(Start!$C$18="x",('H-Volatilization'!C127),"---")</f>
        <v/>
      </c>
      <c r="H127" s="341" t="str">
        <f>IF(Start!$C$18="x",('H-Volatilization'!D127),"---")</f>
        <v/>
      </c>
      <c r="I127" s="342" t="str">
        <f>IF(Start!$C$18="x",('H-Volatilization'!E127),"---")</f>
        <v/>
      </c>
      <c r="J127" s="339" t="str">
        <f>IF(Start!$C$19="x",'H-Plant &amp; Animal'!B127,"---")</f>
        <v>---</v>
      </c>
      <c r="K127" s="343" t="str">
        <f>'H-Effluent'!Q127</f>
        <v>Not Req.</v>
      </c>
      <c r="L127" s="286" t="str">
        <f>'H-Runoff'!T127</f>
        <v>Not Req.</v>
      </c>
      <c r="M127" s="344" t="str">
        <f>'H-Runoff'!U127</f>
        <v>Not Req.</v>
      </c>
      <c r="N127" s="343" t="str">
        <f>'H-Leachate'!O127</f>
        <v/>
      </c>
      <c r="O127" s="283" t="str">
        <f>'H-Volatilization'!AV127</f>
        <v/>
      </c>
      <c r="P127" s="284" t="str">
        <f>'H-Volatilization'!AW127</f>
        <v/>
      </c>
      <c r="Q127" s="284" t="str">
        <f>'H-Volatilization'!AX127</f>
        <v/>
      </c>
      <c r="R127" s="285" t="str">
        <f>'H-Volatilization'!AY127</f>
        <v/>
      </c>
      <c r="S127" s="462"/>
      <c r="T127" s="345" t="str">
        <f>'H-Plant &amp; Animal'!L127</f>
        <v>Not Req.</v>
      </c>
      <c r="U127" s="346" t="str">
        <f>'H-Plant &amp; Animal'!M127</f>
        <v>Not Req.</v>
      </c>
      <c r="V127" s="794" t="str">
        <f>'H-Effluent'!O127</f>
        <v>---</v>
      </c>
      <c r="W127" s="797" t="str">
        <f>'H-Runoff'!Q127</f>
        <v>---</v>
      </c>
      <c r="X127" s="799" t="str">
        <f>'H-Runoff'!S127</f>
        <v>---</v>
      </c>
      <c r="Y127" s="794" t="str">
        <f>'H-Leachate'!N127</f>
        <v>NA</v>
      </c>
      <c r="Z127" s="797" t="str">
        <f>'H-Volatilization'!AD127</f>
        <v>NA</v>
      </c>
      <c r="AA127" s="798" t="str">
        <f>'H-Volatilization'!AF127</f>
        <v>NA</v>
      </c>
      <c r="AB127" s="798" t="str">
        <f>'H-Volatilization'!AO127</f>
        <v>NA</v>
      </c>
      <c r="AC127" s="799" t="str">
        <f>'H-Volatilization'!AU127</f>
        <v>NA</v>
      </c>
    </row>
    <row r="128" spans="1:29" x14ac:dyDescent="0.25">
      <c r="A128" s="56" t="s">
        <v>446</v>
      </c>
      <c r="B128" s="336" t="str">
        <f>IF(Start!$C$15="x",('H-Effluent'!B128),"---")</f>
        <v>---</v>
      </c>
      <c r="C128" s="337" t="str">
        <f>IF(Start!$C$16="x",'H-Runoff'!B128,"---")</f>
        <v>---</v>
      </c>
      <c r="D128" s="338" t="str">
        <f>IF(Start!$C$16="x",'H-Runoff'!C128,"---")</f>
        <v>---</v>
      </c>
      <c r="E128" s="868" t="str">
        <f>IF(Start!$C$17="x",'H-Leachate'!B128,"---")</f>
        <v/>
      </c>
      <c r="F128" s="340" t="str">
        <f>IF(Start!$C$18="x",('H-Volatilization'!B128),"---")</f>
        <v/>
      </c>
      <c r="G128" s="341" t="str">
        <f>IF(Start!$C$18="x",('H-Volatilization'!C128),"---")</f>
        <v/>
      </c>
      <c r="H128" s="341" t="str">
        <f>IF(Start!$C$18="x",('H-Volatilization'!D128),"---")</f>
        <v/>
      </c>
      <c r="I128" s="342" t="str">
        <f>IF(Start!$C$18="x",('H-Volatilization'!E128),"---")</f>
        <v/>
      </c>
      <c r="J128" s="339" t="str">
        <f>IF(Start!$C$19="x",'H-Plant &amp; Animal'!B128,"---")</f>
        <v>---</v>
      </c>
      <c r="K128" s="343" t="str">
        <f>'H-Effluent'!Q128</f>
        <v>Not Req.</v>
      </c>
      <c r="L128" s="286" t="str">
        <f>'H-Runoff'!T128</f>
        <v>Not Req.</v>
      </c>
      <c r="M128" s="344" t="str">
        <f>'H-Runoff'!U128</f>
        <v>Not Req.</v>
      </c>
      <c r="N128" s="343" t="str">
        <f>'H-Leachate'!O128</f>
        <v/>
      </c>
      <c r="O128" s="283" t="str">
        <f>'H-Volatilization'!AV128</f>
        <v/>
      </c>
      <c r="P128" s="284" t="str">
        <f>'H-Volatilization'!AW128</f>
        <v/>
      </c>
      <c r="Q128" s="284" t="str">
        <f>'H-Volatilization'!AX128</f>
        <v/>
      </c>
      <c r="R128" s="285" t="str">
        <f>'H-Volatilization'!AY128</f>
        <v/>
      </c>
      <c r="S128" s="462"/>
      <c r="T128" s="345" t="str">
        <f>'H-Plant &amp; Animal'!L128</f>
        <v>Not Req.</v>
      </c>
      <c r="U128" s="346" t="str">
        <f>'H-Plant &amp; Animal'!M128</f>
        <v>Not Req.</v>
      </c>
      <c r="V128" s="794" t="str">
        <f>'H-Effluent'!O128</f>
        <v>---</v>
      </c>
      <c r="W128" s="797" t="str">
        <f>'H-Runoff'!Q128</f>
        <v>---</v>
      </c>
      <c r="X128" s="799" t="str">
        <f>'H-Runoff'!S128</f>
        <v>---</v>
      </c>
      <c r="Y128" s="794" t="str">
        <f>'H-Leachate'!N128</f>
        <v>NA</v>
      </c>
      <c r="Z128" s="797" t="str">
        <f>'H-Volatilization'!AD128</f>
        <v>NA</v>
      </c>
      <c r="AA128" s="798" t="str">
        <f>'H-Volatilization'!AF128</f>
        <v>NA</v>
      </c>
      <c r="AB128" s="798" t="str">
        <f>'H-Volatilization'!AO128</f>
        <v>NA</v>
      </c>
      <c r="AC128" s="799" t="str">
        <f>'H-Volatilization'!AU128</f>
        <v>NA</v>
      </c>
    </row>
    <row r="129" spans="1:29" x14ac:dyDescent="0.25">
      <c r="A129" s="56" t="s">
        <v>447</v>
      </c>
      <c r="B129" s="336" t="str">
        <f>IF(Start!$C$15="x",('H-Effluent'!B129),"---")</f>
        <v>---</v>
      </c>
      <c r="C129" s="337" t="str">
        <f>IF(Start!$C$16="x",'H-Runoff'!B129,"---")</f>
        <v>---</v>
      </c>
      <c r="D129" s="338" t="str">
        <f>IF(Start!$C$16="x",'H-Runoff'!C129,"---")</f>
        <v>---</v>
      </c>
      <c r="E129" s="868" t="str">
        <f>IF(Start!$C$17="x",'H-Leachate'!B129,"---")</f>
        <v/>
      </c>
      <c r="F129" s="340" t="str">
        <f>IF(Start!$C$18="x",('H-Volatilization'!B129),"---")</f>
        <v/>
      </c>
      <c r="G129" s="341" t="str">
        <f>IF(Start!$C$18="x",('H-Volatilization'!C129),"---")</f>
        <v/>
      </c>
      <c r="H129" s="341" t="str">
        <f>IF(Start!$C$18="x",('H-Volatilization'!D129),"---")</f>
        <v/>
      </c>
      <c r="I129" s="342" t="str">
        <f>IF(Start!$C$18="x",('H-Volatilization'!E129),"---")</f>
        <v/>
      </c>
      <c r="J129" s="339" t="str">
        <f>IF(Start!$C$19="x",'H-Plant &amp; Animal'!B129,"---")</f>
        <v>---</v>
      </c>
      <c r="K129" s="343" t="str">
        <f>'H-Effluent'!Q129</f>
        <v>Not Req.</v>
      </c>
      <c r="L129" s="286" t="str">
        <f>'H-Runoff'!T129</f>
        <v>Not Req.</v>
      </c>
      <c r="M129" s="344" t="str">
        <f>'H-Runoff'!U129</f>
        <v>Not Req.</v>
      </c>
      <c r="N129" s="343" t="str">
        <f>'H-Leachate'!O129</f>
        <v/>
      </c>
      <c r="O129" s="283" t="str">
        <f>'H-Volatilization'!AV129</f>
        <v/>
      </c>
      <c r="P129" s="284" t="str">
        <f>'H-Volatilization'!AW129</f>
        <v/>
      </c>
      <c r="Q129" s="284" t="str">
        <f>'H-Volatilization'!AX129</f>
        <v/>
      </c>
      <c r="R129" s="285" t="str">
        <f>'H-Volatilization'!AY129</f>
        <v/>
      </c>
      <c r="S129" s="462"/>
      <c r="T129" s="345" t="str">
        <f>'H-Plant &amp; Animal'!L129</f>
        <v>Not Req.</v>
      </c>
      <c r="U129" s="346" t="str">
        <f>'H-Plant &amp; Animal'!M129</f>
        <v>Not Req.</v>
      </c>
      <c r="V129" s="794" t="str">
        <f>'H-Effluent'!O129</f>
        <v>---</v>
      </c>
      <c r="W129" s="797" t="str">
        <f>'H-Runoff'!Q129</f>
        <v>---</v>
      </c>
      <c r="X129" s="799" t="str">
        <f>'H-Runoff'!S129</f>
        <v>---</v>
      </c>
      <c r="Y129" s="794" t="str">
        <f>'H-Leachate'!N129</f>
        <v>NA</v>
      </c>
      <c r="Z129" s="797" t="str">
        <f>'H-Volatilization'!AD129</f>
        <v>NA</v>
      </c>
      <c r="AA129" s="798" t="str">
        <f>'H-Volatilization'!AF129</f>
        <v>NA</v>
      </c>
      <c r="AB129" s="798" t="str">
        <f>'H-Volatilization'!AO129</f>
        <v>NA</v>
      </c>
      <c r="AC129" s="799" t="str">
        <f>'H-Volatilization'!AU129</f>
        <v>NA</v>
      </c>
    </row>
    <row r="130" spans="1:29" x14ac:dyDescent="0.25">
      <c r="A130" s="56" t="s">
        <v>448</v>
      </c>
      <c r="B130" s="336" t="str">
        <f>IF(Start!$C$15="x",('H-Effluent'!B130),"---")</f>
        <v>---</v>
      </c>
      <c r="C130" s="337" t="str">
        <f>IF(Start!$C$16="x",'H-Runoff'!B130,"---")</f>
        <v>---</v>
      </c>
      <c r="D130" s="338" t="str">
        <f>IF(Start!$C$16="x",'H-Runoff'!C130,"---")</f>
        <v>---</v>
      </c>
      <c r="E130" s="868" t="str">
        <f>IF(Start!$C$17="x",'H-Leachate'!B130,"---")</f>
        <v/>
      </c>
      <c r="F130" s="340" t="str">
        <f>IF(Start!$C$18="x",('H-Volatilization'!B130),"---")</f>
        <v/>
      </c>
      <c r="G130" s="341" t="str">
        <f>IF(Start!$C$18="x",('H-Volatilization'!C130),"---")</f>
        <v/>
      </c>
      <c r="H130" s="341" t="str">
        <f>IF(Start!$C$18="x",('H-Volatilization'!D130),"---")</f>
        <v/>
      </c>
      <c r="I130" s="342" t="str">
        <f>IF(Start!$C$18="x",('H-Volatilization'!E130),"---")</f>
        <v/>
      </c>
      <c r="J130" s="339" t="str">
        <f>IF(Start!$C$19="x",'H-Plant &amp; Animal'!B130,"---")</f>
        <v>---</v>
      </c>
      <c r="K130" s="343" t="str">
        <f>'H-Effluent'!Q130</f>
        <v>Not Req.</v>
      </c>
      <c r="L130" s="286" t="str">
        <f>'H-Runoff'!T130</f>
        <v>Not Req.</v>
      </c>
      <c r="M130" s="344" t="str">
        <f>'H-Runoff'!U130</f>
        <v>Not Req.</v>
      </c>
      <c r="N130" s="343" t="str">
        <f>'H-Leachate'!O130</f>
        <v/>
      </c>
      <c r="O130" s="283" t="str">
        <f>'H-Volatilization'!AV130</f>
        <v/>
      </c>
      <c r="P130" s="284" t="str">
        <f>'H-Volatilization'!AW130</f>
        <v/>
      </c>
      <c r="Q130" s="284" t="str">
        <f>'H-Volatilization'!AX130</f>
        <v/>
      </c>
      <c r="R130" s="285" t="str">
        <f>'H-Volatilization'!AY130</f>
        <v/>
      </c>
      <c r="S130" s="462"/>
      <c r="T130" s="345" t="str">
        <f>'H-Plant &amp; Animal'!L130</f>
        <v>Not Req.</v>
      </c>
      <c r="U130" s="346" t="str">
        <f>'H-Plant &amp; Animal'!M130</f>
        <v>Not Req.</v>
      </c>
      <c r="V130" s="794" t="str">
        <f>'H-Effluent'!O130</f>
        <v>---</v>
      </c>
      <c r="W130" s="797" t="str">
        <f>'H-Runoff'!Q130</f>
        <v>---</v>
      </c>
      <c r="X130" s="799" t="str">
        <f>'H-Runoff'!S130</f>
        <v>---</v>
      </c>
      <c r="Y130" s="794" t="str">
        <f>'H-Leachate'!N130</f>
        <v>NA</v>
      </c>
      <c r="Z130" s="797" t="str">
        <f>'H-Volatilization'!AD130</f>
        <v>NA</v>
      </c>
      <c r="AA130" s="798" t="str">
        <f>'H-Volatilization'!AF130</f>
        <v>NA</v>
      </c>
      <c r="AB130" s="798" t="str">
        <f>'H-Volatilization'!AO130</f>
        <v>NA</v>
      </c>
      <c r="AC130" s="799" t="str">
        <f>'H-Volatilization'!AU130</f>
        <v>NA</v>
      </c>
    </row>
    <row r="131" spans="1:29" x14ac:dyDescent="0.25">
      <c r="A131" s="56" t="s">
        <v>449</v>
      </c>
      <c r="B131" s="336" t="str">
        <f>IF(Start!$C$15="x",('H-Effluent'!B131),"---")</f>
        <v>---</v>
      </c>
      <c r="C131" s="337" t="str">
        <f>IF(Start!$C$16="x",'H-Runoff'!B131,"---")</f>
        <v>---</v>
      </c>
      <c r="D131" s="338" t="str">
        <f>IF(Start!$C$16="x",'H-Runoff'!C131,"---")</f>
        <v>---</v>
      </c>
      <c r="E131" s="868" t="str">
        <f>IF(Start!$C$17="x",'H-Leachate'!B131,"---")</f>
        <v/>
      </c>
      <c r="F131" s="340" t="str">
        <f>IF(Start!$C$18="x",('H-Volatilization'!B131),"---")</f>
        <v/>
      </c>
      <c r="G131" s="341" t="str">
        <f>IF(Start!$C$18="x",('H-Volatilization'!C131),"---")</f>
        <v/>
      </c>
      <c r="H131" s="341" t="str">
        <f>IF(Start!$C$18="x",('H-Volatilization'!D131),"---")</f>
        <v/>
      </c>
      <c r="I131" s="342" t="str">
        <f>IF(Start!$C$18="x",('H-Volatilization'!E131),"---")</f>
        <v/>
      </c>
      <c r="J131" s="339" t="str">
        <f>IF(Start!$C$19="x",'H-Plant &amp; Animal'!B131,"---")</f>
        <v>---</v>
      </c>
      <c r="K131" s="343" t="str">
        <f>'H-Effluent'!Q131</f>
        <v>Not Req.</v>
      </c>
      <c r="L131" s="286" t="str">
        <f>'H-Runoff'!T131</f>
        <v>Not Req.</v>
      </c>
      <c r="M131" s="344" t="str">
        <f>'H-Runoff'!U131</f>
        <v>Not Req.</v>
      </c>
      <c r="N131" s="343" t="str">
        <f>'H-Leachate'!O131</f>
        <v/>
      </c>
      <c r="O131" s="283" t="str">
        <f>'H-Volatilization'!AV131</f>
        <v/>
      </c>
      <c r="P131" s="284" t="str">
        <f>'H-Volatilization'!AW131</f>
        <v/>
      </c>
      <c r="Q131" s="284" t="str">
        <f>'H-Volatilization'!AX131</f>
        <v/>
      </c>
      <c r="R131" s="285" t="str">
        <f>'H-Volatilization'!AY131</f>
        <v/>
      </c>
      <c r="S131" s="462"/>
      <c r="T131" s="345" t="str">
        <f>'H-Plant &amp; Animal'!L131</f>
        <v>Not Req.</v>
      </c>
      <c r="U131" s="346" t="str">
        <f>'H-Plant &amp; Animal'!M131</f>
        <v>Not Req.</v>
      </c>
      <c r="V131" s="794" t="str">
        <f>'H-Effluent'!O131</f>
        <v>---</v>
      </c>
      <c r="W131" s="797" t="str">
        <f>'H-Runoff'!Q131</f>
        <v>---</v>
      </c>
      <c r="X131" s="799" t="str">
        <f>'H-Runoff'!S131</f>
        <v>---</v>
      </c>
      <c r="Y131" s="794" t="str">
        <f>'H-Leachate'!N131</f>
        <v>NA</v>
      </c>
      <c r="Z131" s="797" t="str">
        <f>'H-Volatilization'!AD131</f>
        <v>NA</v>
      </c>
      <c r="AA131" s="798" t="str">
        <f>'H-Volatilization'!AF131</f>
        <v>NA</v>
      </c>
      <c r="AB131" s="798" t="str">
        <f>'H-Volatilization'!AO131</f>
        <v>NA</v>
      </c>
      <c r="AC131" s="799" t="str">
        <f>'H-Volatilization'!AU131</f>
        <v>NA</v>
      </c>
    </row>
    <row r="132" spans="1:29" x14ac:dyDescent="0.25">
      <c r="A132" s="56" t="s">
        <v>450</v>
      </c>
      <c r="B132" s="336" t="str">
        <f>IF(Start!$C$15="x",('H-Effluent'!B132),"---")</f>
        <v>---</v>
      </c>
      <c r="C132" s="337" t="str">
        <f>IF(Start!$C$16="x",'H-Runoff'!B132,"---")</f>
        <v>---</v>
      </c>
      <c r="D132" s="338" t="str">
        <f>IF(Start!$C$16="x",'H-Runoff'!C132,"---")</f>
        <v>---</v>
      </c>
      <c r="E132" s="868" t="str">
        <f>IF(Start!$C$17="x",'H-Leachate'!B132,"---")</f>
        <v/>
      </c>
      <c r="F132" s="340" t="str">
        <f>IF(Start!$C$18="x",('H-Volatilization'!B132),"---")</f>
        <v/>
      </c>
      <c r="G132" s="341" t="str">
        <f>IF(Start!$C$18="x",('H-Volatilization'!C132),"---")</f>
        <v/>
      </c>
      <c r="H132" s="341" t="str">
        <f>IF(Start!$C$18="x",('H-Volatilization'!D132),"---")</f>
        <v/>
      </c>
      <c r="I132" s="342" t="str">
        <f>IF(Start!$C$18="x",('H-Volatilization'!E132),"---")</f>
        <v/>
      </c>
      <c r="J132" s="339" t="str">
        <f>IF(Start!$C$19="x",'H-Plant &amp; Animal'!B132,"---")</f>
        <v>---</v>
      </c>
      <c r="K132" s="343" t="str">
        <f>'H-Effluent'!Q132</f>
        <v>Not Req.</v>
      </c>
      <c r="L132" s="286" t="str">
        <f>'H-Runoff'!T132</f>
        <v>Not Req.</v>
      </c>
      <c r="M132" s="344" t="str">
        <f>'H-Runoff'!U132</f>
        <v>Not Req.</v>
      </c>
      <c r="N132" s="343" t="str">
        <f>'H-Leachate'!O132</f>
        <v/>
      </c>
      <c r="O132" s="283" t="str">
        <f>'H-Volatilization'!AV132</f>
        <v/>
      </c>
      <c r="P132" s="284" t="str">
        <f>'H-Volatilization'!AW132</f>
        <v/>
      </c>
      <c r="Q132" s="284" t="str">
        <f>'H-Volatilization'!AX132</f>
        <v/>
      </c>
      <c r="R132" s="285" t="str">
        <f>'H-Volatilization'!AY132</f>
        <v/>
      </c>
      <c r="S132" s="462"/>
      <c r="T132" s="345" t="str">
        <f>'H-Plant &amp; Animal'!L132</f>
        <v>Not Req.</v>
      </c>
      <c r="U132" s="346" t="str">
        <f>'H-Plant &amp; Animal'!M132</f>
        <v>Not Req.</v>
      </c>
      <c r="V132" s="794" t="str">
        <f>'H-Effluent'!O132</f>
        <v>---</v>
      </c>
      <c r="W132" s="797" t="str">
        <f>'H-Runoff'!Q132</f>
        <v>---</v>
      </c>
      <c r="X132" s="799" t="str">
        <f>'H-Runoff'!S132</f>
        <v>---</v>
      </c>
      <c r="Y132" s="794" t="str">
        <f>'H-Leachate'!N132</f>
        <v>NA</v>
      </c>
      <c r="Z132" s="797" t="str">
        <f>'H-Volatilization'!AD132</f>
        <v>NA</v>
      </c>
      <c r="AA132" s="798" t="str">
        <f>'H-Volatilization'!AF132</f>
        <v>NA</v>
      </c>
      <c r="AB132" s="798" t="str">
        <f>'H-Volatilization'!AO132</f>
        <v>NA</v>
      </c>
      <c r="AC132" s="799" t="str">
        <f>'H-Volatilization'!AU132</f>
        <v>NA</v>
      </c>
    </row>
    <row r="133" spans="1:29" x14ac:dyDescent="0.25">
      <c r="A133" s="56" t="s">
        <v>451</v>
      </c>
      <c r="B133" s="336" t="str">
        <f>IF(Start!$C$15="x",('H-Effluent'!B133),"---")</f>
        <v>---</v>
      </c>
      <c r="C133" s="337" t="str">
        <f>IF(Start!$C$16="x",'H-Runoff'!B133,"---")</f>
        <v>---</v>
      </c>
      <c r="D133" s="338" t="str">
        <f>IF(Start!$C$16="x",'H-Runoff'!C133,"---")</f>
        <v>---</v>
      </c>
      <c r="E133" s="868" t="str">
        <f>IF(Start!$C$17="x",'H-Leachate'!B133,"---")</f>
        <v/>
      </c>
      <c r="F133" s="340" t="str">
        <f>IF(Start!$C$18="x",('H-Volatilization'!B133),"---")</f>
        <v/>
      </c>
      <c r="G133" s="341" t="str">
        <f>IF(Start!$C$18="x",('H-Volatilization'!C133),"---")</f>
        <v/>
      </c>
      <c r="H133" s="341" t="str">
        <f>IF(Start!$C$18="x",('H-Volatilization'!D133),"---")</f>
        <v/>
      </c>
      <c r="I133" s="342" t="str">
        <f>IF(Start!$C$18="x",('H-Volatilization'!E133),"---")</f>
        <v/>
      </c>
      <c r="J133" s="339" t="str">
        <f>IF(Start!$C$19="x",'H-Plant &amp; Animal'!B133,"---")</f>
        <v>---</v>
      </c>
      <c r="K133" s="343" t="str">
        <f>'H-Effluent'!Q133</f>
        <v>Not Req.</v>
      </c>
      <c r="L133" s="286" t="str">
        <f>'H-Runoff'!T133</f>
        <v>Not Req.</v>
      </c>
      <c r="M133" s="344" t="str">
        <f>'H-Runoff'!U133</f>
        <v>Not Req.</v>
      </c>
      <c r="N133" s="343" t="str">
        <f>'H-Leachate'!O133</f>
        <v/>
      </c>
      <c r="O133" s="283" t="str">
        <f>'H-Volatilization'!AV133</f>
        <v/>
      </c>
      <c r="P133" s="284" t="str">
        <f>'H-Volatilization'!AW133</f>
        <v/>
      </c>
      <c r="Q133" s="284" t="str">
        <f>'H-Volatilization'!AX133</f>
        <v/>
      </c>
      <c r="R133" s="285" t="str">
        <f>'H-Volatilization'!AY133</f>
        <v/>
      </c>
      <c r="S133" s="462"/>
      <c r="T133" s="345" t="str">
        <f>'H-Plant &amp; Animal'!L133</f>
        <v>Not Req.</v>
      </c>
      <c r="U133" s="346" t="str">
        <f>'H-Plant &amp; Animal'!M133</f>
        <v>Not Req.</v>
      </c>
      <c r="V133" s="794" t="str">
        <f>'H-Effluent'!O133</f>
        <v>---</v>
      </c>
      <c r="W133" s="797" t="str">
        <f>'H-Runoff'!Q133</f>
        <v>---</v>
      </c>
      <c r="X133" s="799" t="str">
        <f>'H-Runoff'!S133</f>
        <v>---</v>
      </c>
      <c r="Y133" s="794" t="str">
        <f>'H-Leachate'!N133</f>
        <v>NA</v>
      </c>
      <c r="Z133" s="797" t="str">
        <f>'H-Volatilization'!AD133</f>
        <v>NA</v>
      </c>
      <c r="AA133" s="798" t="str">
        <f>'H-Volatilization'!AF133</f>
        <v>NA</v>
      </c>
      <c r="AB133" s="798" t="str">
        <f>'H-Volatilization'!AO133</f>
        <v>NA</v>
      </c>
      <c r="AC133" s="799" t="str">
        <f>'H-Volatilization'!AU133</f>
        <v>NA</v>
      </c>
    </row>
    <row r="134" spans="1:29" x14ac:dyDescent="0.25">
      <c r="A134" s="56" t="s">
        <v>452</v>
      </c>
      <c r="B134" s="336" t="str">
        <f>IF(Start!$C$15="x",('H-Effluent'!B134),"---")</f>
        <v>---</v>
      </c>
      <c r="C134" s="337" t="str">
        <f>IF(Start!$C$16="x",'H-Runoff'!B134,"---")</f>
        <v>---</v>
      </c>
      <c r="D134" s="338" t="str">
        <f>IF(Start!$C$16="x",'H-Runoff'!C134,"---")</f>
        <v>---</v>
      </c>
      <c r="E134" s="868" t="str">
        <f>IF(Start!$C$17="x",'H-Leachate'!B134,"---")</f>
        <v/>
      </c>
      <c r="F134" s="340" t="str">
        <f>IF(Start!$C$18="x",('H-Volatilization'!B134),"---")</f>
        <v/>
      </c>
      <c r="G134" s="341" t="str">
        <f>IF(Start!$C$18="x",('H-Volatilization'!C134),"---")</f>
        <v/>
      </c>
      <c r="H134" s="341" t="str">
        <f>IF(Start!$C$18="x",('H-Volatilization'!D134),"---")</f>
        <v/>
      </c>
      <c r="I134" s="342" t="str">
        <f>IF(Start!$C$18="x",('H-Volatilization'!E134),"---")</f>
        <v/>
      </c>
      <c r="J134" s="339" t="str">
        <f>IF(Start!$C$19="x",'H-Plant &amp; Animal'!B134,"---")</f>
        <v>---</v>
      </c>
      <c r="K134" s="343" t="str">
        <f>'H-Effluent'!Q134</f>
        <v>Not Req.</v>
      </c>
      <c r="L134" s="286" t="str">
        <f>'H-Runoff'!T134</f>
        <v>Not Req.</v>
      </c>
      <c r="M134" s="344" t="str">
        <f>'H-Runoff'!U134</f>
        <v>Not Req.</v>
      </c>
      <c r="N134" s="343" t="str">
        <f>'H-Leachate'!O134</f>
        <v/>
      </c>
      <c r="O134" s="283" t="str">
        <f>'H-Volatilization'!AV134</f>
        <v/>
      </c>
      <c r="P134" s="284" t="str">
        <f>'H-Volatilization'!AW134</f>
        <v/>
      </c>
      <c r="Q134" s="284" t="str">
        <f>'H-Volatilization'!AX134</f>
        <v/>
      </c>
      <c r="R134" s="285" t="str">
        <f>'H-Volatilization'!AY134</f>
        <v/>
      </c>
      <c r="S134" s="462"/>
      <c r="T134" s="345" t="str">
        <f>'H-Plant &amp; Animal'!L134</f>
        <v>Not Req.</v>
      </c>
      <c r="U134" s="346" t="str">
        <f>'H-Plant &amp; Animal'!M134</f>
        <v>Not Req.</v>
      </c>
      <c r="V134" s="794" t="str">
        <f>'H-Effluent'!O134</f>
        <v>---</v>
      </c>
      <c r="W134" s="797" t="str">
        <f>'H-Runoff'!Q134</f>
        <v>---</v>
      </c>
      <c r="X134" s="799" t="str">
        <f>'H-Runoff'!S134</f>
        <v>---</v>
      </c>
      <c r="Y134" s="794" t="str">
        <f>'H-Leachate'!N134</f>
        <v>NA</v>
      </c>
      <c r="Z134" s="797" t="str">
        <f>'H-Volatilization'!AD134</f>
        <v>NA</v>
      </c>
      <c r="AA134" s="798" t="str">
        <f>'H-Volatilization'!AF134</f>
        <v>NA</v>
      </c>
      <c r="AB134" s="798" t="str">
        <f>'H-Volatilization'!AO134</f>
        <v>NA</v>
      </c>
      <c r="AC134" s="799" t="str">
        <f>'H-Volatilization'!AU134</f>
        <v>NA</v>
      </c>
    </row>
    <row r="135" spans="1:29" x14ac:dyDescent="0.25">
      <c r="A135" s="56" t="s">
        <v>453</v>
      </c>
      <c r="B135" s="336" t="str">
        <f>IF(Start!$C$15="x",('H-Effluent'!B135),"---")</f>
        <v>---</v>
      </c>
      <c r="C135" s="337" t="str">
        <f>IF(Start!$C$16="x",'H-Runoff'!B135,"---")</f>
        <v>---</v>
      </c>
      <c r="D135" s="338" t="str">
        <f>IF(Start!$C$16="x",'H-Runoff'!C135,"---")</f>
        <v>---</v>
      </c>
      <c r="E135" s="868" t="str">
        <f>IF(Start!$C$17="x",'H-Leachate'!B135,"---")</f>
        <v/>
      </c>
      <c r="F135" s="340" t="str">
        <f>IF(Start!$C$18="x",('H-Volatilization'!B135),"---")</f>
        <v/>
      </c>
      <c r="G135" s="341" t="str">
        <f>IF(Start!$C$18="x",('H-Volatilization'!C135),"---")</f>
        <v/>
      </c>
      <c r="H135" s="341" t="str">
        <f>IF(Start!$C$18="x",('H-Volatilization'!D135),"---")</f>
        <v/>
      </c>
      <c r="I135" s="342" t="str">
        <f>IF(Start!$C$18="x",('H-Volatilization'!E135),"---")</f>
        <v/>
      </c>
      <c r="J135" s="339" t="str">
        <f>IF(Start!$C$19="x",'H-Plant &amp; Animal'!B135,"---")</f>
        <v>---</v>
      </c>
      <c r="K135" s="343" t="str">
        <f>'H-Effluent'!Q135</f>
        <v>Not Req.</v>
      </c>
      <c r="L135" s="286" t="str">
        <f>'H-Runoff'!T135</f>
        <v>Not Req.</v>
      </c>
      <c r="M135" s="344" t="str">
        <f>'H-Runoff'!U135</f>
        <v>Not Req.</v>
      </c>
      <c r="N135" s="343" t="str">
        <f>'H-Leachate'!O135</f>
        <v/>
      </c>
      <c r="O135" s="283" t="str">
        <f>'H-Volatilization'!AV135</f>
        <v/>
      </c>
      <c r="P135" s="284" t="str">
        <f>'H-Volatilization'!AW135</f>
        <v/>
      </c>
      <c r="Q135" s="284" t="str">
        <f>'H-Volatilization'!AX135</f>
        <v/>
      </c>
      <c r="R135" s="285" t="str">
        <f>'H-Volatilization'!AY135</f>
        <v/>
      </c>
      <c r="S135" s="462"/>
      <c r="T135" s="345" t="str">
        <f>'H-Plant &amp; Animal'!L135</f>
        <v>Not Req.</v>
      </c>
      <c r="U135" s="346" t="str">
        <f>'H-Plant &amp; Animal'!M135</f>
        <v>Not Req.</v>
      </c>
      <c r="V135" s="794" t="str">
        <f>'H-Effluent'!O135</f>
        <v>---</v>
      </c>
      <c r="W135" s="797" t="str">
        <f>'H-Runoff'!Q135</f>
        <v>---</v>
      </c>
      <c r="X135" s="799" t="str">
        <f>'H-Runoff'!S135</f>
        <v>---</v>
      </c>
      <c r="Y135" s="794" t="str">
        <f>'H-Leachate'!N135</f>
        <v>NA</v>
      </c>
      <c r="Z135" s="797" t="str">
        <f>'H-Volatilization'!AD135</f>
        <v>NA</v>
      </c>
      <c r="AA135" s="798" t="str">
        <f>'H-Volatilization'!AF135</f>
        <v>NA</v>
      </c>
      <c r="AB135" s="798" t="str">
        <f>'H-Volatilization'!AO135</f>
        <v>NA</v>
      </c>
      <c r="AC135" s="799" t="str">
        <f>'H-Volatilization'!AU135</f>
        <v>NA</v>
      </c>
    </row>
    <row r="136" spans="1:29" x14ac:dyDescent="0.25">
      <c r="A136" s="56" t="s">
        <v>454</v>
      </c>
      <c r="B136" s="336" t="str">
        <f>IF(Start!$C$15="x",('H-Effluent'!B136),"---")</f>
        <v>---</v>
      </c>
      <c r="C136" s="337" t="str">
        <f>IF(Start!$C$16="x",'H-Runoff'!B136,"---")</f>
        <v>---</v>
      </c>
      <c r="D136" s="338" t="str">
        <f>IF(Start!$C$16="x",'H-Runoff'!C136,"---")</f>
        <v>---</v>
      </c>
      <c r="E136" s="868" t="str">
        <f>IF(Start!$C$17="x",'H-Leachate'!B136,"---")</f>
        <v/>
      </c>
      <c r="F136" s="340" t="str">
        <f>IF(Start!$C$18="x",('H-Volatilization'!B136),"---")</f>
        <v/>
      </c>
      <c r="G136" s="341" t="str">
        <f>IF(Start!$C$18="x",('H-Volatilization'!C136),"---")</f>
        <v/>
      </c>
      <c r="H136" s="341" t="str">
        <f>IF(Start!$C$18="x",('H-Volatilization'!D136),"---")</f>
        <v/>
      </c>
      <c r="I136" s="342" t="str">
        <f>IF(Start!$C$18="x",('H-Volatilization'!E136),"---")</f>
        <v/>
      </c>
      <c r="J136" s="339" t="str">
        <f>IF(Start!$C$19="x",'H-Plant &amp; Animal'!B136,"---")</f>
        <v>---</v>
      </c>
      <c r="K136" s="343" t="str">
        <f>'H-Effluent'!Q136</f>
        <v>Not Req.</v>
      </c>
      <c r="L136" s="286" t="str">
        <f>'H-Runoff'!T136</f>
        <v>Not Req.</v>
      </c>
      <c r="M136" s="344" t="str">
        <f>'H-Runoff'!U136</f>
        <v>Not Req.</v>
      </c>
      <c r="N136" s="343" t="str">
        <f>'H-Leachate'!O136</f>
        <v/>
      </c>
      <c r="O136" s="283" t="str">
        <f>'H-Volatilization'!AV136</f>
        <v/>
      </c>
      <c r="P136" s="284" t="str">
        <f>'H-Volatilization'!AW136</f>
        <v/>
      </c>
      <c r="Q136" s="284" t="str">
        <f>'H-Volatilization'!AX136</f>
        <v/>
      </c>
      <c r="R136" s="285" t="str">
        <f>'H-Volatilization'!AY136</f>
        <v/>
      </c>
      <c r="S136" s="462"/>
      <c r="T136" s="345" t="str">
        <f>'H-Plant &amp; Animal'!L136</f>
        <v>Not Req.</v>
      </c>
      <c r="U136" s="346" t="str">
        <f>'H-Plant &amp; Animal'!M136</f>
        <v>Not Req.</v>
      </c>
      <c r="V136" s="794" t="str">
        <f>'H-Effluent'!O136</f>
        <v>---</v>
      </c>
      <c r="W136" s="797" t="str">
        <f>'H-Runoff'!Q136</f>
        <v>---</v>
      </c>
      <c r="X136" s="799" t="str">
        <f>'H-Runoff'!S136</f>
        <v>---</v>
      </c>
      <c r="Y136" s="794" t="str">
        <f>'H-Leachate'!N136</f>
        <v>NA</v>
      </c>
      <c r="Z136" s="797" t="str">
        <f>'H-Volatilization'!AD136</f>
        <v>NA</v>
      </c>
      <c r="AA136" s="798" t="str">
        <f>'H-Volatilization'!AF136</f>
        <v>NA</v>
      </c>
      <c r="AB136" s="798" t="str">
        <f>'H-Volatilization'!AO136</f>
        <v>NA</v>
      </c>
      <c r="AC136" s="799" t="str">
        <f>'H-Volatilization'!AU136</f>
        <v>NA</v>
      </c>
    </row>
    <row r="137" spans="1:29" x14ac:dyDescent="0.25">
      <c r="A137" s="56" t="s">
        <v>455</v>
      </c>
      <c r="B137" s="336" t="str">
        <f>IF(Start!$C$15="x",('H-Effluent'!B137),"---")</f>
        <v>---</v>
      </c>
      <c r="C137" s="337" t="str">
        <f>IF(Start!$C$16="x",'H-Runoff'!B137,"---")</f>
        <v>---</v>
      </c>
      <c r="D137" s="338" t="str">
        <f>IF(Start!$C$16="x",'H-Runoff'!C137,"---")</f>
        <v>---</v>
      </c>
      <c r="E137" s="868" t="str">
        <f>IF(Start!$C$17="x",'H-Leachate'!B137,"---")</f>
        <v/>
      </c>
      <c r="F137" s="340" t="str">
        <f>IF(Start!$C$18="x",('H-Volatilization'!B137),"---")</f>
        <v/>
      </c>
      <c r="G137" s="341" t="str">
        <f>IF(Start!$C$18="x",('H-Volatilization'!C137),"---")</f>
        <v/>
      </c>
      <c r="H137" s="341" t="str">
        <f>IF(Start!$C$18="x",('H-Volatilization'!D137),"---")</f>
        <v/>
      </c>
      <c r="I137" s="342" t="str">
        <f>IF(Start!$C$18="x",('H-Volatilization'!E137),"---")</f>
        <v/>
      </c>
      <c r="J137" s="339" t="str">
        <f>IF(Start!$C$19="x",'H-Plant &amp; Animal'!B137,"---")</f>
        <v>---</v>
      </c>
      <c r="K137" s="343" t="str">
        <f>'H-Effluent'!Q137</f>
        <v>Not Req.</v>
      </c>
      <c r="L137" s="286" t="str">
        <f>'H-Runoff'!T137</f>
        <v>Not Req.</v>
      </c>
      <c r="M137" s="344" t="str">
        <f>'H-Runoff'!U137</f>
        <v>Not Req.</v>
      </c>
      <c r="N137" s="343" t="str">
        <f>'H-Leachate'!O137</f>
        <v/>
      </c>
      <c r="O137" s="283" t="str">
        <f>'H-Volatilization'!AV137</f>
        <v/>
      </c>
      <c r="P137" s="284" t="str">
        <f>'H-Volatilization'!AW137</f>
        <v/>
      </c>
      <c r="Q137" s="284" t="str">
        <f>'H-Volatilization'!AX137</f>
        <v/>
      </c>
      <c r="R137" s="285" t="str">
        <f>'H-Volatilization'!AY137</f>
        <v/>
      </c>
      <c r="S137" s="462"/>
      <c r="T137" s="345" t="str">
        <f>'H-Plant &amp; Animal'!L137</f>
        <v>Not Req.</v>
      </c>
      <c r="U137" s="346" t="str">
        <f>'H-Plant &amp; Animal'!M137</f>
        <v>Not Req.</v>
      </c>
      <c r="V137" s="794" t="str">
        <f>'H-Effluent'!O137</f>
        <v>---</v>
      </c>
      <c r="W137" s="797" t="str">
        <f>'H-Runoff'!Q137</f>
        <v>---</v>
      </c>
      <c r="X137" s="799" t="str">
        <f>'H-Runoff'!S137</f>
        <v>---</v>
      </c>
      <c r="Y137" s="794" t="str">
        <f>'H-Leachate'!N137</f>
        <v>NA</v>
      </c>
      <c r="Z137" s="797" t="str">
        <f>'H-Volatilization'!AD137</f>
        <v>NA</v>
      </c>
      <c r="AA137" s="798" t="str">
        <f>'H-Volatilization'!AF137</f>
        <v>NA</v>
      </c>
      <c r="AB137" s="798" t="str">
        <f>'H-Volatilization'!AO137</f>
        <v>NA</v>
      </c>
      <c r="AC137" s="799" t="str">
        <f>'H-Volatilization'!AU137</f>
        <v>NA</v>
      </c>
    </row>
    <row r="138" spans="1:29" x14ac:dyDescent="0.25">
      <c r="A138" s="57" t="s">
        <v>456</v>
      </c>
      <c r="B138" s="336" t="str">
        <f>IF(Start!$C$15="x",('H-Effluent'!B138),"---")</f>
        <v>---</v>
      </c>
      <c r="C138" s="337" t="str">
        <f>IF(Start!$C$16="x",'H-Runoff'!B138,"---")</f>
        <v>---</v>
      </c>
      <c r="D138" s="338" t="str">
        <f>IF(Start!$C$16="x",'H-Runoff'!C138,"---")</f>
        <v>---</v>
      </c>
      <c r="E138" s="868" t="str">
        <f>IF(Start!$C$17="x",'H-Leachate'!B138,"---")</f>
        <v/>
      </c>
      <c r="F138" s="340" t="str">
        <f>IF(Start!$C$18="x",('H-Volatilization'!B138),"---")</f>
        <v/>
      </c>
      <c r="G138" s="341" t="str">
        <f>IF(Start!$C$18="x",('H-Volatilization'!C138),"---")</f>
        <v/>
      </c>
      <c r="H138" s="341" t="str">
        <f>IF(Start!$C$18="x",('H-Volatilization'!D138),"---")</f>
        <v/>
      </c>
      <c r="I138" s="342" t="str">
        <f>IF(Start!$C$18="x",('H-Volatilization'!E138),"---")</f>
        <v/>
      </c>
      <c r="J138" s="339" t="str">
        <f>IF(Start!$C$19="x",'H-Plant &amp; Animal'!B138,"---")</f>
        <v>---</v>
      </c>
      <c r="K138" s="343" t="str">
        <f>'H-Effluent'!Q138</f>
        <v>Not Req.</v>
      </c>
      <c r="L138" s="286" t="str">
        <f>'H-Runoff'!T138</f>
        <v>Not Req.</v>
      </c>
      <c r="M138" s="344" t="str">
        <f>'H-Runoff'!U138</f>
        <v>Not Req.</v>
      </c>
      <c r="N138" s="343" t="str">
        <f>'H-Leachate'!O138</f>
        <v/>
      </c>
      <c r="O138" s="283" t="str">
        <f>'H-Volatilization'!AV138</f>
        <v/>
      </c>
      <c r="P138" s="284" t="str">
        <f>'H-Volatilization'!AW138</f>
        <v/>
      </c>
      <c r="Q138" s="284" t="str">
        <f>'H-Volatilization'!AX138</f>
        <v/>
      </c>
      <c r="R138" s="285" t="str">
        <f>'H-Volatilization'!AY138</f>
        <v/>
      </c>
      <c r="S138" s="462"/>
      <c r="T138" s="345" t="str">
        <f>'H-Plant &amp; Animal'!L138</f>
        <v>Not Req.</v>
      </c>
      <c r="U138" s="346" t="str">
        <f>'H-Plant &amp; Animal'!M138</f>
        <v>Not Req.</v>
      </c>
      <c r="V138" s="794" t="str">
        <f>'H-Effluent'!O138</f>
        <v>---</v>
      </c>
      <c r="W138" s="797" t="str">
        <f>'H-Runoff'!Q138</f>
        <v>---</v>
      </c>
      <c r="X138" s="799" t="str">
        <f>'H-Runoff'!S138</f>
        <v>---</v>
      </c>
      <c r="Y138" s="794" t="str">
        <f>'H-Leachate'!N138</f>
        <v>NA</v>
      </c>
      <c r="Z138" s="797" t="str">
        <f>'H-Volatilization'!AD138</f>
        <v>NA</v>
      </c>
      <c r="AA138" s="798" t="str">
        <f>'H-Volatilization'!AF138</f>
        <v>NA</v>
      </c>
      <c r="AB138" s="798" t="str">
        <f>'H-Volatilization'!AO138</f>
        <v>NA</v>
      </c>
      <c r="AC138" s="799" t="str">
        <f>'H-Volatilization'!AU138</f>
        <v>NA</v>
      </c>
    </row>
    <row r="139" spans="1:29" x14ac:dyDescent="0.25">
      <c r="A139" s="57" t="s">
        <v>457</v>
      </c>
      <c r="B139" s="336" t="str">
        <f>IF(Start!$C$15="x",('H-Effluent'!B139),"---")</f>
        <v>---</v>
      </c>
      <c r="C139" s="337" t="str">
        <f>IF(Start!$C$16="x",'H-Runoff'!B139,"---")</f>
        <v>---</v>
      </c>
      <c r="D139" s="338" t="str">
        <f>IF(Start!$C$16="x",'H-Runoff'!C139,"---")</f>
        <v>---</v>
      </c>
      <c r="E139" s="868" t="str">
        <f>IF(Start!$C$17="x",'H-Leachate'!B139,"---")</f>
        <v/>
      </c>
      <c r="F139" s="340" t="str">
        <f>IF(Start!$C$18="x",('H-Volatilization'!B139),"---")</f>
        <v/>
      </c>
      <c r="G139" s="341" t="str">
        <f>IF(Start!$C$18="x",('H-Volatilization'!C139),"---")</f>
        <v/>
      </c>
      <c r="H139" s="341" t="str">
        <f>IF(Start!$C$18="x",('H-Volatilization'!D139),"---")</f>
        <v/>
      </c>
      <c r="I139" s="342" t="str">
        <f>IF(Start!$C$18="x",('H-Volatilization'!E139),"---")</f>
        <v/>
      </c>
      <c r="J139" s="339" t="str">
        <f>IF(Start!$C$19="x",'H-Plant &amp; Animal'!B139,"---")</f>
        <v>---</v>
      </c>
      <c r="K139" s="343" t="str">
        <f>'H-Effluent'!Q139</f>
        <v>Not Req.</v>
      </c>
      <c r="L139" s="286" t="str">
        <f>'H-Runoff'!T139</f>
        <v>Not Req.</v>
      </c>
      <c r="M139" s="344" t="str">
        <f>'H-Runoff'!U139</f>
        <v>Not Req.</v>
      </c>
      <c r="N139" s="343" t="str">
        <f>'H-Leachate'!O139</f>
        <v/>
      </c>
      <c r="O139" s="283" t="str">
        <f>'H-Volatilization'!AV139</f>
        <v/>
      </c>
      <c r="P139" s="284" t="str">
        <f>'H-Volatilization'!AW139</f>
        <v/>
      </c>
      <c r="Q139" s="284" t="str">
        <f>'H-Volatilization'!AX139</f>
        <v/>
      </c>
      <c r="R139" s="285" t="str">
        <f>'H-Volatilization'!AY139</f>
        <v/>
      </c>
      <c r="S139" s="462"/>
      <c r="T139" s="345" t="str">
        <f>'H-Plant &amp; Animal'!L139</f>
        <v>Not Req.</v>
      </c>
      <c r="U139" s="346" t="str">
        <f>'H-Plant &amp; Animal'!M139</f>
        <v>Not Req.</v>
      </c>
      <c r="V139" s="794" t="str">
        <f>'H-Effluent'!O139</f>
        <v>---</v>
      </c>
      <c r="W139" s="797" t="str">
        <f>'H-Runoff'!Q139</f>
        <v>---</v>
      </c>
      <c r="X139" s="799" t="str">
        <f>'H-Runoff'!S139</f>
        <v>---</v>
      </c>
      <c r="Y139" s="794" t="str">
        <f>'H-Leachate'!N139</f>
        <v>NA</v>
      </c>
      <c r="Z139" s="797" t="str">
        <f>'H-Volatilization'!AD139</f>
        <v>NA</v>
      </c>
      <c r="AA139" s="798" t="str">
        <f>'H-Volatilization'!AF139</f>
        <v>NA</v>
      </c>
      <c r="AB139" s="798" t="str">
        <f>'H-Volatilization'!AO139</f>
        <v>NA</v>
      </c>
      <c r="AC139" s="799" t="str">
        <f>'H-Volatilization'!AU139</f>
        <v>NA</v>
      </c>
    </row>
    <row r="140" spans="1:29" ht="13.8" thickBot="1" x14ac:dyDescent="0.3">
      <c r="A140" s="56" t="s">
        <v>458</v>
      </c>
      <c r="B140" s="336" t="str">
        <f>IF(Start!$C$15="x",('H-Effluent'!B140),"---")</f>
        <v>---</v>
      </c>
      <c r="C140" s="337" t="str">
        <f>IF(Start!$C$16="x",'H-Runoff'!B140,"---")</f>
        <v>---</v>
      </c>
      <c r="D140" s="338" t="str">
        <f>IF(Start!$C$16="x",'H-Runoff'!C140,"---")</f>
        <v>---</v>
      </c>
      <c r="E140" s="868" t="str">
        <f>IF(Start!$C$17="x",'H-Leachate'!B140,"---")</f>
        <v/>
      </c>
      <c r="F140" s="340" t="str">
        <f>IF(Start!$C$18="x",('H-Volatilization'!B140),"---")</f>
        <v/>
      </c>
      <c r="G140" s="341" t="str">
        <f>IF(Start!$C$18="x",('H-Volatilization'!C140),"---")</f>
        <v/>
      </c>
      <c r="H140" s="341" t="str">
        <f>IF(Start!$C$18="x",('H-Volatilization'!D140),"---")</f>
        <v/>
      </c>
      <c r="I140" s="342" t="str">
        <f>IF(Start!$C$18="x",('H-Volatilization'!E140),"---")</f>
        <v/>
      </c>
      <c r="J140" s="339" t="str">
        <f>IF(Start!$C$19="x",'H-Plant &amp; Animal'!B140,"---")</f>
        <v>---</v>
      </c>
      <c r="K140" s="343" t="str">
        <f>'H-Effluent'!Q140</f>
        <v>Not Req.</v>
      </c>
      <c r="L140" s="286" t="str">
        <f>'H-Runoff'!T140</f>
        <v>Not Req.</v>
      </c>
      <c r="M140" s="344" t="str">
        <f>'H-Runoff'!U140</f>
        <v>Not Req.</v>
      </c>
      <c r="N140" s="343" t="str">
        <f>'H-Leachate'!O140</f>
        <v/>
      </c>
      <c r="O140" s="283" t="str">
        <f>'H-Volatilization'!AV140</f>
        <v/>
      </c>
      <c r="P140" s="284" t="str">
        <f>'H-Volatilization'!AW140</f>
        <v/>
      </c>
      <c r="Q140" s="284" t="str">
        <f>'H-Volatilization'!AX140</f>
        <v/>
      </c>
      <c r="R140" s="285" t="str">
        <f>'H-Volatilization'!AY140</f>
        <v/>
      </c>
      <c r="S140" s="462"/>
      <c r="T140" s="345" t="str">
        <f>'H-Plant &amp; Animal'!L140</f>
        <v>Not Req.</v>
      </c>
      <c r="U140" s="346" t="str">
        <f>'H-Plant &amp; Animal'!M140</f>
        <v>Not Req.</v>
      </c>
      <c r="V140" s="794" t="str">
        <f>'H-Effluent'!O140</f>
        <v>---</v>
      </c>
      <c r="W140" s="797" t="str">
        <f>'H-Runoff'!Q140</f>
        <v>---</v>
      </c>
      <c r="X140" s="799" t="str">
        <f>'H-Runoff'!S140</f>
        <v>---</v>
      </c>
      <c r="Y140" s="794" t="str">
        <f>'H-Leachate'!N140</f>
        <v>NA</v>
      </c>
      <c r="Z140" s="797" t="str">
        <f>'H-Volatilization'!AD140</f>
        <v>NA</v>
      </c>
      <c r="AA140" s="798" t="str">
        <f>'H-Volatilization'!AF140</f>
        <v>NA</v>
      </c>
      <c r="AB140" s="798" t="str">
        <f>'H-Volatilization'!AO140</f>
        <v>NA</v>
      </c>
      <c r="AC140" s="799" t="str">
        <f>'H-Volatilization'!AU140</f>
        <v>NA</v>
      </c>
    </row>
    <row r="141" spans="1:29" x14ac:dyDescent="0.25">
      <c r="A141" s="554" t="s">
        <v>669</v>
      </c>
      <c r="B141" s="559"/>
      <c r="C141" s="556"/>
      <c r="D141" s="557"/>
      <c r="E141" s="572"/>
      <c r="F141" s="559"/>
      <c r="G141" s="560"/>
      <c r="H141" s="560"/>
      <c r="I141" s="561"/>
      <c r="J141" s="572"/>
      <c r="K141" s="527"/>
      <c r="L141" s="511"/>
      <c r="M141" s="513"/>
      <c r="N141" s="527"/>
      <c r="O141" s="511"/>
      <c r="P141" s="512"/>
      <c r="Q141" s="512"/>
      <c r="R141" s="513"/>
      <c r="S141" s="543"/>
      <c r="T141" s="562"/>
      <c r="U141" s="563"/>
      <c r="V141" s="807"/>
      <c r="W141" s="800"/>
      <c r="X141" s="808"/>
      <c r="Y141" s="527"/>
      <c r="Z141" s="800"/>
      <c r="AA141" s="801"/>
      <c r="AB141" s="802"/>
      <c r="AC141" s="803"/>
    </row>
    <row r="142" spans="1:29" x14ac:dyDescent="0.25">
      <c r="A142" s="56" t="s">
        <v>460</v>
      </c>
      <c r="B142" s="336" t="str">
        <f>IF(Start!$C$15="x",('H-Effluent'!B142),"---")</f>
        <v>---</v>
      </c>
      <c r="C142" s="337" t="str">
        <f>IF(Start!$C$16="x",'H-Runoff'!B142,"---")</f>
        <v>---</v>
      </c>
      <c r="D142" s="338" t="str">
        <f>IF(Start!$C$16="x",'H-Runoff'!C142,"---")</f>
        <v>---</v>
      </c>
      <c r="E142" s="868" t="str">
        <f>IF(Start!$C$17="x",'H-Leachate'!B142,"---")</f>
        <v/>
      </c>
      <c r="F142" s="340" t="str">
        <f>IF(Start!$C$18="x",('H-Volatilization'!B142),"---")</f>
        <v/>
      </c>
      <c r="G142" s="341" t="str">
        <f>IF(Start!$C$18="x",('H-Volatilization'!C142),"---")</f>
        <v/>
      </c>
      <c r="H142" s="341" t="str">
        <f>IF(Start!$C$18="x",('H-Volatilization'!D142),"---")</f>
        <v/>
      </c>
      <c r="I142" s="342" t="str">
        <f>IF(Start!$C$18="x",('H-Volatilization'!E142),"---")</f>
        <v/>
      </c>
      <c r="J142" s="339" t="str">
        <f>IF(Start!$C$19="x",'H-Plant &amp; Animal'!B142,"---")</f>
        <v>---</v>
      </c>
      <c r="K142" s="343" t="str">
        <f>'H-Effluent'!Q142</f>
        <v>Not Req.</v>
      </c>
      <c r="L142" s="286" t="str">
        <f>'H-Runoff'!T142</f>
        <v>Not Req.</v>
      </c>
      <c r="M142" s="344" t="str">
        <f>'H-Runoff'!U142</f>
        <v>Not Req.</v>
      </c>
      <c r="N142" s="343" t="str">
        <f>'H-Leachate'!O142</f>
        <v/>
      </c>
      <c r="O142" s="283" t="str">
        <f>'H-Volatilization'!AV142</f>
        <v/>
      </c>
      <c r="P142" s="284" t="str">
        <f>'H-Volatilization'!AW142</f>
        <v/>
      </c>
      <c r="Q142" s="284" t="str">
        <f>'H-Volatilization'!AX142</f>
        <v/>
      </c>
      <c r="R142" s="285" t="str">
        <f>'H-Volatilization'!AY142</f>
        <v/>
      </c>
      <c r="S142" s="462"/>
      <c r="T142" s="345" t="str">
        <f>'H-Plant &amp; Animal'!L142</f>
        <v>Not Req.</v>
      </c>
      <c r="U142" s="346" t="str">
        <f>'H-Plant &amp; Animal'!M142</f>
        <v>Not Req.</v>
      </c>
      <c r="V142" s="794" t="str">
        <f>'H-Effluent'!O142</f>
        <v>---</v>
      </c>
      <c r="W142" s="797" t="str">
        <f>'H-Runoff'!Q142</f>
        <v>---</v>
      </c>
      <c r="X142" s="799" t="str">
        <f>'H-Runoff'!S142</f>
        <v>---</v>
      </c>
      <c r="Y142" s="794" t="str">
        <f>'H-Leachate'!N142</f>
        <v>NA</v>
      </c>
      <c r="Z142" s="797" t="str">
        <f>'H-Volatilization'!AD142</f>
        <v>NA</v>
      </c>
      <c r="AA142" s="798" t="str">
        <f>'H-Volatilization'!AF142</f>
        <v>NA</v>
      </c>
      <c r="AB142" s="798" t="str">
        <f>'H-Volatilization'!AO142</f>
        <v>NA</v>
      </c>
      <c r="AC142" s="799" t="str">
        <f>'H-Volatilization'!AU142</f>
        <v>NA</v>
      </c>
    </row>
    <row r="143" spans="1:29" x14ac:dyDescent="0.25">
      <c r="A143" s="56" t="s">
        <v>461</v>
      </c>
      <c r="B143" s="336" t="str">
        <f>IF(Start!$C$15="x",('H-Effluent'!B143),"---")</f>
        <v>---</v>
      </c>
      <c r="C143" s="337" t="str">
        <f>IF(Start!$C$16="x",'H-Runoff'!B143,"---")</f>
        <v>---</v>
      </c>
      <c r="D143" s="338" t="str">
        <f>IF(Start!$C$16="x",'H-Runoff'!C143,"---")</f>
        <v>---</v>
      </c>
      <c r="E143" s="868" t="str">
        <f>IF(Start!$C$17="x",'H-Leachate'!B143,"---")</f>
        <v/>
      </c>
      <c r="F143" s="340" t="str">
        <f>IF(Start!$C$18="x",('H-Volatilization'!B143),"---")</f>
        <v/>
      </c>
      <c r="G143" s="341" t="str">
        <f>IF(Start!$C$18="x",('H-Volatilization'!C143),"---")</f>
        <v/>
      </c>
      <c r="H143" s="341" t="str">
        <f>IF(Start!$C$18="x",('H-Volatilization'!D143),"---")</f>
        <v/>
      </c>
      <c r="I143" s="342" t="str">
        <f>IF(Start!$C$18="x",('H-Volatilization'!E143),"---")</f>
        <v/>
      </c>
      <c r="J143" s="339" t="str">
        <f>IF(Start!$C$19="x",'H-Plant &amp; Animal'!B143,"---")</f>
        <v>---</v>
      </c>
      <c r="K143" s="343" t="str">
        <f>'H-Effluent'!Q143</f>
        <v>Not Req.</v>
      </c>
      <c r="L143" s="286" t="str">
        <f>'H-Runoff'!T143</f>
        <v>Not Req.</v>
      </c>
      <c r="M143" s="344" t="str">
        <f>'H-Runoff'!U143</f>
        <v>Not Req.</v>
      </c>
      <c r="N143" s="343" t="str">
        <f>'H-Leachate'!O143</f>
        <v/>
      </c>
      <c r="O143" s="283" t="str">
        <f>'H-Volatilization'!AV143</f>
        <v/>
      </c>
      <c r="P143" s="284" t="str">
        <f>'H-Volatilization'!AW143</f>
        <v/>
      </c>
      <c r="Q143" s="284" t="str">
        <f>'H-Volatilization'!AX143</f>
        <v/>
      </c>
      <c r="R143" s="285" t="str">
        <f>'H-Volatilization'!AY143</f>
        <v/>
      </c>
      <c r="S143" s="462"/>
      <c r="T143" s="345" t="str">
        <f>'H-Plant &amp; Animal'!L143</f>
        <v>Not Req.</v>
      </c>
      <c r="U143" s="346" t="str">
        <f>'H-Plant &amp; Animal'!M143</f>
        <v>Not Req.</v>
      </c>
      <c r="V143" s="794" t="str">
        <f>'H-Effluent'!O143</f>
        <v>---</v>
      </c>
      <c r="W143" s="797" t="str">
        <f>'H-Runoff'!Q143</f>
        <v>---</v>
      </c>
      <c r="X143" s="799" t="str">
        <f>'H-Runoff'!S143</f>
        <v>---</v>
      </c>
      <c r="Y143" s="794" t="str">
        <f>'H-Leachate'!N143</f>
        <v>NA</v>
      </c>
      <c r="Z143" s="797" t="str">
        <f>'H-Volatilization'!AD143</f>
        <v>NA</v>
      </c>
      <c r="AA143" s="798" t="str">
        <f>'H-Volatilization'!AF143</f>
        <v>NA</v>
      </c>
      <c r="AB143" s="798" t="str">
        <f>'H-Volatilization'!AO143</f>
        <v>NA</v>
      </c>
      <c r="AC143" s="799" t="str">
        <f>'H-Volatilization'!AU143</f>
        <v>NA</v>
      </c>
    </row>
    <row r="144" spans="1:29" x14ac:dyDescent="0.25">
      <c r="A144" s="56" t="s">
        <v>462</v>
      </c>
      <c r="B144" s="336" t="str">
        <f>IF(Start!$C$15="x",('H-Effluent'!B144),"---")</f>
        <v>---</v>
      </c>
      <c r="C144" s="337" t="str">
        <f>IF(Start!$C$16="x",'H-Runoff'!B144,"---")</f>
        <v>---</v>
      </c>
      <c r="D144" s="338" t="str">
        <f>IF(Start!$C$16="x",'H-Runoff'!C144,"---")</f>
        <v>---</v>
      </c>
      <c r="E144" s="868" t="str">
        <f>IF(Start!$C$17="x",'H-Leachate'!B144,"---")</f>
        <v/>
      </c>
      <c r="F144" s="340" t="str">
        <f>IF(Start!$C$18="x",('H-Volatilization'!B144),"---")</f>
        <v/>
      </c>
      <c r="G144" s="341" t="str">
        <f>IF(Start!$C$18="x",('H-Volatilization'!C144),"---")</f>
        <v/>
      </c>
      <c r="H144" s="341" t="str">
        <f>IF(Start!$C$18="x",('H-Volatilization'!D144),"---")</f>
        <v/>
      </c>
      <c r="I144" s="342" t="str">
        <f>IF(Start!$C$18="x",('H-Volatilization'!E144),"---")</f>
        <v/>
      </c>
      <c r="J144" s="339" t="str">
        <f>IF(Start!$C$19="x",'H-Plant &amp; Animal'!B144,"---")</f>
        <v>---</v>
      </c>
      <c r="K144" s="343" t="str">
        <f>'H-Effluent'!Q144</f>
        <v>Not Req.</v>
      </c>
      <c r="L144" s="286" t="str">
        <f>'H-Runoff'!T144</f>
        <v>Not Req.</v>
      </c>
      <c r="M144" s="344" t="str">
        <f>'H-Runoff'!U144</f>
        <v>Not Req.</v>
      </c>
      <c r="N144" s="343" t="str">
        <f>'H-Leachate'!O144</f>
        <v/>
      </c>
      <c r="O144" s="283" t="str">
        <f>'H-Volatilization'!AV144</f>
        <v/>
      </c>
      <c r="P144" s="284" t="str">
        <f>'H-Volatilization'!AW144</f>
        <v/>
      </c>
      <c r="Q144" s="284" t="str">
        <f>'H-Volatilization'!AX144</f>
        <v/>
      </c>
      <c r="R144" s="285" t="str">
        <f>'H-Volatilization'!AY144</f>
        <v/>
      </c>
      <c r="S144" s="462"/>
      <c r="T144" s="345" t="str">
        <f>'H-Plant &amp; Animal'!L144</f>
        <v>Not Req.</v>
      </c>
      <c r="U144" s="346" t="str">
        <f>'H-Plant &amp; Animal'!M144</f>
        <v>Not Req.</v>
      </c>
      <c r="V144" s="794" t="str">
        <f>'H-Effluent'!O144</f>
        <v>---</v>
      </c>
      <c r="W144" s="797" t="str">
        <f>'H-Runoff'!Q144</f>
        <v>---</v>
      </c>
      <c r="X144" s="799" t="str">
        <f>'H-Runoff'!S144</f>
        <v>---</v>
      </c>
      <c r="Y144" s="794" t="str">
        <f>'H-Leachate'!N144</f>
        <v>NA</v>
      </c>
      <c r="Z144" s="797" t="str">
        <f>'H-Volatilization'!AD144</f>
        <v>NA</v>
      </c>
      <c r="AA144" s="798" t="str">
        <f>'H-Volatilization'!AF144</f>
        <v>NA</v>
      </c>
      <c r="AB144" s="798" t="str">
        <f>'H-Volatilization'!AO144</f>
        <v>NA</v>
      </c>
      <c r="AC144" s="799" t="str">
        <f>'H-Volatilization'!AU144</f>
        <v>NA</v>
      </c>
    </row>
    <row r="145" spans="1:29" x14ac:dyDescent="0.25">
      <c r="A145" s="56" t="s">
        <v>463</v>
      </c>
      <c r="B145" s="336" t="str">
        <f>IF(Start!$C$15="x",('H-Effluent'!B145),"---")</f>
        <v>---</v>
      </c>
      <c r="C145" s="337" t="str">
        <f>IF(Start!$C$16="x",'H-Runoff'!B145,"---")</f>
        <v>---</v>
      </c>
      <c r="D145" s="338" t="str">
        <f>IF(Start!$C$16="x",'H-Runoff'!C145,"---")</f>
        <v>---</v>
      </c>
      <c r="E145" s="868" t="str">
        <f>IF(Start!$C$17="x",'H-Leachate'!B145,"---")</f>
        <v/>
      </c>
      <c r="F145" s="340" t="str">
        <f>IF(Start!$C$18="x",('H-Volatilization'!B145),"---")</f>
        <v/>
      </c>
      <c r="G145" s="341" t="str">
        <f>IF(Start!$C$18="x",('H-Volatilization'!C145),"---")</f>
        <v/>
      </c>
      <c r="H145" s="341" t="str">
        <f>IF(Start!$C$18="x",('H-Volatilization'!D145),"---")</f>
        <v/>
      </c>
      <c r="I145" s="342" t="str">
        <f>IF(Start!$C$18="x",('H-Volatilization'!E145),"---")</f>
        <v/>
      </c>
      <c r="J145" s="339" t="str">
        <f>IF(Start!$C$19="x",'H-Plant &amp; Animal'!B145,"---")</f>
        <v>---</v>
      </c>
      <c r="K145" s="343" t="str">
        <f>'H-Effluent'!Q145</f>
        <v>Not Req.</v>
      </c>
      <c r="L145" s="286" t="str">
        <f>'H-Runoff'!T145</f>
        <v>Not Req.</v>
      </c>
      <c r="M145" s="344" t="str">
        <f>'H-Runoff'!U145</f>
        <v>Not Req.</v>
      </c>
      <c r="N145" s="343" t="str">
        <f>'H-Leachate'!O145</f>
        <v/>
      </c>
      <c r="O145" s="283" t="str">
        <f>'H-Volatilization'!AV145</f>
        <v/>
      </c>
      <c r="P145" s="284" t="str">
        <f>'H-Volatilization'!AW145</f>
        <v/>
      </c>
      <c r="Q145" s="284" t="str">
        <f>'H-Volatilization'!AX145</f>
        <v/>
      </c>
      <c r="R145" s="285" t="str">
        <f>'H-Volatilization'!AY145</f>
        <v/>
      </c>
      <c r="S145" s="462"/>
      <c r="T145" s="345" t="str">
        <f>'H-Plant &amp; Animal'!L145</f>
        <v>Not Req.</v>
      </c>
      <c r="U145" s="346" t="str">
        <f>'H-Plant &amp; Animal'!M145</f>
        <v>Not Req.</v>
      </c>
      <c r="V145" s="794" t="str">
        <f>'H-Effluent'!O145</f>
        <v>---</v>
      </c>
      <c r="W145" s="797" t="str">
        <f>'H-Runoff'!Q145</f>
        <v>---</v>
      </c>
      <c r="X145" s="799" t="str">
        <f>'H-Runoff'!S145</f>
        <v>---</v>
      </c>
      <c r="Y145" s="794" t="str">
        <f>'H-Leachate'!N145</f>
        <v>NA</v>
      </c>
      <c r="Z145" s="797" t="str">
        <f>'H-Volatilization'!AD145</f>
        <v>NA</v>
      </c>
      <c r="AA145" s="798" t="str">
        <f>'H-Volatilization'!AF145</f>
        <v>NA</v>
      </c>
      <c r="AB145" s="798" t="str">
        <f>'H-Volatilization'!AO145</f>
        <v>NA</v>
      </c>
      <c r="AC145" s="799" t="str">
        <f>'H-Volatilization'!AU145</f>
        <v>NA</v>
      </c>
    </row>
    <row r="146" spans="1:29" x14ac:dyDescent="0.25">
      <c r="A146" s="56" t="s">
        <v>464</v>
      </c>
      <c r="B146" s="336" t="str">
        <f>IF(Start!$C$15="x",('H-Effluent'!B146),"---")</f>
        <v>---</v>
      </c>
      <c r="C146" s="337" t="str">
        <f>IF(Start!$C$16="x",'H-Runoff'!B146,"---")</f>
        <v>---</v>
      </c>
      <c r="D146" s="338" t="str">
        <f>IF(Start!$C$16="x",'H-Runoff'!C146,"---")</f>
        <v>---</v>
      </c>
      <c r="E146" s="868" t="str">
        <f>IF(Start!$C$17="x",'H-Leachate'!B146,"---")</f>
        <v/>
      </c>
      <c r="F146" s="340" t="str">
        <f>IF(Start!$C$18="x",('H-Volatilization'!B146),"---")</f>
        <v/>
      </c>
      <c r="G146" s="341" t="str">
        <f>IF(Start!$C$18="x",('H-Volatilization'!C146),"---")</f>
        <v/>
      </c>
      <c r="H146" s="341" t="str">
        <f>IF(Start!$C$18="x",('H-Volatilization'!D146),"---")</f>
        <v/>
      </c>
      <c r="I146" s="342" t="str">
        <f>IF(Start!$C$18="x",('H-Volatilization'!E146),"---")</f>
        <v/>
      </c>
      <c r="J146" s="339" t="str">
        <f>IF(Start!$C$19="x",'H-Plant &amp; Animal'!B146,"---")</f>
        <v>---</v>
      </c>
      <c r="K146" s="343" t="str">
        <f>'H-Effluent'!Q146</f>
        <v>Not Req.</v>
      </c>
      <c r="L146" s="286" t="str">
        <f>'H-Runoff'!T146</f>
        <v>Not Req.</v>
      </c>
      <c r="M146" s="344" t="str">
        <f>'H-Runoff'!U146</f>
        <v>Not Req.</v>
      </c>
      <c r="N146" s="343" t="str">
        <f>'H-Leachate'!O146</f>
        <v/>
      </c>
      <c r="O146" s="283" t="str">
        <f>'H-Volatilization'!AV146</f>
        <v/>
      </c>
      <c r="P146" s="284" t="str">
        <f>'H-Volatilization'!AW146</f>
        <v/>
      </c>
      <c r="Q146" s="284" t="str">
        <f>'H-Volatilization'!AX146</f>
        <v/>
      </c>
      <c r="R146" s="285" t="str">
        <f>'H-Volatilization'!AY146</f>
        <v/>
      </c>
      <c r="S146" s="462"/>
      <c r="T146" s="345" t="str">
        <f>'H-Plant &amp; Animal'!L146</f>
        <v>Not Req.</v>
      </c>
      <c r="U146" s="346" t="str">
        <f>'H-Plant &amp; Animal'!M146</f>
        <v>Not Req.</v>
      </c>
      <c r="V146" s="794" t="str">
        <f>'H-Effluent'!O146</f>
        <v>---</v>
      </c>
      <c r="W146" s="797" t="str">
        <f>'H-Runoff'!Q146</f>
        <v>---</v>
      </c>
      <c r="X146" s="799" t="str">
        <f>'H-Runoff'!S146</f>
        <v>---</v>
      </c>
      <c r="Y146" s="794" t="str">
        <f>'H-Leachate'!N146</f>
        <v>NA</v>
      </c>
      <c r="Z146" s="797" t="str">
        <f>'H-Volatilization'!AD146</f>
        <v>NA</v>
      </c>
      <c r="AA146" s="798" t="str">
        <f>'H-Volatilization'!AF146</f>
        <v>NA</v>
      </c>
      <c r="AB146" s="798" t="str">
        <f>'H-Volatilization'!AO146</f>
        <v>NA</v>
      </c>
      <c r="AC146" s="799" t="str">
        <f>'H-Volatilization'!AU146</f>
        <v>NA</v>
      </c>
    </row>
    <row r="147" spans="1:29" x14ac:dyDescent="0.25">
      <c r="A147" s="56" t="s">
        <v>465</v>
      </c>
      <c r="B147" s="336" t="str">
        <f>IF(Start!$C$15="x",('H-Effluent'!B147),"---")</f>
        <v>---</v>
      </c>
      <c r="C147" s="337" t="str">
        <f>IF(Start!$C$16="x",'H-Runoff'!B147,"---")</f>
        <v>---</v>
      </c>
      <c r="D147" s="338" t="str">
        <f>IF(Start!$C$16="x",'H-Runoff'!C147,"---")</f>
        <v>---</v>
      </c>
      <c r="E147" s="868" t="str">
        <f>IF(Start!$C$17="x",'H-Leachate'!B147,"---")</f>
        <v/>
      </c>
      <c r="F147" s="340" t="str">
        <f>IF(Start!$C$18="x",('H-Volatilization'!B147),"---")</f>
        <v/>
      </c>
      <c r="G147" s="341" t="str">
        <f>IF(Start!$C$18="x",('H-Volatilization'!C147),"---")</f>
        <v/>
      </c>
      <c r="H147" s="341" t="str">
        <f>IF(Start!$C$18="x",('H-Volatilization'!D147),"---")</f>
        <v/>
      </c>
      <c r="I147" s="342" t="str">
        <f>IF(Start!$C$18="x",('H-Volatilization'!E147),"---")</f>
        <v/>
      </c>
      <c r="J147" s="339" t="str">
        <f>IF(Start!$C$19="x",'H-Plant &amp; Animal'!B147,"---")</f>
        <v>---</v>
      </c>
      <c r="K147" s="343" t="str">
        <f>'H-Effluent'!Q147</f>
        <v>Not Req.</v>
      </c>
      <c r="L147" s="286" t="str">
        <f>'H-Runoff'!T147</f>
        <v>Not Req.</v>
      </c>
      <c r="M147" s="344" t="str">
        <f>'H-Runoff'!U147</f>
        <v>Not Req.</v>
      </c>
      <c r="N147" s="343" t="str">
        <f>'H-Leachate'!O147</f>
        <v/>
      </c>
      <c r="O147" s="283" t="str">
        <f>'H-Volatilization'!AV147</f>
        <v/>
      </c>
      <c r="P147" s="284" t="str">
        <f>'H-Volatilization'!AW147</f>
        <v/>
      </c>
      <c r="Q147" s="284" t="str">
        <f>'H-Volatilization'!AX147</f>
        <v/>
      </c>
      <c r="R147" s="285" t="str">
        <f>'H-Volatilization'!AY147</f>
        <v/>
      </c>
      <c r="S147" s="462"/>
      <c r="T147" s="345" t="str">
        <f>'H-Plant &amp; Animal'!L147</f>
        <v>Not Req.</v>
      </c>
      <c r="U147" s="346" t="str">
        <f>'H-Plant &amp; Animal'!M147</f>
        <v>Not Req.</v>
      </c>
      <c r="V147" s="794" t="str">
        <f>'H-Effluent'!O147</f>
        <v>---</v>
      </c>
      <c r="W147" s="797" t="str">
        <f>'H-Runoff'!Q147</f>
        <v>---</v>
      </c>
      <c r="X147" s="799" t="str">
        <f>'H-Runoff'!S147</f>
        <v>---</v>
      </c>
      <c r="Y147" s="794" t="str">
        <f>'H-Leachate'!N147</f>
        <v>NA</v>
      </c>
      <c r="Z147" s="797" t="str">
        <f>'H-Volatilization'!AD147</f>
        <v>NA</v>
      </c>
      <c r="AA147" s="798" t="str">
        <f>'H-Volatilization'!AF147</f>
        <v>NA</v>
      </c>
      <c r="AB147" s="798" t="str">
        <f>'H-Volatilization'!AO147</f>
        <v>NA</v>
      </c>
      <c r="AC147" s="799" t="str">
        <f>'H-Volatilization'!AU147</f>
        <v>NA</v>
      </c>
    </row>
    <row r="148" spans="1:29" x14ac:dyDescent="0.25">
      <c r="A148" s="56" t="s">
        <v>466</v>
      </c>
      <c r="B148" s="336" t="str">
        <f>IF(Start!$C$15="x",('H-Effluent'!B148),"---")</f>
        <v>---</v>
      </c>
      <c r="C148" s="337" t="str">
        <f>IF(Start!$C$16="x",'H-Runoff'!B148,"---")</f>
        <v>---</v>
      </c>
      <c r="D148" s="338" t="str">
        <f>IF(Start!$C$16="x",'H-Runoff'!C148,"---")</f>
        <v>---</v>
      </c>
      <c r="E148" s="868" t="str">
        <f>IF(Start!$C$17="x",'H-Leachate'!B148,"---")</f>
        <v/>
      </c>
      <c r="F148" s="340" t="str">
        <f>IF(Start!$C$18="x",('H-Volatilization'!B148),"---")</f>
        <v/>
      </c>
      <c r="G148" s="341" t="str">
        <f>IF(Start!$C$18="x",('H-Volatilization'!C148),"---")</f>
        <v/>
      </c>
      <c r="H148" s="341" t="str">
        <f>IF(Start!$C$18="x",('H-Volatilization'!D148),"---")</f>
        <v/>
      </c>
      <c r="I148" s="342" t="str">
        <f>IF(Start!$C$18="x",('H-Volatilization'!E148),"---")</f>
        <v/>
      </c>
      <c r="J148" s="339" t="str">
        <f>IF(Start!$C$19="x",'H-Plant &amp; Animal'!B148,"---")</f>
        <v>---</v>
      </c>
      <c r="K148" s="343" t="str">
        <f>'H-Effluent'!Q148</f>
        <v>Not Req.</v>
      </c>
      <c r="L148" s="286" t="str">
        <f>'H-Runoff'!T148</f>
        <v>Not Req.</v>
      </c>
      <c r="M148" s="344" t="str">
        <f>'H-Runoff'!U148</f>
        <v>Not Req.</v>
      </c>
      <c r="N148" s="343" t="str">
        <f>'H-Leachate'!O148</f>
        <v/>
      </c>
      <c r="O148" s="283" t="str">
        <f>'H-Volatilization'!AV148</f>
        <v/>
      </c>
      <c r="P148" s="284" t="str">
        <f>'H-Volatilization'!AW148</f>
        <v/>
      </c>
      <c r="Q148" s="284" t="str">
        <f>'H-Volatilization'!AX148</f>
        <v/>
      </c>
      <c r="R148" s="285" t="str">
        <f>'H-Volatilization'!AY148</f>
        <v/>
      </c>
      <c r="S148" s="462"/>
      <c r="T148" s="345" t="str">
        <f>'H-Plant &amp; Animal'!L148</f>
        <v>Not Req.</v>
      </c>
      <c r="U148" s="346" t="str">
        <f>'H-Plant &amp; Animal'!M148</f>
        <v>Not Req.</v>
      </c>
      <c r="V148" s="794" t="str">
        <f>'H-Effluent'!O148</f>
        <v>---</v>
      </c>
      <c r="W148" s="797" t="str">
        <f>'H-Runoff'!Q148</f>
        <v>---</v>
      </c>
      <c r="X148" s="799" t="str">
        <f>'H-Runoff'!S148</f>
        <v>---</v>
      </c>
      <c r="Y148" s="794" t="str">
        <f>'H-Leachate'!N148</f>
        <v>NA</v>
      </c>
      <c r="Z148" s="797" t="str">
        <f>'H-Volatilization'!AD148</f>
        <v>NA</v>
      </c>
      <c r="AA148" s="798" t="str">
        <f>'H-Volatilization'!AF148</f>
        <v>NA</v>
      </c>
      <c r="AB148" s="798" t="str">
        <f>'H-Volatilization'!AO148</f>
        <v>NA</v>
      </c>
      <c r="AC148" s="799" t="str">
        <f>'H-Volatilization'!AU148</f>
        <v>NA</v>
      </c>
    </row>
    <row r="149" spans="1:29" x14ac:dyDescent="0.25">
      <c r="A149" s="56" t="s">
        <v>670</v>
      </c>
      <c r="B149" s="336" t="str">
        <f>IF(Start!$C$15="x",('H-Effluent'!B149),"---")</f>
        <v>---</v>
      </c>
      <c r="C149" s="337" t="str">
        <f>IF(Start!$C$16="x",'H-Runoff'!B149,"---")</f>
        <v>---</v>
      </c>
      <c r="D149" s="338" t="str">
        <f>IF(Start!$C$16="x",'H-Runoff'!C149,"---")</f>
        <v>---</v>
      </c>
      <c r="E149" s="868" t="str">
        <f>IF(Start!$C$17="x",'H-Leachate'!B149,"---")</f>
        <v/>
      </c>
      <c r="F149" s="340" t="str">
        <f>IF(Start!$C$18="x",('H-Volatilization'!B149),"---")</f>
        <v/>
      </c>
      <c r="G149" s="341" t="str">
        <f>IF(Start!$C$18="x",('H-Volatilization'!C149),"---")</f>
        <v/>
      </c>
      <c r="H149" s="341" t="str">
        <f>IF(Start!$C$18="x",('H-Volatilization'!D149),"---")</f>
        <v/>
      </c>
      <c r="I149" s="342" t="str">
        <f>IF(Start!$C$18="x",('H-Volatilization'!E149),"---")</f>
        <v/>
      </c>
      <c r="J149" s="339" t="str">
        <f>IF(Start!$C$19="x",'H-Plant &amp; Animal'!B149,"---")</f>
        <v>---</v>
      </c>
      <c r="K149" s="343" t="str">
        <f>'H-Effluent'!Q149</f>
        <v>Not Req.</v>
      </c>
      <c r="L149" s="286" t="str">
        <f>'H-Runoff'!T149</f>
        <v>Not Req.</v>
      </c>
      <c r="M149" s="344" t="str">
        <f>'H-Runoff'!U149</f>
        <v>Not Req.</v>
      </c>
      <c r="N149" s="343" t="str">
        <f>'H-Leachate'!O149</f>
        <v/>
      </c>
      <c r="O149" s="283" t="str">
        <f>'H-Volatilization'!AV149</f>
        <v/>
      </c>
      <c r="P149" s="284" t="str">
        <f>'H-Volatilization'!AW149</f>
        <v/>
      </c>
      <c r="Q149" s="284" t="str">
        <f>'H-Volatilization'!AX149</f>
        <v/>
      </c>
      <c r="R149" s="285" t="str">
        <f>'H-Volatilization'!AY149</f>
        <v/>
      </c>
      <c r="S149" s="462"/>
      <c r="T149" s="345" t="str">
        <f>'H-Plant &amp; Animal'!L149</f>
        <v>Not Req.</v>
      </c>
      <c r="U149" s="346" t="str">
        <f>'H-Plant &amp; Animal'!M149</f>
        <v>Not Req.</v>
      </c>
      <c r="V149" s="794" t="str">
        <f>'H-Effluent'!O149</f>
        <v>---</v>
      </c>
      <c r="W149" s="797" t="str">
        <f>'H-Runoff'!Q149</f>
        <v>---</v>
      </c>
      <c r="X149" s="799" t="str">
        <f>'H-Runoff'!S149</f>
        <v>---</v>
      </c>
      <c r="Y149" s="794" t="str">
        <f>'H-Leachate'!N149</f>
        <v>NA</v>
      </c>
      <c r="Z149" s="797" t="str">
        <f>'H-Volatilization'!AD149</f>
        <v>NA</v>
      </c>
      <c r="AA149" s="798" t="str">
        <f>'H-Volatilization'!AF149</f>
        <v>NA</v>
      </c>
      <c r="AB149" s="798" t="str">
        <f>'H-Volatilization'!AO149</f>
        <v>NA</v>
      </c>
      <c r="AC149" s="799" t="str">
        <f>'H-Volatilization'!AU149</f>
        <v>NA</v>
      </c>
    </row>
    <row r="150" spans="1:29" x14ac:dyDescent="0.25">
      <c r="A150" s="56" t="s">
        <v>468</v>
      </c>
      <c r="B150" s="336" t="str">
        <f>IF(Start!$C$15="x",('H-Effluent'!B150),"---")</f>
        <v>---</v>
      </c>
      <c r="C150" s="337" t="str">
        <f>IF(Start!$C$16="x",'H-Runoff'!B150,"---")</f>
        <v>---</v>
      </c>
      <c r="D150" s="338" t="str">
        <f>IF(Start!$C$16="x",'H-Runoff'!C150,"---")</f>
        <v>---</v>
      </c>
      <c r="E150" s="868" t="str">
        <f>IF(Start!$C$17="x",'H-Leachate'!B150,"---")</f>
        <v/>
      </c>
      <c r="F150" s="340" t="str">
        <f>IF(Start!$C$18="x",('H-Volatilization'!B150),"---")</f>
        <v/>
      </c>
      <c r="G150" s="341" t="str">
        <f>IF(Start!$C$18="x",('H-Volatilization'!C150),"---")</f>
        <v/>
      </c>
      <c r="H150" s="341" t="str">
        <f>IF(Start!$C$18="x",('H-Volatilization'!D150),"---")</f>
        <v/>
      </c>
      <c r="I150" s="342" t="str">
        <f>IF(Start!$C$18="x",('H-Volatilization'!E150),"---")</f>
        <v/>
      </c>
      <c r="J150" s="339" t="str">
        <f>IF(Start!$C$19="x",'H-Plant &amp; Animal'!B150,"---")</f>
        <v>---</v>
      </c>
      <c r="K150" s="343" t="str">
        <f>'H-Effluent'!Q150</f>
        <v>Not Req.</v>
      </c>
      <c r="L150" s="286" t="str">
        <f>'H-Runoff'!T150</f>
        <v>Not Req.</v>
      </c>
      <c r="M150" s="344" t="str">
        <f>'H-Runoff'!U150</f>
        <v>Not Req.</v>
      </c>
      <c r="N150" s="343" t="str">
        <f>'H-Leachate'!O150</f>
        <v/>
      </c>
      <c r="O150" s="283" t="str">
        <f>'H-Volatilization'!AV150</f>
        <v/>
      </c>
      <c r="P150" s="284" t="str">
        <f>'H-Volatilization'!AW150</f>
        <v/>
      </c>
      <c r="Q150" s="284" t="str">
        <f>'H-Volatilization'!AX150</f>
        <v/>
      </c>
      <c r="R150" s="285" t="str">
        <f>'H-Volatilization'!AY150</f>
        <v/>
      </c>
      <c r="S150" s="462"/>
      <c r="T150" s="345" t="str">
        <f>'H-Plant &amp; Animal'!L150</f>
        <v>Not Req.</v>
      </c>
      <c r="U150" s="346" t="str">
        <f>'H-Plant &amp; Animal'!M150</f>
        <v>Not Req.</v>
      </c>
      <c r="V150" s="794" t="str">
        <f>'H-Effluent'!O150</f>
        <v>---</v>
      </c>
      <c r="W150" s="797" t="str">
        <f>'H-Runoff'!Q150</f>
        <v>---</v>
      </c>
      <c r="X150" s="799" t="str">
        <f>'H-Runoff'!S150</f>
        <v>---</v>
      </c>
      <c r="Y150" s="794" t="str">
        <f>'H-Leachate'!N150</f>
        <v>NA</v>
      </c>
      <c r="Z150" s="797" t="str">
        <f>'H-Volatilization'!AD150</f>
        <v>NA</v>
      </c>
      <c r="AA150" s="798" t="str">
        <f>'H-Volatilization'!AF150</f>
        <v>NA</v>
      </c>
      <c r="AB150" s="798" t="str">
        <f>'H-Volatilization'!AO150</f>
        <v>NA</v>
      </c>
      <c r="AC150" s="799" t="str">
        <f>'H-Volatilization'!AU150</f>
        <v>NA</v>
      </c>
    </row>
    <row r="151" spans="1:29" x14ac:dyDescent="0.25">
      <c r="A151" s="56" t="s">
        <v>469</v>
      </c>
      <c r="B151" s="336" t="str">
        <f>IF(Start!$C$15="x",('H-Effluent'!B151),"---")</f>
        <v>---</v>
      </c>
      <c r="C151" s="337" t="str">
        <f>IF(Start!$C$16="x",'H-Runoff'!B151,"---")</f>
        <v>---</v>
      </c>
      <c r="D151" s="338" t="str">
        <f>IF(Start!$C$16="x",'H-Runoff'!C151,"---")</f>
        <v>---</v>
      </c>
      <c r="E151" s="868" t="str">
        <f>IF(Start!$C$17="x",'H-Leachate'!B151,"---")</f>
        <v/>
      </c>
      <c r="F151" s="340" t="str">
        <f>IF(Start!$C$18="x",('H-Volatilization'!B151),"---")</f>
        <v/>
      </c>
      <c r="G151" s="341" t="str">
        <f>IF(Start!$C$18="x",('H-Volatilization'!C151),"---")</f>
        <v/>
      </c>
      <c r="H151" s="341" t="str">
        <f>IF(Start!$C$18="x",('H-Volatilization'!D151),"---")</f>
        <v/>
      </c>
      <c r="I151" s="342" t="str">
        <f>IF(Start!$C$18="x",('H-Volatilization'!E151),"---")</f>
        <v/>
      </c>
      <c r="J151" s="339" t="str">
        <f>IF(Start!$C$19="x",'H-Plant &amp; Animal'!B151,"---")</f>
        <v>---</v>
      </c>
      <c r="K151" s="343" t="str">
        <f>'H-Effluent'!Q151</f>
        <v>Not Req.</v>
      </c>
      <c r="L151" s="286" t="str">
        <f>'H-Runoff'!T151</f>
        <v>Not Req.</v>
      </c>
      <c r="M151" s="344" t="str">
        <f>'H-Runoff'!U151</f>
        <v>Not Req.</v>
      </c>
      <c r="N151" s="343" t="str">
        <f>'H-Leachate'!O151</f>
        <v/>
      </c>
      <c r="O151" s="283" t="str">
        <f>'H-Volatilization'!AV151</f>
        <v/>
      </c>
      <c r="P151" s="284" t="str">
        <f>'H-Volatilization'!AW151</f>
        <v/>
      </c>
      <c r="Q151" s="284" t="str">
        <f>'H-Volatilization'!AX151</f>
        <v/>
      </c>
      <c r="R151" s="285" t="str">
        <f>'H-Volatilization'!AY151</f>
        <v/>
      </c>
      <c r="S151" s="462"/>
      <c r="T151" s="345" t="str">
        <f>'H-Plant &amp; Animal'!L151</f>
        <v>Not Req.</v>
      </c>
      <c r="U151" s="346" t="str">
        <f>'H-Plant &amp; Animal'!M151</f>
        <v>Not Req.</v>
      </c>
      <c r="V151" s="794" t="str">
        <f>'H-Effluent'!O151</f>
        <v>---</v>
      </c>
      <c r="W151" s="797" t="str">
        <f>'H-Runoff'!Q151</f>
        <v>---</v>
      </c>
      <c r="X151" s="799" t="str">
        <f>'H-Runoff'!S151</f>
        <v>---</v>
      </c>
      <c r="Y151" s="794" t="str">
        <f>'H-Leachate'!N151</f>
        <v>NA</v>
      </c>
      <c r="Z151" s="797" t="str">
        <f>'H-Volatilization'!AD151</f>
        <v>NA</v>
      </c>
      <c r="AA151" s="798" t="str">
        <f>'H-Volatilization'!AF151</f>
        <v>NA</v>
      </c>
      <c r="AB151" s="798" t="str">
        <f>'H-Volatilization'!AO151</f>
        <v>NA</v>
      </c>
      <c r="AC151" s="799" t="str">
        <f>'H-Volatilization'!AU151</f>
        <v>NA</v>
      </c>
    </row>
    <row r="152" spans="1:29" x14ac:dyDescent="0.25">
      <c r="A152" s="56" t="s">
        <v>470</v>
      </c>
      <c r="B152" s="336" t="str">
        <f>IF(Start!$C$15="x",('H-Effluent'!B152),"---")</f>
        <v>---</v>
      </c>
      <c r="C152" s="337" t="str">
        <f>IF(Start!$C$16="x",'H-Runoff'!B152,"---")</f>
        <v>---</v>
      </c>
      <c r="D152" s="338" t="str">
        <f>IF(Start!$C$16="x",'H-Runoff'!C152,"---")</f>
        <v>---</v>
      </c>
      <c r="E152" s="868" t="str">
        <f>IF(Start!$C$17="x",'H-Leachate'!B152,"---")</f>
        <v/>
      </c>
      <c r="F152" s="340" t="str">
        <f>IF(Start!$C$18="x",('H-Volatilization'!B152),"---")</f>
        <v/>
      </c>
      <c r="G152" s="341" t="str">
        <f>IF(Start!$C$18="x",('H-Volatilization'!C152),"---")</f>
        <v/>
      </c>
      <c r="H152" s="341" t="str">
        <f>IF(Start!$C$18="x",('H-Volatilization'!D152),"---")</f>
        <v/>
      </c>
      <c r="I152" s="342" t="str">
        <f>IF(Start!$C$18="x",('H-Volatilization'!E152),"---")</f>
        <v/>
      </c>
      <c r="J152" s="339" t="str">
        <f>IF(Start!$C$19="x",'H-Plant &amp; Animal'!B152,"---")</f>
        <v>---</v>
      </c>
      <c r="K152" s="343" t="str">
        <f>'H-Effluent'!Q152</f>
        <v>Not Req.</v>
      </c>
      <c r="L152" s="286" t="str">
        <f>'H-Runoff'!T152</f>
        <v>Not Req.</v>
      </c>
      <c r="M152" s="344" t="str">
        <f>'H-Runoff'!U152</f>
        <v>Not Req.</v>
      </c>
      <c r="N152" s="343" t="str">
        <f>'H-Leachate'!O152</f>
        <v/>
      </c>
      <c r="O152" s="283" t="str">
        <f>'H-Volatilization'!AV152</f>
        <v/>
      </c>
      <c r="P152" s="284" t="str">
        <f>'H-Volatilization'!AW152</f>
        <v/>
      </c>
      <c r="Q152" s="284" t="str">
        <f>'H-Volatilization'!AX152</f>
        <v/>
      </c>
      <c r="R152" s="285" t="str">
        <f>'H-Volatilization'!AY152</f>
        <v/>
      </c>
      <c r="S152" s="462"/>
      <c r="T152" s="345" t="str">
        <f>'H-Plant &amp; Animal'!L152</f>
        <v>Not Req.</v>
      </c>
      <c r="U152" s="346" t="str">
        <f>'H-Plant &amp; Animal'!M152</f>
        <v>Not Req.</v>
      </c>
      <c r="V152" s="794" t="str">
        <f>'H-Effluent'!O152</f>
        <v>---</v>
      </c>
      <c r="W152" s="797" t="str">
        <f>'H-Runoff'!Q152</f>
        <v>---</v>
      </c>
      <c r="X152" s="799" t="str">
        <f>'H-Runoff'!S152</f>
        <v>---</v>
      </c>
      <c r="Y152" s="794" t="str">
        <f>'H-Leachate'!N152</f>
        <v>NA</v>
      </c>
      <c r="Z152" s="797" t="str">
        <f>'H-Volatilization'!AD152</f>
        <v>NA</v>
      </c>
      <c r="AA152" s="798" t="str">
        <f>'H-Volatilization'!AF152</f>
        <v>NA</v>
      </c>
      <c r="AB152" s="798" t="str">
        <f>'H-Volatilization'!AO152</f>
        <v>NA</v>
      </c>
      <c r="AC152" s="799" t="str">
        <f>'H-Volatilization'!AU152</f>
        <v>NA</v>
      </c>
    </row>
    <row r="153" spans="1:29" x14ac:dyDescent="0.25">
      <c r="A153" s="56" t="s">
        <v>471</v>
      </c>
      <c r="B153" s="336" t="str">
        <f>IF(Start!$C$15="x",('H-Effluent'!B153),"---")</f>
        <v>---</v>
      </c>
      <c r="C153" s="337" t="str">
        <f>IF(Start!$C$16="x",'H-Runoff'!B153,"---")</f>
        <v>---</v>
      </c>
      <c r="D153" s="338" t="str">
        <f>IF(Start!$C$16="x",'H-Runoff'!C153,"---")</f>
        <v>---</v>
      </c>
      <c r="E153" s="868" t="str">
        <f>IF(Start!$C$17="x",'H-Leachate'!B153,"---")</f>
        <v/>
      </c>
      <c r="F153" s="340" t="str">
        <f>IF(Start!$C$18="x",('H-Volatilization'!B153),"---")</f>
        <v/>
      </c>
      <c r="G153" s="341" t="str">
        <f>IF(Start!$C$18="x",('H-Volatilization'!C153),"---")</f>
        <v/>
      </c>
      <c r="H153" s="341" t="str">
        <f>IF(Start!$C$18="x",('H-Volatilization'!D153),"---")</f>
        <v/>
      </c>
      <c r="I153" s="342" t="str">
        <f>IF(Start!$C$18="x",('H-Volatilization'!E153),"---")</f>
        <v/>
      </c>
      <c r="J153" s="339" t="str">
        <f>IF(Start!$C$19="x",'H-Plant &amp; Animal'!B153,"---")</f>
        <v>---</v>
      </c>
      <c r="K153" s="343" t="str">
        <f>'H-Effluent'!Q153</f>
        <v>Not Req.</v>
      </c>
      <c r="L153" s="286" t="str">
        <f>'H-Runoff'!T153</f>
        <v>Not Req.</v>
      </c>
      <c r="M153" s="344" t="str">
        <f>'H-Runoff'!U153</f>
        <v>Not Req.</v>
      </c>
      <c r="N153" s="343" t="str">
        <f>'H-Leachate'!O153</f>
        <v/>
      </c>
      <c r="O153" s="283" t="str">
        <f>'H-Volatilization'!AV153</f>
        <v/>
      </c>
      <c r="P153" s="284" t="str">
        <f>'H-Volatilization'!AW153</f>
        <v/>
      </c>
      <c r="Q153" s="284" t="str">
        <f>'H-Volatilization'!AX153</f>
        <v/>
      </c>
      <c r="R153" s="285" t="str">
        <f>'H-Volatilization'!AY153</f>
        <v/>
      </c>
      <c r="S153" s="462"/>
      <c r="T153" s="345" t="str">
        <f>'H-Plant &amp; Animal'!L153</f>
        <v>Not Req.</v>
      </c>
      <c r="U153" s="346" t="str">
        <f>'H-Plant &amp; Animal'!M153</f>
        <v>Not Req.</v>
      </c>
      <c r="V153" s="794" t="str">
        <f>'H-Effluent'!O153</f>
        <v>---</v>
      </c>
      <c r="W153" s="797" t="str">
        <f>'H-Runoff'!Q153</f>
        <v>---</v>
      </c>
      <c r="X153" s="799" t="str">
        <f>'H-Runoff'!S153</f>
        <v>---</v>
      </c>
      <c r="Y153" s="794" t="str">
        <f>'H-Leachate'!N153</f>
        <v>NA</v>
      </c>
      <c r="Z153" s="797" t="str">
        <f>'H-Volatilization'!AD153</f>
        <v>NA</v>
      </c>
      <c r="AA153" s="798" t="str">
        <f>'H-Volatilization'!AF153</f>
        <v>NA</v>
      </c>
      <c r="AB153" s="798" t="str">
        <f>'H-Volatilization'!AO153</f>
        <v>NA</v>
      </c>
      <c r="AC153" s="799" t="str">
        <f>'H-Volatilization'!AU153</f>
        <v>NA</v>
      </c>
    </row>
    <row r="154" spans="1:29" x14ac:dyDescent="0.25">
      <c r="A154" s="56" t="s">
        <v>472</v>
      </c>
      <c r="B154" s="336" t="str">
        <f>IF(Start!$C$15="x",('H-Effluent'!B154),"---")</f>
        <v>---</v>
      </c>
      <c r="C154" s="337" t="str">
        <f>IF(Start!$C$16="x",'H-Runoff'!B154,"---")</f>
        <v>---</v>
      </c>
      <c r="D154" s="338" t="str">
        <f>IF(Start!$C$16="x",'H-Runoff'!C154,"---")</f>
        <v>---</v>
      </c>
      <c r="E154" s="868" t="str">
        <f>IF(Start!$C$17="x",'H-Leachate'!B154,"---")</f>
        <v/>
      </c>
      <c r="F154" s="340" t="str">
        <f>IF(Start!$C$18="x",('H-Volatilization'!B154),"---")</f>
        <v/>
      </c>
      <c r="G154" s="341" t="str">
        <f>IF(Start!$C$18="x",('H-Volatilization'!C154),"---")</f>
        <v/>
      </c>
      <c r="H154" s="341" t="str">
        <f>IF(Start!$C$18="x",('H-Volatilization'!D154),"---")</f>
        <v/>
      </c>
      <c r="I154" s="342" t="str">
        <f>IF(Start!$C$18="x",('H-Volatilization'!E154),"---")</f>
        <v/>
      </c>
      <c r="J154" s="339" t="str">
        <f>IF(Start!$C$19="x",'H-Plant &amp; Animal'!B154,"---")</f>
        <v>---</v>
      </c>
      <c r="K154" s="343" t="str">
        <f>'H-Effluent'!Q154</f>
        <v>Not Req.</v>
      </c>
      <c r="L154" s="286" t="str">
        <f>'H-Runoff'!T154</f>
        <v>Not Req.</v>
      </c>
      <c r="M154" s="344" t="str">
        <f>'H-Runoff'!U154</f>
        <v>Not Req.</v>
      </c>
      <c r="N154" s="343" t="str">
        <f>'H-Leachate'!O154</f>
        <v/>
      </c>
      <c r="O154" s="283" t="str">
        <f>'H-Volatilization'!AV154</f>
        <v/>
      </c>
      <c r="P154" s="284" t="str">
        <f>'H-Volatilization'!AW154</f>
        <v/>
      </c>
      <c r="Q154" s="284" t="str">
        <f>'H-Volatilization'!AX154</f>
        <v/>
      </c>
      <c r="R154" s="285" t="str">
        <f>'H-Volatilization'!AY154</f>
        <v/>
      </c>
      <c r="S154" s="462"/>
      <c r="T154" s="345" t="str">
        <f>'H-Plant &amp; Animal'!L154</f>
        <v>Not Req.</v>
      </c>
      <c r="U154" s="346" t="str">
        <f>'H-Plant &amp; Animal'!M154</f>
        <v>Not Req.</v>
      </c>
      <c r="V154" s="794" t="str">
        <f>'H-Effluent'!O154</f>
        <v>---</v>
      </c>
      <c r="W154" s="797" t="str">
        <f>'H-Runoff'!Q154</f>
        <v>---</v>
      </c>
      <c r="X154" s="799" t="str">
        <f>'H-Runoff'!S154</f>
        <v>---</v>
      </c>
      <c r="Y154" s="794" t="str">
        <f>'H-Leachate'!N154</f>
        <v>NA</v>
      </c>
      <c r="Z154" s="797" t="str">
        <f>'H-Volatilization'!AD154</f>
        <v>NA</v>
      </c>
      <c r="AA154" s="798" t="str">
        <f>'H-Volatilization'!AF154</f>
        <v>NA</v>
      </c>
      <c r="AB154" s="798" t="str">
        <f>'H-Volatilization'!AO154</f>
        <v>NA</v>
      </c>
      <c r="AC154" s="799" t="str">
        <f>'H-Volatilization'!AU154</f>
        <v>NA</v>
      </c>
    </row>
    <row r="155" spans="1:29" x14ac:dyDescent="0.25">
      <c r="A155" s="60" t="s">
        <v>671</v>
      </c>
      <c r="B155" s="336" t="str">
        <f>IF(Start!$C$15="x",('H-Effluent'!B155),"---")</f>
        <v>---</v>
      </c>
      <c r="C155" s="337" t="str">
        <f>IF(Start!$C$16="x",'H-Runoff'!B155,"---")</f>
        <v>---</v>
      </c>
      <c r="D155" s="338" t="str">
        <f>IF(Start!$C$16="x",'H-Runoff'!C155,"---")</f>
        <v>---</v>
      </c>
      <c r="E155" s="868" t="str">
        <f>IF(Start!$C$17="x",'H-Leachate'!B155,"---")</f>
        <v/>
      </c>
      <c r="F155" s="340" t="str">
        <f>IF(Start!$C$18="x",('H-Volatilization'!B155),"---")</f>
        <v/>
      </c>
      <c r="G155" s="341" t="str">
        <f>IF(Start!$C$18="x",('H-Volatilization'!C155),"---")</f>
        <v/>
      </c>
      <c r="H155" s="341" t="str">
        <f>IF(Start!$C$18="x",('H-Volatilization'!D155),"---")</f>
        <v/>
      </c>
      <c r="I155" s="342" t="str">
        <f>IF(Start!$C$18="x",('H-Volatilization'!E155),"---")</f>
        <v/>
      </c>
      <c r="J155" s="339" t="str">
        <f>IF(Start!$C$19="x",'H-Plant &amp; Animal'!B155,"---")</f>
        <v>---</v>
      </c>
      <c r="K155" s="343" t="str">
        <f>'H-Effluent'!Q155</f>
        <v>Not Req.</v>
      </c>
      <c r="L155" s="286" t="str">
        <f>'H-Runoff'!T155</f>
        <v>Not Req.</v>
      </c>
      <c r="M155" s="344" t="str">
        <f>'H-Runoff'!U155</f>
        <v>Not Req.</v>
      </c>
      <c r="N155" s="343" t="str">
        <f>'H-Leachate'!O155</f>
        <v/>
      </c>
      <c r="O155" s="283" t="str">
        <f>'H-Volatilization'!AV155</f>
        <v/>
      </c>
      <c r="P155" s="284" t="str">
        <f>'H-Volatilization'!AW155</f>
        <v/>
      </c>
      <c r="Q155" s="284" t="str">
        <f>'H-Volatilization'!AX155</f>
        <v/>
      </c>
      <c r="R155" s="285" t="str">
        <f>'H-Volatilization'!AY155</f>
        <v/>
      </c>
      <c r="S155" s="462"/>
      <c r="T155" s="345" t="str">
        <f>'H-Plant &amp; Animal'!L155</f>
        <v>Not Req.</v>
      </c>
      <c r="U155" s="346" t="str">
        <f>'H-Plant &amp; Animal'!M155</f>
        <v>Not Req.</v>
      </c>
      <c r="V155" s="794" t="str">
        <f>'H-Effluent'!O155</f>
        <v>---</v>
      </c>
      <c r="W155" s="797" t="str">
        <f>'H-Runoff'!Q155</f>
        <v>---</v>
      </c>
      <c r="X155" s="799" t="str">
        <f>'H-Runoff'!S155</f>
        <v>---</v>
      </c>
      <c r="Y155" s="794" t="str">
        <f>'H-Leachate'!N155</f>
        <v>NA</v>
      </c>
      <c r="Z155" s="797" t="str">
        <f>'H-Volatilization'!AD155</f>
        <v>NA</v>
      </c>
      <c r="AA155" s="798" t="str">
        <f>'H-Volatilization'!AF155</f>
        <v>NA</v>
      </c>
      <c r="AB155" s="798" t="str">
        <f>'H-Volatilization'!AO155</f>
        <v>NA</v>
      </c>
      <c r="AC155" s="799" t="str">
        <f>'H-Volatilization'!AU155</f>
        <v>NA</v>
      </c>
    </row>
    <row r="156" spans="1:29" x14ac:dyDescent="0.25">
      <c r="A156" s="60" t="s">
        <v>474</v>
      </c>
      <c r="B156" s="336" t="str">
        <f>IF(Start!$C$15="x",('H-Effluent'!B156),"---")</f>
        <v>---</v>
      </c>
      <c r="C156" s="337" t="str">
        <f>IF(Start!$C$16="x",'H-Runoff'!B156,"---")</f>
        <v>---</v>
      </c>
      <c r="D156" s="338" t="str">
        <f>IF(Start!$C$16="x",'H-Runoff'!C156,"---")</f>
        <v>---</v>
      </c>
      <c r="E156" s="868" t="str">
        <f>IF(Start!$C$17="x",'H-Leachate'!B156,"---")</f>
        <v/>
      </c>
      <c r="F156" s="340" t="str">
        <f>IF(Start!$C$18="x",('H-Volatilization'!B156),"---")</f>
        <v/>
      </c>
      <c r="G156" s="341" t="str">
        <f>IF(Start!$C$18="x",('H-Volatilization'!C156),"---")</f>
        <v/>
      </c>
      <c r="H156" s="341" t="str">
        <f>IF(Start!$C$18="x",('H-Volatilization'!D156),"---")</f>
        <v/>
      </c>
      <c r="I156" s="342" t="str">
        <f>IF(Start!$C$18="x",('H-Volatilization'!E156),"---")</f>
        <v/>
      </c>
      <c r="J156" s="339" t="str">
        <f>IF(Start!$C$19="x",'H-Plant &amp; Animal'!B156,"---")</f>
        <v>---</v>
      </c>
      <c r="K156" s="343" t="str">
        <f>'H-Effluent'!Q156</f>
        <v>Not Req.</v>
      </c>
      <c r="L156" s="286" t="str">
        <f>'H-Runoff'!T156</f>
        <v>Not Req.</v>
      </c>
      <c r="M156" s="344" t="str">
        <f>'H-Runoff'!U156</f>
        <v>Not Req.</v>
      </c>
      <c r="N156" s="343" t="str">
        <f>'H-Leachate'!O156</f>
        <v/>
      </c>
      <c r="O156" s="283" t="str">
        <f>'H-Volatilization'!AV156</f>
        <v/>
      </c>
      <c r="P156" s="284" t="str">
        <f>'H-Volatilization'!AW156</f>
        <v/>
      </c>
      <c r="Q156" s="284" t="str">
        <f>'H-Volatilization'!AX156</f>
        <v/>
      </c>
      <c r="R156" s="285" t="str">
        <f>'H-Volatilization'!AY156</f>
        <v/>
      </c>
      <c r="S156" s="462"/>
      <c r="T156" s="345" t="str">
        <f>'H-Plant &amp; Animal'!L156</f>
        <v>Not Req.</v>
      </c>
      <c r="U156" s="346" t="str">
        <f>'H-Plant &amp; Animal'!M156</f>
        <v>Not Req.</v>
      </c>
      <c r="V156" s="794" t="str">
        <f>'H-Effluent'!O156</f>
        <v>---</v>
      </c>
      <c r="W156" s="797" t="str">
        <f>'H-Runoff'!Q156</f>
        <v>---</v>
      </c>
      <c r="X156" s="799" t="str">
        <f>'H-Runoff'!S156</f>
        <v>---</v>
      </c>
      <c r="Y156" s="794" t="str">
        <f>'H-Leachate'!N156</f>
        <v>NA</v>
      </c>
      <c r="Z156" s="797" t="str">
        <f>'H-Volatilization'!AD156</f>
        <v>NA</v>
      </c>
      <c r="AA156" s="798" t="str">
        <f>'H-Volatilization'!AF156</f>
        <v>NA</v>
      </c>
      <c r="AB156" s="798" t="str">
        <f>'H-Volatilization'!AO156</f>
        <v>NA</v>
      </c>
      <c r="AC156" s="799" t="str">
        <f>'H-Volatilization'!AU156</f>
        <v>NA</v>
      </c>
    </row>
    <row r="157" spans="1:29" x14ac:dyDescent="0.25">
      <c r="A157" s="60" t="s">
        <v>475</v>
      </c>
      <c r="B157" s="336" t="str">
        <f>IF(Start!$C$15="x",('H-Effluent'!B157),"---")</f>
        <v>---</v>
      </c>
      <c r="C157" s="337" t="str">
        <f>IF(Start!$C$16="x",'H-Runoff'!B157,"---")</f>
        <v>---</v>
      </c>
      <c r="D157" s="338" t="str">
        <f>IF(Start!$C$16="x",'H-Runoff'!C157,"---")</f>
        <v>---</v>
      </c>
      <c r="E157" s="868" t="str">
        <f>IF(Start!$C$17="x",'H-Leachate'!B157,"---")</f>
        <v/>
      </c>
      <c r="F157" s="340" t="str">
        <f>IF(Start!$C$18="x",('H-Volatilization'!B157),"---")</f>
        <v/>
      </c>
      <c r="G157" s="341" t="str">
        <f>IF(Start!$C$18="x",('H-Volatilization'!C157),"---")</f>
        <v/>
      </c>
      <c r="H157" s="341" t="str">
        <f>IF(Start!$C$18="x",('H-Volatilization'!D157),"---")</f>
        <v/>
      </c>
      <c r="I157" s="342" t="str">
        <f>IF(Start!$C$18="x",('H-Volatilization'!E157),"---")</f>
        <v/>
      </c>
      <c r="J157" s="339" t="str">
        <f>IF(Start!$C$19="x",'H-Plant &amp; Animal'!B157,"---")</f>
        <v>---</v>
      </c>
      <c r="K157" s="343" t="str">
        <f>'H-Effluent'!Q157</f>
        <v>Not Req.</v>
      </c>
      <c r="L157" s="286" t="str">
        <f>'H-Runoff'!T157</f>
        <v>Not Req.</v>
      </c>
      <c r="M157" s="344" t="str">
        <f>'H-Runoff'!U157</f>
        <v>Not Req.</v>
      </c>
      <c r="N157" s="343" t="str">
        <f>'H-Leachate'!O157</f>
        <v/>
      </c>
      <c r="O157" s="283" t="str">
        <f>'H-Volatilization'!AV157</f>
        <v/>
      </c>
      <c r="P157" s="284" t="str">
        <f>'H-Volatilization'!AW157</f>
        <v/>
      </c>
      <c r="Q157" s="284" t="str">
        <f>'H-Volatilization'!AX157</f>
        <v/>
      </c>
      <c r="R157" s="285" t="str">
        <f>'H-Volatilization'!AY157</f>
        <v/>
      </c>
      <c r="S157" s="462"/>
      <c r="T157" s="345" t="str">
        <f>'H-Plant &amp; Animal'!L157</f>
        <v>Not Req.</v>
      </c>
      <c r="U157" s="346" t="str">
        <f>'H-Plant &amp; Animal'!M157</f>
        <v>Not Req.</v>
      </c>
      <c r="V157" s="794" t="str">
        <f>'H-Effluent'!O157</f>
        <v>---</v>
      </c>
      <c r="W157" s="797" t="str">
        <f>'H-Runoff'!Q157</f>
        <v>---</v>
      </c>
      <c r="X157" s="799" t="str">
        <f>'H-Runoff'!S157</f>
        <v>---</v>
      </c>
      <c r="Y157" s="794" t="str">
        <f>'H-Leachate'!N157</f>
        <v>NA</v>
      </c>
      <c r="Z157" s="797" t="str">
        <f>'H-Volatilization'!AD157</f>
        <v>NA</v>
      </c>
      <c r="AA157" s="798" t="str">
        <f>'H-Volatilization'!AF157</f>
        <v>NA</v>
      </c>
      <c r="AB157" s="798" t="str">
        <f>'H-Volatilization'!AO157</f>
        <v>NA</v>
      </c>
      <c r="AC157" s="799" t="str">
        <f>'H-Volatilization'!AU157</f>
        <v>NA</v>
      </c>
    </row>
    <row r="158" spans="1:29" x14ac:dyDescent="0.25">
      <c r="A158" s="56" t="s">
        <v>476</v>
      </c>
      <c r="B158" s="336" t="str">
        <f>IF(Start!$C$15="x",('H-Effluent'!B158),"---")</f>
        <v>---</v>
      </c>
      <c r="C158" s="337" t="str">
        <f>IF(Start!$C$16="x",'H-Runoff'!B158,"---")</f>
        <v>---</v>
      </c>
      <c r="D158" s="338" t="str">
        <f>IF(Start!$C$16="x",'H-Runoff'!C158,"---")</f>
        <v>---</v>
      </c>
      <c r="E158" s="868" t="str">
        <f>IF(Start!$C$17="x",'H-Leachate'!B158,"---")</f>
        <v/>
      </c>
      <c r="F158" s="340" t="str">
        <f>IF(Start!$C$18="x",('H-Volatilization'!B158),"---")</f>
        <v/>
      </c>
      <c r="G158" s="341" t="str">
        <f>IF(Start!$C$18="x",('H-Volatilization'!C158),"---")</f>
        <v/>
      </c>
      <c r="H158" s="341" t="str">
        <f>IF(Start!$C$18="x",('H-Volatilization'!D158),"---")</f>
        <v/>
      </c>
      <c r="I158" s="342" t="str">
        <f>IF(Start!$C$18="x",('H-Volatilization'!E158),"---")</f>
        <v/>
      </c>
      <c r="J158" s="339" t="str">
        <f>IF(Start!$C$19="x",'H-Plant &amp; Animal'!B158,"---")</f>
        <v>---</v>
      </c>
      <c r="K158" s="343" t="str">
        <f>'H-Effluent'!Q158</f>
        <v>Not Req.</v>
      </c>
      <c r="L158" s="286" t="str">
        <f>'H-Runoff'!T158</f>
        <v>Not Req.</v>
      </c>
      <c r="M158" s="344" t="str">
        <f>'H-Runoff'!U158</f>
        <v>Not Req.</v>
      </c>
      <c r="N158" s="343" t="str">
        <f>'H-Leachate'!O158</f>
        <v/>
      </c>
      <c r="O158" s="283" t="str">
        <f>'H-Volatilization'!AV158</f>
        <v/>
      </c>
      <c r="P158" s="284" t="str">
        <f>'H-Volatilization'!AW158</f>
        <v/>
      </c>
      <c r="Q158" s="284" t="str">
        <f>'H-Volatilization'!AX158</f>
        <v/>
      </c>
      <c r="R158" s="285" t="str">
        <f>'H-Volatilization'!AY158</f>
        <v/>
      </c>
      <c r="S158" s="462"/>
      <c r="T158" s="345" t="str">
        <f>'H-Plant &amp; Animal'!L158</f>
        <v>Not Req.</v>
      </c>
      <c r="U158" s="346" t="str">
        <f>'H-Plant &amp; Animal'!M158</f>
        <v>Not Req.</v>
      </c>
      <c r="V158" s="794" t="str">
        <f>'H-Effluent'!O158</f>
        <v>---</v>
      </c>
      <c r="W158" s="797" t="str">
        <f>'H-Runoff'!Q158</f>
        <v>---</v>
      </c>
      <c r="X158" s="799" t="str">
        <f>'H-Runoff'!S158</f>
        <v>---</v>
      </c>
      <c r="Y158" s="794" t="str">
        <f>'H-Leachate'!N158</f>
        <v>NA</v>
      </c>
      <c r="Z158" s="797" t="str">
        <f>'H-Volatilization'!AD158</f>
        <v>NA</v>
      </c>
      <c r="AA158" s="798" t="str">
        <f>'H-Volatilization'!AF158</f>
        <v>NA</v>
      </c>
      <c r="AB158" s="798" t="str">
        <f>'H-Volatilization'!AO158</f>
        <v>NA</v>
      </c>
      <c r="AC158" s="799" t="str">
        <f>'H-Volatilization'!AU158</f>
        <v>NA</v>
      </c>
    </row>
    <row r="159" spans="1:29" x14ac:dyDescent="0.25">
      <c r="A159" s="56" t="s">
        <v>672</v>
      </c>
      <c r="B159" s="336" t="str">
        <f>IF(Start!$C$15="x",('H-Effluent'!B159),"---")</f>
        <v>---</v>
      </c>
      <c r="C159" s="337" t="str">
        <f>IF(Start!$C$16="x",'H-Runoff'!B159,"---")</f>
        <v>---</v>
      </c>
      <c r="D159" s="338" t="str">
        <f>IF(Start!$C$16="x",'H-Runoff'!C159,"---")</f>
        <v>---</v>
      </c>
      <c r="E159" s="868" t="str">
        <f>IF(Start!$C$17="x",'H-Leachate'!B159,"---")</f>
        <v/>
      </c>
      <c r="F159" s="340" t="str">
        <f>IF(Start!$C$18="x",('H-Volatilization'!B159),"---")</f>
        <v/>
      </c>
      <c r="G159" s="341" t="str">
        <f>IF(Start!$C$18="x",('H-Volatilization'!C159),"---")</f>
        <v/>
      </c>
      <c r="H159" s="341" t="str">
        <f>IF(Start!$C$18="x",('H-Volatilization'!D159),"---")</f>
        <v/>
      </c>
      <c r="I159" s="342" t="str">
        <f>IF(Start!$C$18="x",('H-Volatilization'!E159),"---")</f>
        <v/>
      </c>
      <c r="J159" s="339" t="str">
        <f>IF(Start!$C$19="x",'H-Plant &amp; Animal'!B159,"---")</f>
        <v>---</v>
      </c>
      <c r="K159" s="343" t="str">
        <f>'H-Effluent'!Q159</f>
        <v>Not Req.</v>
      </c>
      <c r="L159" s="286" t="str">
        <f>'H-Runoff'!T159</f>
        <v>Not Req.</v>
      </c>
      <c r="M159" s="344" t="str">
        <f>'H-Runoff'!U159</f>
        <v>Not Req.</v>
      </c>
      <c r="N159" s="343" t="str">
        <f>'H-Leachate'!O159</f>
        <v/>
      </c>
      <c r="O159" s="283" t="str">
        <f>'H-Volatilization'!AV159</f>
        <v/>
      </c>
      <c r="P159" s="284" t="str">
        <f>'H-Volatilization'!AW159</f>
        <v/>
      </c>
      <c r="Q159" s="284" t="str">
        <f>'H-Volatilization'!AX159</f>
        <v/>
      </c>
      <c r="R159" s="285" t="str">
        <f>'H-Volatilization'!AY159</f>
        <v/>
      </c>
      <c r="S159" s="462"/>
      <c r="T159" s="345" t="str">
        <f>'H-Plant &amp; Animal'!L159</f>
        <v>Not Req.</v>
      </c>
      <c r="U159" s="346" t="str">
        <f>'H-Plant &amp; Animal'!M159</f>
        <v>Not Req.</v>
      </c>
      <c r="V159" s="794" t="str">
        <f>'H-Effluent'!O159</f>
        <v>---</v>
      </c>
      <c r="W159" s="797" t="str">
        <f>'H-Runoff'!Q159</f>
        <v>---</v>
      </c>
      <c r="X159" s="799" t="str">
        <f>'H-Runoff'!S159</f>
        <v>---</v>
      </c>
      <c r="Y159" s="794" t="str">
        <f>'H-Leachate'!N159</f>
        <v>NA</v>
      </c>
      <c r="Z159" s="797" t="str">
        <f>'H-Volatilization'!AD159</f>
        <v>NA</v>
      </c>
      <c r="AA159" s="798" t="str">
        <f>'H-Volatilization'!AF159</f>
        <v>NA</v>
      </c>
      <c r="AB159" s="798" t="str">
        <f>'H-Volatilization'!AO159</f>
        <v>NA</v>
      </c>
      <c r="AC159" s="799" t="str">
        <f>'H-Volatilization'!AU159</f>
        <v>NA</v>
      </c>
    </row>
    <row r="160" spans="1:29" x14ac:dyDescent="0.25">
      <c r="A160" s="56" t="s">
        <v>673</v>
      </c>
      <c r="B160" s="336" t="str">
        <f>IF(Start!$C$15="x",('H-Effluent'!B160),"---")</f>
        <v>---</v>
      </c>
      <c r="C160" s="337" t="str">
        <f>IF(Start!$C$16="x",'H-Runoff'!B160,"---")</f>
        <v>---</v>
      </c>
      <c r="D160" s="338" t="str">
        <f>IF(Start!$C$16="x",'H-Runoff'!C160,"---")</f>
        <v>---</v>
      </c>
      <c r="E160" s="868" t="str">
        <f>IF(Start!$C$17="x",'H-Leachate'!B160,"---")</f>
        <v/>
      </c>
      <c r="F160" s="340" t="str">
        <f>IF(Start!$C$18="x",('H-Volatilization'!B160),"---")</f>
        <v/>
      </c>
      <c r="G160" s="341" t="str">
        <f>IF(Start!$C$18="x",('H-Volatilization'!C160),"---")</f>
        <v/>
      </c>
      <c r="H160" s="341" t="str">
        <f>IF(Start!$C$18="x",('H-Volatilization'!D160),"---")</f>
        <v/>
      </c>
      <c r="I160" s="342" t="str">
        <f>IF(Start!$C$18="x",('H-Volatilization'!E160),"---")</f>
        <v/>
      </c>
      <c r="J160" s="339" t="str">
        <f>IF(Start!$C$19="x",'H-Plant &amp; Animal'!B160,"---")</f>
        <v>---</v>
      </c>
      <c r="K160" s="343" t="str">
        <f>'H-Effluent'!Q160</f>
        <v>Not Req.</v>
      </c>
      <c r="L160" s="286" t="str">
        <f>'H-Runoff'!T160</f>
        <v>Not Req.</v>
      </c>
      <c r="M160" s="344" t="str">
        <f>'H-Runoff'!U160</f>
        <v>Not Req.</v>
      </c>
      <c r="N160" s="343" t="str">
        <f>'H-Leachate'!O160</f>
        <v/>
      </c>
      <c r="O160" s="283" t="str">
        <f>'H-Volatilization'!AV160</f>
        <v/>
      </c>
      <c r="P160" s="284" t="str">
        <f>'H-Volatilization'!AW160</f>
        <v/>
      </c>
      <c r="Q160" s="284" t="str">
        <f>'H-Volatilization'!AX160</f>
        <v/>
      </c>
      <c r="R160" s="285" t="str">
        <f>'H-Volatilization'!AY160</f>
        <v/>
      </c>
      <c r="S160" s="462"/>
      <c r="T160" s="345" t="str">
        <f>'H-Plant &amp; Animal'!L160</f>
        <v>Not Req.</v>
      </c>
      <c r="U160" s="346" t="str">
        <f>'H-Plant &amp; Animal'!M160</f>
        <v>Not Req.</v>
      </c>
      <c r="V160" s="794" t="str">
        <f>'H-Effluent'!O160</f>
        <v>---</v>
      </c>
      <c r="W160" s="797" t="str">
        <f>'H-Runoff'!Q160</f>
        <v>---</v>
      </c>
      <c r="X160" s="799" t="str">
        <f>'H-Runoff'!S160</f>
        <v>---</v>
      </c>
      <c r="Y160" s="794" t="str">
        <f>'H-Leachate'!N160</f>
        <v>NA</v>
      </c>
      <c r="Z160" s="797" t="str">
        <f>'H-Volatilization'!AD160</f>
        <v>NA</v>
      </c>
      <c r="AA160" s="798" t="str">
        <f>'H-Volatilization'!AF160</f>
        <v>NA</v>
      </c>
      <c r="AB160" s="798" t="str">
        <f>'H-Volatilization'!AO160</f>
        <v>NA</v>
      </c>
      <c r="AC160" s="799" t="str">
        <f>'H-Volatilization'!AU160</f>
        <v>NA</v>
      </c>
    </row>
    <row r="161" spans="1:29" x14ac:dyDescent="0.25">
      <c r="A161" s="56" t="s">
        <v>479</v>
      </c>
      <c r="B161" s="336" t="str">
        <f>IF(Start!$C$15="x",('H-Effluent'!B161),"---")</f>
        <v>---</v>
      </c>
      <c r="C161" s="337" t="str">
        <f>IF(Start!$C$16="x",'H-Runoff'!B161,"---")</f>
        <v>---</v>
      </c>
      <c r="D161" s="338" t="str">
        <f>IF(Start!$C$16="x",'H-Runoff'!C161,"---")</f>
        <v>---</v>
      </c>
      <c r="E161" s="868" t="str">
        <f>IF(Start!$C$17="x",'H-Leachate'!B161,"---")</f>
        <v/>
      </c>
      <c r="F161" s="340" t="str">
        <f>IF(Start!$C$18="x",('H-Volatilization'!B161),"---")</f>
        <v/>
      </c>
      <c r="G161" s="341" t="str">
        <f>IF(Start!$C$18="x",('H-Volatilization'!C161),"---")</f>
        <v/>
      </c>
      <c r="H161" s="341" t="str">
        <f>IF(Start!$C$18="x",('H-Volatilization'!D161),"---")</f>
        <v/>
      </c>
      <c r="I161" s="342" t="str">
        <f>IF(Start!$C$18="x",('H-Volatilization'!E161),"---")</f>
        <v/>
      </c>
      <c r="J161" s="339" t="str">
        <f>IF(Start!$C$19="x",'H-Plant &amp; Animal'!B161,"---")</f>
        <v>---</v>
      </c>
      <c r="K161" s="343" t="str">
        <f>'H-Effluent'!Q161</f>
        <v>Not Req.</v>
      </c>
      <c r="L161" s="286" t="str">
        <f>'H-Runoff'!T161</f>
        <v>Not Req.</v>
      </c>
      <c r="M161" s="344" t="str">
        <f>'H-Runoff'!U161</f>
        <v>Not Req.</v>
      </c>
      <c r="N161" s="343" t="str">
        <f>'H-Leachate'!O161</f>
        <v/>
      </c>
      <c r="O161" s="283" t="str">
        <f>'H-Volatilization'!AV161</f>
        <v/>
      </c>
      <c r="P161" s="284" t="str">
        <f>'H-Volatilization'!AW161</f>
        <v/>
      </c>
      <c r="Q161" s="284" t="str">
        <f>'H-Volatilization'!AX161</f>
        <v/>
      </c>
      <c r="R161" s="285" t="str">
        <f>'H-Volatilization'!AY161</f>
        <v/>
      </c>
      <c r="S161" s="462"/>
      <c r="T161" s="345" t="str">
        <f>'H-Plant &amp; Animal'!L161</f>
        <v>Not Req.</v>
      </c>
      <c r="U161" s="346" t="str">
        <f>'H-Plant &amp; Animal'!M161</f>
        <v>Not Req.</v>
      </c>
      <c r="V161" s="794" t="str">
        <f>'H-Effluent'!O161</f>
        <v>---</v>
      </c>
      <c r="W161" s="797" t="str">
        <f>'H-Runoff'!Q161</f>
        <v>---</v>
      </c>
      <c r="X161" s="799" t="str">
        <f>'H-Runoff'!S161</f>
        <v>---</v>
      </c>
      <c r="Y161" s="794" t="str">
        <f>'H-Leachate'!N161</f>
        <v>NA</v>
      </c>
      <c r="Z161" s="797" t="str">
        <f>'H-Volatilization'!AD161</f>
        <v>NA</v>
      </c>
      <c r="AA161" s="798" t="str">
        <f>'H-Volatilization'!AF161</f>
        <v>NA</v>
      </c>
      <c r="AB161" s="798" t="str">
        <f>'H-Volatilization'!AO161</f>
        <v>NA</v>
      </c>
      <c r="AC161" s="799" t="str">
        <f>'H-Volatilization'!AU161</f>
        <v>NA</v>
      </c>
    </row>
    <row r="162" spans="1:29" x14ac:dyDescent="0.25">
      <c r="A162" s="56" t="s">
        <v>480</v>
      </c>
      <c r="B162" s="336" t="str">
        <f>IF(Start!$C$15="x",('H-Effluent'!B162),"---")</f>
        <v>---</v>
      </c>
      <c r="C162" s="337" t="str">
        <f>IF(Start!$C$16="x",'H-Runoff'!B162,"---")</f>
        <v>---</v>
      </c>
      <c r="D162" s="338" t="str">
        <f>IF(Start!$C$16="x",'H-Runoff'!C162,"---")</f>
        <v>---</v>
      </c>
      <c r="E162" s="868" t="str">
        <f>IF(Start!$C$17="x",'H-Leachate'!B162,"---")</f>
        <v/>
      </c>
      <c r="F162" s="340" t="str">
        <f>IF(Start!$C$18="x",('H-Volatilization'!B162),"---")</f>
        <v/>
      </c>
      <c r="G162" s="341" t="str">
        <f>IF(Start!$C$18="x",('H-Volatilization'!C162),"---")</f>
        <v/>
      </c>
      <c r="H162" s="341" t="str">
        <f>IF(Start!$C$18="x",('H-Volatilization'!D162),"---")</f>
        <v/>
      </c>
      <c r="I162" s="342" t="str">
        <f>IF(Start!$C$18="x",('H-Volatilization'!E162),"---")</f>
        <v/>
      </c>
      <c r="J162" s="339" t="str">
        <f>IF(Start!$C$19="x",'H-Plant &amp; Animal'!B162,"---")</f>
        <v>---</v>
      </c>
      <c r="K162" s="343" t="str">
        <f>'H-Effluent'!Q162</f>
        <v>Not Req.</v>
      </c>
      <c r="L162" s="286" t="str">
        <f>'H-Runoff'!T162</f>
        <v>Not Req.</v>
      </c>
      <c r="M162" s="344" t="str">
        <f>'H-Runoff'!U162</f>
        <v>Not Req.</v>
      </c>
      <c r="N162" s="343" t="str">
        <f>'H-Leachate'!O162</f>
        <v/>
      </c>
      <c r="O162" s="283" t="str">
        <f>'H-Volatilization'!AV162</f>
        <v/>
      </c>
      <c r="P162" s="284" t="str">
        <f>'H-Volatilization'!AW162</f>
        <v/>
      </c>
      <c r="Q162" s="284" t="str">
        <f>'H-Volatilization'!AX162</f>
        <v/>
      </c>
      <c r="R162" s="285" t="str">
        <f>'H-Volatilization'!AY162</f>
        <v/>
      </c>
      <c r="S162" s="462"/>
      <c r="T162" s="345" t="str">
        <f>'H-Plant &amp; Animal'!L162</f>
        <v>Not Req.</v>
      </c>
      <c r="U162" s="346" t="str">
        <f>'H-Plant &amp; Animal'!M162</f>
        <v>Not Req.</v>
      </c>
      <c r="V162" s="794" t="str">
        <f>'H-Effluent'!O162</f>
        <v>---</v>
      </c>
      <c r="W162" s="797" t="str">
        <f>'H-Runoff'!Q162</f>
        <v>---</v>
      </c>
      <c r="X162" s="799" t="str">
        <f>'H-Runoff'!S162</f>
        <v>---</v>
      </c>
      <c r="Y162" s="794" t="str">
        <f>'H-Leachate'!N162</f>
        <v>NA</v>
      </c>
      <c r="Z162" s="797" t="str">
        <f>'H-Volatilization'!AD162</f>
        <v>NA</v>
      </c>
      <c r="AA162" s="798" t="str">
        <f>'H-Volatilization'!AF162</f>
        <v>NA</v>
      </c>
      <c r="AB162" s="798" t="str">
        <f>'H-Volatilization'!AO162</f>
        <v>NA</v>
      </c>
      <c r="AC162" s="799" t="str">
        <f>'H-Volatilization'!AU162</f>
        <v>NA</v>
      </c>
    </row>
    <row r="163" spans="1:29" x14ac:dyDescent="0.25">
      <c r="A163" s="308" t="s">
        <v>481</v>
      </c>
      <c r="B163" s="336" t="str">
        <f>IF(Start!$C$15="x",('H-Effluent'!B163),"---")</f>
        <v>---</v>
      </c>
      <c r="C163" s="337" t="str">
        <f>IF(Start!$C$16="x",'H-Runoff'!B163,"---")</f>
        <v>---</v>
      </c>
      <c r="D163" s="338" t="str">
        <f>IF(Start!$C$16="x",'H-Runoff'!C163,"---")</f>
        <v>---</v>
      </c>
      <c r="E163" s="868" t="str">
        <f>IF(Start!$C$17="x",'H-Leachate'!B163,"---")</f>
        <v/>
      </c>
      <c r="F163" s="340" t="str">
        <f>IF(Start!$C$18="x",('H-Volatilization'!B163),"---")</f>
        <v/>
      </c>
      <c r="G163" s="341" t="str">
        <f>IF(Start!$C$18="x",('H-Volatilization'!C163),"---")</f>
        <v/>
      </c>
      <c r="H163" s="341" t="str">
        <f>IF(Start!$C$18="x",('H-Volatilization'!D163),"---")</f>
        <v/>
      </c>
      <c r="I163" s="342" t="str">
        <f>IF(Start!$C$18="x",('H-Volatilization'!E163),"---")</f>
        <v/>
      </c>
      <c r="J163" s="339" t="str">
        <f>IF(Start!$C$19="x",'H-Plant &amp; Animal'!B163,"---")</f>
        <v>---</v>
      </c>
      <c r="K163" s="343" t="str">
        <f>'H-Effluent'!Q163</f>
        <v>Not Req.</v>
      </c>
      <c r="L163" s="286" t="str">
        <f>'H-Runoff'!T163</f>
        <v>Not Req.</v>
      </c>
      <c r="M163" s="344" t="str">
        <f>'H-Runoff'!U163</f>
        <v>Not Req.</v>
      </c>
      <c r="N163" s="343" t="str">
        <f>'H-Leachate'!O163</f>
        <v/>
      </c>
      <c r="O163" s="283" t="str">
        <f>'H-Volatilization'!AV163</f>
        <v/>
      </c>
      <c r="P163" s="284" t="str">
        <f>'H-Volatilization'!AW163</f>
        <v/>
      </c>
      <c r="Q163" s="284" t="str">
        <f>'H-Volatilization'!AX163</f>
        <v/>
      </c>
      <c r="R163" s="285" t="str">
        <f>'H-Volatilization'!AY163</f>
        <v/>
      </c>
      <c r="S163" s="462"/>
      <c r="T163" s="345" t="str">
        <f>'H-Plant &amp; Animal'!L163</f>
        <v>Not Req.</v>
      </c>
      <c r="U163" s="346" t="str">
        <f>'H-Plant &amp; Animal'!M163</f>
        <v>Not Req.</v>
      </c>
      <c r="V163" s="794" t="str">
        <f>'H-Effluent'!O163</f>
        <v>---</v>
      </c>
      <c r="W163" s="797" t="str">
        <f>'H-Runoff'!Q163</f>
        <v>---</v>
      </c>
      <c r="X163" s="799" t="str">
        <f>'H-Runoff'!S163</f>
        <v>---</v>
      </c>
      <c r="Y163" s="794" t="str">
        <f>'H-Leachate'!N163</f>
        <v>NA</v>
      </c>
      <c r="Z163" s="797" t="str">
        <f>'H-Volatilization'!AD163</f>
        <v>NA</v>
      </c>
      <c r="AA163" s="798" t="str">
        <f>'H-Volatilization'!AF163</f>
        <v>NA</v>
      </c>
      <c r="AB163" s="798" t="str">
        <f>'H-Volatilization'!AO163</f>
        <v>NA</v>
      </c>
      <c r="AC163" s="799" t="str">
        <f>'H-Volatilization'!AU163</f>
        <v>NA</v>
      </c>
    </row>
    <row r="164" spans="1:29" x14ac:dyDescent="0.25">
      <c r="A164" s="56" t="s">
        <v>482</v>
      </c>
      <c r="B164" s="336" t="str">
        <f>IF(Start!$C$15="x",('H-Effluent'!B164),"---")</f>
        <v>---</v>
      </c>
      <c r="C164" s="337" t="str">
        <f>IF(Start!$C$16="x",'H-Runoff'!B164,"---")</f>
        <v>---</v>
      </c>
      <c r="D164" s="338" t="str">
        <f>IF(Start!$C$16="x",'H-Runoff'!C164,"---")</f>
        <v>---</v>
      </c>
      <c r="E164" s="868" t="str">
        <f>IF(Start!$C$17="x",'H-Leachate'!B164,"---")</f>
        <v/>
      </c>
      <c r="F164" s="340" t="str">
        <f>IF(Start!$C$18="x",('H-Volatilization'!B164),"---")</f>
        <v/>
      </c>
      <c r="G164" s="341" t="str">
        <f>IF(Start!$C$18="x",('H-Volatilization'!C164),"---")</f>
        <v/>
      </c>
      <c r="H164" s="341" t="str">
        <f>IF(Start!$C$18="x",('H-Volatilization'!D164),"---")</f>
        <v/>
      </c>
      <c r="I164" s="342" t="str">
        <f>IF(Start!$C$18="x",('H-Volatilization'!E164),"---")</f>
        <v/>
      </c>
      <c r="J164" s="339" t="str">
        <f>IF(Start!$C$19="x",'H-Plant &amp; Animal'!B164,"---")</f>
        <v>---</v>
      </c>
      <c r="K164" s="343" t="str">
        <f>'H-Effluent'!Q164</f>
        <v>Not Req.</v>
      </c>
      <c r="L164" s="286" t="str">
        <f>'H-Runoff'!T164</f>
        <v>Not Req.</v>
      </c>
      <c r="M164" s="344" t="str">
        <f>'H-Runoff'!U164</f>
        <v>Not Req.</v>
      </c>
      <c r="N164" s="343" t="str">
        <f>'H-Leachate'!O164</f>
        <v/>
      </c>
      <c r="O164" s="283" t="str">
        <f>'H-Volatilization'!AV164</f>
        <v/>
      </c>
      <c r="P164" s="284" t="str">
        <f>'H-Volatilization'!AW164</f>
        <v/>
      </c>
      <c r="Q164" s="284" t="str">
        <f>'H-Volatilization'!AX164</f>
        <v/>
      </c>
      <c r="R164" s="285" t="str">
        <f>'H-Volatilization'!AY164</f>
        <v/>
      </c>
      <c r="S164" s="462"/>
      <c r="T164" s="345" t="str">
        <f>'H-Plant &amp; Animal'!L164</f>
        <v>Not Req.</v>
      </c>
      <c r="U164" s="346" t="str">
        <f>'H-Plant &amp; Animal'!M164</f>
        <v>Not Req.</v>
      </c>
      <c r="V164" s="794" t="str">
        <f>'H-Effluent'!O164</f>
        <v>---</v>
      </c>
      <c r="W164" s="797" t="str">
        <f>'H-Runoff'!Q164</f>
        <v>---</v>
      </c>
      <c r="X164" s="799" t="str">
        <f>'H-Runoff'!S164</f>
        <v>---</v>
      </c>
      <c r="Y164" s="794" t="str">
        <f>'H-Leachate'!N164</f>
        <v>NA</v>
      </c>
      <c r="Z164" s="797" t="str">
        <f>'H-Volatilization'!AD164</f>
        <v>NA</v>
      </c>
      <c r="AA164" s="798" t="str">
        <f>'H-Volatilization'!AF164</f>
        <v>NA</v>
      </c>
      <c r="AB164" s="798" t="str">
        <f>'H-Volatilization'!AO164</f>
        <v>NA</v>
      </c>
      <c r="AC164" s="799" t="str">
        <f>'H-Volatilization'!AU164</f>
        <v>NA</v>
      </c>
    </row>
    <row r="165" spans="1:29" x14ac:dyDescent="0.25">
      <c r="A165" s="56" t="s">
        <v>483</v>
      </c>
      <c r="B165" s="336" t="str">
        <f>IF(Start!$C$15="x",('H-Effluent'!B165),"---")</f>
        <v>---</v>
      </c>
      <c r="C165" s="337" t="str">
        <f>IF(Start!$C$16="x",'H-Runoff'!B165,"---")</f>
        <v>---</v>
      </c>
      <c r="D165" s="338" t="str">
        <f>IF(Start!$C$16="x",'H-Runoff'!C165,"---")</f>
        <v>---</v>
      </c>
      <c r="E165" s="868" t="str">
        <f>IF(Start!$C$17="x",'H-Leachate'!B165,"---")</f>
        <v/>
      </c>
      <c r="F165" s="340" t="str">
        <f>IF(Start!$C$18="x",('H-Volatilization'!B165),"---")</f>
        <v/>
      </c>
      <c r="G165" s="341" t="str">
        <f>IF(Start!$C$18="x",('H-Volatilization'!C165),"---")</f>
        <v/>
      </c>
      <c r="H165" s="341" t="str">
        <f>IF(Start!$C$18="x",('H-Volatilization'!D165),"---")</f>
        <v/>
      </c>
      <c r="I165" s="342" t="str">
        <f>IF(Start!$C$18="x",('H-Volatilization'!E165),"---")</f>
        <v/>
      </c>
      <c r="J165" s="339" t="str">
        <f>IF(Start!$C$19="x",'H-Plant &amp; Animal'!B165,"---")</f>
        <v>---</v>
      </c>
      <c r="K165" s="343" t="str">
        <f>'H-Effluent'!Q165</f>
        <v>Not Req.</v>
      </c>
      <c r="L165" s="286" t="str">
        <f>'H-Runoff'!T165</f>
        <v>Not Req.</v>
      </c>
      <c r="M165" s="344" t="str">
        <f>'H-Runoff'!U165</f>
        <v>Not Req.</v>
      </c>
      <c r="N165" s="343" t="str">
        <f>'H-Leachate'!O165</f>
        <v/>
      </c>
      <c r="O165" s="283" t="str">
        <f>'H-Volatilization'!AV165</f>
        <v/>
      </c>
      <c r="P165" s="284" t="str">
        <f>'H-Volatilization'!AW165</f>
        <v/>
      </c>
      <c r="Q165" s="284" t="str">
        <f>'H-Volatilization'!AX165</f>
        <v/>
      </c>
      <c r="R165" s="285" t="str">
        <f>'H-Volatilization'!AY165</f>
        <v/>
      </c>
      <c r="S165" s="462"/>
      <c r="T165" s="345" t="str">
        <f>'H-Plant &amp; Animal'!L165</f>
        <v>Not Req.</v>
      </c>
      <c r="U165" s="346" t="str">
        <f>'H-Plant &amp; Animal'!M165</f>
        <v>Not Req.</v>
      </c>
      <c r="V165" s="794" t="str">
        <f>'H-Effluent'!O165</f>
        <v>---</v>
      </c>
      <c r="W165" s="797" t="str">
        <f>'H-Runoff'!Q165</f>
        <v>---</v>
      </c>
      <c r="X165" s="799" t="str">
        <f>'H-Runoff'!S165</f>
        <v>---</v>
      </c>
      <c r="Y165" s="794" t="str">
        <f>'H-Leachate'!N165</f>
        <v>NA</v>
      </c>
      <c r="Z165" s="797" t="str">
        <f>'H-Volatilization'!AD165</f>
        <v>NA</v>
      </c>
      <c r="AA165" s="798" t="str">
        <f>'H-Volatilization'!AF165</f>
        <v>NA</v>
      </c>
      <c r="AB165" s="798" t="str">
        <f>'H-Volatilization'!AO165</f>
        <v>NA</v>
      </c>
      <c r="AC165" s="799" t="str">
        <f>'H-Volatilization'!AU165</f>
        <v>NA</v>
      </c>
    </row>
    <row r="166" spans="1:29" x14ac:dyDescent="0.25">
      <c r="A166" s="56" t="s">
        <v>484</v>
      </c>
      <c r="B166" s="336" t="str">
        <f>IF(Start!$C$15="x",('H-Effluent'!B166),"---")</f>
        <v>---</v>
      </c>
      <c r="C166" s="337" t="str">
        <f>IF(Start!$C$16="x",'H-Runoff'!B166,"---")</f>
        <v>---</v>
      </c>
      <c r="D166" s="338" t="str">
        <f>IF(Start!$C$16="x",'H-Runoff'!C166,"---")</f>
        <v>---</v>
      </c>
      <c r="E166" s="868" t="str">
        <f>IF(Start!$C$17="x",'H-Leachate'!B166,"---")</f>
        <v/>
      </c>
      <c r="F166" s="340" t="str">
        <f>IF(Start!$C$18="x",('H-Volatilization'!B166),"---")</f>
        <v/>
      </c>
      <c r="G166" s="341" t="str">
        <f>IF(Start!$C$18="x",('H-Volatilization'!C166),"---")</f>
        <v/>
      </c>
      <c r="H166" s="341" t="str">
        <f>IF(Start!$C$18="x",('H-Volatilization'!D166),"---")</f>
        <v/>
      </c>
      <c r="I166" s="342" t="str">
        <f>IF(Start!$C$18="x",('H-Volatilization'!E166),"---")</f>
        <v/>
      </c>
      <c r="J166" s="339" t="str">
        <f>IF(Start!$C$19="x",'H-Plant &amp; Animal'!B166,"---")</f>
        <v>---</v>
      </c>
      <c r="K166" s="343" t="str">
        <f>'H-Effluent'!Q166</f>
        <v>Not Req.</v>
      </c>
      <c r="L166" s="286" t="str">
        <f>'H-Runoff'!T166</f>
        <v>Not Req.</v>
      </c>
      <c r="M166" s="344" t="str">
        <f>'H-Runoff'!U166</f>
        <v>Not Req.</v>
      </c>
      <c r="N166" s="343" t="str">
        <f>'H-Leachate'!O166</f>
        <v/>
      </c>
      <c r="O166" s="283" t="str">
        <f>'H-Volatilization'!AV166</f>
        <v/>
      </c>
      <c r="P166" s="284" t="str">
        <f>'H-Volatilization'!AW166</f>
        <v/>
      </c>
      <c r="Q166" s="284" t="str">
        <f>'H-Volatilization'!AX166</f>
        <v/>
      </c>
      <c r="R166" s="285" t="str">
        <f>'H-Volatilization'!AY166</f>
        <v/>
      </c>
      <c r="S166" s="462"/>
      <c r="T166" s="345" t="str">
        <f>'H-Plant &amp; Animal'!L166</f>
        <v>Not Req.</v>
      </c>
      <c r="U166" s="346" t="str">
        <f>'H-Plant &amp; Animal'!M166</f>
        <v>Not Req.</v>
      </c>
      <c r="V166" s="794" t="str">
        <f>'H-Effluent'!O166</f>
        <v>---</v>
      </c>
      <c r="W166" s="797" t="str">
        <f>'H-Runoff'!Q166</f>
        <v>---</v>
      </c>
      <c r="X166" s="799" t="str">
        <f>'H-Runoff'!S166</f>
        <v>---</v>
      </c>
      <c r="Y166" s="794" t="str">
        <f>'H-Leachate'!N166</f>
        <v>NA</v>
      </c>
      <c r="Z166" s="797" t="str">
        <f>'H-Volatilization'!AD166</f>
        <v>NA</v>
      </c>
      <c r="AA166" s="798" t="str">
        <f>'H-Volatilization'!AF166</f>
        <v>NA</v>
      </c>
      <c r="AB166" s="798" t="str">
        <f>'H-Volatilization'!AO166</f>
        <v>NA</v>
      </c>
      <c r="AC166" s="799" t="str">
        <f>'H-Volatilization'!AU166</f>
        <v>NA</v>
      </c>
    </row>
    <row r="167" spans="1:29" x14ac:dyDescent="0.25">
      <c r="A167" s="56" t="s">
        <v>485</v>
      </c>
      <c r="B167" s="336" t="str">
        <f>IF(Start!$C$15="x",('H-Effluent'!B167),"---")</f>
        <v>---</v>
      </c>
      <c r="C167" s="337" t="str">
        <f>IF(Start!$C$16="x",'H-Runoff'!B167,"---")</f>
        <v>---</v>
      </c>
      <c r="D167" s="338" t="str">
        <f>IF(Start!$C$16="x",'H-Runoff'!C167,"---")</f>
        <v>---</v>
      </c>
      <c r="E167" s="868" t="str">
        <f>IF(Start!$C$17="x",'H-Leachate'!B167,"---")</f>
        <v/>
      </c>
      <c r="F167" s="340" t="str">
        <f>IF(Start!$C$18="x",('H-Volatilization'!B167),"---")</f>
        <v/>
      </c>
      <c r="G167" s="341" t="str">
        <f>IF(Start!$C$18="x",('H-Volatilization'!C167),"---")</f>
        <v/>
      </c>
      <c r="H167" s="341" t="str">
        <f>IF(Start!$C$18="x",('H-Volatilization'!D167),"---")</f>
        <v/>
      </c>
      <c r="I167" s="342" t="str">
        <f>IF(Start!$C$18="x",('H-Volatilization'!E167),"---")</f>
        <v/>
      </c>
      <c r="J167" s="339" t="str">
        <f>IF(Start!$C$19="x",'H-Plant &amp; Animal'!B167,"---")</f>
        <v>---</v>
      </c>
      <c r="K167" s="343" t="str">
        <f>'H-Effluent'!Q167</f>
        <v>Not Req.</v>
      </c>
      <c r="L167" s="286" t="str">
        <f>'H-Runoff'!T167</f>
        <v>Not Req.</v>
      </c>
      <c r="M167" s="344" t="str">
        <f>'H-Runoff'!U167</f>
        <v>Not Req.</v>
      </c>
      <c r="N167" s="343" t="str">
        <f>'H-Leachate'!O167</f>
        <v/>
      </c>
      <c r="O167" s="283" t="str">
        <f>'H-Volatilization'!AV167</f>
        <v/>
      </c>
      <c r="P167" s="284" t="str">
        <f>'H-Volatilization'!AW167</f>
        <v/>
      </c>
      <c r="Q167" s="284" t="str">
        <f>'H-Volatilization'!AX167</f>
        <v/>
      </c>
      <c r="R167" s="285" t="str">
        <f>'H-Volatilization'!AY167</f>
        <v/>
      </c>
      <c r="S167" s="462"/>
      <c r="T167" s="345" t="str">
        <f>'H-Plant &amp; Animal'!L167</f>
        <v>Not Req.</v>
      </c>
      <c r="U167" s="346" t="str">
        <f>'H-Plant &amp; Animal'!M167</f>
        <v>Not Req.</v>
      </c>
      <c r="V167" s="794" t="str">
        <f>'H-Effluent'!O167</f>
        <v>---</v>
      </c>
      <c r="W167" s="797" t="str">
        <f>'H-Runoff'!Q167</f>
        <v>---</v>
      </c>
      <c r="X167" s="799" t="str">
        <f>'H-Runoff'!S167</f>
        <v>---</v>
      </c>
      <c r="Y167" s="794" t="str">
        <f>'H-Leachate'!N167</f>
        <v>NA</v>
      </c>
      <c r="Z167" s="797" t="str">
        <f>'H-Volatilization'!AD167</f>
        <v>NA</v>
      </c>
      <c r="AA167" s="798" t="str">
        <f>'H-Volatilization'!AF167</f>
        <v>NA</v>
      </c>
      <c r="AB167" s="798" t="str">
        <f>'H-Volatilization'!AO167</f>
        <v>NA</v>
      </c>
      <c r="AC167" s="799" t="str">
        <f>'H-Volatilization'!AU167</f>
        <v>NA</v>
      </c>
    </row>
    <row r="168" spans="1:29" x14ac:dyDescent="0.25">
      <c r="A168" s="60" t="s">
        <v>486</v>
      </c>
      <c r="B168" s="336" t="str">
        <f>IF(Start!$C$15="x",('H-Effluent'!B168),"---")</f>
        <v>---</v>
      </c>
      <c r="C168" s="337" t="str">
        <f>IF(Start!$C$16="x",'H-Runoff'!B168,"---")</f>
        <v>---</v>
      </c>
      <c r="D168" s="338" t="str">
        <f>IF(Start!$C$16="x",'H-Runoff'!C168,"---")</f>
        <v>---</v>
      </c>
      <c r="E168" s="868" t="str">
        <f>IF(Start!$C$17="x",'H-Leachate'!B168,"---")</f>
        <v/>
      </c>
      <c r="F168" s="340" t="str">
        <f>IF(Start!$C$18="x",('H-Volatilization'!B168),"---")</f>
        <v/>
      </c>
      <c r="G168" s="341" t="str">
        <f>IF(Start!$C$18="x",('H-Volatilization'!C168),"---")</f>
        <v/>
      </c>
      <c r="H168" s="341" t="str">
        <f>IF(Start!$C$18="x",('H-Volatilization'!D168),"---")</f>
        <v/>
      </c>
      <c r="I168" s="342" t="str">
        <f>IF(Start!$C$18="x",('H-Volatilization'!E168),"---")</f>
        <v/>
      </c>
      <c r="J168" s="339" t="str">
        <f>IF(Start!$C$19="x",'H-Plant &amp; Animal'!B168,"---")</f>
        <v>---</v>
      </c>
      <c r="K168" s="343" t="str">
        <f>'H-Effluent'!Q168</f>
        <v>Not Req.</v>
      </c>
      <c r="L168" s="286" t="str">
        <f>'H-Runoff'!T168</f>
        <v>Not Req.</v>
      </c>
      <c r="M168" s="344" t="str">
        <f>'H-Runoff'!U168</f>
        <v>Not Req.</v>
      </c>
      <c r="N168" s="343" t="str">
        <f>'H-Leachate'!O168</f>
        <v/>
      </c>
      <c r="O168" s="283" t="str">
        <f>'H-Volatilization'!AV168</f>
        <v/>
      </c>
      <c r="P168" s="284" t="str">
        <f>'H-Volatilization'!AW168</f>
        <v/>
      </c>
      <c r="Q168" s="284" t="str">
        <f>'H-Volatilization'!AX168</f>
        <v/>
      </c>
      <c r="R168" s="285" t="str">
        <f>'H-Volatilization'!AY168</f>
        <v/>
      </c>
      <c r="S168" s="462"/>
      <c r="T168" s="345" t="str">
        <f>'H-Plant &amp; Animal'!L168</f>
        <v>Not Req.</v>
      </c>
      <c r="U168" s="346" t="str">
        <f>'H-Plant &amp; Animal'!M168</f>
        <v>Not Req.</v>
      </c>
      <c r="V168" s="794" t="str">
        <f>'H-Effluent'!O168</f>
        <v>---</v>
      </c>
      <c r="W168" s="797" t="str">
        <f>'H-Runoff'!Q168</f>
        <v>---</v>
      </c>
      <c r="X168" s="799" t="str">
        <f>'H-Runoff'!S168</f>
        <v>---</v>
      </c>
      <c r="Y168" s="794" t="str">
        <f>'H-Leachate'!N168</f>
        <v>NA</v>
      </c>
      <c r="Z168" s="797" t="str">
        <f>'H-Volatilization'!AD168</f>
        <v>NA</v>
      </c>
      <c r="AA168" s="798" t="str">
        <f>'H-Volatilization'!AF168</f>
        <v>NA</v>
      </c>
      <c r="AB168" s="798" t="str">
        <f>'H-Volatilization'!AO168</f>
        <v>NA</v>
      </c>
      <c r="AC168" s="799" t="str">
        <f>'H-Volatilization'!AU168</f>
        <v>NA</v>
      </c>
    </row>
    <row r="169" spans="1:29" x14ac:dyDescent="0.25">
      <c r="A169" s="56" t="s">
        <v>487</v>
      </c>
      <c r="B169" s="336" t="str">
        <f>IF(Start!$C$15="x",('H-Effluent'!B169),"---")</f>
        <v>---</v>
      </c>
      <c r="C169" s="337" t="str">
        <f>IF(Start!$C$16="x",'H-Runoff'!B169,"---")</f>
        <v>---</v>
      </c>
      <c r="D169" s="338" t="str">
        <f>IF(Start!$C$16="x",'H-Runoff'!C169,"---")</f>
        <v>---</v>
      </c>
      <c r="E169" s="868" t="str">
        <f>IF(Start!$C$17="x",'H-Leachate'!B169,"---")</f>
        <v/>
      </c>
      <c r="F169" s="340" t="str">
        <f>IF(Start!$C$18="x",('H-Volatilization'!B169),"---")</f>
        <v/>
      </c>
      <c r="G169" s="341" t="str">
        <f>IF(Start!$C$18="x",('H-Volatilization'!C169),"---")</f>
        <v/>
      </c>
      <c r="H169" s="341" t="str">
        <f>IF(Start!$C$18="x",('H-Volatilization'!D169),"---")</f>
        <v/>
      </c>
      <c r="I169" s="342" t="str">
        <f>IF(Start!$C$18="x",('H-Volatilization'!E169),"---")</f>
        <v/>
      </c>
      <c r="J169" s="339" t="str">
        <f>IF(Start!$C$19="x",'H-Plant &amp; Animal'!B169,"---")</f>
        <v>---</v>
      </c>
      <c r="K169" s="343" t="str">
        <f>'H-Effluent'!Q169</f>
        <v>Not Req.</v>
      </c>
      <c r="L169" s="286" t="str">
        <f>'H-Runoff'!T169</f>
        <v>Not Req.</v>
      </c>
      <c r="M169" s="344" t="str">
        <f>'H-Runoff'!U169</f>
        <v>Not Req.</v>
      </c>
      <c r="N169" s="343" t="str">
        <f>'H-Leachate'!O169</f>
        <v/>
      </c>
      <c r="O169" s="283" t="str">
        <f>'H-Volatilization'!AV169</f>
        <v/>
      </c>
      <c r="P169" s="284" t="str">
        <f>'H-Volatilization'!AW169</f>
        <v/>
      </c>
      <c r="Q169" s="284" t="str">
        <f>'H-Volatilization'!AX169</f>
        <v/>
      </c>
      <c r="R169" s="285" t="str">
        <f>'H-Volatilization'!AY169</f>
        <v/>
      </c>
      <c r="S169" s="462"/>
      <c r="T169" s="345" t="str">
        <f>'H-Plant &amp; Animal'!L169</f>
        <v>Not Req.</v>
      </c>
      <c r="U169" s="346" t="str">
        <f>'H-Plant &amp; Animal'!M169</f>
        <v>Not Req.</v>
      </c>
      <c r="V169" s="794" t="str">
        <f>'H-Effluent'!O169</f>
        <v>---</v>
      </c>
      <c r="W169" s="797" t="str">
        <f>'H-Runoff'!Q169</f>
        <v>---</v>
      </c>
      <c r="X169" s="799" t="str">
        <f>'H-Runoff'!S169</f>
        <v>---</v>
      </c>
      <c r="Y169" s="794" t="str">
        <f>'H-Leachate'!N169</f>
        <v>NA</v>
      </c>
      <c r="Z169" s="797" t="str">
        <f>'H-Volatilization'!AD169</f>
        <v>NA</v>
      </c>
      <c r="AA169" s="798" t="str">
        <f>'H-Volatilization'!AF169</f>
        <v>NA</v>
      </c>
      <c r="AB169" s="798" t="str">
        <f>'H-Volatilization'!AO169</f>
        <v>NA</v>
      </c>
      <c r="AC169" s="799" t="str">
        <f>'H-Volatilization'!AU169</f>
        <v>NA</v>
      </c>
    </row>
    <row r="170" spans="1:29" x14ac:dyDescent="0.25">
      <c r="A170" s="56" t="s">
        <v>488</v>
      </c>
      <c r="B170" s="336" t="str">
        <f>IF(Start!$C$15="x",('H-Effluent'!B170),"---")</f>
        <v>---</v>
      </c>
      <c r="C170" s="337" t="str">
        <f>IF(Start!$C$16="x",'H-Runoff'!B170,"---")</f>
        <v>---</v>
      </c>
      <c r="D170" s="338" t="str">
        <f>IF(Start!$C$16="x",'H-Runoff'!C170,"---")</f>
        <v>---</v>
      </c>
      <c r="E170" s="868" t="str">
        <f>IF(Start!$C$17="x",'H-Leachate'!B170,"---")</f>
        <v/>
      </c>
      <c r="F170" s="340" t="str">
        <f>IF(Start!$C$18="x",('H-Volatilization'!B170),"---")</f>
        <v/>
      </c>
      <c r="G170" s="341" t="str">
        <f>IF(Start!$C$18="x",('H-Volatilization'!C170),"---")</f>
        <v/>
      </c>
      <c r="H170" s="341" t="str">
        <f>IF(Start!$C$18="x",('H-Volatilization'!D170),"---")</f>
        <v/>
      </c>
      <c r="I170" s="342" t="str">
        <f>IF(Start!$C$18="x",('H-Volatilization'!E170),"---")</f>
        <v/>
      </c>
      <c r="J170" s="339" t="str">
        <f>IF(Start!$C$19="x",'H-Plant &amp; Animal'!B170,"---")</f>
        <v>---</v>
      </c>
      <c r="K170" s="343" t="str">
        <f>'H-Effluent'!Q170</f>
        <v>Not Req.</v>
      </c>
      <c r="L170" s="286" t="str">
        <f>'H-Runoff'!T170</f>
        <v>Not Req.</v>
      </c>
      <c r="M170" s="344" t="str">
        <f>'H-Runoff'!U170</f>
        <v>Not Req.</v>
      </c>
      <c r="N170" s="343" t="str">
        <f>'H-Leachate'!O170</f>
        <v/>
      </c>
      <c r="O170" s="283" t="str">
        <f>'H-Volatilization'!AV170</f>
        <v/>
      </c>
      <c r="P170" s="284" t="str">
        <f>'H-Volatilization'!AW170</f>
        <v/>
      </c>
      <c r="Q170" s="284" t="str">
        <f>'H-Volatilization'!AX170</f>
        <v/>
      </c>
      <c r="R170" s="285" t="str">
        <f>'H-Volatilization'!AY170</f>
        <v/>
      </c>
      <c r="S170" s="462"/>
      <c r="T170" s="345" t="str">
        <f>'H-Plant &amp; Animal'!L170</f>
        <v>Not Req.</v>
      </c>
      <c r="U170" s="346" t="str">
        <f>'H-Plant &amp; Animal'!M170</f>
        <v>Not Req.</v>
      </c>
      <c r="V170" s="794" t="str">
        <f>'H-Effluent'!O170</f>
        <v>---</v>
      </c>
      <c r="W170" s="797" t="str">
        <f>'H-Runoff'!Q170</f>
        <v>---</v>
      </c>
      <c r="X170" s="799" t="str">
        <f>'H-Runoff'!S170</f>
        <v>---</v>
      </c>
      <c r="Y170" s="794" t="str">
        <f>'H-Leachate'!N170</f>
        <v>NA</v>
      </c>
      <c r="Z170" s="797" t="str">
        <f>'H-Volatilization'!AD170</f>
        <v>NA</v>
      </c>
      <c r="AA170" s="798" t="str">
        <f>'H-Volatilization'!AF170</f>
        <v>NA</v>
      </c>
      <c r="AB170" s="798" t="str">
        <f>'H-Volatilization'!AO170</f>
        <v>NA</v>
      </c>
      <c r="AC170" s="799" t="str">
        <f>'H-Volatilization'!AU170</f>
        <v>NA</v>
      </c>
    </row>
    <row r="171" spans="1:29" x14ac:dyDescent="0.25">
      <c r="A171" s="56" t="s">
        <v>674</v>
      </c>
      <c r="B171" s="336" t="str">
        <f>IF(Start!$C$15="x",('H-Effluent'!B171),"---")</f>
        <v>---</v>
      </c>
      <c r="C171" s="337" t="str">
        <f>IF(Start!$C$16="x",'H-Runoff'!B171,"---")</f>
        <v>---</v>
      </c>
      <c r="D171" s="338" t="str">
        <f>IF(Start!$C$16="x",'H-Runoff'!C171,"---")</f>
        <v>---</v>
      </c>
      <c r="E171" s="868" t="str">
        <f>IF(Start!$C$17="x",'H-Leachate'!B171,"---")</f>
        <v/>
      </c>
      <c r="F171" s="340" t="str">
        <f>IF(Start!$C$18="x",('H-Volatilization'!B171),"---")</f>
        <v/>
      </c>
      <c r="G171" s="341" t="str">
        <f>IF(Start!$C$18="x",('H-Volatilization'!C171),"---")</f>
        <v/>
      </c>
      <c r="H171" s="341" t="str">
        <f>IF(Start!$C$18="x",('H-Volatilization'!D171),"---")</f>
        <v/>
      </c>
      <c r="I171" s="342" t="str">
        <f>IF(Start!$C$18="x",('H-Volatilization'!E171),"---")</f>
        <v/>
      </c>
      <c r="J171" s="339" t="str">
        <f>IF(Start!$C$19="x",'H-Plant &amp; Animal'!B171,"---")</f>
        <v>---</v>
      </c>
      <c r="K171" s="343" t="str">
        <f>'H-Effluent'!Q171</f>
        <v>Not Req.</v>
      </c>
      <c r="L171" s="286" t="str">
        <f>'H-Runoff'!T171</f>
        <v>Not Req.</v>
      </c>
      <c r="M171" s="344" t="str">
        <f>'H-Runoff'!U171</f>
        <v>Not Req.</v>
      </c>
      <c r="N171" s="343" t="str">
        <f>'H-Leachate'!O171</f>
        <v/>
      </c>
      <c r="O171" s="283" t="str">
        <f>'H-Volatilization'!AV171</f>
        <v/>
      </c>
      <c r="P171" s="284" t="str">
        <f>'H-Volatilization'!AW171</f>
        <v/>
      </c>
      <c r="Q171" s="284" t="str">
        <f>'H-Volatilization'!AX171</f>
        <v/>
      </c>
      <c r="R171" s="285" t="str">
        <f>'H-Volatilization'!AY171</f>
        <v/>
      </c>
      <c r="S171" s="462"/>
      <c r="T171" s="345" t="str">
        <f>'H-Plant &amp; Animal'!L171</f>
        <v>Not Req.</v>
      </c>
      <c r="U171" s="346" t="str">
        <f>'H-Plant &amp; Animal'!M171</f>
        <v>Not Req.</v>
      </c>
      <c r="V171" s="794" t="str">
        <f>'H-Effluent'!O171</f>
        <v>---</v>
      </c>
      <c r="W171" s="797" t="str">
        <f>'H-Runoff'!Q171</f>
        <v>---</v>
      </c>
      <c r="X171" s="799" t="str">
        <f>'H-Runoff'!S171</f>
        <v>---</v>
      </c>
      <c r="Y171" s="794" t="str">
        <f>'H-Leachate'!N171</f>
        <v>NA</v>
      </c>
      <c r="Z171" s="797" t="str">
        <f>'H-Volatilization'!AD171</f>
        <v>NA</v>
      </c>
      <c r="AA171" s="798" t="str">
        <f>'H-Volatilization'!AF171</f>
        <v>NA</v>
      </c>
      <c r="AB171" s="798" t="str">
        <f>'H-Volatilization'!AO171</f>
        <v>NA</v>
      </c>
      <c r="AC171" s="799" t="str">
        <f>'H-Volatilization'!AU171</f>
        <v>NA</v>
      </c>
    </row>
    <row r="172" spans="1:29" x14ac:dyDescent="0.25">
      <c r="A172" s="60" t="s">
        <v>675</v>
      </c>
      <c r="B172" s="336" t="str">
        <f>IF(Start!$C$15="x",('H-Effluent'!B172),"---")</f>
        <v>---</v>
      </c>
      <c r="C172" s="337" t="str">
        <f>IF(Start!$C$16="x",'H-Runoff'!B172,"---")</f>
        <v>---</v>
      </c>
      <c r="D172" s="338" t="str">
        <f>IF(Start!$C$16="x",'H-Runoff'!C172,"---")</f>
        <v>---</v>
      </c>
      <c r="E172" s="868" t="str">
        <f>IF(Start!$C$17="x",'H-Leachate'!B172,"---")</f>
        <v/>
      </c>
      <c r="F172" s="340" t="str">
        <f>IF(Start!$C$18="x",('H-Volatilization'!B172),"---")</f>
        <v/>
      </c>
      <c r="G172" s="341" t="str">
        <f>IF(Start!$C$18="x",('H-Volatilization'!C172),"---")</f>
        <v/>
      </c>
      <c r="H172" s="341" t="str">
        <f>IF(Start!$C$18="x",('H-Volatilization'!D172),"---")</f>
        <v/>
      </c>
      <c r="I172" s="342" t="str">
        <f>IF(Start!$C$18="x",('H-Volatilization'!E172),"---")</f>
        <v/>
      </c>
      <c r="J172" s="339" t="str">
        <f>IF(Start!$C$19="x",'H-Plant &amp; Animal'!B172,"---")</f>
        <v>---</v>
      </c>
      <c r="K172" s="343" t="str">
        <f>'H-Effluent'!Q172</f>
        <v>Not Req.</v>
      </c>
      <c r="L172" s="286" t="str">
        <f>'H-Runoff'!T172</f>
        <v>Not Req.</v>
      </c>
      <c r="M172" s="344" t="str">
        <f>'H-Runoff'!U172</f>
        <v>Not Req.</v>
      </c>
      <c r="N172" s="343" t="str">
        <f>'H-Leachate'!O172</f>
        <v/>
      </c>
      <c r="O172" s="283" t="str">
        <f>'H-Volatilization'!AV172</f>
        <v/>
      </c>
      <c r="P172" s="284" t="str">
        <f>'H-Volatilization'!AW172</f>
        <v/>
      </c>
      <c r="Q172" s="284" t="str">
        <f>'H-Volatilization'!AX172</f>
        <v/>
      </c>
      <c r="R172" s="285" t="str">
        <f>'H-Volatilization'!AY172</f>
        <v/>
      </c>
      <c r="S172" s="462"/>
      <c r="T172" s="345" t="str">
        <f>'H-Plant &amp; Animal'!L172</f>
        <v>Not Req.</v>
      </c>
      <c r="U172" s="346" t="str">
        <f>'H-Plant &amp; Animal'!M172</f>
        <v>Not Req.</v>
      </c>
      <c r="V172" s="794" t="str">
        <f>'H-Effluent'!O172</f>
        <v>---</v>
      </c>
      <c r="W172" s="797" t="str">
        <f>'H-Runoff'!Q172</f>
        <v>---</v>
      </c>
      <c r="X172" s="799" t="str">
        <f>'H-Runoff'!S172</f>
        <v>---</v>
      </c>
      <c r="Y172" s="794" t="str">
        <f>'H-Leachate'!N172</f>
        <v>NA</v>
      </c>
      <c r="Z172" s="797" t="str">
        <f>'H-Volatilization'!AD172</f>
        <v>NA</v>
      </c>
      <c r="AA172" s="798" t="str">
        <f>'H-Volatilization'!AF172</f>
        <v>NA</v>
      </c>
      <c r="AB172" s="798" t="str">
        <f>'H-Volatilization'!AO172</f>
        <v>NA</v>
      </c>
      <c r="AC172" s="799" t="str">
        <f>'H-Volatilization'!AU172</f>
        <v>NA</v>
      </c>
    </row>
    <row r="173" spans="1:29" x14ac:dyDescent="0.25">
      <c r="A173" s="60" t="s">
        <v>491</v>
      </c>
      <c r="B173" s="336" t="str">
        <f>IF(Start!$C$15="x",('H-Effluent'!B173),"---")</f>
        <v>---</v>
      </c>
      <c r="C173" s="337" t="str">
        <f>IF(Start!$C$16="x",'H-Runoff'!B173,"---")</f>
        <v>---</v>
      </c>
      <c r="D173" s="338" t="str">
        <f>IF(Start!$C$16="x",'H-Runoff'!C173,"---")</f>
        <v>---</v>
      </c>
      <c r="E173" s="868" t="str">
        <f>IF(Start!$C$17="x",'H-Leachate'!B173,"---")</f>
        <v/>
      </c>
      <c r="F173" s="340" t="str">
        <f>IF(Start!$C$18="x",('H-Volatilization'!B173),"---")</f>
        <v/>
      </c>
      <c r="G173" s="341" t="str">
        <f>IF(Start!$C$18="x",('H-Volatilization'!C173),"---")</f>
        <v/>
      </c>
      <c r="H173" s="341" t="str">
        <f>IF(Start!$C$18="x",('H-Volatilization'!D173),"---")</f>
        <v/>
      </c>
      <c r="I173" s="342" t="str">
        <f>IF(Start!$C$18="x",('H-Volatilization'!E173),"---")</f>
        <v/>
      </c>
      <c r="J173" s="339" t="str">
        <f>IF(Start!$C$19="x",'H-Plant &amp; Animal'!B173,"---")</f>
        <v>---</v>
      </c>
      <c r="K173" s="343" t="str">
        <f>'H-Effluent'!Q173</f>
        <v>Not Req.</v>
      </c>
      <c r="L173" s="286" t="str">
        <f>'H-Runoff'!T173</f>
        <v>Not Req.</v>
      </c>
      <c r="M173" s="344" t="str">
        <f>'H-Runoff'!U173</f>
        <v>Not Req.</v>
      </c>
      <c r="N173" s="343" t="str">
        <f>'H-Leachate'!O173</f>
        <v/>
      </c>
      <c r="O173" s="283" t="str">
        <f>'H-Volatilization'!AV173</f>
        <v/>
      </c>
      <c r="P173" s="284" t="str">
        <f>'H-Volatilization'!AW173</f>
        <v/>
      </c>
      <c r="Q173" s="284" t="str">
        <f>'H-Volatilization'!AX173</f>
        <v/>
      </c>
      <c r="R173" s="285" t="str">
        <f>'H-Volatilization'!AY173</f>
        <v/>
      </c>
      <c r="S173" s="462"/>
      <c r="T173" s="345" t="str">
        <f>'H-Plant &amp; Animal'!L173</f>
        <v>Not Req.</v>
      </c>
      <c r="U173" s="346" t="str">
        <f>'H-Plant &amp; Animal'!M173</f>
        <v>Not Req.</v>
      </c>
      <c r="V173" s="794" t="str">
        <f>'H-Effluent'!O173</f>
        <v>---</v>
      </c>
      <c r="W173" s="797" t="str">
        <f>'H-Runoff'!Q173</f>
        <v>---</v>
      </c>
      <c r="X173" s="799" t="str">
        <f>'H-Runoff'!S173</f>
        <v>---</v>
      </c>
      <c r="Y173" s="794" t="str">
        <f>'H-Leachate'!N173</f>
        <v>NA</v>
      </c>
      <c r="Z173" s="797" t="str">
        <f>'H-Volatilization'!AD173</f>
        <v>NA</v>
      </c>
      <c r="AA173" s="798" t="str">
        <f>'H-Volatilization'!AF173</f>
        <v>NA</v>
      </c>
      <c r="AB173" s="798" t="str">
        <f>'H-Volatilization'!AO173</f>
        <v>NA</v>
      </c>
      <c r="AC173" s="799" t="str">
        <f>'H-Volatilization'!AU173</f>
        <v>NA</v>
      </c>
    </row>
    <row r="174" spans="1:29" x14ac:dyDescent="0.25">
      <c r="A174" s="60" t="s">
        <v>676</v>
      </c>
      <c r="B174" s="336" t="str">
        <f>IF(Start!$C$15="x",('H-Effluent'!B174),"---")</f>
        <v>---</v>
      </c>
      <c r="C174" s="337" t="str">
        <f>IF(Start!$C$16="x",'H-Runoff'!B174,"---")</f>
        <v>---</v>
      </c>
      <c r="D174" s="338" t="str">
        <f>IF(Start!$C$16="x",'H-Runoff'!C174,"---")</f>
        <v>---</v>
      </c>
      <c r="E174" s="868" t="str">
        <f>IF(Start!$C$17="x",'H-Leachate'!B174,"---")</f>
        <v/>
      </c>
      <c r="F174" s="340" t="str">
        <f>IF(Start!$C$18="x",('H-Volatilization'!B174),"---")</f>
        <v/>
      </c>
      <c r="G174" s="341" t="str">
        <f>IF(Start!$C$18="x",('H-Volatilization'!C174),"---")</f>
        <v/>
      </c>
      <c r="H174" s="341" t="str">
        <f>IF(Start!$C$18="x",('H-Volatilization'!D174),"---")</f>
        <v/>
      </c>
      <c r="I174" s="342" t="str">
        <f>IF(Start!$C$18="x",('H-Volatilization'!E174),"---")</f>
        <v/>
      </c>
      <c r="J174" s="339" t="str">
        <f>IF(Start!$C$19="x",'H-Plant &amp; Animal'!B174,"---")</f>
        <v>---</v>
      </c>
      <c r="K174" s="343" t="str">
        <f>'H-Effluent'!Q174</f>
        <v>Not Req.</v>
      </c>
      <c r="L174" s="286" t="str">
        <f>'H-Runoff'!T174</f>
        <v>Not Req.</v>
      </c>
      <c r="M174" s="344" t="str">
        <f>'H-Runoff'!U174</f>
        <v>Not Req.</v>
      </c>
      <c r="N174" s="343" t="str">
        <f>'H-Leachate'!O174</f>
        <v/>
      </c>
      <c r="O174" s="283" t="str">
        <f>'H-Volatilization'!AV174</f>
        <v/>
      </c>
      <c r="P174" s="284" t="str">
        <f>'H-Volatilization'!AW174</f>
        <v/>
      </c>
      <c r="Q174" s="284" t="str">
        <f>'H-Volatilization'!AX174</f>
        <v/>
      </c>
      <c r="R174" s="285" t="str">
        <f>'H-Volatilization'!AY174</f>
        <v/>
      </c>
      <c r="S174" s="462"/>
      <c r="T174" s="345" t="str">
        <f>'H-Plant &amp; Animal'!L174</f>
        <v>Not Req.</v>
      </c>
      <c r="U174" s="346" t="str">
        <f>'H-Plant &amp; Animal'!M174</f>
        <v>Not Req.</v>
      </c>
      <c r="V174" s="794" t="str">
        <f>'H-Effluent'!O174</f>
        <v>---</v>
      </c>
      <c r="W174" s="797" t="str">
        <f>'H-Runoff'!Q174</f>
        <v>---</v>
      </c>
      <c r="X174" s="799" t="str">
        <f>'H-Runoff'!S174</f>
        <v>---</v>
      </c>
      <c r="Y174" s="794" t="str">
        <f>'H-Leachate'!N174</f>
        <v>NA</v>
      </c>
      <c r="Z174" s="797" t="str">
        <f>'H-Volatilization'!AD174</f>
        <v>NA</v>
      </c>
      <c r="AA174" s="798" t="str">
        <f>'H-Volatilization'!AF174</f>
        <v>NA</v>
      </c>
      <c r="AB174" s="798" t="str">
        <f>'H-Volatilization'!AO174</f>
        <v>NA</v>
      </c>
      <c r="AC174" s="799" t="str">
        <f>'H-Volatilization'!AU174</f>
        <v>NA</v>
      </c>
    </row>
    <row r="175" spans="1:29" x14ac:dyDescent="0.25">
      <c r="A175" s="60" t="s">
        <v>677</v>
      </c>
      <c r="B175" s="336" t="str">
        <f>IF(Start!$C$15="x",('H-Effluent'!B175),"---")</f>
        <v>---</v>
      </c>
      <c r="C175" s="337" t="str">
        <f>IF(Start!$C$16="x",'H-Runoff'!B175,"---")</f>
        <v>---</v>
      </c>
      <c r="D175" s="338" t="str">
        <f>IF(Start!$C$16="x",'H-Runoff'!C175,"---")</f>
        <v>---</v>
      </c>
      <c r="E175" s="868" t="str">
        <f>IF(Start!$C$17="x",'H-Leachate'!B175,"---")</f>
        <v/>
      </c>
      <c r="F175" s="340" t="str">
        <f>IF(Start!$C$18="x",('H-Volatilization'!B175),"---")</f>
        <v/>
      </c>
      <c r="G175" s="341" t="str">
        <f>IF(Start!$C$18="x",('H-Volatilization'!C175),"---")</f>
        <v/>
      </c>
      <c r="H175" s="341" t="str">
        <f>IF(Start!$C$18="x",('H-Volatilization'!D175),"---")</f>
        <v/>
      </c>
      <c r="I175" s="342" t="str">
        <f>IF(Start!$C$18="x",('H-Volatilization'!E175),"---")</f>
        <v/>
      </c>
      <c r="J175" s="339" t="str">
        <f>IF(Start!$C$19="x",'H-Plant &amp; Animal'!B175,"---")</f>
        <v>---</v>
      </c>
      <c r="K175" s="343" t="str">
        <f>'H-Effluent'!Q175</f>
        <v>Not Req.</v>
      </c>
      <c r="L175" s="286" t="str">
        <f>'H-Runoff'!T175</f>
        <v>Not Req.</v>
      </c>
      <c r="M175" s="344" t="str">
        <f>'H-Runoff'!U175</f>
        <v>Not Req.</v>
      </c>
      <c r="N175" s="343" t="str">
        <f>'H-Leachate'!O175</f>
        <v/>
      </c>
      <c r="O175" s="283" t="str">
        <f>'H-Volatilization'!AV175</f>
        <v/>
      </c>
      <c r="P175" s="284" t="str">
        <f>'H-Volatilization'!AW175</f>
        <v/>
      </c>
      <c r="Q175" s="284" t="str">
        <f>'H-Volatilization'!AX175</f>
        <v/>
      </c>
      <c r="R175" s="285" t="str">
        <f>'H-Volatilization'!AY175</f>
        <v/>
      </c>
      <c r="S175" s="462"/>
      <c r="T175" s="345" t="str">
        <f>'H-Plant &amp; Animal'!L175</f>
        <v>Not Req.</v>
      </c>
      <c r="U175" s="346" t="str">
        <f>'H-Plant &amp; Animal'!M175</f>
        <v>Not Req.</v>
      </c>
      <c r="V175" s="794" t="str">
        <f>'H-Effluent'!O175</f>
        <v>---</v>
      </c>
      <c r="W175" s="797" t="str">
        <f>'H-Runoff'!Q175</f>
        <v>---</v>
      </c>
      <c r="X175" s="799" t="str">
        <f>'H-Runoff'!S175</f>
        <v>---</v>
      </c>
      <c r="Y175" s="794" t="str">
        <f>'H-Leachate'!N175</f>
        <v>NA</v>
      </c>
      <c r="Z175" s="797" t="str">
        <f>'H-Volatilization'!AD175</f>
        <v>NA</v>
      </c>
      <c r="AA175" s="798" t="str">
        <f>'H-Volatilization'!AF175</f>
        <v>NA</v>
      </c>
      <c r="AB175" s="798" t="str">
        <f>'H-Volatilization'!AO175</f>
        <v>NA</v>
      </c>
      <c r="AC175" s="799" t="str">
        <f>'H-Volatilization'!AU175</f>
        <v>NA</v>
      </c>
    </row>
    <row r="176" spans="1:29" x14ac:dyDescent="0.25">
      <c r="A176" s="60" t="s">
        <v>678</v>
      </c>
      <c r="B176" s="336" t="str">
        <f>IF(Start!$C$15="x",('H-Effluent'!B176),"---")</f>
        <v>---</v>
      </c>
      <c r="C176" s="337" t="str">
        <f>IF(Start!$C$16="x",'H-Runoff'!B176,"---")</f>
        <v>---</v>
      </c>
      <c r="D176" s="338" t="str">
        <f>IF(Start!$C$16="x",'H-Runoff'!C176,"---")</f>
        <v>---</v>
      </c>
      <c r="E176" s="868" t="str">
        <f>IF(Start!$C$17="x",'H-Leachate'!B176,"---")</f>
        <v/>
      </c>
      <c r="F176" s="340" t="str">
        <f>IF(Start!$C$18="x",('H-Volatilization'!B176),"---")</f>
        <v/>
      </c>
      <c r="G176" s="341" t="str">
        <f>IF(Start!$C$18="x",('H-Volatilization'!C176),"---")</f>
        <v/>
      </c>
      <c r="H176" s="341" t="str">
        <f>IF(Start!$C$18="x",('H-Volatilization'!D176),"---")</f>
        <v/>
      </c>
      <c r="I176" s="342" t="str">
        <f>IF(Start!$C$18="x",('H-Volatilization'!E176),"---")</f>
        <v/>
      </c>
      <c r="J176" s="339" t="str">
        <f>IF(Start!$C$19="x",'H-Plant &amp; Animal'!B176,"---")</f>
        <v>---</v>
      </c>
      <c r="K176" s="343" t="str">
        <f>'H-Effluent'!Q176</f>
        <v>Not Req.</v>
      </c>
      <c r="L176" s="286" t="str">
        <f>'H-Runoff'!T176</f>
        <v>Not Req.</v>
      </c>
      <c r="M176" s="344" t="str">
        <f>'H-Runoff'!U176</f>
        <v>Not Req.</v>
      </c>
      <c r="N176" s="343" t="str">
        <f>'H-Leachate'!O176</f>
        <v/>
      </c>
      <c r="O176" s="283" t="str">
        <f>'H-Volatilization'!AV176</f>
        <v/>
      </c>
      <c r="P176" s="284" t="str">
        <f>'H-Volatilization'!AW176</f>
        <v/>
      </c>
      <c r="Q176" s="284" t="str">
        <f>'H-Volatilization'!AX176</f>
        <v/>
      </c>
      <c r="R176" s="285" t="str">
        <f>'H-Volatilization'!AY176</f>
        <v/>
      </c>
      <c r="S176" s="462"/>
      <c r="T176" s="345" t="str">
        <f>'H-Plant &amp; Animal'!L176</f>
        <v>Not Req.</v>
      </c>
      <c r="U176" s="346" t="str">
        <f>'H-Plant &amp; Animal'!M176</f>
        <v>Not Req.</v>
      </c>
      <c r="V176" s="794" t="str">
        <f>'H-Effluent'!O176</f>
        <v>---</v>
      </c>
      <c r="W176" s="797" t="str">
        <f>'H-Runoff'!Q176</f>
        <v>---</v>
      </c>
      <c r="X176" s="799" t="str">
        <f>'H-Runoff'!S176</f>
        <v>---</v>
      </c>
      <c r="Y176" s="794" t="str">
        <f>'H-Leachate'!N176</f>
        <v>NA</v>
      </c>
      <c r="Z176" s="797" t="str">
        <f>'H-Volatilization'!AD176</f>
        <v>NA</v>
      </c>
      <c r="AA176" s="798" t="str">
        <f>'H-Volatilization'!AF176</f>
        <v>NA</v>
      </c>
      <c r="AB176" s="798" t="str">
        <f>'H-Volatilization'!AO176</f>
        <v>NA</v>
      </c>
      <c r="AC176" s="799" t="str">
        <f>'H-Volatilization'!AU176</f>
        <v>NA</v>
      </c>
    </row>
    <row r="177" spans="1:29" x14ac:dyDescent="0.25">
      <c r="A177" s="308" t="s">
        <v>679</v>
      </c>
      <c r="B177" s="336" t="str">
        <f>IF(Start!$C$15="x",('H-Effluent'!B177),"---")</f>
        <v>---</v>
      </c>
      <c r="C177" s="337" t="str">
        <f>IF(Start!$C$16="x",'H-Runoff'!B177,"---")</f>
        <v>---</v>
      </c>
      <c r="D177" s="338" t="str">
        <f>IF(Start!$C$16="x",'H-Runoff'!C177,"---")</f>
        <v>---</v>
      </c>
      <c r="E177" s="868" t="str">
        <f>IF(Start!$C$17="x",'H-Leachate'!B177,"---")</f>
        <v/>
      </c>
      <c r="F177" s="340" t="str">
        <f>IF(Start!$C$18="x",('H-Volatilization'!B177),"---")</f>
        <v/>
      </c>
      <c r="G177" s="341" t="str">
        <f>IF(Start!$C$18="x",('H-Volatilization'!C177),"---")</f>
        <v/>
      </c>
      <c r="H177" s="341" t="str">
        <f>IF(Start!$C$18="x",('H-Volatilization'!D177),"---")</f>
        <v/>
      </c>
      <c r="I177" s="342" t="str">
        <f>IF(Start!$C$18="x",('H-Volatilization'!E177),"---")</f>
        <v/>
      </c>
      <c r="J177" s="339" t="str">
        <f>IF(Start!$C$19="x",'H-Plant &amp; Animal'!B177,"---")</f>
        <v>---</v>
      </c>
      <c r="K177" s="343" t="str">
        <f>'H-Effluent'!Q177</f>
        <v>Not Req.</v>
      </c>
      <c r="L177" s="286" t="str">
        <f>'H-Runoff'!T177</f>
        <v>Not Req.</v>
      </c>
      <c r="M177" s="344" t="str">
        <f>'H-Runoff'!U177</f>
        <v>Not Req.</v>
      </c>
      <c r="N177" s="343" t="str">
        <f>'H-Leachate'!O177</f>
        <v/>
      </c>
      <c r="O177" s="283" t="str">
        <f>'H-Volatilization'!AV177</f>
        <v/>
      </c>
      <c r="P177" s="284" t="str">
        <f>'H-Volatilization'!AW177</f>
        <v/>
      </c>
      <c r="Q177" s="284" t="str">
        <f>'H-Volatilization'!AX177</f>
        <v/>
      </c>
      <c r="R177" s="285" t="str">
        <f>'H-Volatilization'!AY177</f>
        <v/>
      </c>
      <c r="S177" s="462"/>
      <c r="T177" s="345" t="str">
        <f>'H-Plant &amp; Animal'!L177</f>
        <v>Not Req.</v>
      </c>
      <c r="U177" s="346" t="str">
        <f>'H-Plant &amp; Animal'!M177</f>
        <v>Not Req.</v>
      </c>
      <c r="V177" s="794" t="str">
        <f>'H-Effluent'!O177</f>
        <v>---</v>
      </c>
      <c r="W177" s="797" t="str">
        <f>'H-Runoff'!Q177</f>
        <v>---</v>
      </c>
      <c r="X177" s="799" t="str">
        <f>'H-Runoff'!S177</f>
        <v>---</v>
      </c>
      <c r="Y177" s="794" t="str">
        <f>'H-Leachate'!N177</f>
        <v>NA</v>
      </c>
      <c r="Z177" s="797" t="str">
        <f>'H-Volatilization'!AD177</f>
        <v>NA</v>
      </c>
      <c r="AA177" s="798" t="str">
        <f>'H-Volatilization'!AF177</f>
        <v>NA</v>
      </c>
      <c r="AB177" s="798" t="str">
        <f>'H-Volatilization'!AO177</f>
        <v>NA</v>
      </c>
      <c r="AC177" s="799" t="str">
        <f>'H-Volatilization'!AU177</f>
        <v>NA</v>
      </c>
    </row>
    <row r="178" spans="1:29" x14ac:dyDescent="0.25">
      <c r="A178" s="308" t="s">
        <v>496</v>
      </c>
      <c r="B178" s="336" t="str">
        <f>IF(Start!$C$15="x",('H-Effluent'!B178),"---")</f>
        <v>---</v>
      </c>
      <c r="C178" s="337" t="str">
        <f>IF(Start!$C$16="x",'H-Runoff'!B178,"---")</f>
        <v>---</v>
      </c>
      <c r="D178" s="338" t="str">
        <f>IF(Start!$C$16="x",'H-Runoff'!C178,"---")</f>
        <v>---</v>
      </c>
      <c r="E178" s="868" t="str">
        <f>IF(Start!$C$17="x",'H-Leachate'!B178,"---")</f>
        <v/>
      </c>
      <c r="F178" s="340" t="str">
        <f>IF(Start!$C$18="x",('H-Volatilization'!B178),"---")</f>
        <v/>
      </c>
      <c r="G178" s="341" t="str">
        <f>IF(Start!$C$18="x",('H-Volatilization'!C178),"---")</f>
        <v/>
      </c>
      <c r="H178" s="341" t="str">
        <f>IF(Start!$C$18="x",('H-Volatilization'!D178),"---")</f>
        <v/>
      </c>
      <c r="I178" s="342" t="str">
        <f>IF(Start!$C$18="x",('H-Volatilization'!E178),"---")</f>
        <v/>
      </c>
      <c r="J178" s="339" t="str">
        <f>IF(Start!$C$19="x",'H-Plant &amp; Animal'!B178,"---")</f>
        <v>---</v>
      </c>
      <c r="K178" s="343" t="str">
        <f>'H-Effluent'!Q178</f>
        <v>Not Req.</v>
      </c>
      <c r="L178" s="286" t="str">
        <f>'H-Runoff'!T178</f>
        <v>Not Req.</v>
      </c>
      <c r="M178" s="344" t="str">
        <f>'H-Runoff'!U178</f>
        <v>Not Req.</v>
      </c>
      <c r="N178" s="343" t="str">
        <f>'H-Leachate'!O178</f>
        <v/>
      </c>
      <c r="O178" s="283" t="str">
        <f>'H-Volatilization'!AV178</f>
        <v/>
      </c>
      <c r="P178" s="284" t="str">
        <f>'H-Volatilization'!AW178</f>
        <v/>
      </c>
      <c r="Q178" s="284" t="str">
        <f>'H-Volatilization'!AX178</f>
        <v/>
      </c>
      <c r="R178" s="285" t="str">
        <f>'H-Volatilization'!AY178</f>
        <v/>
      </c>
      <c r="S178" s="462"/>
      <c r="T178" s="345" t="str">
        <f>'H-Plant &amp; Animal'!L178</f>
        <v>Not Req.</v>
      </c>
      <c r="U178" s="346" t="str">
        <f>'H-Plant &amp; Animal'!M178</f>
        <v>Not Req.</v>
      </c>
      <c r="V178" s="794" t="str">
        <f>'H-Effluent'!O178</f>
        <v>---</v>
      </c>
      <c r="W178" s="797" t="str">
        <f>'H-Runoff'!Q178</f>
        <v>---</v>
      </c>
      <c r="X178" s="799" t="str">
        <f>'H-Runoff'!S178</f>
        <v>---</v>
      </c>
      <c r="Y178" s="794" t="str">
        <f>'H-Leachate'!N178</f>
        <v>NA</v>
      </c>
      <c r="Z178" s="797" t="str">
        <f>'H-Volatilization'!AD178</f>
        <v>NA</v>
      </c>
      <c r="AA178" s="798" t="str">
        <f>'H-Volatilization'!AF178</f>
        <v>NA</v>
      </c>
      <c r="AB178" s="798" t="str">
        <f>'H-Volatilization'!AO178</f>
        <v>NA</v>
      </c>
      <c r="AC178" s="799" t="str">
        <f>'H-Volatilization'!AU178</f>
        <v>NA</v>
      </c>
    </row>
    <row r="179" spans="1:29" x14ac:dyDescent="0.25">
      <c r="A179" s="308" t="s">
        <v>497</v>
      </c>
      <c r="B179" s="336" t="str">
        <f>IF(Start!$C$15="x",('H-Effluent'!B179),"---")</f>
        <v>---</v>
      </c>
      <c r="C179" s="337" t="str">
        <f>IF(Start!$C$16="x",'H-Runoff'!B179,"---")</f>
        <v>---</v>
      </c>
      <c r="D179" s="338" t="str">
        <f>IF(Start!$C$16="x",'H-Runoff'!C179,"---")</f>
        <v>---</v>
      </c>
      <c r="E179" s="868" t="str">
        <f>IF(Start!$C$17="x",'H-Leachate'!B179,"---")</f>
        <v/>
      </c>
      <c r="F179" s="340" t="str">
        <f>IF(Start!$C$18="x",('H-Volatilization'!B179),"---")</f>
        <v/>
      </c>
      <c r="G179" s="341" t="str">
        <f>IF(Start!$C$18="x",('H-Volatilization'!C179),"---")</f>
        <v/>
      </c>
      <c r="H179" s="341" t="str">
        <f>IF(Start!$C$18="x",('H-Volatilization'!D179),"---")</f>
        <v/>
      </c>
      <c r="I179" s="342" t="str">
        <f>IF(Start!$C$18="x",('H-Volatilization'!E179),"---")</f>
        <v/>
      </c>
      <c r="J179" s="339" t="str">
        <f>IF(Start!$C$19="x",'H-Plant &amp; Animal'!B179,"---")</f>
        <v>---</v>
      </c>
      <c r="K179" s="343" t="str">
        <f>'H-Effluent'!Q179</f>
        <v>Not Req.</v>
      </c>
      <c r="L179" s="286" t="str">
        <f>'H-Runoff'!T179</f>
        <v>Not Req.</v>
      </c>
      <c r="M179" s="344" t="str">
        <f>'H-Runoff'!U179</f>
        <v>Not Req.</v>
      </c>
      <c r="N179" s="343" t="str">
        <f>'H-Leachate'!O179</f>
        <v/>
      </c>
      <c r="O179" s="283" t="str">
        <f>'H-Volatilization'!AV179</f>
        <v/>
      </c>
      <c r="P179" s="284" t="str">
        <f>'H-Volatilization'!AW179</f>
        <v/>
      </c>
      <c r="Q179" s="284" t="str">
        <f>'H-Volatilization'!AX179</f>
        <v/>
      </c>
      <c r="R179" s="285" t="str">
        <f>'H-Volatilization'!AY179</f>
        <v/>
      </c>
      <c r="S179" s="462"/>
      <c r="T179" s="345" t="str">
        <f>'H-Plant &amp; Animal'!L179</f>
        <v>Not Req.</v>
      </c>
      <c r="U179" s="346" t="str">
        <f>'H-Plant &amp; Animal'!M179</f>
        <v>Not Req.</v>
      </c>
      <c r="V179" s="794" t="str">
        <f>'H-Effluent'!O179</f>
        <v>---</v>
      </c>
      <c r="W179" s="797" t="str">
        <f>'H-Runoff'!Q179</f>
        <v>---</v>
      </c>
      <c r="X179" s="799" t="str">
        <f>'H-Runoff'!S179</f>
        <v>---</v>
      </c>
      <c r="Y179" s="794" t="str">
        <f>'H-Leachate'!N179</f>
        <v>NA</v>
      </c>
      <c r="Z179" s="797" t="str">
        <f>'H-Volatilization'!AD179</f>
        <v>NA</v>
      </c>
      <c r="AA179" s="798" t="str">
        <f>'H-Volatilization'!AF179</f>
        <v>NA</v>
      </c>
      <c r="AB179" s="798" t="str">
        <f>'H-Volatilization'!AO179</f>
        <v>NA</v>
      </c>
      <c r="AC179" s="799" t="str">
        <f>'H-Volatilization'!AU179</f>
        <v>NA</v>
      </c>
    </row>
    <row r="180" spans="1:29" x14ac:dyDescent="0.25">
      <c r="A180" s="56" t="s">
        <v>498</v>
      </c>
      <c r="B180" s="336" t="str">
        <f>IF(Start!$C$15="x",('H-Effluent'!B180),"---")</f>
        <v>---</v>
      </c>
      <c r="C180" s="337" t="str">
        <f>IF(Start!$C$16="x",'H-Runoff'!B180,"---")</f>
        <v>---</v>
      </c>
      <c r="D180" s="338" t="str">
        <f>IF(Start!$C$16="x",'H-Runoff'!C180,"---")</f>
        <v>---</v>
      </c>
      <c r="E180" s="868" t="str">
        <f>IF(Start!$C$17="x",'H-Leachate'!B180,"---")</f>
        <v/>
      </c>
      <c r="F180" s="340" t="str">
        <f>IF(Start!$C$18="x",('H-Volatilization'!B180),"---")</f>
        <v/>
      </c>
      <c r="G180" s="341" t="str">
        <f>IF(Start!$C$18="x",('H-Volatilization'!C180),"---")</f>
        <v/>
      </c>
      <c r="H180" s="341" t="str">
        <f>IF(Start!$C$18="x",('H-Volatilization'!D180),"---")</f>
        <v/>
      </c>
      <c r="I180" s="342" t="str">
        <f>IF(Start!$C$18="x",('H-Volatilization'!E180),"---")</f>
        <v/>
      </c>
      <c r="J180" s="339" t="str">
        <f>IF(Start!$C$19="x",'H-Plant &amp; Animal'!B180,"---")</f>
        <v>---</v>
      </c>
      <c r="K180" s="343" t="str">
        <f>'H-Effluent'!Q180</f>
        <v>Not Req.</v>
      </c>
      <c r="L180" s="286" t="str">
        <f>'H-Runoff'!T180</f>
        <v>Not Req.</v>
      </c>
      <c r="M180" s="344" t="str">
        <f>'H-Runoff'!U180</f>
        <v>Not Req.</v>
      </c>
      <c r="N180" s="343" t="str">
        <f>'H-Leachate'!O180</f>
        <v/>
      </c>
      <c r="O180" s="283" t="str">
        <f>'H-Volatilization'!AV180</f>
        <v/>
      </c>
      <c r="P180" s="284" t="str">
        <f>'H-Volatilization'!AW180</f>
        <v/>
      </c>
      <c r="Q180" s="284" t="str">
        <f>'H-Volatilization'!AX180</f>
        <v/>
      </c>
      <c r="R180" s="285" t="str">
        <f>'H-Volatilization'!AY180</f>
        <v/>
      </c>
      <c r="S180" s="462"/>
      <c r="T180" s="345" t="str">
        <f>'H-Plant &amp; Animal'!L180</f>
        <v>Not Req.</v>
      </c>
      <c r="U180" s="346" t="str">
        <f>'H-Plant &amp; Animal'!M180</f>
        <v>Not Req.</v>
      </c>
      <c r="V180" s="794" t="str">
        <f>'H-Effluent'!O180</f>
        <v>---</v>
      </c>
      <c r="W180" s="797" t="str">
        <f>'H-Runoff'!Q180</f>
        <v>---</v>
      </c>
      <c r="X180" s="799" t="str">
        <f>'H-Runoff'!S180</f>
        <v>---</v>
      </c>
      <c r="Y180" s="794" t="str">
        <f>'H-Leachate'!N180</f>
        <v>NA</v>
      </c>
      <c r="Z180" s="797" t="str">
        <f>'H-Volatilization'!AD180</f>
        <v>NA</v>
      </c>
      <c r="AA180" s="798" t="str">
        <f>'H-Volatilization'!AF180</f>
        <v>NA</v>
      </c>
      <c r="AB180" s="798" t="str">
        <f>'H-Volatilization'!AO180</f>
        <v>NA</v>
      </c>
      <c r="AC180" s="799" t="str">
        <f>'H-Volatilization'!AU180</f>
        <v>NA</v>
      </c>
    </row>
    <row r="181" spans="1:29" x14ac:dyDescent="0.25">
      <c r="A181" s="56" t="s">
        <v>499</v>
      </c>
      <c r="B181" s="336" t="str">
        <f>IF(Start!$C$15="x",('H-Effluent'!B181),"---")</f>
        <v>---</v>
      </c>
      <c r="C181" s="337" t="str">
        <f>IF(Start!$C$16="x",'H-Runoff'!B181,"---")</f>
        <v>---</v>
      </c>
      <c r="D181" s="338" t="str">
        <f>IF(Start!$C$16="x",'H-Runoff'!C181,"---")</f>
        <v>---</v>
      </c>
      <c r="E181" s="868" t="str">
        <f>IF(Start!$C$17="x",'H-Leachate'!B181,"---")</f>
        <v/>
      </c>
      <c r="F181" s="340" t="str">
        <f>IF(Start!$C$18="x",('H-Volatilization'!B181),"---")</f>
        <v/>
      </c>
      <c r="G181" s="341" t="str">
        <f>IF(Start!$C$18="x",('H-Volatilization'!C181),"---")</f>
        <v/>
      </c>
      <c r="H181" s="341" t="str">
        <f>IF(Start!$C$18="x",('H-Volatilization'!D181),"---")</f>
        <v/>
      </c>
      <c r="I181" s="342" t="str">
        <f>IF(Start!$C$18="x",('H-Volatilization'!E181),"---")</f>
        <v/>
      </c>
      <c r="J181" s="339" t="str">
        <f>IF(Start!$C$19="x",'H-Plant &amp; Animal'!B181,"---")</f>
        <v>---</v>
      </c>
      <c r="K181" s="343" t="str">
        <f>'H-Effluent'!Q181</f>
        <v>Not Req.</v>
      </c>
      <c r="L181" s="286" t="str">
        <f>'H-Runoff'!T181</f>
        <v>Not Req.</v>
      </c>
      <c r="M181" s="344" t="str">
        <f>'H-Runoff'!U181</f>
        <v>Not Req.</v>
      </c>
      <c r="N181" s="343" t="str">
        <f>'H-Leachate'!O181</f>
        <v/>
      </c>
      <c r="O181" s="283" t="str">
        <f>'H-Volatilization'!AV181</f>
        <v/>
      </c>
      <c r="P181" s="284" t="str">
        <f>'H-Volatilization'!AW181</f>
        <v/>
      </c>
      <c r="Q181" s="284" t="str">
        <f>'H-Volatilization'!AX181</f>
        <v/>
      </c>
      <c r="R181" s="285" t="str">
        <f>'H-Volatilization'!AY181</f>
        <v/>
      </c>
      <c r="S181" s="462"/>
      <c r="T181" s="345" t="str">
        <f>'H-Plant &amp; Animal'!L181</f>
        <v>Not Req.</v>
      </c>
      <c r="U181" s="346" t="str">
        <f>'H-Plant &amp; Animal'!M181</f>
        <v>Not Req.</v>
      </c>
      <c r="V181" s="794" t="str">
        <f>'H-Effluent'!O181</f>
        <v>---</v>
      </c>
      <c r="W181" s="797" t="str">
        <f>'H-Runoff'!Q181</f>
        <v>---</v>
      </c>
      <c r="X181" s="799" t="str">
        <f>'H-Runoff'!S181</f>
        <v>---</v>
      </c>
      <c r="Y181" s="794" t="str">
        <f>'H-Leachate'!N181</f>
        <v>NA</v>
      </c>
      <c r="Z181" s="797" t="str">
        <f>'H-Volatilization'!AD181</f>
        <v>NA</v>
      </c>
      <c r="AA181" s="798" t="str">
        <f>'H-Volatilization'!AF181</f>
        <v>NA</v>
      </c>
      <c r="AB181" s="798" t="str">
        <f>'H-Volatilization'!AO181</f>
        <v>NA</v>
      </c>
      <c r="AC181" s="799" t="str">
        <f>'H-Volatilization'!AU181</f>
        <v>NA</v>
      </c>
    </row>
    <row r="182" spans="1:29" x14ac:dyDescent="0.25">
      <c r="A182" s="56" t="s">
        <v>680</v>
      </c>
      <c r="B182" s="336" t="str">
        <f>IF(Start!$C$15="x",('H-Effluent'!B182),"---")</f>
        <v>---</v>
      </c>
      <c r="C182" s="337" t="str">
        <f>IF(Start!$C$16="x",'H-Runoff'!B182,"---")</f>
        <v>---</v>
      </c>
      <c r="D182" s="338" t="str">
        <f>IF(Start!$C$16="x",'H-Runoff'!C182,"---")</f>
        <v>---</v>
      </c>
      <c r="E182" s="868" t="str">
        <f>IF(Start!$C$17="x",'H-Leachate'!B182,"---")</f>
        <v/>
      </c>
      <c r="F182" s="340" t="str">
        <f>IF(Start!$C$18="x",('H-Volatilization'!B182),"---")</f>
        <v/>
      </c>
      <c r="G182" s="341" t="str">
        <f>IF(Start!$C$18="x",('H-Volatilization'!C182),"---")</f>
        <v/>
      </c>
      <c r="H182" s="341" t="str">
        <f>IF(Start!$C$18="x",('H-Volatilization'!D182),"---")</f>
        <v/>
      </c>
      <c r="I182" s="342" t="str">
        <f>IF(Start!$C$18="x",('H-Volatilization'!E182),"---")</f>
        <v/>
      </c>
      <c r="J182" s="339" t="str">
        <f>IF(Start!$C$19="x",'H-Plant &amp; Animal'!B182,"---")</f>
        <v>---</v>
      </c>
      <c r="K182" s="343" t="str">
        <f>'H-Effluent'!Q182</f>
        <v>Not Req.</v>
      </c>
      <c r="L182" s="286" t="str">
        <f>'H-Runoff'!T182</f>
        <v>Not Req.</v>
      </c>
      <c r="M182" s="344" t="str">
        <f>'H-Runoff'!U182</f>
        <v>Not Req.</v>
      </c>
      <c r="N182" s="343" t="str">
        <f>'H-Leachate'!O182</f>
        <v/>
      </c>
      <c r="O182" s="283" t="str">
        <f>'H-Volatilization'!AV182</f>
        <v/>
      </c>
      <c r="P182" s="284" t="str">
        <f>'H-Volatilization'!AW182</f>
        <v/>
      </c>
      <c r="Q182" s="284" t="str">
        <f>'H-Volatilization'!AX182</f>
        <v/>
      </c>
      <c r="R182" s="285" t="str">
        <f>'H-Volatilization'!AY182</f>
        <v/>
      </c>
      <c r="S182" s="462"/>
      <c r="T182" s="345" t="str">
        <f>'H-Plant &amp; Animal'!L182</f>
        <v>Not Req.</v>
      </c>
      <c r="U182" s="346" t="str">
        <f>'H-Plant &amp; Animal'!M182</f>
        <v>Not Req.</v>
      </c>
      <c r="V182" s="794" t="str">
        <f>'H-Effluent'!O182</f>
        <v>---</v>
      </c>
      <c r="W182" s="797" t="str">
        <f>'H-Runoff'!Q182</f>
        <v>---</v>
      </c>
      <c r="X182" s="799" t="str">
        <f>'H-Runoff'!S182</f>
        <v>---</v>
      </c>
      <c r="Y182" s="794" t="str">
        <f>'H-Leachate'!N182</f>
        <v>NA</v>
      </c>
      <c r="Z182" s="797" t="str">
        <f>'H-Volatilization'!AD182</f>
        <v>NA</v>
      </c>
      <c r="AA182" s="798" t="str">
        <f>'H-Volatilization'!AF182</f>
        <v>NA</v>
      </c>
      <c r="AB182" s="798" t="str">
        <f>'H-Volatilization'!AO182</f>
        <v>NA</v>
      </c>
      <c r="AC182" s="799" t="str">
        <f>'H-Volatilization'!AU182</f>
        <v>NA</v>
      </c>
    </row>
    <row r="183" spans="1:29" x14ac:dyDescent="0.25">
      <c r="A183" s="56" t="s">
        <v>501</v>
      </c>
      <c r="B183" s="336" t="str">
        <f>IF(Start!$C$15="x",('H-Effluent'!B183),"---")</f>
        <v>---</v>
      </c>
      <c r="C183" s="337" t="str">
        <f>IF(Start!$C$16="x",'H-Runoff'!B183,"---")</f>
        <v>---</v>
      </c>
      <c r="D183" s="338" t="str">
        <f>IF(Start!$C$16="x",'H-Runoff'!C183,"---")</f>
        <v>---</v>
      </c>
      <c r="E183" s="868" t="str">
        <f>IF(Start!$C$17="x",'H-Leachate'!B183,"---")</f>
        <v/>
      </c>
      <c r="F183" s="340" t="str">
        <f>IF(Start!$C$18="x",('H-Volatilization'!B183),"---")</f>
        <v/>
      </c>
      <c r="G183" s="341" t="str">
        <f>IF(Start!$C$18="x",('H-Volatilization'!C183),"---")</f>
        <v/>
      </c>
      <c r="H183" s="341" t="str">
        <f>IF(Start!$C$18="x",('H-Volatilization'!D183),"---")</f>
        <v/>
      </c>
      <c r="I183" s="342" t="str">
        <f>IF(Start!$C$18="x",('H-Volatilization'!E183),"---")</f>
        <v/>
      </c>
      <c r="J183" s="339" t="str">
        <f>IF(Start!$C$19="x",'H-Plant &amp; Animal'!B183,"---")</f>
        <v>---</v>
      </c>
      <c r="K183" s="343" t="str">
        <f>'H-Effluent'!Q183</f>
        <v>Not Req.</v>
      </c>
      <c r="L183" s="286" t="str">
        <f>'H-Runoff'!T183</f>
        <v>Not Req.</v>
      </c>
      <c r="M183" s="344" t="str">
        <f>'H-Runoff'!U183</f>
        <v>Not Req.</v>
      </c>
      <c r="N183" s="343" t="str">
        <f>'H-Leachate'!O183</f>
        <v/>
      </c>
      <c r="O183" s="283" t="str">
        <f>'H-Volatilization'!AV183</f>
        <v/>
      </c>
      <c r="P183" s="284" t="str">
        <f>'H-Volatilization'!AW183</f>
        <v/>
      </c>
      <c r="Q183" s="284" t="str">
        <f>'H-Volatilization'!AX183</f>
        <v/>
      </c>
      <c r="R183" s="285" t="str">
        <f>'H-Volatilization'!AY183</f>
        <v/>
      </c>
      <c r="S183" s="462"/>
      <c r="T183" s="345" t="str">
        <f>'H-Plant &amp; Animal'!L183</f>
        <v>Not Req.</v>
      </c>
      <c r="U183" s="346" t="str">
        <f>'H-Plant &amp; Animal'!M183</f>
        <v>Not Req.</v>
      </c>
      <c r="V183" s="794" t="str">
        <f>'H-Effluent'!O183</f>
        <v>---</v>
      </c>
      <c r="W183" s="797" t="str">
        <f>'H-Runoff'!Q183</f>
        <v>---</v>
      </c>
      <c r="X183" s="799" t="str">
        <f>'H-Runoff'!S183</f>
        <v>---</v>
      </c>
      <c r="Y183" s="794" t="str">
        <f>'H-Leachate'!N183</f>
        <v>NA</v>
      </c>
      <c r="Z183" s="797" t="str">
        <f>'H-Volatilization'!AD183</f>
        <v>NA</v>
      </c>
      <c r="AA183" s="798" t="str">
        <f>'H-Volatilization'!AF183</f>
        <v>NA</v>
      </c>
      <c r="AB183" s="798" t="str">
        <f>'H-Volatilization'!AO183</f>
        <v>NA</v>
      </c>
      <c r="AC183" s="799" t="str">
        <f>'H-Volatilization'!AU183</f>
        <v>NA</v>
      </c>
    </row>
    <row r="184" spans="1:29" x14ac:dyDescent="0.25">
      <c r="A184" s="56" t="s">
        <v>502</v>
      </c>
      <c r="B184" s="336" t="str">
        <f>IF(Start!$C$15="x",('H-Effluent'!B184),"---")</f>
        <v>---</v>
      </c>
      <c r="C184" s="337" t="str">
        <f>IF(Start!$C$16="x",'H-Runoff'!B184,"---")</f>
        <v>---</v>
      </c>
      <c r="D184" s="338" t="str">
        <f>IF(Start!$C$16="x",'H-Runoff'!C184,"---")</f>
        <v>---</v>
      </c>
      <c r="E184" s="868" t="str">
        <f>IF(Start!$C$17="x",'H-Leachate'!B184,"---")</f>
        <v/>
      </c>
      <c r="F184" s="340" t="str">
        <f>IF(Start!$C$18="x",('H-Volatilization'!B184),"---")</f>
        <v/>
      </c>
      <c r="G184" s="341" t="str">
        <f>IF(Start!$C$18="x",('H-Volatilization'!C184),"---")</f>
        <v/>
      </c>
      <c r="H184" s="341" t="str">
        <f>IF(Start!$C$18="x",('H-Volatilization'!D184),"---")</f>
        <v/>
      </c>
      <c r="I184" s="342" t="str">
        <f>IF(Start!$C$18="x",('H-Volatilization'!E184),"---")</f>
        <v/>
      </c>
      <c r="J184" s="339" t="str">
        <f>IF(Start!$C$19="x",'H-Plant &amp; Animal'!B184,"---")</f>
        <v>---</v>
      </c>
      <c r="K184" s="343" t="str">
        <f>'H-Effluent'!Q184</f>
        <v>Not Req.</v>
      </c>
      <c r="L184" s="286" t="str">
        <f>'H-Runoff'!T184</f>
        <v>Not Req.</v>
      </c>
      <c r="M184" s="344" t="str">
        <f>'H-Runoff'!U184</f>
        <v>Not Req.</v>
      </c>
      <c r="N184" s="343" t="str">
        <f>'H-Leachate'!O184</f>
        <v/>
      </c>
      <c r="O184" s="283" t="str">
        <f>'H-Volatilization'!AV184</f>
        <v/>
      </c>
      <c r="P184" s="284" t="str">
        <f>'H-Volatilization'!AW184</f>
        <v/>
      </c>
      <c r="Q184" s="284" t="str">
        <f>'H-Volatilization'!AX184</f>
        <v/>
      </c>
      <c r="R184" s="285" t="str">
        <f>'H-Volatilization'!AY184</f>
        <v/>
      </c>
      <c r="S184" s="462"/>
      <c r="T184" s="345" t="str">
        <f>'H-Plant &amp; Animal'!L184</f>
        <v>Not Req.</v>
      </c>
      <c r="U184" s="346" t="str">
        <f>'H-Plant &amp; Animal'!M184</f>
        <v>Not Req.</v>
      </c>
      <c r="V184" s="794" t="str">
        <f>'H-Effluent'!O184</f>
        <v>---</v>
      </c>
      <c r="W184" s="797" t="str">
        <f>'H-Runoff'!Q184</f>
        <v>---</v>
      </c>
      <c r="X184" s="799" t="str">
        <f>'H-Runoff'!S184</f>
        <v>---</v>
      </c>
      <c r="Y184" s="794" t="str">
        <f>'H-Leachate'!N184</f>
        <v>NA</v>
      </c>
      <c r="Z184" s="797" t="str">
        <f>'H-Volatilization'!AD184</f>
        <v>NA</v>
      </c>
      <c r="AA184" s="798" t="str">
        <f>'H-Volatilization'!AF184</f>
        <v>NA</v>
      </c>
      <c r="AB184" s="798" t="str">
        <f>'H-Volatilization'!AO184</f>
        <v>NA</v>
      </c>
      <c r="AC184" s="799" t="str">
        <f>'H-Volatilization'!AU184</f>
        <v>NA</v>
      </c>
    </row>
    <row r="185" spans="1:29" x14ac:dyDescent="0.25">
      <c r="A185" s="56" t="s">
        <v>503</v>
      </c>
      <c r="B185" s="336" t="str">
        <f>IF(Start!$C$15="x",('H-Effluent'!B185),"---")</f>
        <v>---</v>
      </c>
      <c r="C185" s="337" t="str">
        <f>IF(Start!$C$16="x",'H-Runoff'!B185,"---")</f>
        <v>---</v>
      </c>
      <c r="D185" s="338" t="str">
        <f>IF(Start!$C$16="x",'H-Runoff'!C185,"---")</f>
        <v>---</v>
      </c>
      <c r="E185" s="868" t="str">
        <f>IF(Start!$C$17="x",'H-Leachate'!B185,"---")</f>
        <v/>
      </c>
      <c r="F185" s="340" t="str">
        <f>IF(Start!$C$18="x",('H-Volatilization'!B185),"---")</f>
        <v/>
      </c>
      <c r="G185" s="341" t="str">
        <f>IF(Start!$C$18="x",('H-Volatilization'!C185),"---")</f>
        <v/>
      </c>
      <c r="H185" s="341" t="str">
        <f>IF(Start!$C$18="x",('H-Volatilization'!D185),"---")</f>
        <v/>
      </c>
      <c r="I185" s="342" t="str">
        <f>IF(Start!$C$18="x",('H-Volatilization'!E185),"---")</f>
        <v/>
      </c>
      <c r="J185" s="339" t="str">
        <f>IF(Start!$C$19="x",'H-Plant &amp; Animal'!B185,"---")</f>
        <v>---</v>
      </c>
      <c r="K185" s="343" t="str">
        <f>'H-Effluent'!Q185</f>
        <v>Not Req.</v>
      </c>
      <c r="L185" s="286" t="str">
        <f>'H-Runoff'!T185</f>
        <v>Not Req.</v>
      </c>
      <c r="M185" s="344" t="str">
        <f>'H-Runoff'!U185</f>
        <v>Not Req.</v>
      </c>
      <c r="N185" s="343" t="str">
        <f>'H-Leachate'!O185</f>
        <v/>
      </c>
      <c r="O185" s="283" t="str">
        <f>'H-Volatilization'!AV185</f>
        <v/>
      </c>
      <c r="P185" s="284" t="str">
        <f>'H-Volatilization'!AW185</f>
        <v/>
      </c>
      <c r="Q185" s="284" t="str">
        <f>'H-Volatilization'!AX185</f>
        <v/>
      </c>
      <c r="R185" s="285" t="str">
        <f>'H-Volatilization'!AY185</f>
        <v/>
      </c>
      <c r="S185" s="462"/>
      <c r="T185" s="345" t="str">
        <f>'H-Plant &amp; Animal'!L185</f>
        <v>Not Req.</v>
      </c>
      <c r="U185" s="346" t="str">
        <f>'H-Plant &amp; Animal'!M185</f>
        <v>Not Req.</v>
      </c>
      <c r="V185" s="794" t="str">
        <f>'H-Effluent'!O185</f>
        <v>---</v>
      </c>
      <c r="W185" s="797" t="str">
        <f>'H-Runoff'!Q185</f>
        <v>---</v>
      </c>
      <c r="X185" s="799" t="str">
        <f>'H-Runoff'!S185</f>
        <v>---</v>
      </c>
      <c r="Y185" s="794" t="str">
        <f>'H-Leachate'!N185</f>
        <v>NA</v>
      </c>
      <c r="Z185" s="797" t="str">
        <f>'H-Volatilization'!AD185</f>
        <v>NA</v>
      </c>
      <c r="AA185" s="798" t="str">
        <f>'H-Volatilization'!AF185</f>
        <v>NA</v>
      </c>
      <c r="AB185" s="798" t="str">
        <f>'H-Volatilization'!AO185</f>
        <v>NA</v>
      </c>
      <c r="AC185" s="799" t="str">
        <f>'H-Volatilization'!AU185</f>
        <v>NA</v>
      </c>
    </row>
    <row r="186" spans="1:29" x14ac:dyDescent="0.25">
      <c r="A186" s="56" t="s">
        <v>504</v>
      </c>
      <c r="B186" s="336" t="str">
        <f>IF(Start!$C$15="x",('H-Effluent'!B186),"---")</f>
        <v>---</v>
      </c>
      <c r="C186" s="337" t="str">
        <f>IF(Start!$C$16="x",'H-Runoff'!B186,"---")</f>
        <v>---</v>
      </c>
      <c r="D186" s="338" t="str">
        <f>IF(Start!$C$16="x",'H-Runoff'!C186,"---")</f>
        <v>---</v>
      </c>
      <c r="E186" s="868" t="str">
        <f>IF(Start!$C$17="x",'H-Leachate'!B186,"---")</f>
        <v/>
      </c>
      <c r="F186" s="340" t="str">
        <f>IF(Start!$C$18="x",('H-Volatilization'!B186),"---")</f>
        <v/>
      </c>
      <c r="G186" s="341" t="str">
        <f>IF(Start!$C$18="x",('H-Volatilization'!C186),"---")</f>
        <v/>
      </c>
      <c r="H186" s="341" t="str">
        <f>IF(Start!$C$18="x",('H-Volatilization'!D186),"---")</f>
        <v/>
      </c>
      <c r="I186" s="342" t="str">
        <f>IF(Start!$C$18="x",('H-Volatilization'!E186),"---")</f>
        <v/>
      </c>
      <c r="J186" s="339" t="str">
        <f>IF(Start!$C$19="x",'H-Plant &amp; Animal'!B186,"---")</f>
        <v>---</v>
      </c>
      <c r="K186" s="343" t="str">
        <f>'H-Effluent'!Q186</f>
        <v>Not Req.</v>
      </c>
      <c r="L186" s="286" t="str">
        <f>'H-Runoff'!T186</f>
        <v>Not Req.</v>
      </c>
      <c r="M186" s="344" t="str">
        <f>'H-Runoff'!U186</f>
        <v>Not Req.</v>
      </c>
      <c r="N186" s="343" t="str">
        <f>'H-Leachate'!O186</f>
        <v/>
      </c>
      <c r="O186" s="283" t="str">
        <f>'H-Volatilization'!AV186</f>
        <v/>
      </c>
      <c r="P186" s="284" t="str">
        <f>'H-Volatilization'!AW186</f>
        <v/>
      </c>
      <c r="Q186" s="284" t="str">
        <f>'H-Volatilization'!AX186</f>
        <v/>
      </c>
      <c r="R186" s="285" t="str">
        <f>'H-Volatilization'!AY186</f>
        <v/>
      </c>
      <c r="S186" s="462"/>
      <c r="T186" s="345" t="str">
        <f>'H-Plant &amp; Animal'!L186</f>
        <v>Not Req.</v>
      </c>
      <c r="U186" s="346" t="str">
        <f>'H-Plant &amp; Animal'!M186</f>
        <v>Not Req.</v>
      </c>
      <c r="V186" s="794" t="str">
        <f>'H-Effluent'!O186</f>
        <v>---</v>
      </c>
      <c r="W186" s="797" t="str">
        <f>'H-Runoff'!Q186</f>
        <v>---</v>
      </c>
      <c r="X186" s="799" t="str">
        <f>'H-Runoff'!S186</f>
        <v>---</v>
      </c>
      <c r="Y186" s="794" t="str">
        <f>'H-Leachate'!N186</f>
        <v>NA</v>
      </c>
      <c r="Z186" s="797" t="str">
        <f>'H-Volatilization'!AD186</f>
        <v>NA</v>
      </c>
      <c r="AA186" s="798" t="str">
        <f>'H-Volatilization'!AF186</f>
        <v>NA</v>
      </c>
      <c r="AB186" s="798" t="str">
        <f>'H-Volatilization'!AO186</f>
        <v>NA</v>
      </c>
      <c r="AC186" s="799" t="str">
        <f>'H-Volatilization'!AU186</f>
        <v>NA</v>
      </c>
    </row>
    <row r="187" spans="1:29" x14ac:dyDescent="0.25">
      <c r="A187" s="60" t="s">
        <v>681</v>
      </c>
      <c r="B187" s="336" t="str">
        <f>IF(Start!$C$15="x",('H-Effluent'!B187),"---")</f>
        <v>---</v>
      </c>
      <c r="C187" s="337" t="str">
        <f>IF(Start!$C$16="x",'H-Runoff'!B187,"---")</f>
        <v>---</v>
      </c>
      <c r="D187" s="338" t="str">
        <f>IF(Start!$C$16="x",'H-Runoff'!C187,"---")</f>
        <v>---</v>
      </c>
      <c r="E187" s="868" t="str">
        <f>IF(Start!$C$17="x",'H-Leachate'!B187,"---")</f>
        <v/>
      </c>
      <c r="F187" s="340" t="str">
        <f>IF(Start!$C$18="x",('H-Volatilization'!B187),"---")</f>
        <v/>
      </c>
      <c r="G187" s="341" t="str">
        <f>IF(Start!$C$18="x",('H-Volatilization'!C187),"---")</f>
        <v/>
      </c>
      <c r="H187" s="341" t="str">
        <f>IF(Start!$C$18="x",('H-Volatilization'!D187),"---")</f>
        <v/>
      </c>
      <c r="I187" s="342" t="str">
        <f>IF(Start!$C$18="x",('H-Volatilization'!E187),"---")</f>
        <v/>
      </c>
      <c r="J187" s="339" t="str">
        <f>IF(Start!$C$19="x",'H-Plant &amp; Animal'!B187,"---")</f>
        <v>---</v>
      </c>
      <c r="K187" s="343" t="str">
        <f>'H-Effluent'!Q187</f>
        <v>Not Req.</v>
      </c>
      <c r="L187" s="286" t="str">
        <f>'H-Runoff'!T187</f>
        <v>Not Req.</v>
      </c>
      <c r="M187" s="344" t="str">
        <f>'H-Runoff'!U187</f>
        <v>Not Req.</v>
      </c>
      <c r="N187" s="343" t="str">
        <f>'H-Leachate'!O187</f>
        <v/>
      </c>
      <c r="O187" s="283" t="str">
        <f>'H-Volatilization'!AV187</f>
        <v/>
      </c>
      <c r="P187" s="284" t="str">
        <f>'H-Volatilization'!AW187</f>
        <v/>
      </c>
      <c r="Q187" s="284" t="str">
        <f>'H-Volatilization'!AX187</f>
        <v/>
      </c>
      <c r="R187" s="285" t="str">
        <f>'H-Volatilization'!AY187</f>
        <v/>
      </c>
      <c r="S187" s="462"/>
      <c r="T187" s="345" t="str">
        <f>'H-Plant &amp; Animal'!L187</f>
        <v>Not Req.</v>
      </c>
      <c r="U187" s="346" t="str">
        <f>'H-Plant &amp; Animal'!M187</f>
        <v>Not Req.</v>
      </c>
      <c r="V187" s="794" t="str">
        <f>'H-Effluent'!O187</f>
        <v>---</v>
      </c>
      <c r="W187" s="797" t="str">
        <f>'H-Runoff'!Q187</f>
        <v>---</v>
      </c>
      <c r="X187" s="799" t="str">
        <f>'H-Runoff'!S187</f>
        <v>---</v>
      </c>
      <c r="Y187" s="794" t="str">
        <f>'H-Leachate'!N187</f>
        <v>NA</v>
      </c>
      <c r="Z187" s="797" t="str">
        <f>'H-Volatilization'!AD187</f>
        <v>NA</v>
      </c>
      <c r="AA187" s="798" t="str">
        <f>'H-Volatilization'!AF187</f>
        <v>NA</v>
      </c>
      <c r="AB187" s="798" t="str">
        <f>'H-Volatilization'!AO187</f>
        <v>NA</v>
      </c>
      <c r="AC187" s="799" t="str">
        <f>'H-Volatilization'!AU187</f>
        <v>NA</v>
      </c>
    </row>
    <row r="188" spans="1:29" x14ac:dyDescent="0.25">
      <c r="A188" s="56" t="s">
        <v>682</v>
      </c>
      <c r="B188" s="336" t="str">
        <f>IF(Start!$C$15="x",('H-Effluent'!B188),"---")</f>
        <v>---</v>
      </c>
      <c r="C188" s="337" t="str">
        <f>IF(Start!$C$16="x",'H-Runoff'!B188,"---")</f>
        <v>---</v>
      </c>
      <c r="D188" s="338" t="str">
        <f>IF(Start!$C$16="x",'H-Runoff'!C188,"---")</f>
        <v>---</v>
      </c>
      <c r="E188" s="868" t="str">
        <f>IF(Start!$C$17="x",'H-Leachate'!B188,"---")</f>
        <v/>
      </c>
      <c r="F188" s="340" t="str">
        <f>IF(Start!$C$18="x",('H-Volatilization'!B188),"---")</f>
        <v/>
      </c>
      <c r="G188" s="341" t="str">
        <f>IF(Start!$C$18="x",('H-Volatilization'!C188),"---")</f>
        <v/>
      </c>
      <c r="H188" s="341" t="str">
        <f>IF(Start!$C$18="x",('H-Volatilization'!D188),"---")</f>
        <v/>
      </c>
      <c r="I188" s="342" t="str">
        <f>IF(Start!$C$18="x",('H-Volatilization'!E188),"---")</f>
        <v/>
      </c>
      <c r="J188" s="339" t="str">
        <f>IF(Start!$C$19="x",'H-Plant &amp; Animal'!B188,"---")</f>
        <v>---</v>
      </c>
      <c r="K188" s="343" t="str">
        <f>'H-Effluent'!Q188</f>
        <v>Not Req.</v>
      </c>
      <c r="L188" s="286" t="str">
        <f>'H-Runoff'!T188</f>
        <v>Not Req.</v>
      </c>
      <c r="M188" s="344" t="str">
        <f>'H-Runoff'!U188</f>
        <v>Not Req.</v>
      </c>
      <c r="N188" s="343" t="str">
        <f>'H-Leachate'!O188</f>
        <v/>
      </c>
      <c r="O188" s="283" t="str">
        <f>'H-Volatilization'!AV188</f>
        <v/>
      </c>
      <c r="P188" s="284" t="str">
        <f>'H-Volatilization'!AW188</f>
        <v/>
      </c>
      <c r="Q188" s="284" t="str">
        <f>'H-Volatilization'!AX188</f>
        <v/>
      </c>
      <c r="R188" s="285" t="str">
        <f>'H-Volatilization'!AY188</f>
        <v/>
      </c>
      <c r="S188" s="462"/>
      <c r="T188" s="345" t="str">
        <f>'H-Plant &amp; Animal'!L188</f>
        <v>Not Req.</v>
      </c>
      <c r="U188" s="346" t="str">
        <f>'H-Plant &amp; Animal'!M188</f>
        <v>Not Req.</v>
      </c>
      <c r="V188" s="794" t="str">
        <f>'H-Effluent'!O188</f>
        <v>---</v>
      </c>
      <c r="W188" s="797" t="str">
        <f>'H-Runoff'!Q188</f>
        <v>---</v>
      </c>
      <c r="X188" s="799" t="str">
        <f>'H-Runoff'!S188</f>
        <v>---</v>
      </c>
      <c r="Y188" s="794" t="str">
        <f>'H-Leachate'!N188</f>
        <v>NA</v>
      </c>
      <c r="Z188" s="797" t="str">
        <f>'H-Volatilization'!AD188</f>
        <v>NA</v>
      </c>
      <c r="AA188" s="798" t="str">
        <f>'H-Volatilization'!AF188</f>
        <v>NA</v>
      </c>
      <c r="AB188" s="798" t="str">
        <f>'H-Volatilization'!AO188</f>
        <v>NA</v>
      </c>
      <c r="AC188" s="799" t="str">
        <f>'H-Volatilization'!AU188</f>
        <v>NA</v>
      </c>
    </row>
    <row r="189" spans="1:29" x14ac:dyDescent="0.25">
      <c r="A189" s="308" t="s">
        <v>507</v>
      </c>
      <c r="B189" s="336" t="str">
        <f>IF(Start!$C$15="x",('H-Effluent'!B189),"---")</f>
        <v>---</v>
      </c>
      <c r="C189" s="337" t="str">
        <f>IF(Start!$C$16="x",'H-Runoff'!B189,"---")</f>
        <v>---</v>
      </c>
      <c r="D189" s="338" t="str">
        <f>IF(Start!$C$16="x",'H-Runoff'!C189,"---")</f>
        <v>---</v>
      </c>
      <c r="E189" s="868" t="str">
        <f>IF(Start!$C$17="x",'H-Leachate'!B189,"---")</f>
        <v/>
      </c>
      <c r="F189" s="340" t="str">
        <f>IF(Start!$C$18="x",('H-Volatilization'!B189),"---")</f>
        <v/>
      </c>
      <c r="G189" s="341" t="str">
        <f>IF(Start!$C$18="x",('H-Volatilization'!C189),"---")</f>
        <v/>
      </c>
      <c r="H189" s="341" t="str">
        <f>IF(Start!$C$18="x",('H-Volatilization'!D189),"---")</f>
        <v/>
      </c>
      <c r="I189" s="342" t="str">
        <f>IF(Start!$C$18="x",('H-Volatilization'!E189),"---")</f>
        <v/>
      </c>
      <c r="J189" s="339" t="str">
        <f>IF(Start!$C$19="x",'H-Plant &amp; Animal'!B189,"---")</f>
        <v>---</v>
      </c>
      <c r="K189" s="343" t="str">
        <f>'H-Effluent'!Q189</f>
        <v>Not Req.</v>
      </c>
      <c r="L189" s="286" t="str">
        <f>'H-Runoff'!T189</f>
        <v>Not Req.</v>
      </c>
      <c r="M189" s="344" t="str">
        <f>'H-Runoff'!U189</f>
        <v>Not Req.</v>
      </c>
      <c r="N189" s="343" t="str">
        <f>'H-Leachate'!O189</f>
        <v/>
      </c>
      <c r="O189" s="283" t="str">
        <f>'H-Volatilization'!AV189</f>
        <v/>
      </c>
      <c r="P189" s="284" t="str">
        <f>'H-Volatilization'!AW189</f>
        <v/>
      </c>
      <c r="Q189" s="284" t="str">
        <f>'H-Volatilization'!AX189</f>
        <v/>
      </c>
      <c r="R189" s="285" t="str">
        <f>'H-Volatilization'!AY189</f>
        <v/>
      </c>
      <c r="S189" s="462"/>
      <c r="T189" s="345" t="str">
        <f>'H-Plant &amp; Animal'!L189</f>
        <v>Not Req.</v>
      </c>
      <c r="U189" s="346" t="str">
        <f>'H-Plant &amp; Animal'!M189</f>
        <v>Not Req.</v>
      </c>
      <c r="V189" s="794" t="str">
        <f>'H-Effluent'!O189</f>
        <v>---</v>
      </c>
      <c r="W189" s="797" t="str">
        <f>'H-Runoff'!Q189</f>
        <v>---</v>
      </c>
      <c r="X189" s="799" t="str">
        <f>'H-Runoff'!S189</f>
        <v>---</v>
      </c>
      <c r="Y189" s="794" t="str">
        <f>'H-Leachate'!N189</f>
        <v>NA</v>
      </c>
      <c r="Z189" s="797" t="str">
        <f>'H-Volatilization'!AD189</f>
        <v>NA</v>
      </c>
      <c r="AA189" s="798" t="str">
        <f>'H-Volatilization'!AF189</f>
        <v>NA</v>
      </c>
      <c r="AB189" s="798" t="str">
        <f>'H-Volatilization'!AO189</f>
        <v>NA</v>
      </c>
      <c r="AC189" s="799" t="str">
        <f>'H-Volatilization'!AU189</f>
        <v>NA</v>
      </c>
    </row>
    <row r="190" spans="1:29" x14ac:dyDescent="0.25">
      <c r="A190" s="56" t="s">
        <v>508</v>
      </c>
      <c r="B190" s="336" t="str">
        <f>IF(Start!$C$15="x",('H-Effluent'!B190),"---")</f>
        <v>---</v>
      </c>
      <c r="C190" s="337" t="str">
        <f>IF(Start!$C$16="x",'H-Runoff'!B190,"---")</f>
        <v>---</v>
      </c>
      <c r="D190" s="338" t="str">
        <f>IF(Start!$C$16="x",'H-Runoff'!C190,"---")</f>
        <v>---</v>
      </c>
      <c r="E190" s="868" t="str">
        <f>IF(Start!$C$17="x",'H-Leachate'!B190,"---")</f>
        <v/>
      </c>
      <c r="F190" s="340" t="str">
        <f>IF(Start!$C$18="x",('H-Volatilization'!B190),"---")</f>
        <v/>
      </c>
      <c r="G190" s="341" t="str">
        <f>IF(Start!$C$18="x",('H-Volatilization'!C190),"---")</f>
        <v/>
      </c>
      <c r="H190" s="341" t="str">
        <f>IF(Start!$C$18="x",('H-Volatilization'!D190),"---")</f>
        <v/>
      </c>
      <c r="I190" s="342" t="str">
        <f>IF(Start!$C$18="x",('H-Volatilization'!E190),"---")</f>
        <v/>
      </c>
      <c r="J190" s="339" t="str">
        <f>IF(Start!$C$19="x",'H-Plant &amp; Animal'!B190,"---")</f>
        <v>---</v>
      </c>
      <c r="K190" s="343" t="str">
        <f>'H-Effluent'!Q190</f>
        <v>Not Req.</v>
      </c>
      <c r="L190" s="286" t="str">
        <f>'H-Runoff'!T190</f>
        <v>Not Req.</v>
      </c>
      <c r="M190" s="344" t="str">
        <f>'H-Runoff'!U190</f>
        <v>Not Req.</v>
      </c>
      <c r="N190" s="343" t="str">
        <f>'H-Leachate'!O190</f>
        <v/>
      </c>
      <c r="O190" s="283" t="str">
        <f>'H-Volatilization'!AV190</f>
        <v/>
      </c>
      <c r="P190" s="284" t="str">
        <f>'H-Volatilization'!AW190</f>
        <v/>
      </c>
      <c r="Q190" s="284" t="str">
        <f>'H-Volatilization'!AX190</f>
        <v/>
      </c>
      <c r="R190" s="285" t="str">
        <f>'H-Volatilization'!AY190</f>
        <v/>
      </c>
      <c r="S190" s="462"/>
      <c r="T190" s="345" t="str">
        <f>'H-Plant &amp; Animal'!L190</f>
        <v>Not Req.</v>
      </c>
      <c r="U190" s="346" t="str">
        <f>'H-Plant &amp; Animal'!M190</f>
        <v>Not Req.</v>
      </c>
      <c r="V190" s="794" t="str">
        <f>'H-Effluent'!O190</f>
        <v>---</v>
      </c>
      <c r="W190" s="797" t="str">
        <f>'H-Runoff'!Q190</f>
        <v>---</v>
      </c>
      <c r="X190" s="799" t="str">
        <f>'H-Runoff'!S190</f>
        <v>---</v>
      </c>
      <c r="Y190" s="794" t="str">
        <f>'H-Leachate'!N190</f>
        <v>NA</v>
      </c>
      <c r="Z190" s="797" t="str">
        <f>'H-Volatilization'!AD190</f>
        <v>NA</v>
      </c>
      <c r="AA190" s="798" t="str">
        <f>'H-Volatilization'!AF190</f>
        <v>NA</v>
      </c>
      <c r="AB190" s="798" t="str">
        <f>'H-Volatilization'!AO190</f>
        <v>NA</v>
      </c>
      <c r="AC190" s="799" t="str">
        <f>'H-Volatilization'!AU190</f>
        <v>NA</v>
      </c>
    </row>
    <row r="191" spans="1:29" x14ac:dyDescent="0.25">
      <c r="A191" s="56" t="s">
        <v>509</v>
      </c>
      <c r="B191" s="336" t="str">
        <f>IF(Start!$C$15="x",('H-Effluent'!B191),"---")</f>
        <v>---</v>
      </c>
      <c r="C191" s="337" t="str">
        <f>IF(Start!$C$16="x",'H-Runoff'!B191,"---")</f>
        <v>---</v>
      </c>
      <c r="D191" s="338" t="str">
        <f>IF(Start!$C$16="x",'H-Runoff'!C191,"---")</f>
        <v>---</v>
      </c>
      <c r="E191" s="868" t="str">
        <f>IF(Start!$C$17="x",'H-Leachate'!B191,"---")</f>
        <v/>
      </c>
      <c r="F191" s="340" t="str">
        <f>IF(Start!$C$18="x",('H-Volatilization'!B191),"---")</f>
        <v/>
      </c>
      <c r="G191" s="341" t="str">
        <f>IF(Start!$C$18="x",('H-Volatilization'!C191),"---")</f>
        <v/>
      </c>
      <c r="H191" s="341" t="str">
        <f>IF(Start!$C$18="x",('H-Volatilization'!D191),"---")</f>
        <v/>
      </c>
      <c r="I191" s="342" t="str">
        <f>IF(Start!$C$18="x",('H-Volatilization'!E191),"---")</f>
        <v/>
      </c>
      <c r="J191" s="339" t="str">
        <f>IF(Start!$C$19="x",'H-Plant &amp; Animal'!B191,"---")</f>
        <v>---</v>
      </c>
      <c r="K191" s="343" t="str">
        <f>'H-Effluent'!Q191</f>
        <v>Not Req.</v>
      </c>
      <c r="L191" s="286" t="str">
        <f>'H-Runoff'!T191</f>
        <v>Not Req.</v>
      </c>
      <c r="M191" s="344" t="str">
        <f>'H-Runoff'!U191</f>
        <v>Not Req.</v>
      </c>
      <c r="N191" s="343" t="str">
        <f>'H-Leachate'!O191</f>
        <v/>
      </c>
      <c r="O191" s="283" t="str">
        <f>'H-Volatilization'!AV191</f>
        <v/>
      </c>
      <c r="P191" s="284" t="str">
        <f>'H-Volatilization'!AW191</f>
        <v/>
      </c>
      <c r="Q191" s="284" t="str">
        <f>'H-Volatilization'!AX191</f>
        <v/>
      </c>
      <c r="R191" s="285" t="str">
        <f>'H-Volatilization'!AY191</f>
        <v/>
      </c>
      <c r="S191" s="462"/>
      <c r="T191" s="345" t="str">
        <f>'H-Plant &amp; Animal'!L191</f>
        <v>Not Req.</v>
      </c>
      <c r="U191" s="346" t="str">
        <f>'H-Plant &amp; Animal'!M191</f>
        <v>Not Req.</v>
      </c>
      <c r="V191" s="794" t="str">
        <f>'H-Effluent'!O191</f>
        <v>---</v>
      </c>
      <c r="W191" s="797" t="str">
        <f>'H-Runoff'!Q191</f>
        <v>---</v>
      </c>
      <c r="X191" s="799" t="str">
        <f>'H-Runoff'!S191</f>
        <v>---</v>
      </c>
      <c r="Y191" s="794" t="str">
        <f>'H-Leachate'!N191</f>
        <v>NA</v>
      </c>
      <c r="Z191" s="797" t="str">
        <f>'H-Volatilization'!AD191</f>
        <v>NA</v>
      </c>
      <c r="AA191" s="798" t="str">
        <f>'H-Volatilization'!AF191</f>
        <v>NA</v>
      </c>
      <c r="AB191" s="798" t="str">
        <f>'H-Volatilization'!AO191</f>
        <v>NA</v>
      </c>
      <c r="AC191" s="799" t="str">
        <f>'H-Volatilization'!AU191</f>
        <v>NA</v>
      </c>
    </row>
    <row r="192" spans="1:29" x14ac:dyDescent="0.25">
      <c r="A192" s="56" t="s">
        <v>510</v>
      </c>
      <c r="B192" s="336" t="str">
        <f>IF(Start!$C$15="x",('H-Effluent'!B192),"---")</f>
        <v>---</v>
      </c>
      <c r="C192" s="337" t="str">
        <f>IF(Start!$C$16="x",'H-Runoff'!B192,"---")</f>
        <v>---</v>
      </c>
      <c r="D192" s="338" t="str">
        <f>IF(Start!$C$16="x",'H-Runoff'!C192,"---")</f>
        <v>---</v>
      </c>
      <c r="E192" s="868" t="str">
        <f>IF(Start!$C$17="x",'H-Leachate'!B192,"---")</f>
        <v/>
      </c>
      <c r="F192" s="340" t="str">
        <f>IF(Start!$C$18="x",('H-Volatilization'!B192),"---")</f>
        <v/>
      </c>
      <c r="G192" s="341" t="str">
        <f>IF(Start!$C$18="x",('H-Volatilization'!C192),"---")</f>
        <v/>
      </c>
      <c r="H192" s="341" t="str">
        <f>IF(Start!$C$18="x",('H-Volatilization'!D192),"---")</f>
        <v/>
      </c>
      <c r="I192" s="342" t="str">
        <f>IF(Start!$C$18="x",('H-Volatilization'!E192),"---")</f>
        <v/>
      </c>
      <c r="J192" s="339" t="str">
        <f>IF(Start!$C$19="x",'H-Plant &amp; Animal'!B192,"---")</f>
        <v>---</v>
      </c>
      <c r="K192" s="343" t="str">
        <f>'H-Effluent'!Q192</f>
        <v>Not Req.</v>
      </c>
      <c r="L192" s="286" t="str">
        <f>'H-Runoff'!T192</f>
        <v>Not Req.</v>
      </c>
      <c r="M192" s="344" t="str">
        <f>'H-Runoff'!U192</f>
        <v>Not Req.</v>
      </c>
      <c r="N192" s="343" t="str">
        <f>'H-Leachate'!O192</f>
        <v/>
      </c>
      <c r="O192" s="283" t="str">
        <f>'H-Volatilization'!AV192</f>
        <v/>
      </c>
      <c r="P192" s="284" t="str">
        <f>'H-Volatilization'!AW192</f>
        <v/>
      </c>
      <c r="Q192" s="284" t="str">
        <f>'H-Volatilization'!AX192</f>
        <v/>
      </c>
      <c r="R192" s="285" t="str">
        <f>'H-Volatilization'!AY192</f>
        <v/>
      </c>
      <c r="S192" s="462"/>
      <c r="T192" s="345" t="str">
        <f>'H-Plant &amp; Animal'!L192</f>
        <v>Not Req.</v>
      </c>
      <c r="U192" s="346" t="str">
        <f>'H-Plant &amp; Animal'!M192</f>
        <v>Not Req.</v>
      </c>
      <c r="V192" s="794" t="str">
        <f>'H-Effluent'!O192</f>
        <v>---</v>
      </c>
      <c r="W192" s="797" t="str">
        <f>'H-Runoff'!Q192</f>
        <v>---</v>
      </c>
      <c r="X192" s="799" t="str">
        <f>'H-Runoff'!S192</f>
        <v>---</v>
      </c>
      <c r="Y192" s="794" t="str">
        <f>'H-Leachate'!N192</f>
        <v>NA</v>
      </c>
      <c r="Z192" s="797" t="str">
        <f>'H-Volatilization'!AD192</f>
        <v>NA</v>
      </c>
      <c r="AA192" s="798" t="str">
        <f>'H-Volatilization'!AF192</f>
        <v>NA</v>
      </c>
      <c r="AB192" s="798" t="str">
        <f>'H-Volatilization'!AO192</f>
        <v>NA</v>
      </c>
      <c r="AC192" s="799" t="str">
        <f>'H-Volatilization'!AU192</f>
        <v>NA</v>
      </c>
    </row>
    <row r="193" spans="1:29" ht="13.8" thickBot="1" x14ac:dyDescent="0.3">
      <c r="A193" s="56" t="s">
        <v>511</v>
      </c>
      <c r="B193" s="336" t="str">
        <f>IF(Start!$C$15="x",('H-Effluent'!B193),"---")</f>
        <v>---</v>
      </c>
      <c r="C193" s="337" t="str">
        <f>IF(Start!$C$16="x",'H-Runoff'!B193,"---")</f>
        <v>---</v>
      </c>
      <c r="D193" s="338" t="str">
        <f>IF(Start!$C$16="x",'H-Runoff'!C193,"---")</f>
        <v>---</v>
      </c>
      <c r="E193" s="868" t="str">
        <f>IF(Start!$C$17="x",'H-Leachate'!B193,"---")</f>
        <v/>
      </c>
      <c r="F193" s="340" t="str">
        <f>IF(Start!$C$18="x",('H-Volatilization'!B193),"---")</f>
        <v/>
      </c>
      <c r="G193" s="341" t="str">
        <f>IF(Start!$C$18="x",('H-Volatilization'!C193),"---")</f>
        <v/>
      </c>
      <c r="H193" s="341" t="str">
        <f>IF(Start!$C$18="x",('H-Volatilization'!D193),"---")</f>
        <v/>
      </c>
      <c r="I193" s="342" t="str">
        <f>IF(Start!$C$18="x",('H-Volatilization'!E193),"---")</f>
        <v/>
      </c>
      <c r="J193" s="339" t="str">
        <f>IF(Start!$C$19="x",'H-Plant &amp; Animal'!B193,"---")</f>
        <v>---</v>
      </c>
      <c r="K193" s="343" t="str">
        <f>'H-Effluent'!Q193</f>
        <v>Not Req.</v>
      </c>
      <c r="L193" s="286" t="str">
        <f>'H-Runoff'!T193</f>
        <v>Not Req.</v>
      </c>
      <c r="M193" s="344" t="str">
        <f>'H-Runoff'!U193</f>
        <v>Not Req.</v>
      </c>
      <c r="N193" s="343" t="str">
        <f>'H-Leachate'!O193</f>
        <v/>
      </c>
      <c r="O193" s="283" t="str">
        <f>'H-Volatilization'!AV193</f>
        <v/>
      </c>
      <c r="P193" s="284" t="str">
        <f>'H-Volatilization'!AW193</f>
        <v/>
      </c>
      <c r="Q193" s="284" t="str">
        <f>'H-Volatilization'!AX193</f>
        <v/>
      </c>
      <c r="R193" s="285" t="str">
        <f>'H-Volatilization'!AY193</f>
        <v/>
      </c>
      <c r="S193" s="462"/>
      <c r="T193" s="345" t="str">
        <f>'H-Plant &amp; Animal'!L193</f>
        <v>Not Req.</v>
      </c>
      <c r="U193" s="346" t="str">
        <f>'H-Plant &amp; Animal'!M193</f>
        <v>Not Req.</v>
      </c>
      <c r="V193" s="794" t="str">
        <f>'H-Effluent'!O193</f>
        <v>---</v>
      </c>
      <c r="W193" s="797" t="str">
        <f>'H-Runoff'!Q193</f>
        <v>---</v>
      </c>
      <c r="X193" s="799" t="str">
        <f>'H-Runoff'!S193</f>
        <v>---</v>
      </c>
      <c r="Y193" s="794" t="str">
        <f>'H-Leachate'!N193</f>
        <v>NA</v>
      </c>
      <c r="Z193" s="797" t="str">
        <f>'H-Volatilization'!AD193</f>
        <v>NA</v>
      </c>
      <c r="AA193" s="798" t="str">
        <f>'H-Volatilization'!AF193</f>
        <v>NA</v>
      </c>
      <c r="AB193" s="798" t="str">
        <f>'H-Volatilization'!AO193</f>
        <v>NA</v>
      </c>
      <c r="AC193" s="799" t="str">
        <f>'H-Volatilization'!AU193</f>
        <v>NA</v>
      </c>
    </row>
    <row r="194" spans="1:29" x14ac:dyDescent="0.25">
      <c r="A194" s="554" t="s">
        <v>512</v>
      </c>
      <c r="B194" s="559"/>
      <c r="C194" s="556"/>
      <c r="D194" s="557"/>
      <c r="E194" s="572"/>
      <c r="F194" s="559"/>
      <c r="G194" s="560"/>
      <c r="H194" s="560"/>
      <c r="I194" s="561"/>
      <c r="J194" s="572"/>
      <c r="K194" s="527"/>
      <c r="L194" s="511"/>
      <c r="M194" s="513"/>
      <c r="N194" s="527"/>
      <c r="O194" s="511"/>
      <c r="P194" s="512"/>
      <c r="Q194" s="512"/>
      <c r="R194" s="513"/>
      <c r="S194" s="543"/>
      <c r="T194" s="562"/>
      <c r="U194" s="563"/>
      <c r="V194" s="807"/>
      <c r="W194" s="800"/>
      <c r="X194" s="808"/>
      <c r="Y194" s="527"/>
      <c r="Z194" s="800"/>
      <c r="AA194" s="801"/>
      <c r="AB194" s="802"/>
      <c r="AC194" s="803"/>
    </row>
    <row r="195" spans="1:29" x14ac:dyDescent="0.25">
      <c r="A195" s="307" t="s">
        <v>513</v>
      </c>
      <c r="B195" s="336" t="str">
        <f>IF(Start!$C$15="x",('H-Effluent'!B195),"---")</f>
        <v>---</v>
      </c>
      <c r="C195" s="337" t="str">
        <f>IF(Start!$C$16="x",'H-Runoff'!B195,"---")</f>
        <v>---</v>
      </c>
      <c r="D195" s="338" t="str">
        <f>IF(Start!$C$16="x",'H-Runoff'!C195,"---")</f>
        <v>---</v>
      </c>
      <c r="E195" s="868" t="str">
        <f>IF(Start!$C$17="x",'H-Leachate'!B195,"---")</f>
        <v/>
      </c>
      <c r="F195" s="340" t="str">
        <f>IF(Start!$C$18="x",('H-Volatilization'!B195),"---")</f>
        <v/>
      </c>
      <c r="G195" s="341" t="str">
        <f>IF(Start!$C$18="x",('H-Volatilization'!C195),"---")</f>
        <v/>
      </c>
      <c r="H195" s="341" t="str">
        <f>IF(Start!$C$18="x",('H-Volatilization'!D195),"---")</f>
        <v/>
      </c>
      <c r="I195" s="342" t="str">
        <f>IF(Start!$C$18="x",('H-Volatilization'!E195),"---")</f>
        <v/>
      </c>
      <c r="J195" s="339" t="str">
        <f>IF(Start!$C$19="x",'H-Plant &amp; Animal'!B195,"---")</f>
        <v>---</v>
      </c>
      <c r="K195" s="343" t="str">
        <f>'H-Effluent'!Q195</f>
        <v>Not Req.</v>
      </c>
      <c r="L195" s="286" t="str">
        <f>'H-Runoff'!T195</f>
        <v>Not Req.</v>
      </c>
      <c r="M195" s="344" t="str">
        <f>'H-Runoff'!U195</f>
        <v>Not Req.</v>
      </c>
      <c r="N195" s="343" t="str">
        <f>'H-Leachate'!O195</f>
        <v/>
      </c>
      <c r="O195" s="283" t="str">
        <f>'H-Volatilization'!AV195</f>
        <v/>
      </c>
      <c r="P195" s="284" t="str">
        <f>'H-Volatilization'!AW195</f>
        <v/>
      </c>
      <c r="Q195" s="284" t="str">
        <f>'H-Volatilization'!AX195</f>
        <v/>
      </c>
      <c r="R195" s="285" t="str">
        <f>'H-Volatilization'!AY195</f>
        <v/>
      </c>
      <c r="S195" s="462"/>
      <c r="T195" s="345" t="str">
        <f>'H-Plant &amp; Animal'!L195</f>
        <v>Not Req.</v>
      </c>
      <c r="U195" s="346" t="str">
        <f>'H-Plant &amp; Animal'!M195</f>
        <v>Not Req.</v>
      </c>
      <c r="V195" s="794" t="str">
        <f>'H-Effluent'!O195</f>
        <v>---</v>
      </c>
      <c r="W195" s="797" t="str">
        <f>'H-Runoff'!Q195</f>
        <v>---</v>
      </c>
      <c r="X195" s="799" t="str">
        <f>'H-Runoff'!S195</f>
        <v>---</v>
      </c>
      <c r="Y195" s="794" t="str">
        <f>'H-Leachate'!N195</f>
        <v>NA</v>
      </c>
      <c r="Z195" s="797" t="str">
        <f>'H-Volatilization'!AD195</f>
        <v>NA</v>
      </c>
      <c r="AA195" s="798" t="str">
        <f>'H-Volatilization'!AF195</f>
        <v>NA</v>
      </c>
      <c r="AB195" s="798" t="str">
        <f>'H-Volatilization'!AO195</f>
        <v>NA</v>
      </c>
      <c r="AC195" s="799" t="str">
        <f>'H-Volatilization'!AU195</f>
        <v>NA</v>
      </c>
    </row>
    <row r="196" spans="1:29" x14ac:dyDescent="0.25">
      <c r="A196" s="57" t="s">
        <v>683</v>
      </c>
      <c r="B196" s="336" t="str">
        <f>IF(Start!$C$15="x",('H-Effluent'!B196),"---")</f>
        <v>---</v>
      </c>
      <c r="C196" s="337" t="str">
        <f>IF(Start!$C$16="x",'H-Runoff'!B196,"---")</f>
        <v>---</v>
      </c>
      <c r="D196" s="338" t="str">
        <f>IF(Start!$C$16="x",'H-Runoff'!C196,"---")</f>
        <v>---</v>
      </c>
      <c r="E196" s="868" t="str">
        <f>IF(Start!$C$17="x",'H-Leachate'!B196,"---")</f>
        <v/>
      </c>
      <c r="F196" s="340" t="str">
        <f>IF(Start!$C$18="x",('H-Volatilization'!B196),"---")</f>
        <v/>
      </c>
      <c r="G196" s="341" t="str">
        <f>IF(Start!$C$18="x",('H-Volatilization'!C196),"---")</f>
        <v/>
      </c>
      <c r="H196" s="341" t="str">
        <f>IF(Start!$C$18="x",('H-Volatilization'!D196),"---")</f>
        <v/>
      </c>
      <c r="I196" s="342" t="str">
        <f>IF(Start!$C$18="x",('H-Volatilization'!E196),"---")</f>
        <v/>
      </c>
      <c r="J196" s="339" t="str">
        <f>IF(Start!$C$19="x",'H-Plant &amp; Animal'!B196,"---")</f>
        <v>---</v>
      </c>
      <c r="K196" s="343" t="str">
        <f>'H-Effluent'!Q196</f>
        <v>Not Req.</v>
      </c>
      <c r="L196" s="286" t="str">
        <f>'H-Runoff'!T196</f>
        <v>Not Req.</v>
      </c>
      <c r="M196" s="344" t="str">
        <f>'H-Runoff'!U196</f>
        <v>Not Req.</v>
      </c>
      <c r="N196" s="343" t="str">
        <f>'H-Leachate'!O196</f>
        <v/>
      </c>
      <c r="O196" s="283" t="str">
        <f>'H-Volatilization'!AV196</f>
        <v/>
      </c>
      <c r="P196" s="284" t="str">
        <f>'H-Volatilization'!AW196</f>
        <v/>
      </c>
      <c r="Q196" s="284" t="str">
        <f>'H-Volatilization'!AX196</f>
        <v/>
      </c>
      <c r="R196" s="285" t="str">
        <f>'H-Volatilization'!AY196</f>
        <v/>
      </c>
      <c r="S196" s="462"/>
      <c r="T196" s="345" t="str">
        <f>'H-Plant &amp; Animal'!L196</f>
        <v>Not Req.</v>
      </c>
      <c r="U196" s="346" t="str">
        <f>'H-Plant &amp; Animal'!M196</f>
        <v>Not Req.</v>
      </c>
      <c r="V196" s="794" t="str">
        <f>'H-Effluent'!O196</f>
        <v>---</v>
      </c>
      <c r="W196" s="797" t="str">
        <f>'H-Runoff'!Q196</f>
        <v>---</v>
      </c>
      <c r="X196" s="799" t="str">
        <f>'H-Runoff'!S196</f>
        <v>---</v>
      </c>
      <c r="Y196" s="794" t="str">
        <f>'H-Leachate'!N196</f>
        <v>NA</v>
      </c>
      <c r="Z196" s="797" t="str">
        <f>'H-Volatilization'!AD196</f>
        <v>NA</v>
      </c>
      <c r="AA196" s="798" t="str">
        <f>'H-Volatilization'!AF196</f>
        <v>NA</v>
      </c>
      <c r="AB196" s="798" t="str">
        <f>'H-Volatilization'!AO196</f>
        <v>NA</v>
      </c>
      <c r="AC196" s="799" t="str">
        <f>'H-Volatilization'!AU196</f>
        <v>NA</v>
      </c>
    </row>
    <row r="197" spans="1:29" x14ac:dyDescent="0.25">
      <c r="A197" s="56" t="s">
        <v>515</v>
      </c>
      <c r="B197" s="336" t="str">
        <f>IF(Start!$C$15="x",('H-Effluent'!B197),"---")</f>
        <v>---</v>
      </c>
      <c r="C197" s="337" t="str">
        <f>IF(Start!$C$16="x",'H-Runoff'!B197,"---")</f>
        <v>---</v>
      </c>
      <c r="D197" s="338" t="str">
        <f>IF(Start!$C$16="x",'H-Runoff'!C197,"---")</f>
        <v>---</v>
      </c>
      <c r="E197" s="868" t="str">
        <f>IF(Start!$C$17="x",'H-Leachate'!B197,"---")</f>
        <v/>
      </c>
      <c r="F197" s="340" t="str">
        <f>IF(Start!$C$18="x",('H-Volatilization'!B197),"---")</f>
        <v/>
      </c>
      <c r="G197" s="341" t="str">
        <f>IF(Start!$C$18="x",('H-Volatilization'!C197),"---")</f>
        <v/>
      </c>
      <c r="H197" s="341" t="str">
        <f>IF(Start!$C$18="x",('H-Volatilization'!D197),"---")</f>
        <v/>
      </c>
      <c r="I197" s="342" t="str">
        <f>IF(Start!$C$18="x",('H-Volatilization'!E197),"---")</f>
        <v/>
      </c>
      <c r="J197" s="339" t="str">
        <f>IF(Start!$C$19="x",'H-Plant &amp; Animal'!B197,"---")</f>
        <v>---</v>
      </c>
      <c r="K197" s="343" t="str">
        <f>'H-Effluent'!Q197</f>
        <v>Not Req.</v>
      </c>
      <c r="L197" s="286" t="str">
        <f>'H-Runoff'!T197</f>
        <v>Not Req.</v>
      </c>
      <c r="M197" s="344" t="str">
        <f>'H-Runoff'!U197</f>
        <v>Not Req.</v>
      </c>
      <c r="N197" s="343" t="str">
        <f>'H-Leachate'!O197</f>
        <v/>
      </c>
      <c r="O197" s="283" t="str">
        <f>'H-Volatilization'!AV197</f>
        <v/>
      </c>
      <c r="P197" s="284" t="str">
        <f>'H-Volatilization'!AW197</f>
        <v/>
      </c>
      <c r="Q197" s="284" t="str">
        <f>'H-Volatilization'!AX197</f>
        <v/>
      </c>
      <c r="R197" s="285" t="str">
        <f>'H-Volatilization'!AY197</f>
        <v/>
      </c>
      <c r="S197" s="462"/>
      <c r="T197" s="345" t="str">
        <f>'H-Plant &amp; Animal'!L197</f>
        <v>Not Req.</v>
      </c>
      <c r="U197" s="346" t="str">
        <f>'H-Plant &amp; Animal'!M197</f>
        <v>Not Req.</v>
      </c>
      <c r="V197" s="794" t="str">
        <f>'H-Effluent'!O197</f>
        <v>---</v>
      </c>
      <c r="W197" s="797" t="str">
        <f>'H-Runoff'!Q197</f>
        <v>---</v>
      </c>
      <c r="X197" s="799" t="str">
        <f>'H-Runoff'!S197</f>
        <v>---</v>
      </c>
      <c r="Y197" s="794" t="str">
        <f>'H-Leachate'!N197</f>
        <v>NA</v>
      </c>
      <c r="Z197" s="797" t="str">
        <f>'H-Volatilization'!AD197</f>
        <v>NA</v>
      </c>
      <c r="AA197" s="798" t="str">
        <f>'H-Volatilization'!AF197</f>
        <v>NA</v>
      </c>
      <c r="AB197" s="798" t="str">
        <f>'H-Volatilization'!AO197</f>
        <v>NA</v>
      </c>
      <c r="AC197" s="799" t="str">
        <f>'H-Volatilization'!AU197</f>
        <v>NA</v>
      </c>
    </row>
    <row r="198" spans="1:29" x14ac:dyDescent="0.25">
      <c r="A198" s="56" t="s">
        <v>516</v>
      </c>
      <c r="B198" s="336" t="str">
        <f>IF(Start!$C$15="x",('H-Effluent'!B198),"---")</f>
        <v>---</v>
      </c>
      <c r="C198" s="337" t="str">
        <f>IF(Start!$C$16="x",'H-Runoff'!B198,"---")</f>
        <v>---</v>
      </c>
      <c r="D198" s="338" t="str">
        <f>IF(Start!$C$16="x",'H-Runoff'!C198,"---")</f>
        <v>---</v>
      </c>
      <c r="E198" s="868" t="str">
        <f>IF(Start!$C$17="x",'H-Leachate'!B198,"---")</f>
        <v/>
      </c>
      <c r="F198" s="340" t="str">
        <f>IF(Start!$C$18="x",('H-Volatilization'!B198),"---")</f>
        <v/>
      </c>
      <c r="G198" s="341" t="str">
        <f>IF(Start!$C$18="x",('H-Volatilization'!C198),"---")</f>
        <v/>
      </c>
      <c r="H198" s="341" t="str">
        <f>IF(Start!$C$18="x",('H-Volatilization'!D198),"---")</f>
        <v/>
      </c>
      <c r="I198" s="342" t="str">
        <f>IF(Start!$C$18="x",('H-Volatilization'!E198),"---")</f>
        <v/>
      </c>
      <c r="J198" s="339" t="str">
        <f>IF(Start!$C$19="x",'H-Plant &amp; Animal'!B198,"---")</f>
        <v>---</v>
      </c>
      <c r="K198" s="343" t="str">
        <f>'H-Effluent'!Q198</f>
        <v>Not Req.</v>
      </c>
      <c r="L198" s="286" t="str">
        <f>'H-Runoff'!T198</f>
        <v>Not Req.</v>
      </c>
      <c r="M198" s="344" t="str">
        <f>'H-Runoff'!U198</f>
        <v>Not Req.</v>
      </c>
      <c r="N198" s="343" t="str">
        <f>'H-Leachate'!O198</f>
        <v/>
      </c>
      <c r="O198" s="283" t="str">
        <f>'H-Volatilization'!AV198</f>
        <v/>
      </c>
      <c r="P198" s="284" t="str">
        <f>'H-Volatilization'!AW198</f>
        <v/>
      </c>
      <c r="Q198" s="284" t="str">
        <f>'H-Volatilization'!AX198</f>
        <v/>
      </c>
      <c r="R198" s="285" t="str">
        <f>'H-Volatilization'!AY198</f>
        <v/>
      </c>
      <c r="S198" s="462"/>
      <c r="T198" s="345" t="str">
        <f>'H-Plant &amp; Animal'!L198</f>
        <v>Not Req.</v>
      </c>
      <c r="U198" s="346" t="str">
        <f>'H-Plant &amp; Animal'!M198</f>
        <v>Not Req.</v>
      </c>
      <c r="V198" s="794" t="str">
        <f>'H-Effluent'!O198</f>
        <v>---</v>
      </c>
      <c r="W198" s="797" t="str">
        <f>'H-Runoff'!Q198</f>
        <v>---</v>
      </c>
      <c r="X198" s="799" t="str">
        <f>'H-Runoff'!S198</f>
        <v>---</v>
      </c>
      <c r="Y198" s="794" t="str">
        <f>'H-Leachate'!N198</f>
        <v>NA</v>
      </c>
      <c r="Z198" s="797" t="str">
        <f>'H-Volatilization'!AD198</f>
        <v>NA</v>
      </c>
      <c r="AA198" s="798" t="str">
        <f>'H-Volatilization'!AF198</f>
        <v>NA</v>
      </c>
      <c r="AB198" s="798" t="str">
        <f>'H-Volatilization'!AO198</f>
        <v>NA</v>
      </c>
      <c r="AC198" s="799" t="str">
        <f>'H-Volatilization'!AU198</f>
        <v>NA</v>
      </c>
    </row>
    <row r="199" spans="1:29" x14ac:dyDescent="0.25">
      <c r="A199" s="56" t="s">
        <v>684</v>
      </c>
      <c r="B199" s="336" t="str">
        <f>IF(Start!$C$15="x",('H-Effluent'!B199),"---")</f>
        <v>---</v>
      </c>
      <c r="C199" s="337" t="str">
        <f>IF(Start!$C$16="x",'H-Runoff'!B199,"---")</f>
        <v>---</v>
      </c>
      <c r="D199" s="338" t="str">
        <f>IF(Start!$C$16="x",'H-Runoff'!C199,"---")</f>
        <v>---</v>
      </c>
      <c r="E199" s="868" t="str">
        <f>IF(Start!$C$17="x",'H-Leachate'!B199,"---")</f>
        <v/>
      </c>
      <c r="F199" s="340" t="str">
        <f>IF(Start!$C$18="x",('H-Volatilization'!B199),"---")</f>
        <v/>
      </c>
      <c r="G199" s="341" t="str">
        <f>IF(Start!$C$18="x",('H-Volatilization'!C199),"---")</f>
        <v/>
      </c>
      <c r="H199" s="341" t="str">
        <f>IF(Start!$C$18="x",('H-Volatilization'!D199),"---")</f>
        <v/>
      </c>
      <c r="I199" s="342" t="str">
        <f>IF(Start!$C$18="x",('H-Volatilization'!E199),"---")</f>
        <v/>
      </c>
      <c r="J199" s="339" t="str">
        <f>IF(Start!$C$19="x",'H-Plant &amp; Animal'!B199,"---")</f>
        <v>---</v>
      </c>
      <c r="K199" s="343" t="str">
        <f>'H-Effluent'!Q199</f>
        <v>Not Req.</v>
      </c>
      <c r="L199" s="286" t="str">
        <f>'H-Runoff'!T199</f>
        <v>Not Req.</v>
      </c>
      <c r="M199" s="344" t="str">
        <f>'H-Runoff'!U199</f>
        <v>Not Req.</v>
      </c>
      <c r="N199" s="343" t="str">
        <f>'H-Leachate'!O199</f>
        <v/>
      </c>
      <c r="O199" s="283" t="str">
        <f>'H-Volatilization'!AV199</f>
        <v/>
      </c>
      <c r="P199" s="284" t="str">
        <f>'H-Volatilization'!AW199</f>
        <v/>
      </c>
      <c r="Q199" s="284" t="str">
        <f>'H-Volatilization'!AX199</f>
        <v/>
      </c>
      <c r="R199" s="285" t="str">
        <f>'H-Volatilization'!AY199</f>
        <v/>
      </c>
      <c r="S199" s="462"/>
      <c r="T199" s="345" t="str">
        <f>'H-Plant &amp; Animal'!L199</f>
        <v>Not Req.</v>
      </c>
      <c r="U199" s="346" t="str">
        <f>'H-Plant &amp; Animal'!M199</f>
        <v>Not Req.</v>
      </c>
      <c r="V199" s="794" t="str">
        <f>'H-Effluent'!O199</f>
        <v>---</v>
      </c>
      <c r="W199" s="797" t="str">
        <f>'H-Runoff'!Q199</f>
        <v>---</v>
      </c>
      <c r="X199" s="799" t="str">
        <f>'H-Runoff'!S199</f>
        <v>---</v>
      </c>
      <c r="Y199" s="794" t="str">
        <f>'H-Leachate'!N199</f>
        <v>NA</v>
      </c>
      <c r="Z199" s="797" t="str">
        <f>'H-Volatilization'!AD199</f>
        <v>NA</v>
      </c>
      <c r="AA199" s="798" t="str">
        <f>'H-Volatilization'!AF199</f>
        <v>NA</v>
      </c>
      <c r="AB199" s="798" t="str">
        <f>'H-Volatilization'!AO199</f>
        <v>NA</v>
      </c>
      <c r="AC199" s="799" t="str">
        <f>'H-Volatilization'!AU199</f>
        <v>NA</v>
      </c>
    </row>
    <row r="200" spans="1:29" x14ac:dyDescent="0.25">
      <c r="A200" s="56" t="s">
        <v>685</v>
      </c>
      <c r="B200" s="336" t="str">
        <f>IF(Start!$C$15="x",('H-Effluent'!B200),"---")</f>
        <v>---</v>
      </c>
      <c r="C200" s="337" t="str">
        <f>IF(Start!$C$16="x",'H-Runoff'!B200,"---")</f>
        <v>---</v>
      </c>
      <c r="D200" s="338" t="str">
        <f>IF(Start!$C$16="x",'H-Runoff'!C200,"---")</f>
        <v>---</v>
      </c>
      <c r="E200" s="868" t="str">
        <f>IF(Start!$C$17="x",'H-Leachate'!B200,"---")</f>
        <v/>
      </c>
      <c r="F200" s="340" t="str">
        <f>IF(Start!$C$18="x",('H-Volatilization'!B200),"---")</f>
        <v/>
      </c>
      <c r="G200" s="341" t="str">
        <f>IF(Start!$C$18="x",('H-Volatilization'!C200),"---")</f>
        <v/>
      </c>
      <c r="H200" s="341" t="str">
        <f>IF(Start!$C$18="x",('H-Volatilization'!D200),"---")</f>
        <v/>
      </c>
      <c r="I200" s="342" t="str">
        <f>IF(Start!$C$18="x",('H-Volatilization'!E200),"---")</f>
        <v/>
      </c>
      <c r="J200" s="339" t="str">
        <f>IF(Start!$C$19="x",'H-Plant &amp; Animal'!B200,"---")</f>
        <v>---</v>
      </c>
      <c r="K200" s="343" t="str">
        <f>'H-Effluent'!Q200</f>
        <v>Not Req.</v>
      </c>
      <c r="L200" s="286" t="str">
        <f>'H-Runoff'!T200</f>
        <v>Not Req.</v>
      </c>
      <c r="M200" s="344" t="str">
        <f>'H-Runoff'!U200</f>
        <v>Not Req.</v>
      </c>
      <c r="N200" s="343" t="str">
        <f>'H-Leachate'!O200</f>
        <v/>
      </c>
      <c r="O200" s="283" t="str">
        <f>'H-Volatilization'!AV200</f>
        <v/>
      </c>
      <c r="P200" s="284" t="str">
        <f>'H-Volatilization'!AW200</f>
        <v/>
      </c>
      <c r="Q200" s="284" t="str">
        <f>'H-Volatilization'!AX200</f>
        <v/>
      </c>
      <c r="R200" s="285" t="str">
        <f>'H-Volatilization'!AY200</f>
        <v/>
      </c>
      <c r="S200" s="462"/>
      <c r="T200" s="345" t="str">
        <f>'H-Plant &amp; Animal'!L200</f>
        <v>Not Req.</v>
      </c>
      <c r="U200" s="346" t="str">
        <f>'H-Plant &amp; Animal'!M200</f>
        <v>Not Req.</v>
      </c>
      <c r="V200" s="794" t="str">
        <f>'H-Effluent'!O200</f>
        <v>---</v>
      </c>
      <c r="W200" s="797" t="str">
        <f>'H-Runoff'!Q200</f>
        <v>---</v>
      </c>
      <c r="X200" s="799" t="str">
        <f>'H-Runoff'!S200</f>
        <v>---</v>
      </c>
      <c r="Y200" s="794" t="str">
        <f>'H-Leachate'!N200</f>
        <v>NA</v>
      </c>
      <c r="Z200" s="797" t="str">
        <f>'H-Volatilization'!AD200</f>
        <v>NA</v>
      </c>
      <c r="AA200" s="798" t="str">
        <f>'H-Volatilization'!AF200</f>
        <v>NA</v>
      </c>
      <c r="AB200" s="798" t="str">
        <f>'H-Volatilization'!AO200</f>
        <v>NA</v>
      </c>
      <c r="AC200" s="799" t="str">
        <f>'H-Volatilization'!AU200</f>
        <v>NA</v>
      </c>
    </row>
    <row r="201" spans="1:29" x14ac:dyDescent="0.25">
      <c r="A201" s="56" t="s">
        <v>519</v>
      </c>
      <c r="B201" s="336" t="str">
        <f>IF(Start!$C$15="x",('H-Effluent'!B201),"---")</f>
        <v>---</v>
      </c>
      <c r="C201" s="337" t="str">
        <f>IF(Start!$C$16="x",'H-Runoff'!B201,"---")</f>
        <v>---</v>
      </c>
      <c r="D201" s="338" t="str">
        <f>IF(Start!$C$16="x",'H-Runoff'!C201,"---")</f>
        <v>---</v>
      </c>
      <c r="E201" s="868" t="str">
        <f>IF(Start!$C$17="x",'H-Leachate'!B201,"---")</f>
        <v/>
      </c>
      <c r="F201" s="340" t="str">
        <f>IF(Start!$C$18="x",('H-Volatilization'!B201),"---")</f>
        <v/>
      </c>
      <c r="G201" s="341" t="str">
        <f>IF(Start!$C$18="x",('H-Volatilization'!C201),"---")</f>
        <v/>
      </c>
      <c r="H201" s="341" t="str">
        <f>IF(Start!$C$18="x",('H-Volatilization'!D201),"---")</f>
        <v/>
      </c>
      <c r="I201" s="342" t="str">
        <f>IF(Start!$C$18="x",('H-Volatilization'!E201),"---")</f>
        <v/>
      </c>
      <c r="J201" s="339" t="str">
        <f>IF(Start!$C$19="x",'H-Plant &amp; Animal'!B201,"---")</f>
        <v>---</v>
      </c>
      <c r="K201" s="343" t="str">
        <f>'H-Effluent'!Q201</f>
        <v>Not Req.</v>
      </c>
      <c r="L201" s="286" t="str">
        <f>'H-Runoff'!T201</f>
        <v>Not Req.</v>
      </c>
      <c r="M201" s="344" t="str">
        <f>'H-Runoff'!U201</f>
        <v>Not Req.</v>
      </c>
      <c r="N201" s="343" t="str">
        <f>'H-Leachate'!O201</f>
        <v/>
      </c>
      <c r="O201" s="283" t="str">
        <f>'H-Volatilization'!AV201</f>
        <v/>
      </c>
      <c r="P201" s="284" t="str">
        <f>'H-Volatilization'!AW201</f>
        <v/>
      </c>
      <c r="Q201" s="284" t="str">
        <f>'H-Volatilization'!AX201</f>
        <v/>
      </c>
      <c r="R201" s="285" t="str">
        <f>'H-Volatilization'!AY201</f>
        <v/>
      </c>
      <c r="S201" s="462"/>
      <c r="T201" s="345" t="str">
        <f>'H-Plant &amp; Animal'!L201</f>
        <v>Not Req.</v>
      </c>
      <c r="U201" s="346" t="str">
        <f>'H-Plant &amp; Animal'!M201</f>
        <v>Not Req.</v>
      </c>
      <c r="V201" s="794" t="str">
        <f>'H-Effluent'!O201</f>
        <v>---</v>
      </c>
      <c r="W201" s="797" t="str">
        <f>'H-Runoff'!Q201</f>
        <v>---</v>
      </c>
      <c r="X201" s="799" t="str">
        <f>'H-Runoff'!S201</f>
        <v>---</v>
      </c>
      <c r="Y201" s="794" t="str">
        <f>'H-Leachate'!N201</f>
        <v>NA</v>
      </c>
      <c r="Z201" s="797" t="str">
        <f>'H-Volatilization'!AD201</f>
        <v>NA</v>
      </c>
      <c r="AA201" s="798" t="str">
        <f>'H-Volatilization'!AF201</f>
        <v>NA</v>
      </c>
      <c r="AB201" s="798" t="str">
        <f>'H-Volatilization'!AO201</f>
        <v>NA</v>
      </c>
      <c r="AC201" s="799" t="str">
        <f>'H-Volatilization'!AU201</f>
        <v>NA</v>
      </c>
    </row>
    <row r="202" spans="1:29" x14ac:dyDescent="0.25">
      <c r="A202" s="56" t="s">
        <v>520</v>
      </c>
      <c r="B202" s="336" t="str">
        <f>IF(Start!$C$15="x",('H-Effluent'!B202),"---")</f>
        <v>---</v>
      </c>
      <c r="C202" s="337" t="str">
        <f>IF(Start!$C$16="x",'H-Runoff'!B202,"---")</f>
        <v>---</v>
      </c>
      <c r="D202" s="338" t="str">
        <f>IF(Start!$C$16="x",'H-Runoff'!C202,"---")</f>
        <v>---</v>
      </c>
      <c r="E202" s="868" t="str">
        <f>IF(Start!$C$17="x",'H-Leachate'!B202,"---")</f>
        <v/>
      </c>
      <c r="F202" s="340" t="str">
        <f>IF(Start!$C$18="x",('H-Volatilization'!B202),"---")</f>
        <v/>
      </c>
      <c r="G202" s="341" t="str">
        <f>IF(Start!$C$18="x",('H-Volatilization'!C202),"---")</f>
        <v/>
      </c>
      <c r="H202" s="341" t="str">
        <f>IF(Start!$C$18="x",('H-Volatilization'!D202),"---")</f>
        <v/>
      </c>
      <c r="I202" s="342" t="str">
        <f>IF(Start!$C$18="x",('H-Volatilization'!E202),"---")</f>
        <v/>
      </c>
      <c r="J202" s="339" t="str">
        <f>IF(Start!$C$19="x",'H-Plant &amp; Animal'!B202,"---")</f>
        <v>---</v>
      </c>
      <c r="K202" s="343" t="str">
        <f>'H-Effluent'!Q202</f>
        <v>Not Req.</v>
      </c>
      <c r="L202" s="286" t="str">
        <f>'H-Runoff'!T202</f>
        <v>Not Req.</v>
      </c>
      <c r="M202" s="344" t="str">
        <f>'H-Runoff'!U202</f>
        <v>Not Req.</v>
      </c>
      <c r="N202" s="343" t="str">
        <f>'H-Leachate'!O202</f>
        <v/>
      </c>
      <c r="O202" s="283" t="str">
        <f>'H-Volatilization'!AV202</f>
        <v/>
      </c>
      <c r="P202" s="284" t="str">
        <f>'H-Volatilization'!AW202</f>
        <v/>
      </c>
      <c r="Q202" s="284" t="str">
        <f>'H-Volatilization'!AX202</f>
        <v/>
      </c>
      <c r="R202" s="285" t="str">
        <f>'H-Volatilization'!AY202</f>
        <v/>
      </c>
      <c r="S202" s="462"/>
      <c r="T202" s="345" t="str">
        <f>'H-Plant &amp; Animal'!L202</f>
        <v>Not Req.</v>
      </c>
      <c r="U202" s="346" t="str">
        <f>'H-Plant &amp; Animal'!M202</f>
        <v>Not Req.</v>
      </c>
      <c r="V202" s="794" t="str">
        <f>'H-Effluent'!O202</f>
        <v>---</v>
      </c>
      <c r="W202" s="797" t="str">
        <f>'H-Runoff'!Q202</f>
        <v>---</v>
      </c>
      <c r="X202" s="799" t="str">
        <f>'H-Runoff'!S202</f>
        <v>---</v>
      </c>
      <c r="Y202" s="794" t="str">
        <f>'H-Leachate'!N202</f>
        <v>NA</v>
      </c>
      <c r="Z202" s="797" t="str">
        <f>'H-Volatilization'!AD202</f>
        <v>NA</v>
      </c>
      <c r="AA202" s="798" t="str">
        <f>'H-Volatilization'!AF202</f>
        <v>NA</v>
      </c>
      <c r="AB202" s="798" t="str">
        <f>'H-Volatilization'!AO202</f>
        <v>NA</v>
      </c>
      <c r="AC202" s="799" t="str">
        <f>'H-Volatilization'!AU202</f>
        <v>NA</v>
      </c>
    </row>
    <row r="203" spans="1:29" ht="13.8" thickBot="1" x14ac:dyDescent="0.3">
      <c r="A203" s="56" t="s">
        <v>521</v>
      </c>
      <c r="B203" s="336" t="str">
        <f>IF(Start!$C$15="x",('H-Effluent'!B203),"---")</f>
        <v>---</v>
      </c>
      <c r="C203" s="337" t="str">
        <f>IF(Start!$C$16="x",'H-Runoff'!B203,"---")</f>
        <v>---</v>
      </c>
      <c r="D203" s="338" t="str">
        <f>IF(Start!$C$16="x",'H-Runoff'!C203,"---")</f>
        <v>---</v>
      </c>
      <c r="E203" s="868" t="str">
        <f>IF(Start!$C$17="x",'H-Leachate'!B203,"---")</f>
        <v/>
      </c>
      <c r="F203" s="340" t="str">
        <f>IF(Start!$C$18="x",('H-Volatilization'!B203),"---")</f>
        <v/>
      </c>
      <c r="G203" s="341" t="str">
        <f>IF(Start!$C$18="x",('H-Volatilization'!C203),"---")</f>
        <v/>
      </c>
      <c r="H203" s="341" t="str">
        <f>IF(Start!$C$18="x",('H-Volatilization'!D203),"---")</f>
        <v/>
      </c>
      <c r="I203" s="342" t="str">
        <f>IF(Start!$C$18="x",('H-Volatilization'!E203),"---")</f>
        <v/>
      </c>
      <c r="J203" s="339" t="str">
        <f>IF(Start!$C$19="x",'H-Plant &amp; Animal'!B203,"---")</f>
        <v>---</v>
      </c>
      <c r="K203" s="343" t="str">
        <f>'H-Effluent'!Q203</f>
        <v>Not Req.</v>
      </c>
      <c r="L203" s="286" t="str">
        <f>'H-Runoff'!T203</f>
        <v>Not Req.</v>
      </c>
      <c r="M203" s="344" t="str">
        <f>'H-Runoff'!U203</f>
        <v>Not Req.</v>
      </c>
      <c r="N203" s="343" t="str">
        <f>'H-Leachate'!O203</f>
        <v/>
      </c>
      <c r="O203" s="283" t="str">
        <f>'H-Volatilization'!AV203</f>
        <v/>
      </c>
      <c r="P203" s="284" t="str">
        <f>'H-Volatilization'!AW203</f>
        <v/>
      </c>
      <c r="Q203" s="284" t="str">
        <f>'H-Volatilization'!AX203</f>
        <v/>
      </c>
      <c r="R203" s="285" t="str">
        <f>'H-Volatilization'!AY203</f>
        <v/>
      </c>
      <c r="S203" s="462"/>
      <c r="T203" s="345" t="str">
        <f>'H-Plant &amp; Animal'!L203</f>
        <v>Not Req.</v>
      </c>
      <c r="U203" s="346" t="str">
        <f>'H-Plant &amp; Animal'!M203</f>
        <v>Not Req.</v>
      </c>
      <c r="V203" s="794" t="str">
        <f>'H-Effluent'!O203</f>
        <v>---</v>
      </c>
      <c r="W203" s="797" t="str">
        <f>'H-Runoff'!Q203</f>
        <v>---</v>
      </c>
      <c r="X203" s="799" t="str">
        <f>'H-Runoff'!S203</f>
        <v>---</v>
      </c>
      <c r="Y203" s="794" t="str">
        <f>'H-Leachate'!N203</f>
        <v>NA</v>
      </c>
      <c r="Z203" s="797" t="str">
        <f>'H-Volatilization'!AD203</f>
        <v>NA</v>
      </c>
      <c r="AA203" s="798" t="str">
        <f>'H-Volatilization'!AF203</f>
        <v>NA</v>
      </c>
      <c r="AB203" s="798" t="str">
        <f>'H-Volatilization'!AO203</f>
        <v>NA</v>
      </c>
      <c r="AC203" s="799" t="str">
        <f>'H-Volatilization'!AU203</f>
        <v>NA</v>
      </c>
    </row>
    <row r="204" spans="1:29" x14ac:dyDescent="0.25">
      <c r="A204" s="554" t="s">
        <v>522</v>
      </c>
      <c r="B204" s="559"/>
      <c r="C204" s="556"/>
      <c r="D204" s="557"/>
      <c r="E204" s="572"/>
      <c r="F204" s="559"/>
      <c r="G204" s="560"/>
      <c r="H204" s="560"/>
      <c r="I204" s="561"/>
      <c r="J204" s="572"/>
      <c r="K204" s="527"/>
      <c r="L204" s="511"/>
      <c r="M204" s="513"/>
      <c r="N204" s="527"/>
      <c r="O204" s="511"/>
      <c r="P204" s="512"/>
      <c r="Q204" s="512"/>
      <c r="R204" s="513"/>
      <c r="S204" s="543"/>
      <c r="T204" s="562"/>
      <c r="U204" s="563"/>
      <c r="V204" s="807"/>
      <c r="W204" s="800"/>
      <c r="X204" s="808"/>
      <c r="Y204" s="527"/>
      <c r="Z204" s="800"/>
      <c r="AA204" s="801"/>
      <c r="AB204" s="802"/>
      <c r="AC204" s="803"/>
    </row>
    <row r="205" spans="1:29" x14ac:dyDescent="0.25">
      <c r="A205" s="56" t="s">
        <v>523</v>
      </c>
      <c r="B205" s="336" t="str">
        <f>IF(Start!$C$15="x",('H-Effluent'!B205),"---")</f>
        <v>---</v>
      </c>
      <c r="C205" s="337" t="str">
        <f>IF(Start!$C$16="x",'H-Runoff'!B205,"---")</f>
        <v>---</v>
      </c>
      <c r="D205" s="338" t="str">
        <f>IF(Start!$C$16="x",'H-Runoff'!C205,"---")</f>
        <v>---</v>
      </c>
      <c r="E205" s="868" t="str">
        <f>IF(Start!$C$17="x",'H-Leachate'!B205,"---")</f>
        <v/>
      </c>
      <c r="F205" s="340" t="str">
        <f>IF(Start!$C$18="x",('H-Volatilization'!B205),"---")</f>
        <v/>
      </c>
      <c r="G205" s="341" t="str">
        <f>IF(Start!$C$18="x",('H-Volatilization'!C205),"---")</f>
        <v/>
      </c>
      <c r="H205" s="341" t="str">
        <f>IF(Start!$C$18="x",('H-Volatilization'!D205),"---")</f>
        <v/>
      </c>
      <c r="I205" s="342" t="str">
        <f>IF(Start!$C$18="x",('H-Volatilization'!E205),"---")</f>
        <v/>
      </c>
      <c r="J205" s="339" t="str">
        <f>IF(Start!$C$19="x",'H-Plant &amp; Animal'!B205,"---")</f>
        <v>---</v>
      </c>
      <c r="K205" s="343" t="str">
        <f>'H-Effluent'!Q205</f>
        <v>Not Req.</v>
      </c>
      <c r="L205" s="286" t="str">
        <f>'H-Runoff'!T205</f>
        <v>Not Req.</v>
      </c>
      <c r="M205" s="344" t="str">
        <f>'H-Runoff'!U205</f>
        <v>Not Req.</v>
      </c>
      <c r="N205" s="343" t="str">
        <f>'H-Leachate'!O205</f>
        <v/>
      </c>
      <c r="O205" s="283" t="str">
        <f>'H-Volatilization'!AV205</f>
        <v/>
      </c>
      <c r="P205" s="284" t="str">
        <f>'H-Volatilization'!AW205</f>
        <v/>
      </c>
      <c r="Q205" s="284" t="str">
        <f>'H-Volatilization'!AX205</f>
        <v/>
      </c>
      <c r="R205" s="285" t="str">
        <f>'H-Volatilization'!AY205</f>
        <v/>
      </c>
      <c r="S205" s="462"/>
      <c r="T205" s="345" t="str">
        <f>'H-Plant &amp; Animal'!L205</f>
        <v>Not Req.</v>
      </c>
      <c r="U205" s="346" t="str">
        <f>'H-Plant &amp; Animal'!M205</f>
        <v>Not Req.</v>
      </c>
      <c r="V205" s="794" t="str">
        <f>'H-Effluent'!O205</f>
        <v>---</v>
      </c>
      <c r="W205" s="797" t="str">
        <f>'H-Runoff'!Q205</f>
        <v>---</v>
      </c>
      <c r="X205" s="799" t="str">
        <f>'H-Runoff'!S205</f>
        <v>---</v>
      </c>
      <c r="Y205" s="794" t="str">
        <f>'H-Leachate'!N205</f>
        <v>NA</v>
      </c>
      <c r="Z205" s="797" t="str">
        <f>'H-Volatilization'!AD205</f>
        <v>NA</v>
      </c>
      <c r="AA205" s="798" t="str">
        <f>'H-Volatilization'!AF205</f>
        <v>NA</v>
      </c>
      <c r="AB205" s="798" t="str">
        <f>'H-Volatilization'!AO205</f>
        <v>NA</v>
      </c>
      <c r="AC205" s="799" t="str">
        <f>'H-Volatilization'!AU205</f>
        <v>NA</v>
      </c>
    </row>
    <row r="206" spans="1:29" x14ac:dyDescent="0.25">
      <c r="A206" s="56" t="s">
        <v>524</v>
      </c>
      <c r="B206" s="336" t="str">
        <f>IF(Start!$C$15="x",('H-Effluent'!B206),"---")</f>
        <v>---</v>
      </c>
      <c r="C206" s="337" t="str">
        <f>IF(Start!$C$16="x",'H-Runoff'!B206,"---")</f>
        <v>---</v>
      </c>
      <c r="D206" s="338" t="str">
        <f>IF(Start!$C$16="x",'H-Runoff'!C206,"---")</f>
        <v>---</v>
      </c>
      <c r="E206" s="868" t="str">
        <f>IF(Start!$C$17="x",'H-Leachate'!B206,"---")</f>
        <v/>
      </c>
      <c r="F206" s="340" t="str">
        <f>IF(Start!$C$18="x",('H-Volatilization'!B206),"---")</f>
        <v/>
      </c>
      <c r="G206" s="341" t="str">
        <f>IF(Start!$C$18="x",('H-Volatilization'!C206),"---")</f>
        <v/>
      </c>
      <c r="H206" s="341" t="str">
        <f>IF(Start!$C$18="x",('H-Volatilization'!D206),"---")</f>
        <v/>
      </c>
      <c r="I206" s="342" t="str">
        <f>IF(Start!$C$18="x",('H-Volatilization'!E206),"---")</f>
        <v/>
      </c>
      <c r="J206" s="339" t="str">
        <f>IF(Start!$C$19="x",'H-Plant &amp; Animal'!B206,"---")</f>
        <v>---</v>
      </c>
      <c r="K206" s="343" t="str">
        <f>'H-Effluent'!Q206</f>
        <v>Not Req.</v>
      </c>
      <c r="L206" s="286" t="str">
        <f>'H-Runoff'!T206</f>
        <v>Not Req.</v>
      </c>
      <c r="M206" s="344" t="str">
        <f>'H-Runoff'!U206</f>
        <v>Not Req.</v>
      </c>
      <c r="N206" s="343" t="str">
        <f>'H-Leachate'!O206</f>
        <v/>
      </c>
      <c r="O206" s="283" t="str">
        <f>'H-Volatilization'!AV206</f>
        <v/>
      </c>
      <c r="P206" s="284" t="str">
        <f>'H-Volatilization'!AW206</f>
        <v/>
      </c>
      <c r="Q206" s="284" t="str">
        <f>'H-Volatilization'!AX206</f>
        <v/>
      </c>
      <c r="R206" s="285" t="str">
        <f>'H-Volatilization'!AY206</f>
        <v/>
      </c>
      <c r="S206" s="462"/>
      <c r="T206" s="345" t="str">
        <f>'H-Plant &amp; Animal'!L206</f>
        <v>Not Req.</v>
      </c>
      <c r="U206" s="346" t="str">
        <f>'H-Plant &amp; Animal'!M206</f>
        <v>Not Req.</v>
      </c>
      <c r="V206" s="794" t="str">
        <f>'H-Effluent'!O206</f>
        <v>---</v>
      </c>
      <c r="W206" s="797" t="str">
        <f>'H-Runoff'!Q206</f>
        <v>---</v>
      </c>
      <c r="X206" s="799" t="str">
        <f>'H-Runoff'!S206</f>
        <v>---</v>
      </c>
      <c r="Y206" s="794" t="str">
        <f>'H-Leachate'!N206</f>
        <v>NA</v>
      </c>
      <c r="Z206" s="797" t="str">
        <f>'H-Volatilization'!AD206</f>
        <v>NA</v>
      </c>
      <c r="AA206" s="798" t="str">
        <f>'H-Volatilization'!AF206</f>
        <v>NA</v>
      </c>
      <c r="AB206" s="798" t="str">
        <f>'H-Volatilization'!AO206</f>
        <v>NA</v>
      </c>
      <c r="AC206" s="799" t="str">
        <f>'H-Volatilization'!AU206</f>
        <v>NA</v>
      </c>
    </row>
    <row r="207" spans="1:29" x14ac:dyDescent="0.25">
      <c r="A207" s="56" t="s">
        <v>525</v>
      </c>
      <c r="B207" s="336" t="str">
        <f>IF(Start!$C$15="x",('H-Effluent'!B207),"---")</f>
        <v>---</v>
      </c>
      <c r="C207" s="337" t="str">
        <f>IF(Start!$C$16="x",'H-Runoff'!B207,"---")</f>
        <v>---</v>
      </c>
      <c r="D207" s="338" t="str">
        <f>IF(Start!$C$16="x",'H-Runoff'!C207,"---")</f>
        <v>---</v>
      </c>
      <c r="E207" s="868" t="str">
        <f>IF(Start!$C$17="x",'H-Leachate'!B207,"---")</f>
        <v/>
      </c>
      <c r="F207" s="340" t="str">
        <f>IF(Start!$C$18="x",('H-Volatilization'!B207),"---")</f>
        <v/>
      </c>
      <c r="G207" s="341" t="str">
        <f>IF(Start!$C$18="x",('H-Volatilization'!C207),"---")</f>
        <v/>
      </c>
      <c r="H207" s="341" t="str">
        <f>IF(Start!$C$18="x",('H-Volatilization'!D207),"---")</f>
        <v/>
      </c>
      <c r="I207" s="342" t="str">
        <f>IF(Start!$C$18="x",('H-Volatilization'!E207),"---")</f>
        <v/>
      </c>
      <c r="J207" s="339" t="str">
        <f>IF(Start!$C$19="x",'H-Plant &amp; Animal'!B207,"---")</f>
        <v>---</v>
      </c>
      <c r="K207" s="343" t="str">
        <f>'H-Effluent'!Q207</f>
        <v>Not Req.</v>
      </c>
      <c r="L207" s="286" t="str">
        <f>'H-Runoff'!T207</f>
        <v>Not Req.</v>
      </c>
      <c r="M207" s="344" t="str">
        <f>'H-Runoff'!U207</f>
        <v>Not Req.</v>
      </c>
      <c r="N207" s="343" t="str">
        <f>'H-Leachate'!O207</f>
        <v/>
      </c>
      <c r="O207" s="283" t="str">
        <f>'H-Volatilization'!AV207</f>
        <v/>
      </c>
      <c r="P207" s="284" t="str">
        <f>'H-Volatilization'!AW207</f>
        <v/>
      </c>
      <c r="Q207" s="284" t="str">
        <f>'H-Volatilization'!AX207</f>
        <v/>
      </c>
      <c r="R207" s="285" t="str">
        <f>'H-Volatilization'!AY207</f>
        <v/>
      </c>
      <c r="S207" s="462"/>
      <c r="T207" s="345" t="str">
        <f>'H-Plant &amp; Animal'!L207</f>
        <v>Not Req.</v>
      </c>
      <c r="U207" s="346" t="str">
        <f>'H-Plant &amp; Animal'!M207</f>
        <v>Not Req.</v>
      </c>
      <c r="V207" s="794" t="str">
        <f>'H-Effluent'!O207</f>
        <v>---</v>
      </c>
      <c r="W207" s="797" t="str">
        <f>'H-Runoff'!Q207</f>
        <v>---</v>
      </c>
      <c r="X207" s="799" t="str">
        <f>'H-Runoff'!S207</f>
        <v>---</v>
      </c>
      <c r="Y207" s="794" t="str">
        <f>'H-Leachate'!N207</f>
        <v>NA</v>
      </c>
      <c r="Z207" s="797" t="str">
        <f>'H-Volatilization'!AD207</f>
        <v>NA</v>
      </c>
      <c r="AA207" s="798" t="str">
        <f>'H-Volatilization'!AF207</f>
        <v>NA</v>
      </c>
      <c r="AB207" s="798" t="str">
        <f>'H-Volatilization'!AO207</f>
        <v>NA</v>
      </c>
      <c r="AC207" s="799" t="str">
        <f>'H-Volatilization'!AU207</f>
        <v>NA</v>
      </c>
    </row>
    <row r="208" spans="1:29" x14ac:dyDescent="0.25">
      <c r="A208" s="56" t="s">
        <v>526</v>
      </c>
      <c r="B208" s="336" t="str">
        <f>IF(Start!$C$15="x",('H-Effluent'!B208),"---")</f>
        <v>---</v>
      </c>
      <c r="C208" s="337" t="str">
        <f>IF(Start!$C$16="x",'H-Runoff'!B208,"---")</f>
        <v>---</v>
      </c>
      <c r="D208" s="338" t="str">
        <f>IF(Start!$C$16="x",'H-Runoff'!C208,"---")</f>
        <v>---</v>
      </c>
      <c r="E208" s="868" t="str">
        <f>IF(Start!$C$17="x",'H-Leachate'!B208,"---")</f>
        <v/>
      </c>
      <c r="F208" s="340" t="str">
        <f>IF(Start!$C$18="x",('H-Volatilization'!B208),"---")</f>
        <v/>
      </c>
      <c r="G208" s="341" t="str">
        <f>IF(Start!$C$18="x",('H-Volatilization'!C208),"---")</f>
        <v/>
      </c>
      <c r="H208" s="341" t="str">
        <f>IF(Start!$C$18="x",('H-Volatilization'!D208),"---")</f>
        <v/>
      </c>
      <c r="I208" s="342" t="str">
        <f>IF(Start!$C$18="x",('H-Volatilization'!E208),"---")</f>
        <v/>
      </c>
      <c r="J208" s="339" t="str">
        <f>IF(Start!$C$19="x",'H-Plant &amp; Animal'!B208,"---")</f>
        <v>---</v>
      </c>
      <c r="K208" s="343" t="str">
        <f>'H-Effluent'!Q208</f>
        <v>Not Req.</v>
      </c>
      <c r="L208" s="286" t="str">
        <f>'H-Runoff'!T208</f>
        <v>Not Req.</v>
      </c>
      <c r="M208" s="344" t="str">
        <f>'H-Runoff'!U208</f>
        <v>Not Req.</v>
      </c>
      <c r="N208" s="343" t="str">
        <f>'H-Leachate'!O208</f>
        <v/>
      </c>
      <c r="O208" s="283" t="str">
        <f>'H-Volatilization'!AV208</f>
        <v/>
      </c>
      <c r="P208" s="284" t="str">
        <f>'H-Volatilization'!AW208</f>
        <v/>
      </c>
      <c r="Q208" s="284" t="str">
        <f>'H-Volatilization'!AX208</f>
        <v/>
      </c>
      <c r="R208" s="285" t="str">
        <f>'H-Volatilization'!AY208</f>
        <v/>
      </c>
      <c r="S208" s="462"/>
      <c r="T208" s="345" t="str">
        <f>'H-Plant &amp; Animal'!L208</f>
        <v>Not Req.</v>
      </c>
      <c r="U208" s="346" t="str">
        <f>'H-Plant &amp; Animal'!M208</f>
        <v>Not Req.</v>
      </c>
      <c r="V208" s="794" t="str">
        <f>'H-Effluent'!O208</f>
        <v>---</v>
      </c>
      <c r="W208" s="797" t="str">
        <f>'H-Runoff'!Q208</f>
        <v>---</v>
      </c>
      <c r="X208" s="799" t="str">
        <f>'H-Runoff'!S208</f>
        <v>---</v>
      </c>
      <c r="Y208" s="794" t="str">
        <f>'H-Leachate'!N208</f>
        <v>NA</v>
      </c>
      <c r="Z208" s="797" t="str">
        <f>'H-Volatilization'!AD208</f>
        <v>NA</v>
      </c>
      <c r="AA208" s="798" t="str">
        <f>'H-Volatilization'!AF208</f>
        <v>NA</v>
      </c>
      <c r="AB208" s="798" t="str">
        <f>'H-Volatilization'!AO208</f>
        <v>NA</v>
      </c>
      <c r="AC208" s="799" t="str">
        <f>'H-Volatilization'!AU208</f>
        <v>NA</v>
      </c>
    </row>
    <row r="209" spans="1:29" x14ac:dyDescent="0.25">
      <c r="A209" s="56" t="s">
        <v>527</v>
      </c>
      <c r="B209" s="336" t="str">
        <f>IF(Start!$C$15="x",('H-Effluent'!B209),"---")</f>
        <v>---</v>
      </c>
      <c r="C209" s="337" t="str">
        <f>IF(Start!$C$16="x",'H-Runoff'!B209,"---")</f>
        <v>---</v>
      </c>
      <c r="D209" s="338" t="str">
        <f>IF(Start!$C$16="x",'H-Runoff'!C209,"---")</f>
        <v>---</v>
      </c>
      <c r="E209" s="868" t="str">
        <f>IF(Start!$C$17="x",'H-Leachate'!B209,"---")</f>
        <v/>
      </c>
      <c r="F209" s="340" t="str">
        <f>IF(Start!$C$18="x",('H-Volatilization'!B209),"---")</f>
        <v/>
      </c>
      <c r="G209" s="341" t="str">
        <f>IF(Start!$C$18="x",('H-Volatilization'!C209),"---")</f>
        <v/>
      </c>
      <c r="H209" s="341" t="str">
        <f>IF(Start!$C$18="x",('H-Volatilization'!D209),"---")</f>
        <v/>
      </c>
      <c r="I209" s="342" t="str">
        <f>IF(Start!$C$18="x",('H-Volatilization'!E209),"---")</f>
        <v/>
      </c>
      <c r="J209" s="339" t="str">
        <f>IF(Start!$C$19="x",'H-Plant &amp; Animal'!B209,"---")</f>
        <v>---</v>
      </c>
      <c r="K209" s="343" t="str">
        <f>'H-Effluent'!Q209</f>
        <v>Not Req.</v>
      </c>
      <c r="L209" s="286" t="str">
        <f>'H-Runoff'!T209</f>
        <v>Not Req.</v>
      </c>
      <c r="M209" s="344" t="str">
        <f>'H-Runoff'!U209</f>
        <v>Not Req.</v>
      </c>
      <c r="N209" s="343" t="str">
        <f>'H-Leachate'!O209</f>
        <v/>
      </c>
      <c r="O209" s="283" t="str">
        <f>'H-Volatilization'!AV209</f>
        <v/>
      </c>
      <c r="P209" s="284" t="str">
        <f>'H-Volatilization'!AW209</f>
        <v/>
      </c>
      <c r="Q209" s="284" t="str">
        <f>'H-Volatilization'!AX209</f>
        <v/>
      </c>
      <c r="R209" s="285" t="str">
        <f>'H-Volatilization'!AY209</f>
        <v/>
      </c>
      <c r="S209" s="462"/>
      <c r="T209" s="345" t="str">
        <f>'H-Plant &amp; Animal'!L209</f>
        <v>Not Req.</v>
      </c>
      <c r="U209" s="346" t="str">
        <f>'H-Plant &amp; Animal'!M209</f>
        <v>Not Req.</v>
      </c>
      <c r="V209" s="794" t="str">
        <f>'H-Effluent'!O209</f>
        <v>---</v>
      </c>
      <c r="W209" s="797" t="str">
        <f>'H-Runoff'!Q209</f>
        <v>---</v>
      </c>
      <c r="X209" s="799" t="str">
        <f>'H-Runoff'!S209</f>
        <v>---</v>
      </c>
      <c r="Y209" s="794" t="str">
        <f>'H-Leachate'!N209</f>
        <v>NA</v>
      </c>
      <c r="Z209" s="797" t="str">
        <f>'H-Volatilization'!AD209</f>
        <v>NA</v>
      </c>
      <c r="AA209" s="798" t="str">
        <f>'H-Volatilization'!AF209</f>
        <v>NA</v>
      </c>
      <c r="AB209" s="798" t="str">
        <f>'H-Volatilization'!AO209</f>
        <v>NA</v>
      </c>
      <c r="AC209" s="799" t="str">
        <f>'H-Volatilization'!AU209</f>
        <v>NA</v>
      </c>
    </row>
    <row r="210" spans="1:29" x14ac:dyDescent="0.25">
      <c r="A210" s="56" t="s">
        <v>528</v>
      </c>
      <c r="B210" s="336" t="str">
        <f>IF(Start!$C$15="x",('H-Effluent'!B210),"---")</f>
        <v>---</v>
      </c>
      <c r="C210" s="337" t="str">
        <f>IF(Start!$C$16="x",'H-Runoff'!B210,"---")</f>
        <v>---</v>
      </c>
      <c r="D210" s="338" t="str">
        <f>IF(Start!$C$16="x",'H-Runoff'!C210,"---")</f>
        <v>---</v>
      </c>
      <c r="E210" s="868" t="str">
        <f>IF(Start!$C$17="x",'H-Leachate'!B210,"---")</f>
        <v/>
      </c>
      <c r="F210" s="340" t="str">
        <f>IF(Start!$C$18="x",('H-Volatilization'!B210),"---")</f>
        <v/>
      </c>
      <c r="G210" s="341" t="str">
        <f>IF(Start!$C$18="x",('H-Volatilization'!C210),"---")</f>
        <v/>
      </c>
      <c r="H210" s="341" t="str">
        <f>IF(Start!$C$18="x",('H-Volatilization'!D210),"---")</f>
        <v/>
      </c>
      <c r="I210" s="342" t="str">
        <f>IF(Start!$C$18="x",('H-Volatilization'!E210),"---")</f>
        <v/>
      </c>
      <c r="J210" s="339" t="str">
        <f>IF(Start!$C$19="x",'H-Plant &amp; Animal'!B210,"---")</f>
        <v>---</v>
      </c>
      <c r="K210" s="343" t="str">
        <f>'H-Effluent'!Q210</f>
        <v>Not Req.</v>
      </c>
      <c r="L210" s="286" t="str">
        <f>'H-Runoff'!T210</f>
        <v>Not Req.</v>
      </c>
      <c r="M210" s="344" t="str">
        <f>'H-Runoff'!U210</f>
        <v>Not Req.</v>
      </c>
      <c r="N210" s="343" t="str">
        <f>'H-Leachate'!O210</f>
        <v/>
      </c>
      <c r="O210" s="283" t="str">
        <f>'H-Volatilization'!AV210</f>
        <v/>
      </c>
      <c r="P210" s="284" t="str">
        <f>'H-Volatilization'!AW210</f>
        <v/>
      </c>
      <c r="Q210" s="284" t="str">
        <f>'H-Volatilization'!AX210</f>
        <v/>
      </c>
      <c r="R210" s="285" t="str">
        <f>'H-Volatilization'!AY210</f>
        <v/>
      </c>
      <c r="S210" s="462"/>
      <c r="T210" s="345" t="str">
        <f>'H-Plant &amp; Animal'!L210</f>
        <v>Not Req.</v>
      </c>
      <c r="U210" s="346" t="str">
        <f>'H-Plant &amp; Animal'!M210</f>
        <v>Not Req.</v>
      </c>
      <c r="V210" s="794" t="str">
        <f>'H-Effluent'!O210</f>
        <v>---</v>
      </c>
      <c r="W210" s="797" t="str">
        <f>'H-Runoff'!Q210</f>
        <v>---</v>
      </c>
      <c r="X210" s="799" t="str">
        <f>'H-Runoff'!S210</f>
        <v>---</v>
      </c>
      <c r="Y210" s="794" t="str">
        <f>'H-Leachate'!N210</f>
        <v>NA</v>
      </c>
      <c r="Z210" s="797" t="str">
        <f>'H-Volatilization'!AD210</f>
        <v>NA</v>
      </c>
      <c r="AA210" s="798" t="str">
        <f>'H-Volatilization'!AF210</f>
        <v>NA</v>
      </c>
      <c r="AB210" s="798" t="str">
        <f>'H-Volatilization'!AO210</f>
        <v>NA</v>
      </c>
      <c r="AC210" s="799" t="str">
        <f>'H-Volatilization'!AU210</f>
        <v>NA</v>
      </c>
    </row>
    <row r="211" spans="1:29" x14ac:dyDescent="0.25">
      <c r="A211" s="56" t="s">
        <v>529</v>
      </c>
      <c r="B211" s="336" t="str">
        <f>IF(Start!$C$15="x",('H-Effluent'!B211),"---")</f>
        <v>---</v>
      </c>
      <c r="C211" s="337" t="str">
        <f>IF(Start!$C$16="x",'H-Runoff'!B211,"---")</f>
        <v>---</v>
      </c>
      <c r="D211" s="338" t="str">
        <f>IF(Start!$C$16="x",'H-Runoff'!C211,"---")</f>
        <v>---</v>
      </c>
      <c r="E211" s="868" t="str">
        <f>IF(Start!$C$17="x",'H-Leachate'!B211,"---")</f>
        <v/>
      </c>
      <c r="F211" s="340" t="str">
        <f>IF(Start!$C$18="x",('H-Volatilization'!B211),"---")</f>
        <v/>
      </c>
      <c r="G211" s="341" t="str">
        <f>IF(Start!$C$18="x",('H-Volatilization'!C211),"---")</f>
        <v/>
      </c>
      <c r="H211" s="341" t="str">
        <f>IF(Start!$C$18="x",('H-Volatilization'!D211),"---")</f>
        <v/>
      </c>
      <c r="I211" s="342" t="str">
        <f>IF(Start!$C$18="x",('H-Volatilization'!E211),"---")</f>
        <v/>
      </c>
      <c r="J211" s="339" t="str">
        <f>IF(Start!$C$19="x",'H-Plant &amp; Animal'!B211,"---")</f>
        <v>---</v>
      </c>
      <c r="K211" s="343" t="str">
        <f>'H-Effluent'!Q211</f>
        <v>Not Req.</v>
      </c>
      <c r="L211" s="286" t="str">
        <f>'H-Runoff'!T211</f>
        <v>Not Req.</v>
      </c>
      <c r="M211" s="344" t="str">
        <f>'H-Runoff'!U211</f>
        <v>Not Req.</v>
      </c>
      <c r="N211" s="343" t="str">
        <f>'H-Leachate'!O211</f>
        <v/>
      </c>
      <c r="O211" s="283" t="str">
        <f>'H-Volatilization'!AV211</f>
        <v/>
      </c>
      <c r="P211" s="284" t="str">
        <f>'H-Volatilization'!AW211</f>
        <v/>
      </c>
      <c r="Q211" s="284" t="str">
        <f>'H-Volatilization'!AX211</f>
        <v/>
      </c>
      <c r="R211" s="285" t="str">
        <f>'H-Volatilization'!AY211</f>
        <v/>
      </c>
      <c r="S211" s="462"/>
      <c r="T211" s="345" t="str">
        <f>'H-Plant &amp; Animal'!L211</f>
        <v>Not Req.</v>
      </c>
      <c r="U211" s="346" t="str">
        <f>'H-Plant &amp; Animal'!M211</f>
        <v>Not Req.</v>
      </c>
      <c r="V211" s="794" t="str">
        <f>'H-Effluent'!O211</f>
        <v>---</v>
      </c>
      <c r="W211" s="797" t="str">
        <f>'H-Runoff'!Q211</f>
        <v>---</v>
      </c>
      <c r="X211" s="799" t="str">
        <f>'H-Runoff'!S211</f>
        <v>---</v>
      </c>
      <c r="Y211" s="794" t="str">
        <f>'H-Leachate'!N211</f>
        <v>NA</v>
      </c>
      <c r="Z211" s="797" t="str">
        <f>'H-Volatilization'!AD211</f>
        <v>NA</v>
      </c>
      <c r="AA211" s="798" t="str">
        <f>'H-Volatilization'!AF211</f>
        <v>NA</v>
      </c>
      <c r="AB211" s="798" t="str">
        <f>'H-Volatilization'!AO211</f>
        <v>NA</v>
      </c>
      <c r="AC211" s="799" t="str">
        <f>'H-Volatilization'!AU211</f>
        <v>NA</v>
      </c>
    </row>
    <row r="212" spans="1:29" x14ac:dyDescent="0.25">
      <c r="A212" s="56" t="s">
        <v>530</v>
      </c>
      <c r="B212" s="336" t="str">
        <f>IF(Start!$C$15="x",('H-Effluent'!B212),"---")</f>
        <v>---</v>
      </c>
      <c r="C212" s="337" t="str">
        <f>IF(Start!$C$16="x",'H-Runoff'!B212,"---")</f>
        <v>---</v>
      </c>
      <c r="D212" s="338" t="str">
        <f>IF(Start!$C$16="x",'H-Runoff'!C212,"---")</f>
        <v>---</v>
      </c>
      <c r="E212" s="868" t="str">
        <f>IF(Start!$C$17="x",'H-Leachate'!B212,"---")</f>
        <v/>
      </c>
      <c r="F212" s="340" t="str">
        <f>IF(Start!$C$18="x",('H-Volatilization'!B212),"---")</f>
        <v/>
      </c>
      <c r="G212" s="341" t="str">
        <f>IF(Start!$C$18="x",('H-Volatilization'!C212),"---")</f>
        <v/>
      </c>
      <c r="H212" s="341" t="str">
        <f>IF(Start!$C$18="x",('H-Volatilization'!D212),"---")</f>
        <v/>
      </c>
      <c r="I212" s="342" t="str">
        <f>IF(Start!$C$18="x",('H-Volatilization'!E212),"---")</f>
        <v/>
      </c>
      <c r="J212" s="339" t="str">
        <f>IF(Start!$C$19="x",'H-Plant &amp; Animal'!B212,"---")</f>
        <v>---</v>
      </c>
      <c r="K212" s="343" t="str">
        <f>'H-Effluent'!Q212</f>
        <v>Not Req.</v>
      </c>
      <c r="L212" s="286" t="str">
        <f>'H-Runoff'!T212</f>
        <v>Not Req.</v>
      </c>
      <c r="M212" s="344" t="str">
        <f>'H-Runoff'!U212</f>
        <v>Not Req.</v>
      </c>
      <c r="N212" s="343" t="str">
        <f>'H-Leachate'!O212</f>
        <v/>
      </c>
      <c r="O212" s="283" t="str">
        <f>'H-Volatilization'!AV212</f>
        <v/>
      </c>
      <c r="P212" s="284" t="str">
        <f>'H-Volatilization'!AW212</f>
        <v/>
      </c>
      <c r="Q212" s="284" t="str">
        <f>'H-Volatilization'!AX212</f>
        <v/>
      </c>
      <c r="R212" s="285" t="str">
        <f>'H-Volatilization'!AY212</f>
        <v/>
      </c>
      <c r="S212" s="462"/>
      <c r="T212" s="345" t="str">
        <f>'H-Plant &amp; Animal'!L212</f>
        <v>Not Req.</v>
      </c>
      <c r="U212" s="346" t="str">
        <f>'H-Plant &amp; Animal'!M212</f>
        <v>Not Req.</v>
      </c>
      <c r="V212" s="794" t="str">
        <f>'H-Effluent'!O212</f>
        <v>---</v>
      </c>
      <c r="W212" s="797" t="str">
        <f>'H-Runoff'!Q212</f>
        <v>---</v>
      </c>
      <c r="X212" s="799" t="str">
        <f>'H-Runoff'!S212</f>
        <v>---</v>
      </c>
      <c r="Y212" s="794" t="str">
        <f>'H-Leachate'!N212</f>
        <v>NA</v>
      </c>
      <c r="Z212" s="797" t="str">
        <f>'H-Volatilization'!AD212</f>
        <v>NA</v>
      </c>
      <c r="AA212" s="798" t="str">
        <f>'H-Volatilization'!AF212</f>
        <v>NA</v>
      </c>
      <c r="AB212" s="798" t="str">
        <f>'H-Volatilization'!AO212</f>
        <v>NA</v>
      </c>
      <c r="AC212" s="799" t="str">
        <f>'H-Volatilization'!AU212</f>
        <v>NA</v>
      </c>
    </row>
    <row r="213" spans="1:29" x14ac:dyDescent="0.25">
      <c r="A213" s="56" t="s">
        <v>531</v>
      </c>
      <c r="B213" s="336" t="str">
        <f>IF(Start!$C$15="x",('H-Effluent'!B213),"---")</f>
        <v>---</v>
      </c>
      <c r="C213" s="337" t="str">
        <f>IF(Start!$C$16="x",'H-Runoff'!B213,"---")</f>
        <v>---</v>
      </c>
      <c r="D213" s="338" t="str">
        <f>IF(Start!$C$16="x",'H-Runoff'!C213,"---")</f>
        <v>---</v>
      </c>
      <c r="E213" s="868" t="str">
        <f>IF(Start!$C$17="x",'H-Leachate'!B213,"---")</f>
        <v/>
      </c>
      <c r="F213" s="340" t="str">
        <f>IF(Start!$C$18="x",('H-Volatilization'!B213),"---")</f>
        <v/>
      </c>
      <c r="G213" s="341" t="str">
        <f>IF(Start!$C$18="x",('H-Volatilization'!C213),"---")</f>
        <v/>
      </c>
      <c r="H213" s="341" t="str">
        <f>IF(Start!$C$18="x",('H-Volatilization'!D213),"---")</f>
        <v/>
      </c>
      <c r="I213" s="342" t="str">
        <f>IF(Start!$C$18="x",('H-Volatilization'!E213),"---")</f>
        <v/>
      </c>
      <c r="J213" s="339" t="str">
        <f>IF(Start!$C$19="x",'H-Plant &amp; Animal'!B213,"---")</f>
        <v>---</v>
      </c>
      <c r="K213" s="343" t="str">
        <f>'H-Effluent'!Q213</f>
        <v>Not Req.</v>
      </c>
      <c r="L213" s="286" t="str">
        <f>'H-Runoff'!T213</f>
        <v>Not Req.</v>
      </c>
      <c r="M213" s="344" t="str">
        <f>'H-Runoff'!U213</f>
        <v>Not Req.</v>
      </c>
      <c r="N213" s="343" t="str">
        <f>'H-Leachate'!O213</f>
        <v/>
      </c>
      <c r="O213" s="283" t="str">
        <f>'H-Volatilization'!AV213</f>
        <v/>
      </c>
      <c r="P213" s="284" t="str">
        <f>'H-Volatilization'!AW213</f>
        <v/>
      </c>
      <c r="Q213" s="284" t="str">
        <f>'H-Volatilization'!AX213</f>
        <v/>
      </c>
      <c r="R213" s="285" t="str">
        <f>'H-Volatilization'!AY213</f>
        <v/>
      </c>
      <c r="S213" s="462"/>
      <c r="T213" s="345" t="str">
        <f>'H-Plant &amp; Animal'!L213</f>
        <v>Not Req.</v>
      </c>
      <c r="U213" s="346" t="str">
        <f>'H-Plant &amp; Animal'!M213</f>
        <v>Not Req.</v>
      </c>
      <c r="V213" s="794" t="str">
        <f>'H-Effluent'!O213</f>
        <v>---</v>
      </c>
      <c r="W213" s="797" t="str">
        <f>'H-Runoff'!Q213</f>
        <v>---</v>
      </c>
      <c r="X213" s="799" t="str">
        <f>'H-Runoff'!S213</f>
        <v>---</v>
      </c>
      <c r="Y213" s="794" t="str">
        <f>'H-Leachate'!N213</f>
        <v>NA</v>
      </c>
      <c r="Z213" s="797" t="str">
        <f>'H-Volatilization'!AD213</f>
        <v>NA</v>
      </c>
      <c r="AA213" s="798" t="str">
        <f>'H-Volatilization'!AF213</f>
        <v>NA</v>
      </c>
      <c r="AB213" s="798" t="str">
        <f>'H-Volatilization'!AO213</f>
        <v>NA</v>
      </c>
      <c r="AC213" s="799" t="str">
        <f>'H-Volatilization'!AU213</f>
        <v>NA</v>
      </c>
    </row>
    <row r="214" spans="1:29" x14ac:dyDescent="0.25">
      <c r="A214" s="307" t="s">
        <v>532</v>
      </c>
      <c r="B214" s="336" t="str">
        <f>IF(Start!$C$15="x",('H-Effluent'!B214),"---")</f>
        <v>---</v>
      </c>
      <c r="C214" s="337" t="str">
        <f>IF(Start!$C$16="x",'H-Runoff'!B214,"---")</f>
        <v>---</v>
      </c>
      <c r="D214" s="338" t="str">
        <f>IF(Start!$C$16="x",'H-Runoff'!C214,"---")</f>
        <v>---</v>
      </c>
      <c r="E214" s="868" t="str">
        <f>IF(Start!$C$17="x",'H-Leachate'!B214,"---")</f>
        <v/>
      </c>
      <c r="F214" s="340" t="str">
        <f>IF(Start!$C$18="x",('H-Volatilization'!B214),"---")</f>
        <v/>
      </c>
      <c r="G214" s="341" t="str">
        <f>IF(Start!$C$18="x",('H-Volatilization'!C214),"---")</f>
        <v/>
      </c>
      <c r="H214" s="341" t="str">
        <f>IF(Start!$C$18="x",('H-Volatilization'!D214),"---")</f>
        <v/>
      </c>
      <c r="I214" s="342" t="str">
        <f>IF(Start!$C$18="x",('H-Volatilization'!E214),"---")</f>
        <v/>
      </c>
      <c r="J214" s="339" t="str">
        <f>IF(Start!$C$19="x",'H-Plant &amp; Animal'!B214,"---")</f>
        <v>---</v>
      </c>
      <c r="K214" s="343" t="str">
        <f>'H-Effluent'!Q214</f>
        <v>Not Req.</v>
      </c>
      <c r="L214" s="286" t="str">
        <f>'H-Runoff'!T214</f>
        <v>Not Req.</v>
      </c>
      <c r="M214" s="344" t="str">
        <f>'H-Runoff'!U214</f>
        <v>Not Req.</v>
      </c>
      <c r="N214" s="343" t="str">
        <f>'H-Leachate'!O214</f>
        <v/>
      </c>
      <c r="O214" s="283" t="str">
        <f>'H-Volatilization'!AV214</f>
        <v/>
      </c>
      <c r="P214" s="284" t="str">
        <f>'H-Volatilization'!AW214</f>
        <v/>
      </c>
      <c r="Q214" s="284" t="str">
        <f>'H-Volatilization'!AX214</f>
        <v/>
      </c>
      <c r="R214" s="285" t="str">
        <f>'H-Volatilization'!AY214</f>
        <v/>
      </c>
      <c r="S214" s="462"/>
      <c r="T214" s="345" t="str">
        <f>'H-Plant &amp; Animal'!L214</f>
        <v>Not Req.</v>
      </c>
      <c r="U214" s="346" t="str">
        <f>'H-Plant &amp; Animal'!M214</f>
        <v>Not Req.</v>
      </c>
      <c r="V214" s="794" t="str">
        <f>'H-Effluent'!O214</f>
        <v>---</v>
      </c>
      <c r="W214" s="797" t="str">
        <f>'H-Runoff'!Q214</f>
        <v>---</v>
      </c>
      <c r="X214" s="799" t="str">
        <f>'H-Runoff'!S214</f>
        <v>---</v>
      </c>
      <c r="Y214" s="794" t="str">
        <f>'H-Leachate'!N214</f>
        <v>NA</v>
      </c>
      <c r="Z214" s="797" t="str">
        <f>'H-Volatilization'!AD214</f>
        <v>NA</v>
      </c>
      <c r="AA214" s="798" t="str">
        <f>'H-Volatilization'!AF214</f>
        <v>NA</v>
      </c>
      <c r="AB214" s="798" t="str">
        <f>'H-Volatilization'!AO214</f>
        <v>NA</v>
      </c>
      <c r="AC214" s="799" t="str">
        <f>'H-Volatilization'!AU214</f>
        <v>NA</v>
      </c>
    </row>
    <row r="215" spans="1:29" x14ac:dyDescent="0.25">
      <c r="A215" s="57" t="s">
        <v>533</v>
      </c>
      <c r="B215" s="336" t="str">
        <f>IF(Start!$C$15="x",('H-Effluent'!B215),"---")</f>
        <v>---</v>
      </c>
      <c r="C215" s="337" t="str">
        <f>IF(Start!$C$16="x",'H-Runoff'!B215,"---")</f>
        <v>---</v>
      </c>
      <c r="D215" s="338" t="str">
        <f>IF(Start!$C$16="x",'H-Runoff'!C215,"---")</f>
        <v>---</v>
      </c>
      <c r="E215" s="868" t="str">
        <f>IF(Start!$C$17="x",'H-Leachate'!B215,"---")</f>
        <v/>
      </c>
      <c r="F215" s="340" t="str">
        <f>IF(Start!$C$18="x",('H-Volatilization'!B215),"---")</f>
        <v/>
      </c>
      <c r="G215" s="341" t="str">
        <f>IF(Start!$C$18="x",('H-Volatilization'!C215),"---")</f>
        <v/>
      </c>
      <c r="H215" s="341" t="str">
        <f>IF(Start!$C$18="x",('H-Volatilization'!D215),"---")</f>
        <v/>
      </c>
      <c r="I215" s="342" t="str">
        <f>IF(Start!$C$18="x",('H-Volatilization'!E215),"---")</f>
        <v/>
      </c>
      <c r="J215" s="339" t="str">
        <f>IF(Start!$C$19="x",'H-Plant &amp; Animal'!B215,"---")</f>
        <v>---</v>
      </c>
      <c r="K215" s="343" t="str">
        <f>'H-Effluent'!Q215</f>
        <v>Not Req.</v>
      </c>
      <c r="L215" s="286" t="str">
        <f>'H-Runoff'!T215</f>
        <v>Not Req.</v>
      </c>
      <c r="M215" s="344" t="str">
        <f>'H-Runoff'!U215</f>
        <v>Not Req.</v>
      </c>
      <c r="N215" s="343" t="str">
        <f>'H-Leachate'!O215</f>
        <v/>
      </c>
      <c r="O215" s="283" t="str">
        <f>'H-Volatilization'!AV215</f>
        <v/>
      </c>
      <c r="P215" s="284" t="str">
        <f>'H-Volatilization'!AW215</f>
        <v/>
      </c>
      <c r="Q215" s="284" t="str">
        <f>'H-Volatilization'!AX215</f>
        <v/>
      </c>
      <c r="R215" s="285" t="str">
        <f>'H-Volatilization'!AY215</f>
        <v/>
      </c>
      <c r="S215" s="462"/>
      <c r="T215" s="345" t="str">
        <f>'H-Plant &amp; Animal'!L215</f>
        <v>Not Req.</v>
      </c>
      <c r="U215" s="346" t="str">
        <f>'H-Plant &amp; Animal'!M215</f>
        <v>Not Req.</v>
      </c>
      <c r="V215" s="794" t="str">
        <f>'H-Effluent'!O215</f>
        <v>---</v>
      </c>
      <c r="W215" s="797" t="str">
        <f>'H-Runoff'!Q215</f>
        <v>---</v>
      </c>
      <c r="X215" s="799" t="str">
        <f>'H-Runoff'!S215</f>
        <v>---</v>
      </c>
      <c r="Y215" s="794" t="str">
        <f>'H-Leachate'!N215</f>
        <v>NA</v>
      </c>
      <c r="Z215" s="797" t="str">
        <f>'H-Volatilization'!AD215</f>
        <v>NA</v>
      </c>
      <c r="AA215" s="798" t="str">
        <f>'H-Volatilization'!AF215</f>
        <v>NA</v>
      </c>
      <c r="AB215" s="798" t="str">
        <f>'H-Volatilization'!AO215</f>
        <v>NA</v>
      </c>
      <c r="AC215" s="799" t="str">
        <f>'H-Volatilization'!AU215</f>
        <v>NA</v>
      </c>
    </row>
    <row r="216" spans="1:29" x14ac:dyDescent="0.25">
      <c r="A216" s="57" t="s">
        <v>534</v>
      </c>
      <c r="B216" s="336" t="str">
        <f>IF(Start!$C$15="x",('H-Effluent'!B216),"---")</f>
        <v>---</v>
      </c>
      <c r="C216" s="337" t="str">
        <f>IF(Start!$C$16="x",'H-Runoff'!B216,"---")</f>
        <v>---</v>
      </c>
      <c r="D216" s="338" t="str">
        <f>IF(Start!$C$16="x",'H-Runoff'!C216,"---")</f>
        <v>---</v>
      </c>
      <c r="E216" s="868" t="str">
        <f>IF(Start!$C$17="x",'H-Leachate'!B216,"---")</f>
        <v/>
      </c>
      <c r="F216" s="340" t="str">
        <f>IF(Start!$C$18="x",('H-Volatilization'!B216),"---")</f>
        <v/>
      </c>
      <c r="G216" s="341" t="str">
        <f>IF(Start!$C$18="x",('H-Volatilization'!C216),"---")</f>
        <v/>
      </c>
      <c r="H216" s="341" t="str">
        <f>IF(Start!$C$18="x",('H-Volatilization'!D216),"---")</f>
        <v/>
      </c>
      <c r="I216" s="342" t="str">
        <f>IF(Start!$C$18="x",('H-Volatilization'!E216),"---")</f>
        <v/>
      </c>
      <c r="J216" s="339" t="str">
        <f>IF(Start!$C$19="x",'H-Plant &amp; Animal'!B216,"---")</f>
        <v>---</v>
      </c>
      <c r="K216" s="343" t="str">
        <f>'H-Effluent'!Q216</f>
        <v>Not Req.</v>
      </c>
      <c r="L216" s="286" t="str">
        <f>'H-Runoff'!T216</f>
        <v>Not Req.</v>
      </c>
      <c r="M216" s="344" t="str">
        <f>'H-Runoff'!U216</f>
        <v>Not Req.</v>
      </c>
      <c r="N216" s="343" t="str">
        <f>'H-Leachate'!O216</f>
        <v/>
      </c>
      <c r="O216" s="283" t="str">
        <f>'H-Volatilization'!AV216</f>
        <v/>
      </c>
      <c r="P216" s="284" t="str">
        <f>'H-Volatilization'!AW216</f>
        <v/>
      </c>
      <c r="Q216" s="284" t="str">
        <f>'H-Volatilization'!AX216</f>
        <v/>
      </c>
      <c r="R216" s="285" t="str">
        <f>'H-Volatilization'!AY216</f>
        <v/>
      </c>
      <c r="S216" s="462"/>
      <c r="T216" s="345" t="str">
        <f>'H-Plant &amp; Animal'!L216</f>
        <v>Not Req.</v>
      </c>
      <c r="U216" s="346" t="str">
        <f>'H-Plant &amp; Animal'!M216</f>
        <v>Not Req.</v>
      </c>
      <c r="V216" s="794" t="str">
        <f>'H-Effluent'!O216</f>
        <v>---</v>
      </c>
      <c r="W216" s="797" t="str">
        <f>'H-Runoff'!Q216</f>
        <v>---</v>
      </c>
      <c r="X216" s="799" t="str">
        <f>'H-Runoff'!S216</f>
        <v>---</v>
      </c>
      <c r="Y216" s="794" t="str">
        <f>'H-Leachate'!N216</f>
        <v>NA</v>
      </c>
      <c r="Z216" s="797" t="str">
        <f>'H-Volatilization'!AD216</f>
        <v>NA</v>
      </c>
      <c r="AA216" s="798" t="str">
        <f>'H-Volatilization'!AF216</f>
        <v>NA</v>
      </c>
      <c r="AB216" s="798" t="str">
        <f>'H-Volatilization'!AO216</f>
        <v>NA</v>
      </c>
      <c r="AC216" s="799" t="str">
        <f>'H-Volatilization'!AU216</f>
        <v>NA</v>
      </c>
    </row>
    <row r="217" spans="1:29" x14ac:dyDescent="0.25">
      <c r="A217" s="57" t="s">
        <v>535</v>
      </c>
      <c r="B217" s="336" t="str">
        <f>IF(Start!$C$15="x",('H-Effluent'!B217),"---")</f>
        <v>---</v>
      </c>
      <c r="C217" s="337" t="str">
        <f>IF(Start!$C$16="x",'H-Runoff'!B217,"---")</f>
        <v>---</v>
      </c>
      <c r="D217" s="338" t="str">
        <f>IF(Start!$C$16="x",'H-Runoff'!C217,"---")</f>
        <v>---</v>
      </c>
      <c r="E217" s="868" t="str">
        <f>IF(Start!$C$17="x",'H-Leachate'!B217,"---")</f>
        <v/>
      </c>
      <c r="F217" s="340" t="str">
        <f>IF(Start!$C$18="x",('H-Volatilization'!B217),"---")</f>
        <v/>
      </c>
      <c r="G217" s="341" t="str">
        <f>IF(Start!$C$18="x",('H-Volatilization'!C217),"---")</f>
        <v/>
      </c>
      <c r="H217" s="341" t="str">
        <f>IF(Start!$C$18="x",('H-Volatilization'!D217),"---")</f>
        <v/>
      </c>
      <c r="I217" s="342" t="str">
        <f>IF(Start!$C$18="x",('H-Volatilization'!E217),"---")</f>
        <v/>
      </c>
      <c r="J217" s="339" t="str">
        <f>IF(Start!$C$19="x",'H-Plant &amp; Animal'!B217,"---")</f>
        <v>---</v>
      </c>
      <c r="K217" s="343" t="str">
        <f>'H-Effluent'!Q217</f>
        <v>Not Req.</v>
      </c>
      <c r="L217" s="286" t="str">
        <f>'H-Runoff'!T217</f>
        <v>Not Req.</v>
      </c>
      <c r="M217" s="344" t="str">
        <f>'H-Runoff'!U217</f>
        <v>Not Req.</v>
      </c>
      <c r="N217" s="343" t="str">
        <f>'H-Leachate'!O217</f>
        <v/>
      </c>
      <c r="O217" s="283" t="str">
        <f>'H-Volatilization'!AV217</f>
        <v/>
      </c>
      <c r="P217" s="284" t="str">
        <f>'H-Volatilization'!AW217</f>
        <v/>
      </c>
      <c r="Q217" s="284" t="str">
        <f>'H-Volatilization'!AX217</f>
        <v/>
      </c>
      <c r="R217" s="285" t="str">
        <f>'H-Volatilization'!AY217</f>
        <v/>
      </c>
      <c r="S217" s="462"/>
      <c r="T217" s="345" t="str">
        <f>'H-Plant &amp; Animal'!L217</f>
        <v>Not Req.</v>
      </c>
      <c r="U217" s="346" t="str">
        <f>'H-Plant &amp; Animal'!M217</f>
        <v>Not Req.</v>
      </c>
      <c r="V217" s="794" t="str">
        <f>'H-Effluent'!O217</f>
        <v>---</v>
      </c>
      <c r="W217" s="797" t="str">
        <f>'H-Runoff'!Q217</f>
        <v>---</v>
      </c>
      <c r="X217" s="799" t="str">
        <f>'H-Runoff'!S217</f>
        <v>---</v>
      </c>
      <c r="Y217" s="794" t="str">
        <f>'H-Leachate'!N217</f>
        <v>NA</v>
      </c>
      <c r="Z217" s="797" t="str">
        <f>'H-Volatilization'!AD217</f>
        <v>NA</v>
      </c>
      <c r="AA217" s="798" t="str">
        <f>'H-Volatilization'!AF217</f>
        <v>NA</v>
      </c>
      <c r="AB217" s="798" t="str">
        <f>'H-Volatilization'!AO217</f>
        <v>NA</v>
      </c>
      <c r="AC217" s="799" t="str">
        <f>'H-Volatilization'!AU217</f>
        <v>NA</v>
      </c>
    </row>
    <row r="218" spans="1:29" x14ac:dyDescent="0.25">
      <c r="A218" s="56" t="s">
        <v>686</v>
      </c>
      <c r="B218" s="336" t="str">
        <f>IF(Start!$C$15="x",('H-Effluent'!B218),"---")</f>
        <v>---</v>
      </c>
      <c r="C218" s="337" t="str">
        <f>IF(Start!$C$16="x",'H-Runoff'!B218,"---")</f>
        <v>---</v>
      </c>
      <c r="D218" s="338" t="str">
        <f>IF(Start!$C$16="x",'H-Runoff'!C218,"---")</f>
        <v>---</v>
      </c>
      <c r="E218" s="868" t="str">
        <f>IF(Start!$C$17="x",'H-Leachate'!B218,"---")</f>
        <v/>
      </c>
      <c r="F218" s="340" t="str">
        <f>IF(Start!$C$18="x",('H-Volatilization'!B218),"---")</f>
        <v/>
      </c>
      <c r="G218" s="341" t="str">
        <f>IF(Start!$C$18="x",('H-Volatilization'!C218),"---")</f>
        <v/>
      </c>
      <c r="H218" s="341" t="str">
        <f>IF(Start!$C$18="x",('H-Volatilization'!D218),"---")</f>
        <v/>
      </c>
      <c r="I218" s="342" t="str">
        <f>IF(Start!$C$18="x",('H-Volatilization'!E218),"---")</f>
        <v/>
      </c>
      <c r="J218" s="339" t="str">
        <f>IF(Start!$C$19="x",'H-Plant &amp; Animal'!B218,"---")</f>
        <v>---</v>
      </c>
      <c r="K218" s="343" t="str">
        <f>'H-Effluent'!Q218</f>
        <v>Not Req.</v>
      </c>
      <c r="L218" s="286" t="str">
        <f>'H-Runoff'!T218</f>
        <v>Not Req.</v>
      </c>
      <c r="M218" s="344" t="str">
        <f>'H-Runoff'!U218</f>
        <v>Not Req.</v>
      </c>
      <c r="N218" s="343" t="str">
        <f>'H-Leachate'!O218</f>
        <v/>
      </c>
      <c r="O218" s="283" t="str">
        <f>'H-Volatilization'!AV218</f>
        <v/>
      </c>
      <c r="P218" s="284" t="str">
        <f>'H-Volatilization'!AW218</f>
        <v/>
      </c>
      <c r="Q218" s="284" t="str">
        <f>'H-Volatilization'!AX218</f>
        <v/>
      </c>
      <c r="R218" s="285" t="str">
        <f>'H-Volatilization'!AY218</f>
        <v/>
      </c>
      <c r="S218" s="462"/>
      <c r="T218" s="345" t="str">
        <f>'H-Plant &amp; Animal'!L218</f>
        <v>Not Req.</v>
      </c>
      <c r="U218" s="346" t="str">
        <f>'H-Plant &amp; Animal'!M218</f>
        <v>Not Req.</v>
      </c>
      <c r="V218" s="794" t="str">
        <f>'H-Effluent'!O218</f>
        <v>---</v>
      </c>
      <c r="W218" s="797" t="str">
        <f>'H-Runoff'!Q218</f>
        <v>---</v>
      </c>
      <c r="X218" s="799" t="str">
        <f>'H-Runoff'!S218</f>
        <v>---</v>
      </c>
      <c r="Y218" s="794" t="str">
        <f>'H-Leachate'!N218</f>
        <v>NA</v>
      </c>
      <c r="Z218" s="797" t="str">
        <f>'H-Volatilization'!AD218</f>
        <v>NA</v>
      </c>
      <c r="AA218" s="798" t="str">
        <f>'H-Volatilization'!AF218</f>
        <v>NA</v>
      </c>
      <c r="AB218" s="798" t="str">
        <f>'H-Volatilization'!AO218</f>
        <v>NA</v>
      </c>
      <c r="AC218" s="799" t="str">
        <f>'H-Volatilization'!AU218</f>
        <v>NA</v>
      </c>
    </row>
    <row r="219" spans="1:29" x14ac:dyDescent="0.25">
      <c r="A219" s="56" t="s">
        <v>687</v>
      </c>
      <c r="B219" s="336" t="str">
        <f>IF(Start!$C$15="x",('H-Effluent'!B219),"---")</f>
        <v>---</v>
      </c>
      <c r="C219" s="337" t="str">
        <f>IF(Start!$C$16="x",'H-Runoff'!B219,"---")</f>
        <v>---</v>
      </c>
      <c r="D219" s="338" t="str">
        <f>IF(Start!$C$16="x",'H-Runoff'!C219,"---")</f>
        <v>---</v>
      </c>
      <c r="E219" s="868" t="str">
        <f>IF(Start!$C$17="x",'H-Leachate'!B219,"---")</f>
        <v/>
      </c>
      <c r="F219" s="340" t="str">
        <f>IF(Start!$C$18="x",('H-Volatilization'!B219),"---")</f>
        <v/>
      </c>
      <c r="G219" s="341" t="str">
        <f>IF(Start!$C$18="x",('H-Volatilization'!C219),"---")</f>
        <v/>
      </c>
      <c r="H219" s="341" t="str">
        <f>IF(Start!$C$18="x",('H-Volatilization'!D219),"---")</f>
        <v/>
      </c>
      <c r="I219" s="342" t="str">
        <f>IF(Start!$C$18="x",('H-Volatilization'!E219),"---")</f>
        <v/>
      </c>
      <c r="J219" s="339" t="str">
        <f>IF(Start!$C$19="x",'H-Plant &amp; Animal'!B219,"---")</f>
        <v>---</v>
      </c>
      <c r="K219" s="343" t="str">
        <f>'H-Effluent'!Q219</f>
        <v>Not Req.</v>
      </c>
      <c r="L219" s="286" t="str">
        <f>'H-Runoff'!T219</f>
        <v>Not Req.</v>
      </c>
      <c r="M219" s="344" t="str">
        <f>'H-Runoff'!U219</f>
        <v>Not Req.</v>
      </c>
      <c r="N219" s="343" t="str">
        <f>'H-Leachate'!O219</f>
        <v/>
      </c>
      <c r="O219" s="283" t="str">
        <f>'H-Volatilization'!AV219</f>
        <v/>
      </c>
      <c r="P219" s="284" t="str">
        <f>'H-Volatilization'!AW219</f>
        <v/>
      </c>
      <c r="Q219" s="284" t="str">
        <f>'H-Volatilization'!AX219</f>
        <v/>
      </c>
      <c r="R219" s="285" t="str">
        <f>'H-Volatilization'!AY219</f>
        <v/>
      </c>
      <c r="S219" s="462"/>
      <c r="T219" s="345" t="str">
        <f>'H-Plant &amp; Animal'!L219</f>
        <v>Not Req.</v>
      </c>
      <c r="U219" s="346" t="str">
        <f>'H-Plant &amp; Animal'!M219</f>
        <v>Not Req.</v>
      </c>
      <c r="V219" s="794" t="str">
        <f>'H-Effluent'!O219</f>
        <v>---</v>
      </c>
      <c r="W219" s="797" t="str">
        <f>'H-Runoff'!Q219</f>
        <v>---</v>
      </c>
      <c r="X219" s="799" t="str">
        <f>'H-Runoff'!S219</f>
        <v>---</v>
      </c>
      <c r="Y219" s="794" t="str">
        <f>'H-Leachate'!N219</f>
        <v>NA</v>
      </c>
      <c r="Z219" s="797" t="str">
        <f>'H-Volatilization'!AD219</f>
        <v>NA</v>
      </c>
      <c r="AA219" s="798" t="str">
        <f>'H-Volatilization'!AF219</f>
        <v>NA</v>
      </c>
      <c r="AB219" s="798" t="str">
        <f>'H-Volatilization'!AO219</f>
        <v>NA</v>
      </c>
      <c r="AC219" s="799" t="str">
        <f>'H-Volatilization'!AU219</f>
        <v>NA</v>
      </c>
    </row>
    <row r="220" spans="1:29" x14ac:dyDescent="0.25">
      <c r="A220" s="56" t="s">
        <v>538</v>
      </c>
      <c r="B220" s="336" t="str">
        <f>IF(Start!$C$15="x",('H-Effluent'!B220),"---")</f>
        <v>---</v>
      </c>
      <c r="C220" s="337" t="str">
        <f>IF(Start!$C$16="x",'H-Runoff'!B220,"---")</f>
        <v>---</v>
      </c>
      <c r="D220" s="338" t="str">
        <f>IF(Start!$C$16="x",'H-Runoff'!C220,"---")</f>
        <v>---</v>
      </c>
      <c r="E220" s="868" t="str">
        <f>IF(Start!$C$17="x",'H-Leachate'!B220,"---")</f>
        <v/>
      </c>
      <c r="F220" s="340" t="str">
        <f>IF(Start!$C$18="x",('H-Volatilization'!B220),"---")</f>
        <v/>
      </c>
      <c r="G220" s="341" t="str">
        <f>IF(Start!$C$18="x",('H-Volatilization'!C220),"---")</f>
        <v/>
      </c>
      <c r="H220" s="341" t="str">
        <f>IF(Start!$C$18="x",('H-Volatilization'!D220),"---")</f>
        <v/>
      </c>
      <c r="I220" s="342" t="str">
        <f>IF(Start!$C$18="x",('H-Volatilization'!E220),"---")</f>
        <v/>
      </c>
      <c r="J220" s="339" t="str">
        <f>IF(Start!$C$19="x",'H-Plant &amp; Animal'!B220,"---")</f>
        <v>---</v>
      </c>
      <c r="K220" s="343" t="str">
        <f>'H-Effluent'!Q220</f>
        <v>Not Req.</v>
      </c>
      <c r="L220" s="286" t="str">
        <f>'H-Runoff'!T220</f>
        <v>Not Req.</v>
      </c>
      <c r="M220" s="344" t="str">
        <f>'H-Runoff'!U220</f>
        <v>Not Req.</v>
      </c>
      <c r="N220" s="343" t="str">
        <f>'H-Leachate'!O220</f>
        <v/>
      </c>
      <c r="O220" s="283" t="str">
        <f>'H-Volatilization'!AV220</f>
        <v/>
      </c>
      <c r="P220" s="284" t="str">
        <f>'H-Volatilization'!AW220</f>
        <v/>
      </c>
      <c r="Q220" s="284" t="str">
        <f>'H-Volatilization'!AX220</f>
        <v/>
      </c>
      <c r="R220" s="285" t="str">
        <f>'H-Volatilization'!AY220</f>
        <v/>
      </c>
      <c r="S220" s="462"/>
      <c r="T220" s="345" t="str">
        <f>'H-Plant &amp; Animal'!L220</f>
        <v>Not Req.</v>
      </c>
      <c r="U220" s="346" t="str">
        <f>'H-Plant &amp; Animal'!M220</f>
        <v>Not Req.</v>
      </c>
      <c r="V220" s="794" t="str">
        <f>'H-Effluent'!O220</f>
        <v>---</v>
      </c>
      <c r="W220" s="797" t="str">
        <f>'H-Runoff'!Q220</f>
        <v>---</v>
      </c>
      <c r="X220" s="799" t="str">
        <f>'H-Runoff'!S220</f>
        <v>---</v>
      </c>
      <c r="Y220" s="794" t="str">
        <f>'H-Leachate'!N220</f>
        <v>NA</v>
      </c>
      <c r="Z220" s="797" t="str">
        <f>'H-Volatilization'!AD220</f>
        <v>NA</v>
      </c>
      <c r="AA220" s="798" t="str">
        <f>'H-Volatilization'!AF220</f>
        <v>NA</v>
      </c>
      <c r="AB220" s="798" t="str">
        <f>'H-Volatilization'!AO220</f>
        <v>NA</v>
      </c>
      <c r="AC220" s="799" t="str">
        <f>'H-Volatilization'!AU220</f>
        <v>NA</v>
      </c>
    </row>
    <row r="221" spans="1:29" x14ac:dyDescent="0.25">
      <c r="A221" s="56" t="s">
        <v>688</v>
      </c>
      <c r="B221" s="336" t="str">
        <f>IF(Start!$C$15="x",('H-Effluent'!B221),"---")</f>
        <v>---</v>
      </c>
      <c r="C221" s="337" t="str">
        <f>IF(Start!$C$16="x",'H-Runoff'!B221,"---")</f>
        <v>---</v>
      </c>
      <c r="D221" s="338" t="str">
        <f>IF(Start!$C$16="x",'H-Runoff'!C221,"---")</f>
        <v>---</v>
      </c>
      <c r="E221" s="868" t="str">
        <f>IF(Start!$C$17="x",'H-Leachate'!B221,"---")</f>
        <v/>
      </c>
      <c r="F221" s="340" t="str">
        <f>IF(Start!$C$18="x",('H-Volatilization'!B221),"---")</f>
        <v/>
      </c>
      <c r="G221" s="341" t="str">
        <f>IF(Start!$C$18="x",('H-Volatilization'!C221),"---")</f>
        <v/>
      </c>
      <c r="H221" s="341" t="str">
        <f>IF(Start!$C$18="x",('H-Volatilization'!D221),"---")</f>
        <v/>
      </c>
      <c r="I221" s="342" t="str">
        <f>IF(Start!$C$18="x",('H-Volatilization'!E221),"---")</f>
        <v/>
      </c>
      <c r="J221" s="339" t="str">
        <f>IF(Start!$C$19="x",'H-Plant &amp; Animal'!B221,"---")</f>
        <v>---</v>
      </c>
      <c r="K221" s="343" t="str">
        <f>'H-Effluent'!Q221</f>
        <v>Not Req.</v>
      </c>
      <c r="L221" s="286" t="str">
        <f>'H-Runoff'!T221</f>
        <v>Not Req.</v>
      </c>
      <c r="M221" s="344" t="str">
        <f>'H-Runoff'!U221</f>
        <v>Not Req.</v>
      </c>
      <c r="N221" s="343" t="str">
        <f>'H-Leachate'!O221</f>
        <v/>
      </c>
      <c r="O221" s="283" t="str">
        <f>'H-Volatilization'!AV221</f>
        <v/>
      </c>
      <c r="P221" s="284" t="str">
        <f>'H-Volatilization'!AW221</f>
        <v/>
      </c>
      <c r="Q221" s="284" t="str">
        <f>'H-Volatilization'!AX221</f>
        <v/>
      </c>
      <c r="R221" s="285" t="str">
        <f>'H-Volatilization'!AY221</f>
        <v/>
      </c>
      <c r="S221" s="462"/>
      <c r="T221" s="345" t="str">
        <f>'H-Plant &amp; Animal'!L221</f>
        <v>Not Req.</v>
      </c>
      <c r="U221" s="346" t="str">
        <f>'H-Plant &amp; Animal'!M221</f>
        <v>Not Req.</v>
      </c>
      <c r="V221" s="794" t="str">
        <f>'H-Effluent'!O221</f>
        <v>---</v>
      </c>
      <c r="W221" s="797" t="str">
        <f>'H-Runoff'!Q221</f>
        <v>---</v>
      </c>
      <c r="X221" s="799" t="str">
        <f>'H-Runoff'!S221</f>
        <v>---</v>
      </c>
      <c r="Y221" s="794" t="str">
        <f>'H-Leachate'!N221</f>
        <v>NA</v>
      </c>
      <c r="Z221" s="797" t="str">
        <f>'H-Volatilization'!AD221</f>
        <v>NA</v>
      </c>
      <c r="AA221" s="798" t="str">
        <f>'H-Volatilization'!AF221</f>
        <v>NA</v>
      </c>
      <c r="AB221" s="798" t="str">
        <f>'H-Volatilization'!AO221</f>
        <v>NA</v>
      </c>
      <c r="AC221" s="799" t="str">
        <f>'H-Volatilization'!AU221</f>
        <v>NA</v>
      </c>
    </row>
    <row r="222" spans="1:29" x14ac:dyDescent="0.25">
      <c r="A222" s="56" t="s">
        <v>689</v>
      </c>
      <c r="B222" s="336" t="str">
        <f>IF(Start!$C$15="x",('H-Effluent'!B222),"---")</f>
        <v>---</v>
      </c>
      <c r="C222" s="337" t="str">
        <f>IF(Start!$C$16="x",'H-Runoff'!B222,"---")</f>
        <v>---</v>
      </c>
      <c r="D222" s="338" t="str">
        <f>IF(Start!$C$16="x",'H-Runoff'!C222,"---")</f>
        <v>---</v>
      </c>
      <c r="E222" s="868" t="str">
        <f>IF(Start!$C$17="x",'H-Leachate'!B222,"---")</f>
        <v/>
      </c>
      <c r="F222" s="340" t="str">
        <f>IF(Start!$C$18="x",('H-Volatilization'!B222),"---")</f>
        <v/>
      </c>
      <c r="G222" s="341" t="str">
        <f>IF(Start!$C$18="x",('H-Volatilization'!C222),"---")</f>
        <v/>
      </c>
      <c r="H222" s="341" t="str">
        <f>IF(Start!$C$18="x",('H-Volatilization'!D222),"---")</f>
        <v/>
      </c>
      <c r="I222" s="342" t="str">
        <f>IF(Start!$C$18="x",('H-Volatilization'!E222),"---")</f>
        <v/>
      </c>
      <c r="J222" s="339" t="str">
        <f>IF(Start!$C$19="x",'H-Plant &amp; Animal'!B222,"---")</f>
        <v>---</v>
      </c>
      <c r="K222" s="343" t="str">
        <f>'H-Effluent'!Q222</f>
        <v>Not Req.</v>
      </c>
      <c r="L222" s="286" t="str">
        <f>'H-Runoff'!T222</f>
        <v>Not Req.</v>
      </c>
      <c r="M222" s="344" t="str">
        <f>'H-Runoff'!U222</f>
        <v>Not Req.</v>
      </c>
      <c r="N222" s="343" t="str">
        <f>'H-Leachate'!O222</f>
        <v/>
      </c>
      <c r="O222" s="283" t="str">
        <f>'H-Volatilization'!AV222</f>
        <v/>
      </c>
      <c r="P222" s="284" t="str">
        <f>'H-Volatilization'!AW222</f>
        <v/>
      </c>
      <c r="Q222" s="284" t="str">
        <f>'H-Volatilization'!AX222</f>
        <v/>
      </c>
      <c r="R222" s="285" t="str">
        <f>'H-Volatilization'!AY222</f>
        <v/>
      </c>
      <c r="S222" s="462"/>
      <c r="T222" s="345" t="str">
        <f>'H-Plant &amp; Animal'!L222</f>
        <v>Not Req.</v>
      </c>
      <c r="U222" s="346" t="str">
        <f>'H-Plant &amp; Animal'!M222</f>
        <v>Not Req.</v>
      </c>
      <c r="V222" s="794" t="str">
        <f>'H-Effluent'!O222</f>
        <v>---</v>
      </c>
      <c r="W222" s="797" t="str">
        <f>'H-Runoff'!Q222</f>
        <v>---</v>
      </c>
      <c r="X222" s="799" t="str">
        <f>'H-Runoff'!S222</f>
        <v>---</v>
      </c>
      <c r="Y222" s="794" t="str">
        <f>'H-Leachate'!N222</f>
        <v>NA</v>
      </c>
      <c r="Z222" s="797" t="str">
        <f>'H-Volatilization'!AD222</f>
        <v>NA</v>
      </c>
      <c r="AA222" s="798" t="str">
        <f>'H-Volatilization'!AF222</f>
        <v>NA</v>
      </c>
      <c r="AB222" s="798" t="str">
        <f>'H-Volatilization'!AO222</f>
        <v>NA</v>
      </c>
      <c r="AC222" s="799" t="str">
        <f>'H-Volatilization'!AU222</f>
        <v>NA</v>
      </c>
    </row>
    <row r="223" spans="1:29" x14ac:dyDescent="0.25">
      <c r="A223" s="56" t="s">
        <v>541</v>
      </c>
      <c r="B223" s="336" t="str">
        <f>IF(Start!$C$15="x",('H-Effluent'!B223),"---")</f>
        <v>---</v>
      </c>
      <c r="C223" s="337" t="str">
        <f>IF(Start!$C$16="x",'H-Runoff'!B223,"---")</f>
        <v>---</v>
      </c>
      <c r="D223" s="338" t="str">
        <f>IF(Start!$C$16="x",'H-Runoff'!C223,"---")</f>
        <v>---</v>
      </c>
      <c r="E223" s="868" t="str">
        <f>IF(Start!$C$17="x",'H-Leachate'!B223,"---")</f>
        <v/>
      </c>
      <c r="F223" s="340" t="str">
        <f>IF(Start!$C$18="x",('H-Volatilization'!B223),"---")</f>
        <v/>
      </c>
      <c r="G223" s="341" t="str">
        <f>IF(Start!$C$18="x",('H-Volatilization'!C223),"---")</f>
        <v/>
      </c>
      <c r="H223" s="341" t="str">
        <f>IF(Start!$C$18="x",('H-Volatilization'!D223),"---")</f>
        <v/>
      </c>
      <c r="I223" s="342" t="str">
        <f>IF(Start!$C$18="x",('H-Volatilization'!E223),"---")</f>
        <v/>
      </c>
      <c r="J223" s="339" t="str">
        <f>IF(Start!$C$19="x",'H-Plant &amp; Animal'!B223,"---")</f>
        <v>---</v>
      </c>
      <c r="K223" s="343" t="str">
        <f>'H-Effluent'!Q223</f>
        <v>Not Req.</v>
      </c>
      <c r="L223" s="286" t="str">
        <f>'H-Runoff'!T223</f>
        <v>Not Req.</v>
      </c>
      <c r="M223" s="344" t="str">
        <f>'H-Runoff'!U223</f>
        <v>Not Req.</v>
      </c>
      <c r="N223" s="343" t="str">
        <f>'H-Leachate'!O223</f>
        <v/>
      </c>
      <c r="O223" s="283" t="str">
        <f>'H-Volatilization'!AV223</f>
        <v/>
      </c>
      <c r="P223" s="284" t="str">
        <f>'H-Volatilization'!AW223</f>
        <v/>
      </c>
      <c r="Q223" s="284" t="str">
        <f>'H-Volatilization'!AX223</f>
        <v/>
      </c>
      <c r="R223" s="285" t="str">
        <f>'H-Volatilization'!AY223</f>
        <v/>
      </c>
      <c r="S223" s="462"/>
      <c r="T223" s="345" t="str">
        <f>'H-Plant &amp; Animal'!L223</f>
        <v>Not Req.</v>
      </c>
      <c r="U223" s="346" t="str">
        <f>'H-Plant &amp; Animal'!M223</f>
        <v>Not Req.</v>
      </c>
      <c r="V223" s="794" t="str">
        <f>'H-Effluent'!O223</f>
        <v>---</v>
      </c>
      <c r="W223" s="797" t="str">
        <f>'H-Runoff'!Q223</f>
        <v>---</v>
      </c>
      <c r="X223" s="799" t="str">
        <f>'H-Runoff'!S223</f>
        <v>---</v>
      </c>
      <c r="Y223" s="794" t="str">
        <f>'H-Leachate'!N223</f>
        <v>NA</v>
      </c>
      <c r="Z223" s="797" t="str">
        <f>'H-Volatilization'!AD223</f>
        <v>NA</v>
      </c>
      <c r="AA223" s="798" t="str">
        <f>'H-Volatilization'!AF223</f>
        <v>NA</v>
      </c>
      <c r="AB223" s="798" t="str">
        <f>'H-Volatilization'!AO223</f>
        <v>NA</v>
      </c>
      <c r="AC223" s="799" t="str">
        <f>'H-Volatilization'!AU223</f>
        <v>NA</v>
      </c>
    </row>
    <row r="224" spans="1:29" x14ac:dyDescent="0.25">
      <c r="A224" s="56" t="s">
        <v>542</v>
      </c>
      <c r="B224" s="336" t="str">
        <f>IF(Start!$C$15="x",('H-Effluent'!B224),"---")</f>
        <v>---</v>
      </c>
      <c r="C224" s="337" t="str">
        <f>IF(Start!$C$16="x",'H-Runoff'!B224,"---")</f>
        <v>---</v>
      </c>
      <c r="D224" s="338" t="str">
        <f>IF(Start!$C$16="x",'H-Runoff'!C224,"---")</f>
        <v>---</v>
      </c>
      <c r="E224" s="868" t="str">
        <f>IF(Start!$C$17="x",'H-Leachate'!B224,"---")</f>
        <v/>
      </c>
      <c r="F224" s="340" t="str">
        <f>IF(Start!$C$18="x",('H-Volatilization'!B224),"---")</f>
        <v/>
      </c>
      <c r="G224" s="341" t="str">
        <f>IF(Start!$C$18="x",('H-Volatilization'!C224),"---")</f>
        <v/>
      </c>
      <c r="H224" s="341" t="str">
        <f>IF(Start!$C$18="x",('H-Volatilization'!D224),"---")</f>
        <v/>
      </c>
      <c r="I224" s="342" t="str">
        <f>IF(Start!$C$18="x",('H-Volatilization'!E224),"---")</f>
        <v/>
      </c>
      <c r="J224" s="339" t="str">
        <f>IF(Start!$C$19="x",'H-Plant &amp; Animal'!B224,"---")</f>
        <v>---</v>
      </c>
      <c r="K224" s="343" t="str">
        <f>'H-Effluent'!Q224</f>
        <v>Not Req.</v>
      </c>
      <c r="L224" s="286" t="str">
        <f>'H-Runoff'!T224</f>
        <v>Not Req.</v>
      </c>
      <c r="M224" s="344" t="str">
        <f>'H-Runoff'!U224</f>
        <v>Not Req.</v>
      </c>
      <c r="N224" s="343" t="str">
        <f>'H-Leachate'!O224</f>
        <v/>
      </c>
      <c r="O224" s="283" t="str">
        <f>'H-Volatilization'!AV224</f>
        <v/>
      </c>
      <c r="P224" s="284" t="str">
        <f>'H-Volatilization'!AW224</f>
        <v/>
      </c>
      <c r="Q224" s="284" t="str">
        <f>'H-Volatilization'!AX224</f>
        <v/>
      </c>
      <c r="R224" s="285" t="str">
        <f>'H-Volatilization'!AY224</f>
        <v/>
      </c>
      <c r="S224" s="462"/>
      <c r="T224" s="345" t="str">
        <f>'H-Plant &amp; Animal'!L224</f>
        <v>Not Req.</v>
      </c>
      <c r="U224" s="346" t="str">
        <f>'H-Plant &amp; Animal'!M224</f>
        <v>Not Req.</v>
      </c>
      <c r="V224" s="794" t="str">
        <f>'H-Effluent'!O224</f>
        <v>---</v>
      </c>
      <c r="W224" s="797" t="str">
        <f>'H-Runoff'!Q224</f>
        <v>---</v>
      </c>
      <c r="X224" s="799" t="str">
        <f>'H-Runoff'!S224</f>
        <v>---</v>
      </c>
      <c r="Y224" s="794" t="str">
        <f>'H-Leachate'!N224</f>
        <v>NA</v>
      </c>
      <c r="Z224" s="797" t="str">
        <f>'H-Volatilization'!AD224</f>
        <v>NA</v>
      </c>
      <c r="AA224" s="798" t="str">
        <f>'H-Volatilization'!AF224</f>
        <v>NA</v>
      </c>
      <c r="AB224" s="798" t="str">
        <f>'H-Volatilization'!AO224</f>
        <v>NA</v>
      </c>
      <c r="AC224" s="799" t="str">
        <f>'H-Volatilization'!AU224</f>
        <v>NA</v>
      </c>
    </row>
    <row r="225" spans="1:29" x14ac:dyDescent="0.25">
      <c r="A225" s="56" t="s">
        <v>543</v>
      </c>
      <c r="B225" s="336" t="str">
        <f>IF(Start!$C$15="x",('H-Effluent'!B225),"---")</f>
        <v>---</v>
      </c>
      <c r="C225" s="337" t="str">
        <f>IF(Start!$C$16="x",'H-Runoff'!B225,"---")</f>
        <v>---</v>
      </c>
      <c r="D225" s="338" t="str">
        <f>IF(Start!$C$16="x",'H-Runoff'!C225,"---")</f>
        <v>---</v>
      </c>
      <c r="E225" s="868" t="str">
        <f>IF(Start!$C$17="x",'H-Leachate'!B225,"---")</f>
        <v/>
      </c>
      <c r="F225" s="340" t="str">
        <f>IF(Start!$C$18="x",('H-Volatilization'!B225),"---")</f>
        <v/>
      </c>
      <c r="G225" s="341" t="str">
        <f>IF(Start!$C$18="x",('H-Volatilization'!C225),"---")</f>
        <v/>
      </c>
      <c r="H225" s="341" t="str">
        <f>IF(Start!$C$18="x",('H-Volatilization'!D225),"---")</f>
        <v/>
      </c>
      <c r="I225" s="342" t="str">
        <f>IF(Start!$C$18="x",('H-Volatilization'!E225),"---")</f>
        <v/>
      </c>
      <c r="J225" s="339" t="str">
        <f>IF(Start!$C$19="x",'H-Plant &amp; Animal'!B225,"---")</f>
        <v>---</v>
      </c>
      <c r="K225" s="343" t="str">
        <f>'H-Effluent'!Q225</f>
        <v>Not Req.</v>
      </c>
      <c r="L225" s="286" t="str">
        <f>'H-Runoff'!T225</f>
        <v>Not Req.</v>
      </c>
      <c r="M225" s="344" t="str">
        <f>'H-Runoff'!U225</f>
        <v>Not Req.</v>
      </c>
      <c r="N225" s="343" t="str">
        <f>'H-Leachate'!O225</f>
        <v/>
      </c>
      <c r="O225" s="283" t="str">
        <f>'H-Volatilization'!AV225</f>
        <v/>
      </c>
      <c r="P225" s="284" t="str">
        <f>'H-Volatilization'!AW225</f>
        <v/>
      </c>
      <c r="Q225" s="284" t="str">
        <f>'H-Volatilization'!AX225</f>
        <v/>
      </c>
      <c r="R225" s="285" t="str">
        <f>'H-Volatilization'!AY225</f>
        <v/>
      </c>
      <c r="S225" s="462"/>
      <c r="T225" s="345" t="str">
        <f>'H-Plant &amp; Animal'!L225</f>
        <v>Not Req.</v>
      </c>
      <c r="U225" s="346" t="str">
        <f>'H-Plant &amp; Animal'!M225</f>
        <v>Not Req.</v>
      </c>
      <c r="V225" s="794" t="str">
        <f>'H-Effluent'!O225</f>
        <v>---</v>
      </c>
      <c r="W225" s="797" t="str">
        <f>'H-Runoff'!Q225</f>
        <v>---</v>
      </c>
      <c r="X225" s="799" t="str">
        <f>'H-Runoff'!S225</f>
        <v>---</v>
      </c>
      <c r="Y225" s="794" t="str">
        <f>'H-Leachate'!N225</f>
        <v>NA</v>
      </c>
      <c r="Z225" s="797" t="str">
        <f>'H-Volatilization'!AD225</f>
        <v>NA</v>
      </c>
      <c r="AA225" s="798" t="str">
        <f>'H-Volatilization'!AF225</f>
        <v>NA</v>
      </c>
      <c r="AB225" s="798" t="str">
        <f>'H-Volatilization'!AO225</f>
        <v>NA</v>
      </c>
      <c r="AC225" s="799" t="str">
        <f>'H-Volatilization'!AU225</f>
        <v>NA</v>
      </c>
    </row>
    <row r="226" spans="1:29" x14ac:dyDescent="0.25">
      <c r="A226" s="56" t="s">
        <v>544</v>
      </c>
      <c r="B226" s="336" t="str">
        <f>IF(Start!$C$15="x",('H-Effluent'!B226),"---")</f>
        <v>---</v>
      </c>
      <c r="C226" s="337" t="str">
        <f>IF(Start!$C$16="x",'H-Runoff'!B226,"---")</f>
        <v>---</v>
      </c>
      <c r="D226" s="338" t="str">
        <f>IF(Start!$C$16="x",'H-Runoff'!C226,"---")</f>
        <v>---</v>
      </c>
      <c r="E226" s="868" t="str">
        <f>IF(Start!$C$17="x",'H-Leachate'!B226,"---")</f>
        <v/>
      </c>
      <c r="F226" s="340" t="str">
        <f>IF(Start!$C$18="x",('H-Volatilization'!B226),"---")</f>
        <v/>
      </c>
      <c r="G226" s="341" t="str">
        <f>IF(Start!$C$18="x",('H-Volatilization'!C226),"---")</f>
        <v/>
      </c>
      <c r="H226" s="341" t="str">
        <f>IF(Start!$C$18="x",('H-Volatilization'!D226),"---")</f>
        <v/>
      </c>
      <c r="I226" s="342" t="str">
        <f>IF(Start!$C$18="x",('H-Volatilization'!E226),"---")</f>
        <v/>
      </c>
      <c r="J226" s="339" t="str">
        <f>IF(Start!$C$19="x",'H-Plant &amp; Animal'!B226,"---")</f>
        <v>---</v>
      </c>
      <c r="K226" s="343" t="str">
        <f>'H-Effluent'!Q226</f>
        <v>Not Req.</v>
      </c>
      <c r="L226" s="286" t="str">
        <f>'H-Runoff'!T226</f>
        <v>Not Req.</v>
      </c>
      <c r="M226" s="344" t="str">
        <f>'H-Runoff'!U226</f>
        <v>Not Req.</v>
      </c>
      <c r="N226" s="343" t="str">
        <f>'H-Leachate'!O226</f>
        <v/>
      </c>
      <c r="O226" s="283" t="str">
        <f>'H-Volatilization'!AV226</f>
        <v/>
      </c>
      <c r="P226" s="284" t="str">
        <f>'H-Volatilization'!AW226</f>
        <v/>
      </c>
      <c r="Q226" s="284" t="str">
        <f>'H-Volatilization'!AX226</f>
        <v/>
      </c>
      <c r="R226" s="285" t="str">
        <f>'H-Volatilization'!AY226</f>
        <v/>
      </c>
      <c r="S226" s="462"/>
      <c r="T226" s="345" t="str">
        <f>'H-Plant &amp; Animal'!L226</f>
        <v>Not Req.</v>
      </c>
      <c r="U226" s="346" t="str">
        <f>'H-Plant &amp; Animal'!M226</f>
        <v>Not Req.</v>
      </c>
      <c r="V226" s="794" t="str">
        <f>'H-Effluent'!O226</f>
        <v>---</v>
      </c>
      <c r="W226" s="797" t="str">
        <f>'H-Runoff'!Q226</f>
        <v>---</v>
      </c>
      <c r="X226" s="799" t="str">
        <f>'H-Runoff'!S226</f>
        <v>---</v>
      </c>
      <c r="Y226" s="794" t="str">
        <f>'H-Leachate'!N226</f>
        <v>NA</v>
      </c>
      <c r="Z226" s="797" t="str">
        <f>'H-Volatilization'!AD226</f>
        <v>NA</v>
      </c>
      <c r="AA226" s="798" t="str">
        <f>'H-Volatilization'!AF226</f>
        <v>NA</v>
      </c>
      <c r="AB226" s="798" t="str">
        <f>'H-Volatilization'!AO226</f>
        <v>NA</v>
      </c>
      <c r="AC226" s="799" t="str">
        <f>'H-Volatilization'!AU226</f>
        <v>NA</v>
      </c>
    </row>
    <row r="227" spans="1:29" x14ac:dyDescent="0.25">
      <c r="A227" s="56" t="s">
        <v>545</v>
      </c>
      <c r="B227" s="336" t="str">
        <f>IF(Start!$C$15="x",('H-Effluent'!B227),"---")</f>
        <v>---</v>
      </c>
      <c r="C227" s="337" t="str">
        <f>IF(Start!$C$16="x",'H-Runoff'!B227,"---")</f>
        <v>---</v>
      </c>
      <c r="D227" s="338" t="str">
        <f>IF(Start!$C$16="x",'H-Runoff'!C227,"---")</f>
        <v>---</v>
      </c>
      <c r="E227" s="868" t="str">
        <f>IF(Start!$C$17="x",'H-Leachate'!B227,"---")</f>
        <v/>
      </c>
      <c r="F227" s="340" t="str">
        <f>IF(Start!$C$18="x",('H-Volatilization'!B227),"---")</f>
        <v/>
      </c>
      <c r="G227" s="341" t="str">
        <f>IF(Start!$C$18="x",('H-Volatilization'!C227),"---")</f>
        <v/>
      </c>
      <c r="H227" s="341" t="str">
        <f>IF(Start!$C$18="x",('H-Volatilization'!D227),"---")</f>
        <v/>
      </c>
      <c r="I227" s="342" t="str">
        <f>IF(Start!$C$18="x",('H-Volatilization'!E227),"---")</f>
        <v/>
      </c>
      <c r="J227" s="339" t="str">
        <f>IF(Start!$C$19="x",'H-Plant &amp; Animal'!B227,"---")</f>
        <v>---</v>
      </c>
      <c r="K227" s="343" t="str">
        <f>'H-Effluent'!Q227</f>
        <v>Not Req.</v>
      </c>
      <c r="L227" s="286" t="str">
        <f>'H-Runoff'!T227</f>
        <v>Not Req.</v>
      </c>
      <c r="M227" s="344" t="str">
        <f>'H-Runoff'!U227</f>
        <v>Not Req.</v>
      </c>
      <c r="N227" s="343" t="str">
        <f>'H-Leachate'!O227</f>
        <v/>
      </c>
      <c r="O227" s="283" t="str">
        <f>'H-Volatilization'!AV227</f>
        <v/>
      </c>
      <c r="P227" s="284" t="str">
        <f>'H-Volatilization'!AW227</f>
        <v/>
      </c>
      <c r="Q227" s="284" t="str">
        <f>'H-Volatilization'!AX227</f>
        <v/>
      </c>
      <c r="R227" s="285" t="str">
        <f>'H-Volatilization'!AY227</f>
        <v/>
      </c>
      <c r="S227" s="462"/>
      <c r="T227" s="345" t="str">
        <f>'H-Plant &amp; Animal'!L227</f>
        <v>Not Req.</v>
      </c>
      <c r="U227" s="346" t="str">
        <f>'H-Plant &amp; Animal'!M227</f>
        <v>Not Req.</v>
      </c>
      <c r="V227" s="794" t="str">
        <f>'H-Effluent'!O227</f>
        <v>---</v>
      </c>
      <c r="W227" s="797" t="str">
        <f>'H-Runoff'!Q227</f>
        <v>---</v>
      </c>
      <c r="X227" s="799" t="str">
        <f>'H-Runoff'!S227</f>
        <v>---</v>
      </c>
      <c r="Y227" s="794" t="str">
        <f>'H-Leachate'!N227</f>
        <v>NA</v>
      </c>
      <c r="Z227" s="797" t="str">
        <f>'H-Volatilization'!AD227</f>
        <v>NA</v>
      </c>
      <c r="AA227" s="798" t="str">
        <f>'H-Volatilization'!AF227</f>
        <v>NA</v>
      </c>
      <c r="AB227" s="798" t="str">
        <f>'H-Volatilization'!AO227</f>
        <v>NA</v>
      </c>
      <c r="AC227" s="799" t="str">
        <f>'H-Volatilization'!AU227</f>
        <v>NA</v>
      </c>
    </row>
    <row r="228" spans="1:29" x14ac:dyDescent="0.25">
      <c r="A228" s="56" t="s">
        <v>546</v>
      </c>
      <c r="B228" s="336" t="str">
        <f>IF(Start!$C$15="x",('H-Effluent'!B228),"---")</f>
        <v>---</v>
      </c>
      <c r="C228" s="337" t="str">
        <f>IF(Start!$C$16="x",'H-Runoff'!B228,"---")</f>
        <v>---</v>
      </c>
      <c r="D228" s="338" t="str">
        <f>IF(Start!$C$16="x",'H-Runoff'!C228,"---")</f>
        <v>---</v>
      </c>
      <c r="E228" s="868" t="str">
        <f>IF(Start!$C$17="x",'H-Leachate'!B228,"---")</f>
        <v/>
      </c>
      <c r="F228" s="340" t="str">
        <f>IF(Start!$C$18="x",('H-Volatilization'!B228),"---")</f>
        <v/>
      </c>
      <c r="G228" s="341" t="str">
        <f>IF(Start!$C$18="x",('H-Volatilization'!C228),"---")</f>
        <v/>
      </c>
      <c r="H228" s="341" t="str">
        <f>IF(Start!$C$18="x",('H-Volatilization'!D228),"---")</f>
        <v/>
      </c>
      <c r="I228" s="342" t="str">
        <f>IF(Start!$C$18="x",('H-Volatilization'!E228),"---")</f>
        <v/>
      </c>
      <c r="J228" s="339" t="str">
        <f>IF(Start!$C$19="x",'H-Plant &amp; Animal'!B228,"---")</f>
        <v>---</v>
      </c>
      <c r="K228" s="343" t="str">
        <f>'H-Effluent'!Q228</f>
        <v>Not Req.</v>
      </c>
      <c r="L228" s="286" t="str">
        <f>'H-Runoff'!T228</f>
        <v>Not Req.</v>
      </c>
      <c r="M228" s="344" t="str">
        <f>'H-Runoff'!U228</f>
        <v>Not Req.</v>
      </c>
      <c r="N228" s="343" t="str">
        <f>'H-Leachate'!O228</f>
        <v/>
      </c>
      <c r="O228" s="283" t="str">
        <f>'H-Volatilization'!AV228</f>
        <v/>
      </c>
      <c r="P228" s="284" t="str">
        <f>'H-Volatilization'!AW228</f>
        <v/>
      </c>
      <c r="Q228" s="284" t="str">
        <f>'H-Volatilization'!AX228</f>
        <v/>
      </c>
      <c r="R228" s="285" t="str">
        <f>'H-Volatilization'!AY228</f>
        <v/>
      </c>
      <c r="S228" s="462"/>
      <c r="T228" s="345" t="str">
        <f>'H-Plant &amp; Animal'!L228</f>
        <v>Not Req.</v>
      </c>
      <c r="U228" s="346" t="str">
        <f>'H-Plant &amp; Animal'!M228</f>
        <v>Not Req.</v>
      </c>
      <c r="V228" s="794" t="str">
        <f>'H-Effluent'!O228</f>
        <v>---</v>
      </c>
      <c r="W228" s="797" t="str">
        <f>'H-Runoff'!Q228</f>
        <v>---</v>
      </c>
      <c r="X228" s="799" t="str">
        <f>'H-Runoff'!S228</f>
        <v>---</v>
      </c>
      <c r="Y228" s="794" t="str">
        <f>'H-Leachate'!N228</f>
        <v>NA</v>
      </c>
      <c r="Z228" s="797" t="str">
        <f>'H-Volatilization'!AD228</f>
        <v>NA</v>
      </c>
      <c r="AA228" s="798" t="str">
        <f>'H-Volatilization'!AF228</f>
        <v>NA</v>
      </c>
      <c r="AB228" s="798" t="str">
        <f>'H-Volatilization'!AO228</f>
        <v>NA</v>
      </c>
      <c r="AC228" s="799" t="str">
        <f>'H-Volatilization'!AU228</f>
        <v>NA</v>
      </c>
    </row>
    <row r="229" spans="1:29" x14ac:dyDescent="0.25">
      <c r="A229" s="56" t="s">
        <v>547</v>
      </c>
      <c r="B229" s="336" t="str">
        <f>IF(Start!$C$15="x",('H-Effluent'!B229),"---")</f>
        <v>---</v>
      </c>
      <c r="C229" s="337" t="str">
        <f>IF(Start!$C$16="x",'H-Runoff'!B229,"---")</f>
        <v>---</v>
      </c>
      <c r="D229" s="338" t="str">
        <f>IF(Start!$C$16="x",'H-Runoff'!C229,"---")</f>
        <v>---</v>
      </c>
      <c r="E229" s="868" t="str">
        <f>IF(Start!$C$17="x",'H-Leachate'!B229,"---")</f>
        <v/>
      </c>
      <c r="F229" s="340" t="str">
        <f>IF(Start!$C$18="x",('H-Volatilization'!B229),"---")</f>
        <v/>
      </c>
      <c r="G229" s="341" t="str">
        <f>IF(Start!$C$18="x",('H-Volatilization'!C229),"---")</f>
        <v/>
      </c>
      <c r="H229" s="341" t="str">
        <f>IF(Start!$C$18="x",('H-Volatilization'!D229),"---")</f>
        <v/>
      </c>
      <c r="I229" s="342" t="str">
        <f>IF(Start!$C$18="x",('H-Volatilization'!E229),"---")</f>
        <v/>
      </c>
      <c r="J229" s="339" t="str">
        <f>IF(Start!$C$19="x",'H-Plant &amp; Animal'!B229,"---")</f>
        <v>---</v>
      </c>
      <c r="K229" s="343" t="str">
        <f>'H-Effluent'!Q229</f>
        <v>Not Req.</v>
      </c>
      <c r="L229" s="286" t="str">
        <f>'H-Runoff'!T229</f>
        <v>Not Req.</v>
      </c>
      <c r="M229" s="344" t="str">
        <f>'H-Runoff'!U229</f>
        <v>Not Req.</v>
      </c>
      <c r="N229" s="343" t="str">
        <f>'H-Leachate'!O229</f>
        <v/>
      </c>
      <c r="O229" s="283" t="str">
        <f>'H-Volatilization'!AV229</f>
        <v/>
      </c>
      <c r="P229" s="284" t="str">
        <f>'H-Volatilization'!AW229</f>
        <v/>
      </c>
      <c r="Q229" s="284" t="str">
        <f>'H-Volatilization'!AX229</f>
        <v/>
      </c>
      <c r="R229" s="285" t="str">
        <f>'H-Volatilization'!AY229</f>
        <v/>
      </c>
      <c r="S229" s="462"/>
      <c r="T229" s="345" t="str">
        <f>'H-Plant &amp; Animal'!L229</f>
        <v>Not Req.</v>
      </c>
      <c r="U229" s="346" t="str">
        <f>'H-Plant &amp; Animal'!M229</f>
        <v>Not Req.</v>
      </c>
      <c r="V229" s="794" t="str">
        <f>'H-Effluent'!O229</f>
        <v>---</v>
      </c>
      <c r="W229" s="797" t="str">
        <f>'H-Runoff'!Q229</f>
        <v>---</v>
      </c>
      <c r="X229" s="799" t="str">
        <f>'H-Runoff'!S229</f>
        <v>---</v>
      </c>
      <c r="Y229" s="794" t="str">
        <f>'H-Leachate'!N229</f>
        <v>NA</v>
      </c>
      <c r="Z229" s="797" t="str">
        <f>'H-Volatilization'!AD229</f>
        <v>NA</v>
      </c>
      <c r="AA229" s="798" t="str">
        <f>'H-Volatilization'!AF229</f>
        <v>NA</v>
      </c>
      <c r="AB229" s="798" t="str">
        <f>'H-Volatilization'!AO229</f>
        <v>NA</v>
      </c>
      <c r="AC229" s="799" t="str">
        <f>'H-Volatilization'!AU229</f>
        <v>NA</v>
      </c>
    </row>
    <row r="230" spans="1:29" x14ac:dyDescent="0.25">
      <c r="A230" s="56" t="s">
        <v>548</v>
      </c>
      <c r="B230" s="336" t="str">
        <f>IF(Start!$C$15="x",('H-Effluent'!B230),"---")</f>
        <v>---</v>
      </c>
      <c r="C230" s="337" t="str">
        <f>IF(Start!$C$16="x",'H-Runoff'!B230,"---")</f>
        <v>---</v>
      </c>
      <c r="D230" s="338" t="str">
        <f>IF(Start!$C$16="x",'H-Runoff'!C230,"---")</f>
        <v>---</v>
      </c>
      <c r="E230" s="868" t="str">
        <f>IF(Start!$C$17="x",'H-Leachate'!B230,"---")</f>
        <v/>
      </c>
      <c r="F230" s="340" t="str">
        <f>IF(Start!$C$18="x",('H-Volatilization'!B230),"---")</f>
        <v/>
      </c>
      <c r="G230" s="341" t="str">
        <f>IF(Start!$C$18="x",('H-Volatilization'!C230),"---")</f>
        <v/>
      </c>
      <c r="H230" s="341" t="str">
        <f>IF(Start!$C$18="x",('H-Volatilization'!D230),"---")</f>
        <v/>
      </c>
      <c r="I230" s="342" t="str">
        <f>IF(Start!$C$18="x",('H-Volatilization'!E230),"---")</f>
        <v/>
      </c>
      <c r="J230" s="339" t="str">
        <f>IF(Start!$C$19="x",'H-Plant &amp; Animal'!B230,"---")</f>
        <v>---</v>
      </c>
      <c r="K230" s="343" t="str">
        <f>'H-Effluent'!Q230</f>
        <v>Not Req.</v>
      </c>
      <c r="L230" s="286" t="str">
        <f>'H-Runoff'!T230</f>
        <v>Not Req.</v>
      </c>
      <c r="M230" s="344" t="str">
        <f>'H-Runoff'!U230</f>
        <v>Not Req.</v>
      </c>
      <c r="N230" s="343" t="str">
        <f>'H-Leachate'!O230</f>
        <v/>
      </c>
      <c r="O230" s="283" t="str">
        <f>'H-Volatilization'!AV230</f>
        <v/>
      </c>
      <c r="P230" s="284" t="str">
        <f>'H-Volatilization'!AW230</f>
        <v/>
      </c>
      <c r="Q230" s="284" t="str">
        <f>'H-Volatilization'!AX230</f>
        <v/>
      </c>
      <c r="R230" s="285" t="str">
        <f>'H-Volatilization'!AY230</f>
        <v/>
      </c>
      <c r="S230" s="462"/>
      <c r="T230" s="345" t="str">
        <f>'H-Plant &amp; Animal'!L230</f>
        <v>Not Req.</v>
      </c>
      <c r="U230" s="346" t="str">
        <f>'H-Plant &amp; Animal'!M230</f>
        <v>Not Req.</v>
      </c>
      <c r="V230" s="794" t="str">
        <f>'H-Effluent'!O230</f>
        <v>---</v>
      </c>
      <c r="W230" s="797" t="str">
        <f>'H-Runoff'!Q230</f>
        <v>---</v>
      </c>
      <c r="X230" s="799" t="str">
        <f>'H-Runoff'!S230</f>
        <v>---</v>
      </c>
      <c r="Y230" s="794" t="str">
        <f>'H-Leachate'!N230</f>
        <v>NA</v>
      </c>
      <c r="Z230" s="797" t="str">
        <f>'H-Volatilization'!AD230</f>
        <v>NA</v>
      </c>
      <c r="AA230" s="798" t="str">
        <f>'H-Volatilization'!AF230</f>
        <v>NA</v>
      </c>
      <c r="AB230" s="798" t="str">
        <f>'H-Volatilization'!AO230</f>
        <v>NA</v>
      </c>
      <c r="AC230" s="799" t="str">
        <f>'H-Volatilization'!AU230</f>
        <v>NA</v>
      </c>
    </row>
    <row r="231" spans="1:29" x14ac:dyDescent="0.25">
      <c r="A231" s="56" t="s">
        <v>549</v>
      </c>
      <c r="B231" s="336" t="str">
        <f>IF(Start!$C$15="x",('H-Effluent'!B231),"---")</f>
        <v>---</v>
      </c>
      <c r="C231" s="337" t="str">
        <f>IF(Start!$C$16="x",'H-Runoff'!B231,"---")</f>
        <v>---</v>
      </c>
      <c r="D231" s="338" t="str">
        <f>IF(Start!$C$16="x",'H-Runoff'!C231,"---")</f>
        <v>---</v>
      </c>
      <c r="E231" s="868" t="str">
        <f>IF(Start!$C$17="x",'H-Leachate'!B231,"---")</f>
        <v/>
      </c>
      <c r="F231" s="340" t="str">
        <f>IF(Start!$C$18="x",('H-Volatilization'!B231),"---")</f>
        <v/>
      </c>
      <c r="G231" s="341" t="str">
        <f>IF(Start!$C$18="x",('H-Volatilization'!C231),"---")</f>
        <v/>
      </c>
      <c r="H231" s="341" t="str">
        <f>IF(Start!$C$18="x",('H-Volatilization'!D231),"---")</f>
        <v/>
      </c>
      <c r="I231" s="342" t="str">
        <f>IF(Start!$C$18="x",('H-Volatilization'!E231),"---")</f>
        <v/>
      </c>
      <c r="J231" s="339" t="str">
        <f>IF(Start!$C$19="x",'H-Plant &amp; Animal'!B231,"---")</f>
        <v>---</v>
      </c>
      <c r="K231" s="343" t="str">
        <f>'H-Effluent'!Q231</f>
        <v>Not Req.</v>
      </c>
      <c r="L231" s="286" t="str">
        <f>'H-Runoff'!T231</f>
        <v>Not Req.</v>
      </c>
      <c r="M231" s="344" t="str">
        <f>'H-Runoff'!U231</f>
        <v>Not Req.</v>
      </c>
      <c r="N231" s="343" t="str">
        <f>'H-Leachate'!O231</f>
        <v/>
      </c>
      <c r="O231" s="283" t="str">
        <f>'H-Volatilization'!AV231</f>
        <v/>
      </c>
      <c r="P231" s="284" t="str">
        <f>'H-Volatilization'!AW231</f>
        <v/>
      </c>
      <c r="Q231" s="284" t="str">
        <f>'H-Volatilization'!AX231</f>
        <v/>
      </c>
      <c r="R231" s="285" t="str">
        <f>'H-Volatilization'!AY231</f>
        <v/>
      </c>
      <c r="S231" s="462"/>
      <c r="T231" s="345" t="str">
        <f>'H-Plant &amp; Animal'!L231</f>
        <v>Not Req.</v>
      </c>
      <c r="U231" s="346" t="str">
        <f>'H-Plant &amp; Animal'!M231</f>
        <v>Not Req.</v>
      </c>
      <c r="V231" s="794" t="str">
        <f>'H-Effluent'!O231</f>
        <v>---</v>
      </c>
      <c r="W231" s="797" t="str">
        <f>'H-Runoff'!Q231</f>
        <v>---</v>
      </c>
      <c r="X231" s="799" t="str">
        <f>'H-Runoff'!S231</f>
        <v>---</v>
      </c>
      <c r="Y231" s="794" t="str">
        <f>'H-Leachate'!N231</f>
        <v>NA</v>
      </c>
      <c r="Z231" s="797" t="str">
        <f>'H-Volatilization'!AD231</f>
        <v>NA</v>
      </c>
      <c r="AA231" s="798" t="str">
        <f>'H-Volatilization'!AF231</f>
        <v>NA</v>
      </c>
      <c r="AB231" s="798" t="str">
        <f>'H-Volatilization'!AO231</f>
        <v>NA</v>
      </c>
      <c r="AC231" s="799" t="str">
        <f>'H-Volatilization'!AU231</f>
        <v>NA</v>
      </c>
    </row>
    <row r="232" spans="1:29" x14ac:dyDescent="0.25">
      <c r="A232" s="56" t="s">
        <v>550</v>
      </c>
      <c r="B232" s="336" t="str">
        <f>IF(Start!$C$15="x",('H-Effluent'!B232),"---")</f>
        <v>---</v>
      </c>
      <c r="C232" s="337" t="str">
        <f>IF(Start!$C$16="x",'H-Runoff'!B232,"---")</f>
        <v>---</v>
      </c>
      <c r="D232" s="338" t="str">
        <f>IF(Start!$C$16="x",'H-Runoff'!C232,"---")</f>
        <v>---</v>
      </c>
      <c r="E232" s="868" t="str">
        <f>IF(Start!$C$17="x",'H-Leachate'!B232,"---")</f>
        <v/>
      </c>
      <c r="F232" s="340" t="str">
        <f>IF(Start!$C$18="x",('H-Volatilization'!B232),"---")</f>
        <v/>
      </c>
      <c r="G232" s="341" t="str">
        <f>IF(Start!$C$18="x",('H-Volatilization'!C232),"---")</f>
        <v/>
      </c>
      <c r="H232" s="341" t="str">
        <f>IF(Start!$C$18="x",('H-Volatilization'!D232),"---")</f>
        <v/>
      </c>
      <c r="I232" s="342" t="str">
        <f>IF(Start!$C$18="x",('H-Volatilization'!E232),"---")</f>
        <v/>
      </c>
      <c r="J232" s="339" t="str">
        <f>IF(Start!$C$19="x",'H-Plant &amp; Animal'!B232,"---")</f>
        <v>---</v>
      </c>
      <c r="K232" s="343" t="str">
        <f>'H-Effluent'!Q232</f>
        <v>Not Req.</v>
      </c>
      <c r="L232" s="286" t="str">
        <f>'H-Runoff'!T232</f>
        <v>Not Req.</v>
      </c>
      <c r="M232" s="344" t="str">
        <f>'H-Runoff'!U232</f>
        <v>Not Req.</v>
      </c>
      <c r="N232" s="343" t="str">
        <f>'H-Leachate'!O232</f>
        <v/>
      </c>
      <c r="O232" s="283" t="str">
        <f>'H-Volatilization'!AV232</f>
        <v/>
      </c>
      <c r="P232" s="284" t="str">
        <f>'H-Volatilization'!AW232</f>
        <v/>
      </c>
      <c r="Q232" s="284" t="str">
        <f>'H-Volatilization'!AX232</f>
        <v/>
      </c>
      <c r="R232" s="285" t="str">
        <f>'H-Volatilization'!AY232</f>
        <v/>
      </c>
      <c r="S232" s="462"/>
      <c r="T232" s="345" t="str">
        <f>'H-Plant &amp; Animal'!L232</f>
        <v>Not Req.</v>
      </c>
      <c r="U232" s="346" t="str">
        <f>'H-Plant &amp; Animal'!M232</f>
        <v>Not Req.</v>
      </c>
      <c r="V232" s="794" t="str">
        <f>'H-Effluent'!O232</f>
        <v>---</v>
      </c>
      <c r="W232" s="797" t="str">
        <f>'H-Runoff'!Q232</f>
        <v>---</v>
      </c>
      <c r="X232" s="799" t="str">
        <f>'H-Runoff'!S232</f>
        <v>---</v>
      </c>
      <c r="Y232" s="794" t="str">
        <f>'H-Leachate'!N232</f>
        <v>NA</v>
      </c>
      <c r="Z232" s="797" t="str">
        <f>'H-Volatilization'!AD232</f>
        <v>NA</v>
      </c>
      <c r="AA232" s="798" t="str">
        <f>'H-Volatilization'!AF232</f>
        <v>NA</v>
      </c>
      <c r="AB232" s="798" t="str">
        <f>'H-Volatilization'!AO232</f>
        <v>NA</v>
      </c>
      <c r="AC232" s="799" t="str">
        <f>'H-Volatilization'!AU232</f>
        <v>NA</v>
      </c>
    </row>
    <row r="233" spans="1:29" x14ac:dyDescent="0.25">
      <c r="A233" s="56" t="s">
        <v>551</v>
      </c>
      <c r="B233" s="336" t="str">
        <f>IF(Start!$C$15="x",('H-Effluent'!B233),"---")</f>
        <v>---</v>
      </c>
      <c r="C233" s="337" t="str">
        <f>IF(Start!$C$16="x",'H-Runoff'!B233,"---")</f>
        <v>---</v>
      </c>
      <c r="D233" s="338" t="str">
        <f>IF(Start!$C$16="x",'H-Runoff'!C233,"---")</f>
        <v>---</v>
      </c>
      <c r="E233" s="868" t="str">
        <f>IF(Start!$C$17="x",'H-Leachate'!B233,"---")</f>
        <v/>
      </c>
      <c r="F233" s="340" t="str">
        <f>IF(Start!$C$18="x",('H-Volatilization'!B233),"---")</f>
        <v/>
      </c>
      <c r="G233" s="341" t="str">
        <f>IF(Start!$C$18="x",('H-Volatilization'!C233),"---")</f>
        <v/>
      </c>
      <c r="H233" s="341" t="str">
        <f>IF(Start!$C$18="x",('H-Volatilization'!D233),"---")</f>
        <v/>
      </c>
      <c r="I233" s="342" t="str">
        <f>IF(Start!$C$18="x",('H-Volatilization'!E233),"---")</f>
        <v/>
      </c>
      <c r="J233" s="339" t="str">
        <f>IF(Start!$C$19="x",'H-Plant &amp; Animal'!B233,"---")</f>
        <v>---</v>
      </c>
      <c r="K233" s="343" t="str">
        <f>'H-Effluent'!Q233</f>
        <v>Not Req.</v>
      </c>
      <c r="L233" s="286" t="str">
        <f>'H-Runoff'!T233</f>
        <v>Not Req.</v>
      </c>
      <c r="M233" s="344" t="str">
        <f>'H-Runoff'!U233</f>
        <v>Not Req.</v>
      </c>
      <c r="N233" s="343" t="str">
        <f>'H-Leachate'!O233</f>
        <v/>
      </c>
      <c r="O233" s="283" t="str">
        <f>'H-Volatilization'!AV233</f>
        <v/>
      </c>
      <c r="P233" s="284" t="str">
        <f>'H-Volatilization'!AW233</f>
        <v/>
      </c>
      <c r="Q233" s="284" t="str">
        <f>'H-Volatilization'!AX233</f>
        <v/>
      </c>
      <c r="R233" s="285" t="str">
        <f>'H-Volatilization'!AY233</f>
        <v/>
      </c>
      <c r="S233" s="462"/>
      <c r="T233" s="345" t="str">
        <f>'H-Plant &amp; Animal'!L233</f>
        <v>Not Req.</v>
      </c>
      <c r="U233" s="346" t="str">
        <f>'H-Plant &amp; Animal'!M233</f>
        <v>Not Req.</v>
      </c>
      <c r="V233" s="794" t="str">
        <f>'H-Effluent'!O233</f>
        <v>---</v>
      </c>
      <c r="W233" s="797" t="str">
        <f>'H-Runoff'!Q233</f>
        <v>---</v>
      </c>
      <c r="X233" s="799" t="str">
        <f>'H-Runoff'!S233</f>
        <v>---</v>
      </c>
      <c r="Y233" s="794" t="str">
        <f>'H-Leachate'!N233</f>
        <v>NA</v>
      </c>
      <c r="Z233" s="797" t="str">
        <f>'H-Volatilization'!AD233</f>
        <v>NA</v>
      </c>
      <c r="AA233" s="798" t="str">
        <f>'H-Volatilization'!AF233</f>
        <v>NA</v>
      </c>
      <c r="AB233" s="798" t="str">
        <f>'H-Volatilization'!AO233</f>
        <v>NA</v>
      </c>
      <c r="AC233" s="799" t="str">
        <f>'H-Volatilization'!AU233</f>
        <v>NA</v>
      </c>
    </row>
    <row r="234" spans="1:29" x14ac:dyDescent="0.25">
      <c r="A234" s="56" t="s">
        <v>552</v>
      </c>
      <c r="B234" s="336" t="str">
        <f>IF(Start!$C$15="x",('H-Effluent'!B234),"---")</f>
        <v>---</v>
      </c>
      <c r="C234" s="337" t="str">
        <f>IF(Start!$C$16="x",'H-Runoff'!B234,"---")</f>
        <v>---</v>
      </c>
      <c r="D234" s="338" t="str">
        <f>IF(Start!$C$16="x",'H-Runoff'!C234,"---")</f>
        <v>---</v>
      </c>
      <c r="E234" s="868" t="str">
        <f>IF(Start!$C$17="x",'H-Leachate'!B234,"---")</f>
        <v/>
      </c>
      <c r="F234" s="340" t="str">
        <f>IF(Start!$C$18="x",('H-Volatilization'!B234),"---")</f>
        <v/>
      </c>
      <c r="G234" s="341" t="str">
        <f>IF(Start!$C$18="x",('H-Volatilization'!C234),"---")</f>
        <v/>
      </c>
      <c r="H234" s="341" t="str">
        <f>IF(Start!$C$18="x",('H-Volatilization'!D234),"---")</f>
        <v/>
      </c>
      <c r="I234" s="342" t="str">
        <f>IF(Start!$C$18="x",('H-Volatilization'!E234),"---")</f>
        <v/>
      </c>
      <c r="J234" s="339" t="str">
        <f>IF(Start!$C$19="x",'H-Plant &amp; Animal'!B234,"---")</f>
        <v>---</v>
      </c>
      <c r="K234" s="343" t="str">
        <f>'H-Effluent'!Q234</f>
        <v>Not Req.</v>
      </c>
      <c r="L234" s="286" t="str">
        <f>'H-Runoff'!T234</f>
        <v>Not Req.</v>
      </c>
      <c r="M234" s="344" t="str">
        <f>'H-Runoff'!U234</f>
        <v>Not Req.</v>
      </c>
      <c r="N234" s="343" t="str">
        <f>'H-Leachate'!O234</f>
        <v/>
      </c>
      <c r="O234" s="283" t="str">
        <f>'H-Volatilization'!AV234</f>
        <v/>
      </c>
      <c r="P234" s="284" t="str">
        <f>'H-Volatilization'!AW234</f>
        <v/>
      </c>
      <c r="Q234" s="284" t="str">
        <f>'H-Volatilization'!AX234</f>
        <v/>
      </c>
      <c r="R234" s="285" t="str">
        <f>'H-Volatilization'!AY234</f>
        <v/>
      </c>
      <c r="S234" s="462"/>
      <c r="T234" s="345" t="str">
        <f>'H-Plant &amp; Animal'!L234</f>
        <v>Not Req.</v>
      </c>
      <c r="U234" s="346" t="str">
        <f>'H-Plant &amp; Animal'!M234</f>
        <v>Not Req.</v>
      </c>
      <c r="V234" s="794" t="str">
        <f>'H-Effluent'!O234</f>
        <v>---</v>
      </c>
      <c r="W234" s="797" t="str">
        <f>'H-Runoff'!Q234</f>
        <v>---</v>
      </c>
      <c r="X234" s="799" t="str">
        <f>'H-Runoff'!S234</f>
        <v>---</v>
      </c>
      <c r="Y234" s="794" t="str">
        <f>'H-Leachate'!N234</f>
        <v>NA</v>
      </c>
      <c r="Z234" s="797" t="str">
        <f>'H-Volatilization'!AD234</f>
        <v>NA</v>
      </c>
      <c r="AA234" s="798" t="str">
        <f>'H-Volatilization'!AF234</f>
        <v>NA</v>
      </c>
      <c r="AB234" s="798" t="str">
        <f>'H-Volatilization'!AO234</f>
        <v>NA</v>
      </c>
      <c r="AC234" s="799" t="str">
        <f>'H-Volatilization'!AU234</f>
        <v>NA</v>
      </c>
    </row>
    <row r="235" spans="1:29" x14ac:dyDescent="0.25">
      <c r="A235" s="56" t="s">
        <v>553</v>
      </c>
      <c r="B235" s="336" t="str">
        <f>IF(Start!$C$15="x",('H-Effluent'!B235),"---")</f>
        <v>---</v>
      </c>
      <c r="C235" s="337" t="str">
        <f>IF(Start!$C$16="x",'H-Runoff'!B235,"---")</f>
        <v>---</v>
      </c>
      <c r="D235" s="338" t="str">
        <f>IF(Start!$C$16="x",'H-Runoff'!C235,"---")</f>
        <v>---</v>
      </c>
      <c r="E235" s="868" t="str">
        <f>IF(Start!$C$17="x",'H-Leachate'!B235,"---")</f>
        <v/>
      </c>
      <c r="F235" s="340" t="str">
        <f>IF(Start!$C$18="x",('H-Volatilization'!B235),"---")</f>
        <v/>
      </c>
      <c r="G235" s="341" t="str">
        <f>IF(Start!$C$18="x",('H-Volatilization'!C235),"---")</f>
        <v/>
      </c>
      <c r="H235" s="341" t="str">
        <f>IF(Start!$C$18="x",('H-Volatilization'!D235),"---")</f>
        <v/>
      </c>
      <c r="I235" s="342" t="str">
        <f>IF(Start!$C$18="x",('H-Volatilization'!E235),"---")</f>
        <v/>
      </c>
      <c r="J235" s="339" t="str">
        <f>IF(Start!$C$19="x",'H-Plant &amp; Animal'!B235,"---")</f>
        <v>---</v>
      </c>
      <c r="K235" s="343" t="str">
        <f>'H-Effluent'!Q235</f>
        <v>Not Req.</v>
      </c>
      <c r="L235" s="286" t="str">
        <f>'H-Runoff'!T235</f>
        <v>Not Req.</v>
      </c>
      <c r="M235" s="344" t="str">
        <f>'H-Runoff'!U235</f>
        <v>Not Req.</v>
      </c>
      <c r="N235" s="343" t="str">
        <f>'H-Leachate'!O235</f>
        <v/>
      </c>
      <c r="O235" s="283" t="str">
        <f>'H-Volatilization'!AV235</f>
        <v/>
      </c>
      <c r="P235" s="284" t="str">
        <f>'H-Volatilization'!AW235</f>
        <v/>
      </c>
      <c r="Q235" s="284" t="str">
        <f>'H-Volatilization'!AX235</f>
        <v/>
      </c>
      <c r="R235" s="285" t="str">
        <f>'H-Volatilization'!AY235</f>
        <v/>
      </c>
      <c r="S235" s="462"/>
      <c r="T235" s="345" t="str">
        <f>'H-Plant &amp; Animal'!L235</f>
        <v>Not Req.</v>
      </c>
      <c r="U235" s="346" t="str">
        <f>'H-Plant &amp; Animal'!M235</f>
        <v>Not Req.</v>
      </c>
      <c r="V235" s="794" t="str">
        <f>'H-Effluent'!O235</f>
        <v>---</v>
      </c>
      <c r="W235" s="797" t="str">
        <f>'H-Runoff'!Q235</f>
        <v>---</v>
      </c>
      <c r="X235" s="799" t="str">
        <f>'H-Runoff'!S235</f>
        <v>---</v>
      </c>
      <c r="Y235" s="794" t="str">
        <f>'H-Leachate'!N235</f>
        <v>NA</v>
      </c>
      <c r="Z235" s="797" t="str">
        <f>'H-Volatilization'!AD235</f>
        <v>NA</v>
      </c>
      <c r="AA235" s="798" t="str">
        <f>'H-Volatilization'!AF235</f>
        <v>NA</v>
      </c>
      <c r="AB235" s="798" t="str">
        <f>'H-Volatilization'!AO235</f>
        <v>NA</v>
      </c>
      <c r="AC235" s="799" t="str">
        <f>'H-Volatilization'!AU235</f>
        <v>NA</v>
      </c>
    </row>
    <row r="236" spans="1:29" x14ac:dyDescent="0.25">
      <c r="A236" s="56" t="s">
        <v>554</v>
      </c>
      <c r="B236" s="336" t="str">
        <f>IF(Start!$C$15="x",('H-Effluent'!B236),"---")</f>
        <v>---</v>
      </c>
      <c r="C236" s="337" t="str">
        <f>IF(Start!$C$16="x",'H-Runoff'!B236,"---")</f>
        <v>---</v>
      </c>
      <c r="D236" s="338" t="str">
        <f>IF(Start!$C$16="x",'H-Runoff'!C236,"---")</f>
        <v>---</v>
      </c>
      <c r="E236" s="868" t="str">
        <f>IF(Start!$C$17="x",'H-Leachate'!B236,"---")</f>
        <v/>
      </c>
      <c r="F236" s="340" t="str">
        <f>IF(Start!$C$18="x",('H-Volatilization'!B236),"---")</f>
        <v/>
      </c>
      <c r="G236" s="341" t="str">
        <f>IF(Start!$C$18="x",('H-Volatilization'!C236),"---")</f>
        <v/>
      </c>
      <c r="H236" s="341" t="str">
        <f>IF(Start!$C$18="x",('H-Volatilization'!D236),"---")</f>
        <v/>
      </c>
      <c r="I236" s="342" t="str">
        <f>IF(Start!$C$18="x",('H-Volatilization'!E236),"---")</f>
        <v/>
      </c>
      <c r="J236" s="339" t="str">
        <f>IF(Start!$C$19="x",'H-Plant &amp; Animal'!B236,"---")</f>
        <v>---</v>
      </c>
      <c r="K236" s="343" t="str">
        <f>'H-Effluent'!Q236</f>
        <v>Not Req.</v>
      </c>
      <c r="L236" s="286" t="str">
        <f>'H-Runoff'!T236</f>
        <v>Not Req.</v>
      </c>
      <c r="M236" s="344" t="str">
        <f>'H-Runoff'!U236</f>
        <v>Not Req.</v>
      </c>
      <c r="N236" s="343" t="str">
        <f>'H-Leachate'!O236</f>
        <v/>
      </c>
      <c r="O236" s="283" t="str">
        <f>'H-Volatilization'!AV236</f>
        <v/>
      </c>
      <c r="P236" s="284" t="str">
        <f>'H-Volatilization'!AW236</f>
        <v/>
      </c>
      <c r="Q236" s="284" t="str">
        <f>'H-Volatilization'!AX236</f>
        <v/>
      </c>
      <c r="R236" s="285" t="str">
        <f>'H-Volatilization'!AY236</f>
        <v/>
      </c>
      <c r="S236" s="462"/>
      <c r="T236" s="345" t="str">
        <f>'H-Plant &amp; Animal'!L236</f>
        <v>Not Req.</v>
      </c>
      <c r="U236" s="346" t="str">
        <f>'H-Plant &amp; Animal'!M236</f>
        <v>Not Req.</v>
      </c>
      <c r="V236" s="794" t="str">
        <f>'H-Effluent'!O236</f>
        <v>---</v>
      </c>
      <c r="W236" s="797" t="str">
        <f>'H-Runoff'!Q236</f>
        <v>---</v>
      </c>
      <c r="X236" s="799" t="str">
        <f>'H-Runoff'!S236</f>
        <v>---</v>
      </c>
      <c r="Y236" s="794" t="str">
        <f>'H-Leachate'!N236</f>
        <v>NA</v>
      </c>
      <c r="Z236" s="797" t="str">
        <f>'H-Volatilization'!AD236</f>
        <v>NA</v>
      </c>
      <c r="AA236" s="798" t="str">
        <f>'H-Volatilization'!AF236</f>
        <v>NA</v>
      </c>
      <c r="AB236" s="798" t="str">
        <f>'H-Volatilization'!AO236</f>
        <v>NA</v>
      </c>
      <c r="AC236" s="799" t="str">
        <f>'H-Volatilization'!AU236</f>
        <v>NA</v>
      </c>
    </row>
    <row r="237" spans="1:29" x14ac:dyDescent="0.25">
      <c r="A237" s="56" t="s">
        <v>555</v>
      </c>
      <c r="B237" s="336" t="str">
        <f>IF(Start!$C$15="x",('H-Effluent'!B237),"---")</f>
        <v>---</v>
      </c>
      <c r="C237" s="337" t="str">
        <f>IF(Start!$C$16="x",'H-Runoff'!B237,"---")</f>
        <v>---</v>
      </c>
      <c r="D237" s="338" t="str">
        <f>IF(Start!$C$16="x",'H-Runoff'!C237,"---")</f>
        <v>---</v>
      </c>
      <c r="E237" s="868" t="str">
        <f>IF(Start!$C$17="x",'H-Leachate'!B237,"---")</f>
        <v/>
      </c>
      <c r="F237" s="340" t="str">
        <f>IF(Start!$C$18="x",('H-Volatilization'!B237),"---")</f>
        <v/>
      </c>
      <c r="G237" s="341" t="str">
        <f>IF(Start!$C$18="x",('H-Volatilization'!C237),"---")</f>
        <v/>
      </c>
      <c r="H237" s="341" t="str">
        <f>IF(Start!$C$18="x",('H-Volatilization'!D237),"---")</f>
        <v/>
      </c>
      <c r="I237" s="342" t="str">
        <f>IF(Start!$C$18="x",('H-Volatilization'!E237),"---")</f>
        <v/>
      </c>
      <c r="J237" s="339" t="str">
        <f>IF(Start!$C$19="x",'H-Plant &amp; Animal'!B237,"---")</f>
        <v>---</v>
      </c>
      <c r="K237" s="343" t="str">
        <f>'H-Effluent'!Q237</f>
        <v>Not Req.</v>
      </c>
      <c r="L237" s="286" t="str">
        <f>'H-Runoff'!T237</f>
        <v>Not Req.</v>
      </c>
      <c r="M237" s="344" t="str">
        <f>'H-Runoff'!U237</f>
        <v>Not Req.</v>
      </c>
      <c r="N237" s="343" t="str">
        <f>'H-Leachate'!O237</f>
        <v/>
      </c>
      <c r="O237" s="283" t="str">
        <f>'H-Volatilization'!AV237</f>
        <v/>
      </c>
      <c r="P237" s="284" t="str">
        <f>'H-Volatilization'!AW237</f>
        <v/>
      </c>
      <c r="Q237" s="284" t="str">
        <f>'H-Volatilization'!AX237</f>
        <v/>
      </c>
      <c r="R237" s="285" t="str">
        <f>'H-Volatilization'!AY237</f>
        <v/>
      </c>
      <c r="S237" s="462"/>
      <c r="T237" s="345" t="str">
        <f>'H-Plant &amp; Animal'!L237</f>
        <v>Not Req.</v>
      </c>
      <c r="U237" s="346" t="str">
        <f>'H-Plant &amp; Animal'!M237</f>
        <v>Not Req.</v>
      </c>
      <c r="V237" s="794" t="str">
        <f>'H-Effluent'!O237</f>
        <v>---</v>
      </c>
      <c r="W237" s="797" t="str">
        <f>'H-Runoff'!Q237</f>
        <v>---</v>
      </c>
      <c r="X237" s="799" t="str">
        <f>'H-Runoff'!S237</f>
        <v>---</v>
      </c>
      <c r="Y237" s="794" t="str">
        <f>'H-Leachate'!N237</f>
        <v>NA</v>
      </c>
      <c r="Z237" s="797" t="str">
        <f>'H-Volatilization'!AD237</f>
        <v>NA</v>
      </c>
      <c r="AA237" s="798" t="str">
        <f>'H-Volatilization'!AF237</f>
        <v>NA</v>
      </c>
      <c r="AB237" s="798" t="str">
        <f>'H-Volatilization'!AO237</f>
        <v>NA</v>
      </c>
      <c r="AC237" s="799" t="str">
        <f>'H-Volatilization'!AU237</f>
        <v>NA</v>
      </c>
    </row>
    <row r="238" spans="1:29" x14ac:dyDescent="0.25">
      <c r="A238" s="676" t="s">
        <v>556</v>
      </c>
      <c r="B238" s="336" t="str">
        <f>IF(Start!$C$15="x",('H-Effluent'!B238),"---")</f>
        <v>---</v>
      </c>
      <c r="C238" s="337" t="str">
        <f>IF(Start!$C$16="x",'H-Runoff'!B238,"---")</f>
        <v>---</v>
      </c>
      <c r="D238" s="338" t="str">
        <f>IF(Start!$C$16="x",'H-Runoff'!C238,"---")</f>
        <v>---</v>
      </c>
      <c r="E238" s="868" t="str">
        <f>IF(Start!$C$17="x",'H-Leachate'!B238,"---")</f>
        <v/>
      </c>
      <c r="F238" s="340" t="str">
        <f>IF(Start!$C$18="x",('H-Volatilization'!B238),"---")</f>
        <v/>
      </c>
      <c r="G238" s="341" t="str">
        <f>IF(Start!$C$18="x",('H-Volatilization'!C238),"---")</f>
        <v/>
      </c>
      <c r="H238" s="341" t="str">
        <f>IF(Start!$C$18="x",('H-Volatilization'!D238),"---")</f>
        <v/>
      </c>
      <c r="I238" s="342" t="str">
        <f>IF(Start!$C$18="x",('H-Volatilization'!E238),"---")</f>
        <v/>
      </c>
      <c r="J238" s="339" t="str">
        <f>IF(Start!$C$19="x",'H-Plant &amp; Animal'!B238,"---")</f>
        <v>---</v>
      </c>
      <c r="K238" s="343" t="str">
        <f>'H-Effluent'!Q238</f>
        <v>Not Req.</v>
      </c>
      <c r="L238" s="286" t="str">
        <f>'H-Runoff'!T238</f>
        <v>Not Req.</v>
      </c>
      <c r="M238" s="344" t="str">
        <f>'H-Runoff'!U238</f>
        <v>Not Req.</v>
      </c>
      <c r="N238" s="343" t="str">
        <f>'H-Leachate'!O238</f>
        <v/>
      </c>
      <c r="O238" s="283" t="str">
        <f>'H-Volatilization'!AV238</f>
        <v/>
      </c>
      <c r="P238" s="284" t="str">
        <f>'H-Volatilization'!AW238</f>
        <v/>
      </c>
      <c r="Q238" s="284" t="str">
        <f>'H-Volatilization'!AX238</f>
        <v/>
      </c>
      <c r="R238" s="285" t="str">
        <f>'H-Volatilization'!AY238</f>
        <v/>
      </c>
      <c r="S238" s="462"/>
      <c r="T238" s="345" t="str">
        <f>'H-Plant &amp; Animal'!L238</f>
        <v>Not Req.</v>
      </c>
      <c r="U238" s="346" t="str">
        <f>'H-Plant &amp; Animal'!M238</f>
        <v>Not Req.</v>
      </c>
      <c r="V238" s="794" t="str">
        <f>'H-Effluent'!O238</f>
        <v>---</v>
      </c>
      <c r="W238" s="797" t="str">
        <f>'H-Runoff'!Q238</f>
        <v>---</v>
      </c>
      <c r="X238" s="799" t="str">
        <f>'H-Runoff'!S238</f>
        <v>---</v>
      </c>
      <c r="Y238" s="794" t="str">
        <f>'H-Leachate'!N238</f>
        <v>NA</v>
      </c>
      <c r="Z238" s="797" t="str">
        <f>'H-Volatilization'!AD238</f>
        <v>NA</v>
      </c>
      <c r="AA238" s="798" t="str">
        <f>'H-Volatilization'!AF238</f>
        <v>NA</v>
      </c>
      <c r="AB238" s="798" t="str">
        <f>'H-Volatilization'!AO238</f>
        <v>NA</v>
      </c>
      <c r="AC238" s="799" t="str">
        <f>'H-Volatilization'!AU238</f>
        <v>NA</v>
      </c>
    </row>
    <row r="239" spans="1:29" x14ac:dyDescent="0.25">
      <c r="A239" s="676" t="s">
        <v>557</v>
      </c>
      <c r="B239" s="336" t="str">
        <f>IF(Start!$C$15="x",('H-Effluent'!B239),"---")</f>
        <v>---</v>
      </c>
      <c r="C239" s="337" t="str">
        <f>IF(Start!$C$16="x",'H-Runoff'!B239,"---")</f>
        <v>---</v>
      </c>
      <c r="D239" s="338" t="str">
        <f>IF(Start!$C$16="x",'H-Runoff'!C239,"---")</f>
        <v>---</v>
      </c>
      <c r="E239" s="868" t="str">
        <f>IF(Start!$C$17="x",'H-Leachate'!B239,"---")</f>
        <v/>
      </c>
      <c r="F239" s="340" t="str">
        <f>IF(Start!$C$18="x",('H-Volatilization'!B239),"---")</f>
        <v/>
      </c>
      <c r="G239" s="341" t="str">
        <f>IF(Start!$C$18="x",('H-Volatilization'!C239),"---")</f>
        <v/>
      </c>
      <c r="H239" s="341" t="str">
        <f>IF(Start!$C$18="x",('H-Volatilization'!D239),"---")</f>
        <v/>
      </c>
      <c r="I239" s="342" t="str">
        <f>IF(Start!$C$18="x",('H-Volatilization'!E239),"---")</f>
        <v/>
      </c>
      <c r="J239" s="339" t="str">
        <f>IF(Start!$C$19="x",'H-Plant &amp; Animal'!B239,"---")</f>
        <v>---</v>
      </c>
      <c r="K239" s="343" t="str">
        <f>'H-Effluent'!Q239</f>
        <v>Not Req.</v>
      </c>
      <c r="L239" s="286" t="str">
        <f>'H-Runoff'!T239</f>
        <v>Not Req.</v>
      </c>
      <c r="M239" s="344" t="str">
        <f>'H-Runoff'!U239</f>
        <v>Not Req.</v>
      </c>
      <c r="N239" s="343" t="str">
        <f>'H-Leachate'!O239</f>
        <v/>
      </c>
      <c r="O239" s="283" t="str">
        <f>'H-Volatilization'!AV239</f>
        <v/>
      </c>
      <c r="P239" s="284" t="str">
        <f>'H-Volatilization'!AW239</f>
        <v/>
      </c>
      <c r="Q239" s="284" t="str">
        <f>'H-Volatilization'!AX239</f>
        <v/>
      </c>
      <c r="R239" s="285" t="str">
        <f>'H-Volatilization'!AY239</f>
        <v/>
      </c>
      <c r="S239" s="462"/>
      <c r="T239" s="345" t="str">
        <f>'H-Plant &amp; Animal'!L239</f>
        <v>Not Req.</v>
      </c>
      <c r="U239" s="346" t="str">
        <f>'H-Plant &amp; Animal'!M239</f>
        <v>Not Req.</v>
      </c>
      <c r="V239" s="794" t="str">
        <f>'H-Effluent'!O239</f>
        <v>---</v>
      </c>
      <c r="W239" s="797" t="str">
        <f>'H-Runoff'!Q239</f>
        <v>---</v>
      </c>
      <c r="X239" s="799" t="str">
        <f>'H-Runoff'!S239</f>
        <v>---</v>
      </c>
      <c r="Y239" s="794" t="str">
        <f>'H-Leachate'!N239</f>
        <v>NA</v>
      </c>
      <c r="Z239" s="797" t="str">
        <f>'H-Volatilization'!AD239</f>
        <v>NA</v>
      </c>
      <c r="AA239" s="798" t="str">
        <f>'H-Volatilization'!AF239</f>
        <v>NA</v>
      </c>
      <c r="AB239" s="798" t="str">
        <f>'H-Volatilization'!AO239</f>
        <v>NA</v>
      </c>
      <c r="AC239" s="799" t="str">
        <f>'H-Volatilization'!AU239</f>
        <v>NA</v>
      </c>
    </row>
    <row r="240" spans="1:29" x14ac:dyDescent="0.25">
      <c r="A240" s="676" t="s">
        <v>558</v>
      </c>
      <c r="B240" s="336" t="str">
        <f>IF(Start!$C$15="x",('H-Effluent'!B240),"---")</f>
        <v>---</v>
      </c>
      <c r="C240" s="337" t="str">
        <f>IF(Start!$C$16="x",'H-Runoff'!B240,"---")</f>
        <v>---</v>
      </c>
      <c r="D240" s="338" t="str">
        <f>IF(Start!$C$16="x",'H-Runoff'!C240,"---")</f>
        <v>---</v>
      </c>
      <c r="E240" s="868" t="str">
        <f>IF(Start!$C$17="x",'H-Leachate'!B240,"---")</f>
        <v/>
      </c>
      <c r="F240" s="340" t="str">
        <f>IF(Start!$C$18="x",('H-Volatilization'!B240),"---")</f>
        <v/>
      </c>
      <c r="G240" s="341" t="str">
        <f>IF(Start!$C$18="x",('H-Volatilization'!C240),"---")</f>
        <v/>
      </c>
      <c r="H240" s="341" t="str">
        <f>IF(Start!$C$18="x",('H-Volatilization'!D240),"---")</f>
        <v/>
      </c>
      <c r="I240" s="342" t="str">
        <f>IF(Start!$C$18="x",('H-Volatilization'!E240),"---")</f>
        <v/>
      </c>
      <c r="J240" s="339" t="str">
        <f>IF(Start!$C$19="x",'H-Plant &amp; Animal'!B240,"---")</f>
        <v>---</v>
      </c>
      <c r="K240" s="343" t="str">
        <f>'H-Effluent'!Q240</f>
        <v>Not Req.</v>
      </c>
      <c r="L240" s="286" t="str">
        <f>'H-Runoff'!T240</f>
        <v>Not Req.</v>
      </c>
      <c r="M240" s="344" t="str">
        <f>'H-Runoff'!U240</f>
        <v>Not Req.</v>
      </c>
      <c r="N240" s="343" t="str">
        <f>'H-Leachate'!O240</f>
        <v/>
      </c>
      <c r="O240" s="283" t="str">
        <f>'H-Volatilization'!AV240</f>
        <v/>
      </c>
      <c r="P240" s="284" t="str">
        <f>'H-Volatilization'!AW240</f>
        <v/>
      </c>
      <c r="Q240" s="284" t="str">
        <f>'H-Volatilization'!AX240</f>
        <v/>
      </c>
      <c r="R240" s="285" t="str">
        <f>'H-Volatilization'!AY240</f>
        <v/>
      </c>
      <c r="S240" s="462"/>
      <c r="T240" s="345" t="str">
        <f>'H-Plant &amp; Animal'!L240</f>
        <v>Not Req.</v>
      </c>
      <c r="U240" s="346" t="str">
        <f>'H-Plant &amp; Animal'!M240</f>
        <v>Not Req.</v>
      </c>
      <c r="V240" s="794" t="str">
        <f>'H-Effluent'!O240</f>
        <v>---</v>
      </c>
      <c r="W240" s="797" t="str">
        <f>'H-Runoff'!Q240</f>
        <v>---</v>
      </c>
      <c r="X240" s="799" t="str">
        <f>'H-Runoff'!S240</f>
        <v>---</v>
      </c>
      <c r="Y240" s="794" t="str">
        <f>'H-Leachate'!N240</f>
        <v>NA</v>
      </c>
      <c r="Z240" s="797" t="str">
        <f>'H-Volatilization'!AD240</f>
        <v>NA</v>
      </c>
      <c r="AA240" s="798" t="str">
        <f>'H-Volatilization'!AF240</f>
        <v>NA</v>
      </c>
      <c r="AB240" s="798" t="str">
        <f>'H-Volatilization'!AO240</f>
        <v>NA</v>
      </c>
      <c r="AC240" s="799" t="str">
        <f>'H-Volatilization'!AU240</f>
        <v>NA</v>
      </c>
    </row>
    <row r="241" spans="1:29" x14ac:dyDescent="0.25">
      <c r="A241" s="676" t="s">
        <v>559</v>
      </c>
      <c r="B241" s="336" t="str">
        <f>IF(Start!$C$15="x",('H-Effluent'!B241),"---")</f>
        <v>---</v>
      </c>
      <c r="C241" s="337" t="str">
        <f>IF(Start!$C$16="x",'H-Runoff'!B241,"---")</f>
        <v>---</v>
      </c>
      <c r="D241" s="338" t="str">
        <f>IF(Start!$C$16="x",'H-Runoff'!C241,"---")</f>
        <v>---</v>
      </c>
      <c r="E241" s="868" t="str">
        <f>IF(Start!$C$17="x",'H-Leachate'!B241,"---")</f>
        <v/>
      </c>
      <c r="F241" s="340" t="str">
        <f>IF(Start!$C$18="x",('H-Volatilization'!B241),"---")</f>
        <v/>
      </c>
      <c r="G241" s="341" t="str">
        <f>IF(Start!$C$18="x",('H-Volatilization'!C241),"---")</f>
        <v/>
      </c>
      <c r="H241" s="341" t="str">
        <f>IF(Start!$C$18="x",('H-Volatilization'!D241),"---")</f>
        <v/>
      </c>
      <c r="I241" s="342" t="str">
        <f>IF(Start!$C$18="x",('H-Volatilization'!E241),"---")</f>
        <v/>
      </c>
      <c r="J241" s="339" t="str">
        <f>IF(Start!$C$19="x",'H-Plant &amp; Animal'!B241,"---")</f>
        <v>---</v>
      </c>
      <c r="K241" s="343" t="str">
        <f>'H-Effluent'!Q241</f>
        <v>Not Req.</v>
      </c>
      <c r="L241" s="286" t="str">
        <f>'H-Runoff'!T241</f>
        <v>Not Req.</v>
      </c>
      <c r="M241" s="344" t="str">
        <f>'H-Runoff'!U241</f>
        <v>Not Req.</v>
      </c>
      <c r="N241" s="343" t="str">
        <f>'H-Leachate'!O241</f>
        <v/>
      </c>
      <c r="O241" s="283" t="str">
        <f>'H-Volatilization'!AV241</f>
        <v/>
      </c>
      <c r="P241" s="284" t="str">
        <f>'H-Volatilization'!AW241</f>
        <v/>
      </c>
      <c r="Q241" s="284" t="str">
        <f>'H-Volatilization'!AX241</f>
        <v/>
      </c>
      <c r="R241" s="285" t="str">
        <f>'H-Volatilization'!AY241</f>
        <v/>
      </c>
      <c r="S241" s="462"/>
      <c r="T241" s="345" t="str">
        <f>'H-Plant &amp; Animal'!L241</f>
        <v>Not Req.</v>
      </c>
      <c r="U241" s="346" t="str">
        <f>'H-Plant &amp; Animal'!M241</f>
        <v>Not Req.</v>
      </c>
      <c r="V241" s="794" t="str">
        <f>'H-Effluent'!O241</f>
        <v>---</v>
      </c>
      <c r="W241" s="797" t="str">
        <f>'H-Runoff'!Q241</f>
        <v>---</v>
      </c>
      <c r="X241" s="799" t="str">
        <f>'H-Runoff'!S241</f>
        <v>---</v>
      </c>
      <c r="Y241" s="794" t="str">
        <f>'H-Leachate'!N241</f>
        <v>NA</v>
      </c>
      <c r="Z241" s="797" t="str">
        <f>'H-Volatilization'!AD241</f>
        <v>NA</v>
      </c>
      <c r="AA241" s="798" t="str">
        <f>'H-Volatilization'!AF241</f>
        <v>NA</v>
      </c>
      <c r="AB241" s="798" t="str">
        <f>'H-Volatilization'!AO241</f>
        <v>NA</v>
      </c>
      <c r="AC241" s="799" t="str">
        <f>'H-Volatilization'!AU241</f>
        <v>NA</v>
      </c>
    </row>
    <row r="242" spans="1:29" x14ac:dyDescent="0.25">
      <c r="A242" s="676" t="s">
        <v>560</v>
      </c>
      <c r="B242" s="336" t="str">
        <f>IF(Start!$C$15="x",('H-Effluent'!B242),"---")</f>
        <v>---</v>
      </c>
      <c r="C242" s="337" t="str">
        <f>IF(Start!$C$16="x",'H-Runoff'!B242,"---")</f>
        <v>---</v>
      </c>
      <c r="D242" s="338" t="str">
        <f>IF(Start!$C$16="x",'H-Runoff'!C242,"---")</f>
        <v>---</v>
      </c>
      <c r="E242" s="868" t="str">
        <f>IF(Start!$C$17="x",'H-Leachate'!B242,"---")</f>
        <v/>
      </c>
      <c r="F242" s="340" t="str">
        <f>IF(Start!$C$18="x",('H-Volatilization'!B242),"---")</f>
        <v/>
      </c>
      <c r="G242" s="341" t="str">
        <f>IF(Start!$C$18="x",('H-Volatilization'!C242),"---")</f>
        <v/>
      </c>
      <c r="H242" s="341" t="str">
        <f>IF(Start!$C$18="x",('H-Volatilization'!D242),"---")</f>
        <v/>
      </c>
      <c r="I242" s="342" t="str">
        <f>IF(Start!$C$18="x",('H-Volatilization'!E242),"---")</f>
        <v/>
      </c>
      <c r="J242" s="339" t="str">
        <f>IF(Start!$C$19="x",'H-Plant &amp; Animal'!B242,"---")</f>
        <v>---</v>
      </c>
      <c r="K242" s="343" t="str">
        <f>'H-Effluent'!Q242</f>
        <v>Not Req.</v>
      </c>
      <c r="L242" s="286" t="str">
        <f>'H-Runoff'!T242</f>
        <v>Not Req.</v>
      </c>
      <c r="M242" s="344" t="str">
        <f>'H-Runoff'!U242</f>
        <v>Not Req.</v>
      </c>
      <c r="N242" s="343" t="str">
        <f>'H-Leachate'!O242</f>
        <v/>
      </c>
      <c r="O242" s="283" t="str">
        <f>'H-Volatilization'!AV242</f>
        <v/>
      </c>
      <c r="P242" s="284" t="str">
        <f>'H-Volatilization'!AW242</f>
        <v/>
      </c>
      <c r="Q242" s="284" t="str">
        <f>'H-Volatilization'!AX242</f>
        <v/>
      </c>
      <c r="R242" s="285" t="str">
        <f>'H-Volatilization'!AY242</f>
        <v/>
      </c>
      <c r="S242" s="462"/>
      <c r="T242" s="345" t="str">
        <f>'H-Plant &amp; Animal'!L242</f>
        <v>Not Req.</v>
      </c>
      <c r="U242" s="346" t="str">
        <f>'H-Plant &amp; Animal'!M242</f>
        <v>Not Req.</v>
      </c>
      <c r="V242" s="794" t="str">
        <f>'H-Effluent'!O242</f>
        <v>---</v>
      </c>
      <c r="W242" s="797" t="str">
        <f>'H-Runoff'!Q242</f>
        <v>---</v>
      </c>
      <c r="X242" s="799" t="str">
        <f>'H-Runoff'!S242</f>
        <v>---</v>
      </c>
      <c r="Y242" s="794" t="str">
        <f>'H-Leachate'!N242</f>
        <v>NA</v>
      </c>
      <c r="Z242" s="797" t="str">
        <f>'H-Volatilization'!AD242</f>
        <v>NA</v>
      </c>
      <c r="AA242" s="798" t="str">
        <f>'H-Volatilization'!AF242</f>
        <v>NA</v>
      </c>
      <c r="AB242" s="798" t="str">
        <f>'H-Volatilization'!AO242</f>
        <v>NA</v>
      </c>
      <c r="AC242" s="799" t="str">
        <f>'H-Volatilization'!AU242</f>
        <v>NA</v>
      </c>
    </row>
    <row r="243" spans="1:29" x14ac:dyDescent="0.25">
      <c r="A243" s="676" t="s">
        <v>690</v>
      </c>
      <c r="B243" s="336" t="str">
        <f>IF(Start!$C$15="x",('H-Effluent'!B243),"---")</f>
        <v>---</v>
      </c>
      <c r="C243" s="337" t="str">
        <f>IF(Start!$C$16="x",'H-Runoff'!B243,"---")</f>
        <v>---</v>
      </c>
      <c r="D243" s="338" t="str">
        <f>IF(Start!$C$16="x",'H-Runoff'!C243,"---")</f>
        <v>---</v>
      </c>
      <c r="E243" s="868" t="str">
        <f>IF(Start!$C$17="x",'H-Leachate'!B243,"---")</f>
        <v/>
      </c>
      <c r="F243" s="340" t="str">
        <f>IF(Start!$C$18="x",('H-Volatilization'!B243),"---")</f>
        <v/>
      </c>
      <c r="G243" s="341" t="str">
        <f>IF(Start!$C$18="x",('H-Volatilization'!C243),"---")</f>
        <v/>
      </c>
      <c r="H243" s="341" t="str">
        <f>IF(Start!$C$18="x",('H-Volatilization'!D243),"---")</f>
        <v/>
      </c>
      <c r="I243" s="342" t="str">
        <f>IF(Start!$C$18="x",('H-Volatilization'!E243),"---")</f>
        <v/>
      </c>
      <c r="J243" s="339" t="str">
        <f>IF(Start!$C$19="x",'H-Plant &amp; Animal'!B243,"---")</f>
        <v>---</v>
      </c>
      <c r="K243" s="343" t="str">
        <f>'H-Effluent'!Q243</f>
        <v>Not Req.</v>
      </c>
      <c r="L243" s="286" t="str">
        <f>'H-Runoff'!T243</f>
        <v>Not Req.</v>
      </c>
      <c r="M243" s="344" t="str">
        <f>'H-Runoff'!U243</f>
        <v>Not Req.</v>
      </c>
      <c r="N243" s="343" t="str">
        <f>'H-Leachate'!O243</f>
        <v/>
      </c>
      <c r="O243" s="283" t="str">
        <f>'H-Volatilization'!AV243</f>
        <v/>
      </c>
      <c r="P243" s="284" t="str">
        <f>'H-Volatilization'!AW243</f>
        <v/>
      </c>
      <c r="Q243" s="284" t="str">
        <f>'H-Volatilization'!AX243</f>
        <v/>
      </c>
      <c r="R243" s="285" t="str">
        <f>'H-Volatilization'!AY243</f>
        <v/>
      </c>
      <c r="S243" s="462"/>
      <c r="T243" s="345" t="str">
        <f>'H-Plant &amp; Animal'!L243</f>
        <v>Not Req.</v>
      </c>
      <c r="U243" s="346" t="str">
        <f>'H-Plant &amp; Animal'!M243</f>
        <v>Not Req.</v>
      </c>
      <c r="V243" s="794" t="str">
        <f>'H-Effluent'!O243</f>
        <v>---</v>
      </c>
      <c r="W243" s="797" t="str">
        <f>'H-Runoff'!Q243</f>
        <v>---</v>
      </c>
      <c r="X243" s="799" t="str">
        <f>'H-Runoff'!S243</f>
        <v>---</v>
      </c>
      <c r="Y243" s="794" t="str">
        <f>'H-Leachate'!N243</f>
        <v>NA</v>
      </c>
      <c r="Z243" s="797" t="str">
        <f>'H-Volatilization'!AD243</f>
        <v>NA</v>
      </c>
      <c r="AA243" s="798" t="str">
        <f>'H-Volatilization'!AF243</f>
        <v>NA</v>
      </c>
      <c r="AB243" s="798" t="str">
        <f>'H-Volatilization'!AO243</f>
        <v>NA</v>
      </c>
      <c r="AC243" s="799" t="str">
        <f>'H-Volatilization'!AU243</f>
        <v>NA</v>
      </c>
    </row>
    <row r="244" spans="1:29" ht="13.8" thickBot="1" x14ac:dyDescent="0.3">
      <c r="A244" s="676" t="s">
        <v>562</v>
      </c>
      <c r="B244" s="772" t="str">
        <f>IF(Start!$C$15="x",('H-Effluent'!B244),"---")</f>
        <v>---</v>
      </c>
      <c r="C244" s="773" t="str">
        <f>IF(Start!$C$16="x",'H-Runoff'!B244,"---")</f>
        <v>---</v>
      </c>
      <c r="D244" s="774" t="str">
        <f>IF(Start!$C$16="x",'H-Runoff'!C244,"---")</f>
        <v>---</v>
      </c>
      <c r="E244" s="868" t="str">
        <f>IF(Start!$C$17="x",'H-Leachate'!B244,"---")</f>
        <v/>
      </c>
      <c r="F244" s="776" t="str">
        <f>IF(Start!$C$18="x",('H-Volatilization'!B244),"---")</f>
        <v/>
      </c>
      <c r="G244" s="777" t="str">
        <f>IF(Start!$C$18="x",('H-Volatilization'!C244),"---")</f>
        <v/>
      </c>
      <c r="H244" s="777" t="str">
        <f>IF(Start!$C$18="x",('H-Volatilization'!D244),"---")</f>
        <v/>
      </c>
      <c r="I244" s="778" t="str">
        <f>IF(Start!$C$18="x",('H-Volatilization'!E244),"---")</f>
        <v/>
      </c>
      <c r="J244" s="775" t="str">
        <f>IF(Start!$C$19="x",'H-Plant &amp; Animal'!B244,"---")</f>
        <v>---</v>
      </c>
      <c r="K244" s="762" t="str">
        <f>'H-Effluent'!Q244</f>
        <v>Not Req.</v>
      </c>
      <c r="L244" s="768" t="str">
        <f>'H-Runoff'!T244</f>
        <v>Not Req.</v>
      </c>
      <c r="M244" s="779" t="str">
        <f>'H-Runoff'!U244</f>
        <v>Not Req.</v>
      </c>
      <c r="N244" s="762" t="str">
        <f>'H-Leachate'!O244</f>
        <v/>
      </c>
      <c r="O244" s="780" t="str">
        <f>'H-Volatilization'!AV244</f>
        <v/>
      </c>
      <c r="P244" s="781" t="str">
        <f>'H-Volatilization'!AW244</f>
        <v/>
      </c>
      <c r="Q244" s="781" t="str">
        <f>'H-Volatilization'!AX244</f>
        <v/>
      </c>
      <c r="R244" s="769" t="str">
        <f>'H-Volatilization'!AY244</f>
        <v/>
      </c>
      <c r="S244" s="462"/>
      <c r="T244" s="782" t="str">
        <f>'H-Plant &amp; Animal'!L244</f>
        <v>Not Req.</v>
      </c>
      <c r="U244" s="783" t="str">
        <f>'H-Plant &amp; Animal'!M244</f>
        <v>Not Req.</v>
      </c>
      <c r="V244" s="796" t="str">
        <f>'H-Effluent'!O244</f>
        <v>---</v>
      </c>
      <c r="W244" s="809" t="str">
        <f>'H-Runoff'!Q244</f>
        <v>---</v>
      </c>
      <c r="X244" s="810" t="str">
        <f>'H-Runoff'!S244</f>
        <v>---</v>
      </c>
      <c r="Y244" s="794" t="str">
        <f>'H-Leachate'!N244</f>
        <v>NA</v>
      </c>
      <c r="Z244" s="809" t="str">
        <f>'H-Volatilization'!AD244</f>
        <v>NA</v>
      </c>
      <c r="AA244" s="834" t="str">
        <f>'H-Volatilization'!AF244</f>
        <v>NA</v>
      </c>
      <c r="AB244" s="834" t="str">
        <f>'H-Volatilization'!AO244</f>
        <v>NA</v>
      </c>
      <c r="AC244" s="810" t="str">
        <f>'H-Volatilization'!AU244</f>
        <v>NA</v>
      </c>
    </row>
    <row r="245" spans="1:29" x14ac:dyDescent="0.25">
      <c r="A245" s="554" t="s">
        <v>563</v>
      </c>
      <c r="B245" s="559"/>
      <c r="C245" s="556"/>
      <c r="D245" s="557"/>
      <c r="E245" s="572"/>
      <c r="F245" s="559"/>
      <c r="G245" s="560"/>
      <c r="H245" s="560"/>
      <c r="I245" s="561"/>
      <c r="J245" s="572"/>
      <c r="K245" s="543"/>
      <c r="L245" s="511"/>
      <c r="M245" s="513"/>
      <c r="N245" s="543"/>
      <c r="O245" s="511"/>
      <c r="P245" s="512"/>
      <c r="Q245" s="512"/>
      <c r="R245" s="513"/>
      <c r="S245" s="543"/>
      <c r="T245" s="562"/>
      <c r="U245" s="563"/>
      <c r="V245" s="807"/>
      <c r="W245" s="800"/>
      <c r="X245" s="808"/>
      <c r="Y245" s="527"/>
      <c r="Z245" s="800"/>
      <c r="AA245" s="801"/>
      <c r="AB245" s="802"/>
      <c r="AC245" s="803"/>
    </row>
    <row r="246" spans="1:29" x14ac:dyDescent="0.25">
      <c r="A246" s="56" t="s">
        <v>564</v>
      </c>
      <c r="B246" s="336" t="str">
        <f>IF(Start!$C$15="x",('H-Effluent'!B246),"---")</f>
        <v>---</v>
      </c>
      <c r="C246" s="337" t="str">
        <f>IF(Start!$C$16="x",'H-Runoff'!B246,"---")</f>
        <v>---</v>
      </c>
      <c r="D246" s="338" t="str">
        <f>IF(Start!$C$16="x",'H-Runoff'!C246,"---")</f>
        <v>---</v>
      </c>
      <c r="E246" s="868" t="str">
        <f>IF(Start!$C$17="x",'H-Leachate'!B246,"---")</f>
        <v/>
      </c>
      <c r="F246" s="340" t="str">
        <f>IF(Start!$C$18="x",('H-Volatilization'!B246),"---")</f>
        <v/>
      </c>
      <c r="G246" s="341" t="str">
        <f>IF(Start!$C$18="x",('H-Volatilization'!C246),"---")</f>
        <v/>
      </c>
      <c r="H246" s="341" t="str">
        <f>IF(Start!$C$18="x",('H-Volatilization'!D246),"---")</f>
        <v/>
      </c>
      <c r="I246" s="342" t="str">
        <f>IF(Start!$C$18="x",('H-Volatilization'!E246),"---")</f>
        <v/>
      </c>
      <c r="J246" s="339" t="str">
        <f>IF(Start!$C$19="x",'H-Plant &amp; Animal'!B246,"---")</f>
        <v>---</v>
      </c>
      <c r="K246" s="343" t="str">
        <f>'H-Effluent'!Q246</f>
        <v>Not Req.</v>
      </c>
      <c r="L246" s="286" t="str">
        <f>'H-Runoff'!T246</f>
        <v>Not Req.</v>
      </c>
      <c r="M246" s="344" t="str">
        <f>'H-Runoff'!U246</f>
        <v>Not Req.</v>
      </c>
      <c r="N246" s="343" t="str">
        <f>'H-Leachate'!O246</f>
        <v/>
      </c>
      <c r="O246" s="283" t="str">
        <f>'H-Volatilization'!AV246</f>
        <v/>
      </c>
      <c r="P246" s="284" t="str">
        <f>'H-Volatilization'!AW246</f>
        <v/>
      </c>
      <c r="Q246" s="284" t="str">
        <f>'H-Volatilization'!AX246</f>
        <v/>
      </c>
      <c r="R246" s="285" t="str">
        <f>'H-Volatilization'!AY246</f>
        <v/>
      </c>
      <c r="S246" s="462"/>
      <c r="T246" s="345" t="str">
        <f>'H-Plant &amp; Animal'!L246</f>
        <v>Not Req.</v>
      </c>
      <c r="U246" s="346" t="str">
        <f>'H-Plant &amp; Animal'!M246</f>
        <v>Not Req.</v>
      </c>
      <c r="V246" s="794" t="str">
        <f>'H-Effluent'!O246</f>
        <v>---</v>
      </c>
      <c r="W246" s="797" t="str">
        <f>'H-Runoff'!Q246</f>
        <v>---</v>
      </c>
      <c r="X246" s="799" t="str">
        <f>'H-Runoff'!S246</f>
        <v>---</v>
      </c>
      <c r="Y246" s="794" t="str">
        <f>'H-Leachate'!N246</f>
        <v>NA</v>
      </c>
      <c r="Z246" s="797" t="str">
        <f>'H-Volatilization'!AD246</f>
        <v>NA</v>
      </c>
      <c r="AA246" s="798" t="str">
        <f>'H-Volatilization'!AF246</f>
        <v>NA</v>
      </c>
      <c r="AB246" s="798" t="str">
        <f>'H-Volatilization'!AO246</f>
        <v>NA</v>
      </c>
      <c r="AC246" s="799" t="str">
        <f>'H-Volatilization'!AU246</f>
        <v>NA</v>
      </c>
    </row>
    <row r="247" spans="1:29" x14ac:dyDescent="0.25">
      <c r="A247" s="56" t="s">
        <v>565</v>
      </c>
      <c r="B247" s="336" t="str">
        <f>IF(Start!$C$15="x",('H-Effluent'!B247),"---")</f>
        <v>---</v>
      </c>
      <c r="C247" s="337" t="str">
        <f>IF(Start!$C$16="x",'H-Runoff'!B247,"---")</f>
        <v>---</v>
      </c>
      <c r="D247" s="338" t="str">
        <f>IF(Start!$C$16="x",'H-Runoff'!C247,"---")</f>
        <v>---</v>
      </c>
      <c r="E247" s="868" t="str">
        <f>IF(Start!$C$17="x",'H-Leachate'!B247,"---")</f>
        <v/>
      </c>
      <c r="F247" s="340" t="str">
        <f>IF(Start!$C$18="x",('H-Volatilization'!B247),"---")</f>
        <v/>
      </c>
      <c r="G247" s="341" t="str">
        <f>IF(Start!$C$18="x",('H-Volatilization'!C247),"---")</f>
        <v/>
      </c>
      <c r="H247" s="341" t="str">
        <f>IF(Start!$C$18="x",('H-Volatilization'!D247),"---")</f>
        <v/>
      </c>
      <c r="I247" s="342" t="str">
        <f>IF(Start!$C$18="x",('H-Volatilization'!E247),"---")</f>
        <v/>
      </c>
      <c r="J247" s="339" t="str">
        <f>IF(Start!$C$19="x",'H-Plant &amp; Animal'!B247,"---")</f>
        <v>---</v>
      </c>
      <c r="K247" s="343" t="str">
        <f>'H-Effluent'!Q247</f>
        <v>Not Req.</v>
      </c>
      <c r="L247" s="286" t="str">
        <f>'H-Runoff'!T247</f>
        <v>Not Req.</v>
      </c>
      <c r="M247" s="344" t="str">
        <f>'H-Runoff'!U247</f>
        <v>Not Req.</v>
      </c>
      <c r="N247" s="343" t="str">
        <f>'H-Leachate'!O247</f>
        <v/>
      </c>
      <c r="O247" s="283" t="str">
        <f>'H-Volatilization'!AV247</f>
        <v/>
      </c>
      <c r="P247" s="284" t="str">
        <f>'H-Volatilization'!AW247</f>
        <v/>
      </c>
      <c r="Q247" s="284" t="str">
        <f>'H-Volatilization'!AX247</f>
        <v/>
      </c>
      <c r="R247" s="285" t="str">
        <f>'H-Volatilization'!AY247</f>
        <v/>
      </c>
      <c r="S247" s="462"/>
      <c r="T247" s="345" t="str">
        <f>'H-Plant &amp; Animal'!L247</f>
        <v>Not Req.</v>
      </c>
      <c r="U247" s="346" t="str">
        <f>'H-Plant &amp; Animal'!M247</f>
        <v>Not Req.</v>
      </c>
      <c r="V247" s="794" t="str">
        <f>'H-Effluent'!O247</f>
        <v>---</v>
      </c>
      <c r="W247" s="797" t="str">
        <f>'H-Runoff'!Q247</f>
        <v>---</v>
      </c>
      <c r="X247" s="799" t="str">
        <f>'H-Runoff'!S247</f>
        <v>---</v>
      </c>
      <c r="Y247" s="794" t="str">
        <f>'H-Leachate'!N247</f>
        <v>NA</v>
      </c>
      <c r="Z247" s="797" t="str">
        <f>'H-Volatilization'!AD247</f>
        <v>NA</v>
      </c>
      <c r="AA247" s="798" t="str">
        <f>'H-Volatilization'!AF247</f>
        <v>NA</v>
      </c>
      <c r="AB247" s="798" t="str">
        <f>'H-Volatilization'!AO247</f>
        <v>NA</v>
      </c>
      <c r="AC247" s="799" t="str">
        <f>'H-Volatilization'!AU247</f>
        <v>NA</v>
      </c>
    </row>
    <row r="248" spans="1:29" x14ac:dyDescent="0.25">
      <c r="A248" s="56" t="s">
        <v>566</v>
      </c>
      <c r="B248" s="336" t="str">
        <f>IF(Start!$C$15="x",('H-Effluent'!B248),"---")</f>
        <v>---</v>
      </c>
      <c r="C248" s="337" t="str">
        <f>IF(Start!$C$16="x",'H-Runoff'!B248,"---")</f>
        <v>---</v>
      </c>
      <c r="D248" s="338" t="str">
        <f>IF(Start!$C$16="x",'H-Runoff'!C248,"---")</f>
        <v>---</v>
      </c>
      <c r="E248" s="868" t="str">
        <f>IF(Start!$C$17="x",'H-Leachate'!B248,"---")</f>
        <v/>
      </c>
      <c r="F248" s="340" t="str">
        <f>IF(Start!$C$18="x",('H-Volatilization'!B248),"---")</f>
        <v/>
      </c>
      <c r="G248" s="341" t="str">
        <f>IF(Start!$C$18="x",('H-Volatilization'!C248),"---")</f>
        <v/>
      </c>
      <c r="H248" s="341" t="str">
        <f>IF(Start!$C$18="x",('H-Volatilization'!D248),"---")</f>
        <v/>
      </c>
      <c r="I248" s="342" t="str">
        <f>IF(Start!$C$18="x",('H-Volatilization'!E248),"---")</f>
        <v/>
      </c>
      <c r="J248" s="339" t="str">
        <f>IF(Start!$C$19="x",'H-Plant &amp; Animal'!B248,"---")</f>
        <v>---</v>
      </c>
      <c r="K248" s="343" t="str">
        <f>'H-Effluent'!Q248</f>
        <v>Not Req.</v>
      </c>
      <c r="L248" s="286" t="str">
        <f>'H-Runoff'!T248</f>
        <v>Not Req.</v>
      </c>
      <c r="M248" s="344" t="str">
        <f>'H-Runoff'!U248</f>
        <v>Not Req.</v>
      </c>
      <c r="N248" s="343" t="str">
        <f>'H-Leachate'!O248</f>
        <v/>
      </c>
      <c r="O248" s="283" t="str">
        <f>'H-Volatilization'!AV248</f>
        <v/>
      </c>
      <c r="P248" s="284" t="str">
        <f>'H-Volatilization'!AW248</f>
        <v/>
      </c>
      <c r="Q248" s="284" t="str">
        <f>'H-Volatilization'!AX248</f>
        <v/>
      </c>
      <c r="R248" s="285" t="str">
        <f>'H-Volatilization'!AY248</f>
        <v/>
      </c>
      <c r="S248" s="462"/>
      <c r="T248" s="345" t="str">
        <f>'H-Plant &amp; Animal'!L248</f>
        <v>Not Req.</v>
      </c>
      <c r="U248" s="346" t="str">
        <f>'H-Plant &amp; Animal'!M248</f>
        <v>Not Req.</v>
      </c>
      <c r="V248" s="794" t="str">
        <f>'H-Effluent'!O248</f>
        <v>---</v>
      </c>
      <c r="W248" s="797" t="str">
        <f>'H-Runoff'!Q248</f>
        <v>---</v>
      </c>
      <c r="X248" s="799" t="str">
        <f>'H-Runoff'!S248</f>
        <v>---</v>
      </c>
      <c r="Y248" s="794" t="str">
        <f>'H-Leachate'!N248</f>
        <v>NA</v>
      </c>
      <c r="Z248" s="797" t="str">
        <f>'H-Volatilization'!AD248</f>
        <v>NA</v>
      </c>
      <c r="AA248" s="798" t="str">
        <f>'H-Volatilization'!AF248</f>
        <v>NA</v>
      </c>
      <c r="AB248" s="798" t="str">
        <f>'H-Volatilization'!AO248</f>
        <v>NA</v>
      </c>
      <c r="AC248" s="799" t="str">
        <f>'H-Volatilization'!AU248</f>
        <v>NA</v>
      </c>
    </row>
    <row r="249" spans="1:29" x14ac:dyDescent="0.25">
      <c r="A249" s="56" t="s">
        <v>567</v>
      </c>
      <c r="B249" s="336" t="str">
        <f>IF(Start!$C$15="x",('H-Effluent'!B249),"---")</f>
        <v>---</v>
      </c>
      <c r="C249" s="337" t="str">
        <f>IF(Start!$C$16="x",'H-Runoff'!B249,"---")</f>
        <v>---</v>
      </c>
      <c r="D249" s="338" t="str">
        <f>IF(Start!$C$16="x",'H-Runoff'!C249,"---")</f>
        <v>---</v>
      </c>
      <c r="E249" s="868" t="str">
        <f>IF(Start!$C$17="x",'H-Leachate'!B249,"---")</f>
        <v/>
      </c>
      <c r="F249" s="340" t="str">
        <f>IF(Start!$C$18="x",('H-Volatilization'!B249),"---")</f>
        <v/>
      </c>
      <c r="G249" s="341" t="str">
        <f>IF(Start!$C$18="x",('H-Volatilization'!C249),"---")</f>
        <v/>
      </c>
      <c r="H249" s="341" t="str">
        <f>IF(Start!$C$18="x",('H-Volatilization'!D249),"---")</f>
        <v/>
      </c>
      <c r="I249" s="342" t="str">
        <f>IF(Start!$C$18="x",('H-Volatilization'!E249),"---")</f>
        <v/>
      </c>
      <c r="J249" s="339" t="str">
        <f>IF(Start!$C$19="x",'H-Plant &amp; Animal'!B249,"---")</f>
        <v>---</v>
      </c>
      <c r="K249" s="343" t="str">
        <f>'H-Effluent'!Q249</f>
        <v>Not Req.</v>
      </c>
      <c r="L249" s="286" t="str">
        <f>'H-Runoff'!T249</f>
        <v>Not Req.</v>
      </c>
      <c r="M249" s="344" t="str">
        <f>'H-Runoff'!U249</f>
        <v>Not Req.</v>
      </c>
      <c r="N249" s="343" t="str">
        <f>'H-Leachate'!O249</f>
        <v/>
      </c>
      <c r="O249" s="283" t="str">
        <f>'H-Volatilization'!AV249</f>
        <v/>
      </c>
      <c r="P249" s="284" t="str">
        <f>'H-Volatilization'!AW249</f>
        <v/>
      </c>
      <c r="Q249" s="284" t="str">
        <f>'H-Volatilization'!AX249</f>
        <v/>
      </c>
      <c r="R249" s="285" t="str">
        <f>'H-Volatilization'!AY249</f>
        <v/>
      </c>
      <c r="S249" s="462"/>
      <c r="T249" s="345" t="str">
        <f>'H-Plant &amp; Animal'!L249</f>
        <v>Not Req.</v>
      </c>
      <c r="U249" s="346" t="str">
        <f>'H-Plant &amp; Animal'!M249</f>
        <v>Not Req.</v>
      </c>
      <c r="V249" s="794" t="str">
        <f>'H-Effluent'!O249</f>
        <v>---</v>
      </c>
      <c r="W249" s="797" t="str">
        <f>'H-Runoff'!Q249</f>
        <v>---</v>
      </c>
      <c r="X249" s="799" t="str">
        <f>'H-Runoff'!S249</f>
        <v>---</v>
      </c>
      <c r="Y249" s="794" t="str">
        <f>'H-Leachate'!N249</f>
        <v>NA</v>
      </c>
      <c r="Z249" s="797" t="str">
        <f>'H-Volatilization'!AD249</f>
        <v>NA</v>
      </c>
      <c r="AA249" s="798" t="str">
        <f>'H-Volatilization'!AF249</f>
        <v>NA</v>
      </c>
      <c r="AB249" s="798" t="str">
        <f>'H-Volatilization'!AO249</f>
        <v>NA</v>
      </c>
      <c r="AC249" s="799" t="str">
        <f>'H-Volatilization'!AU249</f>
        <v>NA</v>
      </c>
    </row>
    <row r="250" spans="1:29" x14ac:dyDescent="0.25">
      <c r="A250" s="56" t="s">
        <v>568</v>
      </c>
      <c r="B250" s="336" t="str">
        <f>IF(Start!$C$15="x",('H-Effluent'!B250),"---")</f>
        <v>---</v>
      </c>
      <c r="C250" s="337" t="str">
        <f>IF(Start!$C$16="x",'H-Runoff'!B250,"---")</f>
        <v>---</v>
      </c>
      <c r="D250" s="338" t="str">
        <f>IF(Start!$C$16="x",'H-Runoff'!C250,"---")</f>
        <v>---</v>
      </c>
      <c r="E250" s="868" t="str">
        <f>IF(Start!$C$17="x",'H-Leachate'!B250,"---")</f>
        <v/>
      </c>
      <c r="F250" s="340" t="str">
        <f>IF(Start!$C$18="x",('H-Volatilization'!B250),"---")</f>
        <v/>
      </c>
      <c r="G250" s="341" t="str">
        <f>IF(Start!$C$18="x",('H-Volatilization'!C250),"---")</f>
        <v/>
      </c>
      <c r="H250" s="341" t="str">
        <f>IF(Start!$C$18="x",('H-Volatilization'!D250),"---")</f>
        <v/>
      </c>
      <c r="I250" s="342" t="str">
        <f>IF(Start!$C$18="x",('H-Volatilization'!E250),"---")</f>
        <v/>
      </c>
      <c r="J250" s="339" t="str">
        <f>IF(Start!$C$19="x",'H-Plant &amp; Animal'!B250,"---")</f>
        <v>---</v>
      </c>
      <c r="K250" s="343" t="str">
        <f>'H-Effluent'!Q250</f>
        <v>Not Req.</v>
      </c>
      <c r="L250" s="286" t="str">
        <f>'H-Runoff'!T250</f>
        <v>Not Req.</v>
      </c>
      <c r="M250" s="344" t="str">
        <f>'H-Runoff'!U250</f>
        <v>Not Req.</v>
      </c>
      <c r="N250" s="343" t="str">
        <f>'H-Leachate'!O250</f>
        <v/>
      </c>
      <c r="O250" s="283" t="str">
        <f>'H-Volatilization'!AV250</f>
        <v/>
      </c>
      <c r="P250" s="284" t="str">
        <f>'H-Volatilization'!AW250</f>
        <v/>
      </c>
      <c r="Q250" s="284" t="str">
        <f>'H-Volatilization'!AX250</f>
        <v/>
      </c>
      <c r="R250" s="285" t="str">
        <f>'H-Volatilization'!AY250</f>
        <v/>
      </c>
      <c r="S250" s="462"/>
      <c r="T250" s="345" t="str">
        <f>'H-Plant &amp; Animal'!L250</f>
        <v>Not Req.</v>
      </c>
      <c r="U250" s="346" t="str">
        <f>'H-Plant &amp; Animal'!M250</f>
        <v>Not Req.</v>
      </c>
      <c r="V250" s="794" t="str">
        <f>'H-Effluent'!O250</f>
        <v>---</v>
      </c>
      <c r="W250" s="797" t="str">
        <f>'H-Runoff'!Q250</f>
        <v>---</v>
      </c>
      <c r="X250" s="799" t="str">
        <f>'H-Runoff'!S250</f>
        <v>---</v>
      </c>
      <c r="Y250" s="794" t="str">
        <f>'H-Leachate'!N250</f>
        <v>NA</v>
      </c>
      <c r="Z250" s="797" t="str">
        <f>'H-Volatilization'!AD250</f>
        <v>NA</v>
      </c>
      <c r="AA250" s="798" t="str">
        <f>'H-Volatilization'!AF250</f>
        <v>NA</v>
      </c>
      <c r="AB250" s="798" t="str">
        <f>'H-Volatilization'!AO250</f>
        <v>NA</v>
      </c>
      <c r="AC250" s="799" t="str">
        <f>'H-Volatilization'!AU250</f>
        <v>NA</v>
      </c>
    </row>
    <row r="251" spans="1:29" x14ac:dyDescent="0.25">
      <c r="A251" s="56" t="s">
        <v>569</v>
      </c>
      <c r="B251" s="336" t="str">
        <f>IF(Start!$C$15="x",('H-Effluent'!B251),"---")</f>
        <v>---</v>
      </c>
      <c r="C251" s="337" t="str">
        <f>IF(Start!$C$16="x",'H-Runoff'!B251,"---")</f>
        <v>---</v>
      </c>
      <c r="D251" s="338" t="str">
        <f>IF(Start!$C$16="x",'H-Runoff'!C251,"---")</f>
        <v>---</v>
      </c>
      <c r="E251" s="868" t="str">
        <f>IF(Start!$C$17="x",'H-Leachate'!B251,"---")</f>
        <v/>
      </c>
      <c r="F251" s="340" t="str">
        <f>IF(Start!$C$18="x",('H-Volatilization'!B251),"---")</f>
        <v/>
      </c>
      <c r="G251" s="341" t="str">
        <f>IF(Start!$C$18="x",('H-Volatilization'!C251),"---")</f>
        <v/>
      </c>
      <c r="H251" s="341" t="str">
        <f>IF(Start!$C$18="x",('H-Volatilization'!D251),"---")</f>
        <v/>
      </c>
      <c r="I251" s="342" t="str">
        <f>IF(Start!$C$18="x",('H-Volatilization'!E251),"---")</f>
        <v/>
      </c>
      <c r="J251" s="339" t="str">
        <f>IF(Start!$C$19="x",'H-Plant &amp; Animal'!B251,"---")</f>
        <v>---</v>
      </c>
      <c r="K251" s="343" t="str">
        <f>'H-Effluent'!Q251</f>
        <v>Not Req.</v>
      </c>
      <c r="L251" s="286" t="str">
        <f>'H-Runoff'!T251</f>
        <v>Not Req.</v>
      </c>
      <c r="M251" s="344" t="str">
        <f>'H-Runoff'!U251</f>
        <v>Not Req.</v>
      </c>
      <c r="N251" s="343" t="str">
        <f>'H-Leachate'!O251</f>
        <v/>
      </c>
      <c r="O251" s="283" t="str">
        <f>'H-Volatilization'!AV251</f>
        <v/>
      </c>
      <c r="P251" s="284" t="str">
        <f>'H-Volatilization'!AW251</f>
        <v/>
      </c>
      <c r="Q251" s="284" t="str">
        <f>'H-Volatilization'!AX251</f>
        <v/>
      </c>
      <c r="R251" s="285" t="str">
        <f>'H-Volatilization'!AY251</f>
        <v/>
      </c>
      <c r="S251" s="462"/>
      <c r="T251" s="345" t="str">
        <f>'H-Plant &amp; Animal'!L251</f>
        <v>Not Req.</v>
      </c>
      <c r="U251" s="346" t="str">
        <f>'H-Plant &amp; Animal'!M251</f>
        <v>Not Req.</v>
      </c>
      <c r="V251" s="794" t="str">
        <f>'H-Effluent'!O251</f>
        <v>---</v>
      </c>
      <c r="W251" s="797" t="str">
        <f>'H-Runoff'!Q251</f>
        <v>---</v>
      </c>
      <c r="X251" s="799" t="str">
        <f>'H-Runoff'!S251</f>
        <v>---</v>
      </c>
      <c r="Y251" s="794" t="str">
        <f>'H-Leachate'!N251</f>
        <v>NA</v>
      </c>
      <c r="Z251" s="797" t="str">
        <f>'H-Volatilization'!AD251</f>
        <v>NA</v>
      </c>
      <c r="AA251" s="798" t="str">
        <f>'H-Volatilization'!AF251</f>
        <v>NA</v>
      </c>
      <c r="AB251" s="798" t="str">
        <f>'H-Volatilization'!AO251</f>
        <v>NA</v>
      </c>
      <c r="AC251" s="799" t="str">
        <f>'H-Volatilization'!AU251</f>
        <v>NA</v>
      </c>
    </row>
    <row r="252" spans="1:29" x14ac:dyDescent="0.25">
      <c r="A252" s="56" t="s">
        <v>570</v>
      </c>
      <c r="B252" s="336" t="str">
        <f>IF(Start!$C$15="x",('H-Effluent'!B252),"---")</f>
        <v>---</v>
      </c>
      <c r="C252" s="337" t="str">
        <f>IF(Start!$C$16="x",'H-Runoff'!B252,"---")</f>
        <v>---</v>
      </c>
      <c r="D252" s="338" t="str">
        <f>IF(Start!$C$16="x",'H-Runoff'!C252,"---")</f>
        <v>---</v>
      </c>
      <c r="E252" s="868" t="str">
        <f>IF(Start!$C$17="x",'H-Leachate'!B252,"---")</f>
        <v/>
      </c>
      <c r="F252" s="340" t="str">
        <f>IF(Start!$C$18="x",('H-Volatilization'!B252),"---")</f>
        <v/>
      </c>
      <c r="G252" s="341" t="str">
        <f>IF(Start!$C$18="x",('H-Volatilization'!C252),"---")</f>
        <v/>
      </c>
      <c r="H252" s="341" t="str">
        <f>IF(Start!$C$18="x",('H-Volatilization'!D252),"---")</f>
        <v/>
      </c>
      <c r="I252" s="342" t="str">
        <f>IF(Start!$C$18="x",('H-Volatilization'!E252),"---")</f>
        <v/>
      </c>
      <c r="J252" s="339" t="str">
        <f>IF(Start!$C$19="x",'H-Plant &amp; Animal'!B252,"---")</f>
        <v>---</v>
      </c>
      <c r="K252" s="343" t="str">
        <f>'H-Effluent'!Q252</f>
        <v>Not Req.</v>
      </c>
      <c r="L252" s="286" t="str">
        <f>'H-Runoff'!T252</f>
        <v>Not Req.</v>
      </c>
      <c r="M252" s="344" t="str">
        <f>'H-Runoff'!U252</f>
        <v>Not Req.</v>
      </c>
      <c r="N252" s="343" t="str">
        <f>'H-Leachate'!O252</f>
        <v/>
      </c>
      <c r="O252" s="283" t="str">
        <f>'H-Volatilization'!AV252</f>
        <v/>
      </c>
      <c r="P252" s="284" t="str">
        <f>'H-Volatilization'!AW252</f>
        <v/>
      </c>
      <c r="Q252" s="284" t="str">
        <f>'H-Volatilization'!AX252</f>
        <v/>
      </c>
      <c r="R252" s="285" t="str">
        <f>'H-Volatilization'!AY252</f>
        <v/>
      </c>
      <c r="S252" s="462"/>
      <c r="T252" s="345" t="str">
        <f>'H-Plant &amp; Animal'!L252</f>
        <v>Not Req.</v>
      </c>
      <c r="U252" s="346" t="str">
        <f>'H-Plant &amp; Animal'!M252</f>
        <v>Not Req.</v>
      </c>
      <c r="V252" s="794" t="str">
        <f>'H-Effluent'!O252</f>
        <v>---</v>
      </c>
      <c r="W252" s="797" t="str">
        <f>'H-Runoff'!Q252</f>
        <v>---</v>
      </c>
      <c r="X252" s="799" t="str">
        <f>'H-Runoff'!S252</f>
        <v>---</v>
      </c>
      <c r="Y252" s="794" t="str">
        <f>'H-Leachate'!N252</f>
        <v>NA</v>
      </c>
      <c r="Z252" s="797" t="str">
        <f>'H-Volatilization'!AD252</f>
        <v>NA</v>
      </c>
      <c r="AA252" s="798" t="str">
        <f>'H-Volatilization'!AF252</f>
        <v>NA</v>
      </c>
      <c r="AB252" s="798" t="str">
        <f>'H-Volatilization'!AO252</f>
        <v>NA</v>
      </c>
      <c r="AC252" s="799" t="str">
        <f>'H-Volatilization'!AU252</f>
        <v>NA</v>
      </c>
    </row>
    <row r="253" spans="1:29" x14ac:dyDescent="0.25">
      <c r="A253" s="56" t="s">
        <v>571</v>
      </c>
      <c r="B253" s="336" t="str">
        <f>IF(Start!$C$15="x",('H-Effluent'!B253),"---")</f>
        <v>---</v>
      </c>
      <c r="C253" s="337" t="str">
        <f>IF(Start!$C$16="x",'H-Runoff'!B253,"---")</f>
        <v>---</v>
      </c>
      <c r="D253" s="338" t="str">
        <f>IF(Start!$C$16="x",'H-Runoff'!C253,"---")</f>
        <v>---</v>
      </c>
      <c r="E253" s="868" t="str">
        <f>IF(Start!$C$17="x",'H-Leachate'!B253,"---")</f>
        <v/>
      </c>
      <c r="F253" s="340" t="str">
        <f>IF(Start!$C$18="x",('H-Volatilization'!B253),"---")</f>
        <v/>
      </c>
      <c r="G253" s="341" t="str">
        <f>IF(Start!$C$18="x",('H-Volatilization'!C253),"---")</f>
        <v/>
      </c>
      <c r="H253" s="341" t="str">
        <f>IF(Start!$C$18="x",('H-Volatilization'!D253),"---")</f>
        <v/>
      </c>
      <c r="I253" s="342" t="str">
        <f>IF(Start!$C$18="x",('H-Volatilization'!E253),"---")</f>
        <v/>
      </c>
      <c r="J253" s="339" t="str">
        <f>IF(Start!$C$19="x",'H-Plant &amp; Animal'!B253,"---")</f>
        <v>---</v>
      </c>
      <c r="K253" s="343" t="str">
        <f>'H-Effluent'!Q253</f>
        <v>Not Req.</v>
      </c>
      <c r="L253" s="286" t="str">
        <f>'H-Runoff'!T253</f>
        <v>Not Req.</v>
      </c>
      <c r="M253" s="344" t="str">
        <f>'H-Runoff'!U253</f>
        <v>Not Req.</v>
      </c>
      <c r="N253" s="343" t="str">
        <f>'H-Leachate'!O253</f>
        <v/>
      </c>
      <c r="O253" s="283" t="str">
        <f>'H-Volatilization'!AV253</f>
        <v/>
      </c>
      <c r="P253" s="284" t="str">
        <f>'H-Volatilization'!AW253</f>
        <v/>
      </c>
      <c r="Q253" s="284" t="str">
        <f>'H-Volatilization'!AX253</f>
        <v/>
      </c>
      <c r="R253" s="285" t="str">
        <f>'H-Volatilization'!AY253</f>
        <v/>
      </c>
      <c r="S253" s="462"/>
      <c r="T253" s="345" t="str">
        <f>'H-Plant &amp; Animal'!L253</f>
        <v>Not Req.</v>
      </c>
      <c r="U253" s="346" t="str">
        <f>'H-Plant &amp; Animal'!M253</f>
        <v>Not Req.</v>
      </c>
      <c r="V253" s="794" t="str">
        <f>'H-Effluent'!O253</f>
        <v>---</v>
      </c>
      <c r="W253" s="797" t="str">
        <f>'H-Runoff'!Q253</f>
        <v>---</v>
      </c>
      <c r="X253" s="799" t="str">
        <f>'H-Runoff'!S253</f>
        <v>---</v>
      </c>
      <c r="Y253" s="794" t="str">
        <f>'H-Leachate'!N253</f>
        <v>NA</v>
      </c>
      <c r="Z253" s="797" t="str">
        <f>'H-Volatilization'!AD253</f>
        <v>NA</v>
      </c>
      <c r="AA253" s="798" t="str">
        <f>'H-Volatilization'!AF253</f>
        <v>NA</v>
      </c>
      <c r="AB253" s="798" t="str">
        <f>'H-Volatilization'!AO253</f>
        <v>NA</v>
      </c>
      <c r="AC253" s="799" t="str">
        <f>'H-Volatilization'!AU253</f>
        <v>NA</v>
      </c>
    </row>
    <row r="254" spans="1:29" x14ac:dyDescent="0.25">
      <c r="A254" s="56" t="s">
        <v>572</v>
      </c>
      <c r="B254" s="336" t="str">
        <f>IF(Start!$C$15="x",('H-Effluent'!B254),"---")</f>
        <v>---</v>
      </c>
      <c r="C254" s="337" t="str">
        <f>IF(Start!$C$16="x",'H-Runoff'!B254,"---")</f>
        <v>---</v>
      </c>
      <c r="D254" s="338" t="str">
        <f>IF(Start!$C$16="x",'H-Runoff'!C254,"---")</f>
        <v>---</v>
      </c>
      <c r="E254" s="868" t="str">
        <f>IF(Start!$C$17="x",'H-Leachate'!B254,"---")</f>
        <v/>
      </c>
      <c r="F254" s="340" t="str">
        <f>IF(Start!$C$18="x",('H-Volatilization'!B254),"---")</f>
        <v/>
      </c>
      <c r="G254" s="341" t="str">
        <f>IF(Start!$C$18="x",('H-Volatilization'!C254),"---")</f>
        <v/>
      </c>
      <c r="H254" s="341" t="str">
        <f>IF(Start!$C$18="x",('H-Volatilization'!D254),"---")</f>
        <v/>
      </c>
      <c r="I254" s="342" t="str">
        <f>IF(Start!$C$18="x",('H-Volatilization'!E254),"---")</f>
        <v/>
      </c>
      <c r="J254" s="339" t="str">
        <f>IF(Start!$C$19="x",'H-Plant &amp; Animal'!B254,"---")</f>
        <v>---</v>
      </c>
      <c r="K254" s="343" t="str">
        <f>'H-Effluent'!Q254</f>
        <v>Not Req.</v>
      </c>
      <c r="L254" s="286" t="str">
        <f>'H-Runoff'!T254</f>
        <v>Not Req.</v>
      </c>
      <c r="M254" s="344" t="str">
        <f>'H-Runoff'!U254</f>
        <v>Not Req.</v>
      </c>
      <c r="N254" s="343" t="str">
        <f>'H-Leachate'!O254</f>
        <v/>
      </c>
      <c r="O254" s="283" t="str">
        <f>'H-Volatilization'!AV254</f>
        <v/>
      </c>
      <c r="P254" s="284" t="str">
        <f>'H-Volatilization'!AW254</f>
        <v/>
      </c>
      <c r="Q254" s="284" t="str">
        <f>'H-Volatilization'!AX254</f>
        <v/>
      </c>
      <c r="R254" s="285" t="str">
        <f>'H-Volatilization'!AY254</f>
        <v/>
      </c>
      <c r="S254" s="462"/>
      <c r="T254" s="345" t="str">
        <f>'H-Plant &amp; Animal'!L254</f>
        <v>Not Req.</v>
      </c>
      <c r="U254" s="346" t="str">
        <f>'H-Plant &amp; Animal'!M254</f>
        <v>Not Req.</v>
      </c>
      <c r="V254" s="794" t="str">
        <f>'H-Effluent'!O254</f>
        <v>---</v>
      </c>
      <c r="W254" s="797" t="str">
        <f>'H-Runoff'!Q254</f>
        <v>---</v>
      </c>
      <c r="X254" s="799" t="str">
        <f>'H-Runoff'!S254</f>
        <v>---</v>
      </c>
      <c r="Y254" s="794" t="str">
        <f>'H-Leachate'!N254</f>
        <v>NA</v>
      </c>
      <c r="Z254" s="797" t="str">
        <f>'H-Volatilization'!AD254</f>
        <v>NA</v>
      </c>
      <c r="AA254" s="798" t="str">
        <f>'H-Volatilization'!AF254</f>
        <v>NA</v>
      </c>
      <c r="AB254" s="798" t="str">
        <f>'H-Volatilization'!AO254</f>
        <v>NA</v>
      </c>
      <c r="AC254" s="799" t="str">
        <f>'H-Volatilization'!AU254</f>
        <v>NA</v>
      </c>
    </row>
    <row r="255" spans="1:29" x14ac:dyDescent="0.25">
      <c r="A255" s="56" t="s">
        <v>573</v>
      </c>
      <c r="B255" s="336" t="str">
        <f>IF(Start!$C$15="x",('H-Effluent'!B255),"---")</f>
        <v>---</v>
      </c>
      <c r="C255" s="337" t="str">
        <f>IF(Start!$C$16="x",'H-Runoff'!B255,"---")</f>
        <v>---</v>
      </c>
      <c r="D255" s="338" t="str">
        <f>IF(Start!$C$16="x",'H-Runoff'!C255,"---")</f>
        <v>---</v>
      </c>
      <c r="E255" s="868" t="str">
        <f>IF(Start!$C$17="x",'H-Leachate'!B255,"---")</f>
        <v/>
      </c>
      <c r="F255" s="340" t="str">
        <f>IF(Start!$C$18="x",('H-Volatilization'!B255),"---")</f>
        <v/>
      </c>
      <c r="G255" s="341" t="str">
        <f>IF(Start!$C$18="x",('H-Volatilization'!C255),"---")</f>
        <v/>
      </c>
      <c r="H255" s="341" t="str">
        <f>IF(Start!$C$18="x",('H-Volatilization'!D255),"---")</f>
        <v/>
      </c>
      <c r="I255" s="342" t="str">
        <f>IF(Start!$C$18="x",('H-Volatilization'!E255),"---")</f>
        <v/>
      </c>
      <c r="J255" s="339" t="str">
        <f>IF(Start!$C$19="x",'H-Plant &amp; Animal'!B255,"---")</f>
        <v>---</v>
      </c>
      <c r="K255" s="343" t="str">
        <f>'H-Effluent'!Q255</f>
        <v>Not Req.</v>
      </c>
      <c r="L255" s="286" t="str">
        <f>'H-Runoff'!T255</f>
        <v>Not Req.</v>
      </c>
      <c r="M255" s="344" t="str">
        <f>'H-Runoff'!U255</f>
        <v>Not Req.</v>
      </c>
      <c r="N255" s="343" t="str">
        <f>'H-Leachate'!O255</f>
        <v/>
      </c>
      <c r="O255" s="283" t="str">
        <f>'H-Volatilization'!AV255</f>
        <v/>
      </c>
      <c r="P255" s="284" t="str">
        <f>'H-Volatilization'!AW255</f>
        <v/>
      </c>
      <c r="Q255" s="284" t="str">
        <f>'H-Volatilization'!AX255</f>
        <v/>
      </c>
      <c r="R255" s="285" t="str">
        <f>'H-Volatilization'!AY255</f>
        <v/>
      </c>
      <c r="S255" s="462"/>
      <c r="T255" s="345" t="str">
        <f>'H-Plant &amp; Animal'!L255</f>
        <v>Not Req.</v>
      </c>
      <c r="U255" s="346" t="str">
        <f>'H-Plant &amp; Animal'!M255</f>
        <v>Not Req.</v>
      </c>
      <c r="V255" s="794" t="str">
        <f>'H-Effluent'!O255</f>
        <v>---</v>
      </c>
      <c r="W255" s="797" t="str">
        <f>'H-Runoff'!Q255</f>
        <v>---</v>
      </c>
      <c r="X255" s="799" t="str">
        <f>'H-Runoff'!S255</f>
        <v>---</v>
      </c>
      <c r="Y255" s="794" t="str">
        <f>'H-Leachate'!N255</f>
        <v>NA</v>
      </c>
      <c r="Z255" s="797" t="str">
        <f>'H-Volatilization'!AD255</f>
        <v>NA</v>
      </c>
      <c r="AA255" s="798" t="str">
        <f>'H-Volatilization'!AF255</f>
        <v>NA</v>
      </c>
      <c r="AB255" s="798" t="str">
        <f>'H-Volatilization'!AO255</f>
        <v>NA</v>
      </c>
      <c r="AC255" s="799" t="str">
        <f>'H-Volatilization'!AU255</f>
        <v>NA</v>
      </c>
    </row>
    <row r="256" spans="1:29" x14ac:dyDescent="0.25">
      <c r="A256" s="56" t="s">
        <v>574</v>
      </c>
      <c r="B256" s="336" t="str">
        <f>IF(Start!$C$15="x",('H-Effluent'!B256),"---")</f>
        <v>---</v>
      </c>
      <c r="C256" s="337" t="str">
        <f>IF(Start!$C$16="x",'H-Runoff'!B256,"---")</f>
        <v>---</v>
      </c>
      <c r="D256" s="338" t="str">
        <f>IF(Start!$C$16="x",'H-Runoff'!C256,"---")</f>
        <v>---</v>
      </c>
      <c r="E256" s="868" t="str">
        <f>IF(Start!$C$17="x",'H-Leachate'!B256,"---")</f>
        <v/>
      </c>
      <c r="F256" s="340" t="str">
        <f>IF(Start!$C$18="x",('H-Volatilization'!B256),"---")</f>
        <v/>
      </c>
      <c r="G256" s="341" t="str">
        <f>IF(Start!$C$18="x",('H-Volatilization'!C256),"---")</f>
        <v/>
      </c>
      <c r="H256" s="341" t="str">
        <f>IF(Start!$C$18="x",('H-Volatilization'!D256),"---")</f>
        <v/>
      </c>
      <c r="I256" s="342" t="str">
        <f>IF(Start!$C$18="x",('H-Volatilization'!E256),"---")</f>
        <v/>
      </c>
      <c r="J256" s="339" t="str">
        <f>IF(Start!$C$19="x",'H-Plant &amp; Animal'!B256,"---")</f>
        <v>---</v>
      </c>
      <c r="K256" s="343" t="str">
        <f>'H-Effluent'!Q256</f>
        <v>Not Req.</v>
      </c>
      <c r="L256" s="286" t="str">
        <f>'H-Runoff'!T256</f>
        <v>Not Req.</v>
      </c>
      <c r="M256" s="344" t="str">
        <f>'H-Runoff'!U256</f>
        <v>Not Req.</v>
      </c>
      <c r="N256" s="343" t="str">
        <f>'H-Leachate'!O256</f>
        <v/>
      </c>
      <c r="O256" s="283" t="str">
        <f>'H-Volatilization'!AV256</f>
        <v/>
      </c>
      <c r="P256" s="284" t="str">
        <f>'H-Volatilization'!AW256</f>
        <v/>
      </c>
      <c r="Q256" s="284" t="str">
        <f>'H-Volatilization'!AX256</f>
        <v/>
      </c>
      <c r="R256" s="285" t="str">
        <f>'H-Volatilization'!AY256</f>
        <v/>
      </c>
      <c r="S256" s="462"/>
      <c r="T256" s="345" t="str">
        <f>'H-Plant &amp; Animal'!L256</f>
        <v>Not Req.</v>
      </c>
      <c r="U256" s="346" t="str">
        <f>'H-Plant &amp; Animal'!M256</f>
        <v>Not Req.</v>
      </c>
      <c r="V256" s="794" t="str">
        <f>'H-Effluent'!O256</f>
        <v>---</v>
      </c>
      <c r="W256" s="797" t="str">
        <f>'H-Runoff'!Q256</f>
        <v>---</v>
      </c>
      <c r="X256" s="799" t="str">
        <f>'H-Runoff'!S256</f>
        <v>---</v>
      </c>
      <c r="Y256" s="794" t="str">
        <f>'H-Leachate'!N256</f>
        <v>NA</v>
      </c>
      <c r="Z256" s="797" t="str">
        <f>'H-Volatilization'!AD256</f>
        <v>NA</v>
      </c>
      <c r="AA256" s="798" t="str">
        <f>'H-Volatilization'!AF256</f>
        <v>NA</v>
      </c>
      <c r="AB256" s="798" t="str">
        <f>'H-Volatilization'!AO256</f>
        <v>NA</v>
      </c>
      <c r="AC256" s="799" t="str">
        <f>'H-Volatilization'!AU256</f>
        <v>NA</v>
      </c>
    </row>
    <row r="257" spans="1:29" x14ac:dyDescent="0.25">
      <c r="A257" s="56" t="s">
        <v>575</v>
      </c>
      <c r="B257" s="336" t="str">
        <f>IF(Start!$C$15="x",('H-Effluent'!B257),"---")</f>
        <v>---</v>
      </c>
      <c r="C257" s="337" t="str">
        <f>IF(Start!$C$16="x",'H-Runoff'!B257,"---")</f>
        <v>---</v>
      </c>
      <c r="D257" s="338" t="str">
        <f>IF(Start!$C$16="x",'H-Runoff'!C257,"---")</f>
        <v>---</v>
      </c>
      <c r="E257" s="868" t="str">
        <f>IF(Start!$C$17="x",'H-Leachate'!B257,"---")</f>
        <v/>
      </c>
      <c r="F257" s="340" t="str">
        <f>IF(Start!$C$18="x",('H-Volatilization'!B257),"---")</f>
        <v/>
      </c>
      <c r="G257" s="341" t="str">
        <f>IF(Start!$C$18="x",('H-Volatilization'!C257),"---")</f>
        <v/>
      </c>
      <c r="H257" s="341" t="str">
        <f>IF(Start!$C$18="x",('H-Volatilization'!D257),"---")</f>
        <v/>
      </c>
      <c r="I257" s="342" t="str">
        <f>IF(Start!$C$18="x",('H-Volatilization'!E257),"---")</f>
        <v/>
      </c>
      <c r="J257" s="339" t="str">
        <f>IF(Start!$C$19="x",'H-Plant &amp; Animal'!B257,"---")</f>
        <v>---</v>
      </c>
      <c r="K257" s="343" t="str">
        <f>'H-Effluent'!Q257</f>
        <v>Not Req.</v>
      </c>
      <c r="L257" s="286" t="str">
        <f>'H-Runoff'!T257</f>
        <v>Not Req.</v>
      </c>
      <c r="M257" s="344" t="str">
        <f>'H-Runoff'!U257</f>
        <v>Not Req.</v>
      </c>
      <c r="N257" s="343" t="str">
        <f>'H-Leachate'!O257</f>
        <v/>
      </c>
      <c r="O257" s="283" t="str">
        <f>'H-Volatilization'!AV257</f>
        <v/>
      </c>
      <c r="P257" s="284" t="str">
        <f>'H-Volatilization'!AW257</f>
        <v/>
      </c>
      <c r="Q257" s="284" t="str">
        <f>'H-Volatilization'!AX257</f>
        <v/>
      </c>
      <c r="R257" s="285" t="str">
        <f>'H-Volatilization'!AY257</f>
        <v/>
      </c>
      <c r="S257" s="462"/>
      <c r="T257" s="345" t="str">
        <f>'H-Plant &amp; Animal'!L257</f>
        <v>Not Req.</v>
      </c>
      <c r="U257" s="346" t="str">
        <f>'H-Plant &amp; Animal'!M257</f>
        <v>Not Req.</v>
      </c>
      <c r="V257" s="794" t="str">
        <f>'H-Effluent'!O257</f>
        <v>---</v>
      </c>
      <c r="W257" s="797" t="str">
        <f>'H-Runoff'!Q257</f>
        <v>---</v>
      </c>
      <c r="X257" s="799" t="str">
        <f>'H-Runoff'!S257</f>
        <v>---</v>
      </c>
      <c r="Y257" s="794" t="str">
        <f>'H-Leachate'!N257</f>
        <v>NA</v>
      </c>
      <c r="Z257" s="797" t="str">
        <f>'H-Volatilization'!AD257</f>
        <v>NA</v>
      </c>
      <c r="AA257" s="798" t="str">
        <f>'H-Volatilization'!AF257</f>
        <v>NA</v>
      </c>
      <c r="AB257" s="798" t="str">
        <f>'H-Volatilization'!AO257</f>
        <v>NA</v>
      </c>
      <c r="AC257" s="799" t="str">
        <f>'H-Volatilization'!AU257</f>
        <v>NA</v>
      </c>
    </row>
    <row r="258" spans="1:29" x14ac:dyDescent="0.25">
      <c r="A258" s="56" t="s">
        <v>576</v>
      </c>
      <c r="B258" s="336" t="str">
        <f>IF(Start!$C$15="x",('H-Effluent'!B258),"---")</f>
        <v>---</v>
      </c>
      <c r="C258" s="337" t="str">
        <f>IF(Start!$C$16="x",'H-Runoff'!B258,"---")</f>
        <v>---</v>
      </c>
      <c r="D258" s="338" t="str">
        <f>IF(Start!$C$16="x",'H-Runoff'!C258,"---")</f>
        <v>---</v>
      </c>
      <c r="E258" s="868" t="str">
        <f>IF(Start!$C$17="x",'H-Leachate'!B258,"---")</f>
        <v/>
      </c>
      <c r="F258" s="340" t="str">
        <f>IF(Start!$C$18="x",('H-Volatilization'!B258),"---")</f>
        <v/>
      </c>
      <c r="G258" s="341" t="str">
        <f>IF(Start!$C$18="x",('H-Volatilization'!C258),"---")</f>
        <v/>
      </c>
      <c r="H258" s="341" t="str">
        <f>IF(Start!$C$18="x",('H-Volatilization'!D258),"---")</f>
        <v/>
      </c>
      <c r="I258" s="342" t="str">
        <f>IF(Start!$C$18="x",('H-Volatilization'!E258),"---")</f>
        <v/>
      </c>
      <c r="J258" s="339" t="str">
        <f>IF(Start!$C$19="x",'H-Plant &amp; Animal'!B258,"---")</f>
        <v>---</v>
      </c>
      <c r="K258" s="343" t="str">
        <f>'H-Effluent'!Q258</f>
        <v>Not Req.</v>
      </c>
      <c r="L258" s="286" t="str">
        <f>'H-Runoff'!T258</f>
        <v>Not Req.</v>
      </c>
      <c r="M258" s="344" t="str">
        <f>'H-Runoff'!U258</f>
        <v>Not Req.</v>
      </c>
      <c r="N258" s="343" t="str">
        <f>'H-Leachate'!O258</f>
        <v/>
      </c>
      <c r="O258" s="283" t="str">
        <f>'H-Volatilization'!AV258</f>
        <v/>
      </c>
      <c r="P258" s="284" t="str">
        <f>'H-Volatilization'!AW258</f>
        <v/>
      </c>
      <c r="Q258" s="284" t="str">
        <f>'H-Volatilization'!AX258</f>
        <v/>
      </c>
      <c r="R258" s="285" t="str">
        <f>'H-Volatilization'!AY258</f>
        <v/>
      </c>
      <c r="S258" s="462"/>
      <c r="T258" s="345" t="str">
        <f>'H-Plant &amp; Animal'!L258</f>
        <v>Not Req.</v>
      </c>
      <c r="U258" s="346" t="str">
        <f>'H-Plant &amp; Animal'!M258</f>
        <v>Not Req.</v>
      </c>
      <c r="V258" s="794" t="str">
        <f>'H-Effluent'!O258</f>
        <v>---</v>
      </c>
      <c r="W258" s="797" t="str">
        <f>'H-Runoff'!Q258</f>
        <v>---</v>
      </c>
      <c r="X258" s="799" t="str">
        <f>'H-Runoff'!S258</f>
        <v>---</v>
      </c>
      <c r="Y258" s="794" t="str">
        <f>'H-Leachate'!N258</f>
        <v>NA</v>
      </c>
      <c r="Z258" s="797" t="str">
        <f>'H-Volatilization'!AD258</f>
        <v>NA</v>
      </c>
      <c r="AA258" s="798" t="str">
        <f>'H-Volatilization'!AF258</f>
        <v>NA</v>
      </c>
      <c r="AB258" s="798" t="str">
        <f>'H-Volatilization'!AO258</f>
        <v>NA</v>
      </c>
      <c r="AC258" s="799" t="str">
        <f>'H-Volatilization'!AU258</f>
        <v>NA</v>
      </c>
    </row>
    <row r="259" spans="1:29" x14ac:dyDescent="0.25">
      <c r="A259" s="56" t="s">
        <v>577</v>
      </c>
      <c r="B259" s="336" t="str">
        <f>IF(Start!$C$15="x",('H-Effluent'!B259),"---")</f>
        <v>---</v>
      </c>
      <c r="C259" s="337" t="str">
        <f>IF(Start!$C$16="x",'H-Runoff'!B259,"---")</f>
        <v>---</v>
      </c>
      <c r="D259" s="338" t="str">
        <f>IF(Start!$C$16="x",'H-Runoff'!C259,"---")</f>
        <v>---</v>
      </c>
      <c r="E259" s="868" t="str">
        <f>IF(Start!$C$17="x",'H-Leachate'!B259,"---")</f>
        <v/>
      </c>
      <c r="F259" s="340" t="str">
        <f>IF(Start!$C$18="x",('H-Volatilization'!B259),"---")</f>
        <v/>
      </c>
      <c r="G259" s="341" t="str">
        <f>IF(Start!$C$18="x",('H-Volatilization'!C259),"---")</f>
        <v/>
      </c>
      <c r="H259" s="341" t="str">
        <f>IF(Start!$C$18="x",('H-Volatilization'!D259),"---")</f>
        <v/>
      </c>
      <c r="I259" s="342" t="str">
        <f>IF(Start!$C$18="x",('H-Volatilization'!E259),"---")</f>
        <v/>
      </c>
      <c r="J259" s="339" t="str">
        <f>IF(Start!$C$19="x",'H-Plant &amp; Animal'!B259,"---")</f>
        <v>---</v>
      </c>
      <c r="K259" s="343" t="str">
        <f>'H-Effluent'!Q259</f>
        <v>Not Req.</v>
      </c>
      <c r="L259" s="286" t="str">
        <f>'H-Runoff'!T259</f>
        <v>Not Req.</v>
      </c>
      <c r="M259" s="344" t="str">
        <f>'H-Runoff'!U259</f>
        <v>Not Req.</v>
      </c>
      <c r="N259" s="343" t="str">
        <f>'H-Leachate'!O259</f>
        <v/>
      </c>
      <c r="O259" s="283" t="str">
        <f>'H-Volatilization'!AV259</f>
        <v/>
      </c>
      <c r="P259" s="284" t="str">
        <f>'H-Volatilization'!AW259</f>
        <v/>
      </c>
      <c r="Q259" s="284" t="str">
        <f>'H-Volatilization'!AX259</f>
        <v/>
      </c>
      <c r="R259" s="285" t="str">
        <f>'H-Volatilization'!AY259</f>
        <v/>
      </c>
      <c r="S259" s="462"/>
      <c r="T259" s="345" t="str">
        <f>'H-Plant &amp; Animal'!L259</f>
        <v>Not Req.</v>
      </c>
      <c r="U259" s="346" t="str">
        <f>'H-Plant &amp; Animal'!M259</f>
        <v>Not Req.</v>
      </c>
      <c r="V259" s="794" t="str">
        <f>'H-Effluent'!O259</f>
        <v>---</v>
      </c>
      <c r="W259" s="797" t="str">
        <f>'H-Runoff'!Q259</f>
        <v>---</v>
      </c>
      <c r="X259" s="799" t="str">
        <f>'H-Runoff'!S259</f>
        <v>---</v>
      </c>
      <c r="Y259" s="794" t="str">
        <f>'H-Leachate'!N259</f>
        <v>NA</v>
      </c>
      <c r="Z259" s="797" t="str">
        <f>'H-Volatilization'!AD259</f>
        <v>NA</v>
      </c>
      <c r="AA259" s="798" t="str">
        <f>'H-Volatilization'!AF259</f>
        <v>NA</v>
      </c>
      <c r="AB259" s="798" t="str">
        <f>'H-Volatilization'!AO259</f>
        <v>NA</v>
      </c>
      <c r="AC259" s="799" t="str">
        <f>'H-Volatilization'!AU259</f>
        <v>NA</v>
      </c>
    </row>
    <row r="260" spans="1:29" x14ac:dyDescent="0.25">
      <c r="A260" s="56" t="s">
        <v>578</v>
      </c>
      <c r="B260" s="336" t="str">
        <f>IF(Start!$C$15="x",('H-Effluent'!B260),"---")</f>
        <v>---</v>
      </c>
      <c r="C260" s="337" t="str">
        <f>IF(Start!$C$16="x",'H-Runoff'!B260,"---")</f>
        <v>---</v>
      </c>
      <c r="D260" s="338" t="str">
        <f>IF(Start!$C$16="x",'H-Runoff'!C260,"---")</f>
        <v>---</v>
      </c>
      <c r="E260" s="868" t="str">
        <f>IF(Start!$C$17="x",'H-Leachate'!B260,"---")</f>
        <v/>
      </c>
      <c r="F260" s="340" t="str">
        <f>IF(Start!$C$18="x",('H-Volatilization'!B260),"---")</f>
        <v/>
      </c>
      <c r="G260" s="341" t="str">
        <f>IF(Start!$C$18="x",('H-Volatilization'!C260),"---")</f>
        <v/>
      </c>
      <c r="H260" s="341" t="str">
        <f>IF(Start!$C$18="x",('H-Volatilization'!D260),"---")</f>
        <v/>
      </c>
      <c r="I260" s="342" t="str">
        <f>IF(Start!$C$18="x",('H-Volatilization'!E260),"---")</f>
        <v/>
      </c>
      <c r="J260" s="339" t="str">
        <f>IF(Start!$C$19="x",'H-Plant &amp; Animal'!B260,"---")</f>
        <v>---</v>
      </c>
      <c r="K260" s="343" t="str">
        <f>'H-Effluent'!Q260</f>
        <v>Not Req.</v>
      </c>
      <c r="L260" s="286" t="str">
        <f>'H-Runoff'!T260</f>
        <v>Not Req.</v>
      </c>
      <c r="M260" s="344" t="str">
        <f>'H-Runoff'!U260</f>
        <v>Not Req.</v>
      </c>
      <c r="N260" s="343" t="str">
        <f>'H-Leachate'!O260</f>
        <v/>
      </c>
      <c r="O260" s="283" t="str">
        <f>'H-Volatilization'!AV260</f>
        <v/>
      </c>
      <c r="P260" s="284" t="str">
        <f>'H-Volatilization'!AW260</f>
        <v/>
      </c>
      <c r="Q260" s="284" t="str">
        <f>'H-Volatilization'!AX260</f>
        <v/>
      </c>
      <c r="R260" s="285" t="str">
        <f>'H-Volatilization'!AY260</f>
        <v/>
      </c>
      <c r="S260" s="462"/>
      <c r="T260" s="345" t="str">
        <f>'H-Plant &amp; Animal'!L260</f>
        <v>Not Req.</v>
      </c>
      <c r="U260" s="346" t="str">
        <f>'H-Plant &amp; Animal'!M260</f>
        <v>Not Req.</v>
      </c>
      <c r="V260" s="794" t="str">
        <f>'H-Effluent'!O260</f>
        <v>---</v>
      </c>
      <c r="W260" s="797" t="str">
        <f>'H-Runoff'!Q260</f>
        <v>---</v>
      </c>
      <c r="X260" s="799" t="str">
        <f>'H-Runoff'!S260</f>
        <v>---</v>
      </c>
      <c r="Y260" s="794" t="str">
        <f>'H-Leachate'!N260</f>
        <v>NA</v>
      </c>
      <c r="Z260" s="797" t="str">
        <f>'H-Volatilization'!AD260</f>
        <v>NA</v>
      </c>
      <c r="AA260" s="798" t="str">
        <f>'H-Volatilization'!AF260</f>
        <v>NA</v>
      </c>
      <c r="AB260" s="798" t="str">
        <f>'H-Volatilization'!AO260</f>
        <v>NA</v>
      </c>
      <c r="AC260" s="799" t="str">
        <f>'H-Volatilization'!AU260</f>
        <v>NA</v>
      </c>
    </row>
    <row r="261" spans="1:29" x14ac:dyDescent="0.25">
      <c r="A261" s="56" t="s">
        <v>579</v>
      </c>
      <c r="B261" s="336" t="str">
        <f>IF(Start!$C$15="x",('H-Effluent'!B261),"---")</f>
        <v>---</v>
      </c>
      <c r="C261" s="337" t="str">
        <f>IF(Start!$C$16="x",'H-Runoff'!B261,"---")</f>
        <v>---</v>
      </c>
      <c r="D261" s="338" t="str">
        <f>IF(Start!$C$16="x",'H-Runoff'!C261,"---")</f>
        <v>---</v>
      </c>
      <c r="E261" s="868" t="str">
        <f>IF(Start!$C$17="x",'H-Leachate'!B261,"---")</f>
        <v/>
      </c>
      <c r="F261" s="340" t="str">
        <f>IF(Start!$C$18="x",('H-Volatilization'!B261),"---")</f>
        <v/>
      </c>
      <c r="G261" s="341" t="str">
        <f>IF(Start!$C$18="x",('H-Volatilization'!C261),"---")</f>
        <v/>
      </c>
      <c r="H261" s="341" t="str">
        <f>IF(Start!$C$18="x",('H-Volatilization'!D261),"---")</f>
        <v/>
      </c>
      <c r="I261" s="342" t="str">
        <f>IF(Start!$C$18="x",('H-Volatilization'!E261),"---")</f>
        <v/>
      </c>
      <c r="J261" s="339" t="str">
        <f>IF(Start!$C$19="x",'H-Plant &amp; Animal'!B261,"---")</f>
        <v>---</v>
      </c>
      <c r="K261" s="343" t="str">
        <f>'H-Effluent'!Q261</f>
        <v>Not Req.</v>
      </c>
      <c r="L261" s="286" t="str">
        <f>'H-Runoff'!T261</f>
        <v>Not Req.</v>
      </c>
      <c r="M261" s="344" t="str">
        <f>'H-Runoff'!U261</f>
        <v>Not Req.</v>
      </c>
      <c r="N261" s="343" t="str">
        <f>'H-Leachate'!O261</f>
        <v/>
      </c>
      <c r="O261" s="283" t="str">
        <f>'H-Volatilization'!AV261</f>
        <v/>
      </c>
      <c r="P261" s="284" t="str">
        <f>'H-Volatilization'!AW261</f>
        <v/>
      </c>
      <c r="Q261" s="284" t="str">
        <f>'H-Volatilization'!AX261</f>
        <v/>
      </c>
      <c r="R261" s="285" t="str">
        <f>'H-Volatilization'!AY261</f>
        <v/>
      </c>
      <c r="S261" s="462"/>
      <c r="T261" s="345" t="str">
        <f>'H-Plant &amp; Animal'!L261</f>
        <v>Not Req.</v>
      </c>
      <c r="U261" s="346" t="str">
        <f>'H-Plant &amp; Animal'!M261</f>
        <v>Not Req.</v>
      </c>
      <c r="V261" s="794" t="str">
        <f>'H-Effluent'!O261</f>
        <v>---</v>
      </c>
      <c r="W261" s="797" t="str">
        <f>'H-Runoff'!Q261</f>
        <v>---</v>
      </c>
      <c r="X261" s="799" t="str">
        <f>'H-Runoff'!S261</f>
        <v>---</v>
      </c>
      <c r="Y261" s="794" t="str">
        <f>'H-Leachate'!N261</f>
        <v>NA</v>
      </c>
      <c r="Z261" s="797" t="str">
        <f>'H-Volatilization'!AD261</f>
        <v>NA</v>
      </c>
      <c r="AA261" s="798" t="str">
        <f>'H-Volatilization'!AF261</f>
        <v>NA</v>
      </c>
      <c r="AB261" s="798" t="str">
        <f>'H-Volatilization'!AO261</f>
        <v>NA</v>
      </c>
      <c r="AC261" s="799" t="str">
        <f>'H-Volatilization'!AU261</f>
        <v>NA</v>
      </c>
    </row>
    <row r="262" spans="1:29" x14ac:dyDescent="0.25">
      <c r="A262" s="56" t="s">
        <v>580</v>
      </c>
      <c r="B262" s="336" t="str">
        <f>IF(Start!$C$15="x",('H-Effluent'!B262),"---")</f>
        <v>---</v>
      </c>
      <c r="C262" s="337" t="str">
        <f>IF(Start!$C$16="x",'H-Runoff'!B262,"---")</f>
        <v>---</v>
      </c>
      <c r="D262" s="338" t="str">
        <f>IF(Start!$C$16="x",'H-Runoff'!C262,"---")</f>
        <v>---</v>
      </c>
      <c r="E262" s="868" t="str">
        <f>IF(Start!$C$17="x",'H-Leachate'!B262,"---")</f>
        <v/>
      </c>
      <c r="F262" s="340" t="str">
        <f>IF(Start!$C$18="x",('H-Volatilization'!B262),"---")</f>
        <v/>
      </c>
      <c r="G262" s="341" t="str">
        <f>IF(Start!$C$18="x",('H-Volatilization'!C262),"---")</f>
        <v/>
      </c>
      <c r="H262" s="341" t="str">
        <f>IF(Start!$C$18="x",('H-Volatilization'!D262),"---")</f>
        <v/>
      </c>
      <c r="I262" s="342" t="str">
        <f>IF(Start!$C$18="x",('H-Volatilization'!E262),"---")</f>
        <v/>
      </c>
      <c r="J262" s="339" t="str">
        <f>IF(Start!$C$19="x",'H-Plant &amp; Animal'!B262,"---")</f>
        <v>---</v>
      </c>
      <c r="K262" s="343" t="str">
        <f>'H-Effluent'!Q262</f>
        <v>Not Req.</v>
      </c>
      <c r="L262" s="286" t="str">
        <f>'H-Runoff'!T262</f>
        <v>Not Req.</v>
      </c>
      <c r="M262" s="344" t="str">
        <f>'H-Runoff'!U262</f>
        <v>Not Req.</v>
      </c>
      <c r="N262" s="343" t="str">
        <f>'H-Leachate'!O262</f>
        <v/>
      </c>
      <c r="O262" s="283" t="str">
        <f>'H-Volatilization'!AV262</f>
        <v/>
      </c>
      <c r="P262" s="284" t="str">
        <f>'H-Volatilization'!AW262</f>
        <v/>
      </c>
      <c r="Q262" s="284" t="str">
        <f>'H-Volatilization'!AX262</f>
        <v/>
      </c>
      <c r="R262" s="285" t="str">
        <f>'H-Volatilization'!AY262</f>
        <v/>
      </c>
      <c r="S262" s="462"/>
      <c r="T262" s="345" t="str">
        <f>'H-Plant &amp; Animal'!L262</f>
        <v>Not Req.</v>
      </c>
      <c r="U262" s="346" t="str">
        <f>'H-Plant &amp; Animal'!M262</f>
        <v>Not Req.</v>
      </c>
      <c r="V262" s="794" t="str">
        <f>'H-Effluent'!O262</f>
        <v>---</v>
      </c>
      <c r="W262" s="797" t="str">
        <f>'H-Runoff'!Q262</f>
        <v>---</v>
      </c>
      <c r="X262" s="799" t="str">
        <f>'H-Runoff'!S262</f>
        <v>---</v>
      </c>
      <c r="Y262" s="794" t="str">
        <f>'H-Leachate'!N262</f>
        <v>NA</v>
      </c>
      <c r="Z262" s="797" t="str">
        <f>'H-Volatilization'!AD262</f>
        <v>NA</v>
      </c>
      <c r="AA262" s="798" t="str">
        <f>'H-Volatilization'!AF262</f>
        <v>NA</v>
      </c>
      <c r="AB262" s="798" t="str">
        <f>'H-Volatilization'!AO262</f>
        <v>NA</v>
      </c>
      <c r="AC262" s="799" t="str">
        <f>'H-Volatilization'!AU262</f>
        <v>NA</v>
      </c>
    </row>
    <row r="263" spans="1:29" x14ac:dyDescent="0.25">
      <c r="A263" s="56" t="s">
        <v>581</v>
      </c>
      <c r="B263" s="336" t="str">
        <f>IF(Start!$C$15="x",('H-Effluent'!B263),"---")</f>
        <v>---</v>
      </c>
      <c r="C263" s="337" t="str">
        <f>IF(Start!$C$16="x",'H-Runoff'!B263,"---")</f>
        <v>---</v>
      </c>
      <c r="D263" s="338" t="str">
        <f>IF(Start!$C$16="x",'H-Runoff'!C263,"---")</f>
        <v>---</v>
      </c>
      <c r="E263" s="868" t="str">
        <f>IF(Start!$C$17="x",'H-Leachate'!B263,"---")</f>
        <v/>
      </c>
      <c r="F263" s="340" t="str">
        <f>IF(Start!$C$18="x",('H-Volatilization'!B263),"---")</f>
        <v/>
      </c>
      <c r="G263" s="341" t="str">
        <f>IF(Start!$C$18="x",('H-Volatilization'!C263),"---")</f>
        <v/>
      </c>
      <c r="H263" s="341" t="str">
        <f>IF(Start!$C$18="x",('H-Volatilization'!D263),"---")</f>
        <v/>
      </c>
      <c r="I263" s="342" t="str">
        <f>IF(Start!$C$18="x",('H-Volatilization'!E263),"---")</f>
        <v/>
      </c>
      <c r="J263" s="339" t="str">
        <f>IF(Start!$C$19="x",'H-Plant &amp; Animal'!B263,"---")</f>
        <v>---</v>
      </c>
      <c r="K263" s="343" t="str">
        <f>'H-Effluent'!Q263</f>
        <v>Not Req.</v>
      </c>
      <c r="L263" s="286" t="str">
        <f>'H-Runoff'!T263</f>
        <v>Not Req.</v>
      </c>
      <c r="M263" s="344" t="str">
        <f>'H-Runoff'!U263</f>
        <v>Not Req.</v>
      </c>
      <c r="N263" s="343" t="str">
        <f>'H-Leachate'!O263</f>
        <v/>
      </c>
      <c r="O263" s="283" t="str">
        <f>'H-Volatilization'!AV263</f>
        <v/>
      </c>
      <c r="P263" s="284" t="str">
        <f>'H-Volatilization'!AW263</f>
        <v/>
      </c>
      <c r="Q263" s="284" t="str">
        <f>'H-Volatilization'!AX263</f>
        <v/>
      </c>
      <c r="R263" s="285" t="str">
        <f>'H-Volatilization'!AY263</f>
        <v/>
      </c>
      <c r="S263" s="462"/>
      <c r="T263" s="345" t="str">
        <f>'H-Plant &amp; Animal'!L263</f>
        <v>Not Req.</v>
      </c>
      <c r="U263" s="346" t="str">
        <f>'H-Plant &amp; Animal'!M263</f>
        <v>Not Req.</v>
      </c>
      <c r="V263" s="794" t="str">
        <f>'H-Effluent'!O263</f>
        <v>---</v>
      </c>
      <c r="W263" s="797" t="str">
        <f>'H-Runoff'!Q263</f>
        <v>---</v>
      </c>
      <c r="X263" s="799" t="str">
        <f>'H-Runoff'!S263</f>
        <v>---</v>
      </c>
      <c r="Y263" s="794" t="str">
        <f>'H-Leachate'!N263</f>
        <v>NA</v>
      </c>
      <c r="Z263" s="797" t="str">
        <f>'H-Volatilization'!AD263</f>
        <v>NA</v>
      </c>
      <c r="AA263" s="798" t="str">
        <f>'H-Volatilization'!AF263</f>
        <v>NA</v>
      </c>
      <c r="AB263" s="798" t="str">
        <f>'H-Volatilization'!AO263</f>
        <v>NA</v>
      </c>
      <c r="AC263" s="799" t="str">
        <f>'H-Volatilization'!AU263</f>
        <v>NA</v>
      </c>
    </row>
    <row r="264" spans="1:29" x14ac:dyDescent="0.25">
      <c r="A264" s="56" t="s">
        <v>582</v>
      </c>
      <c r="B264" s="336" t="str">
        <f>IF(Start!$C$15="x",('H-Effluent'!B264),"---")</f>
        <v>---</v>
      </c>
      <c r="C264" s="337" t="str">
        <f>IF(Start!$C$16="x",'H-Runoff'!B264,"---")</f>
        <v>---</v>
      </c>
      <c r="D264" s="338" t="str">
        <f>IF(Start!$C$16="x",'H-Runoff'!C264,"---")</f>
        <v>---</v>
      </c>
      <c r="E264" s="868" t="str">
        <f>IF(Start!$C$17="x",'H-Leachate'!B264,"---")</f>
        <v/>
      </c>
      <c r="F264" s="340" t="str">
        <f>IF(Start!$C$18="x",('H-Volatilization'!B264),"---")</f>
        <v/>
      </c>
      <c r="G264" s="341" t="str">
        <f>IF(Start!$C$18="x",('H-Volatilization'!C264),"---")</f>
        <v/>
      </c>
      <c r="H264" s="341" t="str">
        <f>IF(Start!$C$18="x",('H-Volatilization'!D264),"---")</f>
        <v/>
      </c>
      <c r="I264" s="342" t="str">
        <f>IF(Start!$C$18="x",('H-Volatilization'!E264),"---")</f>
        <v/>
      </c>
      <c r="J264" s="339" t="str">
        <f>IF(Start!$C$19="x",'H-Plant &amp; Animal'!B264,"---")</f>
        <v>---</v>
      </c>
      <c r="K264" s="343" t="str">
        <f>'H-Effluent'!Q264</f>
        <v>Not Req.</v>
      </c>
      <c r="L264" s="286" t="str">
        <f>'H-Runoff'!T264</f>
        <v>Not Req.</v>
      </c>
      <c r="M264" s="344" t="str">
        <f>'H-Runoff'!U264</f>
        <v>Not Req.</v>
      </c>
      <c r="N264" s="343" t="str">
        <f>'H-Leachate'!O264</f>
        <v/>
      </c>
      <c r="O264" s="283" t="str">
        <f>'H-Volatilization'!AV264</f>
        <v/>
      </c>
      <c r="P264" s="284" t="str">
        <f>'H-Volatilization'!AW264</f>
        <v/>
      </c>
      <c r="Q264" s="284" t="str">
        <f>'H-Volatilization'!AX264</f>
        <v/>
      </c>
      <c r="R264" s="285" t="str">
        <f>'H-Volatilization'!AY264</f>
        <v/>
      </c>
      <c r="S264" s="462"/>
      <c r="T264" s="345" t="str">
        <f>'H-Plant &amp; Animal'!L264</f>
        <v>Not Req.</v>
      </c>
      <c r="U264" s="346" t="str">
        <f>'H-Plant &amp; Animal'!M264</f>
        <v>Not Req.</v>
      </c>
      <c r="V264" s="794" t="str">
        <f>'H-Effluent'!O264</f>
        <v>---</v>
      </c>
      <c r="W264" s="797" t="str">
        <f>'H-Runoff'!Q264</f>
        <v>---</v>
      </c>
      <c r="X264" s="799" t="str">
        <f>'H-Runoff'!S264</f>
        <v>---</v>
      </c>
      <c r="Y264" s="794" t="str">
        <f>'H-Leachate'!N264</f>
        <v>NA</v>
      </c>
      <c r="Z264" s="797" t="str">
        <f>'H-Volatilization'!AD264</f>
        <v>NA</v>
      </c>
      <c r="AA264" s="798" t="str">
        <f>'H-Volatilization'!AF264</f>
        <v>NA</v>
      </c>
      <c r="AB264" s="798" t="str">
        <f>'H-Volatilization'!AO264</f>
        <v>NA</v>
      </c>
      <c r="AC264" s="799" t="str">
        <f>'H-Volatilization'!AU264</f>
        <v>NA</v>
      </c>
    </row>
    <row r="265" spans="1:29" x14ac:dyDescent="0.25">
      <c r="A265" s="56" t="s">
        <v>583</v>
      </c>
      <c r="B265" s="336" t="str">
        <f>IF(Start!$C$15="x",('H-Effluent'!B265),"---")</f>
        <v>---</v>
      </c>
      <c r="C265" s="337" t="str">
        <f>IF(Start!$C$16="x",'H-Runoff'!B265,"---")</f>
        <v>---</v>
      </c>
      <c r="D265" s="338" t="str">
        <f>IF(Start!$C$16="x",'H-Runoff'!C265,"---")</f>
        <v>---</v>
      </c>
      <c r="E265" s="868" t="str">
        <f>IF(Start!$C$17="x",'H-Leachate'!B265,"---")</f>
        <v/>
      </c>
      <c r="F265" s="340" t="str">
        <f>IF(Start!$C$18="x",('H-Volatilization'!B265),"---")</f>
        <v/>
      </c>
      <c r="G265" s="341" t="str">
        <f>IF(Start!$C$18="x",('H-Volatilization'!C265),"---")</f>
        <v/>
      </c>
      <c r="H265" s="341" t="str">
        <f>IF(Start!$C$18="x",('H-Volatilization'!D265),"---")</f>
        <v/>
      </c>
      <c r="I265" s="342" t="str">
        <f>IF(Start!$C$18="x",('H-Volatilization'!E265),"---")</f>
        <v/>
      </c>
      <c r="J265" s="339" t="str">
        <f>IF(Start!$C$19="x",'H-Plant &amp; Animal'!B265,"---")</f>
        <v>---</v>
      </c>
      <c r="K265" s="343" t="str">
        <f>'H-Effluent'!Q265</f>
        <v>Not Req.</v>
      </c>
      <c r="L265" s="286" t="str">
        <f>'H-Runoff'!T265</f>
        <v>Not Req.</v>
      </c>
      <c r="M265" s="344" t="str">
        <f>'H-Runoff'!U265</f>
        <v>Not Req.</v>
      </c>
      <c r="N265" s="343" t="str">
        <f>'H-Leachate'!O265</f>
        <v/>
      </c>
      <c r="O265" s="283" t="str">
        <f>'H-Volatilization'!AV265</f>
        <v/>
      </c>
      <c r="P265" s="284" t="str">
        <f>'H-Volatilization'!AW265</f>
        <v/>
      </c>
      <c r="Q265" s="284" t="str">
        <f>'H-Volatilization'!AX265</f>
        <v/>
      </c>
      <c r="R265" s="285" t="str">
        <f>'H-Volatilization'!AY265</f>
        <v/>
      </c>
      <c r="S265" s="462"/>
      <c r="T265" s="345" t="str">
        <f>'H-Plant &amp; Animal'!L265</f>
        <v>Not Req.</v>
      </c>
      <c r="U265" s="346" t="str">
        <f>'H-Plant &amp; Animal'!M265</f>
        <v>Not Req.</v>
      </c>
      <c r="V265" s="794" t="str">
        <f>'H-Effluent'!O265</f>
        <v>---</v>
      </c>
      <c r="W265" s="797" t="str">
        <f>'H-Runoff'!Q265</f>
        <v>---</v>
      </c>
      <c r="X265" s="799" t="str">
        <f>'H-Runoff'!S265</f>
        <v>---</v>
      </c>
      <c r="Y265" s="794" t="str">
        <f>'H-Leachate'!N265</f>
        <v>NA</v>
      </c>
      <c r="Z265" s="797" t="str">
        <f>'H-Volatilization'!AD265</f>
        <v>NA</v>
      </c>
      <c r="AA265" s="798" t="str">
        <f>'H-Volatilization'!AF265</f>
        <v>NA</v>
      </c>
      <c r="AB265" s="798" t="str">
        <f>'H-Volatilization'!AO265</f>
        <v>NA</v>
      </c>
      <c r="AC265" s="799" t="str">
        <f>'H-Volatilization'!AU265</f>
        <v>NA</v>
      </c>
    </row>
    <row r="266" spans="1:29" x14ac:dyDescent="0.25">
      <c r="A266" s="56" t="s">
        <v>584</v>
      </c>
      <c r="B266" s="336" t="str">
        <f>IF(Start!$C$15="x",('H-Effluent'!B266),"---")</f>
        <v>---</v>
      </c>
      <c r="C266" s="337" t="str">
        <f>IF(Start!$C$16="x",'H-Runoff'!B266,"---")</f>
        <v>---</v>
      </c>
      <c r="D266" s="338" t="str">
        <f>IF(Start!$C$16="x",'H-Runoff'!C266,"---")</f>
        <v>---</v>
      </c>
      <c r="E266" s="868" t="str">
        <f>IF(Start!$C$17="x",'H-Leachate'!B266,"---")</f>
        <v/>
      </c>
      <c r="F266" s="340" t="str">
        <f>IF(Start!$C$18="x",('H-Volatilization'!B266),"---")</f>
        <v/>
      </c>
      <c r="G266" s="341" t="str">
        <f>IF(Start!$C$18="x",('H-Volatilization'!C266),"---")</f>
        <v/>
      </c>
      <c r="H266" s="341" t="str">
        <f>IF(Start!$C$18="x",('H-Volatilization'!D266),"---")</f>
        <v/>
      </c>
      <c r="I266" s="342" t="str">
        <f>IF(Start!$C$18="x",('H-Volatilization'!E266),"---")</f>
        <v/>
      </c>
      <c r="J266" s="339" t="str">
        <f>IF(Start!$C$19="x",'H-Plant &amp; Animal'!B266,"---")</f>
        <v>---</v>
      </c>
      <c r="K266" s="343" t="str">
        <f>'H-Effluent'!Q266</f>
        <v>Not Req.</v>
      </c>
      <c r="L266" s="286" t="str">
        <f>'H-Runoff'!T266</f>
        <v>Not Req.</v>
      </c>
      <c r="M266" s="344" t="str">
        <f>'H-Runoff'!U266</f>
        <v>Not Req.</v>
      </c>
      <c r="N266" s="343" t="str">
        <f>'H-Leachate'!O266</f>
        <v/>
      </c>
      <c r="O266" s="283" t="str">
        <f>'H-Volatilization'!AV266</f>
        <v/>
      </c>
      <c r="P266" s="284" t="str">
        <f>'H-Volatilization'!AW266</f>
        <v/>
      </c>
      <c r="Q266" s="284" t="str">
        <f>'H-Volatilization'!AX266</f>
        <v/>
      </c>
      <c r="R266" s="285" t="str">
        <f>'H-Volatilization'!AY266</f>
        <v/>
      </c>
      <c r="S266" s="462"/>
      <c r="T266" s="345" t="str">
        <f>'H-Plant &amp; Animal'!L266</f>
        <v>Not Req.</v>
      </c>
      <c r="U266" s="346" t="str">
        <f>'H-Plant &amp; Animal'!M266</f>
        <v>Not Req.</v>
      </c>
      <c r="V266" s="794" t="str">
        <f>'H-Effluent'!O266</f>
        <v>---</v>
      </c>
      <c r="W266" s="797" t="str">
        <f>'H-Runoff'!Q266</f>
        <v>---</v>
      </c>
      <c r="X266" s="799" t="str">
        <f>'H-Runoff'!S266</f>
        <v>---</v>
      </c>
      <c r="Y266" s="794" t="str">
        <f>'H-Leachate'!N266</f>
        <v>NA</v>
      </c>
      <c r="Z266" s="797" t="str">
        <f>'H-Volatilization'!AD266</f>
        <v>NA</v>
      </c>
      <c r="AA266" s="798" t="str">
        <f>'H-Volatilization'!AF266</f>
        <v>NA</v>
      </c>
      <c r="AB266" s="798" t="str">
        <f>'H-Volatilization'!AO266</f>
        <v>NA</v>
      </c>
      <c r="AC266" s="799" t="str">
        <f>'H-Volatilization'!AU266</f>
        <v>NA</v>
      </c>
    </row>
    <row r="267" spans="1:29" x14ac:dyDescent="0.25">
      <c r="A267" s="56" t="s">
        <v>585</v>
      </c>
      <c r="B267" s="336" t="str">
        <f>IF(Start!$C$15="x",('H-Effluent'!B267),"---")</f>
        <v>---</v>
      </c>
      <c r="C267" s="337" t="str">
        <f>IF(Start!$C$16="x",'H-Runoff'!B267,"---")</f>
        <v>---</v>
      </c>
      <c r="D267" s="338" t="str">
        <f>IF(Start!$C$16="x",'H-Runoff'!C267,"---")</f>
        <v>---</v>
      </c>
      <c r="E267" s="868" t="str">
        <f>IF(Start!$C$17="x",'H-Leachate'!B267,"---")</f>
        <v/>
      </c>
      <c r="F267" s="340" t="str">
        <f>IF(Start!$C$18="x",('H-Volatilization'!B267),"---")</f>
        <v/>
      </c>
      <c r="G267" s="341" t="str">
        <f>IF(Start!$C$18="x",('H-Volatilization'!C267),"---")</f>
        <v/>
      </c>
      <c r="H267" s="341" t="str">
        <f>IF(Start!$C$18="x",('H-Volatilization'!D267),"---")</f>
        <v/>
      </c>
      <c r="I267" s="342" t="str">
        <f>IF(Start!$C$18="x",('H-Volatilization'!E267),"---")</f>
        <v/>
      </c>
      <c r="J267" s="339" t="str">
        <f>IF(Start!$C$19="x",'H-Plant &amp; Animal'!B267,"---")</f>
        <v>---</v>
      </c>
      <c r="K267" s="343" t="str">
        <f>'H-Effluent'!Q267</f>
        <v>Not Req.</v>
      </c>
      <c r="L267" s="286" t="str">
        <f>'H-Runoff'!T267</f>
        <v>Not Req.</v>
      </c>
      <c r="M267" s="344" t="str">
        <f>'H-Runoff'!U267</f>
        <v>Not Req.</v>
      </c>
      <c r="N267" s="343" t="str">
        <f>'H-Leachate'!O267</f>
        <v/>
      </c>
      <c r="O267" s="283" t="str">
        <f>'H-Volatilization'!AV267</f>
        <v/>
      </c>
      <c r="P267" s="284" t="str">
        <f>'H-Volatilization'!AW267</f>
        <v/>
      </c>
      <c r="Q267" s="284" t="str">
        <f>'H-Volatilization'!AX267</f>
        <v/>
      </c>
      <c r="R267" s="285" t="str">
        <f>'H-Volatilization'!AY267</f>
        <v/>
      </c>
      <c r="S267" s="462"/>
      <c r="T267" s="345" t="str">
        <f>'H-Plant &amp; Animal'!L267</f>
        <v>Not Req.</v>
      </c>
      <c r="U267" s="346" t="str">
        <f>'H-Plant &amp; Animal'!M267</f>
        <v>Not Req.</v>
      </c>
      <c r="V267" s="794" t="str">
        <f>'H-Effluent'!O267</f>
        <v>---</v>
      </c>
      <c r="W267" s="797" t="str">
        <f>'H-Runoff'!Q267</f>
        <v>---</v>
      </c>
      <c r="X267" s="799" t="str">
        <f>'H-Runoff'!S267</f>
        <v>---</v>
      </c>
      <c r="Y267" s="794" t="str">
        <f>'H-Leachate'!N267</f>
        <v>NA</v>
      </c>
      <c r="Z267" s="797" t="str">
        <f>'H-Volatilization'!AD267</f>
        <v>NA</v>
      </c>
      <c r="AA267" s="798" t="str">
        <f>'H-Volatilization'!AF267</f>
        <v>NA</v>
      </c>
      <c r="AB267" s="798" t="str">
        <f>'H-Volatilization'!AO267</f>
        <v>NA</v>
      </c>
      <c r="AC267" s="799" t="str">
        <f>'H-Volatilization'!AU267</f>
        <v>NA</v>
      </c>
    </row>
    <row r="268" spans="1:29" x14ac:dyDescent="0.25">
      <c r="A268" s="56" t="s">
        <v>586</v>
      </c>
      <c r="B268" s="336" t="str">
        <f>IF(Start!$C$15="x",('H-Effluent'!B268),"---")</f>
        <v>---</v>
      </c>
      <c r="C268" s="337" t="str">
        <f>IF(Start!$C$16="x",'H-Runoff'!B268,"---")</f>
        <v>---</v>
      </c>
      <c r="D268" s="338" t="str">
        <f>IF(Start!$C$16="x",'H-Runoff'!C268,"---")</f>
        <v>---</v>
      </c>
      <c r="E268" s="868" t="str">
        <f>IF(Start!$C$17="x",'H-Leachate'!B268,"---")</f>
        <v/>
      </c>
      <c r="F268" s="340" t="str">
        <f>IF(Start!$C$18="x",('H-Volatilization'!B268),"---")</f>
        <v/>
      </c>
      <c r="G268" s="341" t="str">
        <f>IF(Start!$C$18="x",('H-Volatilization'!C268),"---")</f>
        <v/>
      </c>
      <c r="H268" s="341" t="str">
        <f>IF(Start!$C$18="x",('H-Volatilization'!D268),"---")</f>
        <v/>
      </c>
      <c r="I268" s="342" t="str">
        <f>IF(Start!$C$18="x",('H-Volatilization'!E268),"---")</f>
        <v/>
      </c>
      <c r="J268" s="339" t="str">
        <f>IF(Start!$C$19="x",'H-Plant &amp; Animal'!B268,"---")</f>
        <v>---</v>
      </c>
      <c r="K268" s="343" t="str">
        <f>'H-Effluent'!Q268</f>
        <v>Not Req.</v>
      </c>
      <c r="L268" s="286" t="str">
        <f>'H-Runoff'!T268</f>
        <v>Not Req.</v>
      </c>
      <c r="M268" s="344" t="str">
        <f>'H-Runoff'!U268</f>
        <v>Not Req.</v>
      </c>
      <c r="N268" s="343" t="str">
        <f>'H-Leachate'!O268</f>
        <v/>
      </c>
      <c r="O268" s="283" t="str">
        <f>'H-Volatilization'!AV268</f>
        <v/>
      </c>
      <c r="P268" s="284" t="str">
        <f>'H-Volatilization'!AW268</f>
        <v/>
      </c>
      <c r="Q268" s="284" t="str">
        <f>'H-Volatilization'!AX268</f>
        <v/>
      </c>
      <c r="R268" s="285" t="str">
        <f>'H-Volatilization'!AY268</f>
        <v/>
      </c>
      <c r="S268" s="462"/>
      <c r="T268" s="345" t="str">
        <f>'H-Plant &amp; Animal'!L268</f>
        <v>Not Req.</v>
      </c>
      <c r="U268" s="346" t="str">
        <f>'H-Plant &amp; Animal'!M268</f>
        <v>Not Req.</v>
      </c>
      <c r="V268" s="794" t="str">
        <f>'H-Effluent'!O268</f>
        <v>---</v>
      </c>
      <c r="W268" s="797" t="str">
        <f>'H-Runoff'!Q268</f>
        <v>---</v>
      </c>
      <c r="X268" s="799" t="str">
        <f>'H-Runoff'!S268</f>
        <v>---</v>
      </c>
      <c r="Y268" s="794" t="str">
        <f>'H-Leachate'!N268</f>
        <v>NA</v>
      </c>
      <c r="Z268" s="797" t="str">
        <f>'H-Volatilization'!AD268</f>
        <v>NA</v>
      </c>
      <c r="AA268" s="798" t="str">
        <f>'H-Volatilization'!AF268</f>
        <v>NA</v>
      </c>
      <c r="AB268" s="798" t="str">
        <f>'H-Volatilization'!AO268</f>
        <v>NA</v>
      </c>
      <c r="AC268" s="799" t="str">
        <f>'H-Volatilization'!AU268</f>
        <v>NA</v>
      </c>
    </row>
    <row r="269" spans="1:29" x14ac:dyDescent="0.25">
      <c r="A269" s="56" t="s">
        <v>587</v>
      </c>
      <c r="B269" s="336" t="str">
        <f>IF(Start!$C$15="x",('H-Effluent'!B269),"---")</f>
        <v>---</v>
      </c>
      <c r="C269" s="337" t="str">
        <f>IF(Start!$C$16="x",'H-Runoff'!B269,"---")</f>
        <v>---</v>
      </c>
      <c r="D269" s="338" t="str">
        <f>IF(Start!$C$16="x",'H-Runoff'!C269,"---")</f>
        <v>---</v>
      </c>
      <c r="E269" s="868" t="str">
        <f>IF(Start!$C$17="x",'H-Leachate'!B269,"---")</f>
        <v/>
      </c>
      <c r="F269" s="340" t="str">
        <f>IF(Start!$C$18="x",('H-Volatilization'!B269),"---")</f>
        <v/>
      </c>
      <c r="G269" s="341" t="str">
        <f>IF(Start!$C$18="x",('H-Volatilization'!C269),"---")</f>
        <v/>
      </c>
      <c r="H269" s="341" t="str">
        <f>IF(Start!$C$18="x",('H-Volatilization'!D269),"---")</f>
        <v/>
      </c>
      <c r="I269" s="342" t="str">
        <f>IF(Start!$C$18="x",('H-Volatilization'!E269),"---")</f>
        <v/>
      </c>
      <c r="J269" s="339" t="str">
        <f>IF(Start!$C$19="x",'H-Plant &amp; Animal'!B269,"---")</f>
        <v>---</v>
      </c>
      <c r="K269" s="343" t="str">
        <f>'H-Effluent'!Q269</f>
        <v>Not Req.</v>
      </c>
      <c r="L269" s="286" t="str">
        <f>'H-Runoff'!T269</f>
        <v>Not Req.</v>
      </c>
      <c r="M269" s="344" t="str">
        <f>'H-Runoff'!U269</f>
        <v>Not Req.</v>
      </c>
      <c r="N269" s="343" t="str">
        <f>'H-Leachate'!O269</f>
        <v/>
      </c>
      <c r="O269" s="283" t="str">
        <f>'H-Volatilization'!AV269</f>
        <v/>
      </c>
      <c r="P269" s="284" t="str">
        <f>'H-Volatilization'!AW269</f>
        <v/>
      </c>
      <c r="Q269" s="284" t="str">
        <f>'H-Volatilization'!AX269</f>
        <v/>
      </c>
      <c r="R269" s="285" t="str">
        <f>'H-Volatilization'!AY269</f>
        <v/>
      </c>
      <c r="S269" s="462"/>
      <c r="T269" s="345" t="str">
        <f>'H-Plant &amp; Animal'!L269</f>
        <v>Not Req.</v>
      </c>
      <c r="U269" s="346" t="str">
        <f>'H-Plant &amp; Animal'!M269</f>
        <v>Not Req.</v>
      </c>
      <c r="V269" s="794" t="str">
        <f>'H-Effluent'!O269</f>
        <v>---</v>
      </c>
      <c r="W269" s="797" t="str">
        <f>'H-Runoff'!Q269</f>
        <v>---</v>
      </c>
      <c r="X269" s="799" t="str">
        <f>'H-Runoff'!S269</f>
        <v>---</v>
      </c>
      <c r="Y269" s="794" t="str">
        <f>'H-Leachate'!N269</f>
        <v>NA</v>
      </c>
      <c r="Z269" s="797" t="str">
        <f>'H-Volatilization'!AD269</f>
        <v>NA</v>
      </c>
      <c r="AA269" s="798" t="str">
        <f>'H-Volatilization'!AF269</f>
        <v>NA</v>
      </c>
      <c r="AB269" s="798" t="str">
        <f>'H-Volatilization'!AO269</f>
        <v>NA</v>
      </c>
      <c r="AC269" s="799" t="str">
        <f>'H-Volatilization'!AU269</f>
        <v>NA</v>
      </c>
    </row>
    <row r="270" spans="1:29" x14ac:dyDescent="0.25">
      <c r="A270" s="56" t="s">
        <v>588</v>
      </c>
      <c r="B270" s="336" t="str">
        <f>IF(Start!$C$15="x",('H-Effluent'!B270),"---")</f>
        <v>---</v>
      </c>
      <c r="C270" s="337" t="str">
        <f>IF(Start!$C$16="x",'H-Runoff'!B270,"---")</f>
        <v>---</v>
      </c>
      <c r="D270" s="338" t="str">
        <f>IF(Start!$C$16="x",'H-Runoff'!C270,"---")</f>
        <v>---</v>
      </c>
      <c r="E270" s="868" t="str">
        <f>IF(Start!$C$17="x",'H-Leachate'!B270,"---")</f>
        <v/>
      </c>
      <c r="F270" s="340" t="str">
        <f>IF(Start!$C$18="x",('H-Volatilization'!B270),"---")</f>
        <v/>
      </c>
      <c r="G270" s="341" t="str">
        <f>IF(Start!$C$18="x",('H-Volatilization'!C270),"---")</f>
        <v/>
      </c>
      <c r="H270" s="341" t="str">
        <f>IF(Start!$C$18="x",('H-Volatilization'!D270),"---")</f>
        <v/>
      </c>
      <c r="I270" s="342" t="str">
        <f>IF(Start!$C$18="x",('H-Volatilization'!E270),"---")</f>
        <v/>
      </c>
      <c r="J270" s="339" t="str">
        <f>IF(Start!$C$19="x",'H-Plant &amp; Animal'!B270,"---")</f>
        <v>---</v>
      </c>
      <c r="K270" s="343" t="str">
        <f>'H-Effluent'!Q270</f>
        <v>Not Req.</v>
      </c>
      <c r="L270" s="286" t="str">
        <f>'H-Runoff'!T270</f>
        <v>Not Req.</v>
      </c>
      <c r="M270" s="344" t="str">
        <f>'H-Runoff'!U270</f>
        <v>Not Req.</v>
      </c>
      <c r="N270" s="343" t="str">
        <f>'H-Leachate'!O270</f>
        <v/>
      </c>
      <c r="O270" s="283" t="str">
        <f>'H-Volatilization'!AV270</f>
        <v/>
      </c>
      <c r="P270" s="284" t="str">
        <f>'H-Volatilization'!AW270</f>
        <v/>
      </c>
      <c r="Q270" s="284" t="str">
        <f>'H-Volatilization'!AX270</f>
        <v/>
      </c>
      <c r="R270" s="285" t="str">
        <f>'H-Volatilization'!AY270</f>
        <v/>
      </c>
      <c r="S270" s="462"/>
      <c r="T270" s="345" t="str">
        <f>'H-Plant &amp; Animal'!L270</f>
        <v>Not Req.</v>
      </c>
      <c r="U270" s="346" t="str">
        <f>'H-Plant &amp; Animal'!M270</f>
        <v>Not Req.</v>
      </c>
      <c r="V270" s="794" t="str">
        <f>'H-Effluent'!O270</f>
        <v>---</v>
      </c>
      <c r="W270" s="797" t="str">
        <f>'H-Runoff'!Q270</f>
        <v>---</v>
      </c>
      <c r="X270" s="799" t="str">
        <f>'H-Runoff'!S270</f>
        <v>---</v>
      </c>
      <c r="Y270" s="794" t="str">
        <f>'H-Leachate'!N270</f>
        <v>NA</v>
      </c>
      <c r="Z270" s="797" t="str">
        <f>'H-Volatilization'!AD270</f>
        <v>NA</v>
      </c>
      <c r="AA270" s="798" t="str">
        <f>'H-Volatilization'!AF270</f>
        <v>NA</v>
      </c>
      <c r="AB270" s="798" t="str">
        <f>'H-Volatilization'!AO270</f>
        <v>NA</v>
      </c>
      <c r="AC270" s="799" t="str">
        <f>'H-Volatilization'!AU270</f>
        <v>NA</v>
      </c>
    </row>
    <row r="271" spans="1:29" x14ac:dyDescent="0.25">
      <c r="A271" s="56" t="s">
        <v>589</v>
      </c>
      <c r="B271" s="336" t="str">
        <f>IF(Start!$C$15="x",('H-Effluent'!B271),"---")</f>
        <v>---</v>
      </c>
      <c r="C271" s="337" t="str">
        <f>IF(Start!$C$16="x",'H-Runoff'!B271,"---")</f>
        <v>---</v>
      </c>
      <c r="D271" s="338" t="str">
        <f>IF(Start!$C$16="x",'H-Runoff'!C271,"---")</f>
        <v>---</v>
      </c>
      <c r="E271" s="868" t="str">
        <f>IF(Start!$C$17="x",'H-Leachate'!B271,"---")</f>
        <v/>
      </c>
      <c r="F271" s="340" t="str">
        <f>IF(Start!$C$18="x",('H-Volatilization'!B271),"---")</f>
        <v/>
      </c>
      <c r="G271" s="341" t="str">
        <f>IF(Start!$C$18="x",('H-Volatilization'!C271),"---")</f>
        <v/>
      </c>
      <c r="H271" s="341" t="str">
        <f>IF(Start!$C$18="x",('H-Volatilization'!D271),"---")</f>
        <v/>
      </c>
      <c r="I271" s="342" t="str">
        <f>IF(Start!$C$18="x",('H-Volatilization'!E271),"---")</f>
        <v/>
      </c>
      <c r="J271" s="339" t="str">
        <f>IF(Start!$C$19="x",'H-Plant &amp; Animal'!B271,"---")</f>
        <v>---</v>
      </c>
      <c r="K271" s="343" t="str">
        <f>'H-Effluent'!Q271</f>
        <v>Not Req.</v>
      </c>
      <c r="L271" s="286" t="str">
        <f>'H-Runoff'!T271</f>
        <v>Not Req.</v>
      </c>
      <c r="M271" s="344" t="str">
        <f>'H-Runoff'!U271</f>
        <v>Not Req.</v>
      </c>
      <c r="N271" s="343" t="str">
        <f>'H-Leachate'!O271</f>
        <v/>
      </c>
      <c r="O271" s="283" t="str">
        <f>'H-Volatilization'!AV271</f>
        <v/>
      </c>
      <c r="P271" s="284" t="str">
        <f>'H-Volatilization'!AW271</f>
        <v/>
      </c>
      <c r="Q271" s="284" t="str">
        <f>'H-Volatilization'!AX271</f>
        <v/>
      </c>
      <c r="R271" s="285" t="str">
        <f>'H-Volatilization'!AY271</f>
        <v/>
      </c>
      <c r="S271" s="462"/>
      <c r="T271" s="345" t="str">
        <f>'H-Plant &amp; Animal'!L271</f>
        <v>Not Req.</v>
      </c>
      <c r="U271" s="346" t="str">
        <f>'H-Plant &amp; Animal'!M271</f>
        <v>Not Req.</v>
      </c>
      <c r="V271" s="794" t="str">
        <f>'H-Effluent'!O271</f>
        <v>---</v>
      </c>
      <c r="W271" s="797" t="str">
        <f>'H-Runoff'!Q271</f>
        <v>---</v>
      </c>
      <c r="X271" s="799" t="str">
        <f>'H-Runoff'!S271</f>
        <v>---</v>
      </c>
      <c r="Y271" s="794" t="str">
        <f>'H-Leachate'!N271</f>
        <v>NA</v>
      </c>
      <c r="Z271" s="797" t="str">
        <f>'H-Volatilization'!AD271</f>
        <v>NA</v>
      </c>
      <c r="AA271" s="798" t="str">
        <f>'H-Volatilization'!AF271</f>
        <v>NA</v>
      </c>
      <c r="AB271" s="798" t="str">
        <f>'H-Volatilization'!AO271</f>
        <v>NA</v>
      </c>
      <c r="AC271" s="799" t="str">
        <f>'H-Volatilization'!AU271</f>
        <v>NA</v>
      </c>
    </row>
    <row r="272" spans="1:29" x14ac:dyDescent="0.25">
      <c r="A272" s="56" t="s">
        <v>590</v>
      </c>
      <c r="B272" s="336" t="str">
        <f>IF(Start!$C$15="x",('H-Effluent'!B272),"---")</f>
        <v>---</v>
      </c>
      <c r="C272" s="337" t="str">
        <f>IF(Start!$C$16="x",'H-Runoff'!B272,"---")</f>
        <v>---</v>
      </c>
      <c r="D272" s="338" t="str">
        <f>IF(Start!$C$16="x",'H-Runoff'!C272,"---")</f>
        <v>---</v>
      </c>
      <c r="E272" s="868" t="str">
        <f>IF(Start!$C$17="x",'H-Leachate'!B272,"---")</f>
        <v/>
      </c>
      <c r="F272" s="340" t="str">
        <f>IF(Start!$C$18="x",('H-Volatilization'!B272),"---")</f>
        <v/>
      </c>
      <c r="G272" s="341" t="str">
        <f>IF(Start!$C$18="x",('H-Volatilization'!C272),"---")</f>
        <v/>
      </c>
      <c r="H272" s="341" t="str">
        <f>IF(Start!$C$18="x",('H-Volatilization'!D272),"---")</f>
        <v/>
      </c>
      <c r="I272" s="342" t="str">
        <f>IF(Start!$C$18="x",('H-Volatilization'!E272),"---")</f>
        <v/>
      </c>
      <c r="J272" s="339" t="str">
        <f>IF(Start!$C$19="x",'H-Plant &amp; Animal'!B272,"---")</f>
        <v>---</v>
      </c>
      <c r="K272" s="343" t="str">
        <f>'H-Effluent'!Q272</f>
        <v>Not Req.</v>
      </c>
      <c r="L272" s="286" t="str">
        <f>'H-Runoff'!T272</f>
        <v>Not Req.</v>
      </c>
      <c r="M272" s="344" t="str">
        <f>'H-Runoff'!U272</f>
        <v>Not Req.</v>
      </c>
      <c r="N272" s="343" t="str">
        <f>'H-Leachate'!O272</f>
        <v/>
      </c>
      <c r="O272" s="283" t="str">
        <f>'H-Volatilization'!AV272</f>
        <v/>
      </c>
      <c r="P272" s="284" t="str">
        <f>'H-Volatilization'!AW272</f>
        <v/>
      </c>
      <c r="Q272" s="284" t="str">
        <f>'H-Volatilization'!AX272</f>
        <v/>
      </c>
      <c r="R272" s="285" t="str">
        <f>'H-Volatilization'!AY272</f>
        <v/>
      </c>
      <c r="S272" s="462"/>
      <c r="T272" s="345" t="str">
        <f>'H-Plant &amp; Animal'!L272</f>
        <v>Not Req.</v>
      </c>
      <c r="U272" s="346" t="str">
        <f>'H-Plant &amp; Animal'!M272</f>
        <v>Not Req.</v>
      </c>
      <c r="V272" s="794" t="str">
        <f>'H-Effluent'!O272</f>
        <v>---</v>
      </c>
      <c r="W272" s="797" t="str">
        <f>'H-Runoff'!Q272</f>
        <v>---</v>
      </c>
      <c r="X272" s="799" t="str">
        <f>'H-Runoff'!S272</f>
        <v>---</v>
      </c>
      <c r="Y272" s="794" t="str">
        <f>'H-Leachate'!N272</f>
        <v>NA</v>
      </c>
      <c r="Z272" s="797" t="str">
        <f>'H-Volatilization'!AD272</f>
        <v>NA</v>
      </c>
      <c r="AA272" s="798" t="str">
        <f>'H-Volatilization'!AF272</f>
        <v>NA</v>
      </c>
      <c r="AB272" s="798" t="str">
        <f>'H-Volatilization'!AO272</f>
        <v>NA</v>
      </c>
      <c r="AC272" s="799" t="str">
        <f>'H-Volatilization'!AU272</f>
        <v>NA</v>
      </c>
    </row>
    <row r="273" spans="1:29" x14ac:dyDescent="0.25">
      <c r="A273" s="56" t="s">
        <v>591</v>
      </c>
      <c r="B273" s="336" t="str">
        <f>IF(Start!$C$15="x",('H-Effluent'!B273),"---")</f>
        <v>---</v>
      </c>
      <c r="C273" s="337" t="str">
        <f>IF(Start!$C$16="x",'H-Runoff'!B273,"---")</f>
        <v>---</v>
      </c>
      <c r="D273" s="338" t="str">
        <f>IF(Start!$C$16="x",'H-Runoff'!C273,"---")</f>
        <v>---</v>
      </c>
      <c r="E273" s="868" t="str">
        <f>IF(Start!$C$17="x",'H-Leachate'!B273,"---")</f>
        <v/>
      </c>
      <c r="F273" s="340" t="str">
        <f>IF(Start!$C$18="x",('H-Volatilization'!B273),"---")</f>
        <v/>
      </c>
      <c r="G273" s="341" t="str">
        <f>IF(Start!$C$18="x",('H-Volatilization'!C273),"---")</f>
        <v/>
      </c>
      <c r="H273" s="341" t="str">
        <f>IF(Start!$C$18="x",('H-Volatilization'!D273),"---")</f>
        <v/>
      </c>
      <c r="I273" s="342" t="str">
        <f>IF(Start!$C$18="x",('H-Volatilization'!E273),"---")</f>
        <v/>
      </c>
      <c r="J273" s="339" t="str">
        <f>IF(Start!$C$19="x",'H-Plant &amp; Animal'!B273,"---")</f>
        <v>---</v>
      </c>
      <c r="K273" s="343" t="str">
        <f>'H-Effluent'!Q273</f>
        <v>Not Req.</v>
      </c>
      <c r="L273" s="286" t="str">
        <f>'H-Runoff'!T273</f>
        <v>Not Req.</v>
      </c>
      <c r="M273" s="344" t="str">
        <f>'H-Runoff'!U273</f>
        <v>Not Req.</v>
      </c>
      <c r="N273" s="343" t="str">
        <f>'H-Leachate'!O273</f>
        <v/>
      </c>
      <c r="O273" s="283" t="str">
        <f>'H-Volatilization'!AV273</f>
        <v/>
      </c>
      <c r="P273" s="284" t="str">
        <f>'H-Volatilization'!AW273</f>
        <v/>
      </c>
      <c r="Q273" s="284" t="str">
        <f>'H-Volatilization'!AX273</f>
        <v/>
      </c>
      <c r="R273" s="285" t="str">
        <f>'H-Volatilization'!AY273</f>
        <v/>
      </c>
      <c r="S273" s="462"/>
      <c r="T273" s="345" t="str">
        <f>'H-Plant &amp; Animal'!L273</f>
        <v>Not Req.</v>
      </c>
      <c r="U273" s="346" t="str">
        <f>'H-Plant &amp; Animal'!M273</f>
        <v>Not Req.</v>
      </c>
      <c r="V273" s="794" t="str">
        <f>'H-Effluent'!O273</f>
        <v>---</v>
      </c>
      <c r="W273" s="797" t="str">
        <f>'H-Runoff'!Q273</f>
        <v>---</v>
      </c>
      <c r="X273" s="799" t="str">
        <f>'H-Runoff'!S273</f>
        <v>---</v>
      </c>
      <c r="Y273" s="794" t="str">
        <f>'H-Leachate'!N273</f>
        <v>NA</v>
      </c>
      <c r="Z273" s="797" t="str">
        <f>'H-Volatilization'!AD273</f>
        <v>NA</v>
      </c>
      <c r="AA273" s="798" t="str">
        <f>'H-Volatilization'!AF273</f>
        <v>NA</v>
      </c>
      <c r="AB273" s="798" t="str">
        <f>'H-Volatilization'!AO273</f>
        <v>NA</v>
      </c>
      <c r="AC273" s="799" t="str">
        <f>'H-Volatilization'!AU273</f>
        <v>NA</v>
      </c>
    </row>
    <row r="274" spans="1:29" x14ac:dyDescent="0.25">
      <c r="A274" s="56" t="s">
        <v>592</v>
      </c>
      <c r="B274" s="336" t="str">
        <f>IF(Start!$C$15="x",('H-Effluent'!B274),"---")</f>
        <v>---</v>
      </c>
      <c r="C274" s="337" t="str">
        <f>IF(Start!$C$16="x",'H-Runoff'!B274,"---")</f>
        <v>---</v>
      </c>
      <c r="D274" s="338" t="str">
        <f>IF(Start!$C$16="x",'H-Runoff'!C274,"---")</f>
        <v>---</v>
      </c>
      <c r="E274" s="868" t="str">
        <f>IF(Start!$C$17="x",'H-Leachate'!B274,"---")</f>
        <v/>
      </c>
      <c r="F274" s="340" t="str">
        <f>IF(Start!$C$18="x",('H-Volatilization'!B274),"---")</f>
        <v/>
      </c>
      <c r="G274" s="341" t="str">
        <f>IF(Start!$C$18="x",('H-Volatilization'!C274),"---")</f>
        <v/>
      </c>
      <c r="H274" s="341" t="str">
        <f>IF(Start!$C$18="x",('H-Volatilization'!D274),"---")</f>
        <v/>
      </c>
      <c r="I274" s="342" t="str">
        <f>IF(Start!$C$18="x",('H-Volatilization'!E274),"---")</f>
        <v/>
      </c>
      <c r="J274" s="339" t="str">
        <f>IF(Start!$C$19="x",'H-Plant &amp; Animal'!B274,"---")</f>
        <v>---</v>
      </c>
      <c r="K274" s="343" t="str">
        <f>'H-Effluent'!Q274</f>
        <v>Not Req.</v>
      </c>
      <c r="L274" s="286" t="str">
        <f>'H-Runoff'!T274</f>
        <v>Not Req.</v>
      </c>
      <c r="M274" s="344" t="str">
        <f>'H-Runoff'!U274</f>
        <v>Not Req.</v>
      </c>
      <c r="N274" s="343" t="str">
        <f>'H-Leachate'!O274</f>
        <v/>
      </c>
      <c r="O274" s="283" t="str">
        <f>'H-Volatilization'!AV274</f>
        <v/>
      </c>
      <c r="P274" s="284" t="str">
        <f>'H-Volatilization'!AW274</f>
        <v/>
      </c>
      <c r="Q274" s="284" t="str">
        <f>'H-Volatilization'!AX274</f>
        <v/>
      </c>
      <c r="R274" s="285" t="str">
        <f>'H-Volatilization'!AY274</f>
        <v/>
      </c>
      <c r="S274" s="462"/>
      <c r="T274" s="345" t="str">
        <f>'H-Plant &amp; Animal'!L274</f>
        <v>Not Req.</v>
      </c>
      <c r="U274" s="346" t="str">
        <f>'H-Plant &amp; Animal'!M274</f>
        <v>Not Req.</v>
      </c>
      <c r="V274" s="794" t="str">
        <f>'H-Effluent'!O274</f>
        <v>---</v>
      </c>
      <c r="W274" s="797" t="str">
        <f>'H-Runoff'!Q274</f>
        <v>---</v>
      </c>
      <c r="X274" s="799" t="str">
        <f>'H-Runoff'!S274</f>
        <v>---</v>
      </c>
      <c r="Y274" s="794" t="str">
        <f>'H-Leachate'!N274</f>
        <v>NA</v>
      </c>
      <c r="Z274" s="797" t="str">
        <f>'H-Volatilization'!AD274</f>
        <v>NA</v>
      </c>
      <c r="AA274" s="798" t="str">
        <f>'H-Volatilization'!AF274</f>
        <v>NA</v>
      </c>
      <c r="AB274" s="798" t="str">
        <f>'H-Volatilization'!AO274</f>
        <v>NA</v>
      </c>
      <c r="AC274" s="799" t="str">
        <f>'H-Volatilization'!AU274</f>
        <v>NA</v>
      </c>
    </row>
    <row r="275" spans="1:29" ht="13.8" thickBot="1" x14ac:dyDescent="0.3">
      <c r="A275" s="676" t="s">
        <v>593</v>
      </c>
      <c r="B275" s="772" t="str">
        <f>IF(Start!$C$15="x",('H-Effluent'!B275),"---")</f>
        <v>---</v>
      </c>
      <c r="C275" s="773" t="str">
        <f>IF(Start!$C$16="x",'H-Runoff'!B275,"---")</f>
        <v>---</v>
      </c>
      <c r="D275" s="774" t="str">
        <f>IF(Start!$C$16="x",'H-Runoff'!C275,"---")</f>
        <v>---</v>
      </c>
      <c r="E275" s="868" t="str">
        <f>IF(Start!$C$17="x",'H-Leachate'!B275,"---")</f>
        <v/>
      </c>
      <c r="F275" s="776" t="str">
        <f>IF(Start!$C$18="x",('H-Volatilization'!B275),"---")</f>
        <v/>
      </c>
      <c r="G275" s="777" t="str">
        <f>IF(Start!$C$18="x",('H-Volatilization'!C275),"---")</f>
        <v/>
      </c>
      <c r="H275" s="777" t="str">
        <f>IF(Start!$C$18="x",('H-Volatilization'!D275),"---")</f>
        <v/>
      </c>
      <c r="I275" s="778" t="str">
        <f>IF(Start!$C$18="x",('H-Volatilization'!E275),"---")</f>
        <v/>
      </c>
      <c r="J275" s="775" t="str">
        <f>IF(Start!$C$19="x",'H-Plant &amp; Animal'!B275,"---")</f>
        <v>---</v>
      </c>
      <c r="K275" s="762" t="str">
        <f>'H-Effluent'!Q275</f>
        <v>Not Req.</v>
      </c>
      <c r="L275" s="768" t="str">
        <f>'H-Runoff'!T275</f>
        <v>Not Req.</v>
      </c>
      <c r="M275" s="779" t="str">
        <f>'H-Runoff'!U275</f>
        <v>Not Req.</v>
      </c>
      <c r="N275" s="762" t="str">
        <f>'H-Leachate'!O275</f>
        <v/>
      </c>
      <c r="O275" s="780" t="str">
        <f>'H-Volatilization'!AV275</f>
        <v/>
      </c>
      <c r="P275" s="781" t="str">
        <f>'H-Volatilization'!AW275</f>
        <v/>
      </c>
      <c r="Q275" s="781" t="str">
        <f>'H-Volatilization'!AX275</f>
        <v/>
      </c>
      <c r="R275" s="769" t="str">
        <f>'H-Volatilization'!AY275</f>
        <v/>
      </c>
      <c r="S275" s="462"/>
      <c r="T275" s="782" t="str">
        <f>'H-Plant &amp; Animal'!L275</f>
        <v>Not Req.</v>
      </c>
      <c r="U275" s="783" t="str">
        <f>'H-Plant &amp; Animal'!M275</f>
        <v>Not Req.</v>
      </c>
      <c r="V275" s="796" t="str">
        <f>'H-Effluent'!O275</f>
        <v>---</v>
      </c>
      <c r="W275" s="809" t="str">
        <f>'H-Runoff'!Q275</f>
        <v>---</v>
      </c>
      <c r="X275" s="810" t="str">
        <f>'H-Runoff'!S275</f>
        <v>---</v>
      </c>
      <c r="Y275" s="794" t="str">
        <f>'H-Leachate'!N275</f>
        <v>NA</v>
      </c>
      <c r="Z275" s="809" t="str">
        <f>'H-Volatilization'!AD275</f>
        <v>NA</v>
      </c>
      <c r="AA275" s="834" t="str">
        <f>'H-Volatilization'!AF275</f>
        <v>NA</v>
      </c>
      <c r="AB275" s="834" t="str">
        <f>'H-Volatilization'!AO275</f>
        <v>NA</v>
      </c>
      <c r="AC275" s="810" t="str">
        <f>'H-Volatilization'!AU275</f>
        <v>NA</v>
      </c>
    </row>
    <row r="276" spans="1:29" x14ac:dyDescent="0.25">
      <c r="A276" s="554" t="s">
        <v>594</v>
      </c>
      <c r="B276" s="559"/>
      <c r="C276" s="556"/>
      <c r="D276" s="557"/>
      <c r="E276" s="572"/>
      <c r="F276" s="559"/>
      <c r="G276" s="560"/>
      <c r="H276" s="560"/>
      <c r="I276" s="561"/>
      <c r="J276" s="572"/>
      <c r="K276" s="543"/>
      <c r="L276" s="511"/>
      <c r="M276" s="513"/>
      <c r="N276" s="543"/>
      <c r="O276" s="511"/>
      <c r="P276" s="512"/>
      <c r="Q276" s="512"/>
      <c r="R276" s="513"/>
      <c r="S276" s="543"/>
      <c r="T276" s="562"/>
      <c r="U276" s="563"/>
      <c r="V276" s="807"/>
      <c r="W276" s="800"/>
      <c r="X276" s="808"/>
      <c r="Y276" s="527"/>
      <c r="Z276" s="800"/>
      <c r="AA276" s="801"/>
      <c r="AB276" s="802"/>
      <c r="AC276" s="803"/>
    </row>
    <row r="277" spans="1:29" x14ac:dyDescent="0.25">
      <c r="A277" s="56" t="s">
        <v>595</v>
      </c>
      <c r="B277" s="336" t="str">
        <f>IF(Start!$C$15="x",('H-Effluent'!B277),"---")</f>
        <v>---</v>
      </c>
      <c r="C277" s="337" t="str">
        <f>IF(Start!$C$16="x",'H-Runoff'!B277,"---")</f>
        <v>---</v>
      </c>
      <c r="D277" s="338" t="str">
        <f>IF(Start!$C$16="x",'H-Runoff'!C277,"---")</f>
        <v>---</v>
      </c>
      <c r="E277" s="868" t="str">
        <f>IF(Start!$C$17="x",'H-Leachate'!B277,"---")</f>
        <v/>
      </c>
      <c r="F277" s="340" t="str">
        <f>IF(Start!$C$18="x",('H-Volatilization'!B277),"---")</f>
        <v/>
      </c>
      <c r="G277" s="341" t="str">
        <f>IF(Start!$C$18="x",('H-Volatilization'!C277),"---")</f>
        <v/>
      </c>
      <c r="H277" s="341" t="str">
        <f>IF(Start!$C$18="x",('H-Volatilization'!D277),"---")</f>
        <v/>
      </c>
      <c r="I277" s="342" t="str">
        <f>IF(Start!$C$18="x",('H-Volatilization'!E277),"---")</f>
        <v/>
      </c>
      <c r="J277" s="339" t="str">
        <f>IF(Start!$C$19="x",'H-Plant &amp; Animal'!B277,"---")</f>
        <v>---</v>
      </c>
      <c r="K277" s="343" t="str">
        <f>'H-Effluent'!Q277</f>
        <v>Not Req.</v>
      </c>
      <c r="L277" s="286" t="str">
        <f>'H-Runoff'!T277</f>
        <v>Not Req.</v>
      </c>
      <c r="M277" s="344" t="str">
        <f>'H-Runoff'!U277</f>
        <v>Not Req.</v>
      </c>
      <c r="N277" s="343" t="str">
        <f>'H-Leachate'!O277</f>
        <v/>
      </c>
      <c r="O277" s="283" t="str">
        <f>'H-Volatilization'!AV277</f>
        <v/>
      </c>
      <c r="P277" s="284" t="str">
        <f>'H-Volatilization'!AW277</f>
        <v/>
      </c>
      <c r="Q277" s="284" t="str">
        <f>'H-Volatilization'!AX277</f>
        <v/>
      </c>
      <c r="R277" s="285" t="str">
        <f>'H-Volatilization'!AY277</f>
        <v/>
      </c>
      <c r="S277" s="462"/>
      <c r="T277" s="345" t="str">
        <f>'H-Plant &amp; Animal'!L277</f>
        <v>Not Req.</v>
      </c>
      <c r="U277" s="346" t="str">
        <f>'H-Plant &amp; Animal'!M277</f>
        <v>Not Req.</v>
      </c>
      <c r="V277" s="794" t="str">
        <f>'H-Effluent'!O277</f>
        <v>---</v>
      </c>
      <c r="W277" s="797" t="str">
        <f>'H-Runoff'!Q277</f>
        <v>---</v>
      </c>
      <c r="X277" s="799" t="str">
        <f>'H-Runoff'!S277</f>
        <v>---</v>
      </c>
      <c r="Y277" s="794" t="str">
        <f>'H-Leachate'!N277</f>
        <v>NA</v>
      </c>
      <c r="Z277" s="797" t="str">
        <f>'H-Volatilization'!AD277</f>
        <v>NA</v>
      </c>
      <c r="AA277" s="798" t="str">
        <f>'H-Volatilization'!AF277</f>
        <v>NA</v>
      </c>
      <c r="AB277" s="798" t="str">
        <f>'H-Volatilization'!AO277</f>
        <v>NA</v>
      </c>
      <c r="AC277" s="799" t="str">
        <f>'H-Volatilization'!AU277</f>
        <v>NA</v>
      </c>
    </row>
    <row r="278" spans="1:29" x14ac:dyDescent="0.25">
      <c r="A278" s="60" t="s">
        <v>596</v>
      </c>
      <c r="B278" s="336" t="str">
        <f>IF(Start!$C$15="x",('H-Effluent'!B278),"---")</f>
        <v>---</v>
      </c>
      <c r="C278" s="337" t="str">
        <f>IF(Start!$C$16="x",'H-Runoff'!B278,"---")</f>
        <v>---</v>
      </c>
      <c r="D278" s="338" t="str">
        <f>IF(Start!$C$16="x",'H-Runoff'!C278,"---")</f>
        <v>---</v>
      </c>
      <c r="E278" s="868" t="str">
        <f>IF(Start!$C$17="x",'H-Leachate'!B278,"---")</f>
        <v/>
      </c>
      <c r="F278" s="340" t="str">
        <f>IF(Start!$C$18="x",('H-Volatilization'!B278),"---")</f>
        <v/>
      </c>
      <c r="G278" s="341" t="str">
        <f>IF(Start!$C$18="x",('H-Volatilization'!C278),"---")</f>
        <v/>
      </c>
      <c r="H278" s="341" t="str">
        <f>IF(Start!$C$18="x",('H-Volatilization'!D278),"---")</f>
        <v/>
      </c>
      <c r="I278" s="342" t="str">
        <f>IF(Start!$C$18="x",('H-Volatilization'!E278),"---")</f>
        <v/>
      </c>
      <c r="J278" s="339" t="str">
        <f>IF(Start!$C$19="x",'H-Plant &amp; Animal'!B278,"---")</f>
        <v>---</v>
      </c>
      <c r="K278" s="343" t="str">
        <f>'H-Effluent'!Q278</f>
        <v>Not Req.</v>
      </c>
      <c r="L278" s="286" t="str">
        <f>'H-Runoff'!T278</f>
        <v>Not Req.</v>
      </c>
      <c r="M278" s="344" t="str">
        <f>'H-Runoff'!U278</f>
        <v>Not Req.</v>
      </c>
      <c r="N278" s="343" t="str">
        <f>'H-Leachate'!O278</f>
        <v/>
      </c>
      <c r="O278" s="283" t="str">
        <f>'H-Volatilization'!AV278</f>
        <v/>
      </c>
      <c r="P278" s="284" t="str">
        <f>'H-Volatilization'!AW278</f>
        <v/>
      </c>
      <c r="Q278" s="284" t="str">
        <f>'H-Volatilization'!AX278</f>
        <v/>
      </c>
      <c r="R278" s="285" t="str">
        <f>'H-Volatilization'!AY278</f>
        <v/>
      </c>
      <c r="S278" s="462"/>
      <c r="T278" s="345" t="str">
        <f>'H-Plant &amp; Animal'!L278</f>
        <v>Not Req.</v>
      </c>
      <c r="U278" s="346" t="str">
        <f>'H-Plant &amp; Animal'!M278</f>
        <v>Not Req.</v>
      </c>
      <c r="V278" s="794" t="str">
        <f>'H-Effluent'!O278</f>
        <v>---</v>
      </c>
      <c r="W278" s="797" t="str">
        <f>'H-Runoff'!Q278</f>
        <v>---</v>
      </c>
      <c r="X278" s="799" t="str">
        <f>'H-Runoff'!S278</f>
        <v>---</v>
      </c>
      <c r="Y278" s="794" t="str">
        <f>'H-Leachate'!N278</f>
        <v>NA</v>
      </c>
      <c r="Z278" s="797" t="str">
        <f>'H-Volatilization'!AD278</f>
        <v>NA</v>
      </c>
      <c r="AA278" s="798" t="str">
        <f>'H-Volatilization'!AF278</f>
        <v>NA</v>
      </c>
      <c r="AB278" s="798" t="str">
        <f>'H-Volatilization'!AO278</f>
        <v>NA</v>
      </c>
      <c r="AC278" s="799" t="str">
        <f>'H-Volatilization'!AU278</f>
        <v>NA</v>
      </c>
    </row>
    <row r="279" spans="1:29" x14ac:dyDescent="0.25">
      <c r="A279" s="60" t="s">
        <v>597</v>
      </c>
      <c r="B279" s="336" t="str">
        <f>IF(Start!$C$15="x",('H-Effluent'!B279),"---")</f>
        <v>---</v>
      </c>
      <c r="C279" s="337" t="str">
        <f>IF(Start!$C$16="x",'H-Runoff'!B279,"---")</f>
        <v>---</v>
      </c>
      <c r="D279" s="338" t="str">
        <f>IF(Start!$C$16="x",'H-Runoff'!C279,"---")</f>
        <v>---</v>
      </c>
      <c r="E279" s="868" t="str">
        <f>IF(Start!$C$17="x",'H-Leachate'!B279,"---")</f>
        <v/>
      </c>
      <c r="F279" s="340" t="str">
        <f>IF(Start!$C$18="x",('H-Volatilization'!B279),"---")</f>
        <v/>
      </c>
      <c r="G279" s="341" t="str">
        <f>IF(Start!$C$18="x",('H-Volatilization'!C279),"---")</f>
        <v/>
      </c>
      <c r="H279" s="341" t="str">
        <f>IF(Start!$C$18="x",('H-Volatilization'!D279),"---")</f>
        <v/>
      </c>
      <c r="I279" s="342" t="str">
        <f>IF(Start!$C$18="x",('H-Volatilization'!E279),"---")</f>
        <v/>
      </c>
      <c r="J279" s="339" t="str">
        <f>IF(Start!$C$19="x",'H-Plant &amp; Animal'!B279,"---")</f>
        <v>---</v>
      </c>
      <c r="K279" s="343" t="str">
        <f>'H-Effluent'!Q279</f>
        <v>Not Req.</v>
      </c>
      <c r="L279" s="286" t="str">
        <f>'H-Runoff'!T279</f>
        <v>Not Req.</v>
      </c>
      <c r="M279" s="344" t="str">
        <f>'H-Runoff'!U279</f>
        <v>Not Req.</v>
      </c>
      <c r="N279" s="343" t="str">
        <f>'H-Leachate'!O279</f>
        <v/>
      </c>
      <c r="O279" s="283" t="str">
        <f>'H-Volatilization'!AV279</f>
        <v/>
      </c>
      <c r="P279" s="284" t="str">
        <f>'H-Volatilization'!AW279</f>
        <v/>
      </c>
      <c r="Q279" s="284" t="str">
        <f>'H-Volatilization'!AX279</f>
        <v/>
      </c>
      <c r="R279" s="285" t="str">
        <f>'H-Volatilization'!AY279</f>
        <v/>
      </c>
      <c r="S279" s="462"/>
      <c r="T279" s="345" t="str">
        <f>'H-Plant &amp; Animal'!L279</f>
        <v>Not Req.</v>
      </c>
      <c r="U279" s="346" t="str">
        <f>'H-Plant &amp; Animal'!M279</f>
        <v>Not Req.</v>
      </c>
      <c r="V279" s="794" t="str">
        <f>'H-Effluent'!O279</f>
        <v>---</v>
      </c>
      <c r="W279" s="797" t="str">
        <f>'H-Runoff'!Q279</f>
        <v>---</v>
      </c>
      <c r="X279" s="799" t="str">
        <f>'H-Runoff'!S279</f>
        <v>---</v>
      </c>
      <c r="Y279" s="794" t="str">
        <f>'H-Leachate'!N279</f>
        <v>NA</v>
      </c>
      <c r="Z279" s="797" t="str">
        <f>'H-Volatilization'!AD279</f>
        <v>NA</v>
      </c>
      <c r="AA279" s="798" t="str">
        <f>'H-Volatilization'!AF279</f>
        <v>NA</v>
      </c>
      <c r="AB279" s="798" t="str">
        <f>'H-Volatilization'!AO279</f>
        <v>NA</v>
      </c>
      <c r="AC279" s="799" t="str">
        <f>'H-Volatilization'!AU279</f>
        <v>NA</v>
      </c>
    </row>
    <row r="280" spans="1:29" x14ac:dyDescent="0.25">
      <c r="A280" s="60" t="s">
        <v>598</v>
      </c>
      <c r="B280" s="336" t="str">
        <f>IF(Start!$C$15="x",('H-Effluent'!B280),"---")</f>
        <v>---</v>
      </c>
      <c r="C280" s="337" t="str">
        <f>IF(Start!$C$16="x",'H-Runoff'!B280,"---")</f>
        <v>---</v>
      </c>
      <c r="D280" s="338" t="str">
        <f>IF(Start!$C$16="x",'H-Runoff'!C280,"---")</f>
        <v>---</v>
      </c>
      <c r="E280" s="868" t="str">
        <f>IF(Start!$C$17="x",'H-Leachate'!B280,"---")</f>
        <v/>
      </c>
      <c r="F280" s="340" t="str">
        <f>IF(Start!$C$18="x",('H-Volatilization'!B280),"---")</f>
        <v/>
      </c>
      <c r="G280" s="341" t="str">
        <f>IF(Start!$C$18="x",('H-Volatilization'!C280),"---")</f>
        <v/>
      </c>
      <c r="H280" s="341" t="str">
        <f>IF(Start!$C$18="x",('H-Volatilization'!D280),"---")</f>
        <v/>
      </c>
      <c r="I280" s="342" t="str">
        <f>IF(Start!$C$18="x",('H-Volatilization'!E280),"---")</f>
        <v/>
      </c>
      <c r="J280" s="339" t="str">
        <f>IF(Start!$C$19="x",'H-Plant &amp; Animal'!B280,"---")</f>
        <v>---</v>
      </c>
      <c r="K280" s="343" t="str">
        <f>'H-Effluent'!Q280</f>
        <v>Not Req.</v>
      </c>
      <c r="L280" s="286" t="str">
        <f>'H-Runoff'!T280</f>
        <v>Not Req.</v>
      </c>
      <c r="M280" s="344" t="str">
        <f>'H-Runoff'!U280</f>
        <v>Not Req.</v>
      </c>
      <c r="N280" s="343" t="str">
        <f>'H-Leachate'!O280</f>
        <v/>
      </c>
      <c r="O280" s="283" t="str">
        <f>'H-Volatilization'!AV280</f>
        <v/>
      </c>
      <c r="P280" s="284" t="str">
        <f>'H-Volatilization'!AW280</f>
        <v/>
      </c>
      <c r="Q280" s="284" t="str">
        <f>'H-Volatilization'!AX280</f>
        <v/>
      </c>
      <c r="R280" s="285" t="str">
        <f>'H-Volatilization'!AY280</f>
        <v/>
      </c>
      <c r="S280" s="462"/>
      <c r="T280" s="345" t="str">
        <f>'H-Plant &amp; Animal'!L280</f>
        <v>Not Req.</v>
      </c>
      <c r="U280" s="346" t="str">
        <f>'H-Plant &amp; Animal'!M280</f>
        <v>Not Req.</v>
      </c>
      <c r="V280" s="794" t="str">
        <f>'H-Effluent'!O280</f>
        <v>---</v>
      </c>
      <c r="W280" s="797" t="str">
        <f>'H-Runoff'!Q280</f>
        <v>---</v>
      </c>
      <c r="X280" s="799" t="str">
        <f>'H-Runoff'!S280</f>
        <v>---</v>
      </c>
      <c r="Y280" s="794" t="str">
        <f>'H-Leachate'!N280</f>
        <v>NA</v>
      </c>
      <c r="Z280" s="797" t="str">
        <f>'H-Volatilization'!AD280</f>
        <v>NA</v>
      </c>
      <c r="AA280" s="798" t="str">
        <f>'H-Volatilization'!AF280</f>
        <v>NA</v>
      </c>
      <c r="AB280" s="798" t="str">
        <f>'H-Volatilization'!AO280</f>
        <v>NA</v>
      </c>
      <c r="AC280" s="799" t="str">
        <f>'H-Volatilization'!AU280</f>
        <v>NA</v>
      </c>
    </row>
    <row r="281" spans="1:29" x14ac:dyDescent="0.25">
      <c r="A281" s="60" t="s">
        <v>599</v>
      </c>
      <c r="B281" s="336" t="str">
        <f>IF(Start!$C$15="x",('H-Effluent'!B281),"---")</f>
        <v>---</v>
      </c>
      <c r="C281" s="337" t="str">
        <f>IF(Start!$C$16="x",'H-Runoff'!B281,"---")</f>
        <v>---</v>
      </c>
      <c r="D281" s="338" t="str">
        <f>IF(Start!$C$16="x",'H-Runoff'!C281,"---")</f>
        <v>---</v>
      </c>
      <c r="E281" s="868" t="str">
        <f>IF(Start!$C$17="x",'H-Leachate'!B281,"---")</f>
        <v/>
      </c>
      <c r="F281" s="340" t="str">
        <f>IF(Start!$C$18="x",('H-Volatilization'!B281),"---")</f>
        <v/>
      </c>
      <c r="G281" s="341" t="str">
        <f>IF(Start!$C$18="x",('H-Volatilization'!C281),"---")</f>
        <v/>
      </c>
      <c r="H281" s="341" t="str">
        <f>IF(Start!$C$18="x",('H-Volatilization'!D281),"---")</f>
        <v/>
      </c>
      <c r="I281" s="342" t="str">
        <f>IF(Start!$C$18="x",('H-Volatilization'!E281),"---")</f>
        <v/>
      </c>
      <c r="J281" s="339" t="str">
        <f>IF(Start!$C$19="x",'H-Plant &amp; Animal'!B281,"---")</f>
        <v>---</v>
      </c>
      <c r="K281" s="343" t="str">
        <f>'H-Effluent'!Q281</f>
        <v>Not Req.</v>
      </c>
      <c r="L281" s="286" t="str">
        <f>'H-Runoff'!T281</f>
        <v>Not Req.</v>
      </c>
      <c r="M281" s="344" t="str">
        <f>'H-Runoff'!U281</f>
        <v>Not Req.</v>
      </c>
      <c r="N281" s="343" t="str">
        <f>'H-Leachate'!O281</f>
        <v/>
      </c>
      <c r="O281" s="283" t="str">
        <f>'H-Volatilization'!AV281</f>
        <v/>
      </c>
      <c r="P281" s="284" t="str">
        <f>'H-Volatilization'!AW281</f>
        <v/>
      </c>
      <c r="Q281" s="284" t="str">
        <f>'H-Volatilization'!AX281</f>
        <v/>
      </c>
      <c r="R281" s="285" t="str">
        <f>'H-Volatilization'!AY281</f>
        <v/>
      </c>
      <c r="S281" s="462"/>
      <c r="T281" s="345" t="str">
        <f>'H-Plant &amp; Animal'!L281</f>
        <v>Not Req.</v>
      </c>
      <c r="U281" s="346" t="str">
        <f>'H-Plant &amp; Animal'!M281</f>
        <v>Not Req.</v>
      </c>
      <c r="V281" s="794" t="str">
        <f>'H-Effluent'!O281</f>
        <v>---</v>
      </c>
      <c r="W281" s="797" t="str">
        <f>'H-Runoff'!Q281</f>
        <v>---</v>
      </c>
      <c r="X281" s="799" t="str">
        <f>'H-Runoff'!S281</f>
        <v>---</v>
      </c>
      <c r="Y281" s="794" t="str">
        <f>'H-Leachate'!N281</f>
        <v>NA</v>
      </c>
      <c r="Z281" s="797" t="str">
        <f>'H-Volatilization'!AD281</f>
        <v>NA</v>
      </c>
      <c r="AA281" s="798" t="str">
        <f>'H-Volatilization'!AF281</f>
        <v>NA</v>
      </c>
      <c r="AB281" s="798" t="str">
        <f>'H-Volatilization'!AO281</f>
        <v>NA</v>
      </c>
      <c r="AC281" s="799" t="str">
        <f>'H-Volatilization'!AU281</f>
        <v>NA</v>
      </c>
    </row>
    <row r="282" spans="1:29" x14ac:dyDescent="0.25">
      <c r="A282" s="60" t="s">
        <v>600</v>
      </c>
      <c r="B282" s="336" t="str">
        <f>IF(Start!$C$15="x",('H-Effluent'!B282),"---")</f>
        <v>---</v>
      </c>
      <c r="C282" s="337" t="str">
        <f>IF(Start!$C$16="x",'H-Runoff'!B282,"---")</f>
        <v>---</v>
      </c>
      <c r="D282" s="338" t="str">
        <f>IF(Start!$C$16="x",'H-Runoff'!C282,"---")</f>
        <v>---</v>
      </c>
      <c r="E282" s="868" t="str">
        <f>IF(Start!$C$17="x",'H-Leachate'!B282,"---")</f>
        <v/>
      </c>
      <c r="F282" s="340" t="str">
        <f>IF(Start!$C$18="x",('H-Volatilization'!B282),"---")</f>
        <v/>
      </c>
      <c r="G282" s="341" t="str">
        <f>IF(Start!$C$18="x",('H-Volatilization'!C282),"---")</f>
        <v/>
      </c>
      <c r="H282" s="341" t="str">
        <f>IF(Start!$C$18="x",('H-Volatilization'!D282),"---")</f>
        <v/>
      </c>
      <c r="I282" s="342" t="str">
        <f>IF(Start!$C$18="x",('H-Volatilization'!E282),"---")</f>
        <v/>
      </c>
      <c r="J282" s="339" t="str">
        <f>IF(Start!$C$19="x",'H-Plant &amp; Animal'!B282,"---")</f>
        <v>---</v>
      </c>
      <c r="K282" s="343" t="str">
        <f>'H-Effluent'!Q282</f>
        <v>Not Req.</v>
      </c>
      <c r="L282" s="286" t="str">
        <f>'H-Runoff'!T282</f>
        <v>Not Req.</v>
      </c>
      <c r="M282" s="344" t="str">
        <f>'H-Runoff'!U282</f>
        <v>Not Req.</v>
      </c>
      <c r="N282" s="343" t="str">
        <f>'H-Leachate'!O282</f>
        <v/>
      </c>
      <c r="O282" s="283" t="str">
        <f>'H-Volatilization'!AV282</f>
        <v/>
      </c>
      <c r="P282" s="284" t="str">
        <f>'H-Volatilization'!AW282</f>
        <v/>
      </c>
      <c r="Q282" s="284" t="str">
        <f>'H-Volatilization'!AX282</f>
        <v/>
      </c>
      <c r="R282" s="285" t="str">
        <f>'H-Volatilization'!AY282</f>
        <v/>
      </c>
      <c r="S282" s="462"/>
      <c r="T282" s="345" t="str">
        <f>'H-Plant &amp; Animal'!L282</f>
        <v>Not Req.</v>
      </c>
      <c r="U282" s="346" t="str">
        <f>'H-Plant &amp; Animal'!M282</f>
        <v>Not Req.</v>
      </c>
      <c r="V282" s="794" t="str">
        <f>'H-Effluent'!O282</f>
        <v>---</v>
      </c>
      <c r="W282" s="797" t="str">
        <f>'H-Runoff'!Q282</f>
        <v>---</v>
      </c>
      <c r="X282" s="799" t="str">
        <f>'H-Runoff'!S282</f>
        <v>---</v>
      </c>
      <c r="Y282" s="794" t="str">
        <f>'H-Leachate'!N282</f>
        <v>NA</v>
      </c>
      <c r="Z282" s="797" t="str">
        <f>'H-Volatilization'!AD282</f>
        <v>NA</v>
      </c>
      <c r="AA282" s="798" t="str">
        <f>'H-Volatilization'!AF282</f>
        <v>NA</v>
      </c>
      <c r="AB282" s="798" t="str">
        <f>'H-Volatilization'!AO282</f>
        <v>NA</v>
      </c>
      <c r="AC282" s="799" t="str">
        <f>'H-Volatilization'!AU282</f>
        <v>NA</v>
      </c>
    </row>
    <row r="283" spans="1:29" x14ac:dyDescent="0.25">
      <c r="A283" s="60" t="s">
        <v>601</v>
      </c>
      <c r="B283" s="336" t="str">
        <f>IF(Start!$C$15="x",('H-Effluent'!B283),"---")</f>
        <v>---</v>
      </c>
      <c r="C283" s="337" t="str">
        <f>IF(Start!$C$16="x",'H-Runoff'!B283,"---")</f>
        <v>---</v>
      </c>
      <c r="D283" s="338" t="str">
        <f>IF(Start!$C$16="x",'H-Runoff'!C283,"---")</f>
        <v>---</v>
      </c>
      <c r="E283" s="868" t="str">
        <f>IF(Start!$C$17="x",'H-Leachate'!B283,"---")</f>
        <v/>
      </c>
      <c r="F283" s="340" t="str">
        <f>IF(Start!$C$18="x",('H-Volatilization'!B283),"---")</f>
        <v/>
      </c>
      <c r="G283" s="341" t="str">
        <f>IF(Start!$C$18="x",('H-Volatilization'!C283),"---")</f>
        <v/>
      </c>
      <c r="H283" s="341" t="str">
        <f>IF(Start!$C$18="x",('H-Volatilization'!D283),"---")</f>
        <v/>
      </c>
      <c r="I283" s="342" t="str">
        <f>IF(Start!$C$18="x",('H-Volatilization'!E283),"---")</f>
        <v/>
      </c>
      <c r="J283" s="339" t="str">
        <f>IF(Start!$C$19="x",'H-Plant &amp; Animal'!B283,"---")</f>
        <v>---</v>
      </c>
      <c r="K283" s="343" t="str">
        <f>'H-Effluent'!Q283</f>
        <v>Not Req.</v>
      </c>
      <c r="L283" s="286" t="str">
        <f>'H-Runoff'!T283</f>
        <v>Not Req.</v>
      </c>
      <c r="M283" s="344" t="str">
        <f>'H-Runoff'!U283</f>
        <v>Not Req.</v>
      </c>
      <c r="N283" s="343" t="str">
        <f>'H-Leachate'!O283</f>
        <v/>
      </c>
      <c r="O283" s="283" t="str">
        <f>'H-Volatilization'!AV283</f>
        <v/>
      </c>
      <c r="P283" s="284" t="str">
        <f>'H-Volatilization'!AW283</f>
        <v/>
      </c>
      <c r="Q283" s="284" t="str">
        <f>'H-Volatilization'!AX283</f>
        <v/>
      </c>
      <c r="R283" s="285" t="str">
        <f>'H-Volatilization'!AY283</f>
        <v/>
      </c>
      <c r="S283" s="462"/>
      <c r="T283" s="345" t="str">
        <f>'H-Plant &amp; Animal'!L283</f>
        <v>Not Req.</v>
      </c>
      <c r="U283" s="346" t="str">
        <f>'H-Plant &amp; Animal'!M283</f>
        <v>Not Req.</v>
      </c>
      <c r="V283" s="794" t="str">
        <f>'H-Effluent'!O283</f>
        <v>---</v>
      </c>
      <c r="W283" s="797" t="str">
        <f>'H-Runoff'!Q283</f>
        <v>---</v>
      </c>
      <c r="X283" s="799" t="str">
        <f>'H-Runoff'!S283</f>
        <v>---</v>
      </c>
      <c r="Y283" s="794" t="str">
        <f>'H-Leachate'!N283</f>
        <v>NA</v>
      </c>
      <c r="Z283" s="797" t="str">
        <f>'H-Volatilization'!AD283</f>
        <v>NA</v>
      </c>
      <c r="AA283" s="798" t="str">
        <f>'H-Volatilization'!AF283</f>
        <v>NA</v>
      </c>
      <c r="AB283" s="798" t="str">
        <f>'H-Volatilization'!AO283</f>
        <v>NA</v>
      </c>
      <c r="AC283" s="799" t="str">
        <f>'H-Volatilization'!AU283</f>
        <v>NA</v>
      </c>
    </row>
    <row r="284" spans="1:29" x14ac:dyDescent="0.25">
      <c r="A284" s="60" t="s">
        <v>602</v>
      </c>
      <c r="B284" s="336" t="str">
        <f>IF(Start!$C$15="x",('H-Effluent'!B284),"---")</f>
        <v>---</v>
      </c>
      <c r="C284" s="337" t="str">
        <f>IF(Start!$C$16="x",'H-Runoff'!B284,"---")</f>
        <v>---</v>
      </c>
      <c r="D284" s="338" t="str">
        <f>IF(Start!$C$16="x",'H-Runoff'!C284,"---")</f>
        <v>---</v>
      </c>
      <c r="E284" s="868" t="str">
        <f>IF(Start!$C$17="x",'H-Leachate'!B284,"---")</f>
        <v/>
      </c>
      <c r="F284" s="340" t="str">
        <f>IF(Start!$C$18="x",('H-Volatilization'!B284),"---")</f>
        <v/>
      </c>
      <c r="G284" s="341" t="str">
        <f>IF(Start!$C$18="x",('H-Volatilization'!C284),"---")</f>
        <v/>
      </c>
      <c r="H284" s="341" t="str">
        <f>IF(Start!$C$18="x",('H-Volatilization'!D284),"---")</f>
        <v/>
      </c>
      <c r="I284" s="342" t="str">
        <f>IF(Start!$C$18="x",('H-Volatilization'!E284),"---")</f>
        <v/>
      </c>
      <c r="J284" s="339" t="str">
        <f>IF(Start!$C$19="x",'H-Plant &amp; Animal'!B284,"---")</f>
        <v>---</v>
      </c>
      <c r="K284" s="343" t="str">
        <f>'H-Effluent'!Q284</f>
        <v>Not Req.</v>
      </c>
      <c r="L284" s="286" t="str">
        <f>'H-Runoff'!T284</f>
        <v>Not Req.</v>
      </c>
      <c r="M284" s="344" t="str">
        <f>'H-Runoff'!U284</f>
        <v>Not Req.</v>
      </c>
      <c r="N284" s="343" t="str">
        <f>'H-Leachate'!O284</f>
        <v/>
      </c>
      <c r="O284" s="283" t="str">
        <f>'H-Volatilization'!AV284</f>
        <v/>
      </c>
      <c r="P284" s="284" t="str">
        <f>'H-Volatilization'!AW284</f>
        <v/>
      </c>
      <c r="Q284" s="284" t="str">
        <f>'H-Volatilization'!AX284</f>
        <v/>
      </c>
      <c r="R284" s="285" t="str">
        <f>'H-Volatilization'!AY284</f>
        <v/>
      </c>
      <c r="S284" s="462"/>
      <c r="T284" s="345" t="str">
        <f>'H-Plant &amp; Animal'!L284</f>
        <v>Not Req.</v>
      </c>
      <c r="U284" s="346" t="str">
        <f>'H-Plant &amp; Animal'!M284</f>
        <v>Not Req.</v>
      </c>
      <c r="V284" s="794" t="str">
        <f>'H-Effluent'!O284</f>
        <v>---</v>
      </c>
      <c r="W284" s="797" t="str">
        <f>'H-Runoff'!Q284</f>
        <v>---</v>
      </c>
      <c r="X284" s="799" t="str">
        <f>'H-Runoff'!S284</f>
        <v>---</v>
      </c>
      <c r="Y284" s="794" t="str">
        <f>'H-Leachate'!N284</f>
        <v>NA</v>
      </c>
      <c r="Z284" s="797" t="str">
        <f>'H-Volatilization'!AD284</f>
        <v>NA</v>
      </c>
      <c r="AA284" s="798" t="str">
        <f>'H-Volatilization'!AF284</f>
        <v>NA</v>
      </c>
      <c r="AB284" s="798" t="str">
        <f>'H-Volatilization'!AO284</f>
        <v>NA</v>
      </c>
      <c r="AC284" s="799" t="str">
        <f>'H-Volatilization'!AU284</f>
        <v>NA</v>
      </c>
    </row>
    <row r="285" spans="1:29" x14ac:dyDescent="0.25">
      <c r="A285" s="60" t="s">
        <v>603</v>
      </c>
      <c r="B285" s="336" t="str">
        <f>IF(Start!$C$15="x",('H-Effluent'!B285),"---")</f>
        <v>---</v>
      </c>
      <c r="C285" s="337" t="str">
        <f>IF(Start!$C$16="x",'H-Runoff'!B285,"---")</f>
        <v>---</v>
      </c>
      <c r="D285" s="338" t="str">
        <f>IF(Start!$C$16="x",'H-Runoff'!C285,"---")</f>
        <v>---</v>
      </c>
      <c r="E285" s="868" t="str">
        <f>IF(Start!$C$17="x",'H-Leachate'!B285,"---")</f>
        <v/>
      </c>
      <c r="F285" s="340" t="str">
        <f>IF(Start!$C$18="x",('H-Volatilization'!B285),"---")</f>
        <v/>
      </c>
      <c r="G285" s="341" t="str">
        <f>IF(Start!$C$18="x",('H-Volatilization'!C285),"---")</f>
        <v/>
      </c>
      <c r="H285" s="341" t="str">
        <f>IF(Start!$C$18="x",('H-Volatilization'!D285),"---")</f>
        <v/>
      </c>
      <c r="I285" s="342" t="str">
        <f>IF(Start!$C$18="x",('H-Volatilization'!E285),"---")</f>
        <v/>
      </c>
      <c r="J285" s="339" t="str">
        <f>IF(Start!$C$19="x",'H-Plant &amp; Animal'!B285,"---")</f>
        <v>---</v>
      </c>
      <c r="K285" s="343" t="str">
        <f>'H-Effluent'!Q285</f>
        <v>Not Req.</v>
      </c>
      <c r="L285" s="286" t="str">
        <f>'H-Runoff'!T285</f>
        <v>Not Req.</v>
      </c>
      <c r="M285" s="344" t="str">
        <f>'H-Runoff'!U285</f>
        <v>Not Req.</v>
      </c>
      <c r="N285" s="343" t="str">
        <f>'H-Leachate'!O285</f>
        <v/>
      </c>
      <c r="O285" s="283" t="str">
        <f>'H-Volatilization'!AV285</f>
        <v/>
      </c>
      <c r="P285" s="284" t="str">
        <f>'H-Volatilization'!AW285</f>
        <v/>
      </c>
      <c r="Q285" s="284" t="str">
        <f>'H-Volatilization'!AX285</f>
        <v/>
      </c>
      <c r="R285" s="285" t="str">
        <f>'H-Volatilization'!AY285</f>
        <v/>
      </c>
      <c r="S285" s="462"/>
      <c r="T285" s="345" t="str">
        <f>'H-Plant &amp; Animal'!L285</f>
        <v>Not Req.</v>
      </c>
      <c r="U285" s="346" t="str">
        <f>'H-Plant &amp; Animal'!M285</f>
        <v>Not Req.</v>
      </c>
      <c r="V285" s="794" t="str">
        <f>'H-Effluent'!O285</f>
        <v>---</v>
      </c>
      <c r="W285" s="797" t="str">
        <f>'H-Runoff'!Q285</f>
        <v>---</v>
      </c>
      <c r="X285" s="799" t="str">
        <f>'H-Runoff'!S285</f>
        <v>---</v>
      </c>
      <c r="Y285" s="794" t="str">
        <f>'H-Leachate'!N285</f>
        <v>NA</v>
      </c>
      <c r="Z285" s="797" t="str">
        <f>'H-Volatilization'!AD285</f>
        <v>NA</v>
      </c>
      <c r="AA285" s="798" t="str">
        <f>'H-Volatilization'!AF285</f>
        <v>NA</v>
      </c>
      <c r="AB285" s="798" t="str">
        <f>'H-Volatilization'!AO285</f>
        <v>NA</v>
      </c>
      <c r="AC285" s="799" t="str">
        <f>'H-Volatilization'!AU285</f>
        <v>NA</v>
      </c>
    </row>
    <row r="286" spans="1:29" x14ac:dyDescent="0.25">
      <c r="A286" s="60" t="s">
        <v>604</v>
      </c>
      <c r="B286" s="336" t="str">
        <f>IF(Start!$C$15="x",('H-Effluent'!B286),"---")</f>
        <v>---</v>
      </c>
      <c r="C286" s="337" t="str">
        <f>IF(Start!$C$16="x",'H-Runoff'!B286,"---")</f>
        <v>---</v>
      </c>
      <c r="D286" s="338" t="str">
        <f>IF(Start!$C$16="x",'H-Runoff'!C286,"---")</f>
        <v>---</v>
      </c>
      <c r="E286" s="868" t="str">
        <f>IF(Start!$C$17="x",'H-Leachate'!B286,"---")</f>
        <v/>
      </c>
      <c r="F286" s="340" t="str">
        <f>IF(Start!$C$18="x",('H-Volatilization'!B286),"---")</f>
        <v/>
      </c>
      <c r="G286" s="341" t="str">
        <f>IF(Start!$C$18="x",('H-Volatilization'!C286),"---")</f>
        <v/>
      </c>
      <c r="H286" s="341" t="str">
        <f>IF(Start!$C$18="x",('H-Volatilization'!D286),"---")</f>
        <v/>
      </c>
      <c r="I286" s="342" t="str">
        <f>IF(Start!$C$18="x",('H-Volatilization'!E286),"---")</f>
        <v/>
      </c>
      <c r="J286" s="339" t="str">
        <f>IF(Start!$C$19="x",'H-Plant &amp; Animal'!B286,"---")</f>
        <v>---</v>
      </c>
      <c r="K286" s="343" t="str">
        <f>'H-Effluent'!Q286</f>
        <v>Not Req.</v>
      </c>
      <c r="L286" s="286" t="str">
        <f>'H-Runoff'!T286</f>
        <v>Not Req.</v>
      </c>
      <c r="M286" s="344" t="str">
        <f>'H-Runoff'!U286</f>
        <v>Not Req.</v>
      </c>
      <c r="N286" s="343" t="str">
        <f>'H-Leachate'!O286</f>
        <v/>
      </c>
      <c r="O286" s="283" t="str">
        <f>'H-Volatilization'!AV286</f>
        <v/>
      </c>
      <c r="P286" s="284" t="str">
        <f>'H-Volatilization'!AW286</f>
        <v/>
      </c>
      <c r="Q286" s="284" t="str">
        <f>'H-Volatilization'!AX286</f>
        <v/>
      </c>
      <c r="R286" s="285" t="str">
        <f>'H-Volatilization'!AY286</f>
        <v/>
      </c>
      <c r="S286" s="462"/>
      <c r="T286" s="345" t="str">
        <f>'H-Plant &amp; Animal'!L286</f>
        <v>Not Req.</v>
      </c>
      <c r="U286" s="346" t="str">
        <f>'H-Plant &amp; Animal'!M286</f>
        <v>Not Req.</v>
      </c>
      <c r="V286" s="794" t="str">
        <f>'H-Effluent'!O286</f>
        <v>---</v>
      </c>
      <c r="W286" s="797" t="str">
        <f>'H-Runoff'!Q286</f>
        <v>---</v>
      </c>
      <c r="X286" s="799" t="str">
        <f>'H-Runoff'!S286</f>
        <v>---</v>
      </c>
      <c r="Y286" s="794" t="str">
        <f>'H-Leachate'!N286</f>
        <v>NA</v>
      </c>
      <c r="Z286" s="797" t="str">
        <f>'H-Volatilization'!AD286</f>
        <v>NA</v>
      </c>
      <c r="AA286" s="798" t="str">
        <f>'H-Volatilization'!AF286</f>
        <v>NA</v>
      </c>
      <c r="AB286" s="798" t="str">
        <f>'H-Volatilization'!AO286</f>
        <v>NA</v>
      </c>
      <c r="AC286" s="799" t="str">
        <f>'H-Volatilization'!AU286</f>
        <v>NA</v>
      </c>
    </row>
    <row r="287" spans="1:29" x14ac:dyDescent="0.25">
      <c r="A287" s="60" t="s">
        <v>605</v>
      </c>
      <c r="B287" s="336" t="str">
        <f>IF(Start!$C$15="x",('H-Effluent'!B287),"---")</f>
        <v>---</v>
      </c>
      <c r="C287" s="337" t="str">
        <f>IF(Start!$C$16="x",'H-Runoff'!B287,"---")</f>
        <v>---</v>
      </c>
      <c r="D287" s="338" t="str">
        <f>IF(Start!$C$16="x",'H-Runoff'!C287,"---")</f>
        <v>---</v>
      </c>
      <c r="E287" s="868" t="str">
        <f>IF(Start!$C$17="x",'H-Leachate'!B287,"---")</f>
        <v/>
      </c>
      <c r="F287" s="340" t="str">
        <f>IF(Start!$C$18="x",('H-Volatilization'!B287),"---")</f>
        <v/>
      </c>
      <c r="G287" s="341" t="str">
        <f>IF(Start!$C$18="x",('H-Volatilization'!C287),"---")</f>
        <v/>
      </c>
      <c r="H287" s="341" t="str">
        <f>IF(Start!$C$18="x",('H-Volatilization'!D287),"---")</f>
        <v/>
      </c>
      <c r="I287" s="342" t="str">
        <f>IF(Start!$C$18="x",('H-Volatilization'!E287),"---")</f>
        <v/>
      </c>
      <c r="J287" s="339" t="str">
        <f>IF(Start!$C$19="x",'H-Plant &amp; Animal'!B287,"---")</f>
        <v>---</v>
      </c>
      <c r="K287" s="343" t="str">
        <f>'H-Effluent'!Q287</f>
        <v>Not Req.</v>
      </c>
      <c r="L287" s="286" t="str">
        <f>'H-Runoff'!T287</f>
        <v>Not Req.</v>
      </c>
      <c r="M287" s="344" t="str">
        <f>'H-Runoff'!U287</f>
        <v>Not Req.</v>
      </c>
      <c r="N287" s="343" t="str">
        <f>'H-Leachate'!O287</f>
        <v/>
      </c>
      <c r="O287" s="283" t="str">
        <f>'H-Volatilization'!AV287</f>
        <v/>
      </c>
      <c r="P287" s="284" t="str">
        <f>'H-Volatilization'!AW287</f>
        <v/>
      </c>
      <c r="Q287" s="284" t="str">
        <f>'H-Volatilization'!AX287</f>
        <v/>
      </c>
      <c r="R287" s="285" t="str">
        <f>'H-Volatilization'!AY287</f>
        <v/>
      </c>
      <c r="S287" s="462"/>
      <c r="T287" s="345" t="str">
        <f>'H-Plant &amp; Animal'!L287</f>
        <v>Not Req.</v>
      </c>
      <c r="U287" s="346" t="str">
        <f>'H-Plant &amp; Animal'!M287</f>
        <v>Not Req.</v>
      </c>
      <c r="V287" s="794" t="str">
        <f>'H-Effluent'!O287</f>
        <v>---</v>
      </c>
      <c r="W287" s="797" t="str">
        <f>'H-Runoff'!Q287</f>
        <v>---</v>
      </c>
      <c r="X287" s="799" t="str">
        <f>'H-Runoff'!S287</f>
        <v>---</v>
      </c>
      <c r="Y287" s="794" t="str">
        <f>'H-Leachate'!N287</f>
        <v>NA</v>
      </c>
      <c r="Z287" s="797" t="str">
        <f>'H-Volatilization'!AD287</f>
        <v>NA</v>
      </c>
      <c r="AA287" s="798" t="str">
        <f>'H-Volatilization'!AF287</f>
        <v>NA</v>
      </c>
      <c r="AB287" s="798" t="str">
        <f>'H-Volatilization'!AO287</f>
        <v>NA</v>
      </c>
      <c r="AC287" s="799" t="str">
        <f>'H-Volatilization'!AU287</f>
        <v>NA</v>
      </c>
    </row>
    <row r="288" spans="1:29" x14ac:dyDescent="0.25">
      <c r="A288" s="60" t="s">
        <v>606</v>
      </c>
      <c r="B288" s="336" t="str">
        <f>IF(Start!$C$15="x",('H-Effluent'!B288),"---")</f>
        <v>---</v>
      </c>
      <c r="C288" s="337" t="str">
        <f>IF(Start!$C$16="x",'H-Runoff'!B288,"---")</f>
        <v>---</v>
      </c>
      <c r="D288" s="338" t="str">
        <f>IF(Start!$C$16="x",'H-Runoff'!C288,"---")</f>
        <v>---</v>
      </c>
      <c r="E288" s="868" t="str">
        <f>IF(Start!$C$17="x",'H-Leachate'!B288,"---")</f>
        <v/>
      </c>
      <c r="F288" s="340" t="str">
        <f>IF(Start!$C$18="x",('H-Volatilization'!B288),"---")</f>
        <v/>
      </c>
      <c r="G288" s="341" t="str">
        <f>IF(Start!$C$18="x",('H-Volatilization'!C288),"---")</f>
        <v/>
      </c>
      <c r="H288" s="341" t="str">
        <f>IF(Start!$C$18="x",('H-Volatilization'!D288),"---")</f>
        <v/>
      </c>
      <c r="I288" s="342" t="str">
        <f>IF(Start!$C$18="x",('H-Volatilization'!E288),"---")</f>
        <v/>
      </c>
      <c r="J288" s="339" t="str">
        <f>IF(Start!$C$19="x",'H-Plant &amp; Animal'!B288,"---")</f>
        <v>---</v>
      </c>
      <c r="K288" s="343" t="str">
        <f>'H-Effluent'!Q288</f>
        <v>Not Req.</v>
      </c>
      <c r="L288" s="286" t="str">
        <f>'H-Runoff'!T288</f>
        <v>Not Req.</v>
      </c>
      <c r="M288" s="344" t="str">
        <f>'H-Runoff'!U288</f>
        <v>Not Req.</v>
      </c>
      <c r="N288" s="343" t="str">
        <f>'H-Leachate'!O288</f>
        <v/>
      </c>
      <c r="O288" s="283" t="str">
        <f>'H-Volatilization'!AV288</f>
        <v/>
      </c>
      <c r="P288" s="284" t="str">
        <f>'H-Volatilization'!AW288</f>
        <v/>
      </c>
      <c r="Q288" s="284" t="str">
        <f>'H-Volatilization'!AX288</f>
        <v/>
      </c>
      <c r="R288" s="285" t="str">
        <f>'H-Volatilization'!AY288</f>
        <v/>
      </c>
      <c r="S288" s="462"/>
      <c r="T288" s="345" t="str">
        <f>'H-Plant &amp; Animal'!L288</f>
        <v>Not Req.</v>
      </c>
      <c r="U288" s="346" t="str">
        <f>'H-Plant &amp; Animal'!M288</f>
        <v>Not Req.</v>
      </c>
      <c r="V288" s="794" t="str">
        <f>'H-Effluent'!O288</f>
        <v>---</v>
      </c>
      <c r="W288" s="797" t="str">
        <f>'H-Runoff'!Q288</f>
        <v>---</v>
      </c>
      <c r="X288" s="799" t="str">
        <f>'H-Runoff'!S288</f>
        <v>---</v>
      </c>
      <c r="Y288" s="794" t="str">
        <f>'H-Leachate'!N288</f>
        <v>NA</v>
      </c>
      <c r="Z288" s="797" t="str">
        <f>'H-Volatilization'!AD288</f>
        <v>NA</v>
      </c>
      <c r="AA288" s="798" t="str">
        <f>'H-Volatilization'!AF288</f>
        <v>NA</v>
      </c>
      <c r="AB288" s="798" t="str">
        <f>'H-Volatilization'!AO288</f>
        <v>NA</v>
      </c>
      <c r="AC288" s="799" t="str">
        <f>'H-Volatilization'!AU288</f>
        <v>NA</v>
      </c>
    </row>
    <row r="289" spans="1:29" x14ac:dyDescent="0.25">
      <c r="A289" s="60" t="s">
        <v>607</v>
      </c>
      <c r="B289" s="336" t="str">
        <f>IF(Start!$C$15="x",('H-Effluent'!B289),"---")</f>
        <v>---</v>
      </c>
      <c r="C289" s="337" t="str">
        <f>IF(Start!$C$16="x",'H-Runoff'!B289,"---")</f>
        <v>---</v>
      </c>
      <c r="D289" s="338" t="str">
        <f>IF(Start!$C$16="x",'H-Runoff'!C289,"---")</f>
        <v>---</v>
      </c>
      <c r="E289" s="868" t="str">
        <f>IF(Start!$C$17="x",'H-Leachate'!B289,"---")</f>
        <v/>
      </c>
      <c r="F289" s="340" t="str">
        <f>IF(Start!$C$18="x",('H-Volatilization'!B289),"---")</f>
        <v/>
      </c>
      <c r="G289" s="341" t="str">
        <f>IF(Start!$C$18="x",('H-Volatilization'!C289),"---")</f>
        <v/>
      </c>
      <c r="H289" s="341" t="str">
        <f>IF(Start!$C$18="x",('H-Volatilization'!D289),"---")</f>
        <v/>
      </c>
      <c r="I289" s="342" t="str">
        <f>IF(Start!$C$18="x",('H-Volatilization'!E289),"---")</f>
        <v/>
      </c>
      <c r="J289" s="339" t="str">
        <f>IF(Start!$C$19="x",'H-Plant &amp; Animal'!B289,"---")</f>
        <v>---</v>
      </c>
      <c r="K289" s="343" t="str">
        <f>'H-Effluent'!Q289</f>
        <v>Not Req.</v>
      </c>
      <c r="L289" s="286" t="str">
        <f>'H-Runoff'!T289</f>
        <v>Not Req.</v>
      </c>
      <c r="M289" s="344" t="str">
        <f>'H-Runoff'!U289</f>
        <v>Not Req.</v>
      </c>
      <c r="N289" s="343" t="str">
        <f>'H-Leachate'!O289</f>
        <v/>
      </c>
      <c r="O289" s="283" t="str">
        <f>'H-Volatilization'!AV289</f>
        <v/>
      </c>
      <c r="P289" s="284" t="str">
        <f>'H-Volatilization'!AW289</f>
        <v/>
      </c>
      <c r="Q289" s="284" t="str">
        <f>'H-Volatilization'!AX289</f>
        <v/>
      </c>
      <c r="R289" s="285" t="str">
        <f>'H-Volatilization'!AY289</f>
        <v/>
      </c>
      <c r="S289" s="462"/>
      <c r="T289" s="345" t="str">
        <f>'H-Plant &amp; Animal'!L289</f>
        <v>Not Req.</v>
      </c>
      <c r="U289" s="346" t="str">
        <f>'H-Plant &amp; Animal'!M289</f>
        <v>Not Req.</v>
      </c>
      <c r="V289" s="794" t="str">
        <f>'H-Effluent'!O289</f>
        <v>---</v>
      </c>
      <c r="W289" s="797" t="str">
        <f>'H-Runoff'!Q289</f>
        <v>---</v>
      </c>
      <c r="X289" s="799" t="str">
        <f>'H-Runoff'!S289</f>
        <v>---</v>
      </c>
      <c r="Y289" s="794" t="str">
        <f>'H-Leachate'!N289</f>
        <v>NA</v>
      </c>
      <c r="Z289" s="797" t="str">
        <f>'H-Volatilization'!AD289</f>
        <v>NA</v>
      </c>
      <c r="AA289" s="798" t="str">
        <f>'H-Volatilization'!AF289</f>
        <v>NA</v>
      </c>
      <c r="AB289" s="798" t="str">
        <f>'H-Volatilization'!AO289</f>
        <v>NA</v>
      </c>
      <c r="AC289" s="799" t="str">
        <f>'H-Volatilization'!AU289</f>
        <v>NA</v>
      </c>
    </row>
    <row r="290" spans="1:29" x14ac:dyDescent="0.25">
      <c r="A290" s="60" t="s">
        <v>608</v>
      </c>
      <c r="B290" s="336" t="str">
        <f>IF(Start!$C$15="x",('H-Effluent'!B290),"---")</f>
        <v>---</v>
      </c>
      <c r="C290" s="337" t="str">
        <f>IF(Start!$C$16="x",'H-Runoff'!B290,"---")</f>
        <v>---</v>
      </c>
      <c r="D290" s="338" t="str">
        <f>IF(Start!$C$16="x",'H-Runoff'!C290,"---")</f>
        <v>---</v>
      </c>
      <c r="E290" s="868" t="str">
        <f>IF(Start!$C$17="x",'H-Leachate'!B290,"---")</f>
        <v/>
      </c>
      <c r="F290" s="340" t="str">
        <f>IF(Start!$C$18="x",('H-Volatilization'!B290),"---")</f>
        <v/>
      </c>
      <c r="G290" s="341" t="str">
        <f>IF(Start!$C$18="x",('H-Volatilization'!C290),"---")</f>
        <v/>
      </c>
      <c r="H290" s="341" t="str">
        <f>IF(Start!$C$18="x",('H-Volatilization'!D290),"---")</f>
        <v/>
      </c>
      <c r="I290" s="342" t="str">
        <f>IF(Start!$C$18="x",('H-Volatilization'!E290),"---")</f>
        <v/>
      </c>
      <c r="J290" s="339" t="str">
        <f>IF(Start!$C$19="x",'H-Plant &amp; Animal'!B290,"---")</f>
        <v>---</v>
      </c>
      <c r="K290" s="343" t="str">
        <f>'H-Effluent'!Q290</f>
        <v>Not Req.</v>
      </c>
      <c r="L290" s="286" t="str">
        <f>'H-Runoff'!T290</f>
        <v>Not Req.</v>
      </c>
      <c r="M290" s="344" t="str">
        <f>'H-Runoff'!U290</f>
        <v>Not Req.</v>
      </c>
      <c r="N290" s="343" t="str">
        <f>'H-Leachate'!O290</f>
        <v/>
      </c>
      <c r="O290" s="283" t="str">
        <f>'H-Volatilization'!AV290</f>
        <v/>
      </c>
      <c r="P290" s="284" t="str">
        <f>'H-Volatilization'!AW290</f>
        <v/>
      </c>
      <c r="Q290" s="284" t="str">
        <f>'H-Volatilization'!AX290</f>
        <v/>
      </c>
      <c r="R290" s="285" t="str">
        <f>'H-Volatilization'!AY290</f>
        <v/>
      </c>
      <c r="S290" s="462"/>
      <c r="T290" s="345" t="str">
        <f>'H-Plant &amp; Animal'!L290</f>
        <v>Not Req.</v>
      </c>
      <c r="U290" s="346" t="str">
        <f>'H-Plant &amp; Animal'!M290</f>
        <v>Not Req.</v>
      </c>
      <c r="V290" s="794" t="str">
        <f>'H-Effluent'!O290</f>
        <v>---</v>
      </c>
      <c r="W290" s="797" t="str">
        <f>'H-Runoff'!Q290</f>
        <v>---</v>
      </c>
      <c r="X290" s="799" t="str">
        <f>'H-Runoff'!S290</f>
        <v>---</v>
      </c>
      <c r="Y290" s="794" t="str">
        <f>'H-Leachate'!N290</f>
        <v>NA</v>
      </c>
      <c r="Z290" s="797" t="str">
        <f>'H-Volatilization'!AD290</f>
        <v>NA</v>
      </c>
      <c r="AA290" s="798" t="str">
        <f>'H-Volatilization'!AF290</f>
        <v>NA</v>
      </c>
      <c r="AB290" s="798" t="str">
        <f>'H-Volatilization'!AO290</f>
        <v>NA</v>
      </c>
      <c r="AC290" s="799" t="str">
        <f>'H-Volatilization'!AU290</f>
        <v>NA</v>
      </c>
    </row>
    <row r="291" spans="1:29" x14ac:dyDescent="0.25">
      <c r="A291" s="60" t="s">
        <v>609</v>
      </c>
      <c r="B291" s="336" t="str">
        <f>IF(Start!$C$15="x",('H-Effluent'!B291),"---")</f>
        <v>---</v>
      </c>
      <c r="C291" s="337" t="str">
        <f>IF(Start!$C$16="x",'H-Runoff'!B291,"---")</f>
        <v>---</v>
      </c>
      <c r="D291" s="338" t="str">
        <f>IF(Start!$C$16="x",'H-Runoff'!C291,"---")</f>
        <v>---</v>
      </c>
      <c r="E291" s="868" t="str">
        <f>IF(Start!$C$17="x",'H-Leachate'!B291,"---")</f>
        <v/>
      </c>
      <c r="F291" s="340" t="str">
        <f>IF(Start!$C$18="x",('H-Volatilization'!B291),"---")</f>
        <v/>
      </c>
      <c r="G291" s="341" t="str">
        <f>IF(Start!$C$18="x",('H-Volatilization'!C291),"---")</f>
        <v/>
      </c>
      <c r="H291" s="341" t="str">
        <f>IF(Start!$C$18="x",('H-Volatilization'!D291),"---")</f>
        <v/>
      </c>
      <c r="I291" s="342" t="str">
        <f>IF(Start!$C$18="x",('H-Volatilization'!E291),"---")</f>
        <v/>
      </c>
      <c r="J291" s="339" t="str">
        <f>IF(Start!$C$19="x",'H-Plant &amp; Animal'!B291,"---")</f>
        <v>---</v>
      </c>
      <c r="K291" s="343" t="str">
        <f>'H-Effluent'!Q291</f>
        <v>Not Req.</v>
      </c>
      <c r="L291" s="286" t="str">
        <f>'H-Runoff'!T291</f>
        <v>Not Req.</v>
      </c>
      <c r="M291" s="344" t="str">
        <f>'H-Runoff'!U291</f>
        <v>Not Req.</v>
      </c>
      <c r="N291" s="343" t="str">
        <f>'H-Leachate'!O291</f>
        <v/>
      </c>
      <c r="O291" s="283" t="str">
        <f>'H-Volatilization'!AV291</f>
        <v/>
      </c>
      <c r="P291" s="284" t="str">
        <f>'H-Volatilization'!AW291</f>
        <v/>
      </c>
      <c r="Q291" s="284" t="str">
        <f>'H-Volatilization'!AX291</f>
        <v/>
      </c>
      <c r="R291" s="285" t="str">
        <f>'H-Volatilization'!AY291</f>
        <v/>
      </c>
      <c r="S291" s="462"/>
      <c r="T291" s="345" t="str">
        <f>'H-Plant &amp; Animal'!L291</f>
        <v>Not Req.</v>
      </c>
      <c r="U291" s="346" t="str">
        <f>'H-Plant &amp; Animal'!M291</f>
        <v>Not Req.</v>
      </c>
      <c r="V291" s="794" t="str">
        <f>'H-Effluent'!O291</f>
        <v>---</v>
      </c>
      <c r="W291" s="797" t="str">
        <f>'H-Runoff'!Q291</f>
        <v>---</v>
      </c>
      <c r="X291" s="799" t="str">
        <f>'H-Runoff'!S291</f>
        <v>---</v>
      </c>
      <c r="Y291" s="794" t="str">
        <f>'H-Leachate'!N291</f>
        <v>NA</v>
      </c>
      <c r="Z291" s="797" t="str">
        <f>'H-Volatilization'!AD291</f>
        <v>NA</v>
      </c>
      <c r="AA291" s="798" t="str">
        <f>'H-Volatilization'!AF291</f>
        <v>NA</v>
      </c>
      <c r="AB291" s="798" t="str">
        <f>'H-Volatilization'!AO291</f>
        <v>NA</v>
      </c>
      <c r="AC291" s="799" t="str">
        <f>'H-Volatilization'!AU291</f>
        <v>NA</v>
      </c>
    </row>
    <row r="292" spans="1:29" x14ac:dyDescent="0.25">
      <c r="A292" s="60" t="s">
        <v>610</v>
      </c>
      <c r="B292" s="336" t="str">
        <f>IF(Start!$C$15="x",('H-Effluent'!B292),"---")</f>
        <v>---</v>
      </c>
      <c r="C292" s="337" t="str">
        <f>IF(Start!$C$16="x",'H-Runoff'!B292,"---")</f>
        <v>---</v>
      </c>
      <c r="D292" s="338" t="str">
        <f>IF(Start!$C$16="x",'H-Runoff'!C292,"---")</f>
        <v>---</v>
      </c>
      <c r="E292" s="868" t="str">
        <f>IF(Start!$C$17="x",'H-Leachate'!B292,"---")</f>
        <v/>
      </c>
      <c r="F292" s="340" t="str">
        <f>IF(Start!$C$18="x",('H-Volatilization'!B292),"---")</f>
        <v/>
      </c>
      <c r="G292" s="341" t="str">
        <f>IF(Start!$C$18="x",('H-Volatilization'!C292),"---")</f>
        <v/>
      </c>
      <c r="H292" s="341" t="str">
        <f>IF(Start!$C$18="x",('H-Volatilization'!D292),"---")</f>
        <v/>
      </c>
      <c r="I292" s="342" t="str">
        <f>IF(Start!$C$18="x",('H-Volatilization'!E292),"---")</f>
        <v/>
      </c>
      <c r="J292" s="339" t="str">
        <f>IF(Start!$C$19="x",'H-Plant &amp; Animal'!B292,"---")</f>
        <v>---</v>
      </c>
      <c r="K292" s="343" t="str">
        <f>'H-Effluent'!Q292</f>
        <v>Not Req.</v>
      </c>
      <c r="L292" s="286" t="str">
        <f>'H-Runoff'!T292</f>
        <v>Not Req.</v>
      </c>
      <c r="M292" s="344" t="str">
        <f>'H-Runoff'!U292</f>
        <v>Not Req.</v>
      </c>
      <c r="N292" s="343" t="str">
        <f>'H-Leachate'!O292</f>
        <v/>
      </c>
      <c r="O292" s="283" t="str">
        <f>'H-Volatilization'!AV292</f>
        <v/>
      </c>
      <c r="P292" s="284" t="str">
        <f>'H-Volatilization'!AW292</f>
        <v/>
      </c>
      <c r="Q292" s="284" t="str">
        <f>'H-Volatilization'!AX292</f>
        <v/>
      </c>
      <c r="R292" s="285" t="str">
        <f>'H-Volatilization'!AY292</f>
        <v/>
      </c>
      <c r="S292" s="462"/>
      <c r="T292" s="345" t="str">
        <f>'H-Plant &amp; Animal'!L292</f>
        <v>Not Req.</v>
      </c>
      <c r="U292" s="346" t="str">
        <f>'H-Plant &amp; Animal'!M292</f>
        <v>Not Req.</v>
      </c>
      <c r="V292" s="794" t="str">
        <f>'H-Effluent'!O292</f>
        <v>---</v>
      </c>
      <c r="W292" s="797" t="str">
        <f>'H-Runoff'!Q292</f>
        <v>---</v>
      </c>
      <c r="X292" s="799" t="str">
        <f>'H-Runoff'!S292</f>
        <v>---</v>
      </c>
      <c r="Y292" s="794" t="str">
        <f>'H-Leachate'!N292</f>
        <v>NA</v>
      </c>
      <c r="Z292" s="797" t="str">
        <f>'H-Volatilization'!AD292</f>
        <v>NA</v>
      </c>
      <c r="AA292" s="798" t="str">
        <f>'H-Volatilization'!AF292</f>
        <v>NA</v>
      </c>
      <c r="AB292" s="798" t="str">
        <f>'H-Volatilization'!AO292</f>
        <v>NA</v>
      </c>
      <c r="AC292" s="799" t="str">
        <f>'H-Volatilization'!AU292</f>
        <v>NA</v>
      </c>
    </row>
    <row r="293" spans="1:29" x14ac:dyDescent="0.25">
      <c r="A293" s="60" t="s">
        <v>611</v>
      </c>
      <c r="B293" s="336" t="str">
        <f>IF(Start!$C$15="x",('H-Effluent'!B293),"---")</f>
        <v>---</v>
      </c>
      <c r="C293" s="337" t="str">
        <f>IF(Start!$C$16="x",'H-Runoff'!B293,"---")</f>
        <v>---</v>
      </c>
      <c r="D293" s="338" t="str">
        <f>IF(Start!$C$16="x",'H-Runoff'!C293,"---")</f>
        <v>---</v>
      </c>
      <c r="E293" s="868" t="str">
        <f>IF(Start!$C$17="x",'H-Leachate'!B293,"---")</f>
        <v/>
      </c>
      <c r="F293" s="340" t="str">
        <f>IF(Start!$C$18="x",('H-Volatilization'!B293),"---")</f>
        <v/>
      </c>
      <c r="G293" s="341" t="str">
        <f>IF(Start!$C$18="x",('H-Volatilization'!C293),"---")</f>
        <v/>
      </c>
      <c r="H293" s="341" t="str">
        <f>IF(Start!$C$18="x",('H-Volatilization'!D293),"---")</f>
        <v/>
      </c>
      <c r="I293" s="342" t="str">
        <f>IF(Start!$C$18="x",('H-Volatilization'!E293),"---")</f>
        <v/>
      </c>
      <c r="J293" s="339" t="str">
        <f>IF(Start!$C$19="x",'H-Plant &amp; Animal'!B293,"---")</f>
        <v>---</v>
      </c>
      <c r="K293" s="343" t="str">
        <f>'H-Effluent'!Q293</f>
        <v>Not Req.</v>
      </c>
      <c r="L293" s="286" t="str">
        <f>'H-Runoff'!T293</f>
        <v>Not Req.</v>
      </c>
      <c r="M293" s="344" t="str">
        <f>'H-Runoff'!U293</f>
        <v>Not Req.</v>
      </c>
      <c r="N293" s="343" t="str">
        <f>'H-Leachate'!O293</f>
        <v/>
      </c>
      <c r="O293" s="283" t="str">
        <f>'H-Volatilization'!AV293</f>
        <v/>
      </c>
      <c r="P293" s="284" t="str">
        <f>'H-Volatilization'!AW293</f>
        <v/>
      </c>
      <c r="Q293" s="284" t="str">
        <f>'H-Volatilization'!AX293</f>
        <v/>
      </c>
      <c r="R293" s="285" t="str">
        <f>'H-Volatilization'!AY293</f>
        <v/>
      </c>
      <c r="S293" s="462"/>
      <c r="T293" s="345" t="str">
        <f>'H-Plant &amp; Animal'!L293</f>
        <v>Not Req.</v>
      </c>
      <c r="U293" s="346" t="str">
        <f>'H-Plant &amp; Animal'!M293</f>
        <v>Not Req.</v>
      </c>
      <c r="V293" s="794" t="str">
        <f>'H-Effluent'!O293</f>
        <v>---</v>
      </c>
      <c r="W293" s="797" t="str">
        <f>'H-Runoff'!Q293</f>
        <v>---</v>
      </c>
      <c r="X293" s="799" t="str">
        <f>'H-Runoff'!S293</f>
        <v>---</v>
      </c>
      <c r="Y293" s="794" t="str">
        <f>'H-Leachate'!N293</f>
        <v>NA</v>
      </c>
      <c r="Z293" s="797" t="str">
        <f>'H-Volatilization'!AD293</f>
        <v>NA</v>
      </c>
      <c r="AA293" s="798" t="str">
        <f>'H-Volatilization'!AF293</f>
        <v>NA</v>
      </c>
      <c r="AB293" s="798" t="str">
        <f>'H-Volatilization'!AO293</f>
        <v>NA</v>
      </c>
      <c r="AC293" s="799" t="str">
        <f>'H-Volatilization'!AU293</f>
        <v>NA</v>
      </c>
    </row>
    <row r="294" spans="1:29" x14ac:dyDescent="0.25">
      <c r="A294" s="60" t="s">
        <v>612</v>
      </c>
      <c r="B294" s="336" t="str">
        <f>IF(Start!$C$15="x",('H-Effluent'!B294),"---")</f>
        <v>---</v>
      </c>
      <c r="C294" s="337" t="str">
        <f>IF(Start!$C$16="x",'H-Runoff'!B294,"---")</f>
        <v>---</v>
      </c>
      <c r="D294" s="338" t="str">
        <f>IF(Start!$C$16="x",'H-Runoff'!C294,"---")</f>
        <v>---</v>
      </c>
      <c r="E294" s="868" t="str">
        <f>IF(Start!$C$17="x",'H-Leachate'!B294,"---")</f>
        <v/>
      </c>
      <c r="F294" s="340" t="str">
        <f>IF(Start!$C$18="x",('H-Volatilization'!B294),"---")</f>
        <v/>
      </c>
      <c r="G294" s="341" t="str">
        <f>IF(Start!$C$18="x",('H-Volatilization'!C294),"---")</f>
        <v/>
      </c>
      <c r="H294" s="341" t="str">
        <f>IF(Start!$C$18="x",('H-Volatilization'!D294),"---")</f>
        <v/>
      </c>
      <c r="I294" s="342" t="str">
        <f>IF(Start!$C$18="x",('H-Volatilization'!E294),"---")</f>
        <v/>
      </c>
      <c r="J294" s="339" t="str">
        <f>IF(Start!$C$19="x",'H-Plant &amp; Animal'!B294,"---")</f>
        <v>---</v>
      </c>
      <c r="K294" s="343" t="str">
        <f>'H-Effluent'!Q294</f>
        <v>Not Req.</v>
      </c>
      <c r="L294" s="286" t="str">
        <f>'H-Runoff'!T294</f>
        <v>Not Req.</v>
      </c>
      <c r="M294" s="344" t="str">
        <f>'H-Runoff'!U294</f>
        <v>Not Req.</v>
      </c>
      <c r="N294" s="343" t="str">
        <f>'H-Leachate'!O294</f>
        <v/>
      </c>
      <c r="O294" s="283" t="str">
        <f>'H-Volatilization'!AV294</f>
        <v/>
      </c>
      <c r="P294" s="284" t="str">
        <f>'H-Volatilization'!AW294</f>
        <v/>
      </c>
      <c r="Q294" s="284" t="str">
        <f>'H-Volatilization'!AX294</f>
        <v/>
      </c>
      <c r="R294" s="285" t="str">
        <f>'H-Volatilization'!AY294</f>
        <v/>
      </c>
      <c r="S294" s="462"/>
      <c r="T294" s="345" t="str">
        <f>'H-Plant &amp; Animal'!L294</f>
        <v>Not Req.</v>
      </c>
      <c r="U294" s="346" t="str">
        <f>'H-Plant &amp; Animal'!M294</f>
        <v>Not Req.</v>
      </c>
      <c r="V294" s="794" t="str">
        <f>'H-Effluent'!O294</f>
        <v>---</v>
      </c>
      <c r="W294" s="797" t="str">
        <f>'H-Runoff'!Q294</f>
        <v>---</v>
      </c>
      <c r="X294" s="799" t="str">
        <f>'H-Runoff'!S294</f>
        <v>---</v>
      </c>
      <c r="Y294" s="794" t="str">
        <f>'H-Leachate'!N294</f>
        <v>NA</v>
      </c>
      <c r="Z294" s="797" t="str">
        <f>'H-Volatilization'!AD294</f>
        <v>NA</v>
      </c>
      <c r="AA294" s="798" t="str">
        <f>'H-Volatilization'!AF294</f>
        <v>NA</v>
      </c>
      <c r="AB294" s="798" t="str">
        <f>'H-Volatilization'!AO294</f>
        <v>NA</v>
      </c>
      <c r="AC294" s="799" t="str">
        <f>'H-Volatilization'!AU294</f>
        <v>NA</v>
      </c>
    </row>
    <row r="295" spans="1:29" x14ac:dyDescent="0.25">
      <c r="A295" s="60" t="s">
        <v>613</v>
      </c>
      <c r="B295" s="336" t="str">
        <f>IF(Start!$C$15="x",('H-Effluent'!B295),"---")</f>
        <v>---</v>
      </c>
      <c r="C295" s="337" t="str">
        <f>IF(Start!$C$16="x",'H-Runoff'!B295,"---")</f>
        <v>---</v>
      </c>
      <c r="D295" s="338" t="str">
        <f>IF(Start!$C$16="x",'H-Runoff'!C295,"---")</f>
        <v>---</v>
      </c>
      <c r="E295" s="868" t="str">
        <f>IF(Start!$C$17="x",'H-Leachate'!B295,"---")</f>
        <v/>
      </c>
      <c r="F295" s="340" t="str">
        <f>IF(Start!$C$18="x",('H-Volatilization'!B295),"---")</f>
        <v/>
      </c>
      <c r="G295" s="341" t="str">
        <f>IF(Start!$C$18="x",('H-Volatilization'!C295),"---")</f>
        <v/>
      </c>
      <c r="H295" s="341" t="str">
        <f>IF(Start!$C$18="x",('H-Volatilization'!D295),"---")</f>
        <v/>
      </c>
      <c r="I295" s="342" t="str">
        <f>IF(Start!$C$18="x",('H-Volatilization'!E295),"---")</f>
        <v/>
      </c>
      <c r="J295" s="339" t="str">
        <f>IF(Start!$C$19="x",'H-Plant &amp; Animal'!B295,"---")</f>
        <v>---</v>
      </c>
      <c r="K295" s="343" t="str">
        <f>'H-Effluent'!Q295</f>
        <v>Not Req.</v>
      </c>
      <c r="L295" s="286" t="str">
        <f>'H-Runoff'!T295</f>
        <v>Not Req.</v>
      </c>
      <c r="M295" s="344" t="str">
        <f>'H-Runoff'!U295</f>
        <v>Not Req.</v>
      </c>
      <c r="N295" s="343" t="str">
        <f>'H-Leachate'!O295</f>
        <v/>
      </c>
      <c r="O295" s="283" t="str">
        <f>'H-Volatilization'!AV295</f>
        <v/>
      </c>
      <c r="P295" s="284" t="str">
        <f>'H-Volatilization'!AW295</f>
        <v/>
      </c>
      <c r="Q295" s="284" t="str">
        <f>'H-Volatilization'!AX295</f>
        <v/>
      </c>
      <c r="R295" s="285" t="str">
        <f>'H-Volatilization'!AY295</f>
        <v/>
      </c>
      <c r="S295" s="462"/>
      <c r="T295" s="345" t="str">
        <f>'H-Plant &amp; Animal'!L295</f>
        <v>Not Req.</v>
      </c>
      <c r="U295" s="346" t="str">
        <f>'H-Plant &amp; Animal'!M295</f>
        <v>Not Req.</v>
      </c>
      <c r="V295" s="794" t="str">
        <f>'H-Effluent'!O295</f>
        <v>---</v>
      </c>
      <c r="W295" s="797" t="str">
        <f>'H-Runoff'!Q295</f>
        <v>---</v>
      </c>
      <c r="X295" s="799" t="str">
        <f>'H-Runoff'!S295</f>
        <v>---</v>
      </c>
      <c r="Y295" s="794" t="str">
        <f>'H-Leachate'!N295</f>
        <v>NA</v>
      </c>
      <c r="Z295" s="797" t="str">
        <f>'H-Volatilization'!AD295</f>
        <v>NA</v>
      </c>
      <c r="AA295" s="798" t="str">
        <f>'H-Volatilization'!AF295</f>
        <v>NA</v>
      </c>
      <c r="AB295" s="798" t="str">
        <f>'H-Volatilization'!AO295</f>
        <v>NA</v>
      </c>
      <c r="AC295" s="799" t="str">
        <f>'H-Volatilization'!AU295</f>
        <v>NA</v>
      </c>
    </row>
    <row r="296" spans="1:29" x14ac:dyDescent="0.25">
      <c r="A296" s="60" t="s">
        <v>614</v>
      </c>
      <c r="B296" s="336" t="str">
        <f>IF(Start!$C$15="x",('H-Effluent'!B296),"---")</f>
        <v>---</v>
      </c>
      <c r="C296" s="337" t="str">
        <f>IF(Start!$C$16="x",'H-Runoff'!B296,"---")</f>
        <v>---</v>
      </c>
      <c r="D296" s="338" t="str">
        <f>IF(Start!$C$16="x",'H-Runoff'!C296,"---")</f>
        <v>---</v>
      </c>
      <c r="E296" s="868" t="str">
        <f>IF(Start!$C$17="x",'H-Leachate'!B296,"---")</f>
        <v/>
      </c>
      <c r="F296" s="340" t="str">
        <f>IF(Start!$C$18="x",('H-Volatilization'!B296),"---")</f>
        <v/>
      </c>
      <c r="G296" s="341" t="str">
        <f>IF(Start!$C$18="x",('H-Volatilization'!C296),"---")</f>
        <v/>
      </c>
      <c r="H296" s="341" t="str">
        <f>IF(Start!$C$18="x",('H-Volatilization'!D296),"---")</f>
        <v/>
      </c>
      <c r="I296" s="342" t="str">
        <f>IF(Start!$C$18="x",('H-Volatilization'!E296),"---")</f>
        <v/>
      </c>
      <c r="J296" s="339" t="str">
        <f>IF(Start!$C$19="x",'H-Plant &amp; Animal'!B296,"---")</f>
        <v>---</v>
      </c>
      <c r="K296" s="343" t="str">
        <f>'H-Effluent'!Q296</f>
        <v>Not Req.</v>
      </c>
      <c r="L296" s="286" t="str">
        <f>'H-Runoff'!T296</f>
        <v>Not Req.</v>
      </c>
      <c r="M296" s="344" t="str">
        <f>'H-Runoff'!U296</f>
        <v>Not Req.</v>
      </c>
      <c r="N296" s="343" t="str">
        <f>'H-Leachate'!O296</f>
        <v/>
      </c>
      <c r="O296" s="283" t="str">
        <f>'H-Volatilization'!AV296</f>
        <v/>
      </c>
      <c r="P296" s="284" t="str">
        <f>'H-Volatilization'!AW296</f>
        <v/>
      </c>
      <c r="Q296" s="284" t="str">
        <f>'H-Volatilization'!AX296</f>
        <v/>
      </c>
      <c r="R296" s="285" t="str">
        <f>'H-Volatilization'!AY296</f>
        <v/>
      </c>
      <c r="S296" s="462"/>
      <c r="T296" s="345" t="str">
        <f>'H-Plant &amp; Animal'!L296</f>
        <v>Not Req.</v>
      </c>
      <c r="U296" s="346" t="str">
        <f>'H-Plant &amp; Animal'!M296</f>
        <v>Not Req.</v>
      </c>
      <c r="V296" s="794" t="str">
        <f>'H-Effluent'!O296</f>
        <v>---</v>
      </c>
      <c r="W296" s="797" t="str">
        <f>'H-Runoff'!Q296</f>
        <v>---</v>
      </c>
      <c r="X296" s="799" t="str">
        <f>'H-Runoff'!S296</f>
        <v>---</v>
      </c>
      <c r="Y296" s="794" t="str">
        <f>'H-Leachate'!N296</f>
        <v>NA</v>
      </c>
      <c r="Z296" s="797" t="str">
        <f>'H-Volatilization'!AD296</f>
        <v>NA</v>
      </c>
      <c r="AA296" s="798" t="str">
        <f>'H-Volatilization'!AF296</f>
        <v>NA</v>
      </c>
      <c r="AB296" s="798" t="str">
        <f>'H-Volatilization'!AO296</f>
        <v>NA</v>
      </c>
      <c r="AC296" s="799" t="str">
        <f>'H-Volatilization'!AU296</f>
        <v>NA</v>
      </c>
    </row>
    <row r="297" spans="1:29" x14ac:dyDescent="0.25">
      <c r="A297" s="60" t="s">
        <v>615</v>
      </c>
      <c r="B297" s="336" t="str">
        <f>IF(Start!$C$15="x",('H-Effluent'!B297),"---")</f>
        <v>---</v>
      </c>
      <c r="C297" s="337" t="str">
        <f>IF(Start!$C$16="x",'H-Runoff'!B297,"---")</f>
        <v>---</v>
      </c>
      <c r="D297" s="338" t="str">
        <f>IF(Start!$C$16="x",'H-Runoff'!C297,"---")</f>
        <v>---</v>
      </c>
      <c r="E297" s="868" t="str">
        <f>IF(Start!$C$17="x",'H-Leachate'!B297,"---")</f>
        <v/>
      </c>
      <c r="F297" s="340" t="str">
        <f>IF(Start!$C$18="x",('H-Volatilization'!B297),"---")</f>
        <v/>
      </c>
      <c r="G297" s="341" t="str">
        <f>IF(Start!$C$18="x",('H-Volatilization'!C297),"---")</f>
        <v/>
      </c>
      <c r="H297" s="341" t="str">
        <f>IF(Start!$C$18="x",('H-Volatilization'!D297),"---")</f>
        <v/>
      </c>
      <c r="I297" s="342" t="str">
        <f>IF(Start!$C$18="x",('H-Volatilization'!E297),"---")</f>
        <v/>
      </c>
      <c r="J297" s="339" t="str">
        <f>IF(Start!$C$19="x",'H-Plant &amp; Animal'!B297,"---")</f>
        <v>---</v>
      </c>
      <c r="K297" s="343" t="str">
        <f>'H-Effluent'!Q297</f>
        <v>Not Req.</v>
      </c>
      <c r="L297" s="286" t="str">
        <f>'H-Runoff'!T297</f>
        <v>Not Req.</v>
      </c>
      <c r="M297" s="344" t="str">
        <f>'H-Runoff'!U297</f>
        <v>Not Req.</v>
      </c>
      <c r="N297" s="343" t="str">
        <f>'H-Leachate'!O297</f>
        <v/>
      </c>
      <c r="O297" s="283" t="str">
        <f>'H-Volatilization'!AV297</f>
        <v/>
      </c>
      <c r="P297" s="284" t="str">
        <f>'H-Volatilization'!AW297</f>
        <v/>
      </c>
      <c r="Q297" s="284" t="str">
        <f>'H-Volatilization'!AX297</f>
        <v/>
      </c>
      <c r="R297" s="285" t="str">
        <f>'H-Volatilization'!AY297</f>
        <v/>
      </c>
      <c r="S297" s="462"/>
      <c r="T297" s="345" t="str">
        <f>'H-Plant &amp; Animal'!L297</f>
        <v>Not Req.</v>
      </c>
      <c r="U297" s="346" t="str">
        <f>'H-Plant &amp; Animal'!M297</f>
        <v>Not Req.</v>
      </c>
      <c r="V297" s="794" t="str">
        <f>'H-Effluent'!O297</f>
        <v>---</v>
      </c>
      <c r="W297" s="797" t="str">
        <f>'H-Runoff'!Q297</f>
        <v>---</v>
      </c>
      <c r="X297" s="799" t="str">
        <f>'H-Runoff'!S297</f>
        <v>---</v>
      </c>
      <c r="Y297" s="794" t="str">
        <f>'H-Leachate'!N297</f>
        <v>NA</v>
      </c>
      <c r="Z297" s="797" t="str">
        <f>'H-Volatilization'!AD297</f>
        <v>NA</v>
      </c>
      <c r="AA297" s="798" t="str">
        <f>'H-Volatilization'!AF297</f>
        <v>NA</v>
      </c>
      <c r="AB297" s="798" t="str">
        <f>'H-Volatilization'!AO297</f>
        <v>NA</v>
      </c>
      <c r="AC297" s="799" t="str">
        <f>'H-Volatilization'!AU297</f>
        <v>NA</v>
      </c>
    </row>
    <row r="298" spans="1:29" x14ac:dyDescent="0.25">
      <c r="A298" s="60" t="s">
        <v>616</v>
      </c>
      <c r="B298" s="336" t="str">
        <f>IF(Start!$C$15="x",('H-Effluent'!B298),"---")</f>
        <v>---</v>
      </c>
      <c r="C298" s="337" t="str">
        <f>IF(Start!$C$16="x",'H-Runoff'!B298,"---")</f>
        <v>---</v>
      </c>
      <c r="D298" s="338" t="str">
        <f>IF(Start!$C$16="x",'H-Runoff'!C298,"---")</f>
        <v>---</v>
      </c>
      <c r="E298" s="868" t="str">
        <f>IF(Start!$C$17="x",'H-Leachate'!B298,"---")</f>
        <v/>
      </c>
      <c r="F298" s="340" t="str">
        <f>IF(Start!$C$18="x",('H-Volatilization'!B298),"---")</f>
        <v/>
      </c>
      <c r="G298" s="341" t="str">
        <f>IF(Start!$C$18="x",('H-Volatilization'!C298),"---")</f>
        <v/>
      </c>
      <c r="H298" s="341" t="str">
        <f>IF(Start!$C$18="x",('H-Volatilization'!D298),"---")</f>
        <v/>
      </c>
      <c r="I298" s="342" t="str">
        <f>IF(Start!$C$18="x",('H-Volatilization'!E298),"---")</f>
        <v/>
      </c>
      <c r="J298" s="339" t="str">
        <f>IF(Start!$C$19="x",'H-Plant &amp; Animal'!B298,"---")</f>
        <v>---</v>
      </c>
      <c r="K298" s="343" t="str">
        <f>'H-Effluent'!Q298</f>
        <v>Not Req.</v>
      </c>
      <c r="L298" s="286" t="str">
        <f>'H-Runoff'!T298</f>
        <v>Not Req.</v>
      </c>
      <c r="M298" s="344" t="str">
        <f>'H-Runoff'!U298</f>
        <v>Not Req.</v>
      </c>
      <c r="N298" s="343" t="str">
        <f>'H-Leachate'!O298</f>
        <v/>
      </c>
      <c r="O298" s="283" t="str">
        <f>'H-Volatilization'!AV298</f>
        <v/>
      </c>
      <c r="P298" s="284" t="str">
        <f>'H-Volatilization'!AW298</f>
        <v/>
      </c>
      <c r="Q298" s="284" t="str">
        <f>'H-Volatilization'!AX298</f>
        <v/>
      </c>
      <c r="R298" s="285" t="str">
        <f>'H-Volatilization'!AY298</f>
        <v/>
      </c>
      <c r="S298" s="462"/>
      <c r="T298" s="345" t="str">
        <f>'H-Plant &amp; Animal'!L298</f>
        <v>Not Req.</v>
      </c>
      <c r="U298" s="346" t="str">
        <f>'H-Plant &amp; Animal'!M298</f>
        <v>Not Req.</v>
      </c>
      <c r="V298" s="794" t="str">
        <f>'H-Effluent'!O298</f>
        <v>---</v>
      </c>
      <c r="W298" s="797" t="str">
        <f>'H-Runoff'!Q298</f>
        <v>---</v>
      </c>
      <c r="X298" s="799" t="str">
        <f>'H-Runoff'!S298</f>
        <v>---</v>
      </c>
      <c r="Y298" s="794" t="str">
        <f>'H-Leachate'!N298</f>
        <v>NA</v>
      </c>
      <c r="Z298" s="797" t="str">
        <f>'H-Volatilization'!AD298</f>
        <v>NA</v>
      </c>
      <c r="AA298" s="798" t="str">
        <f>'H-Volatilization'!AF298</f>
        <v>NA</v>
      </c>
      <c r="AB298" s="798" t="str">
        <f>'H-Volatilization'!AO298</f>
        <v>NA</v>
      </c>
      <c r="AC298" s="799" t="str">
        <f>'H-Volatilization'!AU298</f>
        <v>NA</v>
      </c>
    </row>
    <row r="299" spans="1:29" x14ac:dyDescent="0.25">
      <c r="A299" s="60" t="s">
        <v>617</v>
      </c>
      <c r="B299" s="336" t="str">
        <f>IF(Start!$C$15="x",('H-Effluent'!B299),"---")</f>
        <v>---</v>
      </c>
      <c r="C299" s="337" t="str">
        <f>IF(Start!$C$16="x",'H-Runoff'!B299,"---")</f>
        <v>---</v>
      </c>
      <c r="D299" s="338" t="str">
        <f>IF(Start!$C$16="x",'H-Runoff'!C299,"---")</f>
        <v>---</v>
      </c>
      <c r="E299" s="868" t="str">
        <f>IF(Start!$C$17="x",'H-Leachate'!B299,"---")</f>
        <v/>
      </c>
      <c r="F299" s="340" t="str">
        <f>IF(Start!$C$18="x",('H-Volatilization'!B299),"---")</f>
        <v/>
      </c>
      <c r="G299" s="341" t="str">
        <f>IF(Start!$C$18="x",('H-Volatilization'!C299),"---")</f>
        <v/>
      </c>
      <c r="H299" s="341" t="str">
        <f>IF(Start!$C$18="x",('H-Volatilization'!D299),"---")</f>
        <v/>
      </c>
      <c r="I299" s="342" t="str">
        <f>IF(Start!$C$18="x",('H-Volatilization'!E299),"---")</f>
        <v/>
      </c>
      <c r="J299" s="339" t="str">
        <f>IF(Start!$C$19="x",'H-Plant &amp; Animal'!B299,"---")</f>
        <v>---</v>
      </c>
      <c r="K299" s="343" t="str">
        <f>'H-Effluent'!Q299</f>
        <v>Not Req.</v>
      </c>
      <c r="L299" s="286" t="str">
        <f>'H-Runoff'!T299</f>
        <v>Not Req.</v>
      </c>
      <c r="M299" s="344" t="str">
        <f>'H-Runoff'!U299</f>
        <v>Not Req.</v>
      </c>
      <c r="N299" s="343" t="str">
        <f>'H-Leachate'!O299</f>
        <v/>
      </c>
      <c r="O299" s="283" t="str">
        <f>'H-Volatilization'!AV299</f>
        <v/>
      </c>
      <c r="P299" s="284" t="str">
        <f>'H-Volatilization'!AW299</f>
        <v/>
      </c>
      <c r="Q299" s="284" t="str">
        <f>'H-Volatilization'!AX299</f>
        <v/>
      </c>
      <c r="R299" s="285" t="str">
        <f>'H-Volatilization'!AY299</f>
        <v/>
      </c>
      <c r="S299" s="462"/>
      <c r="T299" s="345" t="str">
        <f>'H-Plant &amp; Animal'!L299</f>
        <v>Not Req.</v>
      </c>
      <c r="U299" s="346" t="str">
        <f>'H-Plant &amp; Animal'!M299</f>
        <v>Not Req.</v>
      </c>
      <c r="V299" s="794" t="str">
        <f>'H-Effluent'!O299</f>
        <v>---</v>
      </c>
      <c r="W299" s="797" t="str">
        <f>'H-Runoff'!Q299</f>
        <v>---</v>
      </c>
      <c r="X299" s="799" t="str">
        <f>'H-Runoff'!S299</f>
        <v>---</v>
      </c>
      <c r="Y299" s="794" t="str">
        <f>'H-Leachate'!N299</f>
        <v>NA</v>
      </c>
      <c r="Z299" s="797" t="str">
        <f>'H-Volatilization'!AD299</f>
        <v>NA</v>
      </c>
      <c r="AA299" s="798" t="str">
        <f>'H-Volatilization'!AF299</f>
        <v>NA</v>
      </c>
      <c r="AB299" s="798" t="str">
        <f>'H-Volatilization'!AO299</f>
        <v>NA</v>
      </c>
      <c r="AC299" s="799" t="str">
        <f>'H-Volatilization'!AU299</f>
        <v>NA</v>
      </c>
    </row>
    <row r="300" spans="1:29" x14ac:dyDescent="0.25">
      <c r="A300" s="60" t="s">
        <v>618</v>
      </c>
      <c r="B300" s="336" t="str">
        <f>IF(Start!$C$15="x",('H-Effluent'!B300),"---")</f>
        <v>---</v>
      </c>
      <c r="C300" s="337" t="str">
        <f>IF(Start!$C$16="x",'H-Runoff'!B300,"---")</f>
        <v>---</v>
      </c>
      <c r="D300" s="338" t="str">
        <f>IF(Start!$C$16="x",'H-Runoff'!C300,"---")</f>
        <v>---</v>
      </c>
      <c r="E300" s="868" t="str">
        <f>IF(Start!$C$17="x",'H-Leachate'!B300,"---")</f>
        <v/>
      </c>
      <c r="F300" s="340" t="str">
        <f>IF(Start!$C$18="x",('H-Volatilization'!B300),"---")</f>
        <v/>
      </c>
      <c r="G300" s="341" t="str">
        <f>IF(Start!$C$18="x",('H-Volatilization'!C300),"---")</f>
        <v/>
      </c>
      <c r="H300" s="341" t="str">
        <f>IF(Start!$C$18="x",('H-Volatilization'!D300),"---")</f>
        <v/>
      </c>
      <c r="I300" s="342" t="str">
        <f>IF(Start!$C$18="x",('H-Volatilization'!E300),"---")</f>
        <v/>
      </c>
      <c r="J300" s="339" t="str">
        <f>IF(Start!$C$19="x",'H-Plant &amp; Animal'!B300,"---")</f>
        <v>---</v>
      </c>
      <c r="K300" s="343" t="str">
        <f>'H-Effluent'!Q300</f>
        <v>Not Req.</v>
      </c>
      <c r="L300" s="286" t="str">
        <f>'H-Runoff'!T300</f>
        <v>Not Req.</v>
      </c>
      <c r="M300" s="344" t="str">
        <f>'H-Runoff'!U300</f>
        <v>Not Req.</v>
      </c>
      <c r="N300" s="343" t="str">
        <f>'H-Leachate'!O300</f>
        <v/>
      </c>
      <c r="O300" s="283" t="str">
        <f>'H-Volatilization'!AV300</f>
        <v/>
      </c>
      <c r="P300" s="284" t="str">
        <f>'H-Volatilization'!AW300</f>
        <v/>
      </c>
      <c r="Q300" s="284" t="str">
        <f>'H-Volatilization'!AX300</f>
        <v/>
      </c>
      <c r="R300" s="285" t="str">
        <f>'H-Volatilization'!AY300</f>
        <v/>
      </c>
      <c r="S300" s="462"/>
      <c r="T300" s="345" t="str">
        <f>'H-Plant &amp; Animal'!L300</f>
        <v>Not Req.</v>
      </c>
      <c r="U300" s="346" t="str">
        <f>'H-Plant &amp; Animal'!M300</f>
        <v>Not Req.</v>
      </c>
      <c r="V300" s="794" t="str">
        <f>'H-Effluent'!O300</f>
        <v>---</v>
      </c>
      <c r="W300" s="797" t="str">
        <f>'H-Runoff'!Q300</f>
        <v>---</v>
      </c>
      <c r="X300" s="799" t="str">
        <f>'H-Runoff'!S300</f>
        <v>---</v>
      </c>
      <c r="Y300" s="794" t="str">
        <f>'H-Leachate'!N300</f>
        <v>NA</v>
      </c>
      <c r="Z300" s="797" t="str">
        <f>'H-Volatilization'!AD300</f>
        <v>NA</v>
      </c>
      <c r="AA300" s="798" t="str">
        <f>'H-Volatilization'!AF300</f>
        <v>NA</v>
      </c>
      <c r="AB300" s="798" t="str">
        <f>'H-Volatilization'!AO300</f>
        <v>NA</v>
      </c>
      <c r="AC300" s="799" t="str">
        <f>'H-Volatilization'!AU300</f>
        <v>NA</v>
      </c>
    </row>
    <row r="301" spans="1:29" x14ac:dyDescent="0.25">
      <c r="A301" s="60" t="s">
        <v>619</v>
      </c>
      <c r="B301" s="336" t="str">
        <f>IF(Start!$C$15="x",('H-Effluent'!B301),"---")</f>
        <v>---</v>
      </c>
      <c r="C301" s="337" t="str">
        <f>IF(Start!$C$16="x",'H-Runoff'!B301,"---")</f>
        <v>---</v>
      </c>
      <c r="D301" s="338" t="str">
        <f>IF(Start!$C$16="x",'H-Runoff'!C301,"---")</f>
        <v>---</v>
      </c>
      <c r="E301" s="868" t="str">
        <f>IF(Start!$C$17="x",'H-Leachate'!B301,"---")</f>
        <v/>
      </c>
      <c r="F301" s="340" t="str">
        <f>IF(Start!$C$18="x",('H-Volatilization'!B301),"---")</f>
        <v/>
      </c>
      <c r="G301" s="341" t="str">
        <f>IF(Start!$C$18="x",('H-Volatilization'!C301),"---")</f>
        <v/>
      </c>
      <c r="H301" s="341" t="str">
        <f>IF(Start!$C$18="x",('H-Volatilization'!D301),"---")</f>
        <v/>
      </c>
      <c r="I301" s="342" t="str">
        <f>IF(Start!$C$18="x",('H-Volatilization'!E301),"---")</f>
        <v/>
      </c>
      <c r="J301" s="339" t="str">
        <f>IF(Start!$C$19="x",'H-Plant &amp; Animal'!B301,"---")</f>
        <v>---</v>
      </c>
      <c r="K301" s="343" t="str">
        <f>'H-Effluent'!Q301</f>
        <v>Not Req.</v>
      </c>
      <c r="L301" s="286" t="str">
        <f>'H-Runoff'!T301</f>
        <v>Not Req.</v>
      </c>
      <c r="M301" s="344" t="str">
        <f>'H-Runoff'!U301</f>
        <v>Not Req.</v>
      </c>
      <c r="N301" s="343" t="str">
        <f>'H-Leachate'!O301</f>
        <v/>
      </c>
      <c r="O301" s="283" t="str">
        <f>'H-Volatilization'!AV301</f>
        <v/>
      </c>
      <c r="P301" s="284" t="str">
        <f>'H-Volatilization'!AW301</f>
        <v/>
      </c>
      <c r="Q301" s="284" t="str">
        <f>'H-Volatilization'!AX301</f>
        <v/>
      </c>
      <c r="R301" s="285" t="str">
        <f>'H-Volatilization'!AY301</f>
        <v/>
      </c>
      <c r="S301" s="462"/>
      <c r="T301" s="345" t="str">
        <f>'H-Plant &amp; Animal'!L301</f>
        <v>Not Req.</v>
      </c>
      <c r="U301" s="346" t="str">
        <f>'H-Plant &amp; Animal'!M301</f>
        <v>Not Req.</v>
      </c>
      <c r="V301" s="794" t="str">
        <f>'H-Effluent'!O301</f>
        <v>---</v>
      </c>
      <c r="W301" s="797" t="str">
        <f>'H-Runoff'!Q301</f>
        <v>---</v>
      </c>
      <c r="X301" s="799" t="str">
        <f>'H-Runoff'!S301</f>
        <v>---</v>
      </c>
      <c r="Y301" s="794" t="str">
        <f>'H-Leachate'!N301</f>
        <v>NA</v>
      </c>
      <c r="Z301" s="797" t="str">
        <f>'H-Volatilization'!AD301</f>
        <v>NA</v>
      </c>
      <c r="AA301" s="798" t="str">
        <f>'H-Volatilization'!AF301</f>
        <v>NA</v>
      </c>
      <c r="AB301" s="798" t="str">
        <f>'H-Volatilization'!AO301</f>
        <v>NA</v>
      </c>
      <c r="AC301" s="799" t="str">
        <f>'H-Volatilization'!AU301</f>
        <v>NA</v>
      </c>
    </row>
    <row r="302" spans="1:29" x14ac:dyDescent="0.25">
      <c r="A302" s="60" t="s">
        <v>620</v>
      </c>
      <c r="B302" s="336" t="str">
        <f>IF(Start!$C$15="x",('H-Effluent'!B302),"---")</f>
        <v>---</v>
      </c>
      <c r="C302" s="337" t="str">
        <f>IF(Start!$C$16="x",'H-Runoff'!B302,"---")</f>
        <v>---</v>
      </c>
      <c r="D302" s="338" t="str">
        <f>IF(Start!$C$16="x",'H-Runoff'!C302,"---")</f>
        <v>---</v>
      </c>
      <c r="E302" s="868" t="str">
        <f>IF(Start!$C$17="x",'H-Leachate'!B302,"---")</f>
        <v/>
      </c>
      <c r="F302" s="340" t="str">
        <f>IF(Start!$C$18="x",('H-Volatilization'!B302),"---")</f>
        <v/>
      </c>
      <c r="G302" s="341" t="str">
        <f>IF(Start!$C$18="x",('H-Volatilization'!C302),"---")</f>
        <v/>
      </c>
      <c r="H302" s="341" t="str">
        <f>IF(Start!$C$18="x",('H-Volatilization'!D302),"---")</f>
        <v/>
      </c>
      <c r="I302" s="342" t="str">
        <f>IF(Start!$C$18="x",('H-Volatilization'!E302),"---")</f>
        <v/>
      </c>
      <c r="J302" s="339" t="str">
        <f>IF(Start!$C$19="x",'H-Plant &amp; Animal'!B302,"---")</f>
        <v>---</v>
      </c>
      <c r="K302" s="343" t="str">
        <f>'H-Effluent'!Q302</f>
        <v>Not Req.</v>
      </c>
      <c r="L302" s="286" t="str">
        <f>'H-Runoff'!T302</f>
        <v>Not Req.</v>
      </c>
      <c r="M302" s="344" t="str">
        <f>'H-Runoff'!U302</f>
        <v>Not Req.</v>
      </c>
      <c r="N302" s="343" t="str">
        <f>'H-Leachate'!O302</f>
        <v/>
      </c>
      <c r="O302" s="283" t="str">
        <f>'H-Volatilization'!AV302</f>
        <v/>
      </c>
      <c r="P302" s="284" t="str">
        <f>'H-Volatilization'!AW302</f>
        <v/>
      </c>
      <c r="Q302" s="284" t="str">
        <f>'H-Volatilization'!AX302</f>
        <v/>
      </c>
      <c r="R302" s="285" t="str">
        <f>'H-Volatilization'!AY302</f>
        <v/>
      </c>
      <c r="S302" s="462"/>
      <c r="T302" s="345" t="str">
        <f>'H-Plant &amp; Animal'!L302</f>
        <v>Not Req.</v>
      </c>
      <c r="U302" s="346" t="str">
        <f>'H-Plant &amp; Animal'!M302</f>
        <v>Not Req.</v>
      </c>
      <c r="V302" s="794" t="str">
        <f>'H-Effluent'!O302</f>
        <v>---</v>
      </c>
      <c r="W302" s="797" t="str">
        <f>'H-Runoff'!Q302</f>
        <v>---</v>
      </c>
      <c r="X302" s="799" t="str">
        <f>'H-Runoff'!S302</f>
        <v>---</v>
      </c>
      <c r="Y302" s="794" t="str">
        <f>'H-Leachate'!N302</f>
        <v>NA</v>
      </c>
      <c r="Z302" s="797" t="str">
        <f>'H-Volatilization'!AD302</f>
        <v>NA</v>
      </c>
      <c r="AA302" s="798" t="str">
        <f>'H-Volatilization'!AF302</f>
        <v>NA</v>
      </c>
      <c r="AB302" s="798" t="str">
        <f>'H-Volatilization'!AO302</f>
        <v>NA</v>
      </c>
      <c r="AC302" s="799" t="str">
        <f>'H-Volatilization'!AU302</f>
        <v>NA</v>
      </c>
    </row>
    <row r="303" spans="1:29" x14ac:dyDescent="0.25">
      <c r="A303" s="60" t="s">
        <v>621</v>
      </c>
      <c r="B303" s="336" t="str">
        <f>IF(Start!$C$15="x",('H-Effluent'!B303),"---")</f>
        <v>---</v>
      </c>
      <c r="C303" s="337" t="str">
        <f>IF(Start!$C$16="x",'H-Runoff'!B303,"---")</f>
        <v>---</v>
      </c>
      <c r="D303" s="338" t="str">
        <f>IF(Start!$C$16="x",'H-Runoff'!C303,"---")</f>
        <v>---</v>
      </c>
      <c r="E303" s="868" t="str">
        <f>IF(Start!$C$17="x",'H-Leachate'!B303,"---")</f>
        <v/>
      </c>
      <c r="F303" s="340" t="str">
        <f>IF(Start!$C$18="x",('H-Volatilization'!B303),"---")</f>
        <v/>
      </c>
      <c r="G303" s="341" t="str">
        <f>IF(Start!$C$18="x",('H-Volatilization'!C303),"---")</f>
        <v/>
      </c>
      <c r="H303" s="341" t="str">
        <f>IF(Start!$C$18="x",('H-Volatilization'!D303),"---")</f>
        <v/>
      </c>
      <c r="I303" s="342" t="str">
        <f>IF(Start!$C$18="x",('H-Volatilization'!E303),"---")</f>
        <v/>
      </c>
      <c r="J303" s="339" t="str">
        <f>IF(Start!$C$19="x",'H-Plant &amp; Animal'!B303,"---")</f>
        <v>---</v>
      </c>
      <c r="K303" s="343" t="str">
        <f>'H-Effluent'!Q303</f>
        <v>Not Req.</v>
      </c>
      <c r="L303" s="286" t="str">
        <f>'H-Runoff'!T303</f>
        <v>Not Req.</v>
      </c>
      <c r="M303" s="344" t="str">
        <f>'H-Runoff'!U303</f>
        <v>Not Req.</v>
      </c>
      <c r="N303" s="343" t="str">
        <f>'H-Leachate'!O303</f>
        <v/>
      </c>
      <c r="O303" s="283" t="str">
        <f>'H-Volatilization'!AV303</f>
        <v/>
      </c>
      <c r="P303" s="284" t="str">
        <f>'H-Volatilization'!AW303</f>
        <v/>
      </c>
      <c r="Q303" s="284" t="str">
        <f>'H-Volatilization'!AX303</f>
        <v/>
      </c>
      <c r="R303" s="285" t="str">
        <f>'H-Volatilization'!AY303</f>
        <v/>
      </c>
      <c r="S303" s="462"/>
      <c r="T303" s="345" t="str">
        <f>'H-Plant &amp; Animal'!L303</f>
        <v>Not Req.</v>
      </c>
      <c r="U303" s="346" t="str">
        <f>'H-Plant &amp; Animal'!M303</f>
        <v>Not Req.</v>
      </c>
      <c r="V303" s="794" t="str">
        <f>'H-Effluent'!O303</f>
        <v>---</v>
      </c>
      <c r="W303" s="797" t="str">
        <f>'H-Runoff'!Q303</f>
        <v>---</v>
      </c>
      <c r="X303" s="799" t="str">
        <f>'H-Runoff'!S303</f>
        <v>---</v>
      </c>
      <c r="Y303" s="794" t="str">
        <f>'H-Leachate'!N303</f>
        <v>NA</v>
      </c>
      <c r="Z303" s="797" t="str">
        <f>'H-Volatilization'!AD303</f>
        <v>NA</v>
      </c>
      <c r="AA303" s="798" t="str">
        <f>'H-Volatilization'!AF303</f>
        <v>NA</v>
      </c>
      <c r="AB303" s="798" t="str">
        <f>'H-Volatilization'!AO303</f>
        <v>NA</v>
      </c>
      <c r="AC303" s="799" t="str">
        <f>'H-Volatilization'!AU303</f>
        <v>NA</v>
      </c>
    </row>
    <row r="304" spans="1:29" x14ac:dyDescent="0.25">
      <c r="A304" s="60" t="s">
        <v>622</v>
      </c>
      <c r="B304" s="336" t="str">
        <f>IF(Start!$C$15="x",('H-Effluent'!B304),"---")</f>
        <v>---</v>
      </c>
      <c r="C304" s="337" t="str">
        <f>IF(Start!$C$16="x",'H-Runoff'!B304,"---")</f>
        <v>---</v>
      </c>
      <c r="D304" s="338" t="str">
        <f>IF(Start!$C$16="x",'H-Runoff'!C304,"---")</f>
        <v>---</v>
      </c>
      <c r="E304" s="868" t="str">
        <f>IF(Start!$C$17="x",'H-Leachate'!B304,"---")</f>
        <v/>
      </c>
      <c r="F304" s="340" t="str">
        <f>IF(Start!$C$18="x",('H-Volatilization'!B304),"---")</f>
        <v/>
      </c>
      <c r="G304" s="341" t="str">
        <f>IF(Start!$C$18="x",('H-Volatilization'!C304),"---")</f>
        <v/>
      </c>
      <c r="H304" s="341" t="str">
        <f>IF(Start!$C$18="x",('H-Volatilization'!D304),"---")</f>
        <v/>
      </c>
      <c r="I304" s="342" t="str">
        <f>IF(Start!$C$18="x",('H-Volatilization'!E304),"---")</f>
        <v/>
      </c>
      <c r="J304" s="339" t="str">
        <f>IF(Start!$C$19="x",'H-Plant &amp; Animal'!B304,"---")</f>
        <v>---</v>
      </c>
      <c r="K304" s="343" t="str">
        <f>'H-Effluent'!Q304</f>
        <v>Not Req.</v>
      </c>
      <c r="L304" s="286" t="str">
        <f>'H-Runoff'!T304</f>
        <v>Not Req.</v>
      </c>
      <c r="M304" s="344" t="str">
        <f>'H-Runoff'!U304</f>
        <v>Not Req.</v>
      </c>
      <c r="N304" s="343" t="str">
        <f>'H-Leachate'!O304</f>
        <v/>
      </c>
      <c r="O304" s="283" t="str">
        <f>'H-Volatilization'!AV304</f>
        <v/>
      </c>
      <c r="P304" s="284" t="str">
        <f>'H-Volatilization'!AW304</f>
        <v/>
      </c>
      <c r="Q304" s="284" t="str">
        <f>'H-Volatilization'!AX304</f>
        <v/>
      </c>
      <c r="R304" s="285" t="str">
        <f>'H-Volatilization'!AY304</f>
        <v/>
      </c>
      <c r="S304" s="462"/>
      <c r="T304" s="345" t="str">
        <f>'H-Plant &amp; Animal'!L304</f>
        <v>Not Req.</v>
      </c>
      <c r="U304" s="346" t="str">
        <f>'H-Plant &amp; Animal'!M304</f>
        <v>Not Req.</v>
      </c>
      <c r="V304" s="794" t="str">
        <f>'H-Effluent'!O304</f>
        <v>---</v>
      </c>
      <c r="W304" s="797" t="str">
        <f>'H-Runoff'!Q304</f>
        <v>---</v>
      </c>
      <c r="X304" s="799" t="str">
        <f>'H-Runoff'!S304</f>
        <v>---</v>
      </c>
      <c r="Y304" s="794" t="str">
        <f>'H-Leachate'!N304</f>
        <v>NA</v>
      </c>
      <c r="Z304" s="797" t="str">
        <f>'H-Volatilization'!AD304</f>
        <v>NA</v>
      </c>
      <c r="AA304" s="798" t="str">
        <f>'H-Volatilization'!AF304</f>
        <v>NA</v>
      </c>
      <c r="AB304" s="798" t="str">
        <f>'H-Volatilization'!AO304</f>
        <v>NA</v>
      </c>
      <c r="AC304" s="799" t="str">
        <f>'H-Volatilization'!AU304</f>
        <v>NA</v>
      </c>
    </row>
    <row r="305" spans="1:29" x14ac:dyDescent="0.25">
      <c r="A305" s="60" t="s">
        <v>623</v>
      </c>
      <c r="B305" s="336" t="str">
        <f>IF(Start!$C$15="x",('H-Effluent'!B305),"---")</f>
        <v>---</v>
      </c>
      <c r="C305" s="337" t="str">
        <f>IF(Start!$C$16="x",'H-Runoff'!B305,"---")</f>
        <v>---</v>
      </c>
      <c r="D305" s="338" t="str">
        <f>IF(Start!$C$16="x",'H-Runoff'!C305,"---")</f>
        <v>---</v>
      </c>
      <c r="E305" s="868" t="str">
        <f>IF(Start!$C$17="x",'H-Leachate'!B305,"---")</f>
        <v/>
      </c>
      <c r="F305" s="340" t="str">
        <f>IF(Start!$C$18="x",('H-Volatilization'!B305),"---")</f>
        <v/>
      </c>
      <c r="G305" s="341" t="str">
        <f>IF(Start!$C$18="x",('H-Volatilization'!C305),"---")</f>
        <v/>
      </c>
      <c r="H305" s="341" t="str">
        <f>IF(Start!$C$18="x",('H-Volatilization'!D305),"---")</f>
        <v/>
      </c>
      <c r="I305" s="342" t="str">
        <f>IF(Start!$C$18="x",('H-Volatilization'!E305),"---")</f>
        <v/>
      </c>
      <c r="J305" s="339" t="str">
        <f>IF(Start!$C$19="x",'H-Plant &amp; Animal'!B305,"---")</f>
        <v>---</v>
      </c>
      <c r="K305" s="343" t="str">
        <f>'H-Effluent'!Q305</f>
        <v>Not Req.</v>
      </c>
      <c r="L305" s="286" t="str">
        <f>'H-Runoff'!T305</f>
        <v>Not Req.</v>
      </c>
      <c r="M305" s="344" t="str">
        <f>'H-Runoff'!U305</f>
        <v>Not Req.</v>
      </c>
      <c r="N305" s="343" t="str">
        <f>'H-Leachate'!O305</f>
        <v/>
      </c>
      <c r="O305" s="283" t="str">
        <f>'H-Volatilization'!AV305</f>
        <v/>
      </c>
      <c r="P305" s="284" t="str">
        <f>'H-Volatilization'!AW305</f>
        <v/>
      </c>
      <c r="Q305" s="284" t="str">
        <f>'H-Volatilization'!AX305</f>
        <v/>
      </c>
      <c r="R305" s="285" t="str">
        <f>'H-Volatilization'!AY305</f>
        <v/>
      </c>
      <c r="S305" s="462"/>
      <c r="T305" s="345" t="str">
        <f>'H-Plant &amp; Animal'!L305</f>
        <v>Not Req.</v>
      </c>
      <c r="U305" s="346" t="str">
        <f>'H-Plant &amp; Animal'!M305</f>
        <v>Not Req.</v>
      </c>
      <c r="V305" s="794" t="str">
        <f>'H-Effluent'!O305</f>
        <v>---</v>
      </c>
      <c r="W305" s="797" t="str">
        <f>'H-Runoff'!Q305</f>
        <v>---</v>
      </c>
      <c r="X305" s="799" t="str">
        <f>'H-Runoff'!S305</f>
        <v>---</v>
      </c>
      <c r="Y305" s="794" t="str">
        <f>'H-Leachate'!N305</f>
        <v>NA</v>
      </c>
      <c r="Z305" s="797" t="str">
        <f>'H-Volatilization'!AD305</f>
        <v>NA</v>
      </c>
      <c r="AA305" s="798" t="str">
        <f>'H-Volatilization'!AF305</f>
        <v>NA</v>
      </c>
      <c r="AB305" s="798" t="str">
        <f>'H-Volatilization'!AO305</f>
        <v>NA</v>
      </c>
      <c r="AC305" s="799" t="str">
        <f>'H-Volatilization'!AU305</f>
        <v>NA</v>
      </c>
    </row>
    <row r="306" spans="1:29" x14ac:dyDescent="0.25">
      <c r="A306" s="60" t="s">
        <v>624</v>
      </c>
      <c r="B306" s="336" t="str">
        <f>IF(Start!$C$15="x",('H-Effluent'!B306),"---")</f>
        <v>---</v>
      </c>
      <c r="C306" s="337" t="str">
        <f>IF(Start!$C$16="x",'H-Runoff'!B306,"---")</f>
        <v>---</v>
      </c>
      <c r="D306" s="338" t="str">
        <f>IF(Start!$C$16="x",'H-Runoff'!C306,"---")</f>
        <v>---</v>
      </c>
      <c r="E306" s="868" t="str">
        <f>IF(Start!$C$17="x",'H-Leachate'!B306,"---")</f>
        <v/>
      </c>
      <c r="F306" s="340" t="str">
        <f>IF(Start!$C$18="x",('H-Volatilization'!B306),"---")</f>
        <v/>
      </c>
      <c r="G306" s="341" t="str">
        <f>IF(Start!$C$18="x",('H-Volatilization'!C306),"---")</f>
        <v/>
      </c>
      <c r="H306" s="341" t="str">
        <f>IF(Start!$C$18="x",('H-Volatilization'!D306),"---")</f>
        <v/>
      </c>
      <c r="I306" s="342" t="str">
        <f>IF(Start!$C$18="x",('H-Volatilization'!E306),"---")</f>
        <v/>
      </c>
      <c r="J306" s="339" t="str">
        <f>IF(Start!$C$19="x",'H-Plant &amp; Animal'!B306,"---")</f>
        <v>---</v>
      </c>
      <c r="K306" s="343" t="str">
        <f>'H-Effluent'!Q306</f>
        <v>Not Req.</v>
      </c>
      <c r="L306" s="286" t="str">
        <f>'H-Runoff'!T306</f>
        <v>Not Req.</v>
      </c>
      <c r="M306" s="344" t="str">
        <f>'H-Runoff'!U306</f>
        <v>Not Req.</v>
      </c>
      <c r="N306" s="343" t="str">
        <f>'H-Leachate'!O306</f>
        <v/>
      </c>
      <c r="O306" s="283" t="str">
        <f>'H-Volatilization'!AV306</f>
        <v/>
      </c>
      <c r="P306" s="284" t="str">
        <f>'H-Volatilization'!AW306</f>
        <v/>
      </c>
      <c r="Q306" s="284" t="str">
        <f>'H-Volatilization'!AX306</f>
        <v/>
      </c>
      <c r="R306" s="285" t="str">
        <f>'H-Volatilization'!AY306</f>
        <v/>
      </c>
      <c r="S306" s="462"/>
      <c r="T306" s="345" t="str">
        <f>'H-Plant &amp; Animal'!L306</f>
        <v>Not Req.</v>
      </c>
      <c r="U306" s="346" t="str">
        <f>'H-Plant &amp; Animal'!M306</f>
        <v>Not Req.</v>
      </c>
      <c r="V306" s="794" t="str">
        <f>'H-Effluent'!O306</f>
        <v>---</v>
      </c>
      <c r="W306" s="797" t="str">
        <f>'H-Runoff'!Q306</f>
        <v>---</v>
      </c>
      <c r="X306" s="799" t="str">
        <f>'H-Runoff'!S306</f>
        <v>---</v>
      </c>
      <c r="Y306" s="794" t="str">
        <f>'H-Leachate'!N306</f>
        <v>NA</v>
      </c>
      <c r="Z306" s="797" t="str">
        <f>'H-Volatilization'!AD306</f>
        <v>NA</v>
      </c>
      <c r="AA306" s="798" t="str">
        <f>'H-Volatilization'!AF306</f>
        <v>NA</v>
      </c>
      <c r="AB306" s="798" t="str">
        <f>'H-Volatilization'!AO306</f>
        <v>NA</v>
      </c>
      <c r="AC306" s="799" t="str">
        <f>'H-Volatilization'!AU306</f>
        <v>NA</v>
      </c>
    </row>
    <row r="307" spans="1:29" x14ac:dyDescent="0.25">
      <c r="A307" s="60" t="s">
        <v>625</v>
      </c>
      <c r="B307" s="336" t="str">
        <f>IF(Start!$C$15="x",('H-Effluent'!B307),"---")</f>
        <v>---</v>
      </c>
      <c r="C307" s="337" t="str">
        <f>IF(Start!$C$16="x",'H-Runoff'!B307,"---")</f>
        <v>---</v>
      </c>
      <c r="D307" s="338" t="str">
        <f>IF(Start!$C$16="x",'H-Runoff'!C307,"---")</f>
        <v>---</v>
      </c>
      <c r="E307" s="868" t="str">
        <f>IF(Start!$C$17="x",'H-Leachate'!B307,"---")</f>
        <v/>
      </c>
      <c r="F307" s="340" t="str">
        <f>IF(Start!$C$18="x",('H-Volatilization'!B307),"---")</f>
        <v/>
      </c>
      <c r="G307" s="341" t="str">
        <f>IF(Start!$C$18="x",('H-Volatilization'!C307),"---")</f>
        <v/>
      </c>
      <c r="H307" s="341" t="str">
        <f>IF(Start!$C$18="x",('H-Volatilization'!D307),"---")</f>
        <v/>
      </c>
      <c r="I307" s="342" t="str">
        <f>IF(Start!$C$18="x",('H-Volatilization'!E307),"---")</f>
        <v/>
      </c>
      <c r="J307" s="339" t="str">
        <f>IF(Start!$C$19="x",'H-Plant &amp; Animal'!B307,"---")</f>
        <v>---</v>
      </c>
      <c r="K307" s="343" t="str">
        <f>'H-Effluent'!Q307</f>
        <v>Not Req.</v>
      </c>
      <c r="L307" s="286" t="str">
        <f>'H-Runoff'!T307</f>
        <v>Not Req.</v>
      </c>
      <c r="M307" s="344" t="str">
        <f>'H-Runoff'!U307</f>
        <v>Not Req.</v>
      </c>
      <c r="N307" s="343" t="str">
        <f>'H-Leachate'!O307</f>
        <v/>
      </c>
      <c r="O307" s="283" t="str">
        <f>'H-Volatilization'!AV307</f>
        <v/>
      </c>
      <c r="P307" s="284" t="str">
        <f>'H-Volatilization'!AW307</f>
        <v/>
      </c>
      <c r="Q307" s="284" t="str">
        <f>'H-Volatilization'!AX307</f>
        <v/>
      </c>
      <c r="R307" s="285" t="str">
        <f>'H-Volatilization'!AY307</f>
        <v/>
      </c>
      <c r="S307" s="462"/>
      <c r="T307" s="345" t="str">
        <f>'H-Plant &amp; Animal'!L307</f>
        <v>Not Req.</v>
      </c>
      <c r="U307" s="346" t="str">
        <f>'H-Plant &amp; Animal'!M307</f>
        <v>Not Req.</v>
      </c>
      <c r="V307" s="794" t="str">
        <f>'H-Effluent'!O307</f>
        <v>---</v>
      </c>
      <c r="W307" s="797" t="str">
        <f>'H-Runoff'!Q307</f>
        <v>---</v>
      </c>
      <c r="X307" s="799" t="str">
        <f>'H-Runoff'!S307</f>
        <v>---</v>
      </c>
      <c r="Y307" s="794" t="str">
        <f>'H-Leachate'!N307</f>
        <v>NA</v>
      </c>
      <c r="Z307" s="797" t="str">
        <f>'H-Volatilization'!AD307</f>
        <v>NA</v>
      </c>
      <c r="AA307" s="798" t="str">
        <f>'H-Volatilization'!AF307</f>
        <v>NA</v>
      </c>
      <c r="AB307" s="798" t="str">
        <f>'H-Volatilization'!AO307</f>
        <v>NA</v>
      </c>
      <c r="AC307" s="799" t="str">
        <f>'H-Volatilization'!AU307</f>
        <v>NA</v>
      </c>
    </row>
    <row r="308" spans="1:29" x14ac:dyDescent="0.25">
      <c r="A308" s="60" t="s">
        <v>626</v>
      </c>
      <c r="B308" s="336" t="str">
        <f>IF(Start!$C$15="x",('H-Effluent'!B308),"---")</f>
        <v>---</v>
      </c>
      <c r="C308" s="337" t="str">
        <f>IF(Start!$C$16="x",'H-Runoff'!B308,"---")</f>
        <v>---</v>
      </c>
      <c r="D308" s="338" t="str">
        <f>IF(Start!$C$16="x",'H-Runoff'!C308,"---")</f>
        <v>---</v>
      </c>
      <c r="E308" s="868" t="str">
        <f>IF(Start!$C$17="x",'H-Leachate'!B308,"---")</f>
        <v/>
      </c>
      <c r="F308" s="340" t="str">
        <f>IF(Start!$C$18="x",('H-Volatilization'!B308),"---")</f>
        <v/>
      </c>
      <c r="G308" s="341" t="str">
        <f>IF(Start!$C$18="x",('H-Volatilization'!C308),"---")</f>
        <v/>
      </c>
      <c r="H308" s="341" t="str">
        <f>IF(Start!$C$18="x",('H-Volatilization'!D308),"---")</f>
        <v/>
      </c>
      <c r="I308" s="342" t="str">
        <f>IF(Start!$C$18="x",('H-Volatilization'!E308),"---")</f>
        <v/>
      </c>
      <c r="J308" s="339" t="str">
        <f>IF(Start!$C$19="x",'H-Plant &amp; Animal'!B308,"---")</f>
        <v>---</v>
      </c>
      <c r="K308" s="343" t="str">
        <f>'H-Effluent'!Q308</f>
        <v>Not Req.</v>
      </c>
      <c r="L308" s="286" t="str">
        <f>'H-Runoff'!T308</f>
        <v>Not Req.</v>
      </c>
      <c r="M308" s="344" t="str">
        <f>'H-Runoff'!U308</f>
        <v>Not Req.</v>
      </c>
      <c r="N308" s="343" t="str">
        <f>'H-Leachate'!O308</f>
        <v/>
      </c>
      <c r="O308" s="283" t="str">
        <f>'H-Volatilization'!AV308</f>
        <v/>
      </c>
      <c r="P308" s="284" t="str">
        <f>'H-Volatilization'!AW308</f>
        <v/>
      </c>
      <c r="Q308" s="284" t="str">
        <f>'H-Volatilization'!AX308</f>
        <v/>
      </c>
      <c r="R308" s="285" t="str">
        <f>'H-Volatilization'!AY308</f>
        <v/>
      </c>
      <c r="S308" s="462"/>
      <c r="T308" s="345" t="str">
        <f>'H-Plant &amp; Animal'!L308</f>
        <v>Not Req.</v>
      </c>
      <c r="U308" s="346" t="str">
        <f>'H-Plant &amp; Animal'!M308</f>
        <v>Not Req.</v>
      </c>
      <c r="V308" s="794" t="str">
        <f>'H-Effluent'!O308</f>
        <v>---</v>
      </c>
      <c r="W308" s="797" t="str">
        <f>'H-Runoff'!Q308</f>
        <v>---</v>
      </c>
      <c r="X308" s="799" t="str">
        <f>'H-Runoff'!S308</f>
        <v>---</v>
      </c>
      <c r="Y308" s="794" t="str">
        <f>'H-Leachate'!N308</f>
        <v>NA</v>
      </c>
      <c r="Z308" s="797" t="str">
        <f>'H-Volatilization'!AD308</f>
        <v>NA</v>
      </c>
      <c r="AA308" s="798" t="str">
        <f>'H-Volatilization'!AF308</f>
        <v>NA</v>
      </c>
      <c r="AB308" s="798" t="str">
        <f>'H-Volatilization'!AO308</f>
        <v>NA</v>
      </c>
      <c r="AC308" s="799" t="str">
        <f>'H-Volatilization'!AU308</f>
        <v>NA</v>
      </c>
    </row>
    <row r="309" spans="1:29" x14ac:dyDescent="0.25">
      <c r="A309" s="56" t="s">
        <v>627</v>
      </c>
      <c r="B309" s="336" t="str">
        <f>IF(Start!$C$15="x",('H-Effluent'!B309),"---")</f>
        <v>---</v>
      </c>
      <c r="C309" s="337" t="str">
        <f>IF(Start!$C$16="x",'H-Runoff'!B309,"---")</f>
        <v>---</v>
      </c>
      <c r="D309" s="338" t="str">
        <f>IF(Start!$C$16="x",'H-Runoff'!C309,"---")</f>
        <v>---</v>
      </c>
      <c r="E309" s="868" t="str">
        <f>IF(Start!$C$17="x",'H-Leachate'!B309,"---")</f>
        <v/>
      </c>
      <c r="F309" s="340" t="str">
        <f>IF(Start!$C$18="x",('H-Volatilization'!B309),"---")</f>
        <v/>
      </c>
      <c r="G309" s="341" t="str">
        <f>IF(Start!$C$18="x",('H-Volatilization'!C309),"---")</f>
        <v/>
      </c>
      <c r="H309" s="341" t="str">
        <f>IF(Start!$C$18="x",('H-Volatilization'!D309),"---")</f>
        <v/>
      </c>
      <c r="I309" s="342" t="str">
        <f>IF(Start!$C$18="x",('H-Volatilization'!E309),"---")</f>
        <v/>
      </c>
      <c r="J309" s="339" t="str">
        <f>IF(Start!$C$19="x",'H-Plant &amp; Animal'!B309,"---")</f>
        <v>---</v>
      </c>
      <c r="K309" s="343" t="str">
        <f>'H-Effluent'!Q309</f>
        <v>Not Req.</v>
      </c>
      <c r="L309" s="286" t="str">
        <f>'H-Runoff'!T309</f>
        <v>Not Req.</v>
      </c>
      <c r="M309" s="344" t="str">
        <f>'H-Runoff'!U309</f>
        <v>Not Req.</v>
      </c>
      <c r="N309" s="343" t="str">
        <f>'H-Leachate'!O309</f>
        <v/>
      </c>
      <c r="O309" s="283" t="str">
        <f>'H-Volatilization'!AV309</f>
        <v/>
      </c>
      <c r="P309" s="284" t="str">
        <f>'H-Volatilization'!AW309</f>
        <v/>
      </c>
      <c r="Q309" s="284" t="str">
        <f>'H-Volatilization'!AX309</f>
        <v/>
      </c>
      <c r="R309" s="285" t="str">
        <f>'H-Volatilization'!AY309</f>
        <v/>
      </c>
      <c r="S309" s="462"/>
      <c r="T309" s="345" t="str">
        <f>'H-Plant &amp; Animal'!L309</f>
        <v>Not Req.</v>
      </c>
      <c r="U309" s="346" t="str">
        <f>'H-Plant &amp; Animal'!M309</f>
        <v>Not Req.</v>
      </c>
      <c r="V309" s="794" t="str">
        <f>'H-Effluent'!O309</f>
        <v>---</v>
      </c>
      <c r="W309" s="797" t="str">
        <f>'H-Runoff'!Q309</f>
        <v>---</v>
      </c>
      <c r="X309" s="799" t="str">
        <f>'H-Runoff'!S309</f>
        <v>---</v>
      </c>
      <c r="Y309" s="794" t="str">
        <f>'H-Leachate'!N309</f>
        <v>NA</v>
      </c>
      <c r="Z309" s="797" t="str">
        <f>'H-Volatilization'!AD309</f>
        <v>NA</v>
      </c>
      <c r="AA309" s="798" t="str">
        <f>'H-Volatilization'!AF309</f>
        <v>NA</v>
      </c>
      <c r="AB309" s="798" t="str">
        <f>'H-Volatilization'!AO309</f>
        <v>NA</v>
      </c>
      <c r="AC309" s="799" t="str">
        <f>'H-Volatilization'!AU309</f>
        <v>NA</v>
      </c>
    </row>
    <row r="310" spans="1:29" ht="13.8" thickBot="1" x14ac:dyDescent="0.3">
      <c r="A310" s="195" t="s">
        <v>628</v>
      </c>
      <c r="B310" s="566" t="str">
        <f>IF(Start!$C$15="x",('H-Effluent'!B310),"---")</f>
        <v>---</v>
      </c>
      <c r="C310" s="564" t="str">
        <f>IF(Start!$C$16="x",'H-Runoff'!B310,"---")</f>
        <v>---</v>
      </c>
      <c r="D310" s="565" t="str">
        <f>IF(Start!$C$16="x",'H-Runoff'!C310,"---")</f>
        <v>---</v>
      </c>
      <c r="E310" s="869" t="str">
        <f>IF(Start!$C$17="x",'H-Leachate'!B310,"---")</f>
        <v>No-2</v>
      </c>
      <c r="F310" s="567" t="str">
        <f>IF(Start!$C$18="x",('H-Volatilization'!B310),"---")</f>
        <v>NA</v>
      </c>
      <c r="G310" s="568" t="str">
        <f>IF(Start!$C$18="x",('H-Volatilization'!C310),"---")</f>
        <v>NA</v>
      </c>
      <c r="H310" s="568" t="str">
        <f>IF(Start!$C$18="x",('H-Volatilization'!D310),"---")</f>
        <v>NA</v>
      </c>
      <c r="I310" s="569" t="str">
        <f>IF(Start!$C$18="x",('H-Volatilization'!E310),"---")</f>
        <v>NA</v>
      </c>
      <c r="J310" s="566" t="str">
        <f>IF(Start!$C$19="x",'H-Plant &amp; Animal'!B310,"---")</f>
        <v>---</v>
      </c>
      <c r="K310" s="518" t="str">
        <f>'H-Effluent'!Q310</f>
        <v>Not Req.</v>
      </c>
      <c r="L310" s="553" t="str">
        <f>'H-Runoff'!T310</f>
        <v>Not Req.</v>
      </c>
      <c r="M310" s="570" t="str">
        <f>'H-Runoff'!U310</f>
        <v>Not Req.</v>
      </c>
      <c r="N310" s="518">
        <f>'H-Leachate'!O310</f>
        <v>6.6025060982414361E-7</v>
      </c>
      <c r="O310" s="298" t="str">
        <f>'H-Volatilization'!AV310</f>
        <v>NA</v>
      </c>
      <c r="P310" s="299" t="str">
        <f>'H-Volatilization'!AW310</f>
        <v>NA</v>
      </c>
      <c r="Q310" s="299" t="str">
        <f>'H-Volatilization'!AX310</f>
        <v>NA</v>
      </c>
      <c r="R310" s="300" t="str">
        <f>'H-Volatilization'!AY310</f>
        <v>NA</v>
      </c>
      <c r="S310" s="551"/>
      <c r="T310" s="793" t="str">
        <f>'H-Plant &amp; Animal'!L310</f>
        <v>Not Req.</v>
      </c>
      <c r="U310" s="571" t="str">
        <f>'H-Plant &amp; Animal'!M310</f>
        <v>Not Req.</v>
      </c>
      <c r="V310" s="795" t="str">
        <f>'H-Effluent'!O310</f>
        <v>---</v>
      </c>
      <c r="W310" s="804" t="str">
        <f>'H-Runoff'!Q310</f>
        <v>---</v>
      </c>
      <c r="X310" s="806" t="str">
        <f>'H-Runoff'!S310</f>
        <v>---</v>
      </c>
      <c r="Y310" s="795">
        <f>'H-Leachate'!N310</f>
        <v>9.2435085375380108E-9</v>
      </c>
      <c r="Z310" s="804">
        <f>'H-Volatilization'!AD310</f>
        <v>5.2281344556094255E-7</v>
      </c>
      <c r="AA310" s="805">
        <f>'H-Volatilization'!AF310</f>
        <v>8.6305050939631664E-7</v>
      </c>
      <c r="AB310" s="805">
        <f>'H-Volatilization'!AO310</f>
        <v>2.6275027671326469E-6</v>
      </c>
      <c r="AC310" s="806">
        <f>'H-Volatilization'!AU310</f>
        <v>3.469945344165374E-6</v>
      </c>
    </row>
    <row r="311" spans="1:29" x14ac:dyDescent="0.25">
      <c r="A311" s="8"/>
      <c r="B311" s="31"/>
      <c r="C311" s="28"/>
      <c r="D311" s="28"/>
      <c r="K311" s="31"/>
      <c r="L311" s="31"/>
      <c r="M311" s="31"/>
      <c r="N311" s="8"/>
      <c r="O311" s="28"/>
      <c r="P311" s="28"/>
      <c r="Q311" s="28"/>
      <c r="R311" s="28"/>
    </row>
    <row r="312" spans="1:29" x14ac:dyDescent="0.25">
      <c r="A312" s="8"/>
      <c r="B312" s="31"/>
      <c r="C312" s="28"/>
      <c r="D312" s="28"/>
      <c r="K312" s="31"/>
      <c r="L312" s="31"/>
      <c r="M312" s="31"/>
      <c r="N312" s="8"/>
      <c r="O312" s="28"/>
      <c r="P312" s="28"/>
      <c r="Q312" s="28"/>
      <c r="R312" s="28"/>
    </row>
    <row r="313" spans="1:29" x14ac:dyDescent="0.25">
      <c r="A313" s="8"/>
      <c r="B313" s="31"/>
      <c r="K313" s="31"/>
      <c r="L313" s="31"/>
      <c r="M313" s="31"/>
      <c r="N313" s="8"/>
      <c r="O313" s="28"/>
      <c r="P313" s="28"/>
      <c r="Q313" s="28"/>
      <c r="R313" s="28"/>
    </row>
    <row r="314" spans="1:29" x14ac:dyDescent="0.25">
      <c r="A314" s="8"/>
      <c r="B314" s="31"/>
      <c r="K314" s="31"/>
      <c r="L314" s="31"/>
      <c r="M314" s="31"/>
      <c r="N314" s="8"/>
      <c r="O314" s="28"/>
      <c r="P314" s="28"/>
      <c r="Q314" s="28"/>
      <c r="R314" s="28"/>
    </row>
    <row r="315" spans="1:29" x14ac:dyDescent="0.25">
      <c r="A315" s="8"/>
      <c r="B315" s="31"/>
      <c r="K315" s="31"/>
      <c r="L315" s="31"/>
      <c r="M315" s="31"/>
      <c r="N315" s="8"/>
      <c r="O315" s="28"/>
      <c r="P315" s="28"/>
      <c r="Q315" s="28"/>
      <c r="R315" s="28"/>
    </row>
    <row r="316" spans="1:29" x14ac:dyDescent="0.25">
      <c r="A316" s="8"/>
      <c r="B316" s="31"/>
      <c r="K316" s="31"/>
      <c r="L316" s="31"/>
      <c r="M316" s="31"/>
      <c r="N316" s="8"/>
      <c r="O316" s="28"/>
      <c r="P316" s="28"/>
      <c r="Q316" s="28"/>
      <c r="R316" s="28"/>
    </row>
    <row r="317" spans="1:29" x14ac:dyDescent="0.25">
      <c r="A317" s="8"/>
      <c r="B317" s="31"/>
      <c r="K317" s="31"/>
      <c r="L317" s="31"/>
      <c r="M317" s="31"/>
      <c r="N317" s="8"/>
      <c r="O317" s="28"/>
      <c r="P317" s="28"/>
      <c r="Q317" s="28"/>
      <c r="R317" s="28"/>
    </row>
    <row r="318" spans="1:29" x14ac:dyDescent="0.25">
      <c r="A318" s="8"/>
      <c r="B318" s="31"/>
      <c r="K318" s="31"/>
      <c r="L318" s="31"/>
      <c r="M318" s="31"/>
      <c r="N318" s="8"/>
      <c r="O318" s="28"/>
      <c r="P318" s="28"/>
      <c r="Q318" s="28"/>
      <c r="R318" s="28"/>
    </row>
    <row r="319" spans="1:29" x14ac:dyDescent="0.25">
      <c r="A319" s="8"/>
      <c r="B319" s="31"/>
      <c r="K319" s="31"/>
      <c r="L319" s="31"/>
      <c r="M319" s="31"/>
      <c r="N319" s="8"/>
      <c r="O319" s="28"/>
      <c r="P319" s="28"/>
      <c r="Q319" s="28"/>
      <c r="R319" s="28"/>
    </row>
    <row r="320" spans="1:29" x14ac:dyDescent="0.25">
      <c r="A320" s="8"/>
      <c r="B320" s="31"/>
      <c r="K320" s="31"/>
      <c r="L320" s="31"/>
      <c r="M320" s="31"/>
      <c r="N320" s="8"/>
      <c r="O320" s="28"/>
      <c r="P320" s="28"/>
      <c r="Q320" s="28"/>
      <c r="R320" s="28"/>
    </row>
    <row r="321" spans="1:18" x14ac:dyDescent="0.25">
      <c r="A321" s="8"/>
      <c r="B321" s="31"/>
      <c r="K321" s="31"/>
      <c r="L321" s="31"/>
      <c r="M321" s="31"/>
      <c r="N321" s="8"/>
      <c r="O321" s="28"/>
      <c r="P321" s="28"/>
      <c r="Q321" s="28"/>
      <c r="R321" s="28"/>
    </row>
    <row r="322" spans="1:18" x14ac:dyDescent="0.25">
      <c r="A322" s="8"/>
      <c r="B322" s="31"/>
      <c r="K322" s="31"/>
      <c r="L322" s="31"/>
      <c r="M322" s="31"/>
      <c r="N322" s="8"/>
      <c r="O322" s="28"/>
      <c r="P322" s="28"/>
      <c r="Q322" s="28"/>
      <c r="R322" s="28"/>
    </row>
    <row r="323" spans="1:18" x14ac:dyDescent="0.25">
      <c r="A323" s="8"/>
      <c r="B323" s="31"/>
      <c r="K323" s="31"/>
      <c r="L323" s="31"/>
      <c r="M323" s="31"/>
      <c r="N323" s="8"/>
      <c r="O323" s="28"/>
      <c r="P323" s="28"/>
      <c r="Q323" s="28"/>
      <c r="R323" s="28"/>
    </row>
    <row r="324" spans="1:18" x14ac:dyDescent="0.25">
      <c r="A324" s="8"/>
      <c r="B324" s="31"/>
      <c r="K324" s="31"/>
      <c r="L324" s="31"/>
      <c r="M324" s="31"/>
      <c r="N324" s="8"/>
      <c r="O324" s="28"/>
      <c r="P324" s="28"/>
      <c r="Q324" s="28"/>
      <c r="R324" s="28"/>
    </row>
    <row r="325" spans="1:18" x14ac:dyDescent="0.25">
      <c r="A325" s="8"/>
      <c r="B325" s="31"/>
      <c r="K325" s="31"/>
      <c r="L325" s="31"/>
      <c r="M325" s="31"/>
      <c r="N325" s="8"/>
      <c r="O325" s="28"/>
      <c r="P325" s="28"/>
      <c r="Q325" s="28"/>
      <c r="R325" s="28"/>
    </row>
    <row r="326" spans="1:18" x14ac:dyDescent="0.25">
      <c r="A326" s="8"/>
      <c r="B326" s="31"/>
      <c r="K326" s="31"/>
      <c r="L326" s="31"/>
      <c r="M326" s="31"/>
      <c r="N326" s="8"/>
      <c r="O326" s="28"/>
      <c r="P326" s="28"/>
      <c r="Q326" s="28"/>
      <c r="R326" s="28"/>
    </row>
    <row r="327" spans="1:18" x14ac:dyDescent="0.25">
      <c r="A327" s="8"/>
      <c r="B327" s="31"/>
      <c r="K327" s="31"/>
      <c r="L327" s="31"/>
      <c r="M327" s="31"/>
      <c r="N327" s="8"/>
      <c r="O327" s="28"/>
      <c r="P327" s="28"/>
      <c r="Q327" s="28"/>
      <c r="R327" s="28"/>
    </row>
    <row r="328" spans="1:18" x14ac:dyDescent="0.25">
      <c r="A328" s="8"/>
      <c r="B328" s="31"/>
      <c r="K328" s="31"/>
      <c r="L328" s="31"/>
      <c r="M328" s="31"/>
      <c r="N328" s="8"/>
      <c r="O328" s="28"/>
      <c r="P328" s="28"/>
      <c r="Q328" s="28"/>
      <c r="R328" s="28"/>
    </row>
    <row r="329" spans="1:18" x14ac:dyDescent="0.25">
      <c r="A329" s="8"/>
      <c r="B329" s="31"/>
      <c r="K329" s="31"/>
      <c r="L329" s="31"/>
      <c r="M329" s="31"/>
      <c r="N329" s="8"/>
      <c r="O329" s="28"/>
      <c r="P329" s="28"/>
      <c r="Q329" s="28"/>
      <c r="R329" s="28"/>
    </row>
    <row r="330" spans="1:18" x14ac:dyDescent="0.25">
      <c r="A330" s="8"/>
      <c r="B330" s="31"/>
      <c r="K330" s="31"/>
      <c r="L330" s="31"/>
      <c r="M330" s="31"/>
      <c r="N330" s="8"/>
      <c r="O330" s="28"/>
      <c r="P330" s="28"/>
      <c r="Q330" s="28"/>
      <c r="R330" s="28"/>
    </row>
    <row r="331" spans="1:18" x14ac:dyDescent="0.25">
      <c r="A331" s="8"/>
      <c r="B331" s="31"/>
      <c r="K331" s="31"/>
      <c r="L331" s="31"/>
      <c r="M331" s="31"/>
      <c r="N331" s="8"/>
      <c r="O331" s="28"/>
      <c r="P331" s="28"/>
      <c r="Q331" s="28"/>
      <c r="R331" s="28"/>
    </row>
    <row r="332" spans="1:18" x14ac:dyDescent="0.25">
      <c r="A332" s="8"/>
      <c r="B332" s="31"/>
      <c r="K332" s="31"/>
      <c r="L332" s="31"/>
      <c r="M332" s="31"/>
      <c r="N332" s="8"/>
      <c r="O332" s="28"/>
      <c r="P332" s="28"/>
      <c r="Q332" s="28"/>
      <c r="R332" s="28"/>
    </row>
    <row r="333" spans="1:18" x14ac:dyDescent="0.25">
      <c r="A333" s="8"/>
      <c r="B333" s="31"/>
      <c r="K333" s="31"/>
      <c r="L333" s="31"/>
      <c r="M333" s="31"/>
      <c r="N333" s="8"/>
      <c r="O333" s="28"/>
      <c r="P333" s="28"/>
      <c r="Q333" s="28"/>
      <c r="R333" s="28"/>
    </row>
    <row r="334" spans="1:18" x14ac:dyDescent="0.25">
      <c r="A334" s="8"/>
      <c r="B334" s="31"/>
      <c r="K334" s="31"/>
      <c r="L334" s="31"/>
      <c r="M334" s="31"/>
      <c r="N334" s="8"/>
      <c r="O334" s="28"/>
      <c r="P334" s="28"/>
      <c r="Q334" s="28"/>
      <c r="R334" s="28"/>
    </row>
    <row r="335" spans="1:18" x14ac:dyDescent="0.25">
      <c r="A335" s="8"/>
      <c r="B335" s="31"/>
      <c r="K335" s="31"/>
      <c r="L335" s="31"/>
      <c r="M335" s="31"/>
      <c r="N335" s="8"/>
      <c r="O335" s="28"/>
      <c r="P335" s="28"/>
      <c r="Q335" s="28"/>
      <c r="R335" s="28"/>
    </row>
    <row r="336" spans="1:18" x14ac:dyDescent="0.25">
      <c r="A336" s="8"/>
      <c r="B336" s="31"/>
      <c r="K336" s="31"/>
      <c r="L336" s="31"/>
      <c r="M336" s="31"/>
      <c r="N336" s="8"/>
      <c r="O336" s="28"/>
      <c r="P336" s="28"/>
      <c r="Q336" s="28"/>
      <c r="R336" s="28"/>
    </row>
    <row r="337" spans="1:18" x14ac:dyDescent="0.25">
      <c r="A337" s="8"/>
      <c r="B337" s="31"/>
      <c r="K337" s="31"/>
      <c r="L337" s="31"/>
      <c r="M337" s="31"/>
      <c r="N337" s="8"/>
      <c r="O337" s="28"/>
      <c r="P337" s="28"/>
      <c r="Q337" s="28"/>
      <c r="R337" s="28"/>
    </row>
    <row r="338" spans="1:18" x14ac:dyDescent="0.25">
      <c r="A338" s="8"/>
      <c r="B338" s="31"/>
      <c r="K338" s="31"/>
      <c r="L338" s="31"/>
      <c r="M338" s="31"/>
      <c r="N338" s="8"/>
      <c r="O338" s="28"/>
      <c r="P338" s="28"/>
      <c r="Q338" s="28"/>
      <c r="R338" s="28"/>
    </row>
    <row r="339" spans="1:18" x14ac:dyDescent="0.25">
      <c r="A339" s="8"/>
      <c r="B339" s="31"/>
      <c r="K339" s="31"/>
      <c r="L339" s="31"/>
      <c r="M339" s="31"/>
      <c r="N339" s="8"/>
      <c r="O339" s="28"/>
      <c r="P339" s="28"/>
      <c r="Q339" s="28"/>
      <c r="R339" s="28"/>
    </row>
    <row r="340" spans="1:18" x14ac:dyDescent="0.25">
      <c r="A340" s="8"/>
      <c r="B340" s="31"/>
      <c r="K340" s="31"/>
      <c r="L340" s="31"/>
      <c r="M340" s="31"/>
      <c r="N340" s="8"/>
      <c r="O340" s="28"/>
      <c r="P340" s="28"/>
      <c r="Q340" s="28"/>
      <c r="R340" s="28"/>
    </row>
    <row r="341" spans="1:18" x14ac:dyDescent="0.25">
      <c r="A341" s="8"/>
      <c r="B341" s="31"/>
      <c r="K341" s="31"/>
      <c r="L341" s="31"/>
      <c r="M341" s="31"/>
      <c r="N341" s="8"/>
      <c r="O341" s="28"/>
      <c r="P341" s="28"/>
      <c r="Q341" s="28"/>
      <c r="R341" s="28"/>
    </row>
    <row r="342" spans="1:18" x14ac:dyDescent="0.25">
      <c r="A342" s="8"/>
      <c r="B342" s="31"/>
      <c r="K342" s="31"/>
      <c r="L342" s="31"/>
      <c r="M342" s="31"/>
      <c r="N342" s="8"/>
      <c r="O342" s="28"/>
      <c r="P342" s="28"/>
      <c r="Q342" s="28"/>
      <c r="R342" s="28"/>
    </row>
    <row r="343" spans="1:18" x14ac:dyDescent="0.25">
      <c r="A343" s="8"/>
      <c r="B343" s="31"/>
      <c r="K343" s="31"/>
      <c r="L343" s="31"/>
      <c r="M343" s="31"/>
      <c r="N343" s="8"/>
      <c r="O343" s="28"/>
      <c r="P343" s="28"/>
      <c r="Q343" s="28"/>
      <c r="R343" s="28"/>
    </row>
    <row r="344" spans="1:18" x14ac:dyDescent="0.25">
      <c r="A344" s="8"/>
      <c r="B344" s="31"/>
      <c r="K344" s="31"/>
      <c r="L344" s="31"/>
      <c r="M344" s="31"/>
      <c r="N344" s="8"/>
      <c r="O344" s="28"/>
      <c r="P344" s="28"/>
      <c r="Q344" s="28"/>
      <c r="R344" s="28"/>
    </row>
    <row r="345" spans="1:18" x14ac:dyDescent="0.25">
      <c r="A345" s="8"/>
      <c r="B345" s="31"/>
      <c r="K345" s="31"/>
      <c r="L345" s="31"/>
      <c r="M345" s="31"/>
      <c r="N345" s="8"/>
      <c r="O345" s="28"/>
      <c r="P345" s="28"/>
      <c r="Q345" s="28"/>
      <c r="R345" s="28"/>
    </row>
    <row r="346" spans="1:18" x14ac:dyDescent="0.25">
      <c r="A346" s="8"/>
      <c r="B346" s="31"/>
      <c r="K346" s="31"/>
      <c r="L346" s="31"/>
      <c r="M346" s="31"/>
      <c r="N346" s="8"/>
      <c r="O346" s="28"/>
      <c r="P346" s="28"/>
      <c r="Q346" s="28"/>
      <c r="R346" s="28"/>
    </row>
    <row r="347" spans="1:18" x14ac:dyDescent="0.25">
      <c r="A347" s="8"/>
      <c r="B347" s="31"/>
      <c r="K347" s="31"/>
      <c r="L347" s="31"/>
      <c r="M347" s="31"/>
      <c r="N347" s="8"/>
      <c r="O347" s="28"/>
      <c r="P347" s="28"/>
      <c r="Q347" s="28"/>
      <c r="R347" s="28"/>
    </row>
    <row r="348" spans="1:18" x14ac:dyDescent="0.25">
      <c r="A348" s="8"/>
      <c r="B348" s="31"/>
      <c r="K348" s="31"/>
      <c r="L348" s="31"/>
      <c r="M348" s="31"/>
      <c r="N348" s="8"/>
      <c r="O348" s="28"/>
      <c r="P348" s="28"/>
      <c r="Q348" s="28"/>
      <c r="R348" s="28"/>
    </row>
    <row r="349" spans="1:18" x14ac:dyDescent="0.25">
      <c r="A349" s="8"/>
      <c r="B349" s="31"/>
      <c r="K349" s="31"/>
      <c r="L349" s="31"/>
      <c r="M349" s="31"/>
      <c r="N349" s="8"/>
      <c r="O349" s="28"/>
      <c r="P349" s="28"/>
      <c r="Q349" s="28"/>
      <c r="R349" s="28"/>
    </row>
    <row r="350" spans="1:18" x14ac:dyDescent="0.25">
      <c r="A350" s="8"/>
      <c r="B350" s="31"/>
      <c r="K350" s="31"/>
      <c r="L350" s="31"/>
      <c r="M350" s="31"/>
      <c r="N350" s="8"/>
      <c r="O350" s="28"/>
      <c r="P350" s="28"/>
      <c r="Q350" s="28"/>
      <c r="R350" s="28"/>
    </row>
    <row r="351" spans="1:18" x14ac:dyDescent="0.25">
      <c r="A351" s="8"/>
      <c r="B351" s="31"/>
      <c r="K351" s="31"/>
      <c r="L351" s="31"/>
      <c r="M351" s="31"/>
      <c r="N351" s="8"/>
      <c r="O351" s="28"/>
      <c r="P351" s="28"/>
      <c r="Q351" s="28"/>
      <c r="R351" s="28"/>
    </row>
    <row r="352" spans="1:18" x14ac:dyDescent="0.25">
      <c r="A352" s="8"/>
      <c r="B352" s="31"/>
      <c r="K352" s="31"/>
      <c r="L352" s="31"/>
      <c r="M352" s="31"/>
      <c r="N352" s="8"/>
      <c r="O352" s="28"/>
      <c r="P352" s="28"/>
      <c r="Q352" s="28"/>
      <c r="R352" s="28"/>
    </row>
    <row r="353" spans="1:18" x14ac:dyDescent="0.25">
      <c r="A353" s="8"/>
      <c r="B353" s="31"/>
      <c r="K353" s="31"/>
      <c r="L353" s="31"/>
      <c r="M353" s="31"/>
      <c r="N353" s="8"/>
      <c r="O353" s="28"/>
      <c r="P353" s="28"/>
      <c r="Q353" s="28"/>
      <c r="R353" s="28"/>
    </row>
    <row r="354" spans="1:18" x14ac:dyDescent="0.25">
      <c r="A354" s="8"/>
      <c r="B354" s="31"/>
      <c r="K354" s="31"/>
      <c r="L354" s="31"/>
      <c r="M354" s="31"/>
      <c r="N354" s="8"/>
      <c r="O354" s="28"/>
      <c r="P354" s="28"/>
      <c r="Q354" s="28"/>
      <c r="R354" s="28"/>
    </row>
    <row r="355" spans="1:18" x14ac:dyDescent="0.25">
      <c r="A355" s="8"/>
      <c r="B355" s="31"/>
      <c r="K355" s="31"/>
      <c r="L355" s="31"/>
      <c r="M355" s="31"/>
      <c r="N355" s="8"/>
      <c r="O355" s="28"/>
      <c r="P355" s="28"/>
      <c r="Q355" s="28"/>
      <c r="R355" s="28"/>
    </row>
    <row r="356" spans="1:18" x14ac:dyDescent="0.25">
      <c r="A356" s="8"/>
      <c r="B356" s="31"/>
      <c r="K356" s="31"/>
      <c r="L356" s="31"/>
      <c r="M356" s="31"/>
      <c r="N356" s="8"/>
      <c r="O356" s="28"/>
      <c r="P356" s="28"/>
      <c r="Q356" s="28"/>
      <c r="R356" s="28"/>
    </row>
    <row r="357" spans="1:18" x14ac:dyDescent="0.25">
      <c r="A357" s="8"/>
      <c r="B357" s="31"/>
      <c r="K357" s="31"/>
      <c r="L357" s="31"/>
      <c r="M357" s="31"/>
      <c r="N357" s="8"/>
      <c r="O357" s="28"/>
      <c r="P357" s="28"/>
      <c r="Q357" s="28"/>
      <c r="R357" s="28"/>
    </row>
    <row r="358" spans="1:18" x14ac:dyDescent="0.25">
      <c r="A358" s="8"/>
      <c r="B358" s="31"/>
      <c r="K358" s="31"/>
      <c r="L358" s="31"/>
      <c r="M358" s="31"/>
      <c r="N358" s="8"/>
      <c r="O358" s="28"/>
      <c r="P358" s="28"/>
      <c r="Q358" s="28"/>
      <c r="R358" s="28"/>
    </row>
    <row r="359" spans="1:18" x14ac:dyDescent="0.25">
      <c r="A359" s="8"/>
      <c r="B359" s="31"/>
      <c r="K359" s="31"/>
      <c r="L359" s="31"/>
      <c r="M359" s="31"/>
      <c r="N359" s="8"/>
      <c r="O359" s="28"/>
      <c r="P359" s="28"/>
      <c r="Q359" s="28"/>
      <c r="R359" s="28"/>
    </row>
    <row r="360" spans="1:18" x14ac:dyDescent="0.25">
      <c r="A360" s="8"/>
      <c r="B360" s="31"/>
      <c r="K360" s="31"/>
      <c r="L360" s="31"/>
      <c r="M360" s="31"/>
      <c r="N360" s="8"/>
      <c r="O360" s="28"/>
      <c r="P360" s="28"/>
      <c r="Q360" s="28"/>
      <c r="R360" s="28"/>
    </row>
    <row r="361" spans="1:18" x14ac:dyDescent="0.25">
      <c r="A361" s="8"/>
      <c r="B361" s="31"/>
      <c r="K361" s="31"/>
      <c r="L361" s="31"/>
      <c r="M361" s="31"/>
      <c r="N361" s="8"/>
      <c r="O361" s="28"/>
      <c r="P361" s="28"/>
      <c r="Q361" s="28"/>
      <c r="R361" s="28"/>
    </row>
    <row r="362" spans="1:18" x14ac:dyDescent="0.25">
      <c r="A362" s="8"/>
      <c r="B362" s="31"/>
      <c r="K362" s="31"/>
      <c r="L362" s="31"/>
      <c r="M362" s="31"/>
      <c r="N362" s="8"/>
      <c r="O362" s="28"/>
      <c r="P362" s="28"/>
      <c r="Q362" s="28"/>
      <c r="R362" s="28"/>
    </row>
    <row r="363" spans="1:18" x14ac:dyDescent="0.25">
      <c r="A363" s="8"/>
      <c r="B363" s="31"/>
      <c r="K363" s="31"/>
      <c r="L363" s="31"/>
      <c r="M363" s="31"/>
      <c r="N363" s="8"/>
      <c r="O363" s="28"/>
      <c r="P363" s="28"/>
      <c r="Q363" s="28"/>
      <c r="R363" s="28"/>
    </row>
    <row r="364" spans="1:18" x14ac:dyDescent="0.25">
      <c r="A364" s="8"/>
      <c r="B364" s="31"/>
      <c r="K364" s="31"/>
      <c r="L364" s="31"/>
      <c r="M364" s="31"/>
      <c r="N364" s="8"/>
      <c r="O364" s="28"/>
      <c r="P364" s="28"/>
      <c r="Q364" s="28"/>
      <c r="R364" s="28"/>
    </row>
    <row r="365" spans="1:18" x14ac:dyDescent="0.25">
      <c r="A365" s="8"/>
      <c r="B365" s="31"/>
      <c r="K365" s="31"/>
      <c r="L365" s="31"/>
      <c r="M365" s="31"/>
      <c r="N365" s="8"/>
      <c r="O365" s="28"/>
      <c r="P365" s="28"/>
      <c r="Q365" s="28"/>
      <c r="R365" s="28"/>
    </row>
    <row r="366" spans="1:18" x14ac:dyDescent="0.25">
      <c r="A366" s="8"/>
      <c r="B366" s="31"/>
      <c r="K366" s="31"/>
      <c r="L366" s="31"/>
      <c r="M366" s="31"/>
      <c r="N366" s="8"/>
      <c r="O366" s="28"/>
      <c r="P366" s="28"/>
      <c r="Q366" s="28"/>
      <c r="R366" s="28"/>
    </row>
    <row r="367" spans="1:18" x14ac:dyDescent="0.25">
      <c r="A367" s="8"/>
      <c r="B367" s="31"/>
      <c r="K367" s="31"/>
      <c r="L367" s="31"/>
      <c r="M367" s="31"/>
      <c r="N367" s="8"/>
      <c r="O367" s="28"/>
      <c r="P367" s="28"/>
      <c r="Q367" s="28"/>
      <c r="R367" s="28"/>
    </row>
    <row r="368" spans="1:18" x14ac:dyDescent="0.25">
      <c r="A368" s="8"/>
      <c r="B368" s="31"/>
      <c r="K368" s="31"/>
      <c r="L368" s="31"/>
      <c r="M368" s="31"/>
      <c r="N368" s="8"/>
      <c r="O368" s="28"/>
      <c r="P368" s="28"/>
      <c r="Q368" s="28"/>
      <c r="R368" s="28"/>
    </row>
    <row r="369" spans="1:18" x14ac:dyDescent="0.25">
      <c r="A369" s="8"/>
      <c r="B369" s="31"/>
      <c r="K369" s="31"/>
      <c r="L369" s="31"/>
      <c r="M369" s="31"/>
      <c r="N369" s="8"/>
      <c r="O369" s="28"/>
      <c r="P369" s="28"/>
      <c r="Q369" s="28"/>
      <c r="R369" s="28"/>
    </row>
    <row r="370" spans="1:18" x14ac:dyDescent="0.25">
      <c r="A370" s="8"/>
      <c r="B370" s="31"/>
      <c r="K370" s="31"/>
      <c r="L370" s="31"/>
      <c r="M370" s="31"/>
      <c r="N370" s="8"/>
      <c r="O370" s="28"/>
      <c r="P370" s="28"/>
      <c r="Q370" s="28"/>
      <c r="R370" s="28"/>
    </row>
    <row r="371" spans="1:18" x14ac:dyDescent="0.25">
      <c r="A371" s="8"/>
      <c r="B371" s="31"/>
      <c r="K371" s="31"/>
      <c r="L371" s="31"/>
      <c r="M371" s="31"/>
      <c r="N371" s="8"/>
      <c r="O371" s="28"/>
      <c r="P371" s="28"/>
      <c r="Q371" s="28"/>
      <c r="R371" s="28"/>
    </row>
    <row r="372" spans="1:18" x14ac:dyDescent="0.25">
      <c r="A372" s="8"/>
      <c r="B372" s="31"/>
      <c r="K372" s="31"/>
      <c r="L372" s="31"/>
      <c r="M372" s="31"/>
      <c r="N372" s="8"/>
      <c r="O372" s="28"/>
      <c r="P372" s="28"/>
      <c r="Q372" s="28"/>
      <c r="R372" s="28"/>
    </row>
    <row r="373" spans="1:18" x14ac:dyDescent="0.25">
      <c r="A373" s="8"/>
      <c r="B373" s="31"/>
      <c r="K373" s="31"/>
      <c r="L373" s="31"/>
      <c r="M373" s="31"/>
      <c r="N373" s="8"/>
      <c r="O373" s="28"/>
      <c r="P373" s="28"/>
      <c r="Q373" s="28"/>
      <c r="R373" s="28"/>
    </row>
    <row r="374" spans="1:18" x14ac:dyDescent="0.25">
      <c r="A374" s="8"/>
      <c r="B374" s="31"/>
      <c r="K374" s="31"/>
      <c r="L374" s="31"/>
      <c r="M374" s="31"/>
      <c r="N374" s="8"/>
      <c r="O374" s="28"/>
      <c r="P374" s="28"/>
      <c r="Q374" s="28"/>
      <c r="R374" s="28"/>
    </row>
    <row r="375" spans="1:18" x14ac:dyDescent="0.25">
      <c r="A375" s="8"/>
      <c r="B375" s="31"/>
      <c r="K375" s="31"/>
      <c r="L375" s="31"/>
      <c r="M375" s="31"/>
      <c r="N375" s="8"/>
      <c r="O375" s="28"/>
      <c r="P375" s="28"/>
      <c r="Q375" s="28"/>
      <c r="R375" s="28"/>
    </row>
    <row r="376" spans="1:18" x14ac:dyDescent="0.25">
      <c r="A376" s="8"/>
      <c r="B376" s="31"/>
      <c r="K376" s="31"/>
      <c r="L376" s="31"/>
      <c r="M376" s="31"/>
      <c r="N376" s="8"/>
      <c r="O376" s="28"/>
      <c r="P376" s="28"/>
      <c r="Q376" s="28"/>
      <c r="R376" s="28"/>
    </row>
    <row r="377" spans="1:18" x14ac:dyDescent="0.25">
      <c r="A377" s="8"/>
      <c r="B377" s="31"/>
      <c r="K377" s="31"/>
      <c r="L377" s="31"/>
      <c r="M377" s="31"/>
      <c r="N377" s="8"/>
      <c r="O377" s="28"/>
      <c r="P377" s="28"/>
      <c r="Q377" s="28"/>
      <c r="R377" s="28"/>
    </row>
    <row r="378" spans="1:18" x14ac:dyDescent="0.25">
      <c r="A378" s="8"/>
      <c r="B378" s="31"/>
      <c r="K378" s="31"/>
      <c r="L378" s="31"/>
      <c r="M378" s="31"/>
      <c r="N378" s="8"/>
      <c r="O378" s="28"/>
      <c r="P378" s="28"/>
      <c r="Q378" s="28"/>
      <c r="R378" s="28"/>
    </row>
    <row r="379" spans="1:18" x14ac:dyDescent="0.25">
      <c r="A379" s="8"/>
      <c r="B379" s="31"/>
      <c r="K379" s="31"/>
      <c r="L379" s="31"/>
      <c r="M379" s="31"/>
      <c r="N379" s="8"/>
      <c r="O379" s="28"/>
      <c r="P379" s="28"/>
      <c r="Q379" s="28"/>
      <c r="R379" s="28"/>
    </row>
    <row r="380" spans="1:18" x14ac:dyDescent="0.25">
      <c r="A380" s="8"/>
      <c r="B380" s="31"/>
      <c r="K380" s="31"/>
      <c r="L380" s="31"/>
      <c r="M380" s="31"/>
      <c r="N380" s="8"/>
      <c r="O380" s="28"/>
      <c r="P380" s="28"/>
      <c r="Q380" s="28"/>
      <c r="R380" s="28"/>
    </row>
    <row r="381" spans="1:18" x14ac:dyDescent="0.25">
      <c r="A381" s="8"/>
      <c r="B381" s="31"/>
      <c r="K381" s="31"/>
      <c r="L381" s="31"/>
      <c r="M381" s="31"/>
      <c r="N381" s="8"/>
      <c r="O381" s="28"/>
      <c r="P381" s="28"/>
      <c r="Q381" s="28"/>
      <c r="R381" s="28"/>
    </row>
    <row r="382" spans="1:18" x14ac:dyDescent="0.25">
      <c r="A382" s="8"/>
      <c r="B382" s="31"/>
      <c r="K382" s="31"/>
      <c r="L382" s="31"/>
      <c r="M382" s="31"/>
      <c r="N382" s="8"/>
      <c r="O382" s="28"/>
      <c r="P382" s="28"/>
      <c r="Q382" s="28"/>
      <c r="R382" s="28"/>
    </row>
    <row r="383" spans="1:18" x14ac:dyDescent="0.25">
      <c r="A383" s="8"/>
      <c r="B383" s="31"/>
      <c r="K383" s="31"/>
      <c r="L383" s="31"/>
      <c r="M383" s="31"/>
      <c r="N383" s="8"/>
      <c r="O383" s="28"/>
      <c r="P383" s="28"/>
      <c r="Q383" s="28"/>
      <c r="R383" s="28"/>
    </row>
    <row r="384" spans="1:18" x14ac:dyDescent="0.25">
      <c r="A384" s="8"/>
      <c r="B384" s="31"/>
      <c r="K384" s="31"/>
      <c r="L384" s="31"/>
      <c r="M384" s="31"/>
      <c r="N384" s="8"/>
      <c r="O384" s="28"/>
      <c r="P384" s="28"/>
      <c r="Q384" s="28"/>
      <c r="R384" s="28"/>
    </row>
    <row r="385" spans="1:18" x14ac:dyDescent="0.25">
      <c r="A385" s="8"/>
      <c r="B385" s="31"/>
      <c r="K385" s="31"/>
      <c r="L385" s="31"/>
      <c r="M385" s="31"/>
      <c r="N385" s="8"/>
      <c r="O385" s="28"/>
      <c r="P385" s="28"/>
      <c r="Q385" s="28"/>
      <c r="R385" s="28"/>
    </row>
  </sheetData>
  <mergeCells count="20">
    <mergeCell ref="Z7:AA7"/>
    <mergeCell ref="AB7:AC7"/>
    <mergeCell ref="W5:X6"/>
    <mergeCell ref="W7:W8"/>
    <mergeCell ref="X7:X8"/>
    <mergeCell ref="C5:D5"/>
    <mergeCell ref="K3:U3"/>
    <mergeCell ref="B3:J3"/>
    <mergeCell ref="V3:AC4"/>
    <mergeCell ref="Y5:Y6"/>
    <mergeCell ref="V5:V6"/>
    <mergeCell ref="F6:G6"/>
    <mergeCell ref="H6:I6"/>
    <mergeCell ref="Q5:R5"/>
    <mergeCell ref="S4:U4"/>
    <mergeCell ref="O5:P5"/>
    <mergeCell ref="O4:R4"/>
    <mergeCell ref="F5:I5"/>
    <mergeCell ref="L4:M4"/>
    <mergeCell ref="Z5:AC6"/>
  </mergeCells>
  <phoneticPr fontId="2" type="noConversion"/>
  <conditionalFormatting sqref="B10 B44 B49 B245 B276 B311:B316 B318 B324:B332 B334:B337 B340:B438">
    <cfRule type="cellIs" dxfId="76" priority="6" stopIfTrue="1" operator="equal">
      <formula>"Caution"</formula>
    </cfRule>
  </conditionalFormatting>
  <conditionalFormatting sqref="B11:B37 B39:B43 B45:B48 B50:B82 B84:B140 B142:B193 B195:B203 B205:B244 B246:B275 B277:B310">
    <cfRule type="expression" dxfId="75" priority="21" stopIfTrue="1">
      <formula>OR(B11="Needed",B11="No Criteria")</formula>
    </cfRule>
    <cfRule type="cellIs" dxfId="74" priority="22" stopIfTrue="1" operator="equal">
      <formula>"Caution"</formula>
    </cfRule>
  </conditionalFormatting>
  <conditionalFormatting sqref="B11:D37 B39:D43 B45:D48 B50:D82 B84:D140 B142:D193 B195:D203 B205:D244 B246:D275 B277:D310">
    <cfRule type="cellIs" dxfId="73" priority="15" stopIfTrue="1" operator="equal">
      <formula>"No"</formula>
    </cfRule>
  </conditionalFormatting>
  <conditionalFormatting sqref="B10:E10 B44:E44 B49:E49 B245:E245 B276:E276 B311:E316 B318:J318 B324:J332 B334:J337 B340:J438">
    <cfRule type="cellIs" dxfId="72" priority="4" stopIfTrue="1" operator="equal">
      <formula>"No"</formula>
    </cfRule>
    <cfRule type="cellIs" dxfId="71" priority="5" stopIfTrue="1" operator="equal">
      <formula>"Needed"</formula>
    </cfRule>
  </conditionalFormatting>
  <conditionalFormatting sqref="B1:J2 D4 C4:C5 G4:G5 I4:I5 B4:B9 E4:F9 H4:H9 J4:J9 C6:D9 G7:G9 I7:I9 B439:J65536">
    <cfRule type="cellIs" dxfId="70" priority="1" stopIfTrue="1" operator="equal">
      <formula>"NA"</formula>
    </cfRule>
    <cfRule type="cellIs" dxfId="69" priority="2" stopIfTrue="1" operator="equal">
      <formula>"Needed"</formula>
    </cfRule>
  </conditionalFormatting>
  <conditionalFormatting sqref="C6:D6">
    <cfRule type="cellIs" dxfId="68" priority="28" stopIfTrue="1" operator="equal">
      <formula>"Unoxidized"</formula>
    </cfRule>
  </conditionalFormatting>
  <conditionalFormatting sqref="C11:D37 C39:D43 C45:D48 C50:D82 C84:D140 C142:D193 C195:D203 C205:D244 C246:D275 C277:D310">
    <cfRule type="cellIs" dxfId="67" priority="16" stopIfTrue="1" operator="equal">
      <formula>"Needed"</formula>
    </cfRule>
    <cfRule type="cellIs" dxfId="66" priority="17" stopIfTrue="1" operator="equal">
      <formula>"No Criteria"</formula>
    </cfRule>
  </conditionalFormatting>
  <conditionalFormatting sqref="E11:E37 E39:E43 E45:E48 E50:E82 E84:E140 E142:E193 E195:E203 E205:E244 E246:E275 E277:E310">
    <cfRule type="expression" dxfId="65" priority="23" stopIfTrue="1">
      <formula>OR(E11="Needed",E11="No-3")</formula>
    </cfRule>
    <cfRule type="cellIs" dxfId="64" priority="24" stopIfTrue="1" operator="equal">
      <formula>"No-2"</formula>
    </cfRule>
    <cfRule type="cellIs" dxfId="63" priority="25" stopIfTrue="1" operator="equal">
      <formula>"No-1"</formula>
    </cfRule>
  </conditionalFormatting>
  <conditionalFormatting sqref="F10:I82 C38:D38 F84:J140 F142:J193 F195:J203 F205:J316">
    <cfRule type="cellIs" dxfId="62" priority="7" stopIfTrue="1" operator="equal">
      <formula>"No"</formula>
    </cfRule>
    <cfRule type="cellIs" dxfId="61" priority="8" stopIfTrue="1" operator="equal">
      <formula>"Needed"</formula>
    </cfRule>
  </conditionalFormatting>
  <conditionalFormatting sqref="J10:J37 J39:J82 J84:J140 J142:J193 J195:J203 J205:J316 J318 J324:J332 J334:J337 J340:J438">
    <cfRule type="cellIs" dxfId="60" priority="11" stopIfTrue="1" operator="equal">
      <formula>"No Criteria"</formula>
    </cfRule>
  </conditionalFormatting>
  <conditionalFormatting sqref="J10:J37 J39:J82">
    <cfRule type="cellIs" dxfId="59" priority="9" stopIfTrue="1" operator="equal">
      <formula>"No"</formula>
    </cfRule>
    <cfRule type="cellIs" dxfId="58" priority="10" stopIfTrue="1" operator="equal">
      <formula>"Needed"</formula>
    </cfRule>
  </conditionalFormatting>
  <conditionalFormatting sqref="S10 B38 E38 J38:K38 N38 S38:S43 K44 N44 S45:S48 K49 N49 S50:S65 S68:S82 S84:S140 S142:S193 S195:S203 S205:S244 K245 N245 S246:S275 K276 N276 S277:S316 S318 S324:S332 S334:S337 S340:S438">
    <cfRule type="cellIs" dxfId="57" priority="12" stopIfTrue="1" operator="equal">
      <formula>0</formula>
    </cfRule>
  </conditionalFormatting>
  <conditionalFormatting sqref="S11:T37 T84:T140 T142:T193 T195:T203 T39:T43 T45:T48 T50:T82 T205:T244 T246:T275 T277:T310">
    <cfRule type="cellIs" dxfId="56" priority="19" stopIfTrue="1" operator="equal">
      <formula>"No Criteria"</formula>
    </cfRule>
  </conditionalFormatting>
  <conditionalFormatting sqref="S11:T37">
    <cfRule type="cellIs" dxfId="55" priority="18" stopIfTrue="1" operator="equal">
      <formula>"NA"</formula>
    </cfRule>
  </conditionalFormatting>
  <conditionalFormatting sqref="T10 V10:Z10 K10:R37 V11:AC37 L38:M38 O38:R38 V38:Z38 T38:T82 K39:R43 V39:AC43 L44:M44 O44:R44 V44:Z44 K45:R48 V45:AC48 V49:Z49 L49:M82 O49:R82 K50:K82 N50:N82 V50:AC82 K84:R140 V84:AC140 K142:R193 V142:AC193 K195:R203 V195:AC203 K205:K244 N205:N244 V205:AC244 L205:M316 O205:R316 T205:T316 V245:Z245 K246:K275 N246:N275 V246:AC275 V276:Z276 K277:K316 N277:N316 V277:AC316 K318:R318 T318 V318:AC318 K324:R332 T324:T332 V324:AC332 K334:R337 T334:T337 V334:AC337 V340:AC357 K340:R438 T340:T438 V358:Z358 V359:AC362 V363:Z363 V364:AC372 V373:Z373 V374:AC403 V404:Z404 V405:AC438">
    <cfRule type="cellIs" dxfId="54" priority="3" stopIfTrue="1" operator="equal">
      <formula>"NA"</formula>
    </cfRule>
  </conditionalFormatting>
  <conditionalFormatting sqref="U10:U82 T84:U140 T142:U193 T195:U203 U205:U316 U318 U324:U332 U334:U337 U340:U438">
    <cfRule type="cellIs" dxfId="53" priority="14" stopIfTrue="1" operator="equal">
      <formula>"NA"</formula>
    </cfRule>
  </conditionalFormatting>
  <conditionalFormatting sqref="U10:U82 U84:U140 U142:U193 U195:U203 U205:U316 U318 U324:U332 U334:U337 U340:U438">
    <cfRule type="cellIs" dxfId="52" priority="13" stopIfTrue="1" operator="equal">
      <formula>"No Criteria"</formula>
    </cfRule>
  </conditionalFormatting>
  <pageMargins left="0.2" right="0.2" top="0.5" bottom="0.5" header="0.25" footer="0.25"/>
  <pageSetup paperSize="17" scale="75" fitToHeight="3" orientation="landscape" horizontalDpi="4294967292"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Z395"/>
  <sheetViews>
    <sheetView showGridLines="0" zoomScaleNormal="100" workbookViewId="0">
      <pane xSplit="1" ySplit="9" topLeftCell="B34" activePane="bottomRight" state="frozen"/>
      <selection pane="topRight" activeCell="B1" sqref="B1"/>
      <selection pane="bottomLeft" activeCell="A11" sqref="A11"/>
      <selection pane="bottomRight" activeCell="A43" sqref="A43"/>
    </sheetView>
  </sheetViews>
  <sheetFormatPr defaultRowHeight="13.2" x14ac:dyDescent="0.25"/>
  <cols>
    <col min="1" max="1" width="30.109375" customWidth="1"/>
    <col min="2" max="2" width="10.5546875" style="160" customWidth="1"/>
    <col min="3" max="5" width="10.5546875" style="5" customWidth="1"/>
    <col min="6" max="6" width="10.5546875" style="176" customWidth="1"/>
    <col min="7" max="7" width="10.5546875" style="8" customWidth="1"/>
    <col min="8" max="8" width="10.5546875" style="177" customWidth="1"/>
    <col min="9" max="15" width="10.5546875" style="158" customWidth="1"/>
    <col min="16" max="16" width="12.5546875" style="158" customWidth="1"/>
    <col min="17" max="17" width="10.5546875" style="23" customWidth="1"/>
    <col min="18" max="18" width="8.88671875" style="23" customWidth="1"/>
    <col min="19" max="19" width="10.5546875" style="23" customWidth="1"/>
    <col min="20" max="21" width="8.88671875" style="23" customWidth="1"/>
    <col min="22" max="22" width="12.44140625" style="23" customWidth="1"/>
    <col min="23" max="25" width="8.88671875" style="23" customWidth="1"/>
    <col min="26" max="26" width="10.5546875" style="28" customWidth="1"/>
  </cols>
  <sheetData>
    <row r="1" spans="1:26" ht="15" x14ac:dyDescent="0.25">
      <c r="A1" s="203"/>
      <c r="B1" s="161"/>
      <c r="C1" s="196"/>
      <c r="D1" s="196"/>
      <c r="E1" s="196"/>
      <c r="F1" s="8"/>
      <c r="G1" s="161"/>
      <c r="H1" s="8"/>
      <c r="I1" s="23"/>
      <c r="J1" s="23"/>
      <c r="K1" s="23"/>
      <c r="L1" s="23"/>
      <c r="M1" s="23"/>
      <c r="N1" s="23"/>
      <c r="O1" s="23"/>
      <c r="P1" s="23"/>
      <c r="R1" s="168"/>
      <c r="S1" s="168"/>
      <c r="U1" s="165"/>
      <c r="V1" s="168"/>
      <c r="X1" s="168"/>
      <c r="Y1" s="165"/>
      <c r="Z1" s="168"/>
    </row>
    <row r="2" spans="1:26" ht="13.8" thickBot="1" x14ac:dyDescent="0.3">
      <c r="A2" s="8"/>
      <c r="B2" s="162"/>
      <c r="C2" s="197"/>
      <c r="D2" s="198"/>
      <c r="E2" s="198"/>
      <c r="F2" s="162"/>
      <c r="G2" s="162"/>
      <c r="H2" s="162"/>
      <c r="I2" s="159"/>
      <c r="J2" s="159"/>
      <c r="K2" s="159"/>
      <c r="L2" s="159"/>
      <c r="M2" s="159"/>
      <c r="N2" s="159"/>
      <c r="O2" s="159"/>
      <c r="P2" s="159"/>
      <c r="Q2" s="159"/>
      <c r="T2" s="165"/>
      <c r="V2" s="165"/>
    </row>
    <row r="3" spans="1:26" s="10" customFormat="1" ht="13.8" thickBot="1" x14ac:dyDescent="0.3">
      <c r="A3" s="7"/>
      <c r="B3" s="1161" t="str">
        <f>IF(Start!C15="x","","Testing")</f>
        <v>Testing</v>
      </c>
      <c r="C3" s="351"/>
      <c r="D3" s="352" t="s">
        <v>691</v>
      </c>
      <c r="E3" s="352"/>
      <c r="F3" s="383"/>
      <c r="G3" s="614" t="s">
        <v>692</v>
      </c>
      <c r="H3" s="386"/>
      <c r="I3" s="1163" t="s">
        <v>693</v>
      </c>
      <c r="J3" s="1164"/>
      <c r="K3" s="1164"/>
      <c r="L3" s="1164"/>
      <c r="M3" s="1164"/>
      <c r="N3" s="1164"/>
      <c r="O3" s="1165"/>
      <c r="P3" s="1078"/>
      <c r="Q3" s="210" t="s">
        <v>694</v>
      </c>
      <c r="R3" s="169"/>
      <c r="S3" s="170"/>
      <c r="T3" s="170"/>
      <c r="U3" s="59"/>
      <c r="V3" s="171"/>
      <c r="W3" s="59"/>
      <c r="X3" s="59"/>
      <c r="Y3" s="172"/>
      <c r="Z3" s="172"/>
    </row>
    <row r="4" spans="1:26" s="10" customFormat="1" x14ac:dyDescent="0.25">
      <c r="A4" s="204"/>
      <c r="B4" s="1162"/>
      <c r="C4" s="353" t="s">
        <v>211</v>
      </c>
      <c r="D4" s="354"/>
      <c r="E4" s="355"/>
      <c r="F4" s="211" t="s">
        <v>695</v>
      </c>
      <c r="G4" s="214"/>
      <c r="H4" s="215"/>
      <c r="I4" s="356" t="s">
        <v>641</v>
      </c>
      <c r="J4" s="356" t="s">
        <v>641</v>
      </c>
      <c r="K4" s="356" t="s">
        <v>641</v>
      </c>
      <c r="L4" s="356" t="s">
        <v>641</v>
      </c>
      <c r="M4" s="356" t="s">
        <v>641</v>
      </c>
      <c r="N4" s="356" t="s">
        <v>641</v>
      </c>
      <c r="O4" s="357" t="s">
        <v>641</v>
      </c>
      <c r="P4" s="725" t="s">
        <v>696</v>
      </c>
      <c r="Q4" s="212" t="s">
        <v>6</v>
      </c>
      <c r="R4" s="172"/>
      <c r="S4"/>
      <c r="T4" s="173"/>
      <c r="U4" s="173"/>
      <c r="V4" s="173"/>
      <c r="W4" s="173"/>
      <c r="X4" s="173"/>
      <c r="Y4" s="173"/>
      <c r="Z4" s="173"/>
    </row>
    <row r="5" spans="1:26" s="10" customFormat="1" x14ac:dyDescent="0.25">
      <c r="A5" s="204"/>
      <c r="B5" s="358" t="str">
        <f>IF(Start!C15="x","Modified","Not Required")</f>
        <v>Not Required</v>
      </c>
      <c r="C5" s="213" t="s">
        <v>218</v>
      </c>
      <c r="D5" s="359" t="s">
        <v>697</v>
      </c>
      <c r="E5" s="360" t="s">
        <v>220</v>
      </c>
      <c r="F5" s="211" t="s">
        <v>6</v>
      </c>
      <c r="G5" s="214" t="s">
        <v>236</v>
      </c>
      <c r="H5" s="214" t="s">
        <v>236</v>
      </c>
      <c r="I5" s="356" t="s">
        <v>275</v>
      </c>
      <c r="J5" s="216" t="s">
        <v>698</v>
      </c>
      <c r="K5" s="216" t="s">
        <v>699</v>
      </c>
      <c r="L5" s="216" t="s">
        <v>212</v>
      </c>
      <c r="M5" s="216" t="s">
        <v>699</v>
      </c>
      <c r="N5" s="216" t="s">
        <v>699</v>
      </c>
      <c r="O5" s="357" t="s">
        <v>700</v>
      </c>
      <c r="P5" s="725" t="s">
        <v>701</v>
      </c>
      <c r="Q5" s="217" t="s">
        <v>702</v>
      </c>
      <c r="R5" s="172"/>
      <c r="S5"/>
      <c r="T5" s="173"/>
      <c r="U5" s="173"/>
      <c r="V5" s="173"/>
      <c r="W5" s="173"/>
      <c r="X5" s="173"/>
      <c r="Y5" s="173"/>
      <c r="Z5" s="173"/>
    </row>
    <row r="6" spans="1:26" s="10" customFormat="1" x14ac:dyDescent="0.25">
      <c r="A6" s="204"/>
      <c r="B6" s="358" t="str">
        <f>IF(Start!C15="x","Elutriate","based on")</f>
        <v>based on</v>
      </c>
      <c r="C6" s="213" t="s">
        <v>212</v>
      </c>
      <c r="D6" s="359" t="s">
        <v>230</v>
      </c>
      <c r="E6" s="360" t="s">
        <v>231</v>
      </c>
      <c r="F6" s="211" t="s">
        <v>300</v>
      </c>
      <c r="G6" s="214" t="s">
        <v>256</v>
      </c>
      <c r="H6" s="215" t="s">
        <v>275</v>
      </c>
      <c r="I6" s="356" t="s">
        <v>212</v>
      </c>
      <c r="J6" s="216" t="s">
        <v>703</v>
      </c>
      <c r="K6" s="216" t="s">
        <v>704</v>
      </c>
      <c r="L6" s="216" t="s">
        <v>705</v>
      </c>
      <c r="M6" s="216" t="s">
        <v>704</v>
      </c>
      <c r="N6" s="216" t="s">
        <v>704</v>
      </c>
      <c r="O6" s="357" t="s">
        <v>644</v>
      </c>
      <c r="P6" s="725" t="s">
        <v>644</v>
      </c>
      <c r="Q6" s="217" t="s">
        <v>644</v>
      </c>
      <c r="R6" s="172"/>
      <c r="S6"/>
      <c r="T6" s="173"/>
      <c r="U6" s="173"/>
      <c r="V6" s="173"/>
      <c r="W6" s="173"/>
      <c r="X6" s="173"/>
      <c r="Y6" s="173"/>
      <c r="Z6" s="173"/>
    </row>
    <row r="7" spans="1:26" s="10" customFormat="1" x14ac:dyDescent="0.25">
      <c r="A7" s="204"/>
      <c r="B7" s="358" t="str">
        <f>IF(Start!C15="x","Testing","Tier I Results")</f>
        <v>Tier I Results</v>
      </c>
      <c r="C7" s="213" t="s">
        <v>248</v>
      </c>
      <c r="D7" s="359" t="s">
        <v>249</v>
      </c>
      <c r="E7" s="360" t="s">
        <v>249</v>
      </c>
      <c r="F7" s="211" t="s">
        <v>314</v>
      </c>
      <c r="G7" s="214" t="s">
        <v>277</v>
      </c>
      <c r="H7" s="215" t="s">
        <v>292</v>
      </c>
      <c r="I7" s="356" t="s">
        <v>248</v>
      </c>
      <c r="J7" s="216" t="s">
        <v>706</v>
      </c>
      <c r="K7" s="216" t="s">
        <v>707</v>
      </c>
      <c r="L7" s="216" t="s">
        <v>248</v>
      </c>
      <c r="M7" s="216" t="s">
        <v>707</v>
      </c>
      <c r="N7" s="216" t="s">
        <v>707</v>
      </c>
      <c r="O7" s="357" t="s">
        <v>708</v>
      </c>
      <c r="P7" s="725" t="s">
        <v>708</v>
      </c>
      <c r="Q7" s="217" t="s">
        <v>709</v>
      </c>
      <c r="R7" s="172"/>
      <c r="S7"/>
      <c r="T7" s="173"/>
      <c r="U7" s="173"/>
      <c r="V7" s="173"/>
      <c r="W7" s="173"/>
      <c r="X7" s="173"/>
      <c r="Y7" s="173"/>
      <c r="Z7" s="173"/>
    </row>
    <row r="8" spans="1:26" s="10" customFormat="1" ht="15.6" x14ac:dyDescent="0.35">
      <c r="A8" s="204"/>
      <c r="B8" s="358" t="str">
        <f>IF(Start!C15="x","Required?","")</f>
        <v/>
      </c>
      <c r="C8" s="218" t="s">
        <v>266</v>
      </c>
      <c r="D8" s="361" t="s">
        <v>710</v>
      </c>
      <c r="E8" s="362" t="s">
        <v>711</v>
      </c>
      <c r="F8" s="219" t="s">
        <v>712</v>
      </c>
      <c r="G8" s="220" t="s">
        <v>713</v>
      </c>
      <c r="H8" s="221" t="s">
        <v>714</v>
      </c>
      <c r="I8" s="363" t="s">
        <v>715</v>
      </c>
      <c r="J8" s="222" t="s">
        <v>716</v>
      </c>
      <c r="K8" s="222" t="s">
        <v>717</v>
      </c>
      <c r="L8" s="222" t="s">
        <v>718</v>
      </c>
      <c r="M8" s="222" t="s">
        <v>719</v>
      </c>
      <c r="N8" s="222" t="s">
        <v>720</v>
      </c>
      <c r="O8" s="364" t="s">
        <v>721</v>
      </c>
      <c r="P8" s="726" t="s">
        <v>722</v>
      </c>
      <c r="Q8" s="217" t="s">
        <v>300</v>
      </c>
      <c r="R8" s="69"/>
      <c r="S8"/>
      <c r="T8" s="68"/>
      <c r="U8" s="68"/>
      <c r="V8" s="173"/>
      <c r="W8" s="68"/>
      <c r="X8" s="68"/>
      <c r="Y8" s="68"/>
      <c r="Z8" s="173"/>
    </row>
    <row r="9" spans="1:26" s="10" customFormat="1" ht="14.4" thickBot="1" x14ac:dyDescent="0.35">
      <c r="A9" s="95" t="s">
        <v>723</v>
      </c>
      <c r="B9" s="365"/>
      <c r="C9" s="225" t="s">
        <v>285</v>
      </c>
      <c r="D9" s="366" t="s">
        <v>286</v>
      </c>
      <c r="E9" s="367" t="s">
        <v>286</v>
      </c>
      <c r="F9" s="226" t="s">
        <v>286</v>
      </c>
      <c r="G9" s="227" t="s">
        <v>324</v>
      </c>
      <c r="H9" s="282"/>
      <c r="I9" s="368" t="s">
        <v>285</v>
      </c>
      <c r="J9" s="228" t="s">
        <v>724</v>
      </c>
      <c r="K9" s="369" t="s">
        <v>286</v>
      </c>
      <c r="L9" s="369" t="s">
        <v>286</v>
      </c>
      <c r="M9" s="369" t="s">
        <v>286</v>
      </c>
      <c r="N9" s="369" t="s">
        <v>286</v>
      </c>
      <c r="O9" s="370" t="s">
        <v>286</v>
      </c>
      <c r="P9" s="727" t="s">
        <v>286</v>
      </c>
      <c r="Q9" s="230" t="s">
        <v>314</v>
      </c>
      <c r="R9" s="172"/>
      <c r="S9"/>
      <c r="T9" s="174"/>
      <c r="U9" s="173"/>
      <c r="V9" s="173"/>
      <c r="W9" s="173"/>
      <c r="X9" s="173"/>
      <c r="Y9" s="173"/>
      <c r="Z9" s="173"/>
    </row>
    <row r="10" spans="1:26" s="10" customFormat="1" x14ac:dyDescent="0.25">
      <c r="A10" s="505" t="s">
        <v>326</v>
      </c>
      <c r="B10" s="506"/>
      <c r="C10" s="508"/>
      <c r="D10" s="509"/>
      <c r="E10" s="510"/>
      <c r="F10" s="687"/>
      <c r="G10" s="741"/>
      <c r="H10" s="692"/>
      <c r="I10" s="687"/>
      <c r="J10" s="741"/>
      <c r="K10" s="741"/>
      <c r="L10" s="741"/>
      <c r="M10" s="741"/>
      <c r="N10" s="741"/>
      <c r="O10" s="692"/>
      <c r="P10" s="513"/>
      <c r="Q10" s="507"/>
      <c r="R10" s="201"/>
      <c r="S10"/>
      <c r="T10" s="18"/>
      <c r="U10" s="163"/>
      <c r="V10" s="18"/>
      <c r="W10" s="18"/>
      <c r="X10" s="163"/>
      <c r="Y10" s="163"/>
      <c r="Z10" s="18"/>
    </row>
    <row r="11" spans="1:26" s="10" customFormat="1" x14ac:dyDescent="0.25">
      <c r="A11" s="405" t="s">
        <v>327</v>
      </c>
      <c r="B11" s="371" t="str">
        <f>IF(Start!$C$15="x",IF(C11="NA","NA",(IF(C11="","",(IF(OR(F11="NA",F11=""),"No Criteria",(IF(AND(O11="NA",F11&lt;&gt;"NA",C11&lt;&gt;"NA"),                  "Missing Data",(IF(O11&lt;F11,"No",(IF(D11&gt;F11,"Caution",(IF(O11&gt;=F11,"Needed","No"))))))))))))),"---")</f>
        <v>---</v>
      </c>
      <c r="C11" s="372" t="str">
        <f>IF(TRUE=ISBLANK(ChemData!B11),"",(ChemData!B11))</f>
        <v/>
      </c>
      <c r="D11" s="373" t="str">
        <f>IF(TRUE=ISBLANK(ChemData!C11),"",(ChemData!C11))</f>
        <v/>
      </c>
      <c r="E11" s="374" t="str">
        <f>IF(TRUE=ISBLANK(ChemData!D11),"",(ChemData!D11))</f>
        <v/>
      </c>
      <c r="F11" s="289">
        <f>IF(TRUE=ISBLANK(ChemData!H11),"",(ChemData!H11))</f>
        <v>750</v>
      </c>
      <c r="G11" s="290">
        <f>IF(TRUE=ISBLANK(ChemData!Q11),"",(ChemData!Q11))</f>
        <v>1500</v>
      </c>
      <c r="H11" s="291">
        <f>IF(TRUE=ISBLANK(ChemData!S11),"",(ChemData!S11))</f>
        <v>5.0000000000000001E-3</v>
      </c>
      <c r="I11" s="375" t="str">
        <f>IF(Start!$C$15="x",(IF(OR(C11="NA",C11=""), "NA", (IF($H11 = "NA", "NA", ((C11*$H11)/(Data!$D$10/100)))))),"---")</f>
        <v>---</v>
      </c>
      <c r="J11" s="376" t="str">
        <f>IF(Start!$C$15="x",(IF(I11 = "NA", "NA", IF(OR(D11="NA",D11=""),"NA",(I11 +((Data!$D$19-Data!$D$22)/(Data!$D$19*Data!$D$22)*$D11))))),"---")</f>
        <v>---</v>
      </c>
      <c r="K11" s="376" t="str">
        <f>IF(Start!$C$15="x",(IF(J11="NA","NA",IF(OR(G11="NA",G11=""),"NA",(J11*(1-Data!$D$23)*Data!$D$14*1000)/(Data!$D$23+((1-Data!$D$23)*Data!$D$14*$G11))))),"---")</f>
        <v>---</v>
      </c>
      <c r="L11" s="376" t="str">
        <f>IF(Start!$C$15="x",(IF(I11="NA","NA",IF(OR($G11 = "NA",G11=""), "NA",(IF(OR(ChemData!U11="NA",ChemData!U11=""),I11/((Data!$D$18+((1-Data!$D$18)*Data!$D$14*$G11))/((1-Data!$D$18)*Data!$D$14*1000)),(IF(I11/((Data!$D$18+((1-Data!$D$18)*Data!$D$14*$G11))/((1-Data!$D$18)*Data!$D$14*1000))&gt;ChemData!U11, ChemData!U11*1000, I11/((Data!$D$18+((1-Data!$D$18)*Data!$D$14*$G11))/((1-Data!$D$18)*Data!$D$14*1000))))))))),"---")</f>
        <v>---</v>
      </c>
      <c r="M11" s="376" t="str">
        <f>IF(Start!$C$15="x",(IF(L11="NA","NA",IF(OR(D11="NA",D11=""),"NA",(((Data!$D$22*Data!$D$18)*L11)+(Data!$D$19-Data!$D$22)*$D11)/((Data!$D$22*Data!$D$18)+Data!$D$19-Data!$D$22)))),"---")</f>
        <v>---</v>
      </c>
      <c r="N11" s="376" t="str">
        <f>IF(Start!$C$15="x",IF(K11 = "NA", "NA", (IF(M11 = "NA", "NA",(IF(OR(ChemData!U11="NA",ChemData!U11=""),(IF(K11&gt;M11,K11,M11)),(IF(K11&gt;M11,(IF(K11&gt;ChemData!U11, ChemData!U11, K11)),(IF(M11&gt;ChemData!U11,ChemData!U11,M11))))))))),"---")</f>
        <v>---</v>
      </c>
      <c r="O11" s="377" t="str">
        <f>IF(Start!$C$15="x",IF(N11 = "NA","NA", IF(OR(E11="NA",E11=""),"NA",(N11+(Data!$D$26*$E11))/(Data!$D$26+1))),"---")</f>
        <v>---</v>
      </c>
      <c r="P11" s="730">
        <f>IF(E11="",F11,IF($F11&lt;(1+(Data!$D$27/100))*$E11,(1+(Data!$D$27/100))*$E11,$F11))</f>
        <v>750</v>
      </c>
      <c r="Q11" s="343" t="str">
        <f>IF(Start!$C$15="x",(IF(C11="","",(IF(O11="NA","NA",IF(P11="NA","NA",IF(P11=0,"NA",(O11/P11))))))),"Not Req.")</f>
        <v>Not Req.</v>
      </c>
      <c r="R11" s="728"/>
      <c r="S11"/>
      <c r="T11" s="18"/>
      <c r="U11" s="163"/>
      <c r="V11" s="163"/>
      <c r="W11" s="18"/>
      <c r="X11" s="163"/>
      <c r="Y11" s="163"/>
      <c r="Z11" s="18"/>
    </row>
    <row r="12" spans="1:26" s="23" customFormat="1" x14ac:dyDescent="0.25">
      <c r="A12" s="405" t="s">
        <v>330</v>
      </c>
      <c r="B12" s="371" t="str">
        <f>IF(Start!$C$15="x",IF(C12="NA","NA",(IF(C12="","",(IF(OR(F12="NA",F12=""),"No Criteria",(IF(AND(O12="NA",F12&lt;&gt;"NA",C12&lt;&gt;"NA"),                  "Missing Data",(IF(O12&lt;F12,"No",(IF(D12&gt;F12,"Caution",(IF(O12&gt;=F12,"Needed","No"))))))))))))),"---")</f>
        <v>---</v>
      </c>
      <c r="C12" s="372" t="str">
        <f>IF(TRUE=ISBLANK(ChemData!B12),"",(ChemData!B12))</f>
        <v/>
      </c>
      <c r="D12" s="373" t="str">
        <f>IF(TRUE=ISBLANK(ChemData!C12),"",(ChemData!C12))</f>
        <v/>
      </c>
      <c r="E12" s="374" t="str">
        <f>IF(TRUE=ISBLANK(ChemData!D12),"",(ChemData!D12))</f>
        <v/>
      </c>
      <c r="F12" s="289">
        <f>IF(TRUE=ISBLANK(ChemData!H12),"",(ChemData!H12))</f>
        <v>180</v>
      </c>
      <c r="G12" s="290">
        <f>IF(TRUE=ISBLANK(ChemData!Q12),"",(ChemData!Q12))</f>
        <v>270</v>
      </c>
      <c r="H12" s="291">
        <f>IF(TRUE=ISBLANK(ChemData!S12),"",(ChemData!S12))</f>
        <v>0.1</v>
      </c>
      <c r="I12" s="375" t="str">
        <f>IF(Start!$C$15="x",(IF(OR(C12="NA",C12=""), "NA", (IF($H12 = "NA", "NA", ((C12*$H12)/(Data!$D$10/100)))))),"---")</f>
        <v>---</v>
      </c>
      <c r="J12" s="376" t="str">
        <f>IF(Start!$C$15="x",(IF(I12 = "NA", "NA", IF(OR(D12="NA",D12=""),"NA",(I12 +((Data!$D$19-Data!$D$22)/(Data!$D$19*Data!$D$22)*$D12))))),"---")</f>
        <v>---</v>
      </c>
      <c r="K12" s="376" t="str">
        <f>IF(Start!$C$15="x",(IF(J12="NA","NA",IF(OR(G12="NA",G12=""),"NA",(J12*(1-Data!$D$23)*Data!$D$14*1000)/(Data!$D$23+((1-Data!$D$23)*Data!$D$14*$G12))))),"---")</f>
        <v>---</v>
      </c>
      <c r="L12" s="376" t="str">
        <f>IF(Start!$C$15="x",(IF(I12="NA","NA",IF($G12 = "NA", "NA",(IF(OR(ChemData!U12="NA",ChemData!U12=""),I12/((Data!$D$18+((1-Data!$D$18)*Data!$D$14*$G12))/((1-Data!$D$18)*Data!$D$14*1000)),(IF(I12/((Data!$D$18+((1-Data!$D$18)*Data!$D$14*$G12))/((1-Data!$D$18)*Data!$D$14*1000))&gt;ChemData!U12, ChemData!U12, I12/((Data!$D$18+((1-Data!$D$18)*Data!$D$14*$G12))/((1-Data!$D$18)*Data!$D$14*1000))))))))),"---")</f>
        <v>---</v>
      </c>
      <c r="M12" s="376" t="str">
        <f>IF(Start!$C$15="x",(IF(L12="NA","NA",IF(OR(D12="NA",D12=""),"NA",(((Data!$D$22*Data!$D$18)*L12)+(Data!$D$19-Data!$D$22)*$D12)/((Data!$D$22*Data!$D$18)+Data!$D$19-Data!$D$22)))),"---")</f>
        <v>---</v>
      </c>
      <c r="N12" s="376" t="str">
        <f>IF(Start!$C$15="x",IF(K12 = "NA", "NA", (IF(M12 = "NA", "NA",(IF(OR(ChemData!U12="NA",ChemData!U12=""),(IF(K12&gt;M12,K12,M12)),(IF(K12&gt;M12,(IF(K12&gt;ChemData!U12, ChemData!U12, K12)),(IF(M12&gt;ChemData!U12,ChemData!U12,M12))))))))),"---")</f>
        <v>---</v>
      </c>
      <c r="O12" s="377" t="str">
        <f>IF(Start!$C$15="x",IF(N12 = "NA","NA", IF(OR(E12="NA",E12=""),"NA",(N12+(Data!$D$26*$E12))/(Data!$D$26+1))),"---")</f>
        <v>---</v>
      </c>
      <c r="P12" s="730">
        <f>IF(E12="",F12,IF($F12&lt;(1+(Data!$D$27/100))*$E12,(1+(Data!$D$27/100))*$E12,$F12))</f>
        <v>180</v>
      </c>
      <c r="Q12" s="343" t="str">
        <f>IF(Start!$C$15="x",(IF(C12="","",(IF(O12="NA","NA",IF(P12="NA","NA",IF(P12=0,"NA",(O12/P12))))))),"Not Req.")</f>
        <v>Not Req.</v>
      </c>
      <c r="R12" s="729"/>
      <c r="S12"/>
      <c r="T12" s="18"/>
      <c r="U12" s="163"/>
      <c r="V12" s="163"/>
      <c r="W12" s="18"/>
      <c r="X12" s="163"/>
      <c r="Y12" s="163"/>
      <c r="Z12" s="18"/>
    </row>
    <row r="13" spans="1:26" s="23" customFormat="1" x14ac:dyDescent="0.25">
      <c r="A13" s="405" t="s">
        <v>331</v>
      </c>
      <c r="B13" s="371" t="str">
        <f>IF(Start!$C$15="x",IF(C13="NA","NA",(IF(C13="","",(IF(OR(F13="NA",F13=""),"No Criteria",(IF(AND(O13="NA",F13&lt;&gt;"NA",C13&lt;&gt;"NA"),                  "Missing Data",(IF(O13&lt;F13,"No",(IF(D13&gt;F13,"Caution",(IF(O13&gt;=F13,"Needed","No"))))))))))))),"---")</f>
        <v>---</v>
      </c>
      <c r="C13" s="372" t="str">
        <f>IF(TRUE=ISBLANK(ChemData!B13),"",(ChemData!B13))</f>
        <v/>
      </c>
      <c r="D13" s="373" t="str">
        <f>IF(TRUE=ISBLANK(ChemData!C13),"",(ChemData!C13))</f>
        <v/>
      </c>
      <c r="E13" s="374" t="str">
        <f>IF(TRUE=ISBLANK(ChemData!D13),"",(ChemData!D13))</f>
        <v/>
      </c>
      <c r="F13" s="289">
        <f>IF(TRUE=ISBLANK(ChemData!H13),"",(ChemData!H13))</f>
        <v>66</v>
      </c>
      <c r="G13" s="290">
        <f>IF(TRUE=ISBLANK(ChemData!Q13),"",(ChemData!Q13))</f>
        <v>70</v>
      </c>
      <c r="H13" s="291">
        <f>IF(TRUE=ISBLANK(ChemData!S13),"",(ChemData!S13))</f>
        <v>0.2</v>
      </c>
      <c r="I13" s="375" t="str">
        <f>IF(Start!$C$15="x",(IF(OR(C13="NA",C13=""), "NA", (IF($H13 = "NA", "NA", ((C13*$H13)/(Data!$D$10/100)))))),"---")</f>
        <v>---</v>
      </c>
      <c r="J13" s="376" t="str">
        <f>IF(Start!$C$15="x",(IF(I13 = "NA", "NA", IF(OR(D13="NA",D13=""),"NA",(I13 +((Data!$D$19-Data!$D$22)/(Data!$D$19*Data!$D$22)*$D13))))),"---")</f>
        <v>---</v>
      </c>
      <c r="K13" s="376" t="str">
        <f>IF(Start!$C$15="x",(IF(J13="NA","NA",IF(OR(G13="NA",G13=""),"NA",(J13*(1-Data!$D$23)*Data!$D$14*1000)/(Data!$D$23+((1-Data!$D$23)*Data!$D$14*$G13))))),"---")</f>
        <v>---</v>
      </c>
      <c r="L13" s="376" t="str">
        <f>IF(Start!$C$15="x",(IF(I13="NA","NA",IF($G13 = "NA", "NA",(IF(OR(ChemData!U13="NA",ChemData!U13=""),I13/((Data!$D$18+((1-Data!$D$18)*Data!$D$14*$G13))/((1-Data!$D$18)*Data!$D$14*1000)),(IF(I13/((Data!$D$18+((1-Data!$D$18)*Data!$D$14*$G13))/((1-Data!$D$18)*Data!$D$14*1000))&gt;ChemData!U13, ChemData!U13, I13/((Data!$D$18+((1-Data!$D$18)*Data!$D$14*$G13))/((1-Data!$D$18)*Data!$D$14*1000))))))))),"---")</f>
        <v>---</v>
      </c>
      <c r="M13" s="376" t="str">
        <f>IF(Start!$C$15="x",(IF(L13="NA","NA",IF(OR(D13="NA",D13=""),"NA",(((Data!$D$22*Data!$D$18)*L13)+(Data!$D$19-Data!$D$22)*$D13)/((Data!$D$22*Data!$D$18)+Data!$D$19-Data!$D$22)))),"---")</f>
        <v>---</v>
      </c>
      <c r="N13" s="376" t="str">
        <f>IF(Start!$C$15="x",IF(K13 = "NA", "NA", (IF(M13 = "NA", "NA",(IF(OR(ChemData!U13="NA",ChemData!U13=""),(IF(K13&gt;M13,K13,M13)),(IF(K13&gt;M13,(IF(K13&gt;ChemData!U13, ChemData!U13, K13)),(IF(M13&gt;ChemData!U13,ChemData!U13,M13))))))))),"---")</f>
        <v>---</v>
      </c>
      <c r="O13" s="377" t="str">
        <f>IF(Start!$C$15="x",IF(N13 = "NA","NA", IF(OR(E13="NA",E13=""),"NA",(N13+(Data!$D$26*$E13))/(Data!$D$26+1))),"---")</f>
        <v>---</v>
      </c>
      <c r="P13" s="730">
        <f>IF(E13="",F13,IF($F13&lt;(1+(Data!$D$27/100))*$E13,(1+(Data!$D$27/100))*$E13,$F13))</f>
        <v>66</v>
      </c>
      <c r="Q13" s="343" t="str">
        <f>IF(Start!$C$15="x",(IF(C13="","",(IF(O13="NA","NA",IF(P13="NA","NA",IF(P13=0,"NA",(O13/P13))))))),"Not Req.")</f>
        <v>Not Req.</v>
      </c>
      <c r="R13" s="729"/>
      <c r="S13" s="18"/>
      <c r="T13" s="18"/>
      <c r="U13" s="163"/>
      <c r="V13" s="18"/>
      <c r="W13" s="18"/>
      <c r="X13" s="18"/>
      <c r="Y13" s="18"/>
      <c r="Z13" s="18"/>
    </row>
    <row r="14" spans="1:26" s="23" customFormat="1" x14ac:dyDescent="0.25">
      <c r="A14" s="405" t="s">
        <v>332</v>
      </c>
      <c r="B14" s="371" t="str">
        <f>IF(Start!$C$15="x",IF(C14="NA","NA",(IF(C14="","",(IF(OR(F14="NA",F14=""),"No Criteria",(IF(AND(O14="NA",F14&lt;&gt;"NA",C14&lt;&gt;"NA"),                  "Missing Data",(IF(O14&lt;F14,"No",(IF(D14&gt;F14,"Caution",(IF(O14&gt;=F14,"Needed","No"))))))))))))),"---")</f>
        <v>---</v>
      </c>
      <c r="C14" s="372" t="str">
        <f>IF(TRUE=ISBLANK(ChemData!B14),"",(ChemData!B14))</f>
        <v/>
      </c>
      <c r="D14" s="373" t="str">
        <f>IF(TRUE=ISBLANK(ChemData!C14),"",(ChemData!C14))</f>
        <v/>
      </c>
      <c r="E14" s="374" t="str">
        <f>IF(TRUE=ISBLANK(ChemData!D14),"",(ChemData!D14))</f>
        <v/>
      </c>
      <c r="F14" s="289">
        <f>IF(TRUE=ISBLANK(ChemData!H14),"",(ChemData!H14))</f>
        <v>110</v>
      </c>
      <c r="G14" s="290">
        <f>IF(TRUE=ISBLANK(ChemData!Q14),"",(ChemData!Q14))</f>
        <v>100</v>
      </c>
      <c r="H14" s="291">
        <f>IF(TRUE=ISBLANK(ChemData!S14),"",(ChemData!S14))</f>
        <v>0.2</v>
      </c>
      <c r="I14" s="375" t="str">
        <f>IF(Start!$C$15="x",(IF(OR(C14="NA",C14=""), "NA", (IF($H14 = "NA", "NA", ((C14*$H14)/(Data!$D$10/100)))))),"---")</f>
        <v>---</v>
      </c>
      <c r="J14" s="376" t="str">
        <f>IF(Start!$C$15="x",(IF(I14 = "NA", "NA", IF(OR(D14="NA",D14=""),"NA",(I14 +((Data!$D$19-Data!$D$22)/(Data!$D$19*Data!$D$22)*$D14))))),"---")</f>
        <v>---</v>
      </c>
      <c r="K14" s="376" t="str">
        <f>IF(Start!$C$15="x",(IF(J14="NA","NA",IF(OR(G14="NA",G14=""),"NA",(J14*(1-Data!$D$23)*Data!$D$14*1000)/(Data!$D$23+((1-Data!$D$23)*Data!$D$14*$G14))))),"---")</f>
        <v>---</v>
      </c>
      <c r="L14" s="376" t="str">
        <f>IF(Start!$C$15="x",(IF(I14="NA","NA",IF($G14 = "NA", "NA",(IF(OR(ChemData!U14="NA",ChemData!U14=""),I14/((Data!$D$18+((1-Data!$D$18)*Data!$D$14*$G14))/((1-Data!$D$18)*Data!$D$14*1000)),(IF(I14/((Data!$D$18+((1-Data!$D$18)*Data!$D$14*$G14))/((1-Data!$D$18)*Data!$D$14*1000))&gt;ChemData!U14, ChemData!U14, I14/((Data!$D$18+((1-Data!$D$18)*Data!$D$14*$G14))/((1-Data!$D$18)*Data!$D$14*1000))))))))),"---")</f>
        <v>---</v>
      </c>
      <c r="M14" s="376" t="str">
        <f>IF(Start!$C$15="x",(IF(L14="NA","NA",IF(OR(D14="NA",D14=""),"NA",(((Data!$D$22*Data!$D$18)*L14)+(Data!$D$19-Data!$D$22)*$D14)/((Data!$D$22*Data!$D$18)+Data!$D$19-Data!$D$22)))),"---")</f>
        <v>---</v>
      </c>
      <c r="N14" s="376" t="str">
        <f>IF(Start!$C$15="x",IF(K14 = "NA", "NA", (IF(M14 = "NA", "NA",(IF(OR(ChemData!U14="NA",ChemData!U14=""),(IF(K14&gt;M14,K14,M14)),(IF(K14&gt;M14,(IF(K14&gt;ChemData!U14, ChemData!U14, K14)),(IF(M14&gt;ChemData!U14,ChemData!U14,M14))))))))),"---")</f>
        <v>---</v>
      </c>
      <c r="O14" s="377" t="str">
        <f>IF(Start!$C$15="x",IF(N14 = "NA","NA", IF(OR(E14="NA",E14=""),"NA",(N14+(Data!$D$26*$E14))/(Data!$D$26+1))),"---")</f>
        <v>---</v>
      </c>
      <c r="P14" s="730">
        <f>IF(E14="",F14,IF($F14&lt;(1+(Data!$D$27/100))*$E14,(1+(Data!$D$27/100))*$E14,$F14))</f>
        <v>110</v>
      </c>
      <c r="Q14" s="343" t="str">
        <f>IF(Start!$C$15="x",(IF(C14="","",(IF(O14="NA","NA",IF(P14="NA","NA",IF(P14=0,"NA",(O14/P14))))))),"Not Req.")</f>
        <v>Not Req.</v>
      </c>
      <c r="R14" s="729"/>
      <c r="S14" s="18"/>
      <c r="T14" s="18"/>
      <c r="U14" s="163"/>
      <c r="V14" s="163"/>
      <c r="W14" s="18"/>
      <c r="X14" s="163"/>
      <c r="Y14" s="163"/>
      <c r="Z14" s="18"/>
    </row>
    <row r="15" spans="1:26" s="23" customFormat="1" x14ac:dyDescent="0.25">
      <c r="A15" s="405" t="s">
        <v>333</v>
      </c>
      <c r="B15" s="371" t="str">
        <f>IF(Start!$C$15="x",IF(C15="NA","NA",(IF(C15="","",(IF(OR(F15="NA",F15=""),"No Criteria",(IF(AND(O15="NA",F15&lt;&gt;"NA",C15&lt;&gt;"NA"),                  "Missing Data",(IF(O15&lt;F15,"No",(IF(D15&gt;F15,"Caution",(IF(O15&gt;=F15,"Needed","No"))))))))))))),"---")</f>
        <v>---</v>
      </c>
      <c r="C15" s="372" t="str">
        <f>IF(TRUE=ISBLANK(ChemData!B15),"",(ChemData!B15))</f>
        <v/>
      </c>
      <c r="D15" s="373" t="str">
        <f>IF(TRUE=ISBLANK(ChemData!C15),"",(ChemData!C15))</f>
        <v/>
      </c>
      <c r="E15" s="374" t="str">
        <f>IF(TRUE=ISBLANK(ChemData!D15),"",(ChemData!D15))</f>
        <v/>
      </c>
      <c r="F15" s="289">
        <f>IF(TRUE=ISBLANK(ChemData!H15),"",(ChemData!H15))</f>
        <v>35</v>
      </c>
      <c r="G15" s="290">
        <f>IF(TRUE=ISBLANK(ChemData!Q15),"",(ChemData!Q15))</f>
        <v>40</v>
      </c>
      <c r="H15" s="291">
        <f>IF(TRUE=ISBLANK(ChemData!S15),"",(ChemData!S15))</f>
        <v>0.2</v>
      </c>
      <c r="I15" s="375" t="str">
        <f>IF(Start!$C$15="x",(IF(OR(C15="NA",C15=""), "NA", (IF($H15 = "NA", "NA", ((C15*$H15)/(Data!$D$10/100)))))),"---")</f>
        <v>---</v>
      </c>
      <c r="J15" s="376" t="str">
        <f>IF(Start!$C$15="x",(IF(I15 = "NA", "NA", IF(OR(D15="NA",D15=""),"NA",(I15 +((Data!$D$19-Data!$D$22)/(Data!$D$19*Data!$D$22)*$D15))))),"---")</f>
        <v>---</v>
      </c>
      <c r="K15" s="376" t="str">
        <f>IF(Start!$C$15="x",(IF(J15="NA","NA",IF(OR(G15="NA",G15=""),"NA",(J15*(1-Data!$D$23)*Data!$D$14*1000)/(Data!$D$23+((1-Data!$D$23)*Data!$D$14*$G15))))),"---")</f>
        <v>---</v>
      </c>
      <c r="L15" s="376" t="str">
        <f>IF(Start!$C$15="x",(IF(I15="NA","NA",IF($G15 = "NA", "NA",(IF(OR(ChemData!U15="NA",ChemData!U15=""),I15/((Data!$D$18+((1-Data!$D$18)*Data!$D$14*$G15))/((1-Data!$D$18)*Data!$D$14*1000)),(IF(I15/((Data!$D$18+((1-Data!$D$18)*Data!$D$14*$G15))/((1-Data!$D$18)*Data!$D$14*1000))&gt;ChemData!U15, ChemData!U15, I15/((Data!$D$18+((1-Data!$D$18)*Data!$D$14*$G15))/((1-Data!$D$18)*Data!$D$14*1000))))))))),"---")</f>
        <v>---</v>
      </c>
      <c r="M15" s="376" t="str">
        <f>IF(Start!$C$15="x",(IF(L15="NA","NA",IF(OR(D15="NA",D15=""),"NA",(((Data!$D$22*Data!$D$18)*L15)+(Data!$D$19-Data!$D$22)*$D15)/((Data!$D$22*Data!$D$18)+Data!$D$19-Data!$D$22)))),"---")</f>
        <v>---</v>
      </c>
      <c r="N15" s="376" t="str">
        <f>IF(Start!$C$15="x",IF(K15 = "NA", "NA", (IF(M15 = "NA", "NA",(IF(OR(ChemData!U15="NA",ChemData!U15=""),(IF(K15&gt;M15,K15,M15)),(IF(K15&gt;M15,(IF(K15&gt;ChemData!U15, ChemData!U15, K15)),(IF(M15&gt;ChemData!U15,ChemData!U15,M15))))))))),"---")</f>
        <v>---</v>
      </c>
      <c r="O15" s="377" t="str">
        <f>IF(Start!$C$15="x",IF(N15 = "NA","NA", IF(OR(E15="NA",E15=""),"NA",(N15+(Data!$D$26*$E15))/(Data!$D$26+1))),"---")</f>
        <v>---</v>
      </c>
      <c r="P15" s="730">
        <f>IF(E15="",F15,IF($F15&lt;(1+(Data!$D$27/100))*$E15,(1+(Data!$D$27/100))*$E15,$F15))</f>
        <v>35</v>
      </c>
      <c r="Q15" s="343" t="str">
        <f>IF(Start!$C$15="x",(IF(C15="","",(IF(O15="NA","NA",IF(P15="NA","NA",IF(P15=0,"NA",(O15/P15))))))),"Not Req.")</f>
        <v>Not Req.</v>
      </c>
      <c r="R15" s="729"/>
      <c r="S15" s="18"/>
      <c r="T15" s="18"/>
      <c r="U15" s="163"/>
      <c r="V15" s="163"/>
      <c r="W15" s="18"/>
      <c r="X15" s="163"/>
      <c r="Y15" s="163"/>
      <c r="Z15" s="18"/>
    </row>
    <row r="16" spans="1:26" s="23" customFormat="1" x14ac:dyDescent="0.25">
      <c r="A16" s="405" t="s">
        <v>334</v>
      </c>
      <c r="B16" s="371" t="str">
        <f>IF(Start!$C$15="x",IF(C16="NA","NA",(IF(C16="","",(IF(OR(F16="NA",F16=""),"No Criteria",(IF(AND(O16="NA",F16&lt;&gt;"NA",C16&lt;&gt;"NA"),                  "Missing Data",(IF(O16&lt;F16,"No",(IF(D16&gt;F16,"Caution",(IF(O16&gt;=F16,"Needed","No"))))))))))))),"---")</f>
        <v>---</v>
      </c>
      <c r="C16" s="372" t="str">
        <f>IF(TRUE=ISBLANK(ChemData!B16),"",(ChemData!B16))</f>
        <v/>
      </c>
      <c r="D16" s="373" t="str">
        <f>IF(TRUE=ISBLANK(ChemData!C16),"",(ChemData!C16))</f>
        <v/>
      </c>
      <c r="E16" s="374" t="str">
        <f>IF(TRUE=ISBLANK(ChemData!D16),"",(ChemData!D16))</f>
        <v/>
      </c>
      <c r="F16" s="289">
        <f>IF(TRUE=ISBLANK(ChemData!H16),"",(ChemData!H16))</f>
        <v>30</v>
      </c>
      <c r="G16" s="290">
        <f>IF(TRUE=ISBLANK(ChemData!Q16),"",(ChemData!Q16))</f>
        <v>3</v>
      </c>
      <c r="H16" s="291" t="str">
        <f>IF(TRUE=ISBLANK(ChemData!S16),"",(ChemData!S16))</f>
        <v>NA</v>
      </c>
      <c r="I16" s="375" t="str">
        <f>IF(Start!$C$15="x",(IF(OR(C16="NA",C16=""), "NA", (IF($H16 = "NA", "NA", ((C16*$H16)/(Data!$D$10/100)))))),"---")</f>
        <v>---</v>
      </c>
      <c r="J16" s="376" t="str">
        <f>IF(Start!$C$15="x",(IF(I16 = "NA", "NA", IF(OR(D16="NA",D16=""),"NA",(I16 +((Data!$D$19-Data!$D$22)/(Data!$D$19*Data!$D$22)*$D16))))),"---")</f>
        <v>---</v>
      </c>
      <c r="K16" s="376" t="str">
        <f>IF(Start!$C$15="x",(IF(J16="NA","NA",IF(OR(G16="NA",G16=""),"NA",(J16*(1-Data!$D$23)*Data!$D$14*1000)/(Data!$D$23+((1-Data!$D$23)*Data!$D$14*$G16))))),"---")</f>
        <v>---</v>
      </c>
      <c r="L16" s="376" t="str">
        <f>IF(Start!$C$15="x",(IF(I16="NA","NA",IF($G16 = "NA", "NA",(IF(OR(ChemData!U16="NA",ChemData!U16=""),I16/((Data!$D$18+((1-Data!$D$18)*Data!$D$14*$G16))/((1-Data!$D$18)*Data!$D$14*1000)),(IF(I16/((Data!$D$18+((1-Data!$D$18)*Data!$D$14*$G16))/((1-Data!$D$18)*Data!$D$14*1000))&gt;ChemData!U16, ChemData!U16, I16/((Data!$D$18+((1-Data!$D$18)*Data!$D$14*$G16))/((1-Data!$D$18)*Data!$D$14*1000))))))))),"---")</f>
        <v>---</v>
      </c>
      <c r="M16" s="376" t="str">
        <f>IF(Start!$C$15="x",(IF(L16="NA","NA",IF(OR(D16="NA",D16=""),"NA",(((Data!$D$22*Data!$D$18)*L16)+(Data!$D$19-Data!$D$22)*$D16)/((Data!$D$22*Data!$D$18)+Data!$D$19-Data!$D$22)))),"---")</f>
        <v>---</v>
      </c>
      <c r="N16" s="376" t="str">
        <f>IF(Start!$C$15="x",IF(K16 = "NA", "NA", (IF(M16 = "NA", "NA",(IF(OR(ChemData!U16="NA",ChemData!U16=""),(IF(K16&gt;M16,K16,M16)),(IF(K16&gt;M16,(IF(K16&gt;ChemData!U16, ChemData!U16, K16)),(IF(M16&gt;ChemData!U16,ChemData!U16,M16))))))))),"---")</f>
        <v>---</v>
      </c>
      <c r="O16" s="377" t="str">
        <f>IF(Start!$C$15="x",IF(N16 = "NA","NA", IF(OR(E16="NA",E16=""),"NA",(N16+(Data!$D$26*$E16))/(Data!$D$26+1))),"---")</f>
        <v>---</v>
      </c>
      <c r="P16" s="730">
        <f>IF(E16="",F16,IF($F16&lt;(1+(Data!$D$27/100))*$E16,(1+(Data!$D$27/100))*$E16,$F16))</f>
        <v>30</v>
      </c>
      <c r="Q16" s="343" t="str">
        <f>IF(Start!$C$15="x",(IF(C16="","",(IF(O16="NA","NA",IF(P16="NA","NA",IF(P16=0,"NA",(O16/P16))))))),"Not Req.")</f>
        <v>Not Req.</v>
      </c>
      <c r="R16" s="729"/>
      <c r="S16" s="18"/>
      <c r="T16" s="18"/>
      <c r="U16" s="163"/>
      <c r="V16" s="163"/>
      <c r="W16" s="18"/>
      <c r="X16" s="163"/>
      <c r="Y16" s="163"/>
      <c r="Z16" s="18"/>
    </row>
    <row r="17" spans="1:26" s="23" customFormat="1" x14ac:dyDescent="0.25">
      <c r="A17" s="405" t="s">
        <v>335</v>
      </c>
      <c r="B17" s="371" t="str">
        <f>IF(Start!$C$15="x",IF(C17="NA","NA",(IF(C17="","",(IF(OR(F17="NA",F17=""),"No Criteria",(IF(AND(O17="NA",F17&lt;&gt;"NA",C17&lt;&gt;"NA"),                  "Missing Data",(IF(O17&lt;F17,"No",(IF(D17&gt;F17,"Caution",(IF(O17&gt;=F17,"Needed","No"))))))))))))),"---")</f>
        <v>---</v>
      </c>
      <c r="C17" s="372" t="str">
        <f>IF(TRUE=ISBLANK(ChemData!B17),"",(ChemData!B17))</f>
        <v/>
      </c>
      <c r="D17" s="373" t="str">
        <f>IF(TRUE=ISBLANK(ChemData!C17),"",(ChemData!C17))</f>
        <v/>
      </c>
      <c r="E17" s="374" t="str">
        <f>IF(TRUE=ISBLANK(ChemData!D17),"",(ChemData!D17))</f>
        <v/>
      </c>
      <c r="F17" s="289">
        <f>IF(TRUE=ISBLANK(ChemData!H17),"",(ChemData!H17))</f>
        <v>4.3</v>
      </c>
      <c r="G17" s="290">
        <f>IF(TRUE=ISBLANK(ChemData!Q17),"",(ChemData!Q17))</f>
        <v>60</v>
      </c>
      <c r="H17" s="291">
        <f>IF(TRUE=ISBLANK(ChemData!S17),"",(ChemData!S17))</f>
        <v>0.05</v>
      </c>
      <c r="I17" s="375" t="str">
        <f>IF(Start!$C$15="x",(IF(OR(C17="NA",C17=""), "NA", (IF($H17 = "NA", "NA", ((C17*$H17)/(Data!$D$10/100)))))),"---")</f>
        <v>---</v>
      </c>
      <c r="J17" s="376" t="str">
        <f>IF(Start!$C$15="x",(IF(I17 = "NA", "NA", IF(OR(D17="NA",D17=""),"NA",(I17 +((Data!$D$19-Data!$D$22)/(Data!$D$19*Data!$D$22)*$D17))))),"---")</f>
        <v>---</v>
      </c>
      <c r="K17" s="376" t="str">
        <f>IF(Start!$C$15="x",(IF(J17="NA","NA",IF(OR(G17="NA",G17=""),"NA",(J17*(1-Data!$D$23)*Data!$D$14*1000)/(Data!$D$23+((1-Data!$D$23)*Data!$D$14*$G17))))),"---")</f>
        <v>---</v>
      </c>
      <c r="L17" s="376" t="str">
        <f>IF(Start!$C$15="x",(IF(I17="NA","NA",IF($G17 = "NA", "NA",(IF(OR(ChemData!U17="NA",ChemData!U17=""),I17/((Data!$D$18+((1-Data!$D$18)*Data!$D$14*$G17))/((1-Data!$D$18)*Data!$D$14*1000)),(IF(I17/((Data!$D$18+((1-Data!$D$18)*Data!$D$14*$G17))/((1-Data!$D$18)*Data!$D$14*1000))&gt;ChemData!U17, ChemData!U17, I17/((Data!$D$18+((1-Data!$D$18)*Data!$D$14*$G17))/((1-Data!$D$18)*Data!$D$14*1000))))))))),"---")</f>
        <v>---</v>
      </c>
      <c r="M17" s="376" t="str">
        <f>IF(Start!$C$15="x",(IF(L17="NA","NA",IF(OR(D17="NA",D17=""),"NA",(((Data!$D$22*Data!$D$18)*L17)+(Data!$D$19-Data!$D$22)*$D17)/((Data!$D$22*Data!$D$18)+Data!$D$19-Data!$D$22)))),"---")</f>
        <v>---</v>
      </c>
      <c r="N17" s="376" t="str">
        <f>IF(Start!$C$15="x",IF(K17 = "NA", "NA", (IF(M17 = "NA", "NA",(IF(OR(ChemData!U17="NA",ChemData!U17=""),(IF(K17&gt;M17,K17,M17)),(IF(K17&gt;M17,(IF(K17&gt;ChemData!U17, ChemData!U17, K17)),(IF(M17&gt;ChemData!U17,ChemData!U17,M17))))))))),"---")</f>
        <v>---</v>
      </c>
      <c r="O17" s="377" t="str">
        <f>IF(Start!$C$15="x",IF(N17 = "NA","NA", IF(OR(E17="NA",E17=""),"NA",(N17+(Data!$D$26*$E17))/(Data!$D$26+1))),"---")</f>
        <v>---</v>
      </c>
      <c r="P17" s="730">
        <f>IF(E17="",F17,IF($F17&lt;(1+(Data!$D$27/100))*$E17,(1+(Data!$D$27/100))*$E17,$F17))</f>
        <v>4.3</v>
      </c>
      <c r="Q17" s="343" t="str">
        <f>IF(Start!$C$15="x",(IF(C17="","",(IF(O17="NA","NA",IF(P17="NA","NA",IF(P17=0,"NA",(O17/P17))))))),"Not Req.")</f>
        <v>Not Req.</v>
      </c>
      <c r="R17" s="729"/>
      <c r="S17" s="18"/>
      <c r="T17" s="18"/>
      <c r="U17" s="163"/>
      <c r="V17" s="163"/>
      <c r="W17" s="18"/>
      <c r="X17" s="163"/>
      <c r="Y17" s="163"/>
      <c r="Z17" s="18"/>
    </row>
    <row r="18" spans="1:26" s="23" customFormat="1" x14ac:dyDescent="0.25">
      <c r="A18" s="947" t="s">
        <v>336</v>
      </c>
      <c r="B18" s="948" t="str">
        <f>IF(Start!$C$15="x",IF(C18="NA","NA",(IF(C18="","",(IF(OR(F18="NA",F18=""),"No Criteria",(IF(AND(O18="NA",F18&lt;&gt;"NA",C18&lt;&gt;"NA"),                  "Missing Data",(IF(O18&lt;F18,"No",(IF(D18&gt;F18,"Caution",(IF(O18&gt;=F18,"Needed","No"))))))))))))),"---")</f>
        <v>---</v>
      </c>
      <c r="C18" s="949" t="str">
        <f>IF(TRUE=ISBLANK(ChemData!B18),"",(ChemData!B18))</f>
        <v/>
      </c>
      <c r="D18" s="950" t="str">
        <f>IF(TRUE=ISBLANK(ChemData!C18),"",(ChemData!C18))</f>
        <v/>
      </c>
      <c r="E18" s="951" t="str">
        <f>IF(TRUE=ISBLANK(ChemData!D18),"",(ChemData!D18))</f>
        <v/>
      </c>
      <c r="F18" s="952">
        <f>IF(TRUE=ISBLANK(ChemData!H18),"",(ChemData!H18))</f>
        <v>570</v>
      </c>
      <c r="G18" s="953">
        <f>IF(TRUE=ISBLANK(ChemData!Q18),"",(ChemData!Q18))</f>
        <v>200</v>
      </c>
      <c r="H18" s="954">
        <f>IF(TRUE=ISBLANK(ChemData!S18),"",(ChemData!S18))</f>
        <v>6.0000000000000001E-3</v>
      </c>
      <c r="I18" s="955" t="str">
        <f>IF(Start!$C$15="x",(IF(OR(C18="NA",C18=""), "NA", (IF($H18 = "NA", "NA", ((C18*$H18)/(Data!$D$10/100)))))),"---")</f>
        <v>---</v>
      </c>
      <c r="J18" s="956" t="str">
        <f>IF(Start!$C$15="x",(IF(I18 = "NA", "NA", IF(OR(D18="NA",D18=""),"NA",(I18 +((Data!$D$19-Data!$D$22)/(Data!$D$19*Data!$D$22)*$D18))))),"---")</f>
        <v>---</v>
      </c>
      <c r="K18" s="956" t="str">
        <f>IF(Start!$C$15="x",(IF(J18="NA","NA",IF(OR(G18="NA",G18=""),"NA",(J18*(1-Data!$D$23)*Data!$D$14*1000)/(Data!$D$23+((1-Data!$D$23)*Data!$D$14*$G18))))),"---")</f>
        <v>---</v>
      </c>
      <c r="L18" s="956" t="str">
        <f>IF(Start!$C$15="x",(IF(I18="NA","NA",IF($G18 = "NA", "NA",(IF(OR(ChemData!U18="NA",ChemData!U18=""),I18/((Data!$D$18+((1-Data!$D$18)*Data!$D$14*$G18))/((1-Data!$D$18)*Data!$D$14*1000)),(IF(I18/((Data!$D$18+((1-Data!$D$18)*Data!$D$14*$G18))/((1-Data!$D$18)*Data!$D$14*1000))&gt;ChemData!U18, ChemData!U18, I18/((Data!$D$18+((1-Data!$D$18)*Data!$D$14*$G18))/((1-Data!$D$18)*Data!$D$14*1000))))))))),"---")</f>
        <v>---</v>
      </c>
      <c r="M18" s="956" t="str">
        <f>IF(Start!$C$15="x",(IF(L18="NA","NA",IF(OR(D18="NA",D18=""),"NA",(((Data!$D$22*Data!$D$18)*L18)+(Data!$D$19-Data!$D$22)*$D18)/((Data!$D$22*Data!$D$18)+Data!$D$19-Data!$D$22)))),"---")</f>
        <v>---</v>
      </c>
      <c r="N18" s="956" t="str">
        <f>IF(Start!$C$15="x",IF(K18 = "NA", "NA", (IF(M18 = "NA", "NA",(IF(OR(ChemData!U18="NA",ChemData!U18=""),(IF(K18&gt;M18,K18,M18)),(IF(K18&gt;M18,(IF(K18&gt;ChemData!U18, ChemData!U18, K18)),(IF(M18&gt;ChemData!U18,ChemData!U18,M18))))))))),"---")</f>
        <v>---</v>
      </c>
      <c r="O18" s="957" t="str">
        <f>IF(Start!$C$15="x",IF(N18 = "NA","NA", IF(OR(E18="NA",E18=""),"NA",(N18+(Data!$D$26*$E18))/(Data!$D$26+1))),"---")</f>
        <v>---</v>
      </c>
      <c r="P18" s="958">
        <f>IF(E18="",F18,IF($F18&lt;(1+(Data!$D$27/100))*$E18,(1+(Data!$D$27/100))*$E18,$F18))</f>
        <v>570</v>
      </c>
      <c r="Q18" s="959" t="str">
        <f>IF(Start!$C$15="x",(IF(C18="","",(IF(O18="NA","NA",IF(P18="NA","NA",IF(P18=0,"NA",(O18/P18))))))),"Not Req.")</f>
        <v>Not Req.</v>
      </c>
      <c r="R18" s="729"/>
      <c r="S18" s="18"/>
      <c r="T18" s="18"/>
      <c r="U18" s="163"/>
      <c r="V18" s="163"/>
      <c r="W18" s="18"/>
      <c r="X18" s="163"/>
      <c r="Y18" s="163"/>
      <c r="Z18" s="18"/>
    </row>
    <row r="19" spans="1:26" s="23" customFormat="1" x14ac:dyDescent="0.25">
      <c r="A19" s="967" t="s">
        <v>337</v>
      </c>
      <c r="B19" s="968" t="str">
        <f>IF(Start!$C$15="x",IF(C19="NA","NA",(IF(C19="","",(IF(OR(F19="NA",F19=""),"No Criteria",(IF(AND(O19="NA",F19&lt;&gt;"NA",C19&lt;&gt;"NA"),                  "Missing Data",(IF(O19&lt;F19,"No",(IF(D19&gt;F19,"Caution",(IF(O19&gt;=F19,"Needed","No"))))))))))))),"---")</f>
        <v>---</v>
      </c>
      <c r="C19" s="372" t="str">
        <f>IF(TRUE=ISBLANK(ChemData!B19),"",(ChemData!B19))</f>
        <v/>
      </c>
      <c r="D19" s="373" t="str">
        <f>IF(TRUE=ISBLANK(ChemData!C19),"",(ChemData!C19))</f>
        <v/>
      </c>
      <c r="E19" s="374" t="str">
        <f>IF(TRUE=ISBLANK(ChemData!D19),"",(ChemData!D19))</f>
        <v/>
      </c>
      <c r="F19" s="969">
        <f>IF(TRUE=ISBLANK(ChemData!H19),"",(ChemData!H19))</f>
        <v>16</v>
      </c>
      <c r="G19" s="970">
        <f>IF(TRUE=ISBLANK(ChemData!Q19),"",(ChemData!Q19))</f>
        <v>200</v>
      </c>
      <c r="H19" s="971">
        <f>IF(TRUE=ISBLANK(ChemData!S19),"",(ChemData!S19))</f>
        <v>6.0000000000000001E-3</v>
      </c>
      <c r="I19" s="972" t="str">
        <f>IF(Start!$C$15="x",(IF(OR(C19="NA",C19=""), "NA", (IF($H19 = "NA", "NA", ((C19*$H19)/(Data!$D$10/100)))))),"---")</f>
        <v>---</v>
      </c>
      <c r="J19" s="973" t="str">
        <f>IF(Start!$C$15="x",(IF(I19 = "NA", "NA", IF(OR(D19="NA",D19=""),"NA",(I19 +((Data!$D$19-Data!$D$22)/(Data!$D$19*Data!$D$22)*$D19))))),"---")</f>
        <v>---</v>
      </c>
      <c r="K19" s="973" t="str">
        <f>IF(Start!$C$15="x",(IF(J19="NA","NA",IF(OR(G19="NA",G19=""),"NA",(J19*(1-Data!$D$23)*Data!$D$14*1000)/(Data!$D$23+((1-Data!$D$23)*Data!$D$14*$G19))))),"---")</f>
        <v>---</v>
      </c>
      <c r="L19" s="973" t="str">
        <f>IF(Start!$C$15="x",(IF(I19="NA","NA",IF($G19 = "NA", "NA",(IF(OR(ChemData!U19="NA",ChemData!U19=""),I19/((Data!$D$18+((1-Data!$D$18)*Data!$D$14*$G19))/((1-Data!$D$18)*Data!$D$14*1000)),(IF(I19/((Data!$D$18+((1-Data!$D$18)*Data!$D$14*$G19))/((1-Data!$D$18)*Data!$D$14*1000))&gt;ChemData!U19, ChemData!U19, I19/((Data!$D$18+((1-Data!$D$18)*Data!$D$14*$G19))/((1-Data!$D$18)*Data!$D$14*1000))))))))),"---")</f>
        <v>---</v>
      </c>
      <c r="M19" s="973" t="str">
        <f>IF(Start!$C$15="x",(IF(L19="NA","NA",IF(OR(D19="NA",D19=""),"NA",(((Data!$D$22*Data!$D$18)*L19)+(Data!$D$19-Data!$D$22)*$D19)/((Data!$D$22*Data!$D$18)+Data!$D$19-Data!$D$22)))),"---")</f>
        <v>---</v>
      </c>
      <c r="N19" s="973" t="str">
        <f>IF(Start!$C$15="x",IF(K19 = "NA", "NA", (IF(M19 = "NA", "NA",(IF(OR(ChemData!U19="NA",ChemData!U19=""),(IF(K19&gt;M19,K19,M19)),(IF(K19&gt;M19,(IF(K19&gt;ChemData!U19, ChemData!U19, K19)),(IF(M19&gt;ChemData!U19,ChemData!U19,M19))))))))),"---")</f>
        <v>---</v>
      </c>
      <c r="O19" s="974" t="str">
        <f>IF(Start!$C$15="x",IF(N19 = "NA","NA", IF(OR(E19="NA",E19=""),"NA",(N19+(Data!$D$26*$E19))/(Data!$D$26+1))),"---")</f>
        <v>---</v>
      </c>
      <c r="P19" s="975">
        <f>IF(E19="",F19,IF($F19&lt;(1+(Data!$D$27/100))*$E19,(1+(Data!$D$27/100))*$E19,$F19))</f>
        <v>16</v>
      </c>
      <c r="Q19" s="976" t="str">
        <f>IF(Start!$C$15="x",(IF(C19="","",(IF(O19="NA","NA",IF(P19="NA","NA",IF(P19=0,"NA",(O19/P19))))))),"Not Req.")</f>
        <v>Not Req.</v>
      </c>
      <c r="R19" s="163"/>
      <c r="S19" s="18"/>
      <c r="T19" s="18"/>
      <c r="U19" s="163"/>
      <c r="V19" s="163"/>
      <c r="W19" s="18"/>
      <c r="X19" s="163"/>
      <c r="Y19" s="163"/>
      <c r="Z19" s="18"/>
    </row>
    <row r="20" spans="1:26" s="23" customFormat="1" x14ac:dyDescent="0.25">
      <c r="A20" s="405" t="s">
        <v>338</v>
      </c>
      <c r="B20" s="371" t="str">
        <f>IF(Start!$C$15="x",IF(C20="NA","NA",(IF(C20="","",(IF(OR(F20="NA",F20=""),"No Criteria",(IF(AND(O20="NA",F20&lt;&gt;"NA",C20&lt;&gt;"NA"),                  "Missing Data",(IF(O20&lt;F20,"No",(IF(D20&gt;F20,"Caution",(IF(O20&gt;=F20,"Needed","No"))))))))))))),"---")</f>
        <v>---</v>
      </c>
      <c r="C20" s="372" t="str">
        <f>IF(TRUE=ISBLANK(ChemData!B20),"",(ChemData!B20))</f>
        <v/>
      </c>
      <c r="D20" s="373" t="str">
        <f>IF(TRUE=ISBLANK(ChemData!C20),"",(ChemData!C20))</f>
        <v/>
      </c>
      <c r="E20" s="374" t="str">
        <f>IF(TRUE=ISBLANK(ChemData!D20),"",(ChemData!D20))</f>
        <v/>
      </c>
      <c r="F20" s="289">
        <f>IF(TRUE=ISBLANK(ChemData!H20),"",(ChemData!H20))</f>
        <v>1500</v>
      </c>
      <c r="G20" s="290">
        <f>IF(TRUE=ISBLANK(ChemData!Q20),"",(ChemData!Q20))</f>
        <v>800</v>
      </c>
      <c r="H20" s="291">
        <f>IF(TRUE=ISBLANK(ChemData!S20),"",(ChemData!S20))</f>
        <v>1</v>
      </c>
      <c r="I20" s="375" t="str">
        <f>IF(Start!$C$15="x",(IF(OR(C20="NA",C20=""), "NA", (IF($H20 = "NA", "NA", ((C20*$H20)/(Data!$D$10/100)))))),"---")</f>
        <v>---</v>
      </c>
      <c r="J20" s="376" t="str">
        <f>IF(Start!$C$15="x",(IF(I20 = "NA", "NA", IF(OR(D20="NA",D20=""),"NA",(I20 +((Data!$D$19-Data!$D$22)/(Data!$D$19*Data!$D$22)*$D20))))),"---")</f>
        <v>---</v>
      </c>
      <c r="K20" s="376" t="str">
        <f>IF(Start!$C$15="x",(IF(J20="NA","NA",IF(OR(G20="NA",G20=""),"NA",(J20*(1-Data!$D$23)*Data!$D$14*1000)/(Data!$D$23+((1-Data!$D$23)*Data!$D$14*$G20))))),"---")</f>
        <v>---</v>
      </c>
      <c r="L20" s="376" t="str">
        <f>IF(Start!$C$15="x",(IF(I20="NA","NA",IF($G20 = "NA", "NA",(IF(OR(ChemData!U20="NA",ChemData!U20=""),I20/((Data!$D$18+((1-Data!$D$18)*Data!$D$14*$G20))/((1-Data!$D$18)*Data!$D$14*1000)),(IF(I20/((Data!$D$18+((1-Data!$D$18)*Data!$D$14*$G20))/((1-Data!$D$18)*Data!$D$14*1000))&gt;ChemData!U20, ChemData!U20, I20/((Data!$D$18+((1-Data!$D$18)*Data!$D$14*$G20))/((1-Data!$D$18)*Data!$D$14*1000))))))))),"---")</f>
        <v>---</v>
      </c>
      <c r="M20" s="376" t="str">
        <f>IF(Start!$C$15="x",(IF(L20="NA","NA",IF(OR(D20="NA",D20=""),"NA",(((Data!$D$22*Data!$D$18)*L20)+(Data!$D$19-Data!$D$22)*$D20)/((Data!$D$22*Data!$D$18)+Data!$D$19-Data!$D$22)))),"---")</f>
        <v>---</v>
      </c>
      <c r="N20" s="376" t="str">
        <f>IF(Start!$C$15="x",IF(K20 = "NA", "NA", (IF(M20 = "NA", "NA",(IF(OR(ChemData!U20="NA",ChemData!U20=""),(IF(K20&gt;M20,K20,M20)),(IF(K20&gt;M20,(IF(K20&gt;ChemData!U20, ChemData!U20, K20)),(IF(M20&gt;ChemData!U20,ChemData!U20,M20))))))))),"---")</f>
        <v>---</v>
      </c>
      <c r="O20" s="377" t="str">
        <f>IF(Start!$C$15="x",IF(N20 = "NA","NA", IF(OR(E20="NA",E20=""),"NA",(N20+(Data!$D$26*$E20))/(Data!$D$26+1))),"---")</f>
        <v>---</v>
      </c>
      <c r="P20" s="730">
        <f>IF(E20="",F20,IF($F20&lt;(1+(Data!$D$27/100))*$E20,(1+(Data!$D$27/100))*$E20,$F20))</f>
        <v>1500</v>
      </c>
      <c r="Q20" s="343" t="str">
        <f>IF(Start!$C$15="x",(IF(C20="","",(IF(O20="NA","NA",IF(P20="NA","NA",IF(P20=0,"NA",(O20/P20))))))),"Not Req.")</f>
        <v>Not Req.</v>
      </c>
      <c r="R20" s="163"/>
      <c r="S20" s="18"/>
      <c r="T20" s="18"/>
      <c r="U20" s="163"/>
      <c r="V20" s="163"/>
      <c r="W20" s="18"/>
      <c r="X20" s="163"/>
      <c r="Y20" s="163"/>
      <c r="Z20" s="18"/>
    </row>
    <row r="21" spans="1:26" s="23" customFormat="1" x14ac:dyDescent="0.25">
      <c r="A21" s="405" t="s">
        <v>339</v>
      </c>
      <c r="B21" s="371" t="str">
        <f>IF(Start!$C$15="x",IF(C21="NA","NA",(IF(C21="","",(IF(OR(F21="NA",F21=""),"No Criteria",(IF(AND(O21="NA",F21&lt;&gt;"NA",C21&lt;&gt;"NA"),                  "Missing Data",(IF(O21&lt;F21,"No",(IF(D21&gt;F21,"Caution",(IF(O21&gt;=F21,"Needed","No"))))))))))))),"---")</f>
        <v>---</v>
      </c>
      <c r="C21" s="372" t="str">
        <f>IF(TRUE=ISBLANK(ChemData!B21),"",(ChemData!B21))</f>
        <v/>
      </c>
      <c r="D21" s="373" t="str">
        <f>IF(TRUE=ISBLANK(ChemData!C21),"",(ChemData!C21))</f>
        <v/>
      </c>
      <c r="E21" s="374" t="str">
        <f>IF(TRUE=ISBLANK(ChemData!D21),"",(ChemData!D21))</f>
        <v/>
      </c>
      <c r="F21" s="289">
        <f>IF(TRUE=ISBLANK(ChemData!H21),"",(ChemData!H21))</f>
        <v>13</v>
      </c>
      <c r="G21" s="290">
        <f>IF(TRUE=ISBLANK(ChemData!Q21),"",(ChemData!Q21))</f>
        <v>120</v>
      </c>
      <c r="H21" s="291">
        <f>IF(TRUE=ISBLANK(ChemData!S21),"",(ChemData!S21))</f>
        <v>0.03</v>
      </c>
      <c r="I21" s="375" t="str">
        <f>IF(Start!$C$15="x",(IF(OR(C21="NA",C21=""), "NA", (IF($H21 = "NA", "NA", ((C21*$H21)/(Data!$D$10/100)))))),"---")</f>
        <v>---</v>
      </c>
      <c r="J21" s="376" t="str">
        <f>IF(Start!$C$15="x",(IF(I21 = "NA", "NA", IF(OR(D21="NA",D21=""),"NA",(I21 +((Data!$D$19-Data!$D$22)/(Data!$D$19*Data!$D$22)*$D21))))),"---")</f>
        <v>---</v>
      </c>
      <c r="K21" s="376" t="str">
        <f>IF(Start!$C$15="x",(IF(J21="NA","NA",IF(OR(G21="NA",G21=""),"NA",(J21*(1-Data!$D$23)*Data!$D$14*1000)/(Data!$D$23+((1-Data!$D$23)*Data!$D$14*$G21))))),"---")</f>
        <v>---</v>
      </c>
      <c r="L21" s="376" t="str">
        <f>IF(Start!$C$15="x",(IF(I21="NA","NA",IF($G21 = "NA", "NA",(IF(OR(ChemData!U21="NA",ChemData!U21=""),I21/((Data!$D$18+((1-Data!$D$18)*Data!$D$14*$G21))/((1-Data!$D$18)*Data!$D$14*1000)),(IF(I21/((Data!$D$18+((1-Data!$D$18)*Data!$D$14*$G21))/((1-Data!$D$18)*Data!$D$14*1000))&gt;ChemData!U21, ChemData!U21, I21/((Data!$D$18+((1-Data!$D$18)*Data!$D$14*$G21))/((1-Data!$D$18)*Data!$D$14*1000))))))))),"---")</f>
        <v>---</v>
      </c>
      <c r="M21" s="376" t="str">
        <f>IF(Start!$C$15="x",(IF(L21="NA","NA",IF(OR(D21="NA",D21=""),"NA",(((Data!$D$22*Data!$D$18)*L21)+(Data!$D$19-Data!$D$22)*$D21)/((Data!$D$22*Data!$D$18)+Data!$D$19-Data!$D$22)))),"---")</f>
        <v>---</v>
      </c>
      <c r="N21" s="376" t="str">
        <f>IF(Start!$C$15="x",IF(K21 = "NA", "NA", (IF(M21 = "NA", "NA",(IF(OR(ChemData!U21="NA",ChemData!U21=""),(IF(K21&gt;M21,K21,M21)),(IF(K21&gt;M21,(IF(K21&gt;ChemData!U21, ChemData!U21, K21)),(IF(M21&gt;ChemData!U21,ChemData!U21,M21))))))))),"---")</f>
        <v>---</v>
      </c>
      <c r="O21" s="377" t="str">
        <f>IF(Start!$C$15="x",IF(N21 = "NA","NA", IF(OR(E21="NA",E21=""),"NA",(N21+(Data!$D$26*$E21))/(Data!$D$26+1))),"---")</f>
        <v>---</v>
      </c>
      <c r="P21" s="730">
        <f>IF(E21="",F21,IF($F21&lt;(1+(Data!$D$27/100))*$E21,(1+(Data!$D$27/100))*$E21,$F21))</f>
        <v>13</v>
      </c>
      <c r="Q21" s="343" t="str">
        <f>IF(Start!$C$15="x",(IF(C21="","",(IF(O21="NA","NA",IF(P21="NA","NA",IF(P21=0,"NA",(O21/P21))))))),"Not Req.")</f>
        <v>Not Req.</v>
      </c>
      <c r="R21" s="163"/>
      <c r="S21" s="18"/>
      <c r="T21" s="18"/>
      <c r="U21" s="163"/>
      <c r="V21" s="163"/>
      <c r="W21" s="18"/>
      <c r="X21" s="163"/>
      <c r="Y21" s="163"/>
      <c r="Z21" s="18"/>
    </row>
    <row r="22" spans="1:26" s="23" customFormat="1" x14ac:dyDescent="0.25">
      <c r="A22" s="405" t="s">
        <v>340</v>
      </c>
      <c r="B22" s="371" t="str">
        <f>IF(Start!$C$15="x",IF(C22="NA","NA",(IF(C22="","",(IF(OR(F22="NA",F22=""),"No Criteria",(IF(AND(O22="NA",F22&lt;&gt;"NA",C22&lt;&gt;"NA"),                  "Missing Data",(IF(O22&lt;F22,"No",(IF(D22&gt;F22,"Caution",(IF(O22&gt;=F22,"Needed","No"))))))))))))),"---")</f>
        <v>---</v>
      </c>
      <c r="C22" s="372" t="str">
        <f>IF(TRUE=ISBLANK(ChemData!B22),"",(ChemData!B22))</f>
        <v/>
      </c>
      <c r="D22" s="373" t="str">
        <f>IF(TRUE=ISBLANK(ChemData!C22),"",(ChemData!C22))</f>
        <v/>
      </c>
      <c r="E22" s="374" t="str">
        <f>IF(TRUE=ISBLANK(ChemData!D22),"",(ChemData!D22))</f>
        <v/>
      </c>
      <c r="F22" s="289" t="str">
        <f>IF(TRUE=ISBLANK(ChemData!H22),"",(ChemData!H22))</f>
        <v>NA</v>
      </c>
      <c r="G22" s="290">
        <f>IF(TRUE=ISBLANK(ChemData!Q22),"",(ChemData!Q22))</f>
        <v>25</v>
      </c>
      <c r="H22" s="291" t="str">
        <f>IF(TRUE=ISBLANK(ChemData!S22),"",(ChemData!S22))</f>
        <v>NA</v>
      </c>
      <c r="I22" s="375" t="str">
        <f>IF(Start!$C$15="x",(IF(OR(C22="NA",C22=""), "NA", (IF($H22 = "NA", "NA", ((C22*$H22)/(Data!$D$10/100)))))),"---")</f>
        <v>---</v>
      </c>
      <c r="J22" s="376" t="str">
        <f>IF(Start!$C$15="x",(IF(I22 = "NA", "NA", IF(OR(D22="NA",D22=""),"NA",(I22 +((Data!$D$19-Data!$D$22)/(Data!$D$19*Data!$D$22)*$D22))))),"---")</f>
        <v>---</v>
      </c>
      <c r="K22" s="376" t="str">
        <f>IF(Start!$C$15="x",(IF(J22="NA","NA",IF(OR(G22="NA",G22=""),"NA",(J22*(1-Data!$D$23)*Data!$D$14*1000)/(Data!$D$23+((1-Data!$D$23)*Data!$D$14*$G22))))),"---")</f>
        <v>---</v>
      </c>
      <c r="L22" s="376" t="str">
        <f>IF(Start!$C$15="x",(IF(I22="NA","NA",IF($G22 = "NA", "NA",(IF(OR(ChemData!U22="NA",ChemData!U22=""),I22/((Data!$D$18+((1-Data!$D$18)*Data!$D$14*$G22))/((1-Data!$D$18)*Data!$D$14*1000)),(IF(I22/((Data!$D$18+((1-Data!$D$18)*Data!$D$14*$G22))/((1-Data!$D$18)*Data!$D$14*1000))&gt;ChemData!U22, ChemData!U22, I22/((Data!$D$18+((1-Data!$D$18)*Data!$D$14*$G22))/((1-Data!$D$18)*Data!$D$14*1000))))))))),"---")</f>
        <v>---</v>
      </c>
      <c r="M22" s="376" t="str">
        <f>IF(Start!$C$15="x",(IF(L22="NA","NA",IF(OR(D22="NA",D22=""),"NA",(((Data!$D$22*Data!$D$18)*L22)+(Data!$D$19-Data!$D$22)*$D22)/((Data!$D$22*Data!$D$18)+Data!$D$19-Data!$D$22)))),"---")</f>
        <v>---</v>
      </c>
      <c r="N22" s="376" t="str">
        <f>IF(Start!$C$15="x",IF(K22 = "NA", "NA", (IF(M22 = "NA", "NA",(IF(OR(ChemData!U22="NA",ChemData!U22=""),(IF(K22&gt;M22,K22,M22)),(IF(K22&gt;M22,(IF(K22&gt;ChemData!U22, ChemData!U22, K22)),(IF(M22&gt;ChemData!U22,ChemData!U22,M22))))))))),"---")</f>
        <v>---</v>
      </c>
      <c r="O22" s="377" t="str">
        <f>IF(Start!$C$15="x",IF(N22 = "NA","NA", IF(OR(E22="NA",E22=""),"NA",(N22+(Data!$D$26*$E22))/(Data!$D$26+1))),"---")</f>
        <v>---</v>
      </c>
      <c r="P22" s="730" t="str">
        <f>IF(E22="",F22,IF($F22&lt;(1+(Data!$D$27/100))*$E22,(1+(Data!$D$27/100))*$E22,$F22))</f>
        <v>NA</v>
      </c>
      <c r="Q22" s="343" t="str">
        <f>IF(Start!$C$15="x",(IF(C22="","",(IF(O22="NA","NA",IF(P22="NA","NA",IF(P22=0,"NA",(O22/P22))))))),"Not Req.")</f>
        <v>Not Req.</v>
      </c>
      <c r="R22" s="163"/>
      <c r="S22" s="18"/>
      <c r="T22" s="18"/>
      <c r="U22" s="163"/>
      <c r="V22" s="163"/>
      <c r="W22" s="18"/>
      <c r="X22" s="163"/>
      <c r="Y22" s="163"/>
      <c r="Z22" s="18"/>
    </row>
    <row r="23" spans="1:26" s="23" customFormat="1" x14ac:dyDescent="0.25">
      <c r="A23" s="405" t="s">
        <v>341</v>
      </c>
      <c r="B23" s="371" t="str">
        <f>IF(Start!$C$15="x",IF(C23="NA","NA",(IF(C23="","",(IF(OR(F23="NA",F23=""),"No Criteria",(IF(AND(O23="NA",F23&lt;&gt;"NA",C23&lt;&gt;"NA"),                  "Missing Data",(IF(O23&lt;F23,"No",(IF(D23&gt;F23,"Caution",(IF(O23&gt;=F23,"Needed","No"))))))))))))),"---")</f>
        <v>---</v>
      </c>
      <c r="C23" s="372" t="str">
        <f>IF(TRUE=ISBLANK(ChemData!B23),"",(ChemData!B23))</f>
        <v/>
      </c>
      <c r="D23" s="373" t="str">
        <f>IF(TRUE=ISBLANK(ChemData!C23),"",(ChemData!C23))</f>
        <v/>
      </c>
      <c r="E23" s="374" t="str">
        <f>IF(TRUE=ISBLANK(ChemData!D23),"",(ChemData!D23))</f>
        <v/>
      </c>
      <c r="F23" s="289">
        <f>IF(TRUE=ISBLANK(ChemData!H23),"",(ChemData!H23))</f>
        <v>65</v>
      </c>
      <c r="G23" s="290">
        <f>IF(TRUE=ISBLANK(ChemData!Q23),"",(ChemData!Q23))</f>
        <v>300</v>
      </c>
      <c r="H23" s="291">
        <f>IF(TRUE=ISBLANK(ChemData!S23),"",(ChemData!S23))</f>
        <v>0.05</v>
      </c>
      <c r="I23" s="375" t="str">
        <f>IF(Start!$C$15="x",(IF(OR(C23="NA",C23=""), "NA", (IF($H23 = "NA", "NA", ((C23*$H23)/(Data!$D$10/100)))))),"---")</f>
        <v>---</v>
      </c>
      <c r="J23" s="376" t="str">
        <f>IF(Start!$C$15="x",(IF(I23 = "NA", "NA", IF(OR(D23="NA",D23=""),"NA",(I23 +((Data!$D$19-Data!$D$22)/(Data!$D$19*Data!$D$22)*$D23))))),"---")</f>
        <v>---</v>
      </c>
      <c r="K23" s="376" t="str">
        <f>IF(Start!$C$15="x",(IF(J23="NA","NA",IF(OR(G23="NA",G23=""),"NA",(J23*(1-Data!$D$23)*Data!$D$14*1000)/(Data!$D$23+((1-Data!$D$23)*Data!$D$14*$G23))))),"---")</f>
        <v>---</v>
      </c>
      <c r="L23" s="376" t="str">
        <f>IF(Start!$C$15="x",(IF(I23="NA","NA",IF($G23 = "NA", "NA",(IF(OR(ChemData!U23="NA",ChemData!U23=""),I23/((Data!$D$18+((1-Data!$D$18)*Data!$D$14*$G23))/((1-Data!$D$18)*Data!$D$14*1000)),(IF(I23/((Data!$D$18+((1-Data!$D$18)*Data!$D$14*$G23))/((1-Data!$D$18)*Data!$D$14*1000))&gt;ChemData!U23, ChemData!U23, I23/((Data!$D$18+((1-Data!$D$18)*Data!$D$14*$G23))/((1-Data!$D$18)*Data!$D$14*1000))))))))),"---")</f>
        <v>---</v>
      </c>
      <c r="M23" s="376" t="str">
        <f>IF(Start!$C$15="x",(IF(L23="NA","NA",IF(OR(D23="NA",D23=""),"NA",(((Data!$D$22*Data!$D$18)*L23)+(Data!$D$19-Data!$D$22)*$D23)/((Data!$D$22*Data!$D$18)+Data!$D$19-Data!$D$22)))),"---")</f>
        <v>---</v>
      </c>
      <c r="N23" s="376" t="str">
        <f>IF(Start!$C$15="x",IF(K23 = "NA", "NA", (IF(M23 = "NA", "NA",(IF(OR(ChemData!U23="NA",ChemData!U23=""),(IF(K23&gt;M23,K23,M23)),(IF(K23&gt;M23,(IF(K23&gt;ChemData!U23, ChemData!U23, K23)),(IF(M23&gt;ChemData!U23,ChemData!U23,M23))))))))),"---")</f>
        <v>---</v>
      </c>
      <c r="O23" s="377" t="str">
        <f>IF(Start!$C$15="x",IF(N23 = "NA","NA", IF(OR(E23="NA",E23=""),"NA",(N23+(Data!$D$26*$E23))/(Data!$D$26+1))),"---")</f>
        <v>---</v>
      </c>
      <c r="P23" s="730">
        <f>IF(E23="",F23,IF($F23&lt;(1+(Data!$D$27/100))*$E23,(1+(Data!$D$27/100))*$E23,$F23))</f>
        <v>65</v>
      </c>
      <c r="Q23" s="343" t="str">
        <f>IF(Start!$C$15="x",(IF(C23="","",(IF(O23="NA","NA",IF(P23="NA","NA",IF(P23=0,"NA",(O23/P23))))))),"Not Req.")</f>
        <v>Not Req.</v>
      </c>
      <c r="R23" s="163"/>
      <c r="S23" s="18"/>
      <c r="T23" s="18"/>
      <c r="U23" s="163"/>
      <c r="V23" s="163"/>
      <c r="W23" s="18"/>
      <c r="X23" s="163"/>
      <c r="Y23" s="163"/>
      <c r="Z23" s="18"/>
    </row>
    <row r="24" spans="1:26" s="23" customFormat="1" x14ac:dyDescent="0.25">
      <c r="A24" s="405" t="s">
        <v>342</v>
      </c>
      <c r="B24" s="371" t="str">
        <f>IF(Start!$C$15="x",IF(C24="NA","NA",(IF(C24="","",(IF(OR(F24="NA",F24=""),"No Criteria",(IF(AND(O24="NA",F24&lt;&gt;"NA",C24&lt;&gt;"NA"),                  "Missing Data",(IF(O24&lt;F24,"No",(IF(D24&gt;F24,"Caution",(IF(O24&gt;=F24,"Needed","No"))))))))))))),"---")</f>
        <v>---</v>
      </c>
      <c r="C24" s="372" t="str">
        <f>IF(TRUE=ISBLANK(ChemData!B24),"",(ChemData!B24))</f>
        <v/>
      </c>
      <c r="D24" s="373" t="str">
        <f>IF(TRUE=ISBLANK(ChemData!C24),"",(ChemData!C24))</f>
        <v/>
      </c>
      <c r="E24" s="374" t="str">
        <f>IF(TRUE=ISBLANK(ChemData!D24),"",(ChemData!D24))</f>
        <v/>
      </c>
      <c r="F24" s="289">
        <f>IF(TRUE=ISBLANK(ChemData!H24),"",(ChemData!H24))</f>
        <v>260</v>
      </c>
      <c r="G24" s="290">
        <f>IF(TRUE=ISBLANK(ChemData!Q24),"",(ChemData!Q24))</f>
        <v>300</v>
      </c>
      <c r="H24" s="291" t="str">
        <f>IF(TRUE=ISBLANK(ChemData!S24),"",(ChemData!S24))</f>
        <v>NA</v>
      </c>
      <c r="I24" s="375" t="str">
        <f>IF(Start!$C$15="x",(IF(OR(C24="NA",C24=""), "NA", (IF($H24 = "NA", "NA", ((C24*$H24)/(Data!$D$10/100)))))),"---")</f>
        <v>---</v>
      </c>
      <c r="J24" s="376" t="str">
        <f>IF(Start!$C$15="x",(IF(I24 = "NA", "NA", IF(OR(D24="NA",D24=""),"NA",(I24 +((Data!$D$19-Data!$D$22)/(Data!$D$19*Data!$D$22)*$D24))))),"---")</f>
        <v>---</v>
      </c>
      <c r="K24" s="376" t="str">
        <f>IF(Start!$C$15="x",(IF(J24="NA","NA",IF(OR(G24="NA",G24=""),"NA",(J24*(1-Data!$D$23)*Data!$D$14*1000)/(Data!$D$23+((1-Data!$D$23)*Data!$D$14*$G24))))),"---")</f>
        <v>---</v>
      </c>
      <c r="L24" s="376" t="str">
        <f>IF(Start!$C$15="x",(IF(I24="NA","NA",IF($G24 = "NA", "NA",(IF(OR(ChemData!U24="NA",ChemData!U24=""),I24/((Data!$D$18+((1-Data!$D$18)*Data!$D$14*$G24))/((1-Data!$D$18)*Data!$D$14*1000)),(IF(I24/((Data!$D$18+((1-Data!$D$18)*Data!$D$14*$G24))/((1-Data!$D$18)*Data!$D$14*1000))&gt;ChemData!U24, ChemData!U24, I24/((Data!$D$18+((1-Data!$D$18)*Data!$D$14*$G24))/((1-Data!$D$18)*Data!$D$14*1000))))))))),"---")</f>
        <v>---</v>
      </c>
      <c r="M24" s="376" t="str">
        <f>IF(Start!$C$15="x",(IF(L24="NA","NA",IF(OR(D24="NA",D24=""),"NA",(((Data!$D$22*Data!$D$18)*L24)+(Data!$D$19-Data!$D$22)*$D24)/((Data!$D$22*Data!$D$18)+Data!$D$19-Data!$D$22)))),"---")</f>
        <v>---</v>
      </c>
      <c r="N24" s="376" t="str">
        <f>IF(Start!$C$15="x",IF(K24 = "NA", "NA", (IF(M24 = "NA", "NA",(IF(OR(ChemData!U24="NA",ChemData!U24=""),(IF(K24&gt;M24,K24,M24)),(IF(K24&gt;M24,(IF(K24&gt;ChemData!U24, ChemData!U24, K24)),(IF(M24&gt;ChemData!U24,ChemData!U24,M24))))))))),"---")</f>
        <v>---</v>
      </c>
      <c r="O24" s="377" t="str">
        <f>IF(Start!$C$15="x",IF(N24 = "NA","NA", IF(OR(E24="NA",E24=""),"NA",(N24+(Data!$D$26*$E24))/(Data!$D$26+1))),"---")</f>
        <v>---</v>
      </c>
      <c r="P24" s="730">
        <f>IF(E24="",F24,IF($F24&lt;(1+(Data!$D$27/100))*$E24,(1+(Data!$D$27/100))*$E24,$F24))</f>
        <v>260</v>
      </c>
      <c r="Q24" s="343" t="str">
        <f>IF(Start!$C$15="x",(IF(C24="","",(IF(O24="NA","NA",IF(P24="NA","NA",IF(P24=0,"NA",(O24/P24))))))),"Not Req.")</f>
        <v>Not Req.</v>
      </c>
      <c r="R24" s="163"/>
      <c r="S24" s="18"/>
      <c r="T24" s="18"/>
      <c r="U24" s="163"/>
      <c r="V24" s="163"/>
      <c r="W24" s="18"/>
      <c r="X24" s="163"/>
      <c r="Y24" s="163"/>
      <c r="Z24" s="18"/>
    </row>
    <row r="25" spans="1:26" s="23" customFormat="1" x14ac:dyDescent="0.25">
      <c r="A25" s="405" t="s">
        <v>343</v>
      </c>
      <c r="B25" s="371" t="str">
        <f>IF(Start!$C$15="x",IF(C25="NA","NA",(IF(C25="","",(IF(OR(F25="NA",F25=""),"No Criteria",(IF(AND(O25="NA",F25&lt;&gt;"NA",C25&lt;&gt;"NA"),                  "Missing Data",(IF(O25&lt;F25,"No",(IF(D25&gt;F25,"Caution",(IF(O25&gt;=F25,"Needed","No"))))))))))))),"---")</f>
        <v>---</v>
      </c>
      <c r="C25" s="372" t="str">
        <f>IF(TRUE=ISBLANK(ChemData!B25),"",(ChemData!B25))</f>
        <v/>
      </c>
      <c r="D25" s="373" t="str">
        <f>IF(TRUE=ISBLANK(ChemData!C25),"",(ChemData!C25))</f>
        <v/>
      </c>
      <c r="E25" s="374" t="str">
        <f>IF(TRUE=ISBLANK(ChemData!D25),"",(ChemData!D25))</f>
        <v/>
      </c>
      <c r="F25" s="289">
        <f>IF(TRUE=ISBLANK(ChemData!H25),"",(ChemData!H25))</f>
        <v>2300</v>
      </c>
      <c r="G25" s="290">
        <f>IF(TRUE=ISBLANK(ChemData!Q25),"",(ChemData!Q25))</f>
        <v>65</v>
      </c>
      <c r="H25" s="291" t="str">
        <f>IF(TRUE=ISBLANK(ChemData!S25),"",(ChemData!S25))</f>
        <v>NA</v>
      </c>
      <c r="I25" s="375" t="str">
        <f>IF(Start!$C$15="x",(IF(OR(C25="NA",C25=""), "NA", (IF($H25 = "NA", "NA", ((C25*$H25)/(Data!$D$10/100)))))),"---")</f>
        <v>---</v>
      </c>
      <c r="J25" s="376" t="str">
        <f>IF(Start!$C$15="x",(IF(I25 = "NA", "NA", IF(OR(D25="NA",D25=""),"NA",(I25 +((Data!$D$19-Data!$D$22)/(Data!$D$19*Data!$D$22)*$D25))))),"---")</f>
        <v>---</v>
      </c>
      <c r="K25" s="376" t="str">
        <f>IF(Start!$C$15="x",(IF(J25="NA","NA",IF(OR(G25="NA",G25=""),"NA",(J25*(1-Data!$D$23)*Data!$D$14*1000)/(Data!$D$23+((1-Data!$D$23)*Data!$D$14*$G25))))),"---")</f>
        <v>---</v>
      </c>
      <c r="L25" s="376" t="str">
        <f>IF(Start!$C$15="x",(IF(I25="NA","NA",IF($G25 = "NA", "NA",(IF(OR(ChemData!U25="NA",ChemData!U25=""),I25/((Data!$D$18+((1-Data!$D$18)*Data!$D$14*$G25))/((1-Data!$D$18)*Data!$D$14*1000)),(IF(I25/((Data!$D$18+((1-Data!$D$18)*Data!$D$14*$G25))/((1-Data!$D$18)*Data!$D$14*1000))&gt;ChemData!U25, ChemData!U25, I25/((Data!$D$18+((1-Data!$D$18)*Data!$D$14*$G25))/((1-Data!$D$18)*Data!$D$14*1000))))))))),"---")</f>
        <v>---</v>
      </c>
      <c r="M25" s="376" t="str">
        <f>IF(Start!$C$15="x",(IF(L25="NA","NA",IF(OR(D25="NA",D25=""),"NA",(((Data!$D$22*Data!$D$18)*L25)+(Data!$D$19-Data!$D$22)*$D25)/((Data!$D$22*Data!$D$18)+Data!$D$19-Data!$D$22)))),"---")</f>
        <v>---</v>
      </c>
      <c r="N25" s="376" t="str">
        <f>IF(Start!$C$15="x",IF(K25 = "NA", "NA", (IF(M25 = "NA", "NA",(IF(OR(ChemData!U25="NA",ChemData!U25=""),(IF(K25&gt;M25,K25,M25)),(IF(K25&gt;M25,(IF(K25&gt;ChemData!U25, ChemData!U25, K25)),(IF(M25&gt;ChemData!U25,ChemData!U25,M25))))))))),"---")</f>
        <v>---</v>
      </c>
      <c r="O25" s="377" t="str">
        <f>IF(Start!$C$15="x",IF(N25 = "NA","NA", IF(OR(E25="NA",E25=""),"NA",(N25+(Data!$D$26*$E25))/(Data!$D$26+1))),"---")</f>
        <v>---</v>
      </c>
      <c r="P25" s="730">
        <f>IF(E25="",F25,IF($F25&lt;(1+(Data!$D$27/100))*$E25,(1+(Data!$D$27/100))*$E25,$F25))</f>
        <v>2300</v>
      </c>
      <c r="Q25" s="343" t="str">
        <f>IF(Start!$C$15="x",(IF(C25="","",(IF(O25="NA","NA",IF(P25="NA","NA",IF(P25=0,"NA",(O25/P25))))))),"Not Req.")</f>
        <v>Not Req.</v>
      </c>
      <c r="R25" s="163"/>
      <c r="S25" s="18"/>
      <c r="T25" s="18"/>
      <c r="U25" s="163"/>
      <c r="V25" s="163"/>
      <c r="W25" s="18"/>
      <c r="X25" s="163"/>
      <c r="Y25" s="163"/>
      <c r="Z25" s="18"/>
    </row>
    <row r="26" spans="1:26" s="23" customFormat="1" x14ac:dyDescent="0.25">
      <c r="A26" s="405" t="s">
        <v>344</v>
      </c>
      <c r="B26" s="371" t="str">
        <f>IF(Start!$C$15="x",IF(C26="NA","NA",(IF(C26="","",(IF(OR(F26="NA",F26=""),"No Criteria",(IF(AND(O26="NA",F26&lt;&gt;"NA",C26&lt;&gt;"NA"),                  "Missing Data",(IF(O26&lt;F26,"No",(IF(D26&gt;F26,"Caution",(IF(O26&gt;=F26,"Needed","No"))))))))))))),"---")</f>
        <v>---</v>
      </c>
      <c r="C26" s="372" t="str">
        <f>IF(TRUE=ISBLANK(ChemData!B26),"",(ChemData!B26))</f>
        <v/>
      </c>
      <c r="D26" s="373" t="str">
        <f>IF(TRUE=ISBLANK(ChemData!C26),"",(ChemData!C26))</f>
        <v/>
      </c>
      <c r="E26" s="374" t="str">
        <f>IF(TRUE=ISBLANK(ChemData!D26),"",(ChemData!D26))</f>
        <v/>
      </c>
      <c r="F26" s="289">
        <f>IF(TRUE=ISBLANK(ChemData!H26),"",(ChemData!H26))</f>
        <v>1.4</v>
      </c>
      <c r="G26" s="290">
        <f>IF(TRUE=ISBLANK(ChemData!Q26),"",(ChemData!Q26))</f>
        <v>100</v>
      </c>
      <c r="H26" s="291">
        <f>IF(TRUE=ISBLANK(ChemData!S26),"",(ChemData!S26))</f>
        <v>0.02</v>
      </c>
      <c r="I26" s="375" t="str">
        <f>IF(Start!$C$15="x",(IF(OR(C26="NA",C26=""), "NA", (IF($H26 = "NA", "NA", ((C26*$H26)/(Data!$D$10/100)))))),"---")</f>
        <v>---</v>
      </c>
      <c r="J26" s="376" t="str">
        <f>IF(Start!$C$15="x",(IF(I26 = "NA", "NA", IF(OR(D26="NA",D26=""),"NA",(I26 +((Data!$D$19-Data!$D$22)/(Data!$D$19*Data!$D$22)*$D26))))),"---")</f>
        <v>---</v>
      </c>
      <c r="K26" s="376" t="str">
        <f>IF(Start!$C$15="x",(IF(J26="NA","NA",IF(OR(G26="NA",G26=""),"NA",(J26*(1-Data!$D$23)*Data!$D$14*1000)/(Data!$D$23+((1-Data!$D$23)*Data!$D$14*$G26))))),"---")</f>
        <v>---</v>
      </c>
      <c r="L26" s="376" t="str">
        <f>IF(Start!$C$15="x",(IF(I26="NA","NA",IF($G26 = "NA", "NA",(IF(OR(ChemData!U26="NA",ChemData!U26=""),I26/((Data!$D$18+((1-Data!$D$18)*Data!$D$14*$G26))/((1-Data!$D$18)*Data!$D$14*1000)),(IF(I26/((Data!$D$18+((1-Data!$D$18)*Data!$D$14*$G26))/((1-Data!$D$18)*Data!$D$14*1000))&gt;ChemData!U26, ChemData!U26, I26/((Data!$D$18+((1-Data!$D$18)*Data!$D$14*$G26))/((1-Data!$D$18)*Data!$D$14*1000))))))))),"---")</f>
        <v>---</v>
      </c>
      <c r="M26" s="376" t="str">
        <f>IF(Start!$C$15="x",(IF(L26="NA","NA",IF(OR(D26="NA",D26=""),"NA",(((Data!$D$22*Data!$D$18)*L26)+(Data!$D$19-Data!$D$22)*$D26)/((Data!$D$22*Data!$D$18)+Data!$D$19-Data!$D$22)))),"---")</f>
        <v>---</v>
      </c>
      <c r="N26" s="376" t="str">
        <f>IF(Start!$C$15="x",IF(K26 = "NA", "NA", (IF(M26 = "NA", "NA",(IF(OR(ChemData!U26="NA",ChemData!U26=""),(IF(K26&gt;M26,K26,M26)),(IF(K26&gt;M26,(IF(K26&gt;ChemData!U26, ChemData!U26, K26)),(IF(M26&gt;ChemData!U26,ChemData!U26,M26))))))))),"---")</f>
        <v>---</v>
      </c>
      <c r="O26" s="377" t="str">
        <f>IF(Start!$C$15="x",IF(N26 = "NA","NA", IF(OR(E26="NA",E26=""),"NA",(N26+(Data!$D$26*$E26))/(Data!$D$26+1))),"---")</f>
        <v>---</v>
      </c>
      <c r="P26" s="730">
        <f>IF(E26="",F26,IF($F26&lt;(1+(Data!$D$27/100))*$E26,(1+(Data!$D$27/100))*$E26,$F26))</f>
        <v>1.4</v>
      </c>
      <c r="Q26" s="343" t="str">
        <f>IF(Start!$C$15="x",(IF(C26="","",(IF(O26="NA","NA",IF(P26="NA","NA",IF(P26=0,"NA",(O26/P26))))))),"Not Req.")</f>
        <v>Not Req.</v>
      </c>
      <c r="R26" s="163"/>
      <c r="S26" s="18"/>
      <c r="T26" s="18"/>
      <c r="U26" s="163"/>
      <c r="V26" s="163"/>
      <c r="W26" s="18"/>
      <c r="X26" s="163"/>
      <c r="Y26" s="163"/>
      <c r="Z26" s="18"/>
    </row>
    <row r="27" spans="1:26" s="23" customFormat="1" x14ac:dyDescent="0.25">
      <c r="A27" s="56" t="s">
        <v>345</v>
      </c>
      <c r="B27" s="371" t="str">
        <f>IF(Start!$C$15="x",IF(C27="NA","NA",(IF(C27="","",(IF(OR(F27="NA",F27=""),"No Criteria",(IF(AND(O27="NA",F27&lt;&gt;"NA",C27&lt;&gt;"NA"),                  "Missing Data",(IF(O27&lt;F27,"No",(IF(D27&gt;F27,"Caution",(IF(O27&gt;=F27,"Needed","No"))))))))))))),"---")</f>
        <v>---</v>
      </c>
      <c r="C27" s="372" t="str">
        <f>IF(TRUE=ISBLANK(ChemData!B27),"",(ChemData!B27))</f>
        <v/>
      </c>
      <c r="D27" s="373" t="str">
        <f>IF(TRUE=ISBLANK(ChemData!C27),"",(ChemData!C27))</f>
        <v/>
      </c>
      <c r="E27" s="374" t="str">
        <f>IF(TRUE=ISBLANK(ChemData!D27),"",(ChemData!D27))</f>
        <v/>
      </c>
      <c r="F27" s="289">
        <f>IF(TRUE=ISBLANK(ChemData!H27),"",(ChemData!H27))</f>
        <v>16000</v>
      </c>
      <c r="G27" s="290">
        <f>IF(TRUE=ISBLANK(ChemData!Q27),"",(ChemData!Q27))</f>
        <v>20</v>
      </c>
      <c r="H27" s="291" t="str">
        <f>IF(TRUE=ISBLANK(ChemData!S27),"",(ChemData!S27))</f>
        <v>NA</v>
      </c>
      <c r="I27" s="375" t="str">
        <f>IF(Start!$C$15="x",(IF(OR(C27="NA",C27=""), "NA", (IF($H27 = "NA", "NA", ((C27*$H27)/(Data!$D$10/100)))))),"---")</f>
        <v>---</v>
      </c>
      <c r="J27" s="376" t="str">
        <f>IF(Start!$C$15="x",(IF(I27 = "NA", "NA", IF(OR(D27="NA",D27=""),"NA",(I27 +((Data!$D$19-Data!$D$22)/(Data!$D$19*Data!$D$22)*$D27))))),"---")</f>
        <v>---</v>
      </c>
      <c r="K27" s="376" t="str">
        <f>IF(Start!$C$15="x",(IF(J27="NA","NA",IF(OR(G27="NA",G27=""),"NA",(J27*(1-Data!$D$23)*Data!$D$14*1000)/(Data!$D$23+((1-Data!$D$23)*Data!$D$14*$G27))))),"---")</f>
        <v>---</v>
      </c>
      <c r="L27" s="376" t="str">
        <f>IF(Start!$C$15="x",(IF(I27="NA","NA",IF($G27 = "NA", "NA",(IF(OR(ChemData!U27="NA",ChemData!U27=""),I27/((Data!$D$18+((1-Data!$D$18)*Data!$D$14*$G27))/((1-Data!$D$18)*Data!$D$14*1000)),(IF(I27/((Data!$D$18+((1-Data!$D$18)*Data!$D$14*$G27))/((1-Data!$D$18)*Data!$D$14*1000))&gt;ChemData!U27, ChemData!U27, I27/((Data!$D$18+((1-Data!$D$18)*Data!$D$14*$G27))/((1-Data!$D$18)*Data!$D$14*1000))))))))),"---")</f>
        <v>---</v>
      </c>
      <c r="M27" s="376" t="str">
        <f>IF(Start!$C$15="x",(IF(L27="NA","NA",IF(OR(D27="NA",D27=""),"NA",(((Data!$D$22*Data!$D$18)*L27)+(Data!$D$19-Data!$D$22)*$D27)/((Data!$D$22*Data!$D$18)+Data!$D$19-Data!$D$22)))),"---")</f>
        <v>---</v>
      </c>
      <c r="N27" s="376" t="str">
        <f>IF(Start!$C$15="x",IF(K27 = "NA", "NA", (IF(M27 = "NA", "NA",(IF(OR(ChemData!U27="NA",ChemData!U27=""),(IF(K27&gt;M27,K27,M27)),(IF(K27&gt;M27,(IF(K27&gt;ChemData!U27, ChemData!U27, K27)),(IF(M27&gt;ChemData!U27,ChemData!U27,M27))))))))),"---")</f>
        <v>---</v>
      </c>
      <c r="O27" s="377" t="str">
        <f>IF(Start!$C$15="x",IF(N27 = "NA","NA", IF(OR(E27="NA",E27=""),"NA",(N27+(Data!$D$26*$E27))/(Data!$D$26+1))),"---")</f>
        <v>---</v>
      </c>
      <c r="P27" s="730">
        <f>IF(E27="",F27,IF($F27&lt;(1+(Data!$D$27/100))*$E27,(1+(Data!$D$27/100))*$E27,$F27))</f>
        <v>16000</v>
      </c>
      <c r="Q27" s="343" t="str">
        <f>IF(Start!$C$15="x",(IF(C27="","",(IF(O27="NA","NA",IF(P27="NA","NA",IF(P27=0,"NA",(O27/P27))))))),"Not Req.")</f>
        <v>Not Req.</v>
      </c>
      <c r="R27" s="163"/>
      <c r="S27" s="18"/>
      <c r="T27" s="18"/>
      <c r="U27" s="163"/>
      <c r="V27" s="163"/>
      <c r="W27" s="18"/>
      <c r="X27" s="163"/>
      <c r="Y27" s="163"/>
      <c r="Z27" s="18"/>
    </row>
    <row r="28" spans="1:26" s="23" customFormat="1" x14ac:dyDescent="0.25">
      <c r="A28" s="405" t="s">
        <v>346</v>
      </c>
      <c r="B28" s="371" t="str">
        <f>IF(Start!$C$15="x",IF(C28="NA","NA",(IF(C28="","",(IF(OR(F28="NA",F28=""),"No Criteria",(IF(AND(O28="NA",F28&lt;&gt;"NA",C28&lt;&gt;"NA"),                  "Missing Data",(IF(O28&lt;F28,"No",(IF(D28&gt;F28,"Caution",(IF(O28&gt;=F28,"Needed","No"))))))))))))),"---")</f>
        <v>---</v>
      </c>
      <c r="C28" s="372" t="str">
        <f>IF(TRUE=ISBLANK(ChemData!B28),"",(ChemData!B28))</f>
        <v/>
      </c>
      <c r="D28" s="373" t="str">
        <f>IF(TRUE=ISBLANK(ChemData!C28),"",(ChemData!C28))</f>
        <v/>
      </c>
      <c r="E28" s="374" t="str">
        <f>IF(TRUE=ISBLANK(ChemData!D28),"",(ChemData!D28))</f>
        <v/>
      </c>
      <c r="F28" s="289">
        <f>IF(TRUE=ISBLANK(ChemData!H28),"",(ChemData!H28))</f>
        <v>470</v>
      </c>
      <c r="G28" s="290">
        <f>IF(TRUE=ISBLANK(ChemData!Q28),"",(ChemData!Q28))</f>
        <v>70</v>
      </c>
      <c r="H28" s="291">
        <f>IF(TRUE=ISBLANK(ChemData!S28),"",(ChemData!S28))</f>
        <v>0.02</v>
      </c>
      <c r="I28" s="375" t="str">
        <f>IF(Start!$C$15="x",(IF(OR(C28="NA",C28=""), "NA", (IF($H28 = "NA", "NA", ((C28*$H28)/(Data!$D$10/100)))))),"---")</f>
        <v>---</v>
      </c>
      <c r="J28" s="376" t="str">
        <f>IF(Start!$C$15="x",(IF(I28 = "NA", "NA", IF(OR(D28="NA",D28=""),"NA",(I28 +((Data!$D$19-Data!$D$22)/(Data!$D$19*Data!$D$22)*$D28))))),"---")</f>
        <v>---</v>
      </c>
      <c r="K28" s="376" t="str">
        <f>IF(Start!$C$15="x",(IF(J28="NA","NA",IF(OR(G28="NA",G28=""),"NA",(J28*(1-Data!$D$23)*Data!$D$14*1000)/(Data!$D$23+((1-Data!$D$23)*Data!$D$14*$G28))))),"---")</f>
        <v>---</v>
      </c>
      <c r="L28" s="376" t="str">
        <f>IF(Start!$C$15="x",(IF(I28="NA","NA",IF($G28 = "NA", "NA",(IF(OR(ChemData!U28="NA",ChemData!U28=""),I28/((Data!$D$18+((1-Data!$D$18)*Data!$D$14*$G28))/((1-Data!$D$18)*Data!$D$14*1000)),(IF(I28/((Data!$D$18+((1-Data!$D$18)*Data!$D$14*$G28))/((1-Data!$D$18)*Data!$D$14*1000))&gt;ChemData!U28, ChemData!U28, I28/((Data!$D$18+((1-Data!$D$18)*Data!$D$14*$G28))/((1-Data!$D$18)*Data!$D$14*1000))))))))),"---")</f>
        <v>---</v>
      </c>
      <c r="M28" s="376" t="str">
        <f>IF(Start!$C$15="x",(IF(L28="NA","NA",IF(OR(D28="NA",D28=""),"NA",(((Data!$D$22*Data!$D$18)*L28)+(Data!$D$19-Data!$D$22)*$D28)/((Data!$D$22*Data!$D$18)+Data!$D$19-Data!$D$22)))),"---")</f>
        <v>---</v>
      </c>
      <c r="N28" s="376" t="str">
        <f>IF(Start!$C$15="x",IF(K28 = "NA", "NA", (IF(M28 = "NA", "NA",(IF(OR(ChemData!U28="NA",ChemData!U28=""),(IF(K28&gt;M28,K28,M28)),(IF(K28&gt;M28,(IF(K28&gt;ChemData!U28, ChemData!U28, K28)),(IF(M28&gt;ChemData!U28,ChemData!U28,M28))))))))),"---")</f>
        <v>---</v>
      </c>
      <c r="O28" s="377" t="str">
        <f>IF(Start!$C$15="x",IF(N28 = "NA","NA", IF(OR(E28="NA",E28=""),"NA",(N28+(Data!$D$26*$E28))/(Data!$D$26+1))),"---")</f>
        <v>---</v>
      </c>
      <c r="P28" s="730">
        <f>IF(E28="",F28,IF($F28&lt;(1+(Data!$D$27/100))*$E28,(1+(Data!$D$27/100))*$E28,$F28))</f>
        <v>470</v>
      </c>
      <c r="Q28" s="343" t="str">
        <f>IF(Start!$C$15="x",(IF(C28="","",(IF(O28="NA","NA",IF(P28="NA","NA",IF(P28=0,"NA",(O28/P28))))))),"Not Req.")</f>
        <v>Not Req.</v>
      </c>
      <c r="R28" s="163"/>
      <c r="S28" s="18"/>
      <c r="T28" s="18"/>
      <c r="U28" s="163"/>
      <c r="V28" s="163"/>
      <c r="W28" s="18"/>
      <c r="X28" s="163"/>
      <c r="Y28" s="163"/>
      <c r="Z28" s="18"/>
    </row>
    <row r="29" spans="1:26" s="23" customFormat="1" x14ac:dyDescent="0.25">
      <c r="A29" s="405" t="s">
        <v>347</v>
      </c>
      <c r="B29" s="371" t="str">
        <f>IF(Start!$C$15="x",IF(C29="NA","NA",(IF(C29="","",(IF(OR(F29="NA",F29=""),"No Criteria",(IF(AND(O29="NA",F29&lt;&gt;"NA",C29&lt;&gt;"NA"),                  "Missing Data",(IF(O29&lt;F29,"No",(IF(D29&gt;F29,"Caution",(IF(O29&gt;=F29,"Needed","No"))))))))))))),"---")</f>
        <v>---</v>
      </c>
      <c r="C29" s="372" t="str">
        <f>IF(TRUE=ISBLANK(ChemData!B29),"",(ChemData!B29))</f>
        <v/>
      </c>
      <c r="D29" s="373" t="str">
        <f>IF(TRUE=ISBLANK(ChemData!C29),"",(ChemData!C29))</f>
        <v/>
      </c>
      <c r="E29" s="374" t="str">
        <f>IF(TRUE=ISBLANK(ChemData!D29),"",(ChemData!D29))</f>
        <v/>
      </c>
      <c r="F29" s="289">
        <f>IF(TRUE=ISBLANK(ChemData!H29),"",(ChemData!H29))</f>
        <v>20</v>
      </c>
      <c r="G29" s="290">
        <f>IF(TRUE=ISBLANK(ChemData!Q29),"",(ChemData!Q29))</f>
        <v>20</v>
      </c>
      <c r="H29" s="291">
        <f>IF(TRUE=ISBLANK(ChemData!S29),"",(ChemData!S29))</f>
        <v>0.5</v>
      </c>
      <c r="I29" s="375" t="str">
        <f>IF(Start!$C$15="x",(IF(OR(C29="NA",C29=""), "NA", (IF($H29 = "NA", "NA", ((C29*$H29)/(Data!$D$10/100)))))),"---")</f>
        <v>---</v>
      </c>
      <c r="J29" s="376" t="str">
        <f>IF(Start!$C$15="x",(IF(I29 = "NA", "NA", IF(OR(D29="NA",D29=""),"NA",(I29 +((Data!$D$19-Data!$D$22)/(Data!$D$19*Data!$D$22)*$D29))))),"---")</f>
        <v>---</v>
      </c>
      <c r="K29" s="376" t="str">
        <f>IF(Start!$C$15="x",(IF(J29="NA","NA",IF(OR(G29="NA",G29=""),"NA",(J29*(1-Data!$D$23)*Data!$D$14*1000)/(Data!$D$23+((1-Data!$D$23)*Data!$D$14*$G29))))),"---")</f>
        <v>---</v>
      </c>
      <c r="L29" s="376" t="str">
        <f>IF(Start!$C$15="x",(IF(I29="NA","NA",IF($G29 = "NA", "NA",(IF(OR(ChemData!U29="NA",ChemData!U29=""),I29/((Data!$D$18+((1-Data!$D$18)*Data!$D$14*$G29))/((1-Data!$D$18)*Data!$D$14*1000)),(IF(I29/((Data!$D$18+((1-Data!$D$18)*Data!$D$14*$G29))/((1-Data!$D$18)*Data!$D$14*1000))&gt;ChemData!U29, ChemData!U29, I29/((Data!$D$18+((1-Data!$D$18)*Data!$D$14*$G29))/((1-Data!$D$18)*Data!$D$14*1000))))))))),"---")</f>
        <v>---</v>
      </c>
      <c r="M29" s="376" t="str">
        <f>IF(Start!$C$15="x",(IF(L29="NA","NA",IF(OR(D29="NA",D29=""),"NA",(((Data!$D$22*Data!$D$18)*L29)+(Data!$D$19-Data!$D$22)*$D29)/((Data!$D$22*Data!$D$18)+Data!$D$19-Data!$D$22)))),"---")</f>
        <v>---</v>
      </c>
      <c r="N29" s="376" t="str">
        <f>IF(Start!$C$15="x",IF(K29 = "NA", "NA", (IF(M29 = "NA", "NA",(IF(OR(ChemData!U29="NA",ChemData!U29=""),(IF(K29&gt;M29,K29,M29)),(IF(K29&gt;M29,(IF(K29&gt;ChemData!U29, ChemData!U29, K29)),(IF(M29&gt;ChemData!U29,ChemData!U29,M29))))))))),"---")</f>
        <v>---</v>
      </c>
      <c r="O29" s="377" t="str">
        <f>IF(Start!$C$15="x",IF(N29 = "NA","NA", IF(OR(E29="NA",E29=""),"NA",(N29+(Data!$D$26*$E29))/(Data!$D$26+1))),"---")</f>
        <v>---</v>
      </c>
      <c r="P29" s="730">
        <f>IF(E29="",F29,IF($F29&lt;(1+(Data!$D$27/100))*$E29,(1+(Data!$D$27/100))*$E29,$F29))</f>
        <v>20</v>
      </c>
      <c r="Q29" s="343" t="str">
        <f>IF(Start!$C$15="x",(IF(C29="","",(IF(O29="NA","NA",IF(P29="NA","NA",IF(P29=0,"NA",(O29/P29))))))),"Not Req.")</f>
        <v>Not Req.</v>
      </c>
      <c r="R29" s="163"/>
      <c r="S29" s="18"/>
      <c r="T29" s="18"/>
      <c r="U29" s="163"/>
      <c r="V29" s="18"/>
      <c r="W29" s="18"/>
      <c r="X29" s="18"/>
      <c r="Y29" s="18"/>
      <c r="Z29" s="18"/>
    </row>
    <row r="30" spans="1:26" s="23" customFormat="1" x14ac:dyDescent="0.25">
      <c r="A30" s="405" t="s">
        <v>348</v>
      </c>
      <c r="B30" s="371" t="str">
        <f>IF(Start!$C$15="x",IF(C30="NA","NA",(IF(C30="","",(IF(OR(F30="NA",F30=""),"No Criteria",(IF(AND(O30="NA",F30&lt;&gt;"NA",C30&lt;&gt;"NA"),                  "Missing Data",(IF(O30&lt;F30,"No",(IF(D30&gt;F30,"Caution",(IF(O30&gt;=F30,"Needed","No"))))))))))))),"---")</f>
        <v>---</v>
      </c>
      <c r="C30" s="372" t="str">
        <f>IF(TRUE=ISBLANK(ChemData!B30),"",(ChemData!B30))</f>
        <v/>
      </c>
      <c r="D30" s="373" t="str">
        <f>IF(TRUE=ISBLANK(ChemData!C30),"",(ChemData!C30))</f>
        <v/>
      </c>
      <c r="E30" s="374" t="str">
        <f>IF(TRUE=ISBLANK(ChemData!D30),"",(ChemData!D30))</f>
        <v/>
      </c>
      <c r="F30" s="289">
        <f>IF(TRUE=ISBLANK(ChemData!H30),"",(ChemData!H30))</f>
        <v>3.4</v>
      </c>
      <c r="G30" s="290">
        <f>IF(TRUE=ISBLANK(ChemData!Q30),"",(ChemData!Q30))</f>
        <v>150</v>
      </c>
      <c r="H30" s="291">
        <f>IF(TRUE=ISBLANK(ChemData!S30),"",(ChemData!S30))</f>
        <v>0.2</v>
      </c>
      <c r="I30" s="375" t="str">
        <f>IF(Start!$C$15="x",(IF(OR(C30="NA",C30=""), "NA", (IF($H30 = "NA", "NA", ((C30*$H30)/(Data!$D$10/100)))))),"---")</f>
        <v>---</v>
      </c>
      <c r="J30" s="376" t="str">
        <f>IF(Start!$C$15="x",(IF(I30 = "NA", "NA", IF(OR(D30="NA",D30=""),"NA",(I30 +((Data!$D$19-Data!$D$22)/(Data!$D$19*Data!$D$22)*$D30))))),"---")</f>
        <v>---</v>
      </c>
      <c r="K30" s="376" t="str">
        <f>IF(Start!$C$15="x",(IF(J30="NA","NA",IF(OR(G30="NA",G30=""),"NA",(J30*(1-Data!$D$23)*Data!$D$14*1000)/(Data!$D$23+((1-Data!$D$23)*Data!$D$14*$G30))))),"---")</f>
        <v>---</v>
      </c>
      <c r="L30" s="376" t="str">
        <f>IF(Start!$C$15="x",(IF(I30="NA","NA",IF($G30 = "NA", "NA",(IF(OR(ChemData!U30="NA",ChemData!U30=""),I30/((Data!$D$18+((1-Data!$D$18)*Data!$D$14*$G30))/((1-Data!$D$18)*Data!$D$14*1000)),(IF(I30/((Data!$D$18+((1-Data!$D$18)*Data!$D$14*$G30))/((1-Data!$D$18)*Data!$D$14*1000))&gt;ChemData!U30, ChemData!U30, I30/((Data!$D$18+((1-Data!$D$18)*Data!$D$14*$G30))/((1-Data!$D$18)*Data!$D$14*1000))))))))),"---")</f>
        <v>---</v>
      </c>
      <c r="M30" s="376" t="str">
        <f>IF(Start!$C$15="x",(IF(L30="NA","NA",IF(OR(D30="NA",D30=""),"NA",(((Data!$D$22*Data!$D$18)*L30)+(Data!$D$19-Data!$D$22)*$D30)/((Data!$D$22*Data!$D$18)+Data!$D$19-Data!$D$22)))),"---")</f>
        <v>---</v>
      </c>
      <c r="N30" s="376" t="str">
        <f>IF(Start!$C$15="x",IF(K30 = "NA", "NA", (IF(M30 = "NA", "NA",(IF(OR(ChemData!U30="NA",ChemData!U30=""),(IF(K30&gt;M30,K30,M30)),(IF(K30&gt;M30,(IF(K30&gt;ChemData!U30, ChemData!U30, K30)),(IF(M30&gt;ChemData!U30,ChemData!U30,M30))))))))),"---")</f>
        <v>---</v>
      </c>
      <c r="O30" s="377" t="str">
        <f>IF(Start!$C$15="x",IF(N30 = "NA","NA", IF(OR(E30="NA",E30=""),"NA",(N30+(Data!$D$26*$E30))/(Data!$D$26+1))),"---")</f>
        <v>---</v>
      </c>
      <c r="P30" s="730">
        <f>IF(E30="",F30,IF($F30&lt;(1+(Data!$D$27/100))*$E30,(1+(Data!$D$27/100))*$E30,$F30))</f>
        <v>3.4</v>
      </c>
      <c r="Q30" s="343" t="str">
        <f>IF(Start!$C$15="x",(IF(C30="","",(IF(O30="NA","NA",IF(P30="NA","NA",IF(P30=0,"NA",(O30/P30))))))),"Not Req.")</f>
        <v>Not Req.</v>
      </c>
      <c r="R30" s="163"/>
      <c r="S30" s="18"/>
      <c r="T30" s="18"/>
      <c r="U30" s="163"/>
      <c r="V30" s="163"/>
      <c r="W30" s="18"/>
      <c r="X30" s="163"/>
      <c r="Y30" s="163"/>
      <c r="Z30" s="18"/>
    </row>
    <row r="31" spans="1:26" s="23" customFormat="1" x14ac:dyDescent="0.25">
      <c r="A31" s="405" t="s">
        <v>349</v>
      </c>
      <c r="B31" s="371" t="str">
        <f>IF(Start!$C$15="x",IF(C31="NA","NA",(IF(C31="","",(IF(OR(F31="NA",F31=""),"No Criteria",(IF(AND(O31="NA",F31&lt;&gt;"NA",C31&lt;&gt;"NA"),                  "Missing Data",(IF(O31&lt;F31,"No",(IF(D31&gt;F31,"Caution",(IF(O31&gt;=F31,"Needed","No"))))))))))))),"---")</f>
        <v>---</v>
      </c>
      <c r="C31" s="372" t="str">
        <f>IF(TRUE=ISBLANK(ChemData!B31),"",(ChemData!B31))</f>
        <v/>
      </c>
      <c r="D31" s="373" t="str">
        <f>IF(TRUE=ISBLANK(ChemData!C31),"",(ChemData!C31))</f>
        <v/>
      </c>
      <c r="E31" s="374" t="str">
        <f>IF(TRUE=ISBLANK(ChemData!D31),"",(ChemData!D31))</f>
        <v/>
      </c>
      <c r="F31" s="289">
        <f>IF(TRUE=ISBLANK(ChemData!H31),"",(ChemData!H31))</f>
        <v>15000</v>
      </c>
      <c r="G31" s="290">
        <f>IF(TRUE=ISBLANK(ChemData!Q31),"",(ChemData!Q31))</f>
        <v>35</v>
      </c>
      <c r="H31" s="291" t="str">
        <f>IF(TRUE=ISBLANK(ChemData!S31),"",(ChemData!S31))</f>
        <v>NA</v>
      </c>
      <c r="I31" s="375" t="str">
        <f>IF(Start!$C$15="x",(IF(OR(C31="NA",C31=""), "NA", (IF($H31 = "NA", "NA", ((C31*$H31)/(Data!$D$10/100)))))),"---")</f>
        <v>---</v>
      </c>
      <c r="J31" s="376" t="str">
        <f>IF(Start!$C$15="x",(IF(I31 = "NA", "NA", IF(OR(D31="NA",D31=""),"NA",(I31 +((Data!$D$19-Data!$D$22)/(Data!$D$19*Data!$D$22)*$D31))))),"---")</f>
        <v>---</v>
      </c>
      <c r="K31" s="376" t="str">
        <f>IF(Start!$C$15="x",(IF(J31="NA","NA",IF(OR(G31="NA",G31=""),"NA",(J31*(1-Data!$D$23)*Data!$D$14*1000)/(Data!$D$23+((1-Data!$D$23)*Data!$D$14*$G31))))),"---")</f>
        <v>---</v>
      </c>
      <c r="L31" s="376" t="str">
        <f>IF(Start!$C$15="x",(IF(I31="NA","NA",IF($G31 = "NA", "NA",(IF(OR(ChemData!U31="NA",ChemData!U31=""),I31/((Data!$D$18+((1-Data!$D$18)*Data!$D$14*$G31))/((1-Data!$D$18)*Data!$D$14*1000)),(IF(I31/((Data!$D$18+((1-Data!$D$18)*Data!$D$14*$G31))/((1-Data!$D$18)*Data!$D$14*1000))&gt;ChemData!U31, ChemData!U31, I31/((Data!$D$18+((1-Data!$D$18)*Data!$D$14*$G31))/((1-Data!$D$18)*Data!$D$14*1000))))))))),"---")</f>
        <v>---</v>
      </c>
      <c r="M31" s="376" t="str">
        <f>IF(Start!$C$15="x",(IF(L31="NA","NA",IF(OR(D31="NA",D31=""),"NA",(((Data!$D$22*Data!$D$18)*L31)+(Data!$D$19-Data!$D$22)*$D31)/((Data!$D$22*Data!$D$18)+Data!$D$19-Data!$D$22)))),"---")</f>
        <v>---</v>
      </c>
      <c r="N31" s="376" t="str">
        <f>IF(Start!$C$15="x",IF(K31 = "NA", "NA", (IF(M31 = "NA", "NA",(IF(OR(ChemData!U31="NA",ChemData!U31=""),(IF(K31&gt;M31,K31,M31)),(IF(K31&gt;M31,(IF(K31&gt;ChemData!U31, ChemData!U31, K31)),(IF(M31&gt;ChemData!U31,ChemData!U31,M31))))))))),"---")</f>
        <v>---</v>
      </c>
      <c r="O31" s="377" t="str">
        <f>IF(Start!$C$15="x",IF(N31 = "NA","NA", IF(OR(E31="NA",E31=""),"NA",(N31+(Data!$D$26*$E31))/(Data!$D$26+1))),"---")</f>
        <v>---</v>
      </c>
      <c r="P31" s="730">
        <f>IF(E31="",F31,IF($F31&lt;(1+(Data!$D$27/100))*$E31,(1+(Data!$D$27/100))*$E31,$F31))</f>
        <v>15000</v>
      </c>
      <c r="Q31" s="343" t="str">
        <f>IF(Start!$C$15="x",(IF(C31="","",(IF(O31="NA","NA",IF(P31="NA","NA",IF(P31=0,"NA",(O31/P31))))))),"Not Req.")</f>
        <v>Not Req.</v>
      </c>
      <c r="R31" s="163"/>
      <c r="S31" s="18"/>
      <c r="T31" s="18"/>
      <c r="U31" s="163"/>
      <c r="V31" s="163"/>
      <c r="W31" s="18"/>
      <c r="X31" s="163"/>
      <c r="Y31" s="163"/>
      <c r="Z31" s="18"/>
    </row>
    <row r="32" spans="1:26" s="23" customFormat="1" x14ac:dyDescent="0.25">
      <c r="A32" s="405" t="s">
        <v>350</v>
      </c>
      <c r="B32" s="371" t="str">
        <f>IF(Start!$C$15="x",IF(C32="NA","NA",(IF(C32="","",(IF(OR(F32="NA",F32=""),"No Criteria",(IF(AND(O32="NA",F32&lt;&gt;"NA",C32&lt;&gt;"NA"),                  "Missing Data",(IF(O32&lt;F32,"No",(IF(D32&gt;F32,"Caution",(IF(O32&gt;=F32,"Needed","No"))))))))))))),"---")</f>
        <v>---</v>
      </c>
      <c r="C32" s="372" t="str">
        <f>IF(TRUE=ISBLANK(ChemData!B32),"",(ChemData!B32))</f>
        <v/>
      </c>
      <c r="D32" s="373" t="str">
        <f>IF(TRUE=ISBLANK(ChemData!C32),"",(ChemData!C32))</f>
        <v/>
      </c>
      <c r="E32" s="374" t="str">
        <f>IF(TRUE=ISBLANK(ChemData!D32),"",(ChemData!D32))</f>
        <v/>
      </c>
      <c r="F32" s="289">
        <f>IF(TRUE=ISBLANK(ChemData!H32),"",(ChemData!H32))</f>
        <v>110</v>
      </c>
      <c r="G32" s="290">
        <f>IF(TRUE=ISBLANK(ChemData!Q32),"",(ChemData!Q32))</f>
        <v>40</v>
      </c>
      <c r="H32" s="291">
        <f>IF(TRUE=ISBLANK(ChemData!S32),"",(ChemData!S32))</f>
        <v>0.2</v>
      </c>
      <c r="I32" s="375" t="str">
        <f>IF(Start!$C$15="x",(IF(OR(C32="NA",C32=""), "NA", (IF($H32 = "NA", "NA", ((C32*$H32)/(Data!$D$10/100)))))),"---")</f>
        <v>---</v>
      </c>
      <c r="J32" s="376" t="str">
        <f>IF(Start!$C$15="x",(IF(I32 = "NA", "NA", IF(OR(D32="NA",D32=""),"NA",(I32 +((Data!$D$19-Data!$D$22)/(Data!$D$19*Data!$D$22)*$D32))))),"---")</f>
        <v>---</v>
      </c>
      <c r="K32" s="376" t="str">
        <f>IF(Start!$C$15="x",(IF(J32="NA","NA",IF(OR(G32="NA",G32=""),"NA",(J32*(1-Data!$D$23)*Data!$D$14*1000)/(Data!$D$23+((1-Data!$D$23)*Data!$D$14*$G32))))),"---")</f>
        <v>---</v>
      </c>
      <c r="L32" s="376" t="str">
        <f>IF(Start!$C$15="x",(IF(I32="NA","NA",IF($G32 = "NA", "NA",(IF(OR(ChemData!U32="NA",ChemData!U32=""),I32/((Data!$D$18+((1-Data!$D$18)*Data!$D$14*$G32))/((1-Data!$D$18)*Data!$D$14*1000)),(IF(I32/((Data!$D$18+((1-Data!$D$18)*Data!$D$14*$G32))/((1-Data!$D$18)*Data!$D$14*1000))&gt;ChemData!U32, ChemData!U32, I32/((Data!$D$18+((1-Data!$D$18)*Data!$D$14*$G32))/((1-Data!$D$18)*Data!$D$14*1000))))))))),"---")</f>
        <v>---</v>
      </c>
      <c r="M32" s="376" t="str">
        <f>IF(Start!$C$15="x",(IF(L32="NA","NA",IF(OR(D32="NA",D32=""),"NA",(((Data!$D$22*Data!$D$18)*L32)+(Data!$D$19-Data!$D$22)*$D32)/((Data!$D$22*Data!$D$18)+Data!$D$19-Data!$D$22)))),"---")</f>
        <v>---</v>
      </c>
      <c r="N32" s="376" t="str">
        <f>IF(Start!$C$15="x",IF(K32 = "NA", "NA", (IF(M32 = "NA", "NA",(IF(OR(ChemData!U32="NA",ChemData!U32=""),(IF(K32&gt;M32,K32,M32)),(IF(K32&gt;M32,(IF(K32&gt;ChemData!U32, ChemData!U32, K32)),(IF(M32&gt;ChemData!U32,ChemData!U32,M32))))))))),"---")</f>
        <v>---</v>
      </c>
      <c r="O32" s="377" t="str">
        <f>IF(Start!$C$15="x",IF(N32 = "NA","NA", IF(OR(E32="NA",E32=""),"NA",(N32+(Data!$D$26*$E32))/(Data!$D$26+1))),"---")</f>
        <v>---</v>
      </c>
      <c r="P32" s="730">
        <f>IF(E32="",F32,IF($F32&lt;(1+(Data!$D$27/100))*$E32,(1+(Data!$D$27/100))*$E32,$F32))</f>
        <v>110</v>
      </c>
      <c r="Q32" s="343" t="str">
        <f>IF(Start!$C$15="x",(IF(C32="","",(IF(O32="NA","NA",IF(P32="NA","NA",IF(P32=0,"NA",(O32/P32))))))),"Not Req.")</f>
        <v>Not Req.</v>
      </c>
      <c r="R32" s="163"/>
      <c r="S32" s="18"/>
      <c r="T32" s="18"/>
      <c r="U32" s="163"/>
      <c r="V32" s="163"/>
      <c r="W32" s="18"/>
      <c r="X32" s="163"/>
      <c r="Y32" s="163"/>
      <c r="Z32" s="18"/>
    </row>
    <row r="33" spans="1:26" s="23" customFormat="1" x14ac:dyDescent="0.25">
      <c r="A33" s="405" t="s">
        <v>351</v>
      </c>
      <c r="B33" s="371" t="str">
        <f>IF(Start!$C$15="x",IF(C33="NA","NA",(IF(C33="","",(IF(OR(F33="NA",F33=""),"No Criteria",(IF(AND(O33="NA",F33&lt;&gt;"NA",C33&lt;&gt;"NA"),                  "Missing Data",(IF(O33&lt;F33,"No",(IF(D33&gt;F33,"Caution",(IF(O33&gt;=F33,"Needed","No"))))))))))))),"---")</f>
        <v>---</v>
      </c>
      <c r="C33" s="372" t="str">
        <f>IF(TRUE=ISBLANK(ChemData!B33),"",(ChemData!B33))</f>
        <v/>
      </c>
      <c r="D33" s="373" t="str">
        <f>IF(TRUE=ISBLANK(ChemData!C33),"",(ChemData!C33))</f>
        <v/>
      </c>
      <c r="E33" s="374" t="str">
        <f>IF(TRUE=ISBLANK(ChemData!D33),"",(ChemData!D33))</f>
        <v/>
      </c>
      <c r="F33" s="289">
        <f>IF(TRUE=ISBLANK(ChemData!H33),"",(ChemData!H33))</f>
        <v>2700</v>
      </c>
      <c r="G33" s="290">
        <f>IF(TRUE=ISBLANK(ChemData!Q33),"",(ChemData!Q33))</f>
        <v>250</v>
      </c>
      <c r="H33" s="291">
        <f>IF(TRUE=ISBLANK(ChemData!S33),"",(ChemData!S33))</f>
        <v>1</v>
      </c>
      <c r="I33" s="375" t="str">
        <f>IF(Start!$C$15="x",(IF(OR(C33="NA",C33=""), "NA", (IF($H33 = "NA", "NA", ((C33*$H33)/(Data!$D$10/100)))))),"---")</f>
        <v>---</v>
      </c>
      <c r="J33" s="376" t="str">
        <f>IF(Start!$C$15="x",(IF(I33 = "NA", "NA", IF(OR(D33="NA",D33=""),"NA",(I33 +((Data!$D$19-Data!$D$22)/(Data!$D$19*Data!$D$22)*$D33))))),"---")</f>
        <v>---</v>
      </c>
      <c r="K33" s="376" t="str">
        <f>IF(Start!$C$15="x",(IF(J33="NA","NA",IF(OR(G33="NA",G33=""),"NA",(J33*(1-Data!$D$23)*Data!$D$14*1000)/(Data!$D$23+((1-Data!$D$23)*Data!$D$14*$G33))))),"---")</f>
        <v>---</v>
      </c>
      <c r="L33" s="376" t="str">
        <f>IF(Start!$C$15="x",(IF(I33="NA","NA",IF($G33 = "NA", "NA",(IF(OR(ChemData!U33="NA",ChemData!U33=""),I33/((Data!$D$18+((1-Data!$D$18)*Data!$D$14*$G33))/((1-Data!$D$18)*Data!$D$14*1000)),(IF(I33/((Data!$D$18+((1-Data!$D$18)*Data!$D$14*$G33))/((1-Data!$D$18)*Data!$D$14*1000))&gt;ChemData!U33, ChemData!U33, I33/((Data!$D$18+((1-Data!$D$18)*Data!$D$14*$G33))/((1-Data!$D$18)*Data!$D$14*1000))))))))),"---")</f>
        <v>---</v>
      </c>
      <c r="M33" s="376" t="str">
        <f>IF(Start!$C$15="x",(IF(L33="NA","NA",IF(OR(D33="NA",D33=""),"NA",(((Data!$D$22*Data!$D$18)*L33)+(Data!$D$19-Data!$D$22)*$D33)/((Data!$D$22*Data!$D$18)+Data!$D$19-Data!$D$22)))),"---")</f>
        <v>---</v>
      </c>
      <c r="N33" s="376" t="str">
        <f>IF(Start!$C$15="x",IF(K33 = "NA", "NA", (IF(M33 = "NA", "NA",(IF(OR(ChemData!U33="NA",ChemData!U33=""),(IF(K33&gt;M33,K33,M33)),(IF(K33&gt;M33,(IF(K33&gt;ChemData!U33, ChemData!U33, K33)),(IF(M33&gt;ChemData!U33,ChemData!U33,M33))))))))),"---")</f>
        <v>---</v>
      </c>
      <c r="O33" s="377" t="str">
        <f>IF(Start!$C$15="x",IF(N33 = "NA","NA", IF(OR(E33="NA",E33=""),"NA",(N33+(Data!$D$26*$E33))/(Data!$D$26+1))),"---")</f>
        <v>---</v>
      </c>
      <c r="P33" s="730">
        <f>IF(E33="",F33,IF($F33&lt;(1+(Data!$D$27/100))*$E33,(1+(Data!$D$27/100))*$E33,$F33))</f>
        <v>2700</v>
      </c>
      <c r="Q33" s="343" t="str">
        <f>IF(Start!$C$15="x",(IF(C33="","",(IF(O33="NA","NA",IF(P33="NA","NA",IF(P33=0,"NA",(O33/P33))))))),"Not Req.")</f>
        <v>Not Req.</v>
      </c>
      <c r="R33" s="163"/>
      <c r="S33" s="18"/>
      <c r="T33" s="18"/>
      <c r="U33" s="163"/>
      <c r="V33" s="163"/>
      <c r="W33" s="18"/>
      <c r="X33" s="163"/>
      <c r="Y33" s="163"/>
      <c r="Z33" s="18"/>
    </row>
    <row r="34" spans="1:26" s="23" customFormat="1" x14ac:dyDescent="0.25">
      <c r="A34" s="405" t="s">
        <v>352</v>
      </c>
      <c r="B34" s="371" t="str">
        <f>IF(Start!$C$15="x",IF(C34="NA","NA",(IF(C34="","",(IF(OR(F34="NA",F34=""),"No Criteria",(IF(AND(O34="NA",F34&lt;&gt;"NA",C34&lt;&gt;"NA"),                  "Missing Data",(IF(O34&lt;F34,"No",(IF(D34&gt;F34,"Caution",(IF(O34&gt;=F34,"Needed","No"))))))))))))),"---")</f>
        <v>---</v>
      </c>
      <c r="C34" s="372" t="str">
        <f>IF(TRUE=ISBLANK(ChemData!B34),"",(ChemData!B34))</f>
        <v/>
      </c>
      <c r="D34" s="373" t="str">
        <f>IF(TRUE=ISBLANK(ChemData!C34),"",(ChemData!C34))</f>
        <v/>
      </c>
      <c r="E34" s="374" t="str">
        <f>IF(TRUE=ISBLANK(ChemData!D34),"",(ChemData!D34))</f>
        <v/>
      </c>
      <c r="F34" s="289">
        <f>IF(TRUE=ISBLANK(ChemData!H34),"",(ChemData!H34))</f>
        <v>46</v>
      </c>
      <c r="G34" s="290">
        <f>IF(TRUE=ISBLANK(ChemData!Q34),"",(ChemData!Q34))</f>
        <v>450</v>
      </c>
      <c r="H34" s="291" t="str">
        <f>IF(TRUE=ISBLANK(ChemData!S34),"",(ChemData!S34))</f>
        <v>NA</v>
      </c>
      <c r="I34" s="375" t="str">
        <f>IF(Start!$C$15="x",(IF(OR(C34="NA",C34=""), "NA", (IF($H34 = "NA", "NA", ((C34*$H34)/(Data!$D$10/100)))))),"---")</f>
        <v>---</v>
      </c>
      <c r="J34" s="376" t="str">
        <f>IF(Start!$C$15="x",(IF(I34 = "NA", "NA", IF(OR(D34="NA",D34=""),"NA",(I34 +((Data!$D$19-Data!$D$22)/(Data!$D$19*Data!$D$22)*$D34))))),"---")</f>
        <v>---</v>
      </c>
      <c r="K34" s="376" t="str">
        <f>IF(Start!$C$15="x",(IF(J34="NA","NA",IF(OR(G34="NA",G34=""),"NA",(J34*(1-Data!$D$23)*Data!$D$14*1000)/(Data!$D$23+((1-Data!$D$23)*Data!$D$14*$G34))))),"---")</f>
        <v>---</v>
      </c>
      <c r="L34" s="376" t="str">
        <f>IF(Start!$C$15="x",(IF(I34="NA","NA",IF($G34 = "NA", "NA",(IF(OR(ChemData!U34="NA",ChemData!U34=""),I34/((Data!$D$18+((1-Data!$D$18)*Data!$D$14*$G34))/((1-Data!$D$18)*Data!$D$14*1000)),(IF(I34/((Data!$D$18+((1-Data!$D$18)*Data!$D$14*$G34))/((1-Data!$D$18)*Data!$D$14*1000))&gt;ChemData!U34, ChemData!U34, I34/((Data!$D$18+((1-Data!$D$18)*Data!$D$14*$G34))/((1-Data!$D$18)*Data!$D$14*1000))))))))),"---")</f>
        <v>---</v>
      </c>
      <c r="M34" s="376" t="str">
        <f>IF(Start!$C$15="x",(IF(L34="NA","NA",IF(OR(D34="NA",D34=""),"NA",(((Data!$D$22*Data!$D$18)*L34)+(Data!$D$19-Data!$D$22)*$D34)/((Data!$D$22*Data!$D$18)+Data!$D$19-Data!$D$22)))),"---")</f>
        <v>---</v>
      </c>
      <c r="N34" s="376" t="str">
        <f>IF(Start!$C$15="x",IF(K34 = "NA", "NA", (IF(M34 = "NA", "NA",(IF(OR(ChemData!U34="NA",ChemData!U34=""),(IF(K34&gt;M34,K34,M34)),(IF(K34&gt;M34,(IF(K34&gt;ChemData!U34, ChemData!U34, K34)),(IF(M34&gt;ChemData!U34,ChemData!U34,M34))))))))),"---")</f>
        <v>---</v>
      </c>
      <c r="O34" s="377" t="str">
        <f>IF(Start!$C$15="x",IF(N34 = "NA","NA", IF(OR(E34="NA",E34=""),"NA",(N34+(Data!$D$26*$E34))/(Data!$D$26+1))),"---")</f>
        <v>---</v>
      </c>
      <c r="P34" s="730">
        <f>IF(E34="",F34,IF($F34&lt;(1+(Data!$D$27/100))*$E34,(1+(Data!$D$27/100))*$E34,$F34))</f>
        <v>46</v>
      </c>
      <c r="Q34" s="343" t="str">
        <f>IF(Start!$C$15="x",(IF(C34="","",(IF(O34="NA","NA",IF(P34="NA","NA",IF(P34=0,"NA",(O34/P34))))))),"Not Req.")</f>
        <v>Not Req.</v>
      </c>
      <c r="R34" s="163"/>
      <c r="S34" s="18"/>
      <c r="T34" s="18"/>
      <c r="U34" s="163"/>
      <c r="V34" s="163"/>
      <c r="W34" s="18"/>
      <c r="X34" s="163"/>
      <c r="Y34" s="163"/>
      <c r="Z34" s="18"/>
    </row>
    <row r="35" spans="1:26" s="23" customFormat="1" x14ac:dyDescent="0.25">
      <c r="A35" s="405" t="s">
        <v>353</v>
      </c>
      <c r="B35" s="371" t="str">
        <f>IF(Start!$C$15="x",IF(C35="NA","NA",(IF(C35="","",(IF(OR(F35="NA",F35=""),"No Criteria",(IF(AND(O35="NA",F35&lt;&gt;"NA",C35&lt;&gt;"NA"),                  "Missing Data",(IF(O35&lt;F35,"No",(IF(D35&gt;F35,"Caution",(IF(O35&gt;=F35,"Needed","No"))))))))))))),"---")</f>
        <v>---</v>
      </c>
      <c r="C35" s="372" t="str">
        <f>IF(TRUE=ISBLANK(ChemData!B35),"",(ChemData!B35))</f>
        <v/>
      </c>
      <c r="D35" s="373" t="str">
        <f>IF(TRUE=ISBLANK(ChemData!C35),"",(ChemData!C35))</f>
        <v/>
      </c>
      <c r="E35" s="374" t="str">
        <f>IF(TRUE=ISBLANK(ChemData!D35),"",(ChemData!D35))</f>
        <v/>
      </c>
      <c r="F35" s="289">
        <f>IF(TRUE=ISBLANK(ChemData!H35),"",(ChemData!H35))</f>
        <v>280</v>
      </c>
      <c r="G35" s="290">
        <f>IF(TRUE=ISBLANK(ChemData!Q35),"",(ChemData!Q35))</f>
        <v>110</v>
      </c>
      <c r="H35" s="291">
        <f>IF(TRUE=ISBLANK(ChemData!S35),"",(ChemData!S35))</f>
        <v>1</v>
      </c>
      <c r="I35" s="375" t="str">
        <f>IF(Start!$C$15="x",(IF(OR(C35="NA",C35=""), "NA", (IF($H35 = "NA", "NA", ((C35*$H35)/(Data!$D$10/100)))))),"---")</f>
        <v>---</v>
      </c>
      <c r="J35" s="376" t="str">
        <f>IF(Start!$C$15="x",(IF(I35 = "NA", "NA", IF(OR(D35="NA",D35=""),"NA",(I35 +((Data!$D$19-Data!$D$22)/(Data!$D$19*Data!$D$22)*$D35))))),"---")</f>
        <v>---</v>
      </c>
      <c r="K35" s="376" t="str">
        <f>IF(Start!$C$15="x",(IF(J35="NA","NA",IF(OR(G35="NA",G35=""),"NA",(J35*(1-Data!$D$23)*Data!$D$14*1000)/(Data!$D$23+((1-Data!$D$23)*Data!$D$14*$G35))))),"---")</f>
        <v>---</v>
      </c>
      <c r="L35" s="376" t="str">
        <f>IF(Start!$C$15="x",(IF(I35="NA","NA",IF($G35 = "NA", "NA",(IF(OR(ChemData!U35="NA",ChemData!U35=""),I35/((Data!$D$18+((1-Data!$D$18)*Data!$D$14*$G35))/((1-Data!$D$18)*Data!$D$14*1000)),(IF(I35/((Data!$D$18+((1-Data!$D$18)*Data!$D$14*$G35))/((1-Data!$D$18)*Data!$D$14*1000))&gt;ChemData!U35, ChemData!U35, I35/((Data!$D$18+((1-Data!$D$18)*Data!$D$14*$G35))/((1-Data!$D$18)*Data!$D$14*1000))))))))),"---")</f>
        <v>---</v>
      </c>
      <c r="M35" s="376" t="str">
        <f>IF(Start!$C$15="x",(IF(L35="NA","NA",IF(OR(D35="NA",D35=""),"NA",(((Data!$D$22*Data!$D$18)*L35)+(Data!$D$19-Data!$D$22)*$D35)/((Data!$D$22*Data!$D$18)+Data!$D$19-Data!$D$22)))),"---")</f>
        <v>---</v>
      </c>
      <c r="N35" s="376" t="str">
        <f>IF(Start!$C$15="x",IF(K35 = "NA", "NA", (IF(M35 = "NA", "NA",(IF(OR(ChemData!U35="NA",ChemData!U35=""),(IF(K35&gt;M35,K35,M35)),(IF(K35&gt;M35,(IF(K35&gt;ChemData!U35, ChemData!U35, K35)),(IF(M35&gt;ChemData!U35,ChemData!U35,M35))))))))),"---")</f>
        <v>---</v>
      </c>
      <c r="O35" s="377" t="str">
        <f>IF(Start!$C$15="x",IF(N35 = "NA","NA", IF(OR(E35="NA",E35=""),"NA",(N35+(Data!$D$26*$E35))/(Data!$D$26+1))),"---")</f>
        <v>---</v>
      </c>
      <c r="P35" s="730">
        <f>IF(E35="",F35,IF($F35&lt;(1+(Data!$D$27/100))*$E35,(1+(Data!$D$27/100))*$E35,$F35))</f>
        <v>280</v>
      </c>
      <c r="Q35" s="343" t="str">
        <f>IF(Start!$C$15="x",(IF(C35="","",(IF(O35="NA","NA",IF(P35="NA","NA",IF(P35=0,"NA",(O35/P35))))))),"Not Req.")</f>
        <v>Not Req.</v>
      </c>
      <c r="R35" s="201"/>
      <c r="S35" s="18"/>
      <c r="T35" s="18"/>
      <c r="U35" s="163"/>
      <c r="V35" s="163"/>
      <c r="W35" s="18"/>
      <c r="X35" s="163"/>
      <c r="Y35" s="163"/>
      <c r="Z35" s="18"/>
    </row>
    <row r="36" spans="1:26" s="159" customFormat="1" ht="13.8" thickBot="1" x14ac:dyDescent="0.3">
      <c r="A36" s="405" t="s">
        <v>354</v>
      </c>
      <c r="B36" s="371" t="str">
        <f>IF(Start!$C$15="x",IF(C36="NA","NA",(IF(C36="","",(IF(OR(F36="NA",F36=""),"No Criteria",(IF(AND(O36="NA",F36&lt;&gt;"NA",C36&lt;&gt;"NA"),                  "Missing Data",(IF(O36&lt;F36,"No",(IF(D36&gt;F36,"Caution",(IF(O36&gt;=F36,"Needed","No"))))))))))))),"---")</f>
        <v>---</v>
      </c>
      <c r="C36" s="372" t="str">
        <f>IF(TRUE=ISBLANK(ChemData!B36),"",(ChemData!B36))</f>
        <v/>
      </c>
      <c r="D36" s="373" t="str">
        <f>IF(TRUE=ISBLANK(ChemData!C36),"",(ChemData!C36))</f>
        <v/>
      </c>
      <c r="E36" s="374" t="str">
        <f>IF(TRUE=ISBLANK(ChemData!D36),"",(ChemData!D36))</f>
        <v/>
      </c>
      <c r="F36" s="289">
        <f>IF(TRUE=ISBLANK(ChemData!H36),"",(ChemData!H36))</f>
        <v>120</v>
      </c>
      <c r="G36" s="290">
        <f>IF(TRUE=ISBLANK(ChemData!Q36),"",(ChemData!Q36))</f>
        <v>130</v>
      </c>
      <c r="H36" s="291">
        <f>IF(TRUE=ISBLANK(ChemData!S36),"",(ChemData!S36))</f>
        <v>0.02</v>
      </c>
      <c r="I36" s="375" t="str">
        <f>IF(Start!$C$15="x",(IF(OR(C36="NA",C36=""), "NA", (IF($H36 = "NA", "NA", ((C36*$H36)/(Data!$D$10/100)))))),"---")</f>
        <v>---</v>
      </c>
      <c r="J36" s="376" t="str">
        <f>IF(Start!$C$15="x",(IF(I36 = "NA", "NA", IF(OR(D36="NA",D36=""),"NA",(I36 +((Data!$D$19-Data!$D$22)/(Data!$D$19*Data!$D$22)*$D36))))),"---")</f>
        <v>---</v>
      </c>
      <c r="K36" s="376" t="str">
        <f>IF(Start!$C$15="x",(IF(J36="NA","NA",IF(OR(G36="NA",G36=""),"NA",(J36*(1-Data!$D$23)*Data!$D$14*1000)/(Data!$D$23+((1-Data!$D$23)*Data!$D$14*$G36))))),"---")</f>
        <v>---</v>
      </c>
      <c r="L36" s="376" t="str">
        <f>IF(Start!$C$15="x",(IF(I36="NA","NA",IF($G36 = "NA", "NA",(IF(OR(ChemData!U36="NA",ChemData!U36=""),I36/((Data!$D$18+((1-Data!$D$18)*Data!$D$14*$G36))/((1-Data!$D$18)*Data!$D$14*1000)),(IF(I36/((Data!$D$18+((1-Data!$D$18)*Data!$D$14*$G36))/((1-Data!$D$18)*Data!$D$14*1000))&gt;ChemData!U36, ChemData!U36, I36/((Data!$D$18+((1-Data!$D$18)*Data!$D$14*$G36))/((1-Data!$D$18)*Data!$D$14*1000))))))))),"---")</f>
        <v>---</v>
      </c>
      <c r="M36" s="376" t="str">
        <f>IF(Start!$C$15="x",(IF(L36="NA","NA",IF(OR(D36="NA",D36=""),"NA",(((Data!$D$22*Data!$D$18)*L36)+(Data!$D$19-Data!$D$22)*$D36)/((Data!$D$22*Data!$D$18)+Data!$D$19-Data!$D$22)))),"---")</f>
        <v>---</v>
      </c>
      <c r="N36" s="376" t="str">
        <f>IF(Start!$C$15="x",IF(K36 = "NA", "NA", (IF(M36 = "NA", "NA",(IF(OR(ChemData!U36="NA",ChemData!U36=""),(IF(K36&gt;M36,K36,M36)),(IF(K36&gt;M36,(IF(K36&gt;ChemData!U36, ChemData!U36, K36)),(IF(M36&gt;ChemData!U36,ChemData!U36,M36))))))))),"---")</f>
        <v>---</v>
      </c>
      <c r="O36" s="377" t="str">
        <f>IF(Start!$C$15="x",IF(N36 = "NA","NA", IF(OR(E36="NA",E36=""),"NA",(N36+(Data!$D$26*$E36))/(Data!$D$26+1))),"---")</f>
        <v>---</v>
      </c>
      <c r="P36" s="730">
        <f>IF(E36="",F36,IF($F36&lt;(1+(Data!$D$27/100))*$E36,(1+(Data!$D$27/100))*$E36,$F36))</f>
        <v>120</v>
      </c>
      <c r="Q36" s="343" t="str">
        <f>IF(Start!$C$15="x",(IF(C36="","",(IF(O36="NA","NA",IF(P36="NA","NA",IF(P36=0,"NA",(O36/P36))))))),"Not Req.")</f>
        <v>Not Req.</v>
      </c>
      <c r="R36" s="163"/>
      <c r="S36" s="18"/>
      <c r="T36" s="18"/>
      <c r="U36" s="18"/>
      <c r="V36" s="18"/>
      <c r="W36" s="18"/>
      <c r="X36" s="163"/>
      <c r="Y36" s="163"/>
      <c r="Z36" s="18"/>
    </row>
    <row r="37" spans="1:26" s="23" customFormat="1" ht="13.8" thickBot="1" x14ac:dyDescent="0.3">
      <c r="A37" s="406" t="s">
        <v>355</v>
      </c>
      <c r="B37" s="371" t="str">
        <f>IF(Start!$C$15="x",IF(C37="NA","NA",(IF(C37="","",(IF(OR(F37="NA",F37=""),"No Criteria",(IF(AND(O37="NA",F37&lt;&gt;"NA",C37&lt;&gt;"NA"),                  "Missing Data",(IF(O37&lt;F37,"No",(IF(D37&gt;F37,"Caution",(IF(O37&gt;=F37,"Needed","No"))))))))))))),"---")</f>
        <v>---</v>
      </c>
      <c r="C37" s="372" t="str">
        <f>IF(TRUE=ISBLANK(ChemData!B37),"",(ChemData!B37))</f>
        <v/>
      </c>
      <c r="D37" s="373" t="str">
        <f>IF(TRUE=ISBLANK(ChemData!C37),"",(ChemData!C37))</f>
        <v/>
      </c>
      <c r="E37" s="374" t="str">
        <f>IF(TRUE=ISBLANK(ChemData!D37),"",(ChemData!D37))</f>
        <v/>
      </c>
      <c r="F37" s="289">
        <f>IF(TRUE=ISBLANK(ChemData!H37),"",(ChemData!H37))</f>
        <v>310</v>
      </c>
      <c r="G37" s="290">
        <f>IF(TRUE=ISBLANK(ChemData!Q37),"",(ChemData!Q37))</f>
        <v>3000</v>
      </c>
      <c r="H37" s="291" t="str">
        <f>IF(TRUE=ISBLANK(ChemData!S37),"",(ChemData!S37))</f>
        <v>NA</v>
      </c>
      <c r="I37" s="375" t="str">
        <f>IF(Start!$C$15="x",(IF(OR(C37="NA",C37=""), "NA", (IF($H37 = "NA", "NA", ((C37*$H37)/(Data!$D$10/100)))))),"---")</f>
        <v>---</v>
      </c>
      <c r="J37" s="376" t="str">
        <f>IF(Start!$C$15="x",(IF(I37 = "NA", "NA", IF(OR(D37="NA",D37=""),"NA",(I37 +((Data!$D$19-Data!$D$22)/(Data!$D$19*Data!$D$22)*$D37))))),"---")</f>
        <v>---</v>
      </c>
      <c r="K37" s="376" t="str">
        <f>IF(Start!$C$15="x",(IF(J37="NA","NA",IF(OR(G37="NA",G37=""),"NA",(J37*(1-Data!$D$23)*Data!$D$14*1000)/(Data!$D$23+((1-Data!$D$23)*Data!$D$14*$G37))))),"---")</f>
        <v>---</v>
      </c>
      <c r="L37" s="376" t="str">
        <f>IF(Start!$C$15="x",(IF(I37="NA","NA",IF($G37 = "NA", "NA",(IF(OR(ChemData!U37="NA",ChemData!U37=""),I37/((Data!$D$18+((1-Data!$D$18)*Data!$D$14*$G37))/((1-Data!$D$18)*Data!$D$14*1000)),(IF(I37/((Data!$D$18+((1-Data!$D$18)*Data!$D$14*$G37))/((1-Data!$D$18)*Data!$D$14*1000))&gt;ChemData!U37, ChemData!U37, I37/((Data!$D$18+((1-Data!$D$18)*Data!$D$14*$G37))/((1-Data!$D$18)*Data!$D$14*1000))))))))),"---")</f>
        <v>---</v>
      </c>
      <c r="M37" s="376" t="str">
        <f>IF(Start!$C$15="x",(IF(L37="NA","NA",IF(OR(D37="NA",D37=""),"NA",(((Data!$D$22*Data!$D$18)*L37)+(Data!$D$19-Data!$D$22)*$D37)/((Data!$D$22*Data!$D$18)+Data!$D$19-Data!$D$22)))),"---")</f>
        <v>---</v>
      </c>
      <c r="N37" s="376" t="str">
        <f>IF(Start!$C$15="x",IF(K37 = "NA", "NA", (IF(M37 = "NA", "NA",(IF(OR(ChemData!U37="NA",ChemData!U37=""),(IF(K37&gt;M37,K37,M37)),(IF(K37&gt;M37,(IF(K37&gt;ChemData!U37, ChemData!U37, K37)),(IF(M37&gt;ChemData!U37,ChemData!U37,M37))))))))),"---")</f>
        <v>---</v>
      </c>
      <c r="O37" s="377" t="str">
        <f>IF(Start!$C$15="x",IF(N37 = "NA","NA", IF(OR(E37="NA",E37=""),"NA",(N37+(Data!$D$26*$E37))/(Data!$D$26+1))),"---")</f>
        <v>---</v>
      </c>
      <c r="P37" s="731">
        <f>IF(E37="",F37,IF($F37&lt;(1+(Data!$D$27/100))*$E37,(1+(Data!$D$27/100))*$E37,$F37))</f>
        <v>310</v>
      </c>
      <c r="Q37" s="343" t="str">
        <f>IF(Start!$C$15="x",(IF(C37="","",(IF(O37="NA","NA",IF(P37="NA","NA",IF(P37=0,"NA",(O37/P37))))))),"Not Req.")</f>
        <v>Not Req.</v>
      </c>
      <c r="R37" s="163"/>
      <c r="S37" s="18"/>
      <c r="T37" s="18"/>
      <c r="U37" s="18"/>
      <c r="V37" s="18"/>
      <c r="W37" s="18"/>
      <c r="X37" s="163"/>
      <c r="Y37" s="163"/>
      <c r="Z37" s="18"/>
    </row>
    <row r="38" spans="1:26" s="10" customFormat="1" x14ac:dyDescent="0.25">
      <c r="A38" s="573" t="s">
        <v>356</v>
      </c>
      <c r="B38" s="514"/>
      <c r="C38" s="508"/>
      <c r="D38" s="509"/>
      <c r="E38" s="510"/>
      <c r="F38" s="511"/>
      <c r="G38" s="512"/>
      <c r="H38" s="513"/>
      <c r="I38" s="511"/>
      <c r="J38" s="512"/>
      <c r="K38" s="512"/>
      <c r="L38" s="512"/>
      <c r="M38" s="512"/>
      <c r="N38" s="512"/>
      <c r="O38" s="513"/>
      <c r="P38" s="672"/>
      <c r="Q38" s="507"/>
      <c r="R38" s="163"/>
      <c r="S38" s="18"/>
      <c r="T38" s="18"/>
      <c r="U38" s="163"/>
      <c r="V38" s="163"/>
      <c r="W38" s="18"/>
      <c r="X38" s="163"/>
      <c r="Y38" s="163"/>
      <c r="Z38" s="18"/>
    </row>
    <row r="39" spans="1:26" s="10" customFormat="1" x14ac:dyDescent="0.25">
      <c r="A39" s="405" t="s">
        <v>665</v>
      </c>
      <c r="B39" s="371" t="str">
        <f>IF(Start!$C$15="x",IF(C39="NA","NA",(IF(C39="","",(IF(OR(F39="NA",F39=""),"No Criteria",(IF(AND(O39="NA",F39&lt;&gt;"NA",C39&lt;&gt;"NA"),                  "Missing Data",(IF(O39&lt;F39,"No",(IF(D39&gt;F39,"Caution",(IF(O39&gt;=F39,"Needed","No"))))))))))))),"---")</f>
        <v>---</v>
      </c>
      <c r="C39" s="372" t="str">
        <f>IF(TRUE=ISBLANK(ChemData!B39),"",(ChemData!B39))</f>
        <v/>
      </c>
      <c r="D39" s="373" t="str">
        <f>IF(TRUE=ISBLANK(ChemData!C39),"",(ChemData!C39))</f>
        <v/>
      </c>
      <c r="E39" s="374" t="str">
        <f>IF(TRUE=ISBLANK(ChemData!D39),"",(ChemData!D39))</f>
        <v/>
      </c>
      <c r="F39" s="289" t="str">
        <f>IF(TRUE=ISBLANK(ChemData!H39),"",(ChemData!H39))</f>
        <v>NA</v>
      </c>
      <c r="G39" s="290">
        <f>IF(TRUE=ISBLANK(ChemData!Q39),"",(ChemData!Q39))</f>
        <v>7.0373057258935875E-2</v>
      </c>
      <c r="H39" s="291">
        <f>IF(TRUE=ISBLANK(ChemData!S39),"",(ChemData!S39))</f>
        <v>1</v>
      </c>
      <c r="I39" s="375" t="str">
        <f>IF(Start!$C$15="x",(IF(OR(C39="NA",C39=""), "NA", (IF($H39 = "NA", "NA", ((C39*$H39)))))),"---")</f>
        <v>---</v>
      </c>
      <c r="J39" s="376" t="str">
        <f>IF(Start!$C$15="x",(IF(I39 = "NA", "NA", IF(OR(D39="NA",D39=""),"NA",(I39 +((Data!$D$19-Data!$D$22)/(Data!$D$19*Data!$D$22)*$D39))))),"---")</f>
        <v>---</v>
      </c>
      <c r="K39" s="376" t="str">
        <f>IF(Start!$C$15="x",(IF(J39="NA","NA",IF(OR(G39="NA",G39=""),"NA",(J39*(1-Data!$D$23)*Data!$D$14*1000)/(Data!$D$23+((1-Data!$D$23)*Data!$D$14*$G39))))),"---")</f>
        <v>---</v>
      </c>
      <c r="L39" s="376" t="str">
        <f>IF(Start!$C$15="x",(IF(I39="NA","NA",IF($G39 = "NA", "NA",(IF(OR(ChemData!U39="NA",ChemData!U39=""),I39/((Data!$D$18+((1-Data!$D$18)*Data!$D$14*$G39))/((1-Data!$D$18)*Data!$D$14*1000)),(IF(I39/((Data!$D$18+((1-Data!$D$18)*Data!$D$14*$G39))/((1-Data!$D$18)*Data!$D$14*1000))&gt;ChemData!U39, ChemData!U39, I39/((Data!$D$18+((1-Data!$D$18)*Data!$D$14*$G39))/((1-Data!$D$18)*Data!$D$14*1000))))))))),"---")</f>
        <v>---</v>
      </c>
      <c r="M39" s="376" t="str">
        <f>IF(Start!$C$15="x",(IF(L39="NA","NA",IF(OR(D39="NA",D39=""),"NA",(((Data!$D$22*Data!$D$18)*L39)+(Data!$D$19-Data!$D$22)*$D39)/((Data!$D$22*Data!$D$18)+Data!$D$19-Data!$D$22)))),"---")</f>
        <v>---</v>
      </c>
      <c r="N39" s="376" t="str">
        <f>IF(Start!$C$15="x",IF(K39 = "NA", "NA", (IF(M39 = "NA", "NA",(IF(OR(ChemData!U39="NA",ChemData!U39=""),(IF(K39&gt;M39,K39,M39)),(IF(K39&gt;M39,(IF(K39&gt;ChemData!U39, ChemData!U39, K39)),(IF(M39&gt;ChemData!U39,ChemData!U39,M39))))))))),"---")</f>
        <v>---</v>
      </c>
      <c r="O39" s="377" t="str">
        <f>IF(Start!$C$15="x",IF(N39 = "NA","NA", IF(OR(E39="NA",E39=""),"NA",(N39+(Data!$D$26*$E39))/(Data!$D$26+1))),"---")</f>
        <v>---</v>
      </c>
      <c r="P39" s="730" t="str">
        <f>IF(E39="",F39,IF($F39&lt;(1+(Data!$D$27/100))*$E39,(1+(Data!$D$27/100))*$E39,$F39))</f>
        <v>NA</v>
      </c>
      <c r="Q39" s="343" t="str">
        <f>IF(Start!$C$15="x",(IF(C39="","",(IF(O39="NA","NA",IF(P39="NA","NA",IF(P39=0,"NA",(O39/P39))))))),"Not Req.")</f>
        <v>Not Req.</v>
      </c>
      <c r="R39" s="163"/>
      <c r="S39" s="18"/>
      <c r="T39" s="18"/>
      <c r="U39" s="163"/>
      <c r="V39" s="163"/>
      <c r="W39" s="18"/>
      <c r="X39" s="163"/>
      <c r="Y39" s="163"/>
      <c r="Z39" s="18"/>
    </row>
    <row r="40" spans="1:26" s="10" customFormat="1" x14ac:dyDescent="0.25">
      <c r="A40" s="405" t="s">
        <v>358</v>
      </c>
      <c r="B40" s="371" t="str">
        <f>IF(Start!$C$15="x",IF(C40="NA","NA",(IF(C40="","",(IF(OR(F40="NA",F40=""),"No Criteria",(IF(AND(O40="NA",F40&lt;&gt;"NA",C40&lt;&gt;"NA"),                  "Missing Data",(IF(O40&lt;F40,"No",(IF(D40&gt;F40,"Caution",(IF(O40&gt;=F40,"Needed","No"))))))))))))),"---")</f>
        <v>---</v>
      </c>
      <c r="C40" s="372" t="str">
        <f>IF(TRUE=ISBLANK(ChemData!B40),"",(ChemData!B40))</f>
        <v/>
      </c>
      <c r="D40" s="373" t="str">
        <f>IF(TRUE=ISBLANK(ChemData!C40),"",(ChemData!C40))</f>
        <v/>
      </c>
      <c r="E40" s="374" t="str">
        <f>IF(TRUE=ISBLANK(ChemData!D40),"",(ChemData!D40))</f>
        <v/>
      </c>
      <c r="F40" s="289" t="str">
        <f>IF(TRUE=ISBLANK(ChemData!H40),"",(ChemData!H40))</f>
        <v>NA</v>
      </c>
      <c r="G40" s="290">
        <f>IF(TRUE=ISBLANK(ChemData!Q40),"",(ChemData!Q40))</f>
        <v>4.7578025939051666E-2</v>
      </c>
      <c r="H40" s="291">
        <f>IF(TRUE=ISBLANK(ChemData!S40),"",(ChemData!S40))</f>
        <v>1</v>
      </c>
      <c r="I40" s="375" t="str">
        <f>IF(Start!$C$15="x",(IF(OR(C40="NA",C40=""), "NA", (IF($H40 = "NA", "NA", ((C40*$H40)))))),"---")</f>
        <v>---</v>
      </c>
      <c r="J40" s="376" t="str">
        <f>IF(Start!$C$15="x",(IF(I40 = "NA", "NA", IF(OR(D40="NA",D40=""),"NA",(I40 +((Data!$D$19-Data!$D$22)/(Data!$D$19*Data!$D$22)*$D40))))),"---")</f>
        <v>---</v>
      </c>
      <c r="K40" s="376" t="str">
        <f>IF(Start!$C$15="x",(IF(J40="NA","NA",IF(OR(G40="NA",G40=""),"NA",(J40*(1-Data!$D$23)*Data!$D$14*1000)/(Data!$D$23+((1-Data!$D$23)*Data!$D$14*$G40))))),"---")</f>
        <v>---</v>
      </c>
      <c r="L40" s="376" t="str">
        <f>IF(Start!$C$15="x",(IF(I40="NA","NA",IF($G40 = "NA", "NA",(IF(OR(ChemData!U40="NA",ChemData!U40=""),I40/((Data!$D$18+((1-Data!$D$18)*Data!$D$14*$G40))/((1-Data!$D$18)*Data!$D$14*1000)),(IF(I40/((Data!$D$18+((1-Data!$D$18)*Data!$D$14*$G40))/((1-Data!$D$18)*Data!$D$14*1000))&gt;ChemData!U40, ChemData!U40, I40/((Data!$D$18+((1-Data!$D$18)*Data!$D$14*$G40))/((1-Data!$D$18)*Data!$D$14*1000))))))))),"---")</f>
        <v>---</v>
      </c>
      <c r="M40" s="376" t="str">
        <f>IF(Start!$C$15="x",(IF(L40="NA","NA",IF(OR(D40="NA",D40=""),"NA",(((Data!$D$22*Data!$D$18)*L40)+(Data!$D$19-Data!$D$22)*$D40)/((Data!$D$22*Data!$D$18)+Data!$D$19-Data!$D$22)))),"---")</f>
        <v>---</v>
      </c>
      <c r="N40" s="376" t="str">
        <f>IF(Start!$C$15="x",IF(K40 = "NA", "NA", (IF(M40 = "NA", "NA",(IF(OR(ChemData!U40="NA",ChemData!U40=""),(IF(K40&gt;M40,K40,M40)),(IF(K40&gt;M40,(IF(K40&gt;ChemData!U40, ChemData!U40, K40)),(IF(M40&gt;ChemData!U40,ChemData!U40,M40))))))))),"---")</f>
        <v>---</v>
      </c>
      <c r="O40" s="377" t="str">
        <f>IF(Start!$C$15="x",IF(N40 = "NA","NA", IF(OR(E40="NA",E40=""),"NA",(N40+(Data!$D$26*$E40))/(Data!$D$26+1))),"---")</f>
        <v>---</v>
      </c>
      <c r="P40" s="730" t="str">
        <f>IF(E40="",F40,IF($F40&lt;(1+(Data!$D$27/100))*$E40,(1+(Data!$D$27/100))*$E40,$F40))</f>
        <v>NA</v>
      </c>
      <c r="Q40" s="343" t="str">
        <f>IF(Start!$C$15="x",(IF(C40="","",(IF(O40="NA","NA",IF(P40="NA","NA",IF(P40=0,"NA",(O40/P40))))))),"Not Req.")</f>
        <v>Not Req.</v>
      </c>
      <c r="R40" s="163"/>
      <c r="S40" s="18"/>
      <c r="T40" s="18"/>
      <c r="U40" s="163"/>
      <c r="V40" s="163"/>
      <c r="W40" s="18"/>
      <c r="X40" s="163"/>
      <c r="Y40" s="163"/>
      <c r="Z40" s="18"/>
    </row>
    <row r="41" spans="1:26" s="10" customFormat="1" x14ac:dyDescent="0.25">
      <c r="A41" s="405" t="s">
        <v>359</v>
      </c>
      <c r="B41" s="371" t="str">
        <f>IF(Start!$C$15="x",IF(C41="NA","NA",(IF(C41="","",(IF(OR(F41="NA",F41=""),"No Criteria",(IF(AND(O41="NA",F41&lt;&gt;"NA",C41&lt;&gt;"NA"),                  "Missing Data",(IF(O41&lt;F41,"No",(IF(D41&gt;F41,"Caution",(IF(O41&gt;=F41,"Needed","No"))))))))))))),"---")</f>
        <v>---</v>
      </c>
      <c r="C41" s="372" t="str">
        <f>IF(TRUE=ISBLANK(ChemData!B41),"",(ChemData!B41))</f>
        <v/>
      </c>
      <c r="D41" s="373" t="str">
        <f>IF(TRUE=ISBLANK(ChemData!C41),"",(ChemData!C41))</f>
        <v/>
      </c>
      <c r="E41" s="374" t="str">
        <f>IF(TRUE=ISBLANK(ChemData!D41),"",(ChemData!D41))</f>
        <v/>
      </c>
      <c r="F41" s="289" t="str">
        <f>IF(TRUE=ISBLANK(ChemData!H41),"",(ChemData!H41))</f>
        <v>NA</v>
      </c>
      <c r="G41" s="290" t="str">
        <f>IF(TRUE=ISBLANK(ChemData!Q41),"",(ChemData!Q41))</f>
        <v>NA</v>
      </c>
      <c r="H41" s="291">
        <f>IF(TRUE=ISBLANK(ChemData!S41),"",(ChemData!S41))</f>
        <v>1</v>
      </c>
      <c r="I41" s="375" t="str">
        <f>IF(Start!$C$15="x",(IF(OR(C41="NA",C41=""), "NA", (IF($H41 = "NA", "NA", ((C41*$H41)))))),"---")</f>
        <v>---</v>
      </c>
      <c r="J41" s="376" t="str">
        <f>IF(Start!$C$15="x",(IF(I41 = "NA", "NA", IF(OR(D41="NA",D41=""),"NA",(I41 +((Data!$D$19-Data!$D$22)/(Data!$D$19*Data!$D$22)*$D41))))),"---")</f>
        <v>---</v>
      </c>
      <c r="K41" s="376" t="str">
        <f>IF(Start!$C$15="x",(IF(J41="NA","NA",IF(OR(G41="NA",G41=""),"NA",(J41*(1-Data!$D$23)*Data!$D$14*1000)/(Data!$D$23+((1-Data!$D$23)*Data!$D$14*$G41))))),"---")</f>
        <v>---</v>
      </c>
      <c r="L41" s="376" t="str">
        <f>IF(Start!$C$15="x",(IF(I41="NA","NA",IF($G41 = "NA", "NA",(IF(OR(ChemData!U41="NA",ChemData!U41=""),I41/((Data!$D$18+((1-Data!$D$18)*Data!$D$14*$G41))/((1-Data!$D$18)*Data!$D$14*1000)),(IF(I41/((Data!$D$18+((1-Data!$D$18)*Data!$D$14*$G41))/((1-Data!$D$18)*Data!$D$14*1000))&gt;ChemData!U41, ChemData!U41, I41/((Data!$D$18+((1-Data!$D$18)*Data!$D$14*$G41))/((1-Data!$D$18)*Data!$D$14*1000))))))))),"---")</f>
        <v>---</v>
      </c>
      <c r="M41" s="376" t="str">
        <f>IF(Start!$C$15="x",(IF(L41="NA","NA",IF(OR(D41="NA",D41=""),"NA",(((Data!$D$22*Data!$D$18)*L41)+(Data!$D$19-Data!$D$22)*$D41)/((Data!$D$22*Data!$D$18)+Data!$D$19-Data!$D$22)))),"---")</f>
        <v>---</v>
      </c>
      <c r="N41" s="376" t="str">
        <f>IF(Start!$C$15="x",IF(K41 = "NA", "NA", (IF(M41 = "NA", "NA",(IF(OR(ChemData!U41="NA",ChemData!U41=""),(IF(K41&gt;M41,K41,M41)),(IF(K41&gt;M41,(IF(K41&gt;ChemData!U41, ChemData!U41, K41)),(IF(M41&gt;ChemData!U41,ChemData!U41,M41))))))))),"---")</f>
        <v>---</v>
      </c>
      <c r="O41" s="377" t="str">
        <f>IF(Start!$C$15="x",IF(N41 = "NA","NA", IF(OR(E41="NA",E41=""),"NA",(N41+(Data!$D$26*$E41))/(Data!$D$26+1))),"---")</f>
        <v>---</v>
      </c>
      <c r="P41" s="730" t="str">
        <f>IF(E41="",F41,IF($F41&lt;(1+(Data!$D$27/100))*$E41,(1+(Data!$D$27/100))*$E41,$F41))</f>
        <v>NA</v>
      </c>
      <c r="Q41" s="343" t="str">
        <f>IF(Start!$C$15="x",(IF(C41="","",(IF(O41="NA","NA",IF(P41="NA","NA",IF(P41=0,"NA",(O41/P41))))))),"Not Req.")</f>
        <v>Not Req.</v>
      </c>
      <c r="R41" s="163"/>
      <c r="S41" s="18"/>
      <c r="T41" s="18"/>
      <c r="U41" s="163"/>
      <c r="V41" s="163"/>
      <c r="W41" s="18"/>
      <c r="X41" s="163"/>
      <c r="Y41" s="163"/>
      <c r="Z41" s="18"/>
    </row>
    <row r="42" spans="1:26" s="159" customFormat="1" ht="13.8" thickBot="1" x14ac:dyDescent="0.3">
      <c r="A42" s="405" t="s">
        <v>360</v>
      </c>
      <c r="B42" s="371" t="str">
        <f>IF(Start!$C$15="x",IF(C42="NA","NA",(IF(C42="","",(IF(OR(F42="NA",F42=""),"No Criteria",(IF(AND(O42="NA",F42&lt;&gt;"NA",C42&lt;&gt;"NA"),                  "Missing Data",(IF(O42&lt;F42,"No",(IF(D42&gt;F42,"Caution",(IF(O42&gt;=F42,"Needed","No"))))))))))))),"---")</f>
        <v>---</v>
      </c>
      <c r="C42" s="372" t="str">
        <f>IF(TRUE=ISBLANK(ChemData!B42),"",(ChemData!B42))</f>
        <v/>
      </c>
      <c r="D42" s="373" t="str">
        <f>IF(TRUE=ISBLANK(ChemData!C42),"",(ChemData!C42))</f>
        <v/>
      </c>
      <c r="E42" s="374" t="str">
        <f>IF(TRUE=ISBLANK(ChemData!D42),"",(ChemData!D42))</f>
        <v/>
      </c>
      <c r="F42" s="289">
        <f>IF(TRUE=ISBLANK(ChemData!H42),"",(ChemData!H42))</f>
        <v>0.46</v>
      </c>
      <c r="G42" s="290">
        <f>IF(TRUE=ISBLANK(ChemData!Q42),"",(ChemData!Q42))</f>
        <v>24.063000000000002</v>
      </c>
      <c r="H42" s="291">
        <f>IF(TRUE=ISBLANK(ChemData!S42),"",(ChemData!S42))</f>
        <v>1</v>
      </c>
      <c r="I42" s="375" t="str">
        <f>IF(Start!$C$15="x",(IF(OR(C42="NA",C42=""), "NA", (IF($H42 = "NA", "NA", ((C42*$H42)))))),"---")</f>
        <v>---</v>
      </c>
      <c r="J42" s="376" t="str">
        <f>IF(Start!$C$15="x",(IF(I42 = "NA", "NA", IF(OR(D42="NA",D42=""),"NA",(I42 +((Data!$D$19-Data!$D$22)/(Data!$D$19*Data!$D$22)*$D42))))),"---")</f>
        <v>---</v>
      </c>
      <c r="K42" s="376" t="str">
        <f>IF(Start!$C$15="x",(IF(J42="NA","NA",IF(OR(G42="NA",G42=""),"NA",(J42*(1-Data!$D$23)*Data!$D$14*1000)/(Data!$D$23+((1-Data!$D$23)*Data!$D$14*$G42))))),"---")</f>
        <v>---</v>
      </c>
      <c r="L42" s="376" t="str">
        <f>IF(Start!$C$15="x",(IF(I42="NA","NA",IF($G42 = "NA", "NA",(IF(OR(ChemData!U42="NA",ChemData!U42=""),I42/((Data!$D$18+((1-Data!$D$18)*Data!$D$14*$G42))/((1-Data!$D$18)*Data!$D$14*1000)),(IF(I42/((Data!$D$18+((1-Data!$D$18)*Data!$D$14*$G42))/((1-Data!$D$18)*Data!$D$14*1000))&gt;ChemData!U42, ChemData!U42, I42/((Data!$D$18+((1-Data!$D$18)*Data!$D$14*$G42))/((1-Data!$D$18)*Data!$D$14*1000))))))))),"---")</f>
        <v>---</v>
      </c>
      <c r="M42" s="376" t="str">
        <f>IF(Start!$C$15="x",(IF(L42="NA","NA",IF(OR(D42="NA",D42=""),"NA",(((Data!$D$22*Data!$D$18)*L42)+(Data!$D$19-Data!$D$22)*$D42)/((Data!$D$22*Data!$D$18)+Data!$D$19-Data!$D$22)))),"---")</f>
        <v>---</v>
      </c>
      <c r="N42" s="376" t="str">
        <f>IF(Start!$C$15="x",IF(K42 = "NA", "NA", (IF(M42 = "NA", "NA",(IF(OR(ChemData!U42="NA",ChemData!U42=""),(IF(K42&gt;M42,K42,M42)),(IF(K42&gt;M42,(IF(K42&gt;ChemData!U42, ChemData!U42, K42)),(IF(M42&gt;ChemData!U42,ChemData!U42,M42))))))))),"---")</f>
        <v>---</v>
      </c>
      <c r="O42" s="377" t="str">
        <f>IF(Start!$C$15="x",IF(N42 = "NA","NA", IF(OR(E42="NA",E42=""),"NA",(N42+(Data!$D$26*$E42))/(Data!$D$26+1))),"---")</f>
        <v>---</v>
      </c>
      <c r="P42" s="730">
        <f>IF(E42="",F42,IF($F42&lt;(1+(Data!$D$27/100))*$E42,(1+(Data!$D$27/100))*$E42,$F42))</f>
        <v>0.46</v>
      </c>
      <c r="Q42" s="343" t="str">
        <f>IF(Start!$C$15="x",(IF(C42="","",(IF(O42="NA","NA",IF(P42="NA","NA",IF(P42=0,"NA",(O42/P42))))))),"Not Req.")</f>
        <v>Not Req.</v>
      </c>
      <c r="R42" s="163"/>
      <c r="S42" s="18"/>
      <c r="T42" s="18"/>
      <c r="U42" s="18"/>
      <c r="V42" s="18"/>
      <c r="W42" s="18"/>
      <c r="X42" s="163"/>
      <c r="Y42" s="163"/>
      <c r="Z42" s="18"/>
    </row>
    <row r="43" spans="1:26" s="23" customFormat="1" ht="13.8" thickBot="1" x14ac:dyDescent="0.3">
      <c r="A43" s="56" t="s">
        <v>361</v>
      </c>
      <c r="B43" s="371" t="str">
        <f>IF(Start!$C$15="x",IF(C43="NA","NA",(IF(C43="","",(IF(OR(F43="NA",F43=""),"No Criteria",(IF(AND(O43="NA",F43&lt;&gt;"NA",C43&lt;&gt;"NA"),                  "Missing Data",(IF(O43&lt;F43,"No",(IF(D43&gt;F43,"Caution",(IF(O43&gt;=F43,"Needed","No"))))))))))))),"---")</f>
        <v>---</v>
      </c>
      <c r="C43" s="372" t="str">
        <f>IF(TRUE=ISBLANK(ChemData!B43),"",(ChemData!B43))</f>
        <v/>
      </c>
      <c r="D43" s="373" t="str">
        <f>IF(TRUE=ISBLANK(ChemData!C43),"",(ChemData!C43))</f>
        <v/>
      </c>
      <c r="E43" s="374" t="str">
        <f>IF(TRUE=ISBLANK(ChemData!D43),"",(ChemData!D43))</f>
        <v/>
      </c>
      <c r="F43" s="289">
        <f>IF(TRUE=ISBLANK(ChemData!H43),"",(ChemData!H43))</f>
        <v>9.9000000000000005E-2</v>
      </c>
      <c r="G43" s="290">
        <f>IF(TRUE=ISBLANK(ChemData!Q43),"",(ChemData!Q43))</f>
        <v>4.7578025939051666E-2</v>
      </c>
      <c r="H43" s="291">
        <f>IF(TRUE=ISBLANK(ChemData!S43),"",(ChemData!S43))</f>
        <v>1</v>
      </c>
      <c r="I43" s="375" t="str">
        <f>IF(Start!$C$15="x",(IF(OR(C43="NA",C43=""), "NA", (IF($H43 = "NA", "NA", ((C43*$H43)))))),"---")</f>
        <v>---</v>
      </c>
      <c r="J43" s="376" t="str">
        <f>IF(Start!$C$15="x",(IF(I43 = "NA", "NA", IF(OR(D43="NA",D43=""),"NA",(I43 +((Data!$D$19-Data!$D$22)/(Data!$D$19*Data!$D$22)*$D43))))),"---")</f>
        <v>---</v>
      </c>
      <c r="K43" s="376" t="str">
        <f>IF(Start!$C$15="x",(IF(J43="NA","NA",IF(OR(G43="NA",G43=""),"NA",(J43*(1-Data!$D$23)*Data!$D$14*1000)/(Data!$D$23+((1-Data!$D$23)*Data!$D$14*$G43))))),"---")</f>
        <v>---</v>
      </c>
      <c r="L43" s="376" t="str">
        <f>IF(Start!$C$15="x",(IF(I43="NA","NA",IF($G43 = "NA", "NA",(IF(OR(ChemData!U43="NA",ChemData!U43=""),I43/((Data!$D$18+((1-Data!$D$18)*Data!$D$14*$G43))/((1-Data!$D$18)*Data!$D$14*1000)),(IF(I43/((Data!$D$18+((1-Data!$D$18)*Data!$D$14*$G43))/((1-Data!$D$18)*Data!$D$14*1000))&gt;ChemData!U43, ChemData!U43, I43/((Data!$D$18+((1-Data!$D$18)*Data!$D$14*$G43))/((1-Data!$D$18)*Data!$D$14*1000))))))))),"---")</f>
        <v>---</v>
      </c>
      <c r="M43" s="376" t="str">
        <f>IF(Start!$C$15="x",(IF(L43="NA","NA",IF(OR(D43="NA",D43=""),"NA",(((Data!$D$22*Data!$D$18)*L43)+(Data!$D$19-Data!$D$22)*$D43)/((Data!$D$22*Data!$D$18)+Data!$D$19-Data!$D$22)))),"---")</f>
        <v>---</v>
      </c>
      <c r="N43" s="376" t="str">
        <f>IF(Start!$C$15="x",IF(K43 = "NA", "NA", (IF(M43 = "NA", "NA",(IF(OR(ChemData!U43="NA",ChemData!U43=""),(IF(K43&gt;M43,K43,M43)),(IF(K43&gt;M43,(IF(K43&gt;ChemData!U43, ChemData!U43, K43)),(IF(M43&gt;ChemData!U43,ChemData!U43,M43))))))))),"---")</f>
        <v>---</v>
      </c>
      <c r="O43" s="377" t="str">
        <f>IF(Start!$C$15="x",IF(N43 = "NA","NA", IF(OR(E43="NA",E43=""),"NA",(N43+(Data!$D$26*$E43))/(Data!$D$26+1))),"---")</f>
        <v>---</v>
      </c>
      <c r="P43" s="731">
        <f>IF(E43="",F43,IF($F43&lt;(1+(Data!$D$27/100))*$E43,(1+(Data!$D$27/100))*$E43,$F43))</f>
        <v>9.9000000000000005E-2</v>
      </c>
      <c r="Q43" s="343" t="str">
        <f>IF(Start!$C$15="x",(IF(C43="","",(IF(O43="NA","NA",IF(P43="NA","NA",IF(P43=0,"NA",(O43/P43))))))),"Not Req.")</f>
        <v>Not Req.</v>
      </c>
      <c r="R43" s="163"/>
      <c r="S43" s="18"/>
      <c r="T43" s="18"/>
      <c r="U43" s="163"/>
      <c r="V43" s="163"/>
      <c r="W43" s="18"/>
      <c r="X43" s="163"/>
      <c r="Y43" s="163"/>
      <c r="Z43" s="18"/>
    </row>
    <row r="44" spans="1:26" s="10" customFormat="1" x14ac:dyDescent="0.25">
      <c r="A44" s="505" t="s">
        <v>362</v>
      </c>
      <c r="B44" s="514"/>
      <c r="C44" s="508"/>
      <c r="D44" s="509"/>
      <c r="E44" s="510"/>
      <c r="F44" s="511"/>
      <c r="G44" s="512"/>
      <c r="H44" s="513"/>
      <c r="I44" s="511"/>
      <c r="J44" s="512"/>
      <c r="K44" s="512"/>
      <c r="L44" s="512"/>
      <c r="M44" s="512"/>
      <c r="N44" s="512"/>
      <c r="O44" s="513"/>
      <c r="P44" s="672"/>
      <c r="Q44" s="507"/>
      <c r="R44" s="163"/>
      <c r="S44" s="18"/>
      <c r="T44" s="18"/>
      <c r="U44" s="163"/>
      <c r="V44" s="163"/>
      <c r="W44" s="18"/>
      <c r="X44" s="163"/>
      <c r="Y44" s="163"/>
      <c r="Z44" s="18"/>
    </row>
    <row r="45" spans="1:26" s="10" customFormat="1" x14ac:dyDescent="0.25">
      <c r="A45" s="405" t="s">
        <v>363</v>
      </c>
      <c r="B45" s="371" t="str">
        <f>IF(Start!$C$15="x",IF(C45="NA","NA",(IF(C45="","",(IF(OR(F45="NA",F45=""),"No Criteria",(IF(AND(O45="NA",F45&lt;&gt;"NA",C45&lt;&gt;"NA"),                  "Missing Data",(IF(O45&lt;F45,"No",(IF(D45&gt;F45,"Caution",(IF(O45&gt;=F45,"Needed","No"))))))))))))),"---")</f>
        <v>---</v>
      </c>
      <c r="C45" s="372" t="str">
        <f>IF(TRUE=ISBLANK(ChemData!B45),"",(ChemData!B45))</f>
        <v/>
      </c>
      <c r="D45" s="373" t="str">
        <f>IF(TRUE=ISBLANK(ChemData!C45),"",(ChemData!C45))</f>
        <v/>
      </c>
      <c r="E45" s="374" t="str">
        <f>IF(TRUE=ISBLANK(ChemData!D45),"",(ChemData!D45))</f>
        <v/>
      </c>
      <c r="F45" s="289">
        <f>IF(TRUE=ISBLANK(ChemData!H45),"",(ChemData!H45))</f>
        <v>22</v>
      </c>
      <c r="G45" s="290">
        <f>IF(TRUE=ISBLANK(ChemData!Q45),"",(ChemData!Q45))</f>
        <v>9.9</v>
      </c>
      <c r="H45" s="291">
        <f>IF(TRUE=ISBLANK(ChemData!S45),"",(ChemData!S45))</f>
        <v>1</v>
      </c>
      <c r="I45" s="375" t="str">
        <f>IF(Start!$C$15="x",(IF(OR(C45="NA",C45=""), "NA", (IF($H45 = "NA", "NA", ((C45*$H45)/(Data!$D$10/100)))))),"---")</f>
        <v>---</v>
      </c>
      <c r="J45" s="376" t="str">
        <f>IF(Start!$C$15="x",(IF(I45 = "NA", "NA", IF(OR(D45="NA",D45=""),"NA",(I45 +((Data!$D$19-Data!$D$22)/(Data!$D$19*Data!$D$22)*$D45))))),"---")</f>
        <v>---</v>
      </c>
      <c r="K45" s="376" t="str">
        <f>IF(Start!$C$15="x",(IF(J45="NA","NA",IF(OR(G45="NA",G45=""),"NA",(J45*(1-Data!$D$23)*Data!$D$14*1000)/(Data!$D$23+((1-Data!$D$23)*Data!$D$14*$G45))))),"---")</f>
        <v>---</v>
      </c>
      <c r="L45" s="376" t="str">
        <f>IF(Start!$C$15="x",(IF(I45="NA","NA",IF($G45 = "NA", "NA",(IF(OR(ChemData!U45="NA",ChemData!U45=""),I45/((Data!$D$18+((1-Data!$D$18)*Data!$D$14*$G45))/((1-Data!$D$18)*Data!$D$14*1000)),(IF(I45/((Data!$D$18+((1-Data!$D$18)*Data!$D$14*$G45))/((1-Data!$D$18)*Data!$D$14*1000))&gt;ChemData!U45, ChemData!U45, I45/((Data!$D$18+((1-Data!$D$18)*Data!$D$14*$G45))/((1-Data!$D$18)*Data!$D$14*1000))))))))),"---")</f>
        <v>---</v>
      </c>
      <c r="M45" s="376" t="str">
        <f>IF(Start!$C$15="x",(IF(L45="NA","NA",IF(OR(D45="NA",D45=""),"NA",(((Data!$D$22*Data!$D$18)*L45)+(Data!$D$19-Data!$D$22)*$D45)/((Data!$D$22*Data!$D$18)+Data!$D$19-Data!$D$22)))),"---")</f>
        <v>---</v>
      </c>
      <c r="N45" s="376" t="str">
        <f>IF(Start!$C$15="x",IF(K45 = "NA", "NA", (IF(M45 = "NA", "NA",(IF(OR(ChemData!U45="NA",ChemData!U45=""),(IF(K45&gt;M45,K45,M45)),(IF(K45&gt;M45,(IF(K45&gt;ChemData!U45, ChemData!U45, K45)),(IF(M45&gt;ChemData!U45,ChemData!U45,M45))))))))),"---")</f>
        <v>---</v>
      </c>
      <c r="O45" s="377" t="str">
        <f>IF(Start!$C$15="x",IF(N45 = "NA","NA", IF(OR(E45="NA",E45=""),"NA",(N45+(Data!$D$26*$E45))/(Data!$D$26+1))),"---")</f>
        <v>---</v>
      </c>
      <c r="P45" s="730">
        <f>IF(E45="",F45,IF($F45&lt;(1+(Data!$D$27/100))*$E45,(1+(Data!$D$27/100))*$E45,$F45))</f>
        <v>22</v>
      </c>
      <c r="Q45" s="343" t="str">
        <f>IF(Start!$C$15="x",(IF(C45="","",(IF(O45="NA","NA",IF(P45="NA","NA",IF(P45=0,"NA",(O45/P45))))))),"Not Req.")</f>
        <v>Not Req.</v>
      </c>
      <c r="R45" s="163"/>
      <c r="S45" s="18"/>
      <c r="T45" s="18"/>
      <c r="U45" s="163"/>
      <c r="V45" s="163"/>
      <c r="W45" s="18"/>
      <c r="X45" s="163"/>
      <c r="Y45" s="163"/>
      <c r="Z45" s="18"/>
    </row>
    <row r="46" spans="1:26" s="10" customFormat="1" x14ac:dyDescent="0.25">
      <c r="A46" s="405" t="s">
        <v>364</v>
      </c>
      <c r="B46" s="371" t="str">
        <f>IF(Start!$C$15="x",IF(C46="NA","NA",(IF(C46="","",(IF(OR(F46="NA",F46=""),"No Criteria",(IF(AND(O46="NA",F46&lt;&gt;"NA",C46&lt;&gt;"NA"),                  "Missing Data",(IF(O46&lt;F46,"No",(IF(D46&gt;F46,"Caution",(IF(O46&gt;=F46,"Needed","No"))))))))))))),"---")</f>
        <v>---</v>
      </c>
      <c r="C46" s="372">
        <f>IF(TRUE=ISBLANK(ChemData!B46),"",(ChemData!B46))</f>
        <v>10</v>
      </c>
      <c r="D46" s="373">
        <f>IF(TRUE=ISBLANK(ChemData!C46),"",(ChemData!C46))</f>
        <v>10</v>
      </c>
      <c r="E46" s="374">
        <f>IF(TRUE=ISBLANK(ChemData!D46),"",(ChemData!D46))</f>
        <v>2</v>
      </c>
      <c r="F46" s="289" t="str">
        <f>IF(TRUE=ISBLANK(ChemData!H46),"",(ChemData!H46))</f>
        <v>NA</v>
      </c>
      <c r="G46" s="290">
        <f>IF(TRUE=ISBLANK(ChemData!Q46),"",(ChemData!Q46))</f>
        <v>8.6999999999999993</v>
      </c>
      <c r="H46" s="291">
        <f>IF(TRUE=ISBLANK(ChemData!S46),"",(ChemData!S46))</f>
        <v>1</v>
      </c>
      <c r="I46" s="375" t="str">
        <f>IF(Start!$C$15="x",(IF(OR(C46="NA",C46=""), "NA", (IF($H46 = "NA", "NA", ((C46*$H46)/(Data!$D$10/100)))))),"---")</f>
        <v>---</v>
      </c>
      <c r="J46" s="376" t="str">
        <f>IF(Start!$C$15="x",(IF(I46 = "NA", "NA", IF(OR(D46="NA",D46=""),"NA",(I46 +((Data!$D$19-Data!$D$22)/(Data!$D$19*Data!$D$22)*$D46))))),"---")</f>
        <v>---</v>
      </c>
      <c r="K46" s="376" t="str">
        <f>IF(Start!$C$15="x",(IF(J46="NA","NA",IF(OR(G46="NA",G46=""),"NA",(J46*(1-Data!$D$23)*Data!$D$14*1000)/(Data!$D$23+((1-Data!$D$23)*Data!$D$14*$G46))))),"---")</f>
        <v>---</v>
      </c>
      <c r="L46" s="376" t="str">
        <f>IF(Start!$C$15="x",(IF(I46="NA","NA",IF($G46 = "NA", "NA",(IF(OR(ChemData!U46="NA",ChemData!U46=""),I46/((Data!$D$18+((1-Data!$D$18)*Data!$D$14*$G46))/((1-Data!$D$18)*Data!$D$14*1000)),(IF(I46/((Data!$D$18+((1-Data!$D$18)*Data!$D$14*$G46))/((1-Data!$D$18)*Data!$D$14*1000))&gt;ChemData!U46, ChemData!U46, I46/((Data!$D$18+((1-Data!$D$18)*Data!$D$14*$G46))/((1-Data!$D$18)*Data!$D$14*1000))))))))),"---")</f>
        <v>---</v>
      </c>
      <c r="M46" s="376" t="str">
        <f>IF(Start!$C$15="x",(IF(L46="NA","NA",IF(OR(D46="NA",D46=""),"NA",(((Data!$D$22*Data!$D$18)*L46)+(Data!$D$19-Data!$D$22)*$D46)/((Data!$D$22*Data!$D$18)+Data!$D$19-Data!$D$22)))),"---")</f>
        <v>---</v>
      </c>
      <c r="N46" s="376" t="str">
        <f>IF(Start!$C$15="x",IF(K46 = "NA", "NA", (IF(M46 = "NA", "NA",(IF(OR(ChemData!U46="NA",ChemData!U46=""),(IF(K46&gt;M46,K46,M46)),(IF(K46&gt;M46,(IF(K46&gt;ChemData!U46, ChemData!U46, K46)),(IF(M46&gt;ChemData!U46,ChemData!U46,M46))))))))),"---")</f>
        <v>---</v>
      </c>
      <c r="O46" s="377" t="str">
        <f>IF(Start!$C$15="x",IF(N46 = "NA","NA", IF(OR(E46="NA",E46=""),"NA",(N46+(Data!$D$26*$E46))/(Data!$D$26+1))),"---")</f>
        <v>---</v>
      </c>
      <c r="P46" s="730" t="str">
        <f>IF(E46="",F46,IF($F46&lt;(1+(Data!$D$27/100))*$E46,(1+(Data!$D$27/100))*$E46,$F46))</f>
        <v>NA</v>
      </c>
      <c r="Q46" s="343" t="str">
        <f>IF(Start!$C$15="x",(IF(C46="","",(IF(O46="NA","NA",IF(P46="NA","NA",IF(P46=0,"NA",(O46/P46))))))),"Not Req.")</f>
        <v>Not Req.</v>
      </c>
      <c r="R46" s="163"/>
      <c r="S46" s="18"/>
      <c r="T46" s="18"/>
      <c r="U46" s="163"/>
      <c r="V46" s="163"/>
      <c r="W46" s="18"/>
      <c r="X46" s="163"/>
      <c r="Y46" s="163"/>
      <c r="Z46" s="18"/>
    </row>
    <row r="47" spans="1:26" s="10" customFormat="1" x14ac:dyDescent="0.25">
      <c r="A47" s="405" t="s">
        <v>365</v>
      </c>
      <c r="B47" s="371" t="str">
        <f>IF(Start!$C$15="x",IF(C47="NA","NA",(IF(C47="","",(IF(OR(F47="NA",F47=""),"No Criteria",(IF(AND(O47="NA",F47&lt;&gt;"NA",C47&lt;&gt;"NA"),                  "Missing Data",(IF(O47&lt;F47,"No",(IF(D47&gt;F47,"Caution",(IF(O47&gt;=F47,"Needed","No"))))))))))))),"---")</f>
        <v>---</v>
      </c>
      <c r="C47" s="372" t="str">
        <f>IF(TRUE=ISBLANK(ChemData!B47),"",(ChemData!B47))</f>
        <v/>
      </c>
      <c r="D47" s="373" t="str">
        <f>IF(TRUE=ISBLANK(ChemData!C47),"",(ChemData!C47))</f>
        <v/>
      </c>
      <c r="E47" s="374" t="str">
        <f>IF(TRUE=ISBLANK(ChemData!D47),"",(ChemData!D47))</f>
        <v/>
      </c>
      <c r="F47" s="289" t="str">
        <f>IF(TRUE=ISBLANK(ChemData!H47),"",(ChemData!H47))</f>
        <v>NA</v>
      </c>
      <c r="G47" s="290" t="str">
        <f>IF(TRUE=ISBLANK(ChemData!Q47),"",(ChemData!Q47))</f>
        <v>NA</v>
      </c>
      <c r="H47" s="291">
        <f>IF(TRUE=ISBLANK(ChemData!S47),"",(ChemData!S47))</f>
        <v>0.5</v>
      </c>
      <c r="I47" s="375" t="str">
        <f>IF(Start!$C$15="x",(IF(OR(C47="NA",C47=""), "NA", (IF($H47 = "NA", "NA", ((C47*$H47)/(Data!$D$10/100)))))),"---")</f>
        <v>---</v>
      </c>
      <c r="J47" s="376" t="str">
        <f>IF(Start!$C$15="x",(IF(I47 = "NA", "NA", IF(OR(D47="NA",D47=""),"NA",(I47 +((Data!$D$19-Data!$D$22)/(Data!$D$19*Data!$D$22)*$D47))))),"---")</f>
        <v>---</v>
      </c>
      <c r="K47" s="376" t="str">
        <f>IF(Start!$C$15="x",(IF(J47="NA","NA",IF(OR(G47="NA",G47=""),"NA",(J47*(1-Data!$D$23)*Data!$D$14*1000)/(Data!$D$23+((1-Data!$D$23)*Data!$D$14*$G47))))),"---")</f>
        <v>---</v>
      </c>
      <c r="L47" s="376" t="str">
        <f>IF(Start!$C$15="x",(IF(I47="NA","NA",IF($G47 = "NA", "NA",(IF(OR(ChemData!U47="NA",ChemData!U47=""),I47/((Data!$D$18+((1-Data!$D$18)*Data!$D$14*$G47))/((1-Data!$D$18)*Data!$D$14*1000)),(IF(I47/((Data!$D$18+((1-Data!$D$18)*Data!$D$14*$G47))/((1-Data!$D$18)*Data!$D$14*1000))&gt;ChemData!U47, ChemData!U47, I47/((Data!$D$18+((1-Data!$D$18)*Data!$D$14*$G47))/((1-Data!$D$18)*Data!$D$14*1000))))))))),"---")</f>
        <v>---</v>
      </c>
      <c r="M47" s="376" t="str">
        <f>IF(Start!$C$15="x",(IF(L47="NA","NA",IF(OR(D47="NA",D47=""),"NA",(((Data!$D$22*Data!$D$18)*L47)+(Data!$D$19-Data!$D$22)*$D47)/((Data!$D$22*Data!$D$18)+Data!$D$19-Data!$D$22)))),"---")</f>
        <v>---</v>
      </c>
      <c r="N47" s="376" t="str">
        <f>IF(Start!$C$15="x",IF(K47 = "NA", "NA", (IF(M47 = "NA", "NA",(IF(OR(ChemData!U47="NA",ChemData!U47=""),(IF(K47&gt;M47,K47,M47)),(IF(K47&gt;M47,(IF(K47&gt;ChemData!U47, ChemData!U47, K47)),(IF(M47&gt;ChemData!U47,ChemData!U47,M47))))))))),"---")</f>
        <v>---</v>
      </c>
      <c r="O47" s="377" t="str">
        <f>IF(Start!$C$15="x",IF(N47 = "NA","NA", IF(OR(E47="NA",E47=""),"NA",(N47+(Data!$D$26*$E47))/(Data!$D$26+1))),"---")</f>
        <v>---</v>
      </c>
      <c r="P47" s="730" t="str">
        <f>IF(E47="",F47,IF($F47&lt;(1+(Data!$D$27/100))*$E47,(1+(Data!$D$27/100))*$E47,$F47))</f>
        <v>NA</v>
      </c>
      <c r="Q47" s="343" t="str">
        <f>IF(Start!$C$15="x",(IF(C47="","",(IF(O47="NA","NA",IF(P47="NA","NA",IF(P47=0,"NA",(O47/P47))))))),"Not Req.")</f>
        <v>Not Req.</v>
      </c>
      <c r="R47" s="163"/>
      <c r="S47" s="18"/>
      <c r="T47" s="18"/>
      <c r="U47" s="163"/>
      <c r="V47" s="163"/>
      <c r="W47" s="18"/>
      <c r="X47" s="163"/>
      <c r="Y47" s="163"/>
      <c r="Z47" s="18"/>
    </row>
    <row r="48" spans="1:26" s="159" customFormat="1" ht="13.8" thickBot="1" x14ac:dyDescent="0.3">
      <c r="A48" s="406" t="s">
        <v>366</v>
      </c>
      <c r="B48" s="371" t="str">
        <f>IF(Start!$C$15="x",IF(C48="NA","NA",(IF(C48="","",(IF(OR(F48="NA",F48=""),"No Criteria",(IF(AND(O48="NA",F48&lt;&gt;"NA",C48&lt;&gt;"NA"),                  "Missing Data",(IF(O48&lt;F48,"No",(IF(D48&gt;F48,"Caution",(IF(O48&gt;=F48,"Needed","No"))))))))))))),"---")</f>
        <v>---</v>
      </c>
      <c r="C48" s="372" t="str">
        <f>IF(TRUE=ISBLANK(ChemData!B48),"",(ChemData!B48))</f>
        <v/>
      </c>
      <c r="D48" s="373" t="str">
        <f>IF(TRUE=ISBLANK(ChemData!C48),"",(ChemData!C48))</f>
        <v/>
      </c>
      <c r="E48" s="374" t="str">
        <f>IF(TRUE=ISBLANK(ChemData!D48),"",(ChemData!D48))</f>
        <v/>
      </c>
      <c r="F48" s="289" t="str">
        <f>IF(TRUE=ISBLANK(ChemData!H48),"",(ChemData!H48))</f>
        <v>NA</v>
      </c>
      <c r="G48" s="290" t="str">
        <f>IF(TRUE=ISBLANK(ChemData!Q48),"",(ChemData!Q48))</f>
        <v>NA</v>
      </c>
      <c r="H48" s="291">
        <f>IF(TRUE=ISBLANK(ChemData!S48),"",(ChemData!S48))</f>
        <v>1E-3</v>
      </c>
      <c r="I48" s="375" t="str">
        <f>IF(Start!$C$15="x",(IF(OR(C48="NA",C48=""), "NA", (IF($H48 = "NA", "NA", ((C48*$H48)/(Data!$D$10/100)))))),"---")</f>
        <v>---</v>
      </c>
      <c r="J48" s="376" t="str">
        <f>IF(Start!$C$15="x",(IF(I48 = "NA", "NA", IF(OR(D48="NA",D48=""),"NA",(I48 +((Data!$D$19-Data!$D$22)/(Data!$D$19*Data!$D$22)*$D48))))),"---")</f>
        <v>---</v>
      </c>
      <c r="K48" s="376" t="str">
        <f>IF(Start!$C$15="x",(IF(J48="NA","NA",IF(OR(G48="NA",G48=""),"NA",(J48*(1-Data!$D$23)*Data!$D$14*1000)/(Data!$D$23+((1-Data!$D$23)*Data!$D$14*$G48))))),"---")</f>
        <v>---</v>
      </c>
      <c r="L48" s="376" t="str">
        <f>IF(Start!$C$15="x",(IF(I48="NA","NA",IF($G48 = "NA", "NA",(IF(OR(ChemData!U48="NA",ChemData!U48=""),I48/((Data!$D$18+((1-Data!$D$18)*Data!$D$14*$G48))/((1-Data!$D$18)*Data!$D$14*1000)),(IF(I48/((Data!$D$18+((1-Data!$D$18)*Data!$D$14*$G48))/((1-Data!$D$18)*Data!$D$14*1000))&gt;ChemData!U48, ChemData!U48, I48/((Data!$D$18+((1-Data!$D$18)*Data!$D$14*$G48))/((1-Data!$D$18)*Data!$D$14*1000))))))))),"---")</f>
        <v>---</v>
      </c>
      <c r="M48" s="376" t="str">
        <f>IF(Start!$C$15="x",(IF(L48="NA","NA",IF(OR(D48="NA",D48=""),"NA",(((Data!$D$22*Data!$D$18)*L48)+(Data!$D$19-Data!$D$22)*$D48)/((Data!$D$22*Data!$D$18)+Data!$D$19-Data!$D$22)))),"---")</f>
        <v>---</v>
      </c>
      <c r="N48" s="376" t="str">
        <f>IF(Start!$C$15="x",IF(K48 = "NA", "NA", (IF(M48 = "NA", "NA",(IF(OR(ChemData!U48="NA",ChemData!U48=""),(IF(K48&gt;M48,K48,M48)),(IF(K48&gt;M48,(IF(K48&gt;ChemData!U48, ChemData!U48, K48)),(IF(M48&gt;ChemData!U48,ChemData!U48,M48))))))))),"---")</f>
        <v>---</v>
      </c>
      <c r="O48" s="377" t="str">
        <f>IF(Start!$C$15="x",IF(N48 = "NA","NA", IF(OR(E48="NA",E48=""),"NA",(N48+(Data!$D$26*$E48))/(Data!$D$26+1))),"---")</f>
        <v>---</v>
      </c>
      <c r="P48" s="731" t="str">
        <f>IF(E48="",F48,IF($F48&lt;(1+(Data!$D$27/100))*$E48,(1+(Data!$D$27/100))*$E48,$F48))</f>
        <v>NA</v>
      </c>
      <c r="Q48" s="343" t="str">
        <f>IF(Start!$C$15="x",(IF(C48="","",(IF(O48="NA","NA",IF(P48="NA","NA",IF(P48=0,"NA",(O48/P48))))))),"Not Req.")</f>
        <v>Not Req.</v>
      </c>
      <c r="R48" s="163"/>
      <c r="S48" s="18"/>
      <c r="T48" s="18"/>
      <c r="U48" s="18"/>
      <c r="V48" s="18"/>
      <c r="W48" s="18"/>
      <c r="X48" s="163"/>
      <c r="Y48" s="163"/>
      <c r="Z48" s="18"/>
    </row>
    <row r="49" spans="1:26" s="10" customFormat="1" x14ac:dyDescent="0.25">
      <c r="A49" s="505" t="s">
        <v>367</v>
      </c>
      <c r="B49" s="514"/>
      <c r="C49" s="508"/>
      <c r="D49" s="509"/>
      <c r="E49" s="510"/>
      <c r="F49" s="511"/>
      <c r="G49" s="512"/>
      <c r="H49" s="513"/>
      <c r="I49" s="511"/>
      <c r="J49" s="512"/>
      <c r="K49" s="512"/>
      <c r="L49" s="512"/>
      <c r="M49" s="512"/>
      <c r="N49" s="512"/>
      <c r="O49" s="513"/>
      <c r="P49" s="672"/>
      <c r="Q49" s="507"/>
      <c r="R49" s="163"/>
      <c r="S49" s="18"/>
      <c r="T49" s="18"/>
      <c r="U49" s="163"/>
      <c r="V49" s="163"/>
      <c r="W49" s="18"/>
      <c r="X49" s="163"/>
      <c r="Y49" s="163"/>
      <c r="Z49" s="18"/>
    </row>
    <row r="50" spans="1:26" s="10" customFormat="1" x14ac:dyDescent="0.25">
      <c r="A50" s="405" t="s">
        <v>368</v>
      </c>
      <c r="B50" s="371" t="str">
        <f>IF(Start!$C$15="x",IF(C50="NA","NA",(IF(C50="","",(IF(OR(F50="NA",F50=""),"No Criteria",(IF(AND(O50="NA",F50&lt;&gt;"NA",C50&lt;&gt;"NA"),                  "Missing Data",(IF(O50&lt;F50,"No",(IF(D50&gt;F50,"Caution",(IF(O50&gt;=F50,"Needed","No"))))))))))))),"---")</f>
        <v>---</v>
      </c>
      <c r="C50" s="372" t="str">
        <f>IF(TRUE=ISBLANK(ChemData!B50),"",(ChemData!B50))</f>
        <v/>
      </c>
      <c r="D50" s="373" t="str">
        <f>IF(TRUE=ISBLANK(ChemData!C50),"",(ChemData!C50))</f>
        <v/>
      </c>
      <c r="E50" s="374" t="str">
        <f>IF(TRUE=ISBLANK(ChemData!D50),"",(ChemData!D50))</f>
        <v/>
      </c>
      <c r="F50" s="289">
        <f>IF(TRUE=ISBLANK(ChemData!H50),"",(ChemData!H50))</f>
        <v>80</v>
      </c>
      <c r="G50" s="290">
        <f>IF(TRUE=ISBLANK(ChemData!Q50),"",(ChemData!Q50))</f>
        <v>153.95947403110438</v>
      </c>
      <c r="H50" s="291">
        <f>IF(TRUE=ISBLANK(ChemData!S50),"",(ChemData!S50))</f>
        <v>1</v>
      </c>
      <c r="I50" s="375" t="str">
        <f>IF(Start!$C$15="x",(IF(OR(C50="NA",C50=""), "NA", (IF($H50 = "NA", "NA", ((C50*$H50)))))),"---")</f>
        <v>---</v>
      </c>
      <c r="J50" s="376" t="str">
        <f>IF(Start!$C$15="x",(IF(I50 = "NA", "NA", IF(OR(D50="NA",D50=""),"NA",(I50 +((Data!$D$19-Data!$D$22)/(Data!$D$19*Data!$D$22)*$D50))))),"---")</f>
        <v>---</v>
      </c>
      <c r="K50" s="376" t="str">
        <f>IF(Start!$C$15="x",(IF(J50="NA","NA",IF(OR(G50="NA",G50=""),"NA",(J50*(1-Data!$D$23)*Data!$D$14*1000)/(Data!$D$23+((1-Data!$D$23)*Data!$D$14*$G50))))),"---")</f>
        <v>---</v>
      </c>
      <c r="L50" s="376" t="str">
        <f>IF(Start!$C$15="x",(IF(I50="NA","NA",IF($G50 = "NA", "NA",(IF(OR(ChemData!U50="NA",ChemData!U50=""),I50/((Data!$D$18+((1-Data!$D$18)*Data!$D$14*$G50))/((1-Data!$D$18)*Data!$D$14*1000)),(IF(I50/((Data!$D$18+((1-Data!$D$18)*Data!$D$14*$G50))/((1-Data!$D$18)*Data!$D$14*1000))&gt;ChemData!U50, ChemData!U50, I50/((Data!$D$18+((1-Data!$D$18)*Data!$D$14*$G50))/((1-Data!$D$18)*Data!$D$14*1000))))))))),"---")</f>
        <v>---</v>
      </c>
      <c r="M50" s="376" t="str">
        <f>IF(Start!$C$15="x",(IF(L50="NA","NA",IF(OR(D50="NA",D50=""),"NA",(((Data!$D$22*Data!$D$18)*L50)+(Data!$D$19-Data!$D$22)*$D50)/((Data!$D$22*Data!$D$18)+Data!$D$19-Data!$D$22)))),"---")</f>
        <v>---</v>
      </c>
      <c r="N50" s="376" t="str">
        <f>IF(Start!$C$15="x",IF(K50 = "NA", "NA", (IF(M50 = "NA", "NA",(IF(OR(ChemData!U50="NA",ChemData!U50=""),(IF(K50&gt;M50,K50,M50)),(IF(K50&gt;M50,(IF(K50&gt;ChemData!U50, ChemData!U50, K50)),(IF(M50&gt;ChemData!U50,ChemData!U50,M50))))))))),"---")</f>
        <v>---</v>
      </c>
      <c r="O50" s="377" t="str">
        <f>IF(Start!$C$15="x",IF(N50 = "NA","NA", IF(OR(E50="NA",E50=""),"NA",(N50+(Data!$D$26*$E50))/(Data!$D$26+1))),"---")</f>
        <v>---</v>
      </c>
      <c r="P50" s="730">
        <f>IF(E50="",F50,IF($F50&lt;(1+(Data!$D$27/100))*$E50,(1+(Data!$D$27/100))*$E50,$F50))</f>
        <v>80</v>
      </c>
      <c r="Q50" s="343" t="str">
        <f>IF(Start!$C$15="x",(IF(C50="","",(IF(O50="NA","NA",IF(P50="NA","NA",IF(P50=0,"NA",(O50/P50))))))),"Not Req.")</f>
        <v>Not Req.</v>
      </c>
      <c r="R50" s="163"/>
      <c r="S50" s="18"/>
      <c r="T50" s="18"/>
      <c r="U50" s="163"/>
      <c r="V50" s="163"/>
      <c r="W50" s="18"/>
      <c r="X50" s="163"/>
      <c r="Y50" s="163"/>
      <c r="Z50" s="18"/>
    </row>
    <row r="51" spans="1:26" s="10" customFormat="1" x14ac:dyDescent="0.25">
      <c r="A51" s="405" t="s">
        <v>369</v>
      </c>
      <c r="B51" s="371" t="str">
        <f>IF(Start!$C$15="x",IF(C51="NA","NA",(IF(C51="","",(IF(OR(F51="NA",F51=""),"No Criteria",(IF(AND(O51="NA",F51&lt;&gt;"NA",C51&lt;&gt;"NA"),                  "Missing Data",(IF(O51&lt;F51,"No",(IF(D51&gt;F51,"Caution",(IF(O51&gt;=F51,"Needed","No"))))))))))))),"---")</f>
        <v>---</v>
      </c>
      <c r="C51" s="372" t="str">
        <f>IF(TRUE=ISBLANK(ChemData!B51),"",(ChemData!B51))</f>
        <v/>
      </c>
      <c r="D51" s="373" t="str">
        <f>IF(TRUE=ISBLANK(ChemData!C51),"",(ChemData!C51))</f>
        <v/>
      </c>
      <c r="E51" s="374" t="str">
        <f>IF(TRUE=ISBLANK(ChemData!D51),"",(ChemData!D51))</f>
        <v/>
      </c>
      <c r="F51" s="289" t="str">
        <f>IF(TRUE=ISBLANK(ChemData!H51),"",(ChemData!H51))</f>
        <v>NA</v>
      </c>
      <c r="G51" s="290">
        <f>IF(TRUE=ISBLANK(ChemData!Q51),"",(ChemData!Q51))</f>
        <v>185.1</v>
      </c>
      <c r="H51" s="291">
        <f>IF(TRUE=ISBLANK(ChemData!S51),"",(ChemData!S51))</f>
        <v>1</v>
      </c>
      <c r="I51" s="375" t="str">
        <f>IF(Start!$C$15="x",(IF(OR(C51="NA",C51=""), "NA", (IF($H51 = "NA", "NA", ((C51*$H51)))))),"---")</f>
        <v>---</v>
      </c>
      <c r="J51" s="376" t="str">
        <f>IF(Start!$C$15="x",(IF(I51 = "NA", "NA", IF(OR(D51="NA",D51=""),"NA",(I51 +((Data!$D$19-Data!$D$22)/(Data!$D$19*Data!$D$22)*$D51))))),"---")</f>
        <v>---</v>
      </c>
      <c r="K51" s="376" t="str">
        <f>IF(Start!$C$15="x",(IF(J51="NA","NA",IF(OR(G51="NA",G51=""),"NA",(J51*(1-Data!$D$23)*Data!$D$14*1000)/(Data!$D$23+((1-Data!$D$23)*Data!$D$14*$G51))))),"---")</f>
        <v>---</v>
      </c>
      <c r="L51" s="376" t="str">
        <f>IF(Start!$C$15="x",(IF(I51="NA","NA",IF($G51 = "NA", "NA",(IF(OR(ChemData!U51="NA",ChemData!U51=""),I51/((Data!$D$18+((1-Data!$D$18)*Data!$D$14*$G51))/((1-Data!$D$18)*Data!$D$14*1000)),(IF(I51/((Data!$D$18+((1-Data!$D$18)*Data!$D$14*$G51))/((1-Data!$D$18)*Data!$D$14*1000))&gt;ChemData!U51, ChemData!U51, I51/((Data!$D$18+((1-Data!$D$18)*Data!$D$14*$G51))/((1-Data!$D$18)*Data!$D$14*1000))))))))),"---")</f>
        <v>---</v>
      </c>
      <c r="M51" s="376" t="str">
        <f>IF(Start!$C$15="x",(IF(L51="NA","NA",IF(OR(D51="NA",D51=""),"NA",(((Data!$D$22*Data!$D$18)*L51)+(Data!$D$19-Data!$D$22)*$D51)/((Data!$D$22*Data!$D$18)+Data!$D$19-Data!$D$22)))),"---")</f>
        <v>---</v>
      </c>
      <c r="N51" s="376" t="str">
        <f>IF(Start!$C$15="x",IF(K51 = "NA", "NA", (IF(M51 = "NA", "NA",(IF(OR(ChemData!U51="NA",ChemData!U51=""),(IF(K51&gt;M51,K51,M51)),(IF(K51&gt;M51,(IF(K51&gt;ChemData!U51, ChemData!U51, K51)),(IF(M51&gt;ChemData!U51,ChemData!U51,M51))))))))),"---")</f>
        <v>---</v>
      </c>
      <c r="O51" s="377" t="str">
        <f>IF(Start!$C$15="x",IF(N51 = "NA","NA", IF(OR(E51="NA",E51=""),"NA",(N51+(Data!$D$26*$E51))/(Data!$D$26+1))),"---")</f>
        <v>---</v>
      </c>
      <c r="P51" s="730" t="str">
        <f>IF(E51="",F51,IF($F51&lt;(1+(Data!$D$27/100))*$E51,(1+(Data!$D$27/100))*$E51,$F51))</f>
        <v>NA</v>
      </c>
      <c r="Q51" s="343" t="str">
        <f>IF(Start!$C$15="x",(IF(C51="","",(IF(O51="NA","NA",IF(P51="NA","NA",IF(P51=0,"NA",(O51/P51))))))),"Not Req.")</f>
        <v>Not Req.</v>
      </c>
      <c r="R51" s="163"/>
      <c r="S51" s="18"/>
      <c r="T51" s="18"/>
      <c r="U51" s="163"/>
      <c r="V51" s="163"/>
      <c r="W51" s="18"/>
      <c r="X51" s="163"/>
      <c r="Y51" s="163"/>
      <c r="Z51" s="18"/>
    </row>
    <row r="52" spans="1:26" s="10" customFormat="1" x14ac:dyDescent="0.25">
      <c r="A52" s="405" t="s">
        <v>370</v>
      </c>
      <c r="B52" s="371" t="str">
        <f>IF(Start!$C$15="x",IF(C52="NA","NA",(IF(C52="","",(IF(OR(F52="NA",F52=""),"No Criteria",(IF(AND(O52="NA",F52&lt;&gt;"NA",C52&lt;&gt;"NA"),                  "Missing Data",(IF(O52&lt;F52,"No",(IF(D52&gt;F52,"Caution",(IF(O52&gt;=F52,"Needed","No"))))))))))))),"---")</f>
        <v>---</v>
      </c>
      <c r="C52" s="372" t="str">
        <f>IF(TRUE=ISBLANK(ChemData!B52),"",(ChemData!B52))</f>
        <v/>
      </c>
      <c r="D52" s="373" t="str">
        <f>IF(TRUE=ISBLANK(ChemData!C52),"",(ChemData!C52))</f>
        <v/>
      </c>
      <c r="E52" s="374" t="str">
        <f>IF(TRUE=ISBLANK(ChemData!D52),"",(ChemData!D52))</f>
        <v/>
      </c>
      <c r="F52" s="289">
        <f>IF(TRUE=ISBLANK(ChemData!H52),"",(ChemData!H52))</f>
        <v>13</v>
      </c>
      <c r="G52" s="290">
        <f>IF(TRUE=ISBLANK(ChemData!Q52),"",(ChemData!Q52))</f>
        <v>585.33759489716783</v>
      </c>
      <c r="H52" s="291">
        <f>IF(TRUE=ISBLANK(ChemData!S52),"",(ChemData!S52))</f>
        <v>1</v>
      </c>
      <c r="I52" s="375" t="str">
        <f>IF(Start!$C$15="x",(IF(OR(C52="NA",C52=""), "NA", (IF($H52 = "NA", "NA", ((C52*$H52)))))),"---")</f>
        <v>---</v>
      </c>
      <c r="J52" s="376" t="str">
        <f>IF(Start!$C$15="x",(IF(I52 = "NA", "NA", IF(OR(D52="NA",D52=""),"NA",(I52 +((Data!$D$19-Data!$D$22)/(Data!$D$19*Data!$D$22)*$D52))))),"---")</f>
        <v>---</v>
      </c>
      <c r="K52" s="376" t="str">
        <f>IF(Start!$C$15="x",(IF(J52="NA","NA",IF(OR(G52="NA",G52=""),"NA",(J52*(1-Data!$D$23)*Data!$D$14*1000)/(Data!$D$23+((1-Data!$D$23)*Data!$D$14*$G52))))),"---")</f>
        <v>---</v>
      </c>
      <c r="L52" s="376" t="str">
        <f>IF(Start!$C$15="x",(IF(I52="NA","NA",IF($G52 = "NA", "NA",(IF(OR(ChemData!U52="NA",ChemData!U52=""),I52/((Data!$D$18+((1-Data!$D$18)*Data!$D$14*$G52))/((1-Data!$D$18)*Data!$D$14*1000)),(IF(I52/((Data!$D$18+((1-Data!$D$18)*Data!$D$14*$G52))/((1-Data!$D$18)*Data!$D$14*1000))&gt;ChemData!U52, ChemData!U52, I52/((Data!$D$18+((1-Data!$D$18)*Data!$D$14*$G52))/((1-Data!$D$18)*Data!$D$14*1000))))))))),"---")</f>
        <v>---</v>
      </c>
      <c r="M52" s="376" t="str">
        <f>IF(Start!$C$15="x",(IF(L52="NA","NA",IF(OR(D52="NA",D52=""),"NA",(((Data!$D$22*Data!$D$18)*L52)+(Data!$D$19-Data!$D$22)*$D52)/((Data!$D$22*Data!$D$18)+Data!$D$19-Data!$D$22)))),"---")</f>
        <v>---</v>
      </c>
      <c r="N52" s="376" t="str">
        <f>IF(Start!$C$15="x",IF(K52 = "NA", "NA", (IF(M52 = "NA", "NA",(IF(OR(ChemData!U52="NA",ChemData!U52=""),(IF(K52&gt;M52,K52,M52)),(IF(K52&gt;M52,(IF(K52&gt;ChemData!U52, ChemData!U52, K52)),(IF(M52&gt;ChemData!U52,ChemData!U52,M52))))))))),"---")</f>
        <v>---</v>
      </c>
      <c r="O52" s="377" t="str">
        <f>IF(Start!$C$15="x",IF(N52 = "NA","NA", IF(OR(E52="NA",E52=""),"NA",(N52+(Data!$D$26*$E52))/(Data!$D$26+1))),"---")</f>
        <v>---</v>
      </c>
      <c r="P52" s="730">
        <f>IF(E52="",F52,IF($F52&lt;(1+(Data!$D$27/100))*$E52,(1+(Data!$D$27/100))*$E52,$F52))</f>
        <v>13</v>
      </c>
      <c r="Q52" s="343" t="str">
        <f>IF(Start!$C$15="x",(IF(C52="","",(IF(O52="NA","NA",IF(P52="NA","NA",IF(P52=0,"NA",(O52/P52))))))),"Not Req.")</f>
        <v>Not Req.</v>
      </c>
      <c r="R52" s="163"/>
      <c r="S52" s="18"/>
      <c r="T52" s="18"/>
      <c r="U52" s="163"/>
      <c r="V52" s="163"/>
      <c r="W52" s="18"/>
      <c r="X52" s="163"/>
      <c r="Y52" s="163"/>
      <c r="Z52" s="18"/>
    </row>
    <row r="53" spans="1:26" s="10" customFormat="1" x14ac:dyDescent="0.25">
      <c r="A53" s="405" t="s">
        <v>371</v>
      </c>
      <c r="B53" s="371" t="str">
        <f>IF(Start!$C$15="x",IF(C53="NA","NA",(IF(C53="","",(IF(OR(F53="NA",F53=""),"No Criteria",(IF(AND(O53="NA",F53&lt;&gt;"NA",C53&lt;&gt;"NA"),                  "Missing Data",(IF(O53&lt;F53,"No",(IF(D53&gt;F53,"Caution",(IF(O53&gt;=F53,"Needed","No"))))))))))))),"---")</f>
        <v>---</v>
      </c>
      <c r="C53" s="372" t="str">
        <f>IF(TRUE=ISBLANK(ChemData!B53),"",(ChemData!B53))</f>
        <v/>
      </c>
      <c r="D53" s="373" t="str">
        <f>IF(TRUE=ISBLANK(ChemData!C53),"",(ChemData!C53))</f>
        <v/>
      </c>
      <c r="E53" s="374" t="str">
        <f>IF(TRUE=ISBLANK(ChemData!D53),"",(ChemData!D53))</f>
        <v/>
      </c>
      <c r="F53" s="289">
        <f>IF(TRUE=ISBLANK(ChemData!H53),"",(ChemData!H53))</f>
        <v>0.49</v>
      </c>
      <c r="G53" s="290">
        <f>IF(TRUE=ISBLANK(ChemData!Q53),"",(ChemData!Q53))</f>
        <v>9276.9756944408309</v>
      </c>
      <c r="H53" s="291">
        <f>IF(TRUE=ISBLANK(ChemData!S53),"",(ChemData!S53))</f>
        <v>1</v>
      </c>
      <c r="I53" s="375" t="str">
        <f>IF(Start!$C$15="x",(IF(OR(C53="NA",C53=""), "NA", (IF($H53 = "NA", "NA", ((C53*$H53)))))),"---")</f>
        <v>---</v>
      </c>
      <c r="J53" s="376" t="str">
        <f>IF(Start!$C$15="x",(IF(I53 = "NA", "NA", IF(OR(D53="NA",D53=""),"NA",(I53 +((Data!$D$19-Data!$D$22)/(Data!$D$19*Data!$D$22)*$D53))))),"---")</f>
        <v>---</v>
      </c>
      <c r="K53" s="376" t="str">
        <f>IF(Start!$C$15="x",(IF(J53="NA","NA",IF(OR(G53="NA",G53=""),"NA",(J53*(1-Data!$D$23)*Data!$D$14*1000)/(Data!$D$23+((1-Data!$D$23)*Data!$D$14*$G53))))),"---")</f>
        <v>---</v>
      </c>
      <c r="L53" s="376" t="str">
        <f>IF(Start!$C$15="x",(IF(I53="NA","NA",IF($G53 = "NA", "NA",(IF(OR(ChemData!U53="NA",ChemData!U53=""),I53/((Data!$D$18+((1-Data!$D$18)*Data!$D$14*$G53))/((1-Data!$D$18)*Data!$D$14*1000)),(IF(I53/((Data!$D$18+((1-Data!$D$18)*Data!$D$14*$G53))/((1-Data!$D$18)*Data!$D$14*1000))&gt;ChemData!U53, ChemData!U53, I53/((Data!$D$18+((1-Data!$D$18)*Data!$D$14*$G53))/((1-Data!$D$18)*Data!$D$14*1000))))))))),"---")</f>
        <v>---</v>
      </c>
      <c r="M53" s="376" t="str">
        <f>IF(Start!$C$15="x",(IF(L53="NA","NA",IF(OR(D53="NA",D53=""),"NA",(((Data!$D$22*Data!$D$18)*L53)+(Data!$D$19-Data!$D$22)*$D53)/((Data!$D$22*Data!$D$18)+Data!$D$19-Data!$D$22)))),"---")</f>
        <v>---</v>
      </c>
      <c r="N53" s="376" t="str">
        <f>IF(Start!$C$15="x",IF(K53 = "NA", "NA", (IF(M53 = "NA", "NA",(IF(OR(ChemData!U53="NA",ChemData!U53=""),(IF(K53&gt;M53,K53,M53)),(IF(K53&gt;M53,(IF(K53&gt;ChemData!U53, ChemData!U53, K53)),(IF(M53&gt;ChemData!U53,ChemData!U53,M53))))))))),"---")</f>
        <v>---</v>
      </c>
      <c r="O53" s="377" t="str">
        <f>IF(Start!$C$15="x",IF(N53 = "NA","NA", IF(OR(E53="NA",E53=""),"NA",(N53+(Data!$D$26*$E53))/(Data!$D$26+1))),"---")</f>
        <v>---</v>
      </c>
      <c r="P53" s="730">
        <f>IF(E53="",F53,IF($F53&lt;(1+(Data!$D$27/100))*$E53,(1+(Data!$D$27/100))*$E53,$F53))</f>
        <v>0.49</v>
      </c>
      <c r="Q53" s="343" t="str">
        <f>IF(Start!$C$15="x",(IF(C53="","",(IF(O53="NA","NA",IF(P53="NA","NA",IF(P53=0,"NA",(O53/P53))))))),"Not Req.")</f>
        <v>Not Req.</v>
      </c>
      <c r="R53" s="163"/>
      <c r="S53" s="18"/>
      <c r="T53" s="18"/>
      <c r="U53" s="163"/>
      <c r="V53" s="163"/>
      <c r="W53" s="18"/>
      <c r="X53" s="163"/>
      <c r="Y53" s="163"/>
      <c r="Z53" s="18"/>
    </row>
    <row r="54" spans="1:26" s="10" customFormat="1" x14ac:dyDescent="0.25">
      <c r="A54" s="405" t="s">
        <v>372</v>
      </c>
      <c r="B54" s="371" t="str">
        <f>IF(Start!$C$15="x",IF(C54="NA","NA",(IF(C54="","",(IF(OR(F54="NA",F54=""),"No Criteria",(IF(AND(O54="NA",F54&lt;&gt;"NA",C54&lt;&gt;"NA"),                  "Missing Data",(IF(O54&lt;F54,"No",(IF(D54&gt;F54,"Caution",(IF(O54&gt;=F54,"Needed","No"))))))))))))),"---")</f>
        <v>---</v>
      </c>
      <c r="C54" s="372" t="str">
        <f>IF(TRUE=ISBLANK(ChemData!B54),"",(ChemData!B54))</f>
        <v/>
      </c>
      <c r="D54" s="373" t="str">
        <f>IF(TRUE=ISBLANK(ChemData!C54),"",(ChemData!C54))</f>
        <v/>
      </c>
      <c r="E54" s="374" t="str">
        <f>IF(TRUE=ISBLANK(ChemData!D54),"",(ChemData!D54))</f>
        <v/>
      </c>
      <c r="F54" s="289" t="str">
        <f>IF(TRUE=ISBLANK(ChemData!H54),"",(ChemData!H54))</f>
        <v>NA</v>
      </c>
      <c r="G54" s="290">
        <f>IF(TRUE=ISBLANK(ChemData!Q54),"",(ChemData!Q54))</f>
        <v>29336.372992455243</v>
      </c>
      <c r="H54" s="291">
        <f>IF(TRUE=ISBLANK(ChemData!S54),"",(ChemData!S54))</f>
        <v>1</v>
      </c>
      <c r="I54" s="375" t="str">
        <f>IF(Start!$C$15="x",(IF(OR(C54="NA",C54=""), "NA", (IF($H54 = "NA", "NA", ((C54*$H54)))))),"---")</f>
        <v>---</v>
      </c>
      <c r="J54" s="376" t="str">
        <f>IF(Start!$C$15="x",(IF(I54 = "NA", "NA", IF(OR(D54="NA",D54=""),"NA",(I54 +((Data!$D$19-Data!$D$22)/(Data!$D$19*Data!$D$22)*$D54))))),"---")</f>
        <v>---</v>
      </c>
      <c r="K54" s="376" t="str">
        <f>IF(Start!$C$15="x",(IF(J54="NA","NA",IF(OR(G54="NA",G54=""),"NA",(J54*(1-Data!$D$23)*Data!$D$14*1000)/(Data!$D$23+((1-Data!$D$23)*Data!$D$14*$G54))))),"---")</f>
        <v>---</v>
      </c>
      <c r="L54" s="376" t="str">
        <f>IF(Start!$C$15="x",(IF(I54="NA","NA",IF($G54 = "NA", "NA",(IF(OR(ChemData!U54="NA",ChemData!U54=""),I54/((Data!$D$18+((1-Data!$D$18)*Data!$D$14*$G54))/((1-Data!$D$18)*Data!$D$14*1000)),(IF(I54/((Data!$D$18+((1-Data!$D$18)*Data!$D$14*$G54))/((1-Data!$D$18)*Data!$D$14*1000))&gt;ChemData!U54, ChemData!U54, I54/((Data!$D$18+((1-Data!$D$18)*Data!$D$14*$G54))/((1-Data!$D$18)*Data!$D$14*1000))))))))),"---")</f>
        <v>---</v>
      </c>
      <c r="M54" s="376" t="str">
        <f>IF(Start!$C$15="x",(IF(L54="NA","NA",IF(OR(D54="NA",D54=""),"NA",(((Data!$D$22*Data!$D$18)*L54)+(Data!$D$19-Data!$D$22)*$D54)/((Data!$D$22*Data!$D$18)+Data!$D$19-Data!$D$22)))),"---")</f>
        <v>---</v>
      </c>
      <c r="N54" s="376" t="str">
        <f>IF(Start!$C$15="x",IF(K54 = "NA", "NA", (IF(M54 = "NA", "NA",(IF(OR(ChemData!U54="NA",ChemData!U54=""),(IF(K54&gt;M54,K54,M54)),(IF(K54&gt;M54,(IF(K54&gt;ChemData!U54, ChemData!U54, K54)),(IF(M54&gt;ChemData!U54,ChemData!U54,M54))))))))),"---")</f>
        <v>---</v>
      </c>
      <c r="O54" s="377" t="str">
        <f>IF(Start!$C$15="x",IF(N54 = "NA","NA", IF(OR(E54="NA",E54=""),"NA",(N54+(Data!$D$26*$E54))/(Data!$D$26+1))),"---")</f>
        <v>---</v>
      </c>
      <c r="P54" s="730" t="str">
        <f>IF(E54="",F54,IF($F54&lt;(1+(Data!$D$27/100))*$E54,(1+(Data!$D$27/100))*$E54,$F54))</f>
        <v>NA</v>
      </c>
      <c r="Q54" s="343" t="str">
        <f>IF(Start!$C$15="x",(IF(C54="","",(IF(O54="NA","NA",IF(P54="NA","NA",IF(P54=0,"NA",(O54/P54))))))),"Not Req.")</f>
        <v>Not Req.</v>
      </c>
      <c r="R54" s="163"/>
      <c r="S54" s="18"/>
      <c r="T54" s="18"/>
      <c r="U54" s="163"/>
      <c r="V54" s="163"/>
      <c r="W54" s="18"/>
      <c r="X54" s="163"/>
      <c r="Y54" s="163"/>
      <c r="Z54" s="18"/>
    </row>
    <row r="55" spans="1:26" s="10" customFormat="1" x14ac:dyDescent="0.25">
      <c r="A55" s="405" t="s">
        <v>373</v>
      </c>
      <c r="B55" s="371" t="str">
        <f>IF(Start!$C$15="x",IF(C55="NA","NA",(IF(C55="","",(IF(OR(F55="NA",F55=""),"No Criteria",(IF(AND(O55="NA",F55&lt;&gt;"NA",C55&lt;&gt;"NA"),                  "Missing Data",(IF(O55&lt;F55,"No",(IF(D55&gt;F55,"Caution",(IF(O55&gt;=F55,"Needed","No"))))))))))))),"---")</f>
        <v>---</v>
      </c>
      <c r="C55" s="372" t="str">
        <f>IF(TRUE=ISBLANK(ChemData!B55),"",(ChemData!B55))</f>
        <v/>
      </c>
      <c r="D55" s="373" t="str">
        <f>IF(TRUE=ISBLANK(ChemData!C55),"",(ChemData!C55))</f>
        <v/>
      </c>
      <c r="E55" s="374" t="str">
        <f>IF(TRUE=ISBLANK(ChemData!D55),"",(ChemData!D55))</f>
        <v/>
      </c>
      <c r="F55" s="289" t="str">
        <f>IF(TRUE=ISBLANK(ChemData!H55),"",(ChemData!H55))</f>
        <v>NA</v>
      </c>
      <c r="G55" s="290">
        <f>IF(TRUE=ISBLANK(ChemData!Q55),"",(ChemData!Q55))</f>
        <v>29336.372992455243</v>
      </c>
      <c r="H55" s="291">
        <f>IF(TRUE=ISBLANK(ChemData!S55),"",(ChemData!S55))</f>
        <v>1</v>
      </c>
      <c r="I55" s="375" t="str">
        <f>IF(Start!$C$15="x",(IF(OR(C55="NA",C55=""), "NA", (IF($H55 = "NA", "NA", ((C55*$H55)))))),"---")</f>
        <v>---</v>
      </c>
      <c r="J55" s="376" t="str">
        <f>IF(Start!$C$15="x",(IF(I55 = "NA", "NA", IF(OR(D55="NA",D55=""),"NA",(I55 +((Data!$D$19-Data!$D$22)/(Data!$D$19*Data!$D$22)*$D55))))),"---")</f>
        <v>---</v>
      </c>
      <c r="K55" s="376" t="str">
        <f>IF(Start!$C$15="x",(IF(J55="NA","NA",IF(OR(G55="NA",G55=""),"NA",(J55*(1-Data!$D$23)*Data!$D$14*1000)/(Data!$D$23+((1-Data!$D$23)*Data!$D$14*$G55))))),"---")</f>
        <v>---</v>
      </c>
      <c r="L55" s="376" t="str">
        <f>IF(Start!$C$15="x",(IF(I55="NA","NA",IF($G55 = "NA", "NA",(IF(OR(ChemData!U55="NA",ChemData!U55=""),I55/((Data!$D$18+((1-Data!$D$18)*Data!$D$14*$G55))/((1-Data!$D$18)*Data!$D$14*1000)),(IF(I55/((Data!$D$18+((1-Data!$D$18)*Data!$D$14*$G55))/((1-Data!$D$18)*Data!$D$14*1000))&gt;ChemData!U55, ChemData!U55, I55/((Data!$D$18+((1-Data!$D$18)*Data!$D$14*$G55))/((1-Data!$D$18)*Data!$D$14*1000))))))))),"---")</f>
        <v>---</v>
      </c>
      <c r="M55" s="376" t="str">
        <f>IF(Start!$C$15="x",(IF(L55="NA","NA",IF(OR(D55="NA",D55=""),"NA",(((Data!$D$22*Data!$D$18)*L55)+(Data!$D$19-Data!$D$22)*$D55)/((Data!$D$22*Data!$D$18)+Data!$D$19-Data!$D$22)))),"---")</f>
        <v>---</v>
      </c>
      <c r="N55" s="376" t="str">
        <f>IF(Start!$C$15="x",IF(K55 = "NA", "NA", (IF(M55 = "NA", "NA",(IF(OR(ChemData!U55="NA",ChemData!U55=""),(IF(K55&gt;M55,K55,M55)),(IF(K55&gt;M55,(IF(K55&gt;ChemData!U55, ChemData!U55, K55)),(IF(M55&gt;ChemData!U55,ChemData!U55,M55))))))))),"---")</f>
        <v>---</v>
      </c>
      <c r="O55" s="377" t="str">
        <f>IF(Start!$C$15="x",IF(N55 = "NA","NA", IF(OR(E55="NA",E55=""),"NA",(N55+(Data!$D$26*$E55))/(Data!$D$26+1))),"---")</f>
        <v>---</v>
      </c>
      <c r="P55" s="730" t="str">
        <f>IF(E55="",F55,IF($F55&lt;(1+(Data!$D$27/100))*$E55,(1+(Data!$D$27/100))*$E55,$F55))</f>
        <v>NA</v>
      </c>
      <c r="Q55" s="343" t="str">
        <f>IF(Start!$C$15="x",(IF(C55="","",(IF(O55="NA","NA",IF(P55="NA","NA",IF(P55=0,"NA",(O55/P55))))))),"Not Req.")</f>
        <v>Not Req.</v>
      </c>
      <c r="R55" s="163"/>
      <c r="S55" s="18"/>
      <c r="T55" s="18"/>
      <c r="U55" s="163"/>
      <c r="V55" s="163"/>
      <c r="W55" s="18"/>
      <c r="X55" s="163"/>
      <c r="Y55" s="163"/>
      <c r="Z55" s="18"/>
    </row>
    <row r="56" spans="1:26" s="10" customFormat="1" x14ac:dyDescent="0.25">
      <c r="A56" s="405" t="s">
        <v>374</v>
      </c>
      <c r="B56" s="371" t="str">
        <f>IF(Start!$C$15="x",IF(C56="NA","NA",(IF(C56="","",(IF(OR(F56="NA",F56=""),"No Criteria",(IF(AND(O56="NA",F56&lt;&gt;"NA",C56&lt;&gt;"NA"),                  "Missing Data",(IF(O56&lt;F56,"No",(IF(D56&gt;F56,"Caution",(IF(O56&gt;=F56,"Needed","No"))))))))))))),"---")</f>
        <v>---</v>
      </c>
      <c r="C56" s="372" t="str">
        <f>IF(TRUE=ISBLANK(ChemData!B56),"",(ChemData!B56))</f>
        <v/>
      </c>
      <c r="D56" s="373" t="str">
        <f>IF(TRUE=ISBLANK(ChemData!C56),"",(ChemData!C56))</f>
        <v/>
      </c>
      <c r="E56" s="374" t="str">
        <f>IF(TRUE=ISBLANK(ChemData!D56),"",(ChemData!D56))</f>
        <v/>
      </c>
      <c r="F56" s="289" t="str">
        <f>IF(TRUE=ISBLANK(ChemData!H56),"",(ChemData!H56))</f>
        <v>NA</v>
      </c>
      <c r="G56" s="290">
        <f>IF(TRUE=ISBLANK(ChemData!Q56),"",(ChemData!Q56))</f>
        <v>92769.756944408247</v>
      </c>
      <c r="H56" s="291">
        <f>IF(TRUE=ISBLANK(ChemData!S56),"",(ChemData!S56))</f>
        <v>1</v>
      </c>
      <c r="I56" s="375" t="str">
        <f>IF(Start!$C$15="x",(IF(OR(C56="NA",C56=""), "NA", (IF($H56 = "NA", "NA", ((C56*$H56)))))),"---")</f>
        <v>---</v>
      </c>
      <c r="J56" s="376" t="str">
        <f>IF(Start!$C$15="x",(IF(I56 = "NA", "NA", IF(OR(D56="NA",D56=""),"NA",(I56 +((Data!$D$19-Data!$D$22)/(Data!$D$19*Data!$D$22)*$D56))))),"---")</f>
        <v>---</v>
      </c>
      <c r="K56" s="376" t="str">
        <f>IF(Start!$C$15="x",(IF(J56="NA","NA",IF(OR(G56="NA",G56=""),"NA",(J56*(1-Data!$D$23)*Data!$D$14*1000)/(Data!$D$23+((1-Data!$D$23)*Data!$D$14*$G56))))),"---")</f>
        <v>---</v>
      </c>
      <c r="L56" s="376" t="str">
        <f>IF(Start!$C$15="x",(IF(I56="NA","NA",IF($G56 = "NA", "NA",(IF(OR(ChemData!U56="NA",ChemData!U56=""),I56/((Data!$D$18+((1-Data!$D$18)*Data!$D$14*$G56))/((1-Data!$D$18)*Data!$D$14*1000)),(IF(I56/((Data!$D$18+((1-Data!$D$18)*Data!$D$14*$G56))/((1-Data!$D$18)*Data!$D$14*1000))&gt;ChemData!U56, ChemData!U56, I56/((Data!$D$18+((1-Data!$D$18)*Data!$D$14*$G56))/((1-Data!$D$18)*Data!$D$14*1000))))))))),"---")</f>
        <v>---</v>
      </c>
      <c r="M56" s="376" t="str">
        <f>IF(Start!$C$15="x",(IF(L56="NA","NA",IF(OR(D56="NA",D56=""),"NA",(((Data!$D$22*Data!$D$18)*L56)+(Data!$D$19-Data!$D$22)*$D56)/((Data!$D$22*Data!$D$18)+Data!$D$19-Data!$D$22)))),"---")</f>
        <v>---</v>
      </c>
      <c r="N56" s="376" t="str">
        <f>IF(Start!$C$15="x",IF(K56 = "NA", "NA", (IF(M56 = "NA", "NA",(IF(OR(ChemData!U56="NA",ChemData!U56=""),(IF(K56&gt;M56,K56,M56)),(IF(K56&gt;M56,(IF(K56&gt;ChemData!U56, ChemData!U56, K56)),(IF(M56&gt;ChemData!U56,ChemData!U56,M56))))))))),"---")</f>
        <v>---</v>
      </c>
      <c r="O56" s="377" t="str">
        <f>IF(Start!$C$15="x",IF(N56 = "NA","NA", IF(OR(E56="NA",E56=""),"NA",(N56+(Data!$D$26*$E56))/(Data!$D$26+1))),"---")</f>
        <v>---</v>
      </c>
      <c r="P56" s="730" t="str">
        <f>IF(E56="",F56,IF($F56&lt;(1+(Data!$D$27/100))*$E56,(1+(Data!$D$27/100))*$E56,$F56))</f>
        <v>NA</v>
      </c>
      <c r="Q56" s="343" t="str">
        <f>IF(Start!$C$15="x",(IF(C56="","",(IF(O56="NA","NA",IF(P56="NA","NA",IF(P56=0,"NA",(O56/P56))))))),"Not Req.")</f>
        <v>Not Req.</v>
      </c>
      <c r="R56" s="163"/>
      <c r="S56" s="18"/>
      <c r="T56" s="18"/>
      <c r="U56" s="163"/>
      <c r="V56" s="163"/>
      <c r="W56" s="18"/>
      <c r="X56" s="163"/>
      <c r="Y56" s="163"/>
      <c r="Z56" s="18"/>
    </row>
    <row r="57" spans="1:26" s="10" customFormat="1" x14ac:dyDescent="0.25">
      <c r="A57" s="405" t="s">
        <v>375</v>
      </c>
      <c r="B57" s="371" t="str">
        <f>IF(Start!$C$15="x",IF(C57="NA","NA",(IF(C57="","",(IF(OR(F57="NA",F57=""),"No Criteria",(IF(AND(O57="NA",F57&lt;&gt;"NA",C57&lt;&gt;"NA"),                  "Missing Data",(IF(O57&lt;F57,"No",(IF(D57&gt;F57,"Caution",(IF(O57&gt;=F57,"Needed","No"))))))))))))),"---")</f>
        <v>---</v>
      </c>
      <c r="C57" s="372" t="str">
        <f>IF(TRUE=ISBLANK(ChemData!B57),"",(ChemData!B57))</f>
        <v/>
      </c>
      <c r="D57" s="373" t="str">
        <f>IF(TRUE=ISBLANK(ChemData!C57),"",(ChemData!C57))</f>
        <v/>
      </c>
      <c r="E57" s="374" t="str">
        <f>IF(TRUE=ISBLANK(ChemData!D57),"",(ChemData!D57))</f>
        <v/>
      </c>
      <c r="F57" s="289">
        <f>IF(TRUE=ISBLANK(ChemData!H57),"",(ChemData!H57))</f>
        <v>0.24</v>
      </c>
      <c r="G57" s="290">
        <f>IF(TRUE=ISBLANK(ChemData!Q57),"",(ChemData!Q57))</f>
        <v>20295.811410610371</v>
      </c>
      <c r="H57" s="291">
        <f>IF(TRUE=ISBLANK(ChemData!S57),"",(ChemData!S57))</f>
        <v>1</v>
      </c>
      <c r="I57" s="375" t="str">
        <f>IF(Start!$C$15="x",(IF(OR(C57="NA",C57=""), "NA", (IF($H57 = "NA", "NA", ((C57*$H57)))))),"---")</f>
        <v>---</v>
      </c>
      <c r="J57" s="376" t="str">
        <f>IF(Start!$C$15="x",(IF(I57 = "NA", "NA", IF(OR(D57="NA",D57=""),"NA",(I57 +((Data!$D$19-Data!$D$22)/(Data!$D$19*Data!$D$22)*$D57))))),"---")</f>
        <v>---</v>
      </c>
      <c r="K57" s="376" t="str">
        <f>IF(Start!$C$15="x",(IF(J57="NA","NA",IF(OR(G57="NA",G57=""),"NA",(J57*(1-Data!$D$23)*Data!$D$14*1000)/(Data!$D$23+((1-Data!$D$23)*Data!$D$14*$G57))))),"---")</f>
        <v>---</v>
      </c>
      <c r="L57" s="376" t="str">
        <f>IF(Start!$C$15="x",(IF(I57="NA","NA",IF($G57 = "NA", "NA",(IF(OR(ChemData!U57="NA",ChemData!U57=""),I57/((Data!$D$18+((1-Data!$D$18)*Data!$D$14*$G57))/((1-Data!$D$18)*Data!$D$14*1000)),(IF(I57/((Data!$D$18+((1-Data!$D$18)*Data!$D$14*$G57))/((1-Data!$D$18)*Data!$D$14*1000))&gt;ChemData!U57, ChemData!U57, I57/((Data!$D$18+((1-Data!$D$18)*Data!$D$14*$G57))/((1-Data!$D$18)*Data!$D$14*1000))))))))),"---")</f>
        <v>---</v>
      </c>
      <c r="M57" s="376" t="str">
        <f>IF(Start!$C$15="x",(IF(L57="NA","NA",IF(OR(D57="NA",D57=""),"NA",(((Data!$D$22*Data!$D$18)*L57)+(Data!$D$19-Data!$D$22)*$D57)/((Data!$D$22*Data!$D$18)+Data!$D$19-Data!$D$22)))),"---")</f>
        <v>---</v>
      </c>
      <c r="N57" s="376" t="str">
        <f>IF(Start!$C$15="x",IF(K57 = "NA", "NA", (IF(M57 = "NA", "NA",(IF(OR(ChemData!U57="NA",ChemData!U57=""),(IF(K57&gt;M57,K57,M57)),(IF(K57&gt;M57,(IF(K57&gt;ChemData!U57, ChemData!U57, K57)),(IF(M57&gt;ChemData!U57,ChemData!U57,M57))))))))),"---")</f>
        <v>---</v>
      </c>
      <c r="O57" s="377" t="str">
        <f>IF(Start!$C$15="x",IF(N57 = "NA","NA", IF(OR(E57="NA",E57=""),"NA",(N57+(Data!$D$26*$E57))/(Data!$D$26+1))),"---")</f>
        <v>---</v>
      </c>
      <c r="P57" s="730">
        <f>IF(E57="",F57,IF($F57&lt;(1+(Data!$D$27/100))*$E57,(1+(Data!$D$27/100))*$E57,$F57))</f>
        <v>0.24</v>
      </c>
      <c r="Q57" s="343" t="str">
        <f>IF(Start!$C$15="x",(IF(C57="","",(IF(O57="NA","NA",IF(P57="NA","NA",IF(P57=0,"NA",(O57/P57))))))),"Not Req.")</f>
        <v>Not Req.</v>
      </c>
      <c r="R57" s="163"/>
      <c r="S57" s="18"/>
      <c r="T57" s="18"/>
      <c r="U57" s="163"/>
      <c r="V57" s="163"/>
      <c r="W57" s="18"/>
      <c r="X57" s="163"/>
      <c r="Y57" s="163"/>
      <c r="Z57" s="18"/>
    </row>
    <row r="58" spans="1:26" s="10" customFormat="1" x14ac:dyDescent="0.25">
      <c r="A58" s="405" t="s">
        <v>376</v>
      </c>
      <c r="B58" s="371" t="str">
        <f>IF(Start!$C$15="x",IF(C58="NA","NA",(IF(C58="","",(IF(OR(F58="NA",F58=""),"No Criteria",(IF(AND(O58="NA",F58&lt;&gt;"NA",C58&lt;&gt;"NA"),                  "Missing Data",(IF(O58&lt;F58,"No",(IF(D58&gt;F58,"Caution",(IF(O58&gt;=F58,"Needed","No"))))))))))))),"---")</f>
        <v>---</v>
      </c>
      <c r="C58" s="372" t="str">
        <f>IF(TRUE=ISBLANK(ChemData!B58),"",(ChemData!B58))</f>
        <v/>
      </c>
      <c r="D58" s="373" t="str">
        <f>IF(TRUE=ISBLANK(ChemData!C58),"",(ChemData!C58))</f>
        <v/>
      </c>
      <c r="E58" s="374" t="str">
        <f>IF(TRUE=ISBLANK(ChemData!D58),"",(ChemData!D58))</f>
        <v/>
      </c>
      <c r="F58" s="289" t="str">
        <f>IF(TRUE=ISBLANK(ChemData!H58),"",(ChemData!H58))</f>
        <v>NA</v>
      </c>
      <c r="G58" s="290">
        <f>IF(TRUE=ISBLANK(ChemData!Q58),"",(ChemData!Q58))</f>
        <v>50980.773298789587</v>
      </c>
      <c r="H58" s="291">
        <f>IF(TRUE=ISBLANK(ChemData!S58),"",(ChemData!S58))</f>
        <v>1</v>
      </c>
      <c r="I58" s="375" t="str">
        <f>IF(Start!$C$15="x",(IF(OR(C58="NA",C58=""), "NA", (IF($H58 = "NA", "NA", ((C58*$H58)))))),"---")</f>
        <v>---</v>
      </c>
      <c r="J58" s="376" t="str">
        <f>IF(Start!$C$15="x",(IF(I58 = "NA", "NA", IF(OR(D58="NA",D58=""),"NA",(I58 +((Data!$D$19-Data!$D$22)/(Data!$D$19*Data!$D$22)*$D58))))),"---")</f>
        <v>---</v>
      </c>
      <c r="K58" s="376" t="str">
        <f>IF(Start!$C$15="x",(IF(J58="NA","NA",IF(OR(G58="NA",G58=""),"NA",(J58*(1-Data!$D$23)*Data!$D$14*1000)/(Data!$D$23+((1-Data!$D$23)*Data!$D$14*$G58))))),"---")</f>
        <v>---</v>
      </c>
      <c r="L58" s="376" t="str">
        <f>IF(Start!$C$15="x",(IF(I58="NA","NA",IF($G58 = "NA", "NA",(IF(OR(ChemData!U58="NA",ChemData!U58=""),I58/((Data!$D$18+((1-Data!$D$18)*Data!$D$14*$G58))/((1-Data!$D$18)*Data!$D$14*1000)),(IF(I58/((Data!$D$18+((1-Data!$D$18)*Data!$D$14*$G58))/((1-Data!$D$18)*Data!$D$14*1000))&gt;ChemData!U58, ChemData!U58, I58/((Data!$D$18+((1-Data!$D$18)*Data!$D$14*$G58))/((1-Data!$D$18)*Data!$D$14*1000))))))))),"---")</f>
        <v>---</v>
      </c>
      <c r="M58" s="376" t="str">
        <f>IF(Start!$C$15="x",(IF(L58="NA","NA",IF(OR(D58="NA",D58=""),"NA",(((Data!$D$22*Data!$D$18)*L58)+(Data!$D$19-Data!$D$22)*$D58)/((Data!$D$22*Data!$D$18)+Data!$D$19-Data!$D$22)))),"---")</f>
        <v>---</v>
      </c>
      <c r="N58" s="376" t="str">
        <f>IF(Start!$C$15="x",IF(K58 = "NA", "NA", (IF(M58 = "NA", "NA",(IF(OR(ChemData!U58="NA",ChemData!U58=""),(IF(K58&gt;M58,K58,M58)),(IF(K58&gt;M58,(IF(K58&gt;ChemData!U58, ChemData!U58, K58)),(IF(M58&gt;ChemData!U58,ChemData!U58,M58))))))))),"---")</f>
        <v>---</v>
      </c>
      <c r="O58" s="377" t="str">
        <f>IF(Start!$C$15="x",IF(N58 = "NA","NA", IF(OR(E58="NA",E58=""),"NA",(N58+(Data!$D$26*$E58))/(Data!$D$26+1))),"---")</f>
        <v>---</v>
      </c>
      <c r="P58" s="730" t="str">
        <f>IF(E58="",F58,IF($F58&lt;(1+(Data!$D$27/100))*$E58,(1+(Data!$D$27/100))*$E58,$F58))</f>
        <v>NA</v>
      </c>
      <c r="Q58" s="343" t="str">
        <f>IF(Start!$C$15="x",(IF(C58="","",(IF(O58="NA","NA",IF(P58="NA","NA",IF(P58=0,"NA",(O58/P58))))))),"Not Req.")</f>
        <v>Not Req.</v>
      </c>
      <c r="R58" s="163"/>
      <c r="S58" s="18"/>
      <c r="T58" s="18"/>
      <c r="U58" s="163"/>
      <c r="V58" s="163"/>
      <c r="W58" s="18"/>
      <c r="X58" s="163"/>
      <c r="Y58" s="163"/>
      <c r="Z58" s="18"/>
    </row>
    <row r="59" spans="1:26" s="10" customFormat="1" x14ac:dyDescent="0.25">
      <c r="A59" s="405" t="s">
        <v>377</v>
      </c>
      <c r="B59" s="371" t="str">
        <f>IF(Start!$C$15="x",IF(C59="NA","NA",(IF(C59="","",(IF(OR(F59="NA",F59=""),"No Criteria",(IF(AND(O59="NA",F59&lt;&gt;"NA",C59&lt;&gt;"NA"),                  "Missing Data",(IF(O59&lt;F59,"No",(IF(D59&gt;F59,"Caution",(IF(O59&gt;=F59,"Needed","No"))))))))))))),"---")</f>
        <v>---</v>
      </c>
      <c r="C59" s="372" t="str">
        <f>IF(TRUE=ISBLANK(ChemData!B59),"",(ChemData!B59))</f>
        <v/>
      </c>
      <c r="D59" s="373" t="str">
        <f>IF(TRUE=ISBLANK(ChemData!C59),"",(ChemData!C59))</f>
        <v/>
      </c>
      <c r="E59" s="374" t="str">
        <f>IF(TRUE=ISBLANK(ChemData!D59),"",(ChemData!D59))</f>
        <v/>
      </c>
      <c r="F59" s="289" t="str">
        <f>IF(TRUE=ISBLANK(ChemData!H59),"",(ChemData!H59))</f>
        <v>NA</v>
      </c>
      <c r="G59" s="290">
        <f>IF(TRUE=ISBLANK(ChemData!Q59),"",(ChemData!Q59))</f>
        <v>114.13173484456048</v>
      </c>
      <c r="H59" s="291">
        <f>IF(TRUE=ISBLANK(ChemData!S59),"",(ChemData!S59))</f>
        <v>1</v>
      </c>
      <c r="I59" s="375" t="str">
        <f>IF(Start!$C$15="x",(IF(OR(C59="NA",C59=""), "NA", (IF($H59 = "NA", "NA", ((C59*$H59)))))),"---")</f>
        <v>---</v>
      </c>
      <c r="J59" s="376" t="str">
        <f>IF(Start!$C$15="x",(IF(I59 = "NA", "NA", IF(OR(D59="NA",D59=""),"NA",(I59 +((Data!$D$19-Data!$D$22)/(Data!$D$19*Data!$D$22)*$D59))))),"---")</f>
        <v>---</v>
      </c>
      <c r="K59" s="376" t="str">
        <f>IF(Start!$C$15="x",(IF(J59="NA","NA",IF(OR(G59="NA",G59=""),"NA",(J59*(1-Data!$D$23)*Data!$D$14*1000)/(Data!$D$23+((1-Data!$D$23)*Data!$D$14*$G59))))),"---")</f>
        <v>---</v>
      </c>
      <c r="L59" s="376" t="str">
        <f>IF(Start!$C$15="x",(IF(I59="NA","NA",IF($G59 = "NA", "NA",(IF(OR(ChemData!U59="NA",ChemData!U59=""),I59/((Data!$D$18+((1-Data!$D$18)*Data!$D$14*$G59))/((1-Data!$D$18)*Data!$D$14*1000)),(IF(I59/((Data!$D$18+((1-Data!$D$18)*Data!$D$14*$G59))/((1-Data!$D$18)*Data!$D$14*1000))&gt;ChemData!U59, ChemData!U59, I59/((Data!$D$18+((1-Data!$D$18)*Data!$D$14*$G59))/((1-Data!$D$18)*Data!$D$14*1000))))))))),"---")</f>
        <v>---</v>
      </c>
      <c r="M59" s="376" t="str">
        <f>IF(Start!$C$15="x",(IF(L59="NA","NA",IF(OR(D59="NA",D59=""),"NA",(((Data!$D$22*Data!$D$18)*L59)+(Data!$D$19-Data!$D$22)*$D59)/((Data!$D$22*Data!$D$18)+Data!$D$19-Data!$D$22)))),"---")</f>
        <v>---</v>
      </c>
      <c r="N59" s="376" t="str">
        <f>IF(Start!$C$15="x",IF(K59 = "NA", "NA", (IF(M59 = "NA", "NA",(IF(OR(ChemData!U59="NA",ChemData!U59=""),(IF(K59&gt;M59,K59,M59)),(IF(K59&gt;M59,(IF(K59&gt;ChemData!U59, ChemData!U59, K59)),(IF(M59&gt;ChemData!U59,ChemData!U59,M59))))))))),"---")</f>
        <v>---</v>
      </c>
      <c r="O59" s="377" t="str">
        <f>IF(Start!$C$15="x",IF(N59 = "NA","NA", IF(OR(E59="NA",E59=""),"NA",(N59+(Data!$D$26*$E59))/(Data!$D$26+1))),"---")</f>
        <v>---</v>
      </c>
      <c r="P59" s="730" t="str">
        <f>IF(E59="",F59,IF($F59&lt;(1+(Data!$D$27/100))*$E59,(1+(Data!$D$27/100))*$E59,$F59))</f>
        <v>NA</v>
      </c>
      <c r="Q59" s="343" t="str">
        <f>IF(Start!$C$15="x",(IF(C59="","",(IF(O59="NA","NA",IF(P59="NA","NA",IF(P59=0,"NA",(O59/P59))))))),"Not Req.")</f>
        <v>Not Req.</v>
      </c>
      <c r="R59" s="163"/>
      <c r="S59" s="18"/>
      <c r="T59" s="18"/>
      <c r="U59" s="163"/>
      <c r="V59" s="163"/>
      <c r="W59" s="18"/>
      <c r="X59" s="163"/>
      <c r="Y59" s="163"/>
      <c r="Z59" s="18"/>
    </row>
    <row r="60" spans="1:26" s="10" customFormat="1" x14ac:dyDescent="0.25">
      <c r="A60" s="405" t="s">
        <v>378</v>
      </c>
      <c r="B60" s="371" t="str">
        <f>IF(Start!$C$15="x",IF(C60="NA","NA",(IF(C60="","",(IF(OR(F60="NA",F60=""),"No Criteria",(IF(AND(O60="NA",F60&lt;&gt;"NA",C60&lt;&gt;"NA"),                  "Missing Data",(IF(O60&lt;F60,"No",(IF(D60&gt;F60,"Caution",(IF(O60&gt;=F60,"Needed","No"))))))))))))),"---")</f>
        <v>---</v>
      </c>
      <c r="C60" s="372" t="str">
        <f>IF(TRUE=ISBLANK(ChemData!B60),"",(ChemData!B60))</f>
        <v/>
      </c>
      <c r="D60" s="373" t="str">
        <f>IF(TRUE=ISBLANK(ChemData!C60),"",(ChemData!C60))</f>
        <v/>
      </c>
      <c r="E60" s="374" t="str">
        <f>IF(TRUE=ISBLANK(ChemData!D60),"",(ChemData!D60))</f>
        <v/>
      </c>
      <c r="F60" s="289" t="str">
        <f>IF(TRUE=ISBLANK(ChemData!H60),"",(ChemData!H60))</f>
        <v>NA</v>
      </c>
      <c r="G60" s="290">
        <f>IF(TRUE=ISBLANK(ChemData!Q60),"",(ChemData!Q60))</f>
        <v>72.012256338441432</v>
      </c>
      <c r="H60" s="291">
        <f>IF(TRUE=ISBLANK(ChemData!S60),"",(ChemData!S60))</f>
        <v>1</v>
      </c>
      <c r="I60" s="375" t="str">
        <f>IF(Start!$C$15="x",(IF(OR(C60="NA",C60=""), "NA", (IF($H60 = "NA", "NA", ((C60*$H60)))))),"---")</f>
        <v>---</v>
      </c>
      <c r="J60" s="376" t="str">
        <f>IF(Start!$C$15="x",(IF(I60 = "NA", "NA", IF(OR(D60="NA",D60=""),"NA",(I60 +((Data!$D$19-Data!$D$22)/(Data!$D$19*Data!$D$22)*$D60))))),"---")</f>
        <v>---</v>
      </c>
      <c r="K60" s="376" t="str">
        <f>IF(Start!$C$15="x",(IF(J60="NA","NA",IF(OR(G60="NA",G60=""),"NA",(J60*(1-Data!$D$23)*Data!$D$14*1000)/(Data!$D$23+((1-Data!$D$23)*Data!$D$14*$G60))))),"---")</f>
        <v>---</v>
      </c>
      <c r="L60" s="376" t="str">
        <f>IF(Start!$C$15="x",(IF(I60="NA","NA",IF($G60 = "NA", "NA",(IF(OR(ChemData!U60="NA",ChemData!U60=""),I60/((Data!$D$18+((1-Data!$D$18)*Data!$D$14*$G60))/((1-Data!$D$18)*Data!$D$14*1000)),(IF(I60/((Data!$D$18+((1-Data!$D$18)*Data!$D$14*$G60))/((1-Data!$D$18)*Data!$D$14*1000))&gt;ChemData!U60, ChemData!U60, I60/((Data!$D$18+((1-Data!$D$18)*Data!$D$14*$G60))/((1-Data!$D$18)*Data!$D$14*1000))))))))),"---")</f>
        <v>---</v>
      </c>
      <c r="M60" s="376" t="str">
        <f>IF(Start!$C$15="x",(IF(L60="NA","NA",IF(OR(D60="NA",D60=""),"NA",(((Data!$D$22*Data!$D$18)*L60)+(Data!$D$19-Data!$D$22)*$D60)/((Data!$D$22*Data!$D$18)+Data!$D$19-Data!$D$22)))),"---")</f>
        <v>---</v>
      </c>
      <c r="N60" s="376" t="str">
        <f>IF(Start!$C$15="x",IF(K60 = "NA", "NA", (IF(M60 = "NA", "NA",(IF(OR(ChemData!U60="NA",ChemData!U60=""),(IF(K60&gt;M60,K60,M60)),(IF(K60&gt;M60,(IF(K60&gt;ChemData!U60, ChemData!U60, K60)),(IF(M60&gt;ChemData!U60,ChemData!U60,M60))))))))),"---")</f>
        <v>---</v>
      </c>
      <c r="O60" s="377" t="str">
        <f>IF(Start!$C$15="x",IF(N60 = "NA","NA", IF(OR(E60="NA",E60=""),"NA",(N60+(Data!$D$26*$E60))/(Data!$D$26+1))),"---")</f>
        <v>---</v>
      </c>
      <c r="P60" s="730" t="str">
        <f>IF(E60="",F60,IF($F60&lt;(1+(Data!$D$27/100))*$E60,(1+(Data!$D$27/100))*$E60,$F60))</f>
        <v>NA</v>
      </c>
      <c r="Q60" s="343" t="str">
        <f>IF(Start!$C$15="x",(IF(C60="","",(IF(O60="NA","NA",IF(P60="NA","NA",IF(P60=0,"NA",(O60/P60))))))),"Not Req.")</f>
        <v>Not Req.</v>
      </c>
      <c r="R60" s="163"/>
      <c r="S60" s="18"/>
      <c r="T60" s="18"/>
      <c r="U60" s="163"/>
      <c r="V60" s="163"/>
      <c r="W60" s="18"/>
      <c r="X60" s="163"/>
      <c r="Y60" s="163"/>
      <c r="Z60" s="18"/>
    </row>
    <row r="61" spans="1:26" s="10" customFormat="1" x14ac:dyDescent="0.25">
      <c r="A61" s="405" t="s">
        <v>379</v>
      </c>
      <c r="B61" s="371" t="str">
        <f>IF(Start!$C$15="x",IF(C61="NA","NA",(IF(C61="","",(IF(OR(F61="NA",F61=""),"No Criteria",(IF(AND(O61="NA",F61&lt;&gt;"NA",C61&lt;&gt;"NA"),                  "Missing Data",(IF(O61&lt;F61,"No",(IF(D61&gt;F61,"Caution",(IF(O61&gt;=F61,"Needed","No"))))))))))))),"---")</f>
        <v>---</v>
      </c>
      <c r="C61" s="372" t="str">
        <f>IF(TRUE=ISBLANK(ChemData!B61),"",(ChemData!B61))</f>
        <v/>
      </c>
      <c r="D61" s="373" t="str">
        <f>IF(TRUE=ISBLANK(ChemData!C61),"",(ChemData!C61))</f>
        <v/>
      </c>
      <c r="E61" s="374" t="str">
        <f>IF(TRUE=ISBLANK(ChemData!D61),"",(ChemData!D61))</f>
        <v/>
      </c>
      <c r="F61" s="289" t="str">
        <f>IF(TRUE=ISBLANK(ChemData!H61),"",(ChemData!H61))</f>
        <v>NA</v>
      </c>
      <c r="G61" s="290">
        <f>IF(TRUE=ISBLANK(ChemData!Q61),"",(ChemData!Q61))</f>
        <v>9276.9756944408309</v>
      </c>
      <c r="H61" s="291">
        <f>IF(TRUE=ISBLANK(ChemData!S61),"",(ChemData!S61))</f>
        <v>1</v>
      </c>
      <c r="I61" s="375" t="str">
        <f>IF(Start!$C$15="x",(IF(OR(C61="NA",C61=""), "NA", (IF($H61 = "NA", "NA", ((C61*$H61)))))),"---")</f>
        <v>---</v>
      </c>
      <c r="J61" s="376" t="str">
        <f>IF(Start!$C$15="x",(IF(I61 = "NA", "NA", IF(OR(D61="NA",D61=""),"NA",(I61 +((Data!$D$19-Data!$D$22)/(Data!$D$19*Data!$D$22)*$D61))))),"---")</f>
        <v>---</v>
      </c>
      <c r="K61" s="376" t="str">
        <f>IF(Start!$C$15="x",(IF(J61="NA","NA",IF(OR(G61="NA",G61=""),"NA",(J61*(1-Data!$D$23)*Data!$D$14*1000)/(Data!$D$23+((1-Data!$D$23)*Data!$D$14*$G61))))),"---")</f>
        <v>---</v>
      </c>
      <c r="L61" s="376" t="str">
        <f>IF(Start!$C$15="x",(IF(I61="NA","NA",IF($G61 = "NA", "NA",(IF(OR(ChemData!U61="NA",ChemData!U61=""),I61/((Data!$D$18+((1-Data!$D$18)*Data!$D$14*$G61))/((1-Data!$D$18)*Data!$D$14*1000)),(IF(I61/((Data!$D$18+((1-Data!$D$18)*Data!$D$14*$G61))/((1-Data!$D$18)*Data!$D$14*1000))&gt;ChemData!U61, ChemData!U61, I61/((Data!$D$18+((1-Data!$D$18)*Data!$D$14*$G61))/((1-Data!$D$18)*Data!$D$14*1000))))))))),"---")</f>
        <v>---</v>
      </c>
      <c r="M61" s="376" t="str">
        <f>IF(Start!$C$15="x",(IF(L61="NA","NA",IF(OR(D61="NA",D61=""),"NA",(((Data!$D$22*Data!$D$18)*L61)+(Data!$D$19-Data!$D$22)*$D61)/((Data!$D$22*Data!$D$18)+Data!$D$19-Data!$D$22)))),"---")</f>
        <v>---</v>
      </c>
      <c r="N61" s="376" t="str">
        <f>IF(Start!$C$15="x",IF(K61 = "NA", "NA", (IF(M61 = "NA", "NA",(IF(OR(ChemData!U61="NA",ChemData!U61=""),(IF(K61&gt;M61,K61,M61)),(IF(K61&gt;M61,(IF(K61&gt;ChemData!U61, ChemData!U61, K61)),(IF(M61&gt;ChemData!U61,ChemData!U61,M61))))))))),"---")</f>
        <v>---</v>
      </c>
      <c r="O61" s="377" t="str">
        <f>IF(Start!$C$15="x",IF(N61 = "NA","NA", IF(OR(E61="NA",E61=""),"NA",(N61+(Data!$D$26*$E61))/(Data!$D$26+1))),"---")</f>
        <v>---</v>
      </c>
      <c r="P61" s="730" t="str">
        <f>IF(E61="",F61,IF($F61&lt;(1+(Data!$D$27/100))*$E61,(1+(Data!$D$27/100))*$E61,$F61))</f>
        <v>NA</v>
      </c>
      <c r="Q61" s="343" t="str">
        <f>IF(Start!$C$15="x",(IF(C61="","",(IF(O61="NA","NA",IF(P61="NA","NA",IF(P61=0,"NA",(O61/P61))))))),"Not Req.")</f>
        <v>Not Req.</v>
      </c>
      <c r="R61" s="163"/>
      <c r="S61" s="18"/>
      <c r="T61" s="18"/>
      <c r="U61" s="163"/>
      <c r="V61" s="163"/>
      <c r="W61" s="18"/>
      <c r="X61" s="163"/>
      <c r="Y61" s="163"/>
      <c r="Z61" s="18"/>
    </row>
    <row r="62" spans="1:26" s="10" customFormat="1" x14ac:dyDescent="0.25">
      <c r="A62" s="405" t="s">
        <v>380</v>
      </c>
      <c r="B62" s="371" t="str">
        <f>IF(Start!$C$15="x",IF(C62="NA","NA",(IF(C62="","",(IF(OR(F62="NA",F62=""),"No Criteria",(IF(AND(O62="NA",F62&lt;&gt;"NA",C62&lt;&gt;"NA"),                  "Missing Data",(IF(O62&lt;F62,"No",(IF(D62&gt;F62,"Caution",(IF(O62&gt;=F62,"Needed","No"))))))))))))),"---")</f>
        <v>---</v>
      </c>
      <c r="C62" s="372" t="str">
        <f>IF(TRUE=ISBLANK(ChemData!B62),"",(ChemData!B62))</f>
        <v/>
      </c>
      <c r="D62" s="373" t="str">
        <f>IF(TRUE=ISBLANK(ChemData!C62),"",(ChemData!C62))</f>
        <v/>
      </c>
      <c r="E62" s="374" t="str">
        <f>IF(TRUE=ISBLANK(ChemData!D62),"",(ChemData!D62))</f>
        <v/>
      </c>
      <c r="F62" s="289" t="str">
        <f>IF(TRUE=ISBLANK(ChemData!H62),"",(ChemData!H62))</f>
        <v>NA</v>
      </c>
      <c r="G62" s="290">
        <f>IF(TRUE=ISBLANK(ChemData!Q62),"",(ChemData!Q62))</f>
        <v>92769.756944408247</v>
      </c>
      <c r="H62" s="291">
        <f>IF(TRUE=ISBLANK(ChemData!S62),"",(ChemData!S62))</f>
        <v>1</v>
      </c>
      <c r="I62" s="375" t="str">
        <f>IF(Start!$C$15="x",(IF(OR(C62="NA",C62=""), "NA", (IF($H62 = "NA", "NA", ((C62*$H62)))))),"---")</f>
        <v>---</v>
      </c>
      <c r="J62" s="376" t="str">
        <f>IF(Start!$C$15="x",(IF(I62 = "NA", "NA", IF(OR(D62="NA",D62=""),"NA",(I62 +((Data!$D$19-Data!$D$22)/(Data!$D$19*Data!$D$22)*$D62))))),"---")</f>
        <v>---</v>
      </c>
      <c r="K62" s="376" t="str">
        <f>IF(Start!$C$15="x",(IF(J62="NA","NA",IF(OR(G62="NA",G62=""),"NA",(J62*(1-Data!$D$23)*Data!$D$14*1000)/(Data!$D$23+((1-Data!$D$23)*Data!$D$14*$G62))))),"---")</f>
        <v>---</v>
      </c>
      <c r="L62" s="376" t="str">
        <f>IF(Start!$C$15="x",(IF(I62="NA","NA",IF($G62 = "NA", "NA",(IF(OR(ChemData!U62="NA",ChemData!U62=""),I62/((Data!$D$18+((1-Data!$D$18)*Data!$D$14*$G62))/((1-Data!$D$18)*Data!$D$14*1000)),(IF(I62/((Data!$D$18+((1-Data!$D$18)*Data!$D$14*$G62))/((1-Data!$D$18)*Data!$D$14*1000))&gt;ChemData!U62, ChemData!U62, I62/((Data!$D$18+((1-Data!$D$18)*Data!$D$14*$G62))/((1-Data!$D$18)*Data!$D$14*1000))))))))),"---")</f>
        <v>---</v>
      </c>
      <c r="M62" s="376" t="str">
        <f>IF(Start!$C$15="x",(IF(L62="NA","NA",IF(OR(D62="NA",D62=""),"NA",(((Data!$D$22*Data!$D$18)*L62)+(Data!$D$19-Data!$D$22)*$D62)/((Data!$D$22*Data!$D$18)+Data!$D$19-Data!$D$22)))),"---")</f>
        <v>---</v>
      </c>
      <c r="N62" s="376" t="str">
        <f>IF(Start!$C$15="x",IF(K62 = "NA", "NA", (IF(M62 = "NA", "NA",(IF(OR(ChemData!U62="NA",ChemData!U62=""),(IF(K62&gt;M62,K62,M62)),(IF(K62&gt;M62,(IF(K62&gt;ChemData!U62, ChemData!U62, K62)),(IF(M62&gt;ChemData!U62,ChemData!U62,M62))))))))),"---")</f>
        <v>---</v>
      </c>
      <c r="O62" s="377" t="str">
        <f>IF(Start!$C$15="x",IF(N62 = "NA","NA", IF(OR(E62="NA",E62=""),"NA",(N62+(Data!$D$26*$E62))/(Data!$D$26+1))),"---")</f>
        <v>---</v>
      </c>
      <c r="P62" s="730" t="str">
        <f>IF(E62="",F62,IF($F62&lt;(1+(Data!$D$27/100))*$E62,(1+(Data!$D$27/100))*$E62,$F62))</f>
        <v>NA</v>
      </c>
      <c r="Q62" s="343" t="str">
        <f>IF(Start!$C$15="x",(IF(C62="","",(IF(O62="NA","NA",IF(P62="NA","NA",IF(P62=0,"NA",(O62/P62))))))),"Not Req.")</f>
        <v>Not Req.</v>
      </c>
      <c r="R62" s="163"/>
      <c r="S62" s="18"/>
      <c r="T62" s="18"/>
      <c r="U62" s="163"/>
      <c r="V62" s="163"/>
      <c r="W62" s="18"/>
      <c r="X62" s="163"/>
      <c r="Y62" s="163"/>
      <c r="Z62" s="18"/>
    </row>
    <row r="63" spans="1:26" s="10" customFormat="1" x14ac:dyDescent="0.25">
      <c r="A63" s="405" t="s">
        <v>381</v>
      </c>
      <c r="B63" s="371" t="str">
        <f>IF(Start!$C$15="x",IF(C63="NA","NA",(IF(C63="","",(IF(OR(F63="NA",F63=""),"No Criteria",(IF(AND(O63="NA",F63&lt;&gt;"NA",C63&lt;&gt;"NA"),                  "Missing Data",(IF(O63&lt;F63,"No",(IF(D63&gt;F63,"Caution",(IF(O63&gt;=F63,"Needed","No"))))))))))))),"---")</f>
        <v>---</v>
      </c>
      <c r="C63" s="372" t="str">
        <f>IF(TRUE=ISBLANK(ChemData!B63),"",(ChemData!B63))</f>
        <v/>
      </c>
      <c r="D63" s="373" t="str">
        <f>IF(TRUE=ISBLANK(ChemData!C63),"",(ChemData!C63))</f>
        <v/>
      </c>
      <c r="E63" s="374" t="str">
        <f>IF(TRUE=ISBLANK(ChemData!D63),"",(ChemData!D63))</f>
        <v/>
      </c>
      <c r="F63" s="289" t="str">
        <f>IF(TRUE=ISBLANK(ChemData!H63),"",(ChemData!H63))</f>
        <v>NA</v>
      </c>
      <c r="G63" s="290" t="str">
        <f>IF(TRUE=ISBLANK(ChemData!Q63),"",(ChemData!Q63))</f>
        <v>NA</v>
      </c>
      <c r="H63" s="291">
        <f>IF(TRUE=ISBLANK(ChemData!S63),"",(ChemData!S63))</f>
        <v>1</v>
      </c>
      <c r="I63" s="375" t="str">
        <f>IF(Start!$C$15="x",(IF(OR(C63="NA",C63=""), "NA", (IF($H63 = "NA", "NA", ((C63*$H63)))))),"---")</f>
        <v>---</v>
      </c>
      <c r="J63" s="376" t="str">
        <f>IF(Start!$C$15="x",(IF(I63 = "NA", "NA", IF(OR(D63="NA",D63=""),"NA",(I63 +((Data!$D$19-Data!$D$22)/(Data!$D$19*Data!$D$22)*$D63))))),"---")</f>
        <v>---</v>
      </c>
      <c r="K63" s="376" t="str">
        <f>IF(Start!$C$15="x",(IF(J63="NA","NA",IF(OR(G63="NA",G63=""),"NA",(J63*(1-Data!$D$23)*Data!$D$14*1000)/(Data!$D$23+((1-Data!$D$23)*Data!$D$14*$G63))))),"---")</f>
        <v>---</v>
      </c>
      <c r="L63" s="376" t="str">
        <f>IF(Start!$C$15="x",(IF(I63="NA","NA",IF($G63 = "NA", "NA",(IF(OR(ChemData!U63="NA",ChemData!U63=""),I63/((Data!$D$18+((1-Data!$D$18)*Data!$D$14*$G63))/((1-Data!$D$18)*Data!$D$14*1000)),(IF(I63/((Data!$D$18+((1-Data!$D$18)*Data!$D$14*$G63))/((1-Data!$D$18)*Data!$D$14*1000))&gt;ChemData!U63, ChemData!U63, I63/((Data!$D$18+((1-Data!$D$18)*Data!$D$14*$G63))/((1-Data!$D$18)*Data!$D$14*1000))))))))),"---")</f>
        <v>---</v>
      </c>
      <c r="M63" s="376" t="str">
        <f>IF(Start!$C$15="x",(IF(L63="NA","NA",IF(OR(D63="NA",D63=""),"NA",(((Data!$D$22*Data!$D$18)*L63)+(Data!$D$19-Data!$D$22)*$D63)/((Data!$D$22*Data!$D$18)+Data!$D$19-Data!$D$22)))),"---")</f>
        <v>---</v>
      </c>
      <c r="N63" s="376" t="str">
        <f>IF(Start!$C$15="x",IF(K63 = "NA", "NA", (IF(M63 = "NA", "NA",(IF(OR(ChemData!U63="NA",ChemData!U63=""),(IF(K63&gt;M63,K63,M63)),(IF(K63&gt;M63,(IF(K63&gt;ChemData!U63, ChemData!U63, K63)),(IF(M63&gt;ChemData!U63,ChemData!U63,M63))))))))),"---")</f>
        <v>---</v>
      </c>
      <c r="O63" s="377" t="str">
        <f>IF(Start!$C$15="x",IF(N63 = "NA","NA", IF(OR(E63="NA",E63=""),"NA",(N63+(Data!$D$26*$E63))/(Data!$D$26+1))),"---")</f>
        <v>---</v>
      </c>
      <c r="P63" s="730" t="str">
        <f>IF(E63="",F63,IF($F63&lt;(1+(Data!$D$27/100))*$E63,(1+(Data!$D$27/100))*$E63,$F63))</f>
        <v>NA</v>
      </c>
      <c r="Q63" s="343" t="str">
        <f>IF(Start!$C$15="x",(IF(C63="","",(IF(O63="NA","NA",IF(P63="NA","NA",IF(P63=0,"NA",(O63/P63))))))),"Not Req.")</f>
        <v>Not Req.</v>
      </c>
      <c r="R63" s="163"/>
      <c r="S63" s="18"/>
      <c r="T63" s="18"/>
      <c r="U63" s="163"/>
      <c r="V63" s="163"/>
      <c r="W63" s="18"/>
      <c r="X63" s="163"/>
      <c r="Y63" s="163"/>
      <c r="Z63" s="18"/>
    </row>
    <row r="64" spans="1:26" s="10" customFormat="1" x14ac:dyDescent="0.25">
      <c r="A64" s="405" t="s">
        <v>382</v>
      </c>
      <c r="B64" s="371" t="str">
        <f>IF(Start!$C$15="x",IF(C64="NA","NA",(IF(C64="","",(IF(OR(F64="NA",F64=""),"No Criteria",(IF(AND(O64="NA",F64&lt;&gt;"NA",C64&lt;&gt;"NA"),                  "Missing Data",(IF(O64&lt;F64,"No",(IF(D64&gt;F64,"Caution",(IF(O64&gt;=F64,"Needed","No"))))))))))))),"---")</f>
        <v>---</v>
      </c>
      <c r="C64" s="372" t="str">
        <f>IF(TRUE=ISBLANK(ChemData!B64),"",(ChemData!B64))</f>
        <v/>
      </c>
      <c r="D64" s="373" t="str">
        <f>IF(TRUE=ISBLANK(ChemData!C64),"",(ChemData!C64))</f>
        <v/>
      </c>
      <c r="E64" s="374" t="str">
        <f>IF(TRUE=ISBLANK(ChemData!D64),"",(ChemData!D64))</f>
        <v/>
      </c>
      <c r="F64" s="289">
        <f>IF(TRUE=ISBLANK(ChemData!H64),"",(ChemData!H64))</f>
        <v>66</v>
      </c>
      <c r="G64" s="290">
        <f>IF(TRUE=ISBLANK(ChemData!Q64),"",(ChemData!Q64))</f>
        <v>244.00932230679132</v>
      </c>
      <c r="H64" s="291">
        <f>IF(TRUE=ISBLANK(ChemData!S64),"",(ChemData!S64))</f>
        <v>1</v>
      </c>
      <c r="I64" s="375" t="str">
        <f>IF(Start!$C$15="x",(IF(OR(C64="NA",C64=""), "NA", (IF($H64 = "NA", "NA", ((C64*$H64)))))),"---")</f>
        <v>---</v>
      </c>
      <c r="J64" s="376" t="str">
        <f>IF(Start!$C$15="x",(IF(I64 = "NA", "NA", IF(OR(D64="NA",D64=""),"NA",(I64 +((Data!$D$19-Data!$D$22)/(Data!$D$19*Data!$D$22)*$D64))))),"---")</f>
        <v>---</v>
      </c>
      <c r="K64" s="376" t="str">
        <f>IF(Start!$C$15="x",(IF(J64="NA","NA",IF(OR(G64="NA",G64=""),"NA",(J64*(1-Data!$D$23)*Data!$D$14*1000)/(Data!$D$23+((1-Data!$D$23)*Data!$D$14*$G64))))),"---")</f>
        <v>---</v>
      </c>
      <c r="L64" s="376" t="str">
        <f>IF(Start!$C$15="x",(IF(I64="NA","NA",IF($G64 = "NA", "NA",(IF(OR(ChemData!U64="NA",ChemData!U64=""),I64/((Data!$D$18+((1-Data!$D$18)*Data!$D$14*$G64))/((1-Data!$D$18)*Data!$D$14*1000)),(IF(I64/((Data!$D$18+((1-Data!$D$18)*Data!$D$14*$G64))/((1-Data!$D$18)*Data!$D$14*1000))&gt;ChemData!U64, ChemData!U64, I64/((Data!$D$18+((1-Data!$D$18)*Data!$D$14*$G64))/((1-Data!$D$18)*Data!$D$14*1000))))))))),"---")</f>
        <v>---</v>
      </c>
      <c r="M64" s="376" t="str">
        <f>IF(Start!$C$15="x",(IF(L64="NA","NA",IF(OR(D64="NA",D64=""),"NA",(((Data!$D$22*Data!$D$18)*L64)+(Data!$D$19-Data!$D$22)*$D64)/((Data!$D$22*Data!$D$18)+Data!$D$19-Data!$D$22)))),"---")</f>
        <v>---</v>
      </c>
      <c r="N64" s="376" t="str">
        <f>IF(Start!$C$15="x",IF(K64 = "NA", "NA", (IF(M64 = "NA", "NA",(IF(OR(ChemData!U64="NA",ChemData!U64=""),(IF(K64&gt;M64,K64,M64)),(IF(K64&gt;M64,(IF(K64&gt;ChemData!U64, ChemData!U64, K64)),(IF(M64&gt;ChemData!U64,ChemData!U64,M64))))))))),"---")</f>
        <v>---</v>
      </c>
      <c r="O64" s="377" t="str">
        <f>IF(Start!$C$15="x",IF(N64 = "NA","NA", IF(OR(E64="NA",E64=""),"NA",(N64+(Data!$D$26*$E64))/(Data!$D$26+1))),"---")</f>
        <v>---</v>
      </c>
      <c r="P64" s="730">
        <f>IF(E64="",F64,IF($F64&lt;(1+(Data!$D$27/100))*$E64,(1+(Data!$D$27/100))*$E64,$F64))</f>
        <v>66</v>
      </c>
      <c r="Q64" s="343" t="str">
        <f>IF(Start!$C$15="x",(IF(C64="","",(IF(O64="NA","NA",IF(P64="NA","NA",IF(P64=0,"NA",(O64/P64))))))),"Not Req.")</f>
        <v>Not Req.</v>
      </c>
      <c r="R64" s="163"/>
      <c r="S64" s="18"/>
      <c r="T64" s="18"/>
      <c r="U64" s="163"/>
      <c r="V64" s="163"/>
      <c r="W64" s="18"/>
      <c r="X64" s="163"/>
      <c r="Y64" s="163"/>
      <c r="Z64" s="18"/>
    </row>
    <row r="65" spans="1:26" s="10" customFormat="1" x14ac:dyDescent="0.25">
      <c r="A65" s="405" t="s">
        <v>383</v>
      </c>
      <c r="B65" s="371" t="str">
        <f>IF(Start!$C$15="x",IF(C65="NA","NA",(IF(C65="","",(IF(OR(F65="NA",F65=""),"No Criteria",(IF(AND(O65="NA",F65&lt;&gt;"NA",C65&lt;&gt;"NA"),                  "Missing Data",(IF(O65&lt;F65,"No",(IF(D65&gt;F65,"Caution",(IF(O65&gt;=F65,"Needed","No"))))))))))))),"---")</f>
        <v>---</v>
      </c>
      <c r="C65" s="372" t="str">
        <f>IF(TRUE=ISBLANK(ChemData!B65),"",(ChemData!B65))</f>
        <v/>
      </c>
      <c r="D65" s="373" t="str">
        <f>IF(TRUE=ISBLANK(ChemData!C65),"",(ChemData!C65))</f>
        <v/>
      </c>
      <c r="E65" s="374" t="str">
        <f>IF(TRUE=ISBLANK(ChemData!D65),"",(ChemData!D65))</f>
        <v/>
      </c>
      <c r="F65" s="289" t="str">
        <f>IF(TRUE=ISBLANK(ChemData!H65),"",(ChemData!H65))</f>
        <v>NA</v>
      </c>
      <c r="G65" s="290">
        <f>IF(TRUE=ISBLANK(ChemData!Q65),"",(ChemData!Q65))</f>
        <v>352700.77889499755</v>
      </c>
      <c r="H65" s="291">
        <f>IF(TRUE=ISBLANK(ChemData!S65),"",(ChemData!S65))</f>
        <v>1</v>
      </c>
      <c r="I65" s="375" t="str">
        <f>IF(Start!$C$15="x",(IF(OR(C65="NA",C65=""), "NA", (IF($H65 = "NA", "NA", ((C65*$H65)))))),"---")</f>
        <v>---</v>
      </c>
      <c r="J65" s="376" t="str">
        <f>IF(Start!$C$15="x",(IF(I65 = "NA", "NA", IF(OR(D65="NA",D65=""),"NA",(I65 +((Data!$D$19-Data!$D$22)/(Data!$D$19*Data!$D$22)*$D65))))),"---")</f>
        <v>---</v>
      </c>
      <c r="K65" s="376" t="str">
        <f>IF(Start!$C$15="x",(IF(J65="NA","NA",IF(OR(G65="NA",G65=""),"NA",(J65*(1-Data!$D$23)*Data!$D$14*1000)/(Data!$D$23+((1-Data!$D$23)*Data!$D$14*$G65))))),"---")</f>
        <v>---</v>
      </c>
      <c r="L65" s="376" t="str">
        <f>IF(Start!$C$15="x",(IF(I65="NA","NA",IF($G65 = "NA", "NA",(IF(OR(ChemData!U65="NA",ChemData!U65=""),I65/((Data!$D$18+((1-Data!$D$18)*Data!$D$14*$G65))/((1-Data!$D$18)*Data!$D$14*1000)),(IF(I65/((Data!$D$18+((1-Data!$D$18)*Data!$D$14*$G65))/((1-Data!$D$18)*Data!$D$14*1000))&gt;ChemData!U65, ChemData!U65, I65/((Data!$D$18+((1-Data!$D$18)*Data!$D$14*$G65))/((1-Data!$D$18)*Data!$D$14*1000))))))))),"---")</f>
        <v>---</v>
      </c>
      <c r="M65" s="376" t="str">
        <f>IF(Start!$C$15="x",(IF(L65="NA","NA",IF(OR(D65="NA",D65=""),"NA",(((Data!$D$22*Data!$D$18)*L65)+(Data!$D$19-Data!$D$22)*$D65)/((Data!$D$22*Data!$D$18)+Data!$D$19-Data!$D$22)))),"---")</f>
        <v>---</v>
      </c>
      <c r="N65" s="376" t="str">
        <f>IF(Start!$C$15="x",IF(K65 = "NA", "NA", (IF(M65 = "NA", "NA",(IF(OR(ChemData!U65="NA",ChemData!U65=""),(IF(K65&gt;M65,K65,M65)),(IF(K65&gt;M65,(IF(K65&gt;ChemData!U65, ChemData!U65, K65)),(IF(M65&gt;ChemData!U65,ChemData!U65,M65))))))))),"---")</f>
        <v>---</v>
      </c>
      <c r="O65" s="377" t="str">
        <f>IF(Start!$C$15="x",IF(N65 = "NA","NA", IF(OR(E65="NA",E65=""),"NA",(N65+(Data!$D$26*$E65))/(Data!$D$26+1))),"---")</f>
        <v>---</v>
      </c>
      <c r="P65" s="730" t="str">
        <f>IF(E65="",F65,IF($F65&lt;(1+(Data!$D$27/100))*$E65,(1+(Data!$D$27/100))*$E65,$F65))</f>
        <v>NA</v>
      </c>
      <c r="Q65" s="343" t="str">
        <f>IF(Start!$C$15="x",(IF(C65="","",(IF(O65="NA","NA",IF(P65="NA","NA",IF(P65=0,"NA",(O65/P65))))))),"Not Req.")</f>
        <v>Not Req.</v>
      </c>
      <c r="R65" s="163"/>
      <c r="S65" s="18"/>
      <c r="T65" s="18"/>
      <c r="U65" s="163"/>
      <c r="V65" s="163"/>
      <c r="W65" s="18"/>
      <c r="X65" s="163"/>
      <c r="Y65" s="163"/>
      <c r="Z65" s="18"/>
    </row>
    <row r="66" spans="1:26" s="10" customFormat="1" x14ac:dyDescent="0.25">
      <c r="A66" s="405" t="s">
        <v>384</v>
      </c>
      <c r="B66" s="371" t="str">
        <f>IF(Start!$C$15="x",IF(C66="NA","NA",(IF(C66="","",(IF(OR(F66="NA",F66=""),"No Criteria",(IF(AND(O66="NA",F66&lt;&gt;"NA",C66&lt;&gt;"NA"),                  "Missing Data",(IF(O66&lt;F66,"No",(IF(D66&gt;F66,"Caution",(IF(O66&gt;=F66,"Needed","No"))))))))))))),"---")</f>
        <v>---</v>
      </c>
      <c r="C66" s="372" t="str">
        <f>IF(TRUE=ISBLANK(ChemData!B66),"",(ChemData!B66))</f>
        <v/>
      </c>
      <c r="D66" s="373" t="str">
        <f>IF(TRUE=ISBLANK(ChemData!C66),"",(ChemData!C66))</f>
        <v/>
      </c>
      <c r="E66" s="374" t="str">
        <f>IF(TRUE=ISBLANK(ChemData!D66),"",(ChemData!D66))</f>
        <v/>
      </c>
      <c r="F66" s="289" t="str">
        <f>IF(TRUE=ISBLANK(ChemData!H66),"",(ChemData!H66))</f>
        <v>NA</v>
      </c>
      <c r="G66" s="290">
        <f>IF(TRUE=ISBLANK(ChemData!Q66),"",(ChemData!Q66))</f>
        <v>444.02397331050798</v>
      </c>
      <c r="H66" s="291">
        <f>IF(TRUE=ISBLANK(ChemData!S66),"",(ChemData!S66))</f>
        <v>1</v>
      </c>
      <c r="I66" s="375" t="str">
        <f>IF(Start!$C$15="x",(IF(OR(C66="NA",C66=""), "NA", (IF($H66 = "NA", "NA", ((C66*$H66)))))),"---")</f>
        <v>---</v>
      </c>
      <c r="J66" s="376" t="str">
        <f>IF(Start!$C$15="x",(IF(I66 = "NA", "NA", IF(OR(D66="NA",D66=""),"NA",(I66 +((Data!$D$19-Data!$D$22)/(Data!$D$19*Data!$D$22)*$D66))))),"---")</f>
        <v>---</v>
      </c>
      <c r="K66" s="376" t="str">
        <f>IF(Start!$C$15="x",(IF(J66="NA","NA",IF(OR(G66="NA",G66=""),"NA",(J66*(1-Data!$D$23)*Data!$D$14*1000)/(Data!$D$23+((1-Data!$D$23)*Data!$D$14*$G66))))),"---")</f>
        <v>---</v>
      </c>
      <c r="L66" s="376" t="str">
        <f>IF(Start!$C$15="x",(IF(I66="NA","NA",IF($G66 = "NA", "NA",(IF(OR(ChemData!U66="NA",ChemData!U66=""),I66/((Data!$D$18+((1-Data!$D$18)*Data!$D$14*$G66))/((1-Data!$D$18)*Data!$D$14*1000)),(IF(I66/((Data!$D$18+((1-Data!$D$18)*Data!$D$14*$G66))/((1-Data!$D$18)*Data!$D$14*1000))&gt;ChemData!U66, ChemData!U66, I66/((Data!$D$18+((1-Data!$D$18)*Data!$D$14*$G66))/((1-Data!$D$18)*Data!$D$14*1000))))))))),"---")</f>
        <v>---</v>
      </c>
      <c r="M66" s="376" t="str">
        <f>IF(Start!$C$15="x",(IF(L66="NA","NA",IF(OR(D66="NA",D66=""),"NA",(((Data!$D$22*Data!$D$18)*L66)+(Data!$D$19-Data!$D$22)*$D66)/((Data!$D$22*Data!$D$18)+Data!$D$19-Data!$D$22)))),"---")</f>
        <v>---</v>
      </c>
      <c r="N66" s="376" t="str">
        <f>IF(Start!$C$15="x",IF(K66 = "NA", "NA", (IF(M66 = "NA", "NA",(IF(OR(ChemData!U66="NA",ChemData!U66=""),(IF(K66&gt;M66,K66,M66)),(IF(K66&gt;M66,(IF(K66&gt;ChemData!U66, ChemData!U66, K66)),(IF(M66&gt;ChemData!U66,ChemData!U66,M66))))))))),"---")</f>
        <v>---</v>
      </c>
      <c r="O66" s="377" t="str">
        <f>IF(Start!$C$15="x",IF(N66 = "NA","NA", IF(OR(E66="NA",E66=""),"NA",(N66+(Data!$D$26*$E66))/(Data!$D$26+1))),"---")</f>
        <v>---</v>
      </c>
      <c r="P66" s="730" t="str">
        <f>IF(E66="",F66,IF($F66&lt;(1+(Data!$D$27/100))*$E66,(1+(Data!$D$27/100))*$E66,$F66))</f>
        <v>NA</v>
      </c>
      <c r="Q66" s="343" t="str">
        <f>IF(Start!$C$15="x",(IF(C66="","",(IF(O66="NA","NA",IF(P66="NA","NA",IF(P66=0,"NA",(O66/P66))))))),"Not Req.")</f>
        <v>Not Req.</v>
      </c>
      <c r="R66" s="163"/>
      <c r="S66" s="18"/>
      <c r="T66" s="18"/>
      <c r="U66" s="163"/>
      <c r="V66" s="163"/>
      <c r="W66" s="18"/>
      <c r="X66" s="163"/>
      <c r="Y66" s="163"/>
      <c r="Z66" s="18"/>
    </row>
    <row r="67" spans="1:26" s="10" customFormat="1" x14ac:dyDescent="0.25">
      <c r="A67" s="405" t="s">
        <v>385</v>
      </c>
      <c r="B67" s="371" t="str">
        <f>IF(Start!$C$15="x",IF(C67="NA","NA",(IF(C67="","",(IF(OR(F67="NA",F67=""),"No Criteria",(IF(AND(O67="NA",F67&lt;&gt;"NA",C67&lt;&gt;"NA"),                  "Missing Data",(IF(O67&lt;F67,"No",(IF(D67&gt;F67,"Caution",(IF(O67&gt;=F67,"Needed","No"))))))))))))),"---")</f>
        <v>---</v>
      </c>
      <c r="C67" s="372" t="str">
        <f>IF(TRUE=ISBLANK(ChemData!B67),"",(ChemData!B67))</f>
        <v/>
      </c>
      <c r="D67" s="373" t="str">
        <f>IF(TRUE=ISBLANK(ChemData!C67),"",(ChemData!C67))</f>
        <v/>
      </c>
      <c r="E67" s="374" t="str">
        <f>IF(TRUE=ISBLANK(ChemData!D67),"",(ChemData!D67))</f>
        <v/>
      </c>
      <c r="F67" s="289" t="str">
        <f>IF(TRUE=ISBLANK(ChemData!H67),"",(ChemData!H67))</f>
        <v>NA</v>
      </c>
      <c r="G67" s="290">
        <f>IF(TRUE=ISBLANK(ChemData!Q67),"",(ChemData!Q67))</f>
        <v>18510</v>
      </c>
      <c r="H67" s="291">
        <f>IF(TRUE=ISBLANK(ChemData!S67),"",(ChemData!S67))</f>
        <v>1</v>
      </c>
      <c r="I67" s="375" t="str">
        <f>IF(Start!$C$15="x",(IF(OR(C67="NA",C67=""), "NA", (IF($H67 = "NA", "NA", ((C67*$H67)))))),"---")</f>
        <v>---</v>
      </c>
      <c r="J67" s="376" t="str">
        <f>IF(Start!$C$15="x",(IF(I67 = "NA", "NA", IF(OR(D67="NA",D67=""),"NA",(I67 +((Data!$D$19-Data!$D$22)/(Data!$D$19*Data!$D$22)*$D67))))),"---")</f>
        <v>---</v>
      </c>
      <c r="K67" s="376" t="str">
        <f>IF(Start!$C$15="x",(IF(J67="NA","NA",IF(OR(G67="NA",G67=""),"NA",(J67*(1-Data!$D$23)*Data!$D$14*1000)/(Data!$D$23+((1-Data!$D$23)*Data!$D$14*$G67))))),"---")</f>
        <v>---</v>
      </c>
      <c r="L67" s="376" t="str">
        <f>IF(Start!$C$15="x",(IF(I67="NA","NA",IF($G67 = "NA", "NA",(IF(OR(ChemData!U67="NA",ChemData!U67=""),I67/((Data!$D$18+((1-Data!$D$18)*Data!$D$14*$G67))/((1-Data!$D$18)*Data!$D$14*1000)),(IF(I67/((Data!$D$18+((1-Data!$D$18)*Data!$D$14*$G67))/((1-Data!$D$18)*Data!$D$14*1000))&gt;ChemData!U67, ChemData!U67, I67/((Data!$D$18+((1-Data!$D$18)*Data!$D$14*$G67))/((1-Data!$D$18)*Data!$D$14*1000))))))))),"---")</f>
        <v>---</v>
      </c>
      <c r="M67" s="376" t="str">
        <f>IF(Start!$C$15="x",(IF(L67="NA","NA",IF(OR(D67="NA",D67=""),"NA",(((Data!$D$22*Data!$D$18)*L67)+(Data!$D$19-Data!$D$22)*$D67)/((Data!$D$22*Data!$D$18)+Data!$D$19-Data!$D$22)))),"---")</f>
        <v>---</v>
      </c>
      <c r="N67" s="376" t="str">
        <f>IF(Start!$C$15="x",IF(K67 = "NA", "NA", (IF(M67 = "NA", "NA",(IF(OR(ChemData!U67="NA",ChemData!U67=""),(IF(K67&gt;M67,K67,M67)),(IF(K67&gt;M67,(IF(K67&gt;ChemData!U67, ChemData!U67, K67)),(IF(M67&gt;ChemData!U67,ChemData!U67,M67))))))))),"---")</f>
        <v>---</v>
      </c>
      <c r="O67" s="377" t="str">
        <f>IF(Start!$C$15="x",IF(N67 = "NA","NA", IF(OR(E67="NA",E67=""),"NA",(N67+(Data!$D$26*$E67))/(Data!$D$26+1))),"---")</f>
        <v>---</v>
      </c>
      <c r="P67" s="730" t="str">
        <f>IF(E67="",F67,IF($F67&lt;(1+(Data!$D$27/100))*$E67,(1+(Data!$D$27/100))*$E67,$F67))</f>
        <v>NA</v>
      </c>
      <c r="Q67" s="343" t="str">
        <f>IF(Start!$C$15="x",(IF(C67="","",(IF(O67="NA","NA",IF(P67="NA","NA",IF(P67=0,"NA",(O67/P67))))))),"Not Req.")</f>
        <v>Not Req.</v>
      </c>
      <c r="R67" s="163"/>
      <c r="S67" s="18"/>
      <c r="T67" s="18"/>
      <c r="U67" s="163"/>
      <c r="V67" s="163"/>
      <c r="W67" s="18"/>
      <c r="X67" s="163"/>
      <c r="Y67" s="163"/>
      <c r="Z67" s="18"/>
    </row>
    <row r="68" spans="1:26" s="10" customFormat="1" x14ac:dyDescent="0.25">
      <c r="A68" s="407" t="s">
        <v>386</v>
      </c>
      <c r="B68" s="371" t="str">
        <f>IF(Start!$C$15="x",IF(C68="NA","NA",(IF(C68="","",(IF(OR(F68="NA",F68=""),"No Criteria",(IF(AND(O68="NA",F68&lt;&gt;"NA",C68&lt;&gt;"NA"),                  "Missing Data",(IF(O68&lt;F68,"No",(IF(D68&gt;F68,"Caution",(IF(O68&gt;=F68,"Needed","No"))))))))))))),"---")</f>
        <v>---</v>
      </c>
      <c r="C68" s="372" t="str">
        <f>IF(TRUE=ISBLANK(ChemData!B68),"",(ChemData!B68))</f>
        <v/>
      </c>
      <c r="D68" s="373" t="str">
        <f>IF(TRUE=ISBLANK(ChemData!C68),"",(ChemData!C68))</f>
        <v/>
      </c>
      <c r="E68" s="374" t="str">
        <f>IF(TRUE=ISBLANK(ChemData!D68),"",(ChemData!D68))</f>
        <v/>
      </c>
      <c r="F68" s="289" t="str">
        <f>IF(TRUE=ISBLANK(ChemData!H68),"",(ChemData!H68))</f>
        <v>NA</v>
      </c>
      <c r="G68" s="290" t="str">
        <f>IF(TRUE=ISBLANK(ChemData!Q68),"",(ChemData!Q68))</f>
        <v>NA</v>
      </c>
      <c r="H68" s="291">
        <f>IF(TRUE=ISBLANK(ChemData!S68),"",(ChemData!S68))</f>
        <v>1</v>
      </c>
      <c r="I68" s="375" t="str">
        <f>IF(Start!$C$15="x",(IF(OR(C68="NA",C68=""), "NA", (IF($H68 = "NA", "NA", ((C68*$H68)))))),"---")</f>
        <v>---</v>
      </c>
      <c r="J68" s="376" t="str">
        <f>IF(Start!$C$15="x",(IF(I68 = "NA", "NA", IF(OR(D68="NA",D68=""),"NA",(I68 +((Data!$D$19-Data!$D$22)/(Data!$D$19*Data!$D$22)*$D68))))),"---")</f>
        <v>---</v>
      </c>
      <c r="K68" s="376" t="str">
        <f>IF(Start!$C$15="x",(IF(J68="NA","NA",IF(OR(G68="NA",G68=""),"NA",(J68*(1-Data!$D$23)*Data!$D$14*1000)/(Data!$D$23+((1-Data!$D$23)*Data!$D$14*$G68))))),"---")</f>
        <v>---</v>
      </c>
      <c r="L68" s="376" t="str">
        <f>IF(Start!$C$15="x",(IF(I68="NA","NA",IF($G68 = "NA", "NA",(IF(OR(ChemData!U68="NA",ChemData!U68=""),I68/((Data!$D$18+((1-Data!$D$18)*Data!$D$14*$G68))/((1-Data!$D$18)*Data!$D$14*1000)),(IF(I68/((Data!$D$18+((1-Data!$D$18)*Data!$D$14*$G68))/((1-Data!$D$18)*Data!$D$14*1000))&gt;ChemData!U68, ChemData!U68, I68/((Data!$D$18+((1-Data!$D$18)*Data!$D$14*$G68))/((1-Data!$D$18)*Data!$D$14*1000))))))))),"---")</f>
        <v>---</v>
      </c>
      <c r="M68" s="376" t="str">
        <f>IF(Start!$C$15="x",(IF(L68="NA","NA",IF(OR(D68="NA",D68=""),"NA",(((Data!$D$22*Data!$D$18)*L68)+(Data!$D$19-Data!$D$22)*$D68)/((Data!$D$22*Data!$D$18)+Data!$D$19-Data!$D$22)))),"---")</f>
        <v>---</v>
      </c>
      <c r="N68" s="376" t="str">
        <f>IF(Start!$C$15="x",IF(K68 = "NA", "NA", (IF(M68 = "NA", "NA",(IF(OR(ChemData!U68="NA",ChemData!U68=""),(IF(K68&gt;M68,K68,M68)),(IF(K68&gt;M68,(IF(K68&gt;ChemData!U68, ChemData!U68, K68)),(IF(M68&gt;ChemData!U68,ChemData!U68,M68))))))))),"---")</f>
        <v>---</v>
      </c>
      <c r="O68" s="377" t="str">
        <f>IF(Start!$C$15="x",IF(N68 = "NA","NA", IF(OR(E68="NA",E68=""),"NA",(N68+(Data!$D$26*$E68))/(Data!$D$26+1))),"---")</f>
        <v>---</v>
      </c>
      <c r="P68" s="730" t="str">
        <f>IF(E68="",F68,IF($F68&lt;(1+(Data!$D$27/100))*$E68,(1+(Data!$D$27/100))*$E68,$F68))</f>
        <v>NA</v>
      </c>
      <c r="Q68" s="343" t="str">
        <f>IF(Start!$C$15="x",(IF(C68="","",(IF(O68="NA","NA",IF(P68="NA","NA",IF(P68=0,"NA",(O68/P68))))))),"Not Req.")</f>
        <v>Not Req.</v>
      </c>
      <c r="R68" s="163"/>
      <c r="S68" s="18"/>
      <c r="T68" s="18"/>
      <c r="U68" s="163"/>
      <c r="V68" s="163"/>
      <c r="W68" s="18"/>
      <c r="X68" s="163"/>
      <c r="Y68" s="163"/>
      <c r="Z68" s="18"/>
    </row>
    <row r="69" spans="1:26" s="10" customFormat="1" x14ac:dyDescent="0.25">
      <c r="A69" s="405" t="s">
        <v>387</v>
      </c>
      <c r="B69" s="371" t="str">
        <f>IF(Start!$C$15="x",IF(C69="NA","NA",(IF(C69="","",(IF(OR(F69="NA",F69=""),"No Criteria",(IF(AND(O69="NA",F69&lt;&gt;"NA",C69&lt;&gt;"NA"),                  "Missing Data",(IF(O69&lt;F69,"No",(IF(D69&gt;F69,"Caution",(IF(O69&gt;=F69,"Needed","No"))))))))))))),"---")</f>
        <v>---</v>
      </c>
      <c r="C69" s="372" t="str">
        <f>IF(TRUE=ISBLANK(ChemData!B69),"",(ChemData!B69))</f>
        <v/>
      </c>
      <c r="D69" s="373" t="str">
        <f>IF(TRUE=ISBLANK(ChemData!C69),"",(ChemData!C69))</f>
        <v/>
      </c>
      <c r="E69" s="374" t="str">
        <f>IF(TRUE=ISBLANK(ChemData!D69),"",(ChemData!D69))</f>
        <v/>
      </c>
      <c r="F69" s="289" t="str">
        <f>IF(TRUE=ISBLANK(ChemData!H69),"",(ChemData!H69))</f>
        <v>NA</v>
      </c>
      <c r="G69" s="290" t="str">
        <f>IF(TRUE=ISBLANK(ChemData!Q69),"",(ChemData!Q69))</f>
        <v>NA</v>
      </c>
      <c r="H69" s="291">
        <f>IF(TRUE=ISBLANK(ChemData!S69),"",(ChemData!S69))</f>
        <v>1</v>
      </c>
      <c r="I69" s="375" t="str">
        <f>IF(Start!$C$15="x",(IF(OR(C69="NA",C69=""), "NA", (IF($H69 = "NA", "NA", ((C69*$H69)))))),"---")</f>
        <v>---</v>
      </c>
      <c r="J69" s="376" t="str">
        <f>IF(Start!$C$15="x",(IF(I69 = "NA", "NA", IF(OR(D69="NA",D69=""),"NA",(I69 +((Data!$D$19-Data!$D$22)/(Data!$D$19*Data!$D$22)*$D69))))),"---")</f>
        <v>---</v>
      </c>
      <c r="K69" s="376" t="str">
        <f>IF(Start!$C$15="x",(IF(J69="NA","NA",IF(OR(G69="NA",G69=""),"NA",(J69*(1-Data!$D$23)*Data!$D$14*1000)/(Data!$D$23+((1-Data!$D$23)*Data!$D$14*$G69))))),"---")</f>
        <v>---</v>
      </c>
      <c r="L69" s="376" t="str">
        <f>IF(Start!$C$15="x",(IF(I69="NA","NA",IF($G69 = "NA", "NA",(IF(OR(ChemData!U69="NA",ChemData!U69=""),I69/((Data!$D$18+((1-Data!$D$18)*Data!$D$14*$G69))/((1-Data!$D$18)*Data!$D$14*1000)),(IF(I69/((Data!$D$18+((1-Data!$D$18)*Data!$D$14*$G69))/((1-Data!$D$18)*Data!$D$14*1000))&gt;ChemData!U69, ChemData!U69, I69/((Data!$D$18+((1-Data!$D$18)*Data!$D$14*$G69))/((1-Data!$D$18)*Data!$D$14*1000))))))))),"---")</f>
        <v>---</v>
      </c>
      <c r="M69" s="376" t="str">
        <f>IF(Start!$C$15="x",(IF(L69="NA","NA",IF(OR(D69="NA",D69=""),"NA",(((Data!$D$22*Data!$D$18)*L69)+(Data!$D$19-Data!$D$22)*$D69)/((Data!$D$22*Data!$D$18)+Data!$D$19-Data!$D$22)))),"---")</f>
        <v>---</v>
      </c>
      <c r="N69" s="376" t="str">
        <f>IF(Start!$C$15="x",IF(K69 = "NA", "NA", (IF(M69 = "NA", "NA",(IF(OR(ChemData!U69="NA",ChemData!U69=""),(IF(K69&gt;M69,K69,M69)),(IF(K69&gt;M69,(IF(K69&gt;ChemData!U69, ChemData!U69, K69)),(IF(M69&gt;ChemData!U69,ChemData!U69,M69))))))))),"---")</f>
        <v>---</v>
      </c>
      <c r="O69" s="377" t="str">
        <f>IF(Start!$C$15="x",IF(N69 = "NA","NA", IF(OR(E69="NA",E69=""),"NA",(N69+(Data!$D$26*$E69))/(Data!$D$26+1))),"---")</f>
        <v>---</v>
      </c>
      <c r="P69" s="730" t="str">
        <f>IF(E69="",F69,IF($F69&lt;(1+(Data!$D$27/100))*$E69,(1+(Data!$D$27/100))*$E69,$F69))</f>
        <v>NA</v>
      </c>
      <c r="Q69" s="343" t="str">
        <f>IF(Start!$C$15="x",(IF(C69="","",(IF(O69="NA","NA",IF(P69="NA","NA",IF(P69=0,"NA",(O69/P69))))))),"Not Req.")</f>
        <v>Not Req.</v>
      </c>
      <c r="R69" s="163"/>
      <c r="S69" s="18"/>
      <c r="T69" s="18"/>
      <c r="U69" s="163"/>
      <c r="V69" s="163"/>
      <c r="W69" s="18"/>
      <c r="X69" s="163"/>
      <c r="Y69" s="163"/>
      <c r="Z69" s="18"/>
    </row>
    <row r="70" spans="1:26" s="10" customFormat="1" x14ac:dyDescent="0.25">
      <c r="A70" s="405" t="s">
        <v>388</v>
      </c>
      <c r="B70" s="371" t="str">
        <f>IF(Start!$C$15="x",IF(C70="NA","NA",(IF(C70="","",(IF(OR(F70="NA",F70=""),"No Criteria",(IF(AND(O70="NA",F70&lt;&gt;"NA",C70&lt;&gt;"NA"),                  "Missing Data",(IF(O70&lt;F70,"No",(IF(D70&gt;F70,"Caution",(IF(O70&gt;=F70,"Needed","No"))))))))))))),"---")</f>
        <v>---</v>
      </c>
      <c r="C70" s="372" t="str">
        <f>IF(TRUE=ISBLANK(ChemData!B70),"",(ChemData!B70))</f>
        <v/>
      </c>
      <c r="D70" s="373" t="str">
        <f>IF(TRUE=ISBLANK(ChemData!C70),"",(ChemData!C70))</f>
        <v/>
      </c>
      <c r="E70" s="374" t="str">
        <f>IF(TRUE=ISBLANK(ChemData!D70),"",(ChemData!D70))</f>
        <v/>
      </c>
      <c r="F70" s="289" t="str">
        <f>IF(TRUE=ISBLANK(ChemData!H70),"",(ChemData!H70))</f>
        <v>NA</v>
      </c>
      <c r="G70" s="290" t="str">
        <f>IF(TRUE=ISBLANK(ChemData!Q70),"",(ChemData!Q70))</f>
        <v>NA</v>
      </c>
      <c r="H70" s="291">
        <f>IF(TRUE=ISBLANK(ChemData!S70),"",(ChemData!S70))</f>
        <v>1</v>
      </c>
      <c r="I70" s="375" t="str">
        <f>IF(Start!$C$15="x",(IF(OR(C70="NA",C70=""), "NA", (IF($H70 = "NA", "NA", ((C70*$H70)))))),"---")</f>
        <v>---</v>
      </c>
      <c r="J70" s="376" t="str">
        <f>IF(Start!$C$15="x",(IF(I70 = "NA", "NA", IF(OR(D70="NA",D70=""),"NA",(I70 +((Data!$D$19-Data!$D$22)/(Data!$D$19*Data!$D$22)*$D70))))),"---")</f>
        <v>---</v>
      </c>
      <c r="K70" s="376" t="str">
        <f>IF(Start!$C$15="x",(IF(J70="NA","NA",IF(OR(G70="NA",G70=""),"NA",(J70*(1-Data!$D$23)*Data!$D$14*1000)/(Data!$D$23+((1-Data!$D$23)*Data!$D$14*$G70))))),"---")</f>
        <v>---</v>
      </c>
      <c r="L70" s="376" t="str">
        <f>IF(Start!$C$15="x",(IF(I70="NA","NA",IF($G70 = "NA", "NA",(IF(OR(ChemData!U70="NA",ChemData!U70=""),I70/((Data!$D$18+((1-Data!$D$18)*Data!$D$14*$G70))/((1-Data!$D$18)*Data!$D$14*1000)),(IF(I70/((Data!$D$18+((1-Data!$D$18)*Data!$D$14*$G70))/((1-Data!$D$18)*Data!$D$14*1000))&gt;ChemData!U70, ChemData!U70, I70/((Data!$D$18+((1-Data!$D$18)*Data!$D$14*$G70))/((1-Data!$D$18)*Data!$D$14*1000))))))))),"---")</f>
        <v>---</v>
      </c>
      <c r="M70" s="376" t="str">
        <f>IF(Start!$C$15="x",(IF(L70="NA","NA",IF(OR(D70="NA",D70=""),"NA",(((Data!$D$22*Data!$D$18)*L70)+(Data!$D$19-Data!$D$22)*$D70)/((Data!$D$22*Data!$D$18)+Data!$D$19-Data!$D$22)))),"---")</f>
        <v>---</v>
      </c>
      <c r="N70" s="376" t="str">
        <f>IF(Start!$C$15="x",IF(K70 = "NA", "NA", (IF(M70 = "NA", "NA",(IF(OR(ChemData!U70="NA",ChemData!U70=""),(IF(K70&gt;M70,K70,M70)),(IF(K70&gt;M70,(IF(K70&gt;ChemData!U70, ChemData!U70, K70)),(IF(M70&gt;ChemData!U70,ChemData!U70,M70))))))))),"---")</f>
        <v>---</v>
      </c>
      <c r="O70" s="377" t="str">
        <f>IF(Start!$C$15="x",IF(N70 = "NA","NA", IF(OR(E70="NA",E70=""),"NA",(N70+(Data!$D$26*$E70))/(Data!$D$26+1))),"---")</f>
        <v>---</v>
      </c>
      <c r="P70" s="730" t="str">
        <f>IF(E70="",F70,IF($F70&lt;(1+(Data!$D$27/100))*$E70,(1+(Data!$D$27/100))*$E70,$F70))</f>
        <v>NA</v>
      </c>
      <c r="Q70" s="343" t="str">
        <f>IF(Start!$C$15="x",(IF(C70="","",(IF(O70="NA","NA",IF(P70="NA","NA",IF(P70=0,"NA",(O70/P70))))))),"Not Req.")</f>
        <v>Not Req.</v>
      </c>
      <c r="R70" s="163"/>
      <c r="S70" s="18"/>
      <c r="T70" s="18"/>
      <c r="U70" s="163"/>
      <c r="V70" s="163"/>
      <c r="W70" s="18"/>
      <c r="X70" s="163"/>
      <c r="Y70" s="163"/>
      <c r="Z70" s="18"/>
    </row>
    <row r="71" spans="1:26" s="10" customFormat="1" x14ac:dyDescent="0.25">
      <c r="A71" s="405" t="s">
        <v>389</v>
      </c>
      <c r="B71" s="371" t="str">
        <f>IF(Start!$C$15="x",IF(C71="NA","NA",(IF(C71="","",(IF(OR(F71="NA",F71=""),"No Criteria",(IF(AND(O71="NA",F71&lt;&gt;"NA",C71&lt;&gt;"NA"),                  "Missing Data",(IF(O71&lt;F71,"No",(IF(D71&gt;F71,"Caution",(IF(O71&gt;=F71,"Needed","No"))))))))))))),"---")</f>
        <v>---</v>
      </c>
      <c r="C71" s="372" t="str">
        <f>IF(TRUE=ISBLANK(ChemData!B71),"",(ChemData!B71))</f>
        <v/>
      </c>
      <c r="D71" s="373" t="str">
        <f>IF(TRUE=ISBLANK(ChemData!C71),"",(ChemData!C71))</f>
        <v/>
      </c>
      <c r="E71" s="374" t="str">
        <f>IF(TRUE=ISBLANK(ChemData!D71),"",(ChemData!D71))</f>
        <v/>
      </c>
      <c r="F71" s="289" t="str">
        <f>IF(TRUE=ISBLANK(ChemData!H71),"",(ChemData!H71))</f>
        <v>NA</v>
      </c>
      <c r="G71" s="290" t="str">
        <f>IF(TRUE=ISBLANK(ChemData!Q71),"",(ChemData!Q71))</f>
        <v>NA</v>
      </c>
      <c r="H71" s="291">
        <f>IF(TRUE=ISBLANK(ChemData!S71),"",(ChemData!S71))</f>
        <v>1</v>
      </c>
      <c r="I71" s="375" t="str">
        <f>IF(Start!$C$15="x",(IF(OR(C71="NA",C71=""), "NA", (IF($H71 = "NA", "NA", ((C71*$H71)))))),"---")</f>
        <v>---</v>
      </c>
      <c r="J71" s="376" t="str">
        <f>IF(Start!$C$15="x",(IF(I71 = "NA", "NA", IF(OR(D71="NA",D71=""),"NA",(I71 +((Data!$D$19-Data!$D$22)/(Data!$D$19*Data!$D$22)*$D71))))),"---")</f>
        <v>---</v>
      </c>
      <c r="K71" s="376" t="str">
        <f>IF(Start!$C$15="x",(IF(J71="NA","NA",IF(OR(G71="NA",G71=""),"NA",(J71*(1-Data!$D$23)*Data!$D$14*1000)/(Data!$D$23+((1-Data!$D$23)*Data!$D$14*$G71))))),"---")</f>
        <v>---</v>
      </c>
      <c r="L71" s="376" t="str">
        <f>IF(Start!$C$15="x",(IF(I71="NA","NA",IF($G71 = "NA", "NA",(IF(OR(ChemData!U71="NA",ChemData!U71=""),I71/((Data!$D$18+((1-Data!$D$18)*Data!$D$14*$G71))/((1-Data!$D$18)*Data!$D$14*1000)),(IF(I71/((Data!$D$18+((1-Data!$D$18)*Data!$D$14*$G71))/((1-Data!$D$18)*Data!$D$14*1000))&gt;ChemData!U71, ChemData!U71, I71/((Data!$D$18+((1-Data!$D$18)*Data!$D$14*$G71))/((1-Data!$D$18)*Data!$D$14*1000))))))))),"---")</f>
        <v>---</v>
      </c>
      <c r="M71" s="376" t="str">
        <f>IF(Start!$C$15="x",(IF(L71="NA","NA",IF(OR(D71="NA",D71=""),"NA",(((Data!$D$22*Data!$D$18)*L71)+(Data!$D$19-Data!$D$22)*$D71)/((Data!$D$22*Data!$D$18)+Data!$D$19-Data!$D$22)))),"---")</f>
        <v>---</v>
      </c>
      <c r="N71" s="376" t="str">
        <f>IF(Start!$C$15="x",IF(K71 = "NA", "NA", (IF(M71 = "NA", "NA",(IF(OR(ChemData!U71="NA",ChemData!U71=""),(IF(K71&gt;M71,K71,M71)),(IF(K71&gt;M71,(IF(K71&gt;ChemData!U71, ChemData!U71, K71)),(IF(M71&gt;ChemData!U71,ChemData!U71,M71))))))))),"---")</f>
        <v>---</v>
      </c>
      <c r="O71" s="377" t="str">
        <f>IF(Start!$C$15="x",IF(N71 = "NA","NA", IF(OR(E71="NA",E71=""),"NA",(N71+(Data!$D$26*$E71))/(Data!$D$26+1))),"---")</f>
        <v>---</v>
      </c>
      <c r="P71" s="730" t="str">
        <f>IF(E71="",F71,IF($F71&lt;(1+(Data!$D$27/100))*$E71,(1+(Data!$D$27/100))*$E71,$F71))</f>
        <v>NA</v>
      </c>
      <c r="Q71" s="343" t="str">
        <f>IF(Start!$C$15="x",(IF(C71="","",(IF(O71="NA","NA",IF(P71="NA","NA",IF(P71=0,"NA",(O71/P71))))))),"Not Req.")</f>
        <v>Not Req.</v>
      </c>
      <c r="R71" s="163"/>
      <c r="S71" s="18"/>
      <c r="T71" s="18"/>
      <c r="U71" s="163"/>
      <c r="V71" s="163"/>
      <c r="W71" s="18"/>
      <c r="X71" s="163"/>
      <c r="Y71" s="163"/>
      <c r="Z71" s="18"/>
    </row>
    <row r="72" spans="1:26" s="10" customFormat="1" x14ac:dyDescent="0.25">
      <c r="A72" s="405" t="s">
        <v>390</v>
      </c>
      <c r="B72" s="371" t="str">
        <f>IF(Start!$C$15="x",IF(C72="NA","NA",(IF(C72="","",(IF(OR(F72="NA",F72=""),"No Criteria",(IF(AND(O72="NA",F72&lt;&gt;"NA",C72&lt;&gt;"NA"),                  "Missing Data",(IF(O72&lt;F72,"No",(IF(D72&gt;F72,"Caution",(IF(O72&gt;=F72,"Needed","No"))))))))))))),"---")</f>
        <v>---</v>
      </c>
      <c r="C72" s="372" t="str">
        <f>IF(TRUE=ISBLANK(ChemData!B72),"",(ChemData!B72))</f>
        <v/>
      </c>
      <c r="D72" s="373" t="str">
        <f>IF(TRUE=ISBLANK(ChemData!C72),"",(ChemData!C72))</f>
        <v/>
      </c>
      <c r="E72" s="374" t="str">
        <f>IF(TRUE=ISBLANK(ChemData!D72),"",(ChemData!D72))</f>
        <v/>
      </c>
      <c r="F72" s="289" t="str">
        <f>IF(TRUE=ISBLANK(ChemData!H72),"",(ChemData!H72))</f>
        <v>NA</v>
      </c>
      <c r="G72" s="290" t="str">
        <f>IF(TRUE=ISBLANK(ChemData!Q72),"",(ChemData!Q72))</f>
        <v>NA</v>
      </c>
      <c r="H72" s="291">
        <f>IF(TRUE=ISBLANK(ChemData!S72),"",(ChemData!S72))</f>
        <v>1</v>
      </c>
      <c r="I72" s="375" t="str">
        <f>IF(Start!$C$15="x",(IF(OR(C72="NA",C72=""), "NA", (IF($H72 = "NA", "NA", ((C72*$H72)))))),"---")</f>
        <v>---</v>
      </c>
      <c r="J72" s="376" t="str">
        <f>IF(Start!$C$15="x",(IF(I72 = "NA", "NA", IF(OR(D72="NA",D72=""),"NA",(I72 +((Data!$D$19-Data!$D$22)/(Data!$D$19*Data!$D$22)*$D72))))),"---")</f>
        <v>---</v>
      </c>
      <c r="K72" s="376" t="str">
        <f>IF(Start!$C$15="x",(IF(J72="NA","NA",IF(OR(G72="NA",G72=""),"NA",(J72*(1-Data!$D$23)*Data!$D$14*1000)/(Data!$D$23+((1-Data!$D$23)*Data!$D$14*$G72))))),"---")</f>
        <v>---</v>
      </c>
      <c r="L72" s="376" t="str">
        <f>IF(Start!$C$15="x",(IF(I72="NA","NA",IF($G72 = "NA", "NA",(IF(OR(ChemData!U72="NA",ChemData!U72=""),I72/((Data!$D$18+((1-Data!$D$18)*Data!$D$14*$G72))/((1-Data!$D$18)*Data!$D$14*1000)),(IF(I72/((Data!$D$18+((1-Data!$D$18)*Data!$D$14*$G72))/((1-Data!$D$18)*Data!$D$14*1000))&gt;ChemData!U72, ChemData!U72, I72/((Data!$D$18+((1-Data!$D$18)*Data!$D$14*$G72))/((1-Data!$D$18)*Data!$D$14*1000))))))))),"---")</f>
        <v>---</v>
      </c>
      <c r="M72" s="376" t="str">
        <f>IF(Start!$C$15="x",(IF(L72="NA","NA",IF(OR(D72="NA",D72=""),"NA",(((Data!$D$22*Data!$D$18)*L72)+(Data!$D$19-Data!$D$22)*$D72)/((Data!$D$22*Data!$D$18)+Data!$D$19-Data!$D$22)))),"---")</f>
        <v>---</v>
      </c>
      <c r="N72" s="376" t="str">
        <f>IF(Start!$C$15="x",IF(K72 = "NA", "NA", (IF(M72 = "NA", "NA",(IF(OR(ChemData!U72="NA",ChemData!U72=""),(IF(K72&gt;M72,K72,M72)),(IF(K72&gt;M72,(IF(K72&gt;ChemData!U72, ChemData!U72, K72)),(IF(M72&gt;ChemData!U72,ChemData!U72,M72))))))))),"---")</f>
        <v>---</v>
      </c>
      <c r="O72" s="377" t="str">
        <f>IF(Start!$C$15="x",IF(N72 = "NA","NA", IF(OR(E72="NA",E72=""),"NA",(N72+(Data!$D$26*$E72))/(Data!$D$26+1))),"---")</f>
        <v>---</v>
      </c>
      <c r="P72" s="730" t="str">
        <f>IF(E72="",F72,IF($F72&lt;(1+(Data!$D$27/100))*$E72,(1+(Data!$D$27/100))*$E72,$F72))</f>
        <v>NA</v>
      </c>
      <c r="Q72" s="343" t="str">
        <f>IF(Start!$C$15="x",(IF(C72="","",(IF(O72="NA","NA",IF(P72="NA","NA",IF(P72=0,"NA",(O72/P72))))))),"Not Req.")</f>
        <v>Not Req.</v>
      </c>
      <c r="R72" s="163"/>
      <c r="S72" s="18"/>
      <c r="T72" s="18"/>
      <c r="U72" s="163"/>
      <c r="V72" s="163"/>
      <c r="W72" s="18"/>
      <c r="X72" s="163"/>
      <c r="Y72" s="163"/>
      <c r="Z72" s="18"/>
    </row>
    <row r="73" spans="1:26" s="10" customFormat="1" x14ac:dyDescent="0.25">
      <c r="A73" s="405" t="s">
        <v>391</v>
      </c>
      <c r="B73" s="371" t="str">
        <f>IF(Start!$C$15="x",IF(C73="NA","NA",(IF(C73="","",(IF(OR(F73="NA",F73=""),"No Criteria",(IF(AND(O73="NA",F73&lt;&gt;"NA",C73&lt;&gt;"NA"),                  "Missing Data",(IF(O73&lt;F73,"No",(IF(D73&gt;F73,"Caution",(IF(O73&gt;=F73,"Needed","No"))))))))))))),"---")</f>
        <v>---</v>
      </c>
      <c r="C73" s="372" t="str">
        <f>IF(TRUE=ISBLANK(ChemData!B73),"",(ChemData!B73))</f>
        <v/>
      </c>
      <c r="D73" s="373" t="str">
        <f>IF(TRUE=ISBLANK(ChemData!C73),"",(ChemData!C73))</f>
        <v/>
      </c>
      <c r="E73" s="374" t="str">
        <f>IF(TRUE=ISBLANK(ChemData!D73),"",(ChemData!D73))</f>
        <v/>
      </c>
      <c r="F73" s="289">
        <f>IF(TRUE=ISBLANK(ChemData!H73),"",(ChemData!H73))</f>
        <v>33.6</v>
      </c>
      <c r="G73" s="290">
        <f>IF(TRUE=ISBLANK(ChemData!Q73),"",(ChemData!Q73))</f>
        <v>3071.8953656669246</v>
      </c>
      <c r="H73" s="291">
        <f>IF(TRUE=ISBLANK(ChemData!S73),"",(ChemData!S73))</f>
        <v>1</v>
      </c>
      <c r="I73" s="375" t="str">
        <f>IF(Start!$C$15="x",(IF(OR(C73="NA",C73=""), "NA", (IF($H73 = "NA", "NA", ((C73*$H73)))))),"---")</f>
        <v>---</v>
      </c>
      <c r="J73" s="376" t="str">
        <f>IF(Start!$C$15="x",(IF(I73 = "NA", "NA", IF(OR(D73="NA",D73=""),"NA",(I73 +((Data!$D$19-Data!$D$22)/(Data!$D$19*Data!$D$22)*$D73))))),"---")</f>
        <v>---</v>
      </c>
      <c r="K73" s="376" t="str">
        <f>IF(Start!$C$15="x",(IF(J73="NA","NA",IF(OR(G73="NA",G73=""),"NA",(J73*(1-Data!$D$23)*Data!$D$14*1000)/(Data!$D$23+((1-Data!$D$23)*Data!$D$14*$G73))))),"---")</f>
        <v>---</v>
      </c>
      <c r="L73" s="376" t="str">
        <f>IF(Start!$C$15="x",(IF(I73="NA","NA",IF($G73 = "NA", "NA",(IF(OR(ChemData!U73="NA",ChemData!U73=""),I73/((Data!$D$18+((1-Data!$D$18)*Data!$D$14*$G73))/((1-Data!$D$18)*Data!$D$14*1000)),(IF(I73/((Data!$D$18+((1-Data!$D$18)*Data!$D$14*$G73))/((1-Data!$D$18)*Data!$D$14*1000))&gt;ChemData!U73, ChemData!U73, I73/((Data!$D$18+((1-Data!$D$18)*Data!$D$14*$G73))/((1-Data!$D$18)*Data!$D$14*1000))))))))),"---")</f>
        <v>---</v>
      </c>
      <c r="M73" s="376" t="str">
        <f>IF(Start!$C$15="x",(IF(L73="NA","NA",IF(OR(D73="NA",D73=""),"NA",(((Data!$D$22*Data!$D$18)*L73)+(Data!$D$19-Data!$D$22)*$D73)/((Data!$D$22*Data!$D$18)+Data!$D$19-Data!$D$22)))),"---")</f>
        <v>---</v>
      </c>
      <c r="N73" s="376" t="str">
        <f>IF(Start!$C$15="x",IF(K73 = "NA", "NA", (IF(M73 = "NA", "NA",(IF(OR(ChemData!U73="NA",ChemData!U73=""),(IF(K73&gt;M73,K73,M73)),(IF(K73&gt;M73,(IF(K73&gt;ChemData!U73, ChemData!U73, K73)),(IF(M73&gt;ChemData!U73,ChemData!U73,M73))))))))),"---")</f>
        <v>---</v>
      </c>
      <c r="O73" s="377" t="str">
        <f>IF(Start!$C$15="x",IF(N73 = "NA","NA", IF(OR(E73="NA",E73=""),"NA",(N73+(Data!$D$26*$E73))/(Data!$D$26+1))),"---")</f>
        <v>---</v>
      </c>
      <c r="P73" s="730">
        <f>IF(E73="",F73,IF($F73&lt;(1+(Data!$D$27/100))*$E73,(1+(Data!$D$27/100))*$E73,$F73))</f>
        <v>33.6</v>
      </c>
      <c r="Q73" s="343" t="str">
        <f>IF(Start!$C$15="x",(IF(C73="","",(IF(O73="NA","NA",IF(P73="NA","NA",IF(P73=0,"NA",(O73/P73))))))),"Not Req.")</f>
        <v>Not Req.</v>
      </c>
      <c r="R73" s="163"/>
      <c r="S73" s="18"/>
      <c r="T73" s="18"/>
      <c r="U73" s="163"/>
      <c r="V73" s="163"/>
      <c r="W73" s="18"/>
      <c r="X73" s="163"/>
      <c r="Y73" s="163"/>
      <c r="Z73" s="18"/>
    </row>
    <row r="74" spans="1:26" s="10" customFormat="1" x14ac:dyDescent="0.25">
      <c r="A74" s="405" t="s">
        <v>392</v>
      </c>
      <c r="B74" s="371" t="str">
        <f>IF(Start!$C$15="x",IF(C74="NA","NA",(IF(C74="","",(IF(OR(F74="NA",F74=""),"No Criteria",(IF(AND(O74="NA",F74&lt;&gt;"NA",C74&lt;&gt;"NA"),                  "Missing Data",(IF(O74&lt;F74,"No",(IF(D74&gt;F74,"Caution",(IF(O74&gt;=F74,"Needed","No"))))))))))))),"---")</f>
        <v>---</v>
      </c>
      <c r="C74" s="372" t="str">
        <f>IF(TRUE=ISBLANK(ChemData!B74),"",(ChemData!B74))</f>
        <v/>
      </c>
      <c r="D74" s="373" t="str">
        <f>IF(TRUE=ISBLANK(ChemData!C74),"",(ChemData!C74))</f>
        <v/>
      </c>
      <c r="E74" s="374" t="str">
        <f>IF(TRUE=ISBLANK(ChemData!D74),"",(ChemData!D74))</f>
        <v/>
      </c>
      <c r="F74" s="289">
        <f>IF(TRUE=ISBLANK(ChemData!H74),"",(ChemData!H74))</f>
        <v>70</v>
      </c>
      <c r="G74" s="290">
        <f>IF(TRUE=ISBLANK(ChemData!Q74),"",(ChemData!Q74))</f>
        <v>293.36372992455233</v>
      </c>
      <c r="H74" s="291">
        <f>IF(TRUE=ISBLANK(ChemData!S74),"",(ChemData!S74))</f>
        <v>1</v>
      </c>
      <c r="I74" s="375" t="str">
        <f>IF(Start!$C$15="x",(IF(OR(C74="NA",C74=""), "NA", (IF($H74 = "NA", "NA", ((C74*$H74)))))),"---")</f>
        <v>---</v>
      </c>
      <c r="J74" s="376" t="str">
        <f>IF(Start!$C$15="x",(IF(I74 = "NA", "NA", IF(OR(D74="NA",D74=""),"NA",(I74 +((Data!$D$19-Data!$D$22)/(Data!$D$19*Data!$D$22)*$D74))))),"---")</f>
        <v>---</v>
      </c>
      <c r="K74" s="376" t="str">
        <f>IF(Start!$C$15="x",(IF(J74="NA","NA",IF(OR(G74="NA",G74=""),"NA",(J74*(1-Data!$D$23)*Data!$D$14*1000)/(Data!$D$23+((1-Data!$D$23)*Data!$D$14*$G74))))),"---")</f>
        <v>---</v>
      </c>
      <c r="L74" s="376" t="str">
        <f>IF(Start!$C$15="x",(IF(I74="NA","NA",IF($G74 = "NA", "NA",(IF(OR(ChemData!U74="NA",ChemData!U74=""),I74/((Data!$D$18+((1-Data!$D$18)*Data!$D$14*$G74))/((1-Data!$D$18)*Data!$D$14*1000)),(IF(I74/((Data!$D$18+((1-Data!$D$18)*Data!$D$14*$G74))/((1-Data!$D$18)*Data!$D$14*1000))&gt;ChemData!U74, ChemData!U74, I74/((Data!$D$18+((1-Data!$D$18)*Data!$D$14*$G74))/((1-Data!$D$18)*Data!$D$14*1000))))))))),"---")</f>
        <v>---</v>
      </c>
      <c r="M74" s="376" t="str">
        <f>IF(Start!$C$15="x",(IF(L74="NA","NA",IF(OR(D74="NA",D74=""),"NA",(((Data!$D$22*Data!$D$18)*L74)+(Data!$D$19-Data!$D$22)*$D74)/((Data!$D$22*Data!$D$18)+Data!$D$19-Data!$D$22)))),"---")</f>
        <v>---</v>
      </c>
      <c r="N74" s="376" t="str">
        <f>IF(Start!$C$15="x",IF(K74 = "NA", "NA", (IF(M74 = "NA", "NA",(IF(OR(ChemData!U74="NA",ChemData!U74=""),(IF(K74&gt;M74,K74,M74)),(IF(K74&gt;M74,(IF(K74&gt;ChemData!U74, ChemData!U74, K74)),(IF(M74&gt;ChemData!U74,ChemData!U74,M74))))))))),"---")</f>
        <v>---</v>
      </c>
      <c r="O74" s="377" t="str">
        <f>IF(Start!$C$15="x",IF(N74 = "NA","NA", IF(OR(E74="NA",E74=""),"NA",(N74+(Data!$D$26*$E74))/(Data!$D$26+1))),"---")</f>
        <v>---</v>
      </c>
      <c r="P74" s="730">
        <f>IF(E74="",F74,IF($F74&lt;(1+(Data!$D$27/100))*$E74,(1+(Data!$D$27/100))*$E74,$F74))</f>
        <v>70</v>
      </c>
      <c r="Q74" s="343" t="str">
        <f>IF(Start!$C$15="x",(IF(C74="","",(IF(O74="NA","NA",IF(P74="NA","NA",IF(P74=0,"NA",(O74/P74))))))),"Not Req.")</f>
        <v>Not Req.</v>
      </c>
      <c r="R74" s="163"/>
      <c r="S74" s="18"/>
      <c r="T74" s="18"/>
      <c r="U74" s="163"/>
      <c r="V74" s="163"/>
      <c r="W74" s="18"/>
      <c r="X74" s="163"/>
      <c r="Y74" s="163"/>
      <c r="Z74" s="18"/>
    </row>
    <row r="75" spans="1:26" s="10" customFormat="1" x14ac:dyDescent="0.25">
      <c r="A75" s="405" t="s">
        <v>393</v>
      </c>
      <c r="B75" s="371" t="str">
        <f>IF(Start!$C$15="x",IF(C75="NA","NA",(IF(C75="","",(IF(OR(F75="NA",F75=""),"No Criteria",(IF(AND(O75="NA",F75&lt;&gt;"NA",C75&lt;&gt;"NA"),                  "Missing Data",(IF(O75&lt;F75,"No",(IF(D75&gt;F75,"Caution",(IF(O75&gt;=F75,"Needed","No"))))))))))))),"---")</f>
        <v>---</v>
      </c>
      <c r="C75" s="372" t="str">
        <f>IF(TRUE=ISBLANK(ChemData!B75),"",(ChemData!B75))</f>
        <v/>
      </c>
      <c r="D75" s="373" t="str">
        <f>IF(TRUE=ISBLANK(ChemData!C75),"",(ChemData!C75))</f>
        <v/>
      </c>
      <c r="E75" s="374" t="str">
        <f>IF(TRUE=ISBLANK(ChemData!D75),"",(ChemData!D75))</f>
        <v/>
      </c>
      <c r="F75" s="289" t="str">
        <f>IF(TRUE=ISBLANK(ChemData!H75),"",(ChemData!H75))</f>
        <v>NA</v>
      </c>
      <c r="G75" s="290">
        <f>IF(TRUE=ISBLANK(ChemData!Q75),"",(ChemData!Q75))</f>
        <v>82681.132907143459</v>
      </c>
      <c r="H75" s="291">
        <f>IF(TRUE=ISBLANK(ChemData!S75),"",(ChemData!S75))</f>
        <v>1</v>
      </c>
      <c r="I75" s="375" t="str">
        <f>IF(Start!$C$15="x",(IF(OR(C75="NA",C75=""), "NA", (IF($H75 = "NA", "NA", ((C75*$H75)))))),"---")</f>
        <v>---</v>
      </c>
      <c r="J75" s="376" t="str">
        <f>IF(Start!$C$15="x",(IF(I75 = "NA", "NA", IF(OR(D75="NA",D75=""),"NA",(I75 +((Data!$D$19-Data!$D$22)/(Data!$D$19*Data!$D$22)*$D75))))),"---")</f>
        <v>---</v>
      </c>
      <c r="K75" s="376" t="str">
        <f>IF(Start!$C$15="x",(IF(J75="NA","NA",IF(OR(G75="NA",G75=""),"NA",(J75*(1-Data!$D$23)*Data!$D$14*1000)/(Data!$D$23+((1-Data!$D$23)*Data!$D$14*$G75))))),"---")</f>
        <v>---</v>
      </c>
      <c r="L75" s="376" t="str">
        <f>IF(Start!$C$15="x",(IF(I75="NA","NA",IF($G75 = "NA", "NA",(IF(OR(ChemData!U75="NA",ChemData!U75=""),I75/((Data!$D$18+((1-Data!$D$18)*Data!$D$14*$G75))/((1-Data!$D$18)*Data!$D$14*1000)),(IF(I75/((Data!$D$18+((1-Data!$D$18)*Data!$D$14*$G75))/((1-Data!$D$18)*Data!$D$14*1000))&gt;ChemData!U75, ChemData!U75, I75/((Data!$D$18+((1-Data!$D$18)*Data!$D$14*$G75))/((1-Data!$D$18)*Data!$D$14*1000))))))))),"---")</f>
        <v>---</v>
      </c>
      <c r="M75" s="376" t="str">
        <f>IF(Start!$C$15="x",(IF(L75="NA","NA",IF(OR(D75="NA",D75=""),"NA",(((Data!$D$22*Data!$D$18)*L75)+(Data!$D$19-Data!$D$22)*$D75)/((Data!$D$22*Data!$D$18)+Data!$D$19-Data!$D$22)))),"---")</f>
        <v>---</v>
      </c>
      <c r="N75" s="376" t="str">
        <f>IF(Start!$C$15="x",IF(K75 = "NA", "NA", (IF(M75 = "NA", "NA",(IF(OR(ChemData!U75="NA",ChemData!U75=""),(IF(K75&gt;M75,K75,M75)),(IF(K75&gt;M75,(IF(K75&gt;ChemData!U75, ChemData!U75, K75)),(IF(M75&gt;ChemData!U75,ChemData!U75,M75))))))))),"---")</f>
        <v>---</v>
      </c>
      <c r="O75" s="377" t="str">
        <f>IF(Start!$C$15="x",IF(N75 = "NA","NA", IF(OR(E75="NA",E75=""),"NA",(N75+(Data!$D$26*$E75))/(Data!$D$26+1))),"---")</f>
        <v>---</v>
      </c>
      <c r="P75" s="730" t="str">
        <f>IF(E75="",F75,IF($F75&lt;(1+(Data!$D$27/100))*$E75,(1+(Data!$D$27/100))*$E75,$F75))</f>
        <v>NA</v>
      </c>
      <c r="Q75" s="343" t="str">
        <f>IF(Start!$C$15="x",(IF(C75="","",(IF(O75="NA","NA",IF(P75="NA","NA",IF(P75=0,"NA",(O75/P75))))))),"Not Req.")</f>
        <v>Not Req.</v>
      </c>
      <c r="R75" s="163"/>
      <c r="S75" s="18"/>
      <c r="T75" s="18"/>
      <c r="U75" s="163"/>
      <c r="V75" s="163"/>
      <c r="W75" s="18"/>
      <c r="X75" s="163"/>
      <c r="Y75" s="163"/>
      <c r="Z75" s="18"/>
    </row>
    <row r="76" spans="1:26" s="10" customFormat="1" x14ac:dyDescent="0.25">
      <c r="A76" s="405" t="s">
        <v>394</v>
      </c>
      <c r="B76" s="371" t="str">
        <f>IF(Start!$C$15="x",IF(C76="NA","NA",(IF(C76="","",(IF(OR(F76="NA",F76=""),"No Criteria",(IF(AND(O76="NA",F76&lt;&gt;"NA",C76&lt;&gt;"NA"),                  "Missing Data",(IF(O76&lt;F76,"No",(IF(D76&gt;F76,"Caution",(IF(O76&gt;=F76,"Needed","No"))))))))))))),"---")</f>
        <v>---</v>
      </c>
      <c r="C76" s="372" t="str">
        <f>IF(TRUE=ISBLANK(ChemData!B76),"",(ChemData!B76))</f>
        <v/>
      </c>
      <c r="D76" s="373" t="str">
        <f>IF(TRUE=ISBLANK(ChemData!C76),"",(ChemData!C76))</f>
        <v/>
      </c>
      <c r="E76" s="374" t="str">
        <f>IF(TRUE=ISBLANK(ChemData!D76),"",(ChemData!D76))</f>
        <v/>
      </c>
      <c r="F76" s="289" t="str">
        <f>IF(TRUE=ISBLANK(ChemData!H76),"",(ChemData!H76))</f>
        <v>NA</v>
      </c>
      <c r="G76" s="290">
        <f>IF(TRUE=ISBLANK(ChemData!Q76),"",(ChemData!Q76))</f>
        <v>48686.260529983556</v>
      </c>
      <c r="H76" s="291">
        <f>IF(TRUE=ISBLANK(ChemData!S76),"",(ChemData!S76))</f>
        <v>1</v>
      </c>
      <c r="I76" s="375" t="str">
        <f>IF(Start!$C$15="x",(IF(OR(C76="NA",C76=""), "NA", (IF($H76 = "NA", "NA", ((C76*$H76)))))),"---")</f>
        <v>---</v>
      </c>
      <c r="J76" s="376" t="str">
        <f>IF(Start!$C$15="x",(IF(I76 = "NA", "NA", IF(OR(D76="NA",D76=""),"NA",(I76 +((Data!$D$19-Data!$D$22)/(Data!$D$19*Data!$D$22)*$D76))))),"---")</f>
        <v>---</v>
      </c>
      <c r="K76" s="376" t="str">
        <f>IF(Start!$C$15="x",(IF(J76="NA","NA",IF(OR(G76="NA",G76=""),"NA",(J76*(1-Data!$D$23)*Data!$D$14*1000)/(Data!$D$23+((1-Data!$D$23)*Data!$D$14*$G76))))),"---")</f>
        <v>---</v>
      </c>
      <c r="L76" s="376" t="str">
        <f>IF(Start!$C$15="x",(IF(I76="NA","NA",IF($G76 = "NA", "NA",(IF(OR(ChemData!U76="NA",ChemData!U76=""),I76/((Data!$D$18+((1-Data!$D$18)*Data!$D$14*$G76))/((1-Data!$D$18)*Data!$D$14*1000)),(IF(I76/((Data!$D$18+((1-Data!$D$18)*Data!$D$14*$G76))/((1-Data!$D$18)*Data!$D$14*1000))&gt;ChemData!U76, ChemData!U76, I76/((Data!$D$18+((1-Data!$D$18)*Data!$D$14*$G76))/((1-Data!$D$18)*Data!$D$14*1000))))))))),"---")</f>
        <v>---</v>
      </c>
      <c r="M76" s="376" t="str">
        <f>IF(Start!$C$15="x",(IF(L76="NA","NA",IF(OR(D76="NA",D76=""),"NA",(((Data!$D$22*Data!$D$18)*L76)+(Data!$D$19-Data!$D$22)*$D76)/((Data!$D$22*Data!$D$18)+Data!$D$19-Data!$D$22)))),"---")</f>
        <v>---</v>
      </c>
      <c r="N76" s="376" t="str">
        <f>IF(Start!$C$15="x",IF(K76 = "NA", "NA", (IF(M76 = "NA", "NA",(IF(OR(ChemData!U76="NA",ChemData!U76=""),(IF(K76&gt;M76,K76,M76)),(IF(K76&gt;M76,(IF(K76&gt;ChemData!U76, ChemData!U76, K76)),(IF(M76&gt;ChemData!U76,ChemData!U76,M76))))))))),"---")</f>
        <v>---</v>
      </c>
      <c r="O76" s="377" t="str">
        <f>IF(Start!$C$15="x",IF(N76 = "NA","NA", IF(OR(E76="NA",E76=""),"NA",(N76+(Data!$D$26*$E76))/(Data!$D$26+1))),"---")</f>
        <v>---</v>
      </c>
      <c r="P76" s="730" t="str">
        <f>IF(E76="",F76,IF($F76&lt;(1+(Data!$D$27/100))*$E76,(1+(Data!$D$27/100))*$E76,$F76))</f>
        <v>NA</v>
      </c>
      <c r="Q76" s="343" t="str">
        <f>IF(Start!$C$15="x",(IF(C76="","",(IF(O76="NA","NA",IF(P76="NA","NA",IF(P76=0,"NA",(O76/P76))))))),"Not Req.")</f>
        <v>Not Req.</v>
      </c>
      <c r="R76" s="163"/>
      <c r="S76" s="18"/>
      <c r="T76" s="18"/>
      <c r="U76" s="163"/>
      <c r="V76" s="163"/>
      <c r="W76" s="18"/>
      <c r="X76" s="163"/>
      <c r="Y76" s="163"/>
      <c r="Z76" s="18"/>
    </row>
    <row r="77" spans="1:26" s="10" customFormat="1" x14ac:dyDescent="0.25">
      <c r="A77" s="405" t="s">
        <v>395</v>
      </c>
      <c r="B77" s="371" t="str">
        <f>IF(Start!$C$15="x",IF(C77="NA","NA",(IF(C77="","",(IF(OR(F77="NA",F77=""),"No Criteria",(IF(AND(O77="NA",F77&lt;&gt;"NA",C77&lt;&gt;"NA"),                  "Missing Data",(IF(O77&lt;F77,"No",(IF(D77&gt;F77,"Caution",(IF(O77&gt;=F77,"Needed","No"))))))))))))),"---")</f>
        <v>---</v>
      </c>
      <c r="C77" s="372" t="str">
        <f>IF(TRUE=ISBLANK(ChemData!B77),"",(ChemData!B77))</f>
        <v/>
      </c>
      <c r="D77" s="373" t="str">
        <f>IF(TRUE=ISBLANK(ChemData!C77),"",(ChemData!C77))</f>
        <v/>
      </c>
      <c r="E77" s="374" t="str">
        <f>IF(TRUE=ISBLANK(ChemData!D77),"",(ChemData!D77))</f>
        <v/>
      </c>
      <c r="F77" s="289">
        <f>IF(TRUE=ISBLANK(ChemData!H77),"",(ChemData!H77))</f>
        <v>37</v>
      </c>
      <c r="G77" s="290">
        <f>IF(TRUE=ISBLANK(ChemData!Q77),"",(ChemData!Q77))</f>
        <v>137.21652566479986</v>
      </c>
      <c r="H77" s="291">
        <f>IF(TRUE=ISBLANK(ChemData!S77),"",(ChemData!S77))</f>
        <v>1</v>
      </c>
      <c r="I77" s="375" t="str">
        <f>IF(Start!$C$15="x",(IF(OR(C77="NA",C77=""), "NA", (IF($H77 = "NA", "NA", ((C77*$H77)))))),"---")</f>
        <v>---</v>
      </c>
      <c r="J77" s="376" t="str">
        <f>IF(Start!$C$15="x",(IF(I77 = "NA", "NA", IF(OR(D77="NA",D77=""),"NA",(I77 +((Data!$D$19-Data!$D$22)/(Data!$D$19*Data!$D$22)*$D77))))),"---")</f>
        <v>---</v>
      </c>
      <c r="K77" s="376" t="str">
        <f>IF(Start!$C$15="x",(IF(J77="NA","NA",IF(OR(G77="NA",G77=""),"NA",(J77*(1-Data!$D$23)*Data!$D$14*1000)/(Data!$D$23+((1-Data!$D$23)*Data!$D$14*$G77))))),"---")</f>
        <v>---</v>
      </c>
      <c r="L77" s="376" t="str">
        <f>IF(Start!$C$15="x",(IF(I77="NA","NA",IF($G77 = "NA", "NA",(IF(OR(ChemData!U77="NA",ChemData!U77=""),I77/((Data!$D$18+((1-Data!$D$18)*Data!$D$14*$G77))/((1-Data!$D$18)*Data!$D$14*1000)),(IF(I77/((Data!$D$18+((1-Data!$D$18)*Data!$D$14*$G77))/((1-Data!$D$18)*Data!$D$14*1000))&gt;ChemData!U77, ChemData!U77, I77/((Data!$D$18+((1-Data!$D$18)*Data!$D$14*$G77))/((1-Data!$D$18)*Data!$D$14*1000))))))))),"---")</f>
        <v>---</v>
      </c>
      <c r="M77" s="376" t="str">
        <f>IF(Start!$C$15="x",(IF(L77="NA","NA",IF(OR(D77="NA",D77=""),"NA",(((Data!$D$22*Data!$D$18)*L77)+(Data!$D$19-Data!$D$22)*$D77)/((Data!$D$22*Data!$D$18)+Data!$D$19-Data!$D$22)))),"---")</f>
        <v>---</v>
      </c>
      <c r="N77" s="376" t="str">
        <f>IF(Start!$C$15="x",IF(K77 = "NA", "NA", (IF(M77 = "NA", "NA",(IF(OR(ChemData!U77="NA",ChemData!U77=""),(IF(K77&gt;M77,K77,M77)),(IF(K77&gt;M77,(IF(K77&gt;ChemData!U77, ChemData!U77, K77)),(IF(M77&gt;ChemData!U77,ChemData!U77,M77))))))))),"---")</f>
        <v>---</v>
      </c>
      <c r="O77" s="377" t="str">
        <f>IF(Start!$C$15="x",IF(N77 = "NA","NA", IF(OR(E77="NA",E77=""),"NA",(N77+(Data!$D$26*$E77))/(Data!$D$26+1))),"---")</f>
        <v>---</v>
      </c>
      <c r="P77" s="730">
        <f>IF(E77="",F77,IF($F77&lt;(1+(Data!$D$27/100))*$E77,(1+(Data!$D$27/100))*$E77,$F77))</f>
        <v>37</v>
      </c>
      <c r="Q77" s="343" t="str">
        <f>IF(Start!$C$15="x",(IF(C77="","",(IF(O77="NA","NA",IF(P77="NA","NA",IF(P77=0,"NA",(O77/P77))))))),"Not Req.")</f>
        <v>Not Req.</v>
      </c>
      <c r="R77" s="163"/>
      <c r="S77" s="18"/>
      <c r="T77" s="18"/>
      <c r="U77" s="163"/>
      <c r="V77" s="163"/>
      <c r="W77" s="18"/>
      <c r="X77" s="163"/>
      <c r="Y77" s="163"/>
      <c r="Z77" s="18"/>
    </row>
    <row r="78" spans="1:26" s="10" customFormat="1" x14ac:dyDescent="0.25">
      <c r="A78" s="405" t="s">
        <v>396</v>
      </c>
      <c r="B78" s="371" t="str">
        <f>IF(Start!$C$15="x",IF(C78="NA","NA",(IF(C78="","",(IF(OR(F78="NA",F78=""),"No Criteria",(IF(AND(O78="NA",F78&lt;&gt;"NA",C78&lt;&gt;"NA"),                  "Missing Data",(IF(O78&lt;F78,"No",(IF(D78&gt;F78,"Caution",(IF(O78&gt;=F78,"Needed","No"))))))))))))),"---")</f>
        <v>---</v>
      </c>
      <c r="C78" s="372" t="str">
        <f>IF(TRUE=ISBLANK(ChemData!B78),"",(ChemData!B78))</f>
        <v/>
      </c>
      <c r="D78" s="373" t="str">
        <f>IF(TRUE=ISBLANK(ChemData!C78),"",(ChemData!C78))</f>
        <v/>
      </c>
      <c r="E78" s="374" t="str">
        <f>IF(TRUE=ISBLANK(ChemData!D78),"",(ChemData!D78))</f>
        <v/>
      </c>
      <c r="F78" s="289" t="str">
        <f>IF(TRUE=ISBLANK(ChemData!H78),"",(ChemData!H78))</f>
        <v>NA</v>
      </c>
      <c r="G78" s="290">
        <f>IF(TRUE=ISBLANK(ChemData!Q78),"",(ChemData!Q78))</f>
        <v>134.09309620988071</v>
      </c>
      <c r="H78" s="291">
        <f>IF(TRUE=ISBLANK(ChemData!S78),"",(ChemData!S78))</f>
        <v>1</v>
      </c>
      <c r="I78" s="375" t="str">
        <f>IF(Start!$C$15="x",(IF(OR(C78="NA",C78=""), "NA", (IF($H78 = "NA", "NA", ((C78*$H78)))))),"---")</f>
        <v>---</v>
      </c>
      <c r="J78" s="376" t="str">
        <f>IF(Start!$C$15="x",(IF(I78 = "NA", "NA", IF(OR(D78="NA",D78=""),"NA",(I78 +((Data!$D$19-Data!$D$22)/(Data!$D$19*Data!$D$22)*$D78))))),"---")</f>
        <v>---</v>
      </c>
      <c r="K78" s="376" t="str">
        <f>IF(Start!$C$15="x",(IF(J78="NA","NA",IF(OR(G78="NA",G78=""),"NA",(J78*(1-Data!$D$23)*Data!$D$14*1000)/(Data!$D$23+((1-Data!$D$23)*Data!$D$14*$G78))))),"---")</f>
        <v>---</v>
      </c>
      <c r="L78" s="376" t="str">
        <f>IF(Start!$C$15="x",(IF(I78="NA","NA",IF($G78 = "NA", "NA",(IF(OR(ChemData!U78="NA",ChemData!U78=""),I78/((Data!$D$18+((1-Data!$D$18)*Data!$D$14*$G78))/((1-Data!$D$18)*Data!$D$14*1000)),(IF(I78/((Data!$D$18+((1-Data!$D$18)*Data!$D$14*$G78))/((1-Data!$D$18)*Data!$D$14*1000))&gt;ChemData!U78, ChemData!U78, I78/((Data!$D$18+((1-Data!$D$18)*Data!$D$14*$G78))/((1-Data!$D$18)*Data!$D$14*1000))))))))),"---")</f>
        <v>---</v>
      </c>
      <c r="M78" s="376" t="str">
        <f>IF(Start!$C$15="x",(IF(L78="NA","NA",IF(OR(D78="NA",D78=""),"NA",(((Data!$D$22*Data!$D$18)*L78)+(Data!$D$19-Data!$D$22)*$D78)/((Data!$D$22*Data!$D$18)+Data!$D$19-Data!$D$22)))),"---")</f>
        <v>---</v>
      </c>
      <c r="N78" s="376" t="str">
        <f>IF(Start!$C$15="x",IF(K78 = "NA", "NA", (IF(M78 = "NA", "NA",(IF(OR(ChemData!U78="NA",ChemData!U78=""),(IF(K78&gt;M78,K78,M78)),(IF(K78&gt;M78,(IF(K78&gt;ChemData!U78, ChemData!U78, K78)),(IF(M78&gt;ChemData!U78,ChemData!U78,M78))))))))),"---")</f>
        <v>---</v>
      </c>
      <c r="O78" s="377" t="str">
        <f>IF(Start!$C$15="x",IF(N78 = "NA","NA", IF(OR(E78="NA",E78=""),"NA",(N78+(Data!$D$26*$E78))/(Data!$D$26+1))),"---")</f>
        <v>---</v>
      </c>
      <c r="P78" s="730" t="str">
        <f>IF(E78="",F78,IF($F78&lt;(1+(Data!$D$27/100))*$E78,(1+(Data!$D$27/100))*$E78,$F78))</f>
        <v>NA</v>
      </c>
      <c r="Q78" s="343" t="str">
        <f>IF(Start!$C$15="x",(IF(C78="","",(IF(O78="NA","NA",IF(P78="NA","NA",IF(P78=0,"NA",(O78/P78))))))),"Not Req.")</f>
        <v>Not Req.</v>
      </c>
      <c r="R78" s="163"/>
      <c r="S78" s="18"/>
      <c r="T78" s="18"/>
      <c r="U78" s="163"/>
      <c r="V78" s="163"/>
      <c r="W78" s="18"/>
      <c r="X78" s="163"/>
      <c r="Y78" s="163"/>
      <c r="Z78" s="18"/>
    </row>
    <row r="79" spans="1:26" s="10" customFormat="1" x14ac:dyDescent="0.25">
      <c r="A79" s="405" t="s">
        <v>397</v>
      </c>
      <c r="B79" s="371" t="str">
        <f>IF(Start!$C$15="x",IF(C79="NA","NA",(IF(C79="","",(IF(OR(F79="NA",F79=""),"No Criteria",(IF(AND(O79="NA",F79&lt;&gt;"NA",C79&lt;&gt;"NA"),                  "Missing Data",(IF(O79&lt;F79,"No",(IF(D79&gt;F79,"Caution",(IF(O79&gt;=F79,"Needed","No"))))))))))))),"---")</f>
        <v>---</v>
      </c>
      <c r="C79" s="372" t="str">
        <f>IF(TRUE=ISBLANK(ChemData!B79),"",(ChemData!B79))</f>
        <v/>
      </c>
      <c r="D79" s="373" t="str">
        <f>IF(TRUE=ISBLANK(ChemData!C79),"",(ChemData!C79))</f>
        <v/>
      </c>
      <c r="E79" s="374" t="str">
        <f>IF(TRUE=ISBLANK(ChemData!D79),"",(ChemData!D79))</f>
        <v/>
      </c>
      <c r="F79" s="289">
        <f>IF(TRUE=ISBLANK(ChemData!H79),"",(ChemData!H79))</f>
        <v>190</v>
      </c>
      <c r="G79" s="290">
        <f>IF(TRUE=ISBLANK(ChemData!Q79),"",(ChemData!Q79))</f>
        <v>40.495467659306222</v>
      </c>
      <c r="H79" s="291">
        <f>IF(TRUE=ISBLANK(ChemData!S79),"",(ChemData!S79))</f>
        <v>1</v>
      </c>
      <c r="I79" s="375" t="str">
        <f>IF(Start!$C$15="x",(IF(OR(C79="NA",C79=""), "NA", (IF($H79 = "NA", "NA", ((C79*$H79)))))),"---")</f>
        <v>---</v>
      </c>
      <c r="J79" s="376" t="str">
        <f>IF(Start!$C$15="x",(IF(I79 = "NA", "NA", IF(OR(D79="NA",D79=""),"NA",(I79 +((Data!$D$19-Data!$D$22)/(Data!$D$19*Data!$D$22)*$D79))))),"---")</f>
        <v>---</v>
      </c>
      <c r="K79" s="376" t="str">
        <f>IF(Start!$C$15="x",(IF(J79="NA","NA",IF(OR(G79="NA",G79=""),"NA",(J79*(1-Data!$D$23)*Data!$D$14*1000)/(Data!$D$23+((1-Data!$D$23)*Data!$D$14*$G79))))),"---")</f>
        <v>---</v>
      </c>
      <c r="L79" s="376" t="str">
        <f>IF(Start!$C$15="x",(IF(I79="NA","NA",IF($G79 = "NA", "NA",(IF(OR(ChemData!U79="NA",ChemData!U79=""),I79/((Data!$D$18+((1-Data!$D$18)*Data!$D$14*$G79))/((1-Data!$D$18)*Data!$D$14*1000)),(IF(I79/((Data!$D$18+((1-Data!$D$18)*Data!$D$14*$G79))/((1-Data!$D$18)*Data!$D$14*1000))&gt;ChemData!U79, ChemData!U79, I79/((Data!$D$18+((1-Data!$D$18)*Data!$D$14*$G79))/((1-Data!$D$18)*Data!$D$14*1000))))))))),"---")</f>
        <v>---</v>
      </c>
      <c r="M79" s="376" t="str">
        <f>IF(Start!$C$15="x",(IF(L79="NA","NA",IF(OR(D79="NA",D79=""),"NA",(((Data!$D$22*Data!$D$18)*L79)+(Data!$D$19-Data!$D$22)*$D79)/((Data!$D$22*Data!$D$18)+Data!$D$19-Data!$D$22)))),"---")</f>
        <v>---</v>
      </c>
      <c r="N79" s="376" t="str">
        <f>IF(Start!$C$15="x",IF(K79 = "NA", "NA", (IF(M79 = "NA", "NA",(IF(OR(ChemData!U79="NA",ChemData!U79=""),(IF(K79&gt;M79,K79,M79)),(IF(K79&gt;M79,(IF(K79&gt;ChemData!U79, ChemData!U79, K79)),(IF(M79&gt;ChemData!U79,ChemData!U79,M79))))))))),"---")</f>
        <v>---</v>
      </c>
      <c r="O79" s="377" t="str">
        <f>IF(Start!$C$15="x",IF(N79 = "NA","NA", IF(OR(E79="NA",E79=""),"NA",(N79+(Data!$D$26*$E79))/(Data!$D$26+1))),"---")</f>
        <v>---</v>
      </c>
      <c r="P79" s="730">
        <f>IF(E79="",F79,IF($F79&lt;(1+(Data!$D$27/100))*$E79,(1+(Data!$D$27/100))*$E79,$F79))</f>
        <v>190</v>
      </c>
      <c r="Q79" s="343" t="str">
        <f>IF(Start!$C$15="x",(IF(C79="","",(IF(O79="NA","NA",IF(P79="NA","NA",IF(P79=0,"NA",(O79/P79))))))),"Not Req.")</f>
        <v>Not Req.</v>
      </c>
      <c r="R79" s="163"/>
      <c r="S79" s="18"/>
      <c r="T79" s="18"/>
      <c r="U79" s="163"/>
      <c r="V79" s="163"/>
      <c r="W79" s="18"/>
      <c r="X79" s="163"/>
      <c r="Y79" s="163"/>
      <c r="Z79" s="18"/>
    </row>
    <row r="80" spans="1:26" s="10" customFormat="1" x14ac:dyDescent="0.25">
      <c r="A80" s="405" t="s">
        <v>398</v>
      </c>
      <c r="B80" s="371" t="str">
        <f>IF(Start!$C$15="x",IF(C80="NA","NA",(IF(C80="","",(IF(OR(F80="NA",F80=""),"No Criteria",(IF(AND(O80="NA",F80&lt;&gt;"NA",C80&lt;&gt;"NA"),                  "Missing Data",(IF(O80&lt;F80,"No",(IF(D80&gt;F80,"Caution",(IF(O80&gt;=F80,"Needed","No"))))))))))))),"---")</f>
        <v>---</v>
      </c>
      <c r="C80" s="372" t="str">
        <f>IF(TRUE=ISBLANK(ChemData!B80),"",(ChemData!B80))</f>
        <v/>
      </c>
      <c r="D80" s="373" t="str">
        <f>IF(TRUE=ISBLANK(ChemData!C80),"",(ChemData!C80))</f>
        <v/>
      </c>
      <c r="E80" s="374" t="str">
        <f>IF(TRUE=ISBLANK(ChemData!D80),"",(ChemData!D80))</f>
        <v/>
      </c>
      <c r="F80" s="289" t="str">
        <f>IF(TRUE=ISBLANK(ChemData!H80),"",(ChemData!H80))</f>
        <v>NA</v>
      </c>
      <c r="G80" s="290" t="str">
        <f>IF(TRUE=ISBLANK(ChemData!Q80),"",(ChemData!Q80))</f>
        <v>NA</v>
      </c>
      <c r="H80" s="291">
        <f>IF(TRUE=ISBLANK(ChemData!S80),"",(ChemData!S80))</f>
        <v>1</v>
      </c>
      <c r="I80" s="375" t="str">
        <f>IF(Start!$C$15="x",(IF(OR(C80="NA",C80=""), "NA", (IF($H80 = "NA", "NA", ((C80*$H80)))))),"---")</f>
        <v>---</v>
      </c>
      <c r="J80" s="376" t="str">
        <f>IF(Start!$C$15="x",(IF(I80 = "NA", "NA", IF(OR(D80="NA",D80=""),"NA",(I80 +((Data!$D$19-Data!$D$22)/(Data!$D$19*Data!$D$22)*$D80))))),"---")</f>
        <v>---</v>
      </c>
      <c r="K80" s="376" t="str">
        <f>IF(Start!$C$15="x",(IF(J80="NA","NA",IF(OR(G80="NA",G80=""),"NA",(J80*(1-Data!$D$23)*Data!$D$14*1000)/(Data!$D$23+((1-Data!$D$23)*Data!$D$14*$G80))))),"---")</f>
        <v>---</v>
      </c>
      <c r="L80" s="376" t="str">
        <f>IF(Start!$C$15="x",(IF(I80="NA","NA",IF($G80 = "NA", "NA",(IF(OR(ChemData!U80="NA",ChemData!U80=""),I80/((Data!$D$18+((1-Data!$D$18)*Data!$D$14*$G80))/((1-Data!$D$18)*Data!$D$14*1000)),(IF(I80/((Data!$D$18+((1-Data!$D$18)*Data!$D$14*$G80))/((1-Data!$D$18)*Data!$D$14*1000))&gt;ChemData!U80, ChemData!U80, I80/((Data!$D$18+((1-Data!$D$18)*Data!$D$14*$G80))/((1-Data!$D$18)*Data!$D$14*1000))))))))),"---")</f>
        <v>---</v>
      </c>
      <c r="M80" s="376" t="str">
        <f>IF(Start!$C$15="x",(IF(L80="NA","NA",IF(OR(D80="NA",D80=""),"NA",(((Data!$D$22*Data!$D$18)*L80)+(Data!$D$19-Data!$D$22)*$D80)/((Data!$D$22*Data!$D$18)+Data!$D$19-Data!$D$22)))),"---")</f>
        <v>---</v>
      </c>
      <c r="N80" s="376" t="str">
        <f>IF(Start!$C$15="x",IF(K80 = "NA", "NA", (IF(M80 = "NA", "NA",(IF(OR(ChemData!U80="NA",ChemData!U80=""),(IF(K80&gt;M80,K80,M80)),(IF(K80&gt;M80,(IF(K80&gt;ChemData!U80, ChemData!U80, K80)),(IF(M80&gt;ChemData!U80,ChemData!U80,M80))))))))),"---")</f>
        <v>---</v>
      </c>
      <c r="O80" s="377" t="str">
        <f>IF(Start!$C$15="x",IF(N80 = "NA","NA", IF(OR(E80="NA",E80=""),"NA",(N80+(Data!$D$26*$E80))/(Data!$D$26+1))),"---")</f>
        <v>---</v>
      </c>
      <c r="P80" s="730" t="str">
        <f>IF(E80="",F80,IF($F80&lt;(1+(Data!$D$27/100))*$E80,(1+(Data!$D$27/100))*$E80,$F80))</f>
        <v>NA</v>
      </c>
      <c r="Q80" s="343" t="str">
        <f>IF(Start!$C$15="x",(IF(C80="","",(IF(O80="NA","NA",IF(P80="NA","NA",IF(P80=0,"NA",(O80/P80))))))),"Not Req.")</f>
        <v>Not Req.</v>
      </c>
      <c r="R80" s="163"/>
      <c r="S80" s="18"/>
      <c r="T80" s="18"/>
      <c r="U80" s="163"/>
      <c r="V80" s="163"/>
      <c r="W80" s="18"/>
      <c r="X80" s="163"/>
      <c r="Y80" s="163"/>
      <c r="Z80" s="18"/>
    </row>
    <row r="81" spans="1:26" s="10" customFormat="1" x14ac:dyDescent="0.25">
      <c r="A81" s="405" t="s">
        <v>399</v>
      </c>
      <c r="B81" s="371" t="str">
        <f>IF(Start!$C$15="x",IF(C81="NA","NA",(IF(C81="","",(IF(OR(F81="NA",F81=""),"No Criteria",(IF(AND(O81="NA",F81&lt;&gt;"NA",C81&lt;&gt;"NA"),                  "Missing Data",(IF(O81&lt;F81,"No",(IF(D81&gt;F81,"Caution",(IF(O81&gt;=F81,"Needed","No"))))))))))))),"---")</f>
        <v>---</v>
      </c>
      <c r="C81" s="372" t="str">
        <f>IF(TRUE=ISBLANK(ChemData!B81),"",(ChemData!B81))</f>
        <v/>
      </c>
      <c r="D81" s="373" t="str">
        <f>IF(TRUE=ISBLANK(ChemData!C81),"",(ChemData!C81))</f>
        <v/>
      </c>
      <c r="E81" s="374" t="str">
        <f>IF(TRUE=ISBLANK(ChemData!D81),"",(ChemData!D81))</f>
        <v/>
      </c>
      <c r="F81" s="289">
        <f>IF(TRUE=ISBLANK(ChemData!H81),"",(ChemData!H81))</f>
        <v>30</v>
      </c>
      <c r="G81" s="290">
        <f>IF(TRUE=ISBLANK(ChemData!Q81),"",(ChemData!Q81))</f>
        <v>533.83423122873478</v>
      </c>
      <c r="H81" s="291">
        <f>IF(TRUE=ISBLANK(ChemData!S81),"",(ChemData!S81))</f>
        <v>1</v>
      </c>
      <c r="I81" s="375" t="str">
        <f>IF(Start!$C$15="x",(IF(OR(C81="NA",C81=""), "NA", (IF($H81 = "NA", "NA", ((C81*$H81)))))),"---")</f>
        <v>---</v>
      </c>
      <c r="J81" s="376" t="str">
        <f>IF(Start!$C$15="x",(IF(I81 = "NA", "NA", IF(OR(D81="NA",D81=""),"NA",(I81 +((Data!$D$19-Data!$D$22)/(Data!$D$19*Data!$D$22)*$D81))))),"---")</f>
        <v>---</v>
      </c>
      <c r="K81" s="376" t="str">
        <f>IF(Start!$C$15="x",(IF(J81="NA","NA",IF(OR(G81="NA",G81=""),"NA",(J81*(1-Data!$D$23)*Data!$D$14*1000)/(Data!$D$23+((1-Data!$D$23)*Data!$D$14*$G81))))),"---")</f>
        <v>---</v>
      </c>
      <c r="L81" s="376" t="str">
        <f>IF(Start!$C$15="x",(IF(I81="NA","NA",IF($G81 = "NA", "NA",(IF(OR(ChemData!U81="NA",ChemData!U81=""),I81/((Data!$D$18+((1-Data!$D$18)*Data!$D$14*$G81))/((1-Data!$D$18)*Data!$D$14*1000)),(IF(I81/((Data!$D$18+((1-Data!$D$18)*Data!$D$14*$G81))/((1-Data!$D$18)*Data!$D$14*1000))&gt;ChemData!U81, ChemData!U81, I81/((Data!$D$18+((1-Data!$D$18)*Data!$D$14*$G81))/((1-Data!$D$18)*Data!$D$14*1000))))))))),"---")</f>
        <v>---</v>
      </c>
      <c r="M81" s="376" t="str">
        <f>IF(Start!$C$15="x",(IF(L81="NA","NA",IF(OR(D81="NA",D81=""),"NA",(((Data!$D$22*Data!$D$18)*L81)+(Data!$D$19-Data!$D$22)*$D81)/((Data!$D$22*Data!$D$18)+Data!$D$19-Data!$D$22)))),"---")</f>
        <v>---</v>
      </c>
      <c r="N81" s="376" t="str">
        <f>IF(Start!$C$15="x",IF(K81 = "NA", "NA", (IF(M81 = "NA", "NA",(IF(OR(ChemData!U81="NA",ChemData!U81=""),(IF(K81&gt;M81,K81,M81)),(IF(K81&gt;M81,(IF(K81&gt;ChemData!U81, ChemData!U81, K81)),(IF(M81&gt;ChemData!U81,ChemData!U81,M81))))))))),"---")</f>
        <v>---</v>
      </c>
      <c r="O81" s="377" t="str">
        <f>IF(Start!$C$15="x",IF(N81 = "NA","NA", IF(OR(E81="NA",E81=""),"NA",(N81+(Data!$D$26*$E81))/(Data!$D$26+1))),"---")</f>
        <v>---</v>
      </c>
      <c r="P81" s="730">
        <f>IF(E81="",F81,IF($F81&lt;(1+(Data!$D$27/100))*$E81,(1+(Data!$D$27/100))*$E81,$F81))</f>
        <v>30</v>
      </c>
      <c r="Q81" s="343" t="str">
        <f>IF(Start!$C$15="x",(IF(C81="","",(IF(O81="NA","NA",IF(P81="NA","NA",IF(P81=0,"NA",(O81/P81))))))),"Not Req.")</f>
        <v>Not Req.</v>
      </c>
      <c r="R81" s="163"/>
      <c r="S81" s="18"/>
      <c r="T81" s="18"/>
      <c r="U81" s="163"/>
      <c r="V81" s="163"/>
      <c r="W81" s="18"/>
      <c r="X81" s="163"/>
      <c r="Y81" s="163"/>
      <c r="Z81" s="18"/>
    </row>
    <row r="82" spans="1:26" s="159" customFormat="1" ht="13.8" thickBot="1" x14ac:dyDescent="0.3">
      <c r="A82" s="487" t="s">
        <v>400</v>
      </c>
      <c r="B82" s="902" t="str">
        <f>IF(Start!$C$15="x",IF(C82="NA","NA",(IF(C82="","",(IF(OR(F82="NA",F82=""),"No Criteria",(IF(AND(O82="NA",F82&lt;&gt;"NA",C82&lt;&gt;"NA"),                  "Missing Data",(IF(O82&lt;F82,"No",(IF(D82&gt;F82,"Caution",(IF(O82&gt;=F82,"Needed","No"))))))))))))),"---")</f>
        <v>---</v>
      </c>
      <c r="C82" s="903" t="str">
        <f>IF(TRUE=ISBLANK(ChemData!B82),"",(ChemData!B82))</f>
        <v/>
      </c>
      <c r="D82" s="904" t="str">
        <f>IF(TRUE=ISBLANK(ChemData!C82),"",(ChemData!C82))</f>
        <v/>
      </c>
      <c r="E82" s="905" t="str">
        <f>IF(TRUE=ISBLANK(ChemData!D82),"",(ChemData!D82))</f>
        <v/>
      </c>
      <c r="F82" s="522" t="str">
        <f>IF(TRUE=ISBLANK(ChemData!H82),"",(ChemData!H82))</f>
        <v>NA</v>
      </c>
      <c r="G82" s="523">
        <f>IF(TRUE=ISBLANK(ChemData!Q82),"",(ChemData!Q82))</f>
        <v>2330.270937231006</v>
      </c>
      <c r="H82" s="700">
        <f>IF(TRUE=ISBLANK(ChemData!S82),"",(ChemData!S82))</f>
        <v>1</v>
      </c>
      <c r="I82" s="906" t="str">
        <f>IF(Start!$C$15="x",(IF(OR(C82="NA",C82=""), "NA", (IF($H82 = "NA", "NA", ((C82*$H82)))))),"---")</f>
        <v>---</v>
      </c>
      <c r="J82" s="907" t="str">
        <f>IF(Start!$C$15="x",(IF(I82 = "NA", "NA", IF(OR(D82="NA",D82=""),"NA",(I82 +((Data!$D$19-Data!$D$22)/(Data!$D$19*Data!$D$22)*$D82))))),"---")</f>
        <v>---</v>
      </c>
      <c r="K82" s="907" t="str">
        <f>IF(Start!$C$15="x",(IF(J82="NA","NA",IF(OR(G82="NA",G82=""),"NA",(J82*(1-Data!$D$23)*Data!$D$14*1000)/(Data!$D$23+((1-Data!$D$23)*Data!$D$14*$G82))))),"---")</f>
        <v>---</v>
      </c>
      <c r="L82" s="907" t="str">
        <f>IF(Start!$C$15="x",(IF(I82="NA","NA",IF($G82 = "NA", "NA",(IF(OR(ChemData!U82="NA",ChemData!U82=""),I82/((Data!$D$18+((1-Data!$D$18)*Data!$D$14*$G82))/((1-Data!$D$18)*Data!$D$14*1000)),(IF(I82/((Data!$D$18+((1-Data!$D$18)*Data!$D$14*$G82))/((1-Data!$D$18)*Data!$D$14*1000))&gt;ChemData!U82, ChemData!U82, I82/((Data!$D$18+((1-Data!$D$18)*Data!$D$14*$G82))/((1-Data!$D$18)*Data!$D$14*1000))))))))),"---")</f>
        <v>---</v>
      </c>
      <c r="M82" s="907" t="str">
        <f>IF(Start!$C$15="x",(IF(L82="NA","NA",IF(OR(D82="NA",D82=""),"NA",(((Data!$D$22*Data!$D$18)*L82)+(Data!$D$19-Data!$D$22)*$D82)/((Data!$D$22*Data!$D$18)+Data!$D$19-Data!$D$22)))),"---")</f>
        <v>---</v>
      </c>
      <c r="N82" s="907" t="str">
        <f>IF(Start!$C$15="x",IF(K82 = "NA", "NA", (IF(M82 = "NA", "NA",(IF(OR(ChemData!U82="NA",ChemData!U82=""),(IF(K82&gt;M82,K82,M82)),(IF(K82&gt;M82,(IF(K82&gt;ChemData!U82, ChemData!U82, K82)),(IF(M82&gt;ChemData!U82,ChemData!U82,M82))))))))),"---")</f>
        <v>---</v>
      </c>
      <c r="O82" s="767" t="str">
        <f>IF(Start!$C$15="x",IF(N82 = "NA","NA", IF(OR(E82="NA",E82=""),"NA",(N82+(Data!$D$26*$E82))/(Data!$D$26+1))),"---")</f>
        <v>---</v>
      </c>
      <c r="P82" s="908" t="str">
        <f>IF(E82="",F82,IF($F82&lt;(1+(Data!$D$27/100))*$E82,(1+(Data!$D$27/100))*$E82,$F82))</f>
        <v>NA</v>
      </c>
      <c r="Q82" s="762" t="str">
        <f>IF(Start!$C$15="x",(IF(C82="","",(IF(O82="NA","NA",IF(P82="NA","NA",IF(P82=0,"NA",(O82/P82))))))),"Not Req.")</f>
        <v>Not Req.</v>
      </c>
      <c r="R82" s="163"/>
      <c r="S82" s="18"/>
      <c r="T82" s="18"/>
      <c r="U82" s="18"/>
      <c r="V82" s="18"/>
      <c r="W82" s="18"/>
      <c r="X82" s="163"/>
      <c r="Y82" s="163"/>
      <c r="Z82" s="18"/>
    </row>
    <row r="83" spans="1:26" s="10" customFormat="1" x14ac:dyDescent="0.25">
      <c r="A83" s="505" t="s">
        <v>401</v>
      </c>
      <c r="B83" s="514"/>
      <c r="C83" s="508"/>
      <c r="D83" s="509"/>
      <c r="E83" s="510"/>
      <c r="F83" s="511"/>
      <c r="G83" s="512"/>
      <c r="H83" s="513"/>
      <c r="I83" s="511"/>
      <c r="J83" s="512"/>
      <c r="K83" s="512"/>
      <c r="L83" s="512"/>
      <c r="M83" s="512"/>
      <c r="N83" s="512"/>
      <c r="O83" s="513"/>
      <c r="P83" s="514"/>
      <c r="Q83" s="514"/>
      <c r="R83" s="163"/>
      <c r="S83" s="18"/>
      <c r="T83" s="18"/>
      <c r="U83" s="163"/>
      <c r="V83" s="163"/>
      <c r="W83" s="18"/>
      <c r="X83" s="163"/>
      <c r="Y83" s="163"/>
      <c r="Z83" s="18"/>
    </row>
    <row r="84" spans="1:26" s="10" customFormat="1" x14ac:dyDescent="0.25">
      <c r="A84" s="405" t="s">
        <v>402</v>
      </c>
      <c r="B84" s="371" t="str">
        <f>IF(Start!$C$15="x",IF(C84="NA","NA",(IF(C84="","",(IF(OR(F84="NA",F84=""),"No Criteria",(IF(AND(O84="NA",F84&lt;&gt;"NA",C84&lt;&gt;"NA"),                  "Missing Data",(IF(O84&lt;F84,"No",(IF(D84&gt;F84,"Caution",(IF(O84&gt;=F84,"Needed","No"))))))))))))),"---")</f>
        <v>---</v>
      </c>
      <c r="C84" s="372" t="str">
        <f>IF(TRUE=ISBLANK(ChemData!B84),"",(ChemData!B84))</f>
        <v/>
      </c>
      <c r="D84" s="373" t="str">
        <f>IF(TRUE=ISBLANK(ChemData!C84),"",(ChemData!C84))</f>
        <v/>
      </c>
      <c r="E84" s="374" t="str">
        <f>IF(TRUE=ISBLANK(ChemData!D84),"",(ChemData!D84))</f>
        <v/>
      </c>
      <c r="F84" s="289" t="str">
        <f>IF(TRUE=ISBLANK(ChemData!H84),"",(ChemData!H84))</f>
        <v>NA</v>
      </c>
      <c r="G84" s="290">
        <f>IF(TRUE=ISBLANK(ChemData!Q84),"",(ChemData!Q84))</f>
        <v>0.72012256338441361</v>
      </c>
      <c r="H84" s="291">
        <f>IF(TRUE=ISBLANK(ChemData!S84),"",(ChemData!S84))</f>
        <v>1</v>
      </c>
      <c r="I84" s="375" t="str">
        <f>IF(Start!$C$15="x",(IF(OR(C84="NA",C84=""), "NA", (IF($H84 = "NA", "NA", ((C84*$H84)))))),"---")</f>
        <v>---</v>
      </c>
      <c r="J84" s="376" t="str">
        <f>IF(Start!$C$15="x",(IF(I84 = "NA", "NA", IF(OR(D84="NA",D84=""),"NA",(I84 +((Data!$D$19-Data!$D$22)/(Data!$D$19*Data!$D$22)*$D84))))),"---")</f>
        <v>---</v>
      </c>
      <c r="K84" s="376" t="str">
        <f>IF(Start!$C$15="x",(IF(J84="NA","NA",IF(OR(G84="NA",G84=""),"NA",(J84*(1-Data!$D$23)*Data!$D$14*1000)/(Data!$D$23+((1-Data!$D$23)*Data!$D$14*$G84))))),"---")</f>
        <v>---</v>
      </c>
      <c r="L84" s="376" t="str">
        <f>IF(Start!$C$15="x",(IF(I84="NA","NA",IF($G84 = "NA", "NA",(IF(OR(ChemData!U84="NA",ChemData!U84=""),I84/((Data!$D$18+((1-Data!$D$18)*Data!$D$14*$G84))/((1-Data!$D$18)*Data!$D$14*1000)),(IF(I84/((Data!$D$18+((1-Data!$D$18)*Data!$D$14*$G84))/((1-Data!$D$18)*Data!$D$14*1000))&gt;ChemData!U84, ChemData!U84, I84/((Data!$D$18+((1-Data!$D$18)*Data!$D$14*$G84))/((1-Data!$D$18)*Data!$D$14*1000))))))))),"---")</f>
        <v>---</v>
      </c>
      <c r="M84" s="376" t="str">
        <f>IF(Start!$C$15="x",(IF(L84="NA","NA",IF(OR(D84="NA",D84=""),"NA",(((Data!$D$22*Data!$D$18)*L84)+(Data!$D$19-Data!$D$22)*$D84)/((Data!$D$22*Data!$D$18)+Data!$D$19-Data!$D$22)))),"---")</f>
        <v>---</v>
      </c>
      <c r="N84" s="376" t="str">
        <f>IF(Start!$C$15="x",IF(K84 = "NA", "NA", (IF(M84 = "NA", "NA",(IF(OR(ChemData!U84="NA",ChemData!U84=""),(IF(K84&gt;M84,K84,M84)),(IF(K84&gt;M84,(IF(K84&gt;ChemData!U84, ChemData!U84, K84)),(IF(M84&gt;ChemData!U84,ChemData!U84,M84))))))))),"---")</f>
        <v>---</v>
      </c>
      <c r="O84" s="377" t="str">
        <f>IF(Start!$C$15="x",IF(N84 = "NA","NA", IF(OR(E84="NA",E84=""),"NA",(N84+(Data!$D$26*$E84))/(Data!$D$26+1))),"---")</f>
        <v>---</v>
      </c>
      <c r="P84" s="730" t="str">
        <f>IF(E84="",F84,IF($F84&lt;(1+(Data!$D$27/100))*$E84,(1+(Data!$D$27/100))*$E84,$F84))</f>
        <v>NA</v>
      </c>
      <c r="Q84" s="343" t="str">
        <f>IF(Start!$C$15="x",(IF(C84="","",(IF(O84="NA","NA",IF(P84="NA","NA",IF(P84=0,"NA",(O84/P84))))))),"Not Req.")</f>
        <v>Not Req.</v>
      </c>
      <c r="R84" s="163"/>
      <c r="S84" s="18"/>
      <c r="T84" s="18"/>
      <c r="U84" s="163"/>
      <c r="V84" s="163"/>
      <c r="W84" s="18"/>
      <c r="X84" s="163"/>
      <c r="Y84" s="163"/>
      <c r="Z84" s="18"/>
    </row>
    <row r="85" spans="1:26" s="10" customFormat="1" x14ac:dyDescent="0.25">
      <c r="A85" s="405" t="s">
        <v>403</v>
      </c>
      <c r="B85" s="371" t="str">
        <f>IF(Start!$C$15="x",IF(C85="NA","NA",(IF(C85="","",(IF(OR(F85="NA",F85=""),"No Criteria",(IF(AND(O85="NA",F85&lt;&gt;"NA",C85&lt;&gt;"NA"),                  "Missing Data",(IF(O85&lt;F85,"No",(IF(D85&gt;F85,"Caution",(IF(O85&gt;=F85,"Needed","No"))))))))))))),"---")</f>
        <v>---</v>
      </c>
      <c r="C85" s="372" t="str">
        <f>IF(TRUE=ISBLANK(ChemData!B85),"",(ChemData!B85))</f>
        <v/>
      </c>
      <c r="D85" s="373" t="str">
        <f>IF(TRUE=ISBLANK(ChemData!C85),"",(ChemData!C85))</f>
        <v/>
      </c>
      <c r="E85" s="374" t="str">
        <f>IF(TRUE=ISBLANK(ChemData!D85),"",(ChemData!D85))</f>
        <v/>
      </c>
      <c r="F85" s="289" t="str">
        <f>IF(TRUE=ISBLANK(ChemData!H85),"",(ChemData!H85))</f>
        <v>NA</v>
      </c>
      <c r="G85" s="290">
        <f>IF(TRUE=ISBLANK(ChemData!Q85),"",(ChemData!Q85))</f>
        <v>0.5589930634464132</v>
      </c>
      <c r="H85" s="291">
        <f>IF(TRUE=ISBLANK(ChemData!S85),"",(ChemData!S85))</f>
        <v>1</v>
      </c>
      <c r="I85" s="375" t="str">
        <f>IF(Start!$C$15="x",(IF(OR(C85="NA",C85=""), "NA", (IF($H85 = "NA", "NA", ((C85*$H85)))))),"---")</f>
        <v>---</v>
      </c>
      <c r="J85" s="376" t="str">
        <f>IF(Start!$C$15="x",(IF(I85 = "NA", "NA", IF(OR(D85="NA",D85=""),"NA",(I85 +((Data!$D$19-Data!$D$22)/(Data!$D$19*Data!$D$22)*$D85))))),"---")</f>
        <v>---</v>
      </c>
      <c r="K85" s="376" t="str">
        <f>IF(Start!$C$15="x",(IF(J85="NA","NA",IF(OR(G85="NA",G85=""),"NA",(J85*(1-Data!$D$23)*Data!$D$14*1000)/(Data!$D$23+((1-Data!$D$23)*Data!$D$14*$G85))))),"---")</f>
        <v>---</v>
      </c>
      <c r="L85" s="376" t="str">
        <f>IF(Start!$C$15="x",(IF(I85="NA","NA",IF($G85 = "NA", "NA",(IF(OR(ChemData!U85="NA",ChemData!U85=""),I85/((Data!$D$18+((1-Data!$D$18)*Data!$D$14*$G85))/((1-Data!$D$18)*Data!$D$14*1000)),(IF(I85/((Data!$D$18+((1-Data!$D$18)*Data!$D$14*$G85))/((1-Data!$D$18)*Data!$D$14*1000))&gt;ChemData!U85, ChemData!U85, I85/((Data!$D$18+((1-Data!$D$18)*Data!$D$14*$G85))/((1-Data!$D$18)*Data!$D$14*1000))))))))),"---")</f>
        <v>---</v>
      </c>
      <c r="M85" s="376" t="str">
        <f>IF(Start!$C$15="x",(IF(L85="NA","NA",IF(OR(D85="NA",D85=""),"NA",(((Data!$D$22*Data!$D$18)*L85)+(Data!$D$19-Data!$D$22)*$D85)/((Data!$D$22*Data!$D$18)+Data!$D$19-Data!$D$22)))),"---")</f>
        <v>---</v>
      </c>
      <c r="N85" s="376" t="str">
        <f>IF(Start!$C$15="x",IF(K85 = "NA", "NA", (IF(M85 = "NA", "NA",(IF(OR(ChemData!U85="NA",ChemData!U85=""),(IF(K85&gt;M85,K85,M85)),(IF(K85&gt;M85,(IF(K85&gt;ChemData!U85, ChemData!U85, K85)),(IF(M85&gt;ChemData!U85,ChemData!U85,M85))))))))),"---")</f>
        <v>---</v>
      </c>
      <c r="O85" s="377" t="str">
        <f>IF(Start!$C$15="x",IF(N85 = "NA","NA", IF(OR(E85="NA",E85=""),"NA",(N85+(Data!$D$26*$E85))/(Data!$D$26+1))),"---")</f>
        <v>---</v>
      </c>
      <c r="P85" s="730" t="str">
        <f>IF(E85="",F85,IF($F85&lt;(1+(Data!$D$27/100))*$E85,(1+(Data!$D$27/100))*$E85,$F85))</f>
        <v>NA</v>
      </c>
      <c r="Q85" s="343" t="str">
        <f>IF(Start!$C$15="x",(IF(C85="","",(IF(O85="NA","NA",IF(P85="NA","NA",IF(P85=0,"NA",(O85/P85))))))),"Not Req.")</f>
        <v>Not Req.</v>
      </c>
      <c r="R85" s="163"/>
      <c r="S85" s="18"/>
      <c r="T85" s="18"/>
      <c r="U85" s="163"/>
      <c r="V85" s="163"/>
      <c r="W85" s="18"/>
      <c r="X85" s="163"/>
      <c r="Y85" s="163"/>
      <c r="Z85" s="18"/>
    </row>
    <row r="86" spans="1:26" s="10" customFormat="1" x14ac:dyDescent="0.25">
      <c r="A86" s="405" t="s">
        <v>404</v>
      </c>
      <c r="B86" s="371" t="str">
        <f>IF(Start!$C$15="x",IF(C86="NA","NA",(IF(C86="","",(IF(OR(F86="NA",F86=""),"No Criteria",(IF(AND(O86="NA",F86&lt;&gt;"NA",C86&lt;&gt;"NA"),                  "Missing Data",(IF(O86&lt;F86,"No",(IF(D86&gt;F86,"Caution",(IF(O86&gt;=F86,"Needed","No"))))))))))))),"---")</f>
        <v>---</v>
      </c>
      <c r="C86" s="372" t="str">
        <f>IF(TRUE=ISBLANK(ChemData!B86),"",(ChemData!B86))</f>
        <v/>
      </c>
      <c r="D86" s="373" t="str">
        <f>IF(TRUE=ISBLANK(ChemData!C86),"",(ChemData!C86))</f>
        <v/>
      </c>
      <c r="E86" s="374" t="str">
        <f>IF(TRUE=ISBLANK(ChemData!D86),"",(ChemData!D86))</f>
        <v/>
      </c>
      <c r="F86" s="289">
        <f>IF(TRUE=ISBLANK(ChemData!H86),"",(ChemData!H86))</f>
        <v>70</v>
      </c>
      <c r="G86" s="290">
        <f>IF(TRUE=ISBLANK(ChemData!Q86),"",(ChemData!Q86))</f>
        <v>0.40495467659306245</v>
      </c>
      <c r="H86" s="291">
        <f>IF(TRUE=ISBLANK(ChemData!S86),"",(ChemData!S86))</f>
        <v>1</v>
      </c>
      <c r="I86" s="375" t="str">
        <f>IF(Start!$C$15="x",(IF(OR(C86="NA",C86=""), "NA", (IF($H86 = "NA", "NA", ((C86*$H86)))))),"---")</f>
        <v>---</v>
      </c>
      <c r="J86" s="376" t="str">
        <f>IF(Start!$C$15="x",(IF(I86 = "NA", "NA", IF(OR(D86="NA",D86=""),"NA",(I86 +((Data!$D$19-Data!$D$22)/(Data!$D$19*Data!$D$22)*$D86))))),"---")</f>
        <v>---</v>
      </c>
      <c r="K86" s="376" t="str">
        <f>IF(Start!$C$15="x",(IF(J86="NA","NA",IF(OR(G86="NA",G86=""),"NA",(J86*(1-Data!$D$23)*Data!$D$14*1000)/(Data!$D$23+((1-Data!$D$23)*Data!$D$14*$G86))))),"---")</f>
        <v>---</v>
      </c>
      <c r="L86" s="376" t="str">
        <f>IF(Start!$C$15="x",(IF(I86="NA","NA",IF($G86 = "NA", "NA",(IF(OR(ChemData!U86="NA",ChemData!U86=""),I86/((Data!$D$18+((1-Data!$D$18)*Data!$D$14*$G86))/((1-Data!$D$18)*Data!$D$14*1000)),(IF(I86/((Data!$D$18+((1-Data!$D$18)*Data!$D$14*$G86))/((1-Data!$D$18)*Data!$D$14*1000))&gt;ChemData!U86, ChemData!U86, I86/((Data!$D$18+((1-Data!$D$18)*Data!$D$14*$G86))/((1-Data!$D$18)*Data!$D$14*1000))))))))),"---")</f>
        <v>---</v>
      </c>
      <c r="M86" s="376" t="str">
        <f>IF(Start!$C$15="x",(IF(L86="NA","NA",IF(OR(D86="NA",D86=""),"NA",(((Data!$D$22*Data!$D$18)*L86)+(Data!$D$19-Data!$D$22)*$D86)/((Data!$D$22*Data!$D$18)+Data!$D$19-Data!$D$22)))),"---")</f>
        <v>---</v>
      </c>
      <c r="N86" s="376" t="str">
        <f>IF(Start!$C$15="x",IF(K86 = "NA", "NA", (IF(M86 = "NA", "NA",(IF(OR(ChemData!U86="NA",ChemData!U86=""),(IF(K86&gt;M86,K86,M86)),(IF(K86&gt;M86,(IF(K86&gt;ChemData!U86, ChemData!U86, K86)),(IF(M86&gt;ChemData!U86,ChemData!U86,M86))))))))),"---")</f>
        <v>---</v>
      </c>
      <c r="O86" s="377" t="str">
        <f>IF(Start!$C$15="x",IF(N86 = "NA","NA", IF(OR(E86="NA",E86=""),"NA",(N86+(Data!$D$26*$E86))/(Data!$D$26+1))),"---")</f>
        <v>---</v>
      </c>
      <c r="P86" s="730">
        <f>IF(E86="",F86,IF($F86&lt;(1+(Data!$D$27/100))*$E86,(1+(Data!$D$27/100))*$E86,$F86))</f>
        <v>70</v>
      </c>
      <c r="Q86" s="343" t="str">
        <f>IF(Start!$C$15="x",(IF(C86="","",(IF(O86="NA","NA",IF(P86="NA","NA",IF(P86=0,"NA",(O86/P86))))))),"Not Req.")</f>
        <v>Not Req.</v>
      </c>
      <c r="R86" s="163"/>
      <c r="S86" s="18"/>
      <c r="T86" s="18"/>
      <c r="U86" s="163"/>
      <c r="V86" s="163"/>
      <c r="W86" s="18"/>
      <c r="X86" s="163"/>
      <c r="Y86" s="163"/>
      <c r="Z86" s="18"/>
    </row>
    <row r="87" spans="1:26" s="10" customFormat="1" x14ac:dyDescent="0.25">
      <c r="A87" s="405" t="s">
        <v>405</v>
      </c>
      <c r="B87" s="371" t="str">
        <f>IF(Start!$C$15="x",IF(C87="NA","NA",(IF(C87="","",(IF(OR(F87="NA",F87=""),"No Criteria",(IF(AND(O87="NA",F87&lt;&gt;"NA",C87&lt;&gt;"NA"),                  "Missing Data",(IF(O87&lt;F87,"No",(IF(D87&gt;F87,"Caution",(IF(O87&gt;=F87,"Needed","No"))))))))))))),"---")</f>
        <v>---</v>
      </c>
      <c r="C87" s="372" t="str">
        <f>IF(TRUE=ISBLANK(ChemData!B87),"",(ChemData!B87))</f>
        <v/>
      </c>
      <c r="D87" s="373" t="str">
        <f>IF(TRUE=ISBLANK(ChemData!C87),"",(ChemData!C87))</f>
        <v/>
      </c>
      <c r="E87" s="374" t="str">
        <f>IF(TRUE=ISBLANK(ChemData!D87),"",(ChemData!D87))</f>
        <v/>
      </c>
      <c r="F87" s="289">
        <f>IF(TRUE=ISBLANK(ChemData!H87),"",(ChemData!H87))</f>
        <v>740</v>
      </c>
      <c r="G87" s="290">
        <f>IF(TRUE=ISBLANK(ChemData!Q87),"",(ChemData!Q87))</f>
        <v>1.3721652566479994</v>
      </c>
      <c r="H87" s="291">
        <f>IF(TRUE=ISBLANK(ChemData!S87),"",(ChemData!S87))</f>
        <v>1</v>
      </c>
      <c r="I87" s="375" t="str">
        <f>IF(Start!$C$15="x",(IF(OR(C87="NA",C87=""), "NA", (IF($H87 = "NA", "NA", ((C87*$H87)))))),"---")</f>
        <v>---</v>
      </c>
      <c r="J87" s="376" t="str">
        <f>IF(Start!$C$15="x",(IF(I87 = "NA", "NA", IF(OR(D87="NA",D87=""),"NA",(I87 +((Data!$D$19-Data!$D$22)/(Data!$D$19*Data!$D$22)*$D87))))),"---")</f>
        <v>---</v>
      </c>
      <c r="K87" s="376" t="str">
        <f>IF(Start!$C$15="x",(IF(J87="NA","NA",IF(OR(G87="NA",G87=""),"NA",(J87*(1-Data!$D$23)*Data!$D$14*1000)/(Data!$D$23+((1-Data!$D$23)*Data!$D$14*$G87))))),"---")</f>
        <v>---</v>
      </c>
      <c r="L87" s="376" t="str">
        <f>IF(Start!$C$15="x",(IF(I87="NA","NA",IF($G87 = "NA", "NA",(IF(OR(ChemData!U87="NA",ChemData!U87=""),I87/((Data!$D$18+((1-Data!$D$18)*Data!$D$14*$G87))/((1-Data!$D$18)*Data!$D$14*1000)),(IF(I87/((Data!$D$18+((1-Data!$D$18)*Data!$D$14*$G87))/((1-Data!$D$18)*Data!$D$14*1000))&gt;ChemData!U87, ChemData!U87, I87/((Data!$D$18+((1-Data!$D$18)*Data!$D$14*$G87))/((1-Data!$D$18)*Data!$D$14*1000))))))))),"---")</f>
        <v>---</v>
      </c>
      <c r="M87" s="376" t="str">
        <f>IF(Start!$C$15="x",(IF(L87="NA","NA",IF(OR(D87="NA",D87=""),"NA",(((Data!$D$22*Data!$D$18)*L87)+(Data!$D$19-Data!$D$22)*$D87)/((Data!$D$22*Data!$D$18)+Data!$D$19-Data!$D$22)))),"---")</f>
        <v>---</v>
      </c>
      <c r="N87" s="376" t="str">
        <f>IF(Start!$C$15="x",IF(K87 = "NA", "NA", (IF(M87 = "NA", "NA",(IF(OR(ChemData!U87="NA",ChemData!U87=""),(IF(K87&gt;M87,K87,M87)),(IF(K87&gt;M87,(IF(K87&gt;ChemData!U87, ChemData!U87, K87)),(IF(M87&gt;ChemData!U87,ChemData!U87,M87))))))))),"---")</f>
        <v>---</v>
      </c>
      <c r="O87" s="377" t="str">
        <f>IF(Start!$C$15="x",IF(N87 = "NA","NA", IF(OR(E87="NA",E87=""),"NA",(N87+(Data!$D$26*$E87))/(Data!$D$26+1))),"---")</f>
        <v>---</v>
      </c>
      <c r="P87" s="730">
        <f>IF(E87="",F87,IF($F87&lt;(1+(Data!$D$27/100))*$E87,(1+(Data!$D$27/100))*$E87,$F87))</f>
        <v>740</v>
      </c>
      <c r="Q87" s="343" t="str">
        <f>IF(Start!$C$15="x",(IF(C87="","",(IF(O87="NA","NA",IF(P87="NA","NA",IF(P87=0,"NA",(O87/P87))))))),"Not Req.")</f>
        <v>Not Req.</v>
      </c>
      <c r="R87" s="163"/>
      <c r="S87" s="18"/>
      <c r="T87" s="18"/>
      <c r="U87" s="163"/>
      <c r="V87" s="163"/>
      <c r="W87" s="18"/>
      <c r="X87" s="163"/>
      <c r="Y87" s="163"/>
      <c r="Z87" s="18"/>
    </row>
    <row r="88" spans="1:26" s="10" customFormat="1" x14ac:dyDescent="0.25">
      <c r="A88" s="405" t="s">
        <v>406</v>
      </c>
      <c r="B88" s="371" t="str">
        <f>IF(Start!$C$15="x",IF(C88="NA","NA",(IF(C88="","",(IF(OR(F88="NA",F88=""),"No Criteria",(IF(AND(O88="NA",F88&lt;&gt;"NA",C88&lt;&gt;"NA"),                  "Missing Data",(IF(O88&lt;F88,"No",(IF(D88&gt;F88,"Caution",(IF(O88&gt;=F88,"Needed","No"))))))))))))),"---")</f>
        <v>---</v>
      </c>
      <c r="C88" s="372" t="str">
        <f>IF(TRUE=ISBLANK(ChemData!B88),"",(ChemData!B88))</f>
        <v/>
      </c>
      <c r="D88" s="373" t="str">
        <f>IF(TRUE=ISBLANK(ChemData!C88),"",(ChemData!C88))</f>
        <v/>
      </c>
      <c r="E88" s="374" t="str">
        <f>IF(TRUE=ISBLANK(ChemData!D88),"",(ChemData!D88))</f>
        <v/>
      </c>
      <c r="F88" s="289">
        <f>IF(TRUE=ISBLANK(ChemData!H88),"",(ChemData!H88))</f>
        <v>150</v>
      </c>
      <c r="G88" s="290">
        <f>IF(TRUE=ISBLANK(ChemData!Q88),"",(ChemData!Q88))</f>
        <v>0.23302709372310049</v>
      </c>
      <c r="H88" s="291">
        <f>IF(TRUE=ISBLANK(ChemData!S88),"",(ChemData!S88))</f>
        <v>1</v>
      </c>
      <c r="I88" s="375" t="str">
        <f>IF(Start!$C$15="x",(IF(OR(C88="NA",C88=""), "NA", (IF($H88 = "NA", "NA", ((C88*$H88)))))),"---")</f>
        <v>---</v>
      </c>
      <c r="J88" s="376" t="str">
        <f>IF(Start!$C$15="x",(IF(I88 = "NA", "NA", IF(OR(D88="NA",D88=""),"NA",(I88 +((Data!$D$19-Data!$D$22)/(Data!$D$19*Data!$D$22)*$D88))))),"---")</f>
        <v>---</v>
      </c>
      <c r="K88" s="376" t="str">
        <f>IF(Start!$C$15="x",(IF(J88="NA","NA",IF(OR(G88="NA",G88=""),"NA",(J88*(1-Data!$D$23)*Data!$D$14*1000)/(Data!$D$23+((1-Data!$D$23)*Data!$D$14*$G88))))),"---")</f>
        <v>---</v>
      </c>
      <c r="L88" s="376" t="str">
        <f>IF(Start!$C$15="x",(IF(I88="NA","NA",IF($G88 = "NA", "NA",(IF(OR(ChemData!U88="NA",ChemData!U88=""),I88/((Data!$D$18+((1-Data!$D$18)*Data!$D$14*$G88))/((1-Data!$D$18)*Data!$D$14*1000)),(IF(I88/((Data!$D$18+((1-Data!$D$18)*Data!$D$14*$G88))/((1-Data!$D$18)*Data!$D$14*1000))&gt;ChemData!U88, ChemData!U88, I88/((Data!$D$18+((1-Data!$D$18)*Data!$D$14*$G88))/((1-Data!$D$18)*Data!$D$14*1000))))))))),"---")</f>
        <v>---</v>
      </c>
      <c r="M88" s="376" t="str">
        <f>IF(Start!$C$15="x",(IF(L88="NA","NA",IF(OR(D88="NA",D88=""),"NA",(((Data!$D$22*Data!$D$18)*L88)+(Data!$D$19-Data!$D$22)*$D88)/((Data!$D$22*Data!$D$18)+Data!$D$19-Data!$D$22)))),"---")</f>
        <v>---</v>
      </c>
      <c r="N88" s="376" t="str">
        <f>IF(Start!$C$15="x",IF(K88 = "NA", "NA", (IF(M88 = "NA", "NA",(IF(OR(ChemData!U88="NA",ChemData!U88=""),(IF(K88&gt;M88,K88,M88)),(IF(K88&gt;M88,(IF(K88&gt;ChemData!U88, ChemData!U88, K88)),(IF(M88&gt;ChemData!U88,ChemData!U88,M88))))))))),"---")</f>
        <v>---</v>
      </c>
      <c r="O88" s="377" t="str">
        <f>IF(Start!$C$15="x",IF(N88 = "NA","NA", IF(OR(E88="NA",E88=""),"NA",(N88+(Data!$D$26*$E88))/(Data!$D$26+1))),"---")</f>
        <v>---</v>
      </c>
      <c r="P88" s="730">
        <f>IF(E88="",F88,IF($F88&lt;(1+(Data!$D$27/100))*$E88,(1+(Data!$D$27/100))*$E88,$F88))</f>
        <v>150</v>
      </c>
      <c r="Q88" s="343" t="str">
        <f>IF(Start!$C$15="x",(IF(C88="","",(IF(O88="NA","NA",IF(P88="NA","NA",IF(P88=0,"NA",(O88/P88))))))),"Not Req.")</f>
        <v>Not Req.</v>
      </c>
      <c r="R88" s="163"/>
      <c r="S88" s="18"/>
      <c r="T88" s="18"/>
      <c r="U88" s="163"/>
      <c r="V88" s="163"/>
      <c r="W88" s="18"/>
      <c r="X88" s="163"/>
      <c r="Y88" s="163"/>
      <c r="Z88" s="18"/>
    </row>
    <row r="89" spans="1:26" s="10" customFormat="1" x14ac:dyDescent="0.25">
      <c r="A89" s="405" t="s">
        <v>407</v>
      </c>
      <c r="B89" s="371" t="str">
        <f>IF(Start!$C$15="x",IF(C89="NA","NA",(IF(C89="","",(IF(OR(F89="NA",F89=""),"No Criteria",(IF(AND(O89="NA",F89&lt;&gt;"NA",C89&lt;&gt;"NA"),                  "Missing Data",(IF(O89&lt;F89,"No",(IF(D89&gt;F89,"Caution",(IF(O89&gt;=F89,"Needed","No"))))))))))))),"---")</f>
        <v>---</v>
      </c>
      <c r="C89" s="372" t="str">
        <f>IF(TRUE=ISBLANK(ChemData!B89),"",(ChemData!B89))</f>
        <v/>
      </c>
      <c r="D89" s="373" t="str">
        <f>IF(TRUE=ISBLANK(ChemData!C89),"",(ChemData!C89))</f>
        <v/>
      </c>
      <c r="E89" s="374" t="str">
        <f>IF(TRUE=ISBLANK(ChemData!D89),"",(ChemData!D89))</f>
        <v/>
      </c>
      <c r="F89" s="289" t="str">
        <f>IF(TRUE=ISBLANK(ChemData!H89),"",(ChemData!H89))</f>
        <v>NA</v>
      </c>
      <c r="G89" s="290">
        <f>IF(TRUE=ISBLANK(ChemData!Q89),"",(ChemData!Q89))</f>
        <v>1280.5791271709513</v>
      </c>
      <c r="H89" s="291">
        <f>IF(TRUE=ISBLANK(ChemData!S89),"",(ChemData!S89))</f>
        <v>1</v>
      </c>
      <c r="I89" s="375" t="str">
        <f>IF(Start!$C$15="x",(IF(OR(C89="NA",C89=""), "NA", (IF($H89 = "NA", "NA", ((C89*$H89)))))),"---")</f>
        <v>---</v>
      </c>
      <c r="J89" s="376" t="str">
        <f>IF(Start!$C$15="x",(IF(I89 = "NA", "NA", IF(OR(D89="NA",D89=""),"NA",(I89 +((Data!$D$19-Data!$D$22)/(Data!$D$19*Data!$D$22)*$D89))))),"---")</f>
        <v>---</v>
      </c>
      <c r="K89" s="376" t="str">
        <f>IF(Start!$C$15="x",(IF(J89="NA","NA",IF(OR(G89="NA",G89=""),"NA",(J89*(1-Data!$D$23)*Data!$D$14*1000)/(Data!$D$23+((1-Data!$D$23)*Data!$D$14*$G89))))),"---")</f>
        <v>---</v>
      </c>
      <c r="L89" s="376" t="str">
        <f>IF(Start!$C$15="x",(IF(I89="NA","NA",IF($G89 = "NA", "NA",(IF(OR(ChemData!U89="NA",ChemData!U89=""),I89/((Data!$D$18+((1-Data!$D$18)*Data!$D$14*$G89))/((1-Data!$D$18)*Data!$D$14*1000)),(IF(I89/((Data!$D$18+((1-Data!$D$18)*Data!$D$14*$G89))/((1-Data!$D$18)*Data!$D$14*1000))&gt;ChemData!U89, ChemData!U89, I89/((Data!$D$18+((1-Data!$D$18)*Data!$D$14*$G89))/((1-Data!$D$18)*Data!$D$14*1000))))))))),"---")</f>
        <v>---</v>
      </c>
      <c r="M89" s="376" t="str">
        <f>IF(Start!$C$15="x",(IF(L89="NA","NA",IF(OR(D89="NA",D89=""),"NA",(((Data!$D$22*Data!$D$18)*L89)+(Data!$D$19-Data!$D$22)*$D89)/((Data!$D$22*Data!$D$18)+Data!$D$19-Data!$D$22)))),"---")</f>
        <v>---</v>
      </c>
      <c r="N89" s="376" t="str">
        <f>IF(Start!$C$15="x",IF(K89 = "NA", "NA", (IF(M89 = "NA", "NA",(IF(OR(ChemData!U89="NA",ChemData!U89=""),(IF(K89&gt;M89,K89,M89)),(IF(K89&gt;M89,(IF(K89&gt;ChemData!U89, ChemData!U89, K89)),(IF(M89&gt;ChemData!U89,ChemData!U89,M89))))))))),"---")</f>
        <v>---</v>
      </c>
      <c r="O89" s="377" t="str">
        <f>IF(Start!$C$15="x",IF(N89 = "NA","NA", IF(OR(E89="NA",E89=""),"NA",(N89+(Data!$D$26*$E89))/(Data!$D$26+1))),"---")</f>
        <v>---</v>
      </c>
      <c r="P89" s="730" t="str">
        <f>IF(E89="",F89,IF($F89&lt;(1+(Data!$D$27/100))*$E89,(1+(Data!$D$27/100))*$E89,$F89))</f>
        <v>NA</v>
      </c>
      <c r="Q89" s="343" t="str">
        <f>IF(Start!$C$15="x",(IF(C89="","",(IF(O89="NA","NA",IF(P89="NA","NA",IF(P89=0,"NA",(O89/P89))))))),"Not Req.")</f>
        <v>Not Req.</v>
      </c>
      <c r="R89" s="163"/>
      <c r="S89" s="18"/>
      <c r="T89" s="18"/>
      <c r="U89" s="163"/>
      <c r="V89" s="163"/>
      <c r="W89" s="18"/>
      <c r="X89" s="163"/>
      <c r="Y89" s="163"/>
      <c r="Z89" s="18"/>
    </row>
    <row r="90" spans="1:26" s="10" customFormat="1" x14ac:dyDescent="0.25">
      <c r="A90" s="405" t="s">
        <v>408</v>
      </c>
      <c r="B90" s="371" t="str">
        <f>IF(Start!$C$15="x",IF(C90="NA","NA",(IF(C90="","",(IF(OR(F90="NA",F90=""),"No Criteria",(IF(AND(O90="NA",F90&lt;&gt;"NA",C90&lt;&gt;"NA"),                  "Missing Data",(IF(O90&lt;F90,"No",(IF(D90&gt;F90,"Caution",(IF(O90&gt;=F90,"Needed","No"))))))))))))),"---")</f>
        <v>---</v>
      </c>
      <c r="C90" s="372" t="str">
        <f>IF(TRUE=ISBLANK(ChemData!B90),"",(ChemData!B90))</f>
        <v/>
      </c>
      <c r="D90" s="373" t="str">
        <f>IF(TRUE=ISBLANK(ChemData!C90),"",(ChemData!C90))</f>
        <v/>
      </c>
      <c r="E90" s="374" t="str">
        <f>IF(TRUE=ISBLANK(ChemData!D90),"",(ChemData!D90))</f>
        <v/>
      </c>
      <c r="F90" s="289" t="str">
        <f>IF(TRUE=ISBLANK(ChemData!H90),"",(ChemData!H90))</f>
        <v>NA</v>
      </c>
      <c r="G90" s="290">
        <f>IF(TRUE=ISBLANK(ChemData!Q90),"",(ChemData!Q90))</f>
        <v>1851</v>
      </c>
      <c r="H90" s="291">
        <f>IF(TRUE=ISBLANK(ChemData!S90),"",(ChemData!S90))</f>
        <v>1</v>
      </c>
      <c r="I90" s="375" t="str">
        <f>IF(Start!$C$15="x",(IF(OR(C90="NA",C90=""), "NA", (IF($H90 = "NA", "NA", ((C90*$H90)))))),"---")</f>
        <v>---</v>
      </c>
      <c r="J90" s="376" t="str">
        <f>IF(Start!$C$15="x",(IF(I90 = "NA", "NA", IF(OR(D90="NA",D90=""),"NA",(I90 +((Data!$D$19-Data!$D$22)/(Data!$D$19*Data!$D$22)*$D90))))),"---")</f>
        <v>---</v>
      </c>
      <c r="K90" s="376" t="str">
        <f>IF(Start!$C$15="x",(IF(J90="NA","NA",IF(OR(G90="NA",G90=""),"NA",(J90*(1-Data!$D$23)*Data!$D$14*1000)/(Data!$D$23+((1-Data!$D$23)*Data!$D$14*$G90))))),"---")</f>
        <v>---</v>
      </c>
      <c r="L90" s="376" t="str">
        <f>IF(Start!$C$15="x",(IF(I90="NA","NA",IF($G90 = "NA", "NA",(IF(OR(ChemData!U90="NA",ChemData!U90=""),I90/((Data!$D$18+((1-Data!$D$18)*Data!$D$14*$G90))/((1-Data!$D$18)*Data!$D$14*1000)),(IF(I90/((Data!$D$18+((1-Data!$D$18)*Data!$D$14*$G90))/((1-Data!$D$18)*Data!$D$14*1000))&gt;ChemData!U90, ChemData!U90, I90/((Data!$D$18+((1-Data!$D$18)*Data!$D$14*$G90))/((1-Data!$D$18)*Data!$D$14*1000))))))))),"---")</f>
        <v>---</v>
      </c>
      <c r="M90" s="376" t="str">
        <f>IF(Start!$C$15="x",(IF(L90="NA","NA",IF(OR(D90="NA",D90=""),"NA",(((Data!$D$22*Data!$D$18)*L90)+(Data!$D$19-Data!$D$22)*$D90)/((Data!$D$22*Data!$D$18)+Data!$D$19-Data!$D$22)))),"---")</f>
        <v>---</v>
      </c>
      <c r="N90" s="376" t="str">
        <f>IF(Start!$C$15="x",IF(K90 = "NA", "NA", (IF(M90 = "NA", "NA",(IF(OR(ChemData!U90="NA",ChemData!U90=""),(IF(K90&gt;M90,K90,M90)),(IF(K90&gt;M90,(IF(K90&gt;ChemData!U90, ChemData!U90, K90)),(IF(M90&gt;ChemData!U90,ChemData!U90,M90))))))))),"---")</f>
        <v>---</v>
      </c>
      <c r="O90" s="377" t="str">
        <f>IF(Start!$C$15="x",IF(N90 = "NA","NA", IF(OR(E90="NA",E90=""),"NA",(N90+(Data!$D$26*$E90))/(Data!$D$26+1))),"---")</f>
        <v>---</v>
      </c>
      <c r="P90" s="730" t="str">
        <f>IF(E90="",F90,IF($F90&lt;(1+(Data!$D$27/100))*$E90,(1+(Data!$D$27/100))*$E90,$F90))</f>
        <v>NA</v>
      </c>
      <c r="Q90" s="343" t="str">
        <f>IF(Start!$C$15="x",(IF(C90="","",(IF(O90="NA","NA",IF(P90="NA","NA",IF(P90=0,"NA",(O90/P90))))))),"Not Req.")</f>
        <v>Not Req.</v>
      </c>
      <c r="R90" s="163"/>
      <c r="S90" s="18"/>
      <c r="T90" s="18"/>
      <c r="U90" s="163"/>
      <c r="V90" s="163"/>
      <c r="W90" s="18"/>
      <c r="X90" s="163"/>
      <c r="Y90" s="163"/>
      <c r="Z90" s="18"/>
    </row>
    <row r="91" spans="1:26" s="10" customFormat="1" x14ac:dyDescent="0.25">
      <c r="A91" s="405" t="s">
        <v>409</v>
      </c>
      <c r="B91" s="371" t="str">
        <f>IF(Start!$C$15="x",IF(C91="NA","NA",(IF(C91="","",(IF(OR(F91="NA",F91=""),"No Criteria",(IF(AND(O91="NA",F91&lt;&gt;"NA",C91&lt;&gt;"NA"),                  "Missing Data",(IF(O91&lt;F91,"No",(IF(D91&gt;F91,"Caution",(IF(O91&gt;=F91,"Needed","No"))))))))))))),"---")</f>
        <v>---</v>
      </c>
      <c r="C91" s="372" t="str">
        <f>IF(TRUE=ISBLANK(ChemData!B91),"",(ChemData!B91))</f>
        <v/>
      </c>
      <c r="D91" s="373" t="str">
        <f>IF(TRUE=ISBLANK(ChemData!C91),"",(ChemData!C91))</f>
        <v/>
      </c>
      <c r="E91" s="374" t="str">
        <f>IF(TRUE=ISBLANK(ChemData!D91),"",(ChemData!D91))</f>
        <v/>
      </c>
      <c r="F91" s="289" t="str">
        <f>IF(TRUE=ISBLANK(ChemData!H91),"",(ChemData!H91))</f>
        <v>NA</v>
      </c>
      <c r="G91" s="290">
        <f>IF(TRUE=ISBLANK(ChemData!Q91),"",(ChemData!Q91))</f>
        <v>0.19833822339948104</v>
      </c>
      <c r="H91" s="291">
        <f>IF(TRUE=ISBLANK(ChemData!S91),"",(ChemData!S91))</f>
        <v>1</v>
      </c>
      <c r="I91" s="375" t="str">
        <f>IF(Start!$C$15="x",(IF(OR(C91="NA",C91=""), "NA", (IF($H91 = "NA", "NA", ((C91*$H91)))))),"---")</f>
        <v>---</v>
      </c>
      <c r="J91" s="376" t="str">
        <f>IF(Start!$C$15="x",(IF(I91 = "NA", "NA", IF(OR(D91="NA",D91=""),"NA",(I91 +((Data!$D$19-Data!$D$22)/(Data!$D$19*Data!$D$22)*$D91))))),"---")</f>
        <v>---</v>
      </c>
      <c r="K91" s="376" t="str">
        <f>IF(Start!$C$15="x",(IF(J91="NA","NA",IF(OR(G91="NA",G91=""),"NA",(J91*(1-Data!$D$23)*Data!$D$14*1000)/(Data!$D$23+((1-Data!$D$23)*Data!$D$14*$G91))))),"---")</f>
        <v>---</v>
      </c>
      <c r="L91" s="376" t="str">
        <f>IF(Start!$C$15="x",(IF(I91="NA","NA",IF($G91 = "NA", "NA",(IF(OR(ChemData!U91="NA",ChemData!U91=""),I91/((Data!$D$18+((1-Data!$D$18)*Data!$D$14*$G91))/((1-Data!$D$18)*Data!$D$14*1000)),(IF(I91/((Data!$D$18+((1-Data!$D$18)*Data!$D$14*$G91))/((1-Data!$D$18)*Data!$D$14*1000))&gt;ChemData!U91, ChemData!U91, I91/((Data!$D$18+((1-Data!$D$18)*Data!$D$14*$G91))/((1-Data!$D$18)*Data!$D$14*1000))))))))),"---")</f>
        <v>---</v>
      </c>
      <c r="M91" s="376" t="str">
        <f>IF(Start!$C$15="x",(IF(L91="NA","NA",IF(OR(D91="NA",D91=""),"NA",(((Data!$D$22*Data!$D$18)*L91)+(Data!$D$19-Data!$D$22)*$D91)/((Data!$D$22*Data!$D$18)+Data!$D$19-Data!$D$22)))),"---")</f>
        <v>---</v>
      </c>
      <c r="N91" s="376" t="str">
        <f>IF(Start!$C$15="x",IF(K91 = "NA", "NA", (IF(M91 = "NA", "NA",(IF(OR(ChemData!U91="NA",ChemData!U91=""),(IF(K91&gt;M91,K91,M91)),(IF(K91&gt;M91,(IF(K91&gt;ChemData!U91, ChemData!U91, K91)),(IF(M91&gt;ChemData!U91,ChemData!U91,M91))))))))),"---")</f>
        <v>---</v>
      </c>
      <c r="O91" s="377" t="str">
        <f>IF(Start!$C$15="x",IF(N91 = "NA","NA", IF(OR(E91="NA",E91=""),"NA",(N91+(Data!$D$26*$E91))/(Data!$D$26+1))),"---")</f>
        <v>---</v>
      </c>
      <c r="P91" s="730" t="str">
        <f>IF(E91="",F91,IF($F91&lt;(1+(Data!$D$27/100))*$E91,(1+(Data!$D$27/100))*$E91,$F91))</f>
        <v>NA</v>
      </c>
      <c r="Q91" s="343" t="str">
        <f>IF(Start!$C$15="x",(IF(C91="","",(IF(O91="NA","NA",IF(P91="NA","NA",IF(P91=0,"NA",(O91/P91))))))),"Not Req.")</f>
        <v>Not Req.</v>
      </c>
      <c r="R91" s="163"/>
      <c r="S91" s="18"/>
      <c r="T91" s="18"/>
      <c r="U91" s="163"/>
      <c r="V91" s="163"/>
      <c r="W91" s="18"/>
      <c r="X91" s="163"/>
      <c r="Y91" s="163"/>
      <c r="Z91" s="18"/>
    </row>
    <row r="92" spans="1:26" s="10" customFormat="1" x14ac:dyDescent="0.25">
      <c r="A92" s="405" t="s">
        <v>410</v>
      </c>
      <c r="B92" s="371" t="str">
        <f>IF(Start!$C$15="x",IF(C92="NA","NA",(IF(C92="","",(IF(OR(F92="NA",F92=""),"No Criteria",(IF(AND(O92="NA",F92&lt;&gt;"NA",C92&lt;&gt;"NA"),                  "Missing Data",(IF(O92&lt;F92,"No",(IF(D92&gt;F92,"Caution",(IF(O92&gt;=F92,"Needed","No"))))))))))))),"---")</f>
        <v>---</v>
      </c>
      <c r="C92" s="372" t="str">
        <f>IF(TRUE=ISBLANK(ChemData!B92),"",(ChemData!B92))</f>
        <v/>
      </c>
      <c r="D92" s="373" t="str">
        <f>IF(TRUE=ISBLANK(ChemData!C92),"",(ChemData!C92))</f>
        <v/>
      </c>
      <c r="E92" s="374" t="str">
        <f>IF(TRUE=ISBLANK(ChemData!D92),"",(ChemData!D92))</f>
        <v/>
      </c>
      <c r="F92" s="289" t="str">
        <f>IF(TRUE=ISBLANK(ChemData!H92),"",(ChemData!H92))</f>
        <v>NA</v>
      </c>
      <c r="G92" s="290">
        <f>IF(TRUE=ISBLANK(ChemData!Q92),"",(ChemData!Q92))</f>
        <v>0.30019704902113792</v>
      </c>
      <c r="H92" s="291">
        <f>IF(TRUE=ISBLANK(ChemData!S92),"",(ChemData!S92))</f>
        <v>1</v>
      </c>
      <c r="I92" s="375" t="str">
        <f>IF(Start!$C$15="x",(IF(OR(C92="NA",C92=""), "NA", (IF($H92 = "NA", "NA", ((C92*$H92)))))),"---")</f>
        <v>---</v>
      </c>
      <c r="J92" s="376" t="str">
        <f>IF(Start!$C$15="x",(IF(I92 = "NA", "NA", IF(OR(D92="NA",D92=""),"NA",(I92 +((Data!$D$19-Data!$D$22)/(Data!$D$19*Data!$D$22)*$D92))))),"---")</f>
        <v>---</v>
      </c>
      <c r="K92" s="376" t="str">
        <f>IF(Start!$C$15="x",(IF(J92="NA","NA",IF(OR(G92="NA",G92=""),"NA",(J92*(1-Data!$D$23)*Data!$D$14*1000)/(Data!$D$23+((1-Data!$D$23)*Data!$D$14*$G92))))),"---")</f>
        <v>---</v>
      </c>
      <c r="L92" s="376" t="str">
        <f>IF(Start!$C$15="x",(IF(I92="NA","NA",IF($G92 = "NA", "NA",(IF(OR(ChemData!U92="NA",ChemData!U92=""),I92/((Data!$D$18+((1-Data!$D$18)*Data!$D$14*$G92))/((1-Data!$D$18)*Data!$D$14*1000)),(IF(I92/((Data!$D$18+((1-Data!$D$18)*Data!$D$14*$G92))/((1-Data!$D$18)*Data!$D$14*1000))&gt;ChemData!U92, ChemData!U92, I92/((Data!$D$18+((1-Data!$D$18)*Data!$D$14*$G92))/((1-Data!$D$18)*Data!$D$14*1000))))))))),"---")</f>
        <v>---</v>
      </c>
      <c r="M92" s="376" t="str">
        <f>IF(Start!$C$15="x",(IF(L92="NA","NA",IF(OR(D92="NA",D92=""),"NA",(((Data!$D$22*Data!$D$18)*L92)+(Data!$D$19-Data!$D$22)*$D92)/((Data!$D$22*Data!$D$18)+Data!$D$19-Data!$D$22)))),"---")</f>
        <v>---</v>
      </c>
      <c r="N92" s="376" t="str">
        <f>IF(Start!$C$15="x",IF(K92 = "NA", "NA", (IF(M92 = "NA", "NA",(IF(OR(ChemData!U92="NA",ChemData!U92=""),(IF(K92&gt;M92,K92,M92)),(IF(K92&gt;M92,(IF(K92&gt;ChemData!U92, ChemData!U92, K92)),(IF(M92&gt;ChemData!U92,ChemData!U92,M92))))))))),"---")</f>
        <v>---</v>
      </c>
      <c r="O92" s="377" t="str">
        <f>IF(Start!$C$15="x",IF(N92 = "NA","NA", IF(OR(E92="NA",E92=""),"NA",(N92+(Data!$D$26*$E92))/(Data!$D$26+1))),"---")</f>
        <v>---</v>
      </c>
      <c r="P92" s="730" t="str">
        <f>IF(E92="",F92,IF($F92&lt;(1+(Data!$D$27/100))*$E92,(1+(Data!$D$27/100))*$E92,$F92))</f>
        <v>NA</v>
      </c>
      <c r="Q92" s="343" t="str">
        <f>IF(Start!$C$15="x",(IF(C92="","",(IF(O92="NA","NA",IF(P92="NA","NA",IF(P92=0,"NA",(O92/P92))))))),"Not Req.")</f>
        <v>Not Req.</v>
      </c>
      <c r="R92" s="163"/>
      <c r="S92" s="18"/>
      <c r="T92" s="18"/>
      <c r="U92" s="163"/>
      <c r="V92" s="163"/>
      <c r="W92" s="18"/>
      <c r="X92" s="18"/>
      <c r="Y92" s="163"/>
      <c r="Z92" s="18"/>
    </row>
    <row r="93" spans="1:26" s="10" customFormat="1" x14ac:dyDescent="0.25">
      <c r="A93" s="405" t="s">
        <v>411</v>
      </c>
      <c r="B93" s="371" t="str">
        <f>IF(Start!$C$15="x",IF(C93="NA","NA",(IF(C93="","",(IF(OR(F93="NA",F93=""),"No Criteria",(IF(AND(O93="NA",F93&lt;&gt;"NA",C93&lt;&gt;"NA"),                  "Missing Data",(IF(O93&lt;F93,"No",(IF(D93&gt;F93,"Caution",(IF(O93&gt;=F93,"Needed","No"))))))))))))),"---")</f>
        <v>---</v>
      </c>
      <c r="C93" s="372" t="str">
        <f>IF(TRUE=ISBLANK(ChemData!B93),"",(ChemData!B93))</f>
        <v/>
      </c>
      <c r="D93" s="373" t="str">
        <f>IF(TRUE=ISBLANK(ChemData!C93),"",(ChemData!C93))</f>
        <v/>
      </c>
      <c r="E93" s="374" t="str">
        <f>IF(TRUE=ISBLANK(ChemData!D93),"",(ChemData!D93))</f>
        <v/>
      </c>
      <c r="F93" s="289" t="str">
        <f>IF(TRUE=ISBLANK(ChemData!H93),"",(ChemData!H93))</f>
        <v>NA</v>
      </c>
      <c r="G93" s="290">
        <f>IF(TRUE=ISBLANK(ChemData!Q93),"",(ChemData!Q93))</f>
        <v>7.0373057258935958</v>
      </c>
      <c r="H93" s="291">
        <f>IF(TRUE=ISBLANK(ChemData!S93),"",(ChemData!S93))</f>
        <v>1</v>
      </c>
      <c r="I93" s="375" t="str">
        <f>IF(Start!$C$15="x",(IF(OR(C93="NA",C93=""), "NA", (IF($H93 = "NA", "NA", ((C93*$H93)))))),"---")</f>
        <v>---</v>
      </c>
      <c r="J93" s="376" t="str">
        <f>IF(Start!$C$15="x",(IF(I93 = "NA", "NA", IF(OR(D93="NA",D93=""),"NA",(I93 +((Data!$D$19-Data!$D$22)/(Data!$D$19*Data!$D$22)*$D93))))),"---")</f>
        <v>---</v>
      </c>
      <c r="K93" s="376" t="str">
        <f>IF(Start!$C$15="x",(IF(J93="NA","NA",IF(OR(G93="NA",G93=""),"NA",(J93*(1-Data!$D$23)*Data!$D$14*1000)/(Data!$D$23+((1-Data!$D$23)*Data!$D$14*$G93))))),"---")</f>
        <v>---</v>
      </c>
      <c r="L93" s="376" t="str">
        <f>IF(Start!$C$15="x",(IF(I93="NA","NA",IF($G93 = "NA", "NA",(IF(OR(ChemData!U93="NA",ChemData!U93=""),I93/((Data!$D$18+((1-Data!$D$18)*Data!$D$14*$G93))/((1-Data!$D$18)*Data!$D$14*1000)),(IF(I93/((Data!$D$18+((1-Data!$D$18)*Data!$D$14*$G93))/((1-Data!$D$18)*Data!$D$14*1000))&gt;ChemData!U93, ChemData!U93, I93/((Data!$D$18+((1-Data!$D$18)*Data!$D$14*$G93))/((1-Data!$D$18)*Data!$D$14*1000))))))))),"---")</f>
        <v>---</v>
      </c>
      <c r="M93" s="376" t="str">
        <f>IF(Start!$C$15="x",(IF(L93="NA","NA",IF(OR(D93="NA",D93=""),"NA",(((Data!$D$22*Data!$D$18)*L93)+(Data!$D$19-Data!$D$22)*$D93)/((Data!$D$22*Data!$D$18)+Data!$D$19-Data!$D$22)))),"---")</f>
        <v>---</v>
      </c>
      <c r="N93" s="376" t="str">
        <f>IF(Start!$C$15="x",IF(K93 = "NA", "NA", (IF(M93 = "NA", "NA",(IF(OR(ChemData!U93="NA",ChemData!U93=""),(IF(K93&gt;M93,K93,M93)),(IF(K93&gt;M93,(IF(K93&gt;ChemData!U93, ChemData!U93, K93)),(IF(M93&gt;ChemData!U93,ChemData!U93,M93))))))))),"---")</f>
        <v>---</v>
      </c>
      <c r="O93" s="377" t="str">
        <f>IF(Start!$C$15="x",IF(N93 = "NA","NA", IF(OR(E93="NA",E93=""),"NA",(N93+(Data!$D$26*$E93))/(Data!$D$26+1))),"---")</f>
        <v>---</v>
      </c>
      <c r="P93" s="730" t="str">
        <f>IF(E93="",F93,IF($F93&lt;(1+(Data!$D$27/100))*$E93,(1+(Data!$D$27/100))*$E93,$F93))</f>
        <v>NA</v>
      </c>
      <c r="Q93" s="343" t="str">
        <f>IF(Start!$C$15="x",(IF(C93="","",(IF(O93="NA","NA",IF(P93="NA","NA",IF(P93=0,"NA",(O93/P93))))))),"Not Req.")</f>
        <v>Not Req.</v>
      </c>
      <c r="R93" s="163"/>
      <c r="S93" s="18"/>
      <c r="T93" s="18"/>
      <c r="U93" s="163"/>
      <c r="V93" s="163"/>
      <c r="W93" s="18"/>
      <c r="X93" s="18"/>
      <c r="Y93" s="163"/>
      <c r="Z93" s="18"/>
    </row>
    <row r="94" spans="1:26" s="10" customFormat="1" x14ac:dyDescent="0.25">
      <c r="A94" s="405" t="s">
        <v>412</v>
      </c>
      <c r="B94" s="371" t="str">
        <f>IF(Start!$C$15="x",IF(C94="NA","NA",(IF(C94="","",(IF(OR(F94="NA",F94=""),"No Criteria",(IF(AND(O94="NA",F94&lt;&gt;"NA",C94&lt;&gt;"NA"),                  "Missing Data",(IF(O94&lt;F94,"No",(IF(D94&gt;F94,"Caution",(IF(O94&gt;=F94,"Needed","No"))))))))))))),"---")</f>
        <v>---</v>
      </c>
      <c r="C94" s="372" t="str">
        <f>IF(TRUE=ISBLANK(ChemData!B94),"",(ChemData!B94))</f>
        <v/>
      </c>
      <c r="D94" s="373" t="str">
        <f>IF(TRUE=ISBLANK(ChemData!C94),"",(ChemData!C94))</f>
        <v/>
      </c>
      <c r="E94" s="374" t="str">
        <f>IF(TRUE=ISBLANK(ChemData!D94),"",(ChemData!D94))</f>
        <v/>
      </c>
      <c r="F94" s="289">
        <f>IF(TRUE=ISBLANK(ChemData!H94),"",(ChemData!H94))</f>
        <v>27</v>
      </c>
      <c r="G94" s="290">
        <f>IF(TRUE=ISBLANK(ChemData!Q94),"",(ChemData!Q94))</f>
        <v>369323.05450074008</v>
      </c>
      <c r="H94" s="291">
        <f>IF(TRUE=ISBLANK(ChemData!S94),"",(ChemData!S94))</f>
        <v>1</v>
      </c>
      <c r="I94" s="375" t="str">
        <f>IF(Start!$C$15="x",(IF(OR(C94="NA",C94=""), "NA", (IF($H94 = "NA", "NA", ((C94*$H94)))))),"---")</f>
        <v>---</v>
      </c>
      <c r="J94" s="376" t="str">
        <f>IF(Start!$C$15="x",(IF(I94 = "NA", "NA", IF(OR(D94="NA",D94=""),"NA",(I94 +((Data!$D$19-Data!$D$22)/(Data!$D$19*Data!$D$22)*$D94))))),"---")</f>
        <v>---</v>
      </c>
      <c r="K94" s="376" t="str">
        <f>IF(Start!$C$15="x",(IF(J94="NA","NA",IF(OR(G94="NA",G94=""),"NA",(J94*(1-Data!$D$23)*Data!$D$14*1000)/(Data!$D$23+((1-Data!$D$23)*Data!$D$14*$G94))))),"---")</f>
        <v>---</v>
      </c>
      <c r="L94" s="376" t="str">
        <f>IF(Start!$C$15="x",(IF(I94="NA","NA",IF($G94 = "NA", "NA",(IF(OR(ChemData!U94="NA",ChemData!U94=""),I94/((Data!$D$18+((1-Data!$D$18)*Data!$D$14*$G94))/((1-Data!$D$18)*Data!$D$14*1000)),(IF(I94/((Data!$D$18+((1-Data!$D$18)*Data!$D$14*$G94))/((1-Data!$D$18)*Data!$D$14*1000))&gt;ChemData!U94, ChemData!U94, I94/((Data!$D$18+((1-Data!$D$18)*Data!$D$14*$G94))/((1-Data!$D$18)*Data!$D$14*1000))))))))),"---")</f>
        <v>---</v>
      </c>
      <c r="M94" s="376" t="str">
        <f>IF(Start!$C$15="x",(IF(L94="NA","NA",IF(OR(D94="NA",D94=""),"NA",(((Data!$D$22*Data!$D$18)*L94)+(Data!$D$19-Data!$D$22)*$D94)/((Data!$D$22*Data!$D$18)+Data!$D$19-Data!$D$22)))),"---")</f>
        <v>---</v>
      </c>
      <c r="N94" s="376" t="str">
        <f>IF(Start!$C$15="x",IF(K94 = "NA", "NA", (IF(M94 = "NA", "NA",(IF(OR(ChemData!U94="NA",ChemData!U94=""),(IF(K94&gt;M94,K94,M94)),(IF(K94&gt;M94,(IF(K94&gt;ChemData!U94, ChemData!U94, K94)),(IF(M94&gt;ChemData!U94,ChemData!U94,M94))))))))),"---")</f>
        <v>---</v>
      </c>
      <c r="O94" s="377" t="str">
        <f>IF(Start!$C$15="x",IF(N94 = "NA","NA", IF(OR(E94="NA",E94=""),"NA",(N94+(Data!$D$26*$E94))/(Data!$D$26+1))),"---")</f>
        <v>---</v>
      </c>
      <c r="P94" s="730">
        <f>IF(E94="",F94,IF($F94&lt;(1+(Data!$D$27/100))*$E94,(1+(Data!$D$27/100))*$E94,$F94))</f>
        <v>27</v>
      </c>
      <c r="Q94" s="343" t="str">
        <f>IF(Start!$C$15="x",(IF(C94="","",(IF(O94="NA","NA",IF(P94="NA","NA",IF(P94=0,"NA",(O94/P94))))))),"Not Req.")</f>
        <v>Not Req.</v>
      </c>
      <c r="R94" s="163"/>
      <c r="S94" s="18"/>
      <c r="T94" s="18"/>
      <c r="U94" s="163"/>
      <c r="V94" s="163"/>
      <c r="W94" s="18"/>
      <c r="X94" s="163"/>
      <c r="Y94" s="163"/>
      <c r="Z94" s="18"/>
    </row>
    <row r="95" spans="1:26" s="10" customFormat="1" x14ac:dyDescent="0.25">
      <c r="A95" s="405" t="s">
        <v>413</v>
      </c>
      <c r="B95" s="371" t="str">
        <f>IF(Start!$C$15="x",IF(C95="NA","NA",(IF(C95="","",(IF(OR(F95="NA",F95=""),"No Criteria",(IF(AND(O95="NA",F95&lt;&gt;"NA",C95&lt;&gt;"NA"),                  "Missing Data",(IF(O95&lt;F95,"No",(IF(D95&gt;F95,"Caution",(IF(O95&gt;=F95,"Needed","No"))))))))))))),"---")</f>
        <v>---</v>
      </c>
      <c r="C95" s="372" t="str">
        <f>IF(TRUE=ISBLANK(ChemData!B95),"",(ChemData!B95))</f>
        <v/>
      </c>
      <c r="D95" s="373" t="str">
        <f>IF(TRUE=ISBLANK(ChemData!C95),"",(ChemData!C95))</f>
        <v/>
      </c>
      <c r="E95" s="374" t="str">
        <f>IF(TRUE=ISBLANK(ChemData!D95),"",(ChemData!D95))</f>
        <v/>
      </c>
      <c r="F95" s="289" t="str">
        <f>IF(TRUE=ISBLANK(ChemData!H95),"",(ChemData!H95))</f>
        <v>NA</v>
      </c>
      <c r="G95" s="290">
        <f>IF(TRUE=ISBLANK(ChemData!Q95),"",(ChemData!Q95))</f>
        <v>1.1951059779431472E-2</v>
      </c>
      <c r="H95" s="291">
        <f>IF(TRUE=ISBLANK(ChemData!S95),"",(ChemData!S95))</f>
        <v>1</v>
      </c>
      <c r="I95" s="375" t="str">
        <f>IF(Start!$C$15="x",(IF(OR(C95="NA",C95=""), "NA", (IF($H95 = "NA", "NA", ((C95*$H95)))))),"---")</f>
        <v>---</v>
      </c>
      <c r="J95" s="376" t="str">
        <f>IF(Start!$C$15="x",(IF(I95 = "NA", "NA", IF(OR(D95="NA",D95=""),"NA",(I95 +((Data!$D$19-Data!$D$22)/(Data!$D$19*Data!$D$22)*$D95))))),"---")</f>
        <v>---</v>
      </c>
      <c r="K95" s="376" t="str">
        <f>IF(Start!$C$15="x",(IF(J95="NA","NA",IF(OR(G95="NA",G95=""),"NA",(J95*(1-Data!$D$23)*Data!$D$14*1000)/(Data!$D$23+((1-Data!$D$23)*Data!$D$14*$G95))))),"---")</f>
        <v>---</v>
      </c>
      <c r="L95" s="376" t="str">
        <f>IF(Start!$C$15="x",(IF(I95="NA","NA",IF($G95 = "NA", "NA",(IF(OR(ChemData!U95="NA",ChemData!U95=""),I95/((Data!$D$18+((1-Data!$D$18)*Data!$D$14*$G95))/((1-Data!$D$18)*Data!$D$14*1000)),(IF(I95/((Data!$D$18+((1-Data!$D$18)*Data!$D$14*$G95))/((1-Data!$D$18)*Data!$D$14*1000))&gt;ChemData!U95, ChemData!U95, I95/((Data!$D$18+((1-Data!$D$18)*Data!$D$14*$G95))/((1-Data!$D$18)*Data!$D$14*1000))))))))),"---")</f>
        <v>---</v>
      </c>
      <c r="M95" s="376" t="str">
        <f>IF(Start!$C$15="x",(IF(L95="NA","NA",IF(OR(D95="NA",D95=""),"NA",(((Data!$D$22*Data!$D$18)*L95)+(Data!$D$19-Data!$D$22)*$D95)/((Data!$D$22*Data!$D$18)+Data!$D$19-Data!$D$22)))),"---")</f>
        <v>---</v>
      </c>
      <c r="N95" s="376" t="str">
        <f>IF(Start!$C$15="x",IF(K95 = "NA", "NA", (IF(M95 = "NA", "NA",(IF(OR(ChemData!U95="NA",ChemData!U95=""),(IF(K95&gt;M95,K95,M95)),(IF(K95&gt;M95,(IF(K95&gt;ChemData!U95, ChemData!U95, K95)),(IF(M95&gt;ChemData!U95,ChemData!U95,M95))))))))),"---")</f>
        <v>---</v>
      </c>
      <c r="O95" s="377" t="str">
        <f>IF(Start!$C$15="x",IF(N95 = "NA","NA", IF(OR(E95="NA",E95=""),"NA",(N95+(Data!$D$26*$E95))/(Data!$D$26+1))),"---")</f>
        <v>---</v>
      </c>
      <c r="P95" s="730" t="str">
        <f>IF(E95="",F95,IF($F95&lt;(1+(Data!$D$27/100))*$E95,(1+(Data!$D$27/100))*$E95,$F95))</f>
        <v>NA</v>
      </c>
      <c r="Q95" s="343" t="str">
        <f>IF(Start!$C$15="x",(IF(C95="","",(IF(O95="NA","NA",IF(P95="NA","NA",IF(P95=0,"NA",(O95/P95))))))),"Not Req.")</f>
        <v>Not Req.</v>
      </c>
      <c r="R95" s="163"/>
      <c r="S95" s="18"/>
      <c r="T95" s="18"/>
      <c r="U95" s="163"/>
      <c r="V95" s="163"/>
      <c r="W95" s="18"/>
      <c r="X95" s="163"/>
      <c r="Y95" s="163"/>
      <c r="Z95" s="18"/>
    </row>
    <row r="96" spans="1:26" s="10" customFormat="1" x14ac:dyDescent="0.25">
      <c r="A96" s="405" t="s">
        <v>666</v>
      </c>
      <c r="B96" s="371" t="str">
        <f>IF(Start!$C$15="x",IF(C96="NA","NA",(IF(C96="","",(IF(OR(F96="NA",F96=""),"No Criteria",(IF(AND(O96="NA",F96&lt;&gt;"NA",C96&lt;&gt;"NA"),                  "Missing Data",(IF(O96&lt;F96,"No",(IF(D96&gt;F96,"Caution",(IF(O96&gt;=F96,"Needed","No"))))))))))))),"---")</f>
        <v>---</v>
      </c>
      <c r="C96" s="372" t="str">
        <f>IF(TRUE=ISBLANK(ChemData!B96),"",(ChemData!B96))</f>
        <v/>
      </c>
      <c r="D96" s="373" t="str">
        <f>IF(TRUE=ISBLANK(ChemData!C96),"",(ChemData!C96))</f>
        <v/>
      </c>
      <c r="E96" s="374" t="str">
        <f>IF(TRUE=ISBLANK(ChemData!D96),"",(ChemData!D96))</f>
        <v/>
      </c>
      <c r="F96" s="289">
        <f>IF(TRUE=ISBLANK(ChemData!H96),"",(ChemData!H96))</f>
        <v>30</v>
      </c>
      <c r="G96" s="290">
        <f>IF(TRUE=ISBLANK(ChemData!Q96),"",(ChemData!Q96))</f>
        <v>23.302709372310051</v>
      </c>
      <c r="H96" s="291">
        <f>IF(TRUE=ISBLANK(ChemData!S96),"",(ChemData!S96))</f>
        <v>1</v>
      </c>
      <c r="I96" s="375" t="str">
        <f>IF(Start!$C$15="x",(IF(OR(C96="NA",C96=""), "NA", (IF($H96 = "NA", "NA", ((C96*$H96)))))),"---")</f>
        <v>---</v>
      </c>
      <c r="J96" s="376" t="str">
        <f>IF(Start!$C$15="x",(IF(I96 = "NA", "NA", IF(OR(D96="NA",D96=""),"NA",(I96 +((Data!$D$19-Data!$D$22)/(Data!$D$19*Data!$D$22)*$D96))))),"---")</f>
        <v>---</v>
      </c>
      <c r="K96" s="376" t="str">
        <f>IF(Start!$C$15="x",(IF(J96="NA","NA",IF(OR(G96="NA",G96=""),"NA",(J96*(1-Data!$D$23)*Data!$D$14*1000)/(Data!$D$23+((1-Data!$D$23)*Data!$D$14*$G96))))),"---")</f>
        <v>---</v>
      </c>
      <c r="L96" s="376" t="str">
        <f>IF(Start!$C$15="x",(IF(I96="NA","NA",IF($G96 = "NA", "NA",(IF(OR(ChemData!U96="NA",ChemData!U96=""),I96/((Data!$D$18+((1-Data!$D$18)*Data!$D$14*$G96))/((1-Data!$D$18)*Data!$D$14*1000)),(IF(I96/((Data!$D$18+((1-Data!$D$18)*Data!$D$14*$G96))/((1-Data!$D$18)*Data!$D$14*1000))&gt;ChemData!U96, ChemData!U96, I96/((Data!$D$18+((1-Data!$D$18)*Data!$D$14*$G96))/((1-Data!$D$18)*Data!$D$14*1000))))))))),"---")</f>
        <v>---</v>
      </c>
      <c r="M96" s="376" t="str">
        <f>IF(Start!$C$15="x",(IF(L96="NA","NA",IF(OR(D96="NA",D96=""),"NA",(((Data!$D$22*Data!$D$18)*L96)+(Data!$D$19-Data!$D$22)*$D96)/((Data!$D$22*Data!$D$18)+Data!$D$19-Data!$D$22)))),"---")</f>
        <v>---</v>
      </c>
      <c r="N96" s="376" t="str">
        <f>IF(Start!$C$15="x",IF(K96 = "NA", "NA", (IF(M96 = "NA", "NA",(IF(OR(ChemData!U96="NA",ChemData!U96=""),(IF(K96&gt;M96,K96,M96)),(IF(K96&gt;M96,(IF(K96&gt;ChemData!U96, ChemData!U96, K96)),(IF(M96&gt;ChemData!U96,ChemData!U96,M96))))))))),"---")</f>
        <v>---</v>
      </c>
      <c r="O96" s="377" t="str">
        <f>IF(Start!$C$15="x",IF(N96 = "NA","NA", IF(OR(E96="NA",E96=""),"NA",(N96+(Data!$D$26*$E96))/(Data!$D$26+1))),"---")</f>
        <v>---</v>
      </c>
      <c r="P96" s="730">
        <f>IF(E96="",F96,IF($F96&lt;(1+(Data!$D$27/100))*$E96,(1+(Data!$D$27/100))*$E96,$F96))</f>
        <v>30</v>
      </c>
      <c r="Q96" s="343" t="str">
        <f>IF(Start!$C$15="x",(IF(C96="","",(IF(O96="NA","NA",IF(P96="NA","NA",IF(P96=0,"NA",(O96/P96))))))),"Not Req.")</f>
        <v>Not Req.</v>
      </c>
      <c r="R96" s="163"/>
      <c r="S96" s="18"/>
      <c r="T96" s="18"/>
      <c r="U96" s="163"/>
      <c r="V96" s="163"/>
      <c r="W96" s="18"/>
      <c r="X96" s="163"/>
      <c r="Y96" s="163"/>
      <c r="Z96" s="18"/>
    </row>
    <row r="97" spans="1:26" s="10" customFormat="1" x14ac:dyDescent="0.25">
      <c r="A97" s="405" t="s">
        <v>415</v>
      </c>
      <c r="B97" s="371" t="str">
        <f>IF(Start!$C$15="x",IF(C97="NA","NA",(IF(C97="","",(IF(OR(F97="NA",F97=""),"No Criteria",(IF(AND(O97="NA",F97&lt;&gt;"NA",C97&lt;&gt;"NA"),                  "Missing Data",(IF(O97&lt;F97,"No",(IF(D97&gt;F97,"Caution",(IF(O97&gt;=F97,"Needed","No"))))))))))))),"---")</f>
        <v>---</v>
      </c>
      <c r="C97" s="372" t="str">
        <f>IF(TRUE=ISBLANK(ChemData!B97),"",(ChemData!B97))</f>
        <v/>
      </c>
      <c r="D97" s="373" t="str">
        <f>IF(TRUE=ISBLANK(ChemData!C97),"",(ChemData!C97))</f>
        <v/>
      </c>
      <c r="E97" s="374" t="str">
        <f>IF(TRUE=ISBLANK(ChemData!D97),"",(ChemData!D97))</f>
        <v/>
      </c>
      <c r="F97" s="289" t="str">
        <f>IF(TRUE=ISBLANK(ChemData!H97),"",(ChemData!H97))</f>
        <v>NA</v>
      </c>
      <c r="G97" s="290">
        <f>IF(TRUE=ISBLANK(ChemData!Q97),"",(ChemData!Q97))</f>
        <v>1.3104076468950407</v>
      </c>
      <c r="H97" s="291">
        <f>IF(TRUE=ISBLANK(ChemData!S97),"",(ChemData!S97))</f>
        <v>1</v>
      </c>
      <c r="I97" s="375" t="str">
        <f>IF(Start!$C$15="x",(IF(OR(C97="NA",C97=""), "NA", (IF($H97 = "NA", "NA", ((C97*$H97)))))),"---")</f>
        <v>---</v>
      </c>
      <c r="J97" s="376" t="str">
        <f>IF(Start!$C$15="x",(IF(I97 = "NA", "NA", IF(OR(D97="NA",D97=""),"NA",(I97 +((Data!$D$19-Data!$D$22)/(Data!$D$19*Data!$D$22)*$D97))))),"---")</f>
        <v>---</v>
      </c>
      <c r="K97" s="376" t="str">
        <f>IF(Start!$C$15="x",(IF(J97="NA","NA",IF(OR(G97="NA",G97=""),"NA",(J97*(1-Data!$D$23)*Data!$D$14*1000)/(Data!$D$23+((1-Data!$D$23)*Data!$D$14*$G97))))),"---")</f>
        <v>---</v>
      </c>
      <c r="L97" s="376" t="str">
        <f>IF(Start!$C$15="x",(IF(I97="NA","NA",IF($G97 = "NA", "NA",(IF(OR(ChemData!U97="NA",ChemData!U97=""),I97/((Data!$D$18+((1-Data!$D$18)*Data!$D$14*$G97))/((1-Data!$D$18)*Data!$D$14*1000)),(IF(I97/((Data!$D$18+((1-Data!$D$18)*Data!$D$14*$G97))/((1-Data!$D$18)*Data!$D$14*1000))&gt;ChemData!U97, ChemData!U97, I97/((Data!$D$18+((1-Data!$D$18)*Data!$D$14*$G97))/((1-Data!$D$18)*Data!$D$14*1000))))))))),"---")</f>
        <v>---</v>
      </c>
      <c r="M97" s="376" t="str">
        <f>IF(Start!$C$15="x",(IF(L97="NA","NA",IF(OR(D97="NA",D97=""),"NA",(((Data!$D$22*Data!$D$18)*L97)+(Data!$D$19-Data!$D$22)*$D97)/((Data!$D$22*Data!$D$18)+Data!$D$19-Data!$D$22)))),"---")</f>
        <v>---</v>
      </c>
      <c r="N97" s="376" t="str">
        <f>IF(Start!$C$15="x",IF(K97 = "NA", "NA", (IF(M97 = "NA", "NA",(IF(OR(ChemData!U97="NA",ChemData!U97=""),(IF(K97&gt;M97,K97,M97)),(IF(K97&gt;M97,(IF(K97&gt;ChemData!U97, ChemData!U97, K97)),(IF(M97&gt;ChemData!U97,ChemData!U97,M97))))))))),"---")</f>
        <v>---</v>
      </c>
      <c r="O97" s="377" t="str">
        <f>IF(Start!$C$15="x",IF(N97 = "NA","NA", IF(OR(E97="NA",E97=""),"NA",(N97+(Data!$D$26*$E97))/(Data!$D$26+1))),"---")</f>
        <v>---</v>
      </c>
      <c r="P97" s="730" t="str">
        <f>IF(E97="",F97,IF($F97&lt;(1+(Data!$D$27/100))*$E97,(1+(Data!$D$27/100))*$E97,$F97))</f>
        <v>NA</v>
      </c>
      <c r="Q97" s="343" t="str">
        <f>IF(Start!$C$15="x",(IF(C97="","",(IF(O97="NA","NA",IF(P97="NA","NA",IF(P97=0,"NA",(O97/P97))))))),"Not Req.")</f>
        <v>Not Req.</v>
      </c>
      <c r="R97" s="163"/>
      <c r="S97" s="18"/>
      <c r="T97" s="18"/>
      <c r="U97" s="163"/>
      <c r="V97" s="163"/>
      <c r="W97" s="18"/>
      <c r="X97" s="163"/>
      <c r="Y97" s="163"/>
      <c r="Z97" s="18"/>
    </row>
    <row r="98" spans="1:26" s="10" customFormat="1" x14ac:dyDescent="0.25">
      <c r="A98" s="405" t="s">
        <v>416</v>
      </c>
      <c r="B98" s="371" t="str">
        <f>IF(Start!$C$15="x",IF(C98="NA","NA",(IF(C98="","",(IF(OR(F98="NA",F98=""),"No Criteria",(IF(AND(O98="NA",F98&lt;&gt;"NA",C98&lt;&gt;"NA"),                  "Missing Data",(IF(O98&lt;F98,"No",(IF(D98&gt;F98,"Caution",(IF(O98&gt;=F98,"Needed","No"))))))))))))),"---")</f>
        <v>---</v>
      </c>
      <c r="C98" s="372" t="str">
        <f>IF(TRUE=ISBLANK(ChemData!B98),"",(ChemData!B98))</f>
        <v/>
      </c>
      <c r="D98" s="373" t="str">
        <f>IF(TRUE=ISBLANK(ChemData!C98),"",(ChemData!C98))</f>
        <v/>
      </c>
      <c r="E98" s="374" t="str">
        <f>IF(TRUE=ISBLANK(ChemData!D98),"",(ChemData!D98))</f>
        <v/>
      </c>
      <c r="F98" s="289">
        <f>IF(TRUE=ISBLANK(ChemData!H98),"",(ChemData!H98))</f>
        <v>1600</v>
      </c>
      <c r="G98" s="290">
        <f>IF(TRUE=ISBLANK(ChemData!Q98),"",(ChemData!Q98))</f>
        <v>185.1</v>
      </c>
      <c r="H98" s="291">
        <f>IF(TRUE=ISBLANK(ChemData!S98),"",(ChemData!S98))</f>
        <v>1</v>
      </c>
      <c r="I98" s="375" t="str">
        <f>IF(Start!$C$15="x",(IF(OR(C98="NA",C98=""), "NA", (IF($H98 = "NA", "NA", ((C98*$H98)))))),"---")</f>
        <v>---</v>
      </c>
      <c r="J98" s="376" t="str">
        <f>IF(Start!$C$15="x",(IF(I98 = "NA", "NA", IF(OR(D98="NA",D98=""),"NA",(I98 +((Data!$D$19-Data!$D$22)/(Data!$D$19*Data!$D$22)*$D98))))),"---")</f>
        <v>---</v>
      </c>
      <c r="K98" s="376" t="str">
        <f>IF(Start!$C$15="x",(IF(J98="NA","NA",IF(OR(G98="NA",G98=""),"NA",(J98*(1-Data!$D$23)*Data!$D$14*1000)/(Data!$D$23+((1-Data!$D$23)*Data!$D$14*$G98))))),"---")</f>
        <v>---</v>
      </c>
      <c r="L98" s="376" t="str">
        <f>IF(Start!$C$15="x",(IF(I98="NA","NA",IF($G98 = "NA", "NA",(IF(OR(ChemData!U98="NA",ChemData!U98=""),I98/((Data!$D$18+((1-Data!$D$18)*Data!$D$14*$G98))/((1-Data!$D$18)*Data!$D$14*1000)),(IF(I98/((Data!$D$18+((1-Data!$D$18)*Data!$D$14*$G98))/((1-Data!$D$18)*Data!$D$14*1000))&gt;ChemData!U98, ChemData!U98, I98/((Data!$D$18+((1-Data!$D$18)*Data!$D$14*$G98))/((1-Data!$D$18)*Data!$D$14*1000))))))))),"---")</f>
        <v>---</v>
      </c>
      <c r="M98" s="376" t="str">
        <f>IF(Start!$C$15="x",(IF(L98="NA","NA",IF(OR(D98="NA",D98=""),"NA",(((Data!$D$22*Data!$D$18)*L98)+(Data!$D$19-Data!$D$22)*$D98)/((Data!$D$22*Data!$D$18)+Data!$D$19-Data!$D$22)))),"---")</f>
        <v>---</v>
      </c>
      <c r="N98" s="376" t="str">
        <f>IF(Start!$C$15="x",IF(K98 = "NA", "NA", (IF(M98 = "NA", "NA",(IF(OR(ChemData!U98="NA",ChemData!U98=""),(IF(K98&gt;M98,K98,M98)),(IF(K98&gt;M98,(IF(K98&gt;ChemData!U98, ChemData!U98, K98)),(IF(M98&gt;ChemData!U98,ChemData!U98,M98))))))))),"---")</f>
        <v>---</v>
      </c>
      <c r="O98" s="377" t="str">
        <f>IF(Start!$C$15="x",IF(N98 = "NA","NA", IF(OR(E98="NA",E98=""),"NA",(N98+(Data!$D$26*$E98))/(Data!$D$26+1))),"---")</f>
        <v>---</v>
      </c>
      <c r="P98" s="730">
        <f>IF(E98="",F98,IF($F98&lt;(1+(Data!$D$27/100))*$E98,(1+(Data!$D$27/100))*$E98,$F98))</f>
        <v>1600</v>
      </c>
      <c r="Q98" s="343" t="str">
        <f>IF(Start!$C$15="x",(IF(C98="","",(IF(O98="NA","NA",IF(P98="NA","NA",IF(P98=0,"NA",(O98/P98))))))),"Not Req.")</f>
        <v>Not Req.</v>
      </c>
      <c r="R98" s="163"/>
      <c r="S98" s="18"/>
      <c r="T98" s="18"/>
      <c r="U98" s="163"/>
      <c r="V98" s="163"/>
      <c r="W98" s="18"/>
      <c r="X98" s="163"/>
      <c r="Y98" s="163"/>
      <c r="Z98" s="18"/>
    </row>
    <row r="99" spans="1:26" s="10" customFormat="1" x14ac:dyDescent="0.25">
      <c r="A99" s="405" t="s">
        <v>417</v>
      </c>
      <c r="B99" s="371" t="str">
        <f>IF(Start!$C$15="x",IF(C99="NA","NA",(IF(C99="","",(IF(OR(F99="NA",F99=""),"No Criteria",(IF(AND(O99="NA",F99&lt;&gt;"NA",C99&lt;&gt;"NA"),                  "Missing Data",(IF(O99&lt;F99,"No",(IF(D99&gt;F99,"Caution",(IF(O99&gt;=F99,"Needed","No"))))))))))))),"---")</f>
        <v>---</v>
      </c>
      <c r="C99" s="372" t="str">
        <f>IF(TRUE=ISBLANK(ChemData!B99),"",(ChemData!B99))</f>
        <v/>
      </c>
      <c r="D99" s="373" t="str">
        <f>IF(TRUE=ISBLANK(ChemData!C99),"",(ChemData!C99))</f>
        <v/>
      </c>
      <c r="E99" s="374" t="str">
        <f>IF(TRUE=ISBLANK(ChemData!D99),"",(ChemData!D99))</f>
        <v/>
      </c>
      <c r="F99" s="289">
        <f>IF(TRUE=ISBLANK(ChemData!H99),"",(ChemData!H99))</f>
        <v>4380</v>
      </c>
      <c r="G99" s="290">
        <f>IF(TRUE=ISBLANK(ChemData!Q99),"",(ChemData!Q99))</f>
        <v>2.6755090156507135</v>
      </c>
      <c r="H99" s="291">
        <f>IF(TRUE=ISBLANK(ChemData!S99),"",(ChemData!S99))</f>
        <v>1</v>
      </c>
      <c r="I99" s="375" t="str">
        <f>IF(Start!$C$15="x",(IF(OR(C99="NA",C99=""), "NA", (IF($H99 = "NA", "NA", ((C99*$H99)))))),"---")</f>
        <v>---</v>
      </c>
      <c r="J99" s="376" t="str">
        <f>IF(Start!$C$15="x",(IF(I99 = "NA", "NA", IF(OR(D99="NA",D99=""),"NA",(I99 +((Data!$D$19-Data!$D$22)/(Data!$D$19*Data!$D$22)*$D99))))),"---")</f>
        <v>---</v>
      </c>
      <c r="K99" s="376" t="str">
        <f>IF(Start!$C$15="x",(IF(J99="NA","NA",IF(OR(G99="NA",G99=""),"NA",(J99*(1-Data!$D$23)*Data!$D$14*1000)/(Data!$D$23+((1-Data!$D$23)*Data!$D$14*$G99))))),"---")</f>
        <v>---</v>
      </c>
      <c r="L99" s="376" t="str">
        <f>IF(Start!$C$15="x",(IF(I99="NA","NA",IF($G99 = "NA", "NA",(IF(OR(ChemData!U99="NA",ChemData!U99=""),I99/((Data!$D$18+((1-Data!$D$18)*Data!$D$14*$G99))/((1-Data!$D$18)*Data!$D$14*1000)),(IF(I99/((Data!$D$18+((1-Data!$D$18)*Data!$D$14*$G99))/((1-Data!$D$18)*Data!$D$14*1000))&gt;ChemData!U99, ChemData!U99, I99/((Data!$D$18+((1-Data!$D$18)*Data!$D$14*$G99))/((1-Data!$D$18)*Data!$D$14*1000))))))))),"---")</f>
        <v>---</v>
      </c>
      <c r="M99" s="376" t="str">
        <f>IF(Start!$C$15="x",(IF(L99="NA","NA",IF(OR(D99="NA",D99=""),"NA",(((Data!$D$22*Data!$D$18)*L99)+(Data!$D$19-Data!$D$22)*$D99)/((Data!$D$22*Data!$D$18)+Data!$D$19-Data!$D$22)))),"---")</f>
        <v>---</v>
      </c>
      <c r="N99" s="376" t="str">
        <f>IF(Start!$C$15="x",IF(K99 = "NA", "NA", (IF(M99 = "NA", "NA",(IF(OR(ChemData!U99="NA",ChemData!U99=""),(IF(K99&gt;M99,K99,M99)),(IF(K99&gt;M99,(IF(K99&gt;ChemData!U99, ChemData!U99, K99)),(IF(M99&gt;ChemData!U99,ChemData!U99,M99))))))))),"---")</f>
        <v>---</v>
      </c>
      <c r="O99" s="377" t="str">
        <f>IF(Start!$C$15="x",IF(N99 = "NA","NA", IF(OR(E99="NA",E99=""),"NA",(N99+(Data!$D$26*$E99))/(Data!$D$26+1))),"---")</f>
        <v>---</v>
      </c>
      <c r="P99" s="730">
        <f>IF(E99="",F99,IF($F99&lt;(1+(Data!$D$27/100))*$E99,(1+(Data!$D$27/100))*$E99,$F99))</f>
        <v>4380</v>
      </c>
      <c r="Q99" s="343" t="str">
        <f>IF(Start!$C$15="x",(IF(C99="","",(IF(O99="NA","NA",IF(P99="NA","NA",IF(P99=0,"NA",(O99/P99))))))),"Not Req.")</f>
        <v>Not Req.</v>
      </c>
      <c r="R99" s="163"/>
      <c r="S99" s="18"/>
      <c r="T99" s="18"/>
      <c r="U99" s="163"/>
      <c r="V99" s="163"/>
      <c r="W99" s="18"/>
      <c r="X99" s="163"/>
      <c r="Y99" s="163"/>
      <c r="Z99" s="18"/>
    </row>
    <row r="100" spans="1:26" s="10" customFormat="1" x14ac:dyDescent="0.25">
      <c r="A100" s="405" t="s">
        <v>418</v>
      </c>
      <c r="B100" s="371" t="str">
        <f>IF(Start!$C$15="x",IF(C100="NA","NA",(IF(C100="","",(IF(OR(F100="NA",F100=""),"No Criteria",(IF(AND(O100="NA",F100&lt;&gt;"NA",C100&lt;&gt;"NA"),                  "Missing Data",(IF(O100&lt;F100,"No",(IF(D100&gt;F100,"Caution",(IF(O100&gt;=F100,"Needed","No"))))))))))))),"---")</f>
        <v>---</v>
      </c>
      <c r="C100" s="372" t="str">
        <f>IF(TRUE=ISBLANK(ChemData!B100),"",(ChemData!B100))</f>
        <v/>
      </c>
      <c r="D100" s="373" t="str">
        <f>IF(TRUE=ISBLANK(ChemData!C100),"",(ChemData!C100))</f>
        <v/>
      </c>
      <c r="E100" s="374" t="str">
        <f>IF(TRUE=ISBLANK(ChemData!D100),"",(ChemData!D100))</f>
        <v/>
      </c>
      <c r="F100" s="289" t="str">
        <f>IF(TRUE=ISBLANK(ChemData!H100),"",(ChemData!H100))</f>
        <v>NA</v>
      </c>
      <c r="G100" s="290">
        <f>IF(TRUE=ISBLANK(ChemData!Q100),"",(ChemData!Q100))</f>
        <v>1851</v>
      </c>
      <c r="H100" s="291">
        <f>IF(TRUE=ISBLANK(ChemData!S100),"",(ChemData!S100))</f>
        <v>1</v>
      </c>
      <c r="I100" s="375" t="str">
        <f>IF(Start!$C$15="x",(IF(OR(C100="NA",C100=""), "NA", (IF($H100 = "NA", "NA", ((C100*$H100)))))),"---")</f>
        <v>---</v>
      </c>
      <c r="J100" s="376" t="str">
        <f>IF(Start!$C$15="x",(IF(I100 = "NA", "NA", IF(OR(D100="NA",D100=""),"NA",(I100 +((Data!$D$19-Data!$D$22)/(Data!$D$19*Data!$D$22)*$D100))))),"---")</f>
        <v>---</v>
      </c>
      <c r="K100" s="376" t="str">
        <f>IF(Start!$C$15="x",(IF(J100="NA","NA",IF(OR(G100="NA",G100=""),"NA",(J100*(1-Data!$D$23)*Data!$D$14*1000)/(Data!$D$23+((1-Data!$D$23)*Data!$D$14*$G100))))),"---")</f>
        <v>---</v>
      </c>
      <c r="L100" s="376" t="str">
        <f>IF(Start!$C$15="x",(IF(I100="NA","NA",IF($G100 = "NA", "NA",(IF(OR(ChemData!U100="NA",ChemData!U100=""),I100/((Data!$D$18+((1-Data!$D$18)*Data!$D$14*$G100))/((1-Data!$D$18)*Data!$D$14*1000)),(IF(I100/((Data!$D$18+((1-Data!$D$18)*Data!$D$14*$G100))/((1-Data!$D$18)*Data!$D$14*1000))&gt;ChemData!U100, ChemData!U100, I100/((Data!$D$18+((1-Data!$D$18)*Data!$D$14*$G100))/((1-Data!$D$18)*Data!$D$14*1000))))))))),"---")</f>
        <v>---</v>
      </c>
      <c r="M100" s="376" t="str">
        <f>IF(Start!$C$15="x",(IF(L100="NA","NA",IF(OR(D100="NA",D100=""),"NA",(((Data!$D$22*Data!$D$18)*L100)+(Data!$D$19-Data!$D$22)*$D100)/((Data!$D$22*Data!$D$18)+Data!$D$19-Data!$D$22)))),"---")</f>
        <v>---</v>
      </c>
      <c r="N100" s="376" t="str">
        <f>IF(Start!$C$15="x",IF(K100 = "NA", "NA", (IF(M100 = "NA", "NA",(IF(OR(ChemData!U100="NA",ChemData!U100=""),(IF(K100&gt;M100,K100,M100)),(IF(K100&gt;M100,(IF(K100&gt;ChemData!U100, ChemData!U100, K100)),(IF(M100&gt;ChemData!U100,ChemData!U100,M100))))))))),"---")</f>
        <v>---</v>
      </c>
      <c r="O100" s="377" t="str">
        <f>IF(Start!$C$15="x",IF(N100 = "NA","NA", IF(OR(E100="NA",E100=""),"NA",(N100+(Data!$D$26*$E100))/(Data!$D$26+1))),"---")</f>
        <v>---</v>
      </c>
      <c r="P100" s="730" t="str">
        <f>IF(E100="",F100,IF($F100&lt;(1+(Data!$D$27/100))*$E100,(1+(Data!$D$27/100))*$E100,$F100))</f>
        <v>NA</v>
      </c>
      <c r="Q100" s="343" t="str">
        <f>IF(Start!$C$15="x",(IF(C100="","",(IF(O100="NA","NA",IF(P100="NA","NA",IF(P100=0,"NA",(O100/P100))))))),"Not Req.")</f>
        <v>Not Req.</v>
      </c>
      <c r="R100" s="163"/>
      <c r="S100" s="18"/>
      <c r="T100" s="18"/>
      <c r="U100" s="163"/>
      <c r="V100" s="163"/>
      <c r="W100" s="18"/>
      <c r="X100" s="163"/>
      <c r="Y100" s="163"/>
      <c r="Z100" s="18"/>
    </row>
    <row r="101" spans="1:26" s="10" customFormat="1" x14ac:dyDescent="0.25">
      <c r="A101" s="405" t="s">
        <v>419</v>
      </c>
      <c r="B101" s="371" t="str">
        <f>IF(Start!$C$15="x",IF(C101="NA","NA",(IF(C101="","",(IF(OR(F101="NA",F101=""),"No Criteria",(IF(AND(O101="NA",F101&lt;&gt;"NA",C101&lt;&gt;"NA"),                  "Missing Data",(IF(O101&lt;F101,"No",(IF(D101&gt;F101,"Caution",(IF(O101&gt;=F101,"Needed","No"))))))))))))),"---")</f>
        <v>---</v>
      </c>
      <c r="C101" s="372" t="str">
        <f>IF(TRUE=ISBLANK(ChemData!B101),"",(ChemData!B101))</f>
        <v/>
      </c>
      <c r="D101" s="373" t="str">
        <f>IF(TRUE=ISBLANK(ChemData!C101),"",(ChemData!C101))</f>
        <v/>
      </c>
      <c r="E101" s="374" t="str">
        <f>IF(TRUE=ISBLANK(ChemData!D101),"",(ChemData!D101))</f>
        <v/>
      </c>
      <c r="F101" s="289" t="str">
        <f>IF(TRUE=ISBLANK(ChemData!H101),"",(ChemData!H101))</f>
        <v>NA</v>
      </c>
      <c r="G101" s="290">
        <f>IF(TRUE=ISBLANK(ChemData!Q101),"",(ChemData!Q101))</f>
        <v>50.980773298789508</v>
      </c>
      <c r="H101" s="291">
        <f>IF(TRUE=ISBLANK(ChemData!S101),"",(ChemData!S101))</f>
        <v>1</v>
      </c>
      <c r="I101" s="375" t="str">
        <f>IF(Start!$C$15="x",(IF(OR(C101="NA",C101=""), "NA", (IF($H101 = "NA", "NA", ((C101*$H101)))))),"---")</f>
        <v>---</v>
      </c>
      <c r="J101" s="376" t="str">
        <f>IF(Start!$C$15="x",(IF(I101 = "NA", "NA", IF(OR(D101="NA",D101=""),"NA",(I101 +((Data!$D$19-Data!$D$22)/(Data!$D$19*Data!$D$22)*$D101))))),"---")</f>
        <v>---</v>
      </c>
      <c r="K101" s="376" t="str">
        <f>IF(Start!$C$15="x",(IF(J101="NA","NA",IF(OR(G101="NA",G101=""),"NA",(J101*(1-Data!$D$23)*Data!$D$14*1000)/(Data!$D$23+((1-Data!$D$23)*Data!$D$14*$G101))))),"---")</f>
        <v>---</v>
      </c>
      <c r="L101" s="376" t="str">
        <f>IF(Start!$C$15="x",(IF(I101="NA","NA",IF($G101 = "NA", "NA",(IF(OR(ChemData!U101="NA",ChemData!U101=""),I101/((Data!$D$18+((1-Data!$D$18)*Data!$D$14*$G101))/((1-Data!$D$18)*Data!$D$14*1000)),(IF(I101/((Data!$D$18+((1-Data!$D$18)*Data!$D$14*$G101))/((1-Data!$D$18)*Data!$D$14*1000))&gt;ChemData!U101, ChemData!U101, I101/((Data!$D$18+((1-Data!$D$18)*Data!$D$14*$G101))/((1-Data!$D$18)*Data!$D$14*1000))))))))),"---")</f>
        <v>---</v>
      </c>
      <c r="M101" s="376" t="str">
        <f>IF(Start!$C$15="x",(IF(L101="NA","NA",IF(OR(D101="NA",D101=""),"NA",(((Data!$D$22*Data!$D$18)*L101)+(Data!$D$19-Data!$D$22)*$D101)/((Data!$D$22*Data!$D$18)+Data!$D$19-Data!$D$22)))),"---")</f>
        <v>---</v>
      </c>
      <c r="N101" s="376" t="str">
        <f>IF(Start!$C$15="x",IF(K101 = "NA", "NA", (IF(M101 = "NA", "NA",(IF(OR(ChemData!U101="NA",ChemData!U101=""),(IF(K101&gt;M101,K101,M101)),(IF(K101&gt;M101,(IF(K101&gt;ChemData!U101, ChemData!U101, K101)),(IF(M101&gt;ChemData!U101,ChemData!U101,M101))))))))),"---")</f>
        <v>---</v>
      </c>
      <c r="O101" s="377" t="str">
        <f>IF(Start!$C$15="x",IF(N101 = "NA","NA", IF(OR(E101="NA",E101=""),"NA",(N101+(Data!$D$26*$E101))/(Data!$D$26+1))),"---")</f>
        <v>---</v>
      </c>
      <c r="P101" s="730" t="str">
        <f>IF(E101="",F101,IF($F101&lt;(1+(Data!$D$27/100))*$E101,(1+(Data!$D$27/100))*$E101,$F101))</f>
        <v>NA</v>
      </c>
      <c r="Q101" s="343" t="str">
        <f>IF(Start!$C$15="x",(IF(C101="","",(IF(O101="NA","NA",IF(P101="NA","NA",IF(P101=0,"NA",(O101/P101))))))),"Not Req.")</f>
        <v>Not Req.</v>
      </c>
      <c r="R101" s="163"/>
      <c r="S101" s="18"/>
      <c r="T101" s="18"/>
      <c r="U101" s="163"/>
      <c r="V101" s="163"/>
      <c r="W101" s="18"/>
      <c r="X101" s="163"/>
      <c r="Y101" s="163"/>
      <c r="Z101" s="18"/>
    </row>
    <row r="102" spans="1:26" s="10" customFormat="1" x14ac:dyDescent="0.25">
      <c r="A102" s="405" t="s">
        <v>420</v>
      </c>
      <c r="B102" s="371" t="str">
        <f>IF(Start!$C$15="x",IF(C102="NA","NA",(IF(C102="","",(IF(OR(F102="NA",F102=""),"No Criteria",(IF(AND(O102="NA",F102&lt;&gt;"NA",C102&lt;&gt;"NA"),                  "Missing Data",(IF(O102&lt;F102,"No",(IF(D102&gt;F102,"Caution",(IF(O102&gt;=F102,"Needed","No"))))))))))))),"---")</f>
        <v>---</v>
      </c>
      <c r="C102" s="372" t="str">
        <f>IF(TRUE=ISBLANK(ChemData!B102),"",(ChemData!B102))</f>
        <v/>
      </c>
      <c r="D102" s="373" t="str">
        <f>IF(TRUE=ISBLANK(ChemData!C102),"",(ChemData!C102))</f>
        <v/>
      </c>
      <c r="E102" s="374" t="str">
        <f>IF(TRUE=ISBLANK(ChemData!D102),"",(ChemData!D102))</f>
        <v/>
      </c>
      <c r="F102" s="289">
        <f>IF(TRUE=ISBLANK(ChemData!H102),"",(ChemData!H102))</f>
        <v>190</v>
      </c>
      <c r="G102" s="290">
        <f>IF(TRUE=ISBLANK(ChemData!Q102),"",(ChemData!Q102))</f>
        <v>971.41860892233001</v>
      </c>
      <c r="H102" s="291">
        <f>IF(TRUE=ISBLANK(ChemData!S102),"",(ChemData!S102))</f>
        <v>1</v>
      </c>
      <c r="I102" s="375" t="str">
        <f>IF(Start!$C$15="x",(IF(OR(C102="NA",C102=""), "NA", (IF($H102 = "NA", "NA", ((C102*$H102)))))),"---")</f>
        <v>---</v>
      </c>
      <c r="J102" s="376" t="str">
        <f>IF(Start!$C$15="x",(IF(I102 = "NA", "NA", IF(OR(D102="NA",D102=""),"NA",(I102 +((Data!$D$19-Data!$D$22)/(Data!$D$19*Data!$D$22)*$D102))))),"---")</f>
        <v>---</v>
      </c>
      <c r="K102" s="376" t="str">
        <f>IF(Start!$C$15="x",(IF(J102="NA","NA",IF(OR(G102="NA",G102=""),"NA",(J102*(1-Data!$D$23)*Data!$D$14*1000)/(Data!$D$23+((1-Data!$D$23)*Data!$D$14*$G102))))),"---")</f>
        <v>---</v>
      </c>
      <c r="L102" s="376" t="str">
        <f>IF(Start!$C$15="x",(IF(I102="NA","NA",IF($G102 = "NA", "NA",(IF(OR(ChemData!U102="NA",ChemData!U102=""),I102/((Data!$D$18+((1-Data!$D$18)*Data!$D$14*$G102))/((1-Data!$D$18)*Data!$D$14*1000)),(IF(I102/((Data!$D$18+((1-Data!$D$18)*Data!$D$14*$G102))/((1-Data!$D$18)*Data!$D$14*1000))&gt;ChemData!U102, ChemData!U102, I102/((Data!$D$18+((1-Data!$D$18)*Data!$D$14*$G102))/((1-Data!$D$18)*Data!$D$14*1000))))))))),"---")</f>
        <v>---</v>
      </c>
      <c r="M102" s="376" t="str">
        <f>IF(Start!$C$15="x",(IF(L102="NA","NA",IF(OR(D102="NA",D102=""),"NA",(((Data!$D$22*Data!$D$18)*L102)+(Data!$D$19-Data!$D$22)*$D102)/((Data!$D$22*Data!$D$18)+Data!$D$19-Data!$D$22)))),"---")</f>
        <v>---</v>
      </c>
      <c r="N102" s="376" t="str">
        <f>IF(Start!$C$15="x",IF(K102 = "NA", "NA", (IF(M102 = "NA", "NA",(IF(OR(ChemData!U102="NA",ChemData!U102=""),(IF(K102&gt;M102,K102,M102)),(IF(K102&gt;M102,(IF(K102&gt;ChemData!U102, ChemData!U102, K102)),(IF(M102&gt;ChemData!U102,ChemData!U102,M102))))))))),"---")</f>
        <v>---</v>
      </c>
      <c r="O102" s="377" t="str">
        <f>IF(Start!$C$15="x",IF(N102 = "NA","NA", IF(OR(E102="NA",E102=""),"NA",(N102+(Data!$D$26*$E102))/(Data!$D$26+1))),"---")</f>
        <v>---</v>
      </c>
      <c r="P102" s="730">
        <f>IF(E102="",F102,IF($F102&lt;(1+(Data!$D$27/100))*$E102,(1+(Data!$D$27/100))*$E102,$F102))</f>
        <v>190</v>
      </c>
      <c r="Q102" s="343" t="str">
        <f>IF(Start!$C$15="x",(IF(C102="","",(IF(O102="NA","NA",IF(P102="NA","NA",IF(P102=0,"NA",(O102/P102))))))),"Not Req.")</f>
        <v>Not Req.</v>
      </c>
      <c r="R102" s="163"/>
      <c r="S102" s="18"/>
      <c r="T102" s="18"/>
      <c r="U102" s="163"/>
      <c r="V102" s="163"/>
      <c r="W102" s="18"/>
      <c r="X102" s="163"/>
      <c r="Y102" s="163"/>
      <c r="Z102" s="18"/>
    </row>
    <row r="103" spans="1:26" s="10" customFormat="1" x14ac:dyDescent="0.25">
      <c r="A103" s="405" t="s">
        <v>421</v>
      </c>
      <c r="B103" s="371" t="str">
        <f>IF(Start!$C$15="x",IF(C103="NA","NA",(IF(C103="","",(IF(OR(F103="NA",F103=""),"No Criteria",(IF(AND(O103="NA",F103&lt;&gt;"NA",C103&lt;&gt;"NA"),                  "Missing Data",(IF(O103&lt;F103,"No",(IF(D103&gt;F103,"Caution",(IF(O103&gt;=F103,"Needed","No"))))))))))))),"---")</f>
        <v>---</v>
      </c>
      <c r="C103" s="372" t="str">
        <f>IF(TRUE=ISBLANK(ChemData!B103),"",(ChemData!B103))</f>
        <v/>
      </c>
      <c r="D103" s="373" t="str">
        <f>IF(TRUE=ISBLANK(ChemData!C103),"",(ChemData!C103))</f>
        <v/>
      </c>
      <c r="E103" s="374" t="str">
        <f>IF(TRUE=ISBLANK(ChemData!D103),"",(ChemData!D103))</f>
        <v/>
      </c>
      <c r="F103" s="289" t="str">
        <f>IF(TRUE=ISBLANK(ChemData!H103),"",(ChemData!H103))</f>
        <v>NA</v>
      </c>
      <c r="G103" s="290">
        <f>IF(TRUE=ISBLANK(ChemData!Q103),"",(ChemData!Q103))</f>
        <v>2330270.9372310056</v>
      </c>
      <c r="H103" s="291">
        <f>IF(TRUE=ISBLANK(ChemData!S103),"",(ChemData!S103))</f>
        <v>1</v>
      </c>
      <c r="I103" s="375" t="str">
        <f>IF(Start!$C$15="x",(IF(OR(C103="NA",C103=""), "NA", (IF($H103 = "NA", "NA", ((C103*$H103)))))),"---")</f>
        <v>---</v>
      </c>
      <c r="J103" s="376" t="str">
        <f>IF(Start!$C$15="x",(IF(I103 = "NA", "NA", IF(OR(D103="NA",D103=""),"NA",(I103 +((Data!$D$19-Data!$D$22)/(Data!$D$19*Data!$D$22)*$D103))))),"---")</f>
        <v>---</v>
      </c>
      <c r="K103" s="376" t="str">
        <f>IF(Start!$C$15="x",(IF(J103="NA","NA",IF(OR(G103="NA",G103=""),"NA",(J103*(1-Data!$D$23)*Data!$D$14*1000)/(Data!$D$23+((1-Data!$D$23)*Data!$D$14*$G103))))),"---")</f>
        <v>---</v>
      </c>
      <c r="L103" s="376" t="str">
        <f>IF(Start!$C$15="x",(IF(I103="NA","NA",IF($G103 = "NA", "NA",(IF(OR(ChemData!U103="NA",ChemData!U103=""),I103/((Data!$D$18+((1-Data!$D$18)*Data!$D$14*$G103))/((1-Data!$D$18)*Data!$D$14*1000)),(IF(I103/((Data!$D$18+((1-Data!$D$18)*Data!$D$14*$G103))/((1-Data!$D$18)*Data!$D$14*1000))&gt;ChemData!U103, ChemData!U103, I103/((Data!$D$18+((1-Data!$D$18)*Data!$D$14*$G103))/((1-Data!$D$18)*Data!$D$14*1000))))))))),"---")</f>
        <v>---</v>
      </c>
      <c r="M103" s="376" t="str">
        <f>IF(Start!$C$15="x",(IF(L103="NA","NA",IF(OR(D103="NA",D103=""),"NA",(((Data!$D$22*Data!$D$18)*L103)+(Data!$D$19-Data!$D$22)*$D103)/((Data!$D$22*Data!$D$18)+Data!$D$19-Data!$D$22)))),"---")</f>
        <v>---</v>
      </c>
      <c r="N103" s="376" t="str">
        <f>IF(Start!$C$15="x",IF(K103 = "NA", "NA", (IF(M103 = "NA", "NA",(IF(OR(ChemData!U103="NA",ChemData!U103=""),(IF(K103&gt;M103,K103,M103)),(IF(K103&gt;M103,(IF(K103&gt;ChemData!U103, ChemData!U103, K103)),(IF(M103&gt;ChemData!U103,ChemData!U103,M103))))))))),"---")</f>
        <v>---</v>
      </c>
      <c r="O103" s="377" t="str">
        <f>IF(Start!$C$15="x",IF(N103 = "NA","NA", IF(OR(E103="NA",E103=""),"NA",(N103+(Data!$D$26*$E103))/(Data!$D$26+1))),"---")</f>
        <v>---</v>
      </c>
      <c r="P103" s="730" t="str">
        <f>IF(E103="",F103,IF($F103&lt;(1+(Data!$D$27/100))*$E103,(1+(Data!$D$27/100))*$E103,$F103))</f>
        <v>NA</v>
      </c>
      <c r="Q103" s="343" t="str">
        <f>IF(Start!$C$15="x",(IF(C103="","",(IF(O103="NA","NA",IF(P103="NA","NA",IF(P103=0,"NA",(O103/P103))))))),"Not Req.")</f>
        <v>Not Req.</v>
      </c>
      <c r="R103" s="163"/>
      <c r="S103" s="18"/>
      <c r="T103" s="18"/>
      <c r="U103" s="163"/>
      <c r="V103" s="163"/>
      <c r="W103" s="18"/>
      <c r="X103" s="163"/>
      <c r="Y103" s="163"/>
      <c r="Z103" s="18"/>
    </row>
    <row r="104" spans="1:26" s="10" customFormat="1" x14ac:dyDescent="0.25">
      <c r="A104" s="405" t="s">
        <v>422</v>
      </c>
      <c r="B104" s="371" t="str">
        <f>IF(Start!$C$15="x",IF(C104="NA","NA",(IF(C104="","",(IF(OR(F104="NA",F104=""),"No Criteria",(IF(AND(O104="NA",F104&lt;&gt;"NA",C104&lt;&gt;"NA"),                  "Missing Data",(IF(O104&lt;F104,"No",(IF(D104&gt;F104,"Caution",(IF(O104&gt;=F104,"Needed","No"))))))))))))),"---")</f>
        <v>---</v>
      </c>
      <c r="C104" s="372" t="str">
        <f>IF(TRUE=ISBLANK(ChemData!B104),"",(ChemData!B104))</f>
        <v/>
      </c>
      <c r="D104" s="373" t="str">
        <f>IF(TRUE=ISBLANK(ChemData!C104),"",(ChemData!C104))</f>
        <v/>
      </c>
      <c r="E104" s="374" t="str">
        <f>IF(TRUE=ISBLANK(ChemData!D104),"",(ChemData!D104))</f>
        <v/>
      </c>
      <c r="F104" s="289">
        <f>IF(TRUE=ISBLANK(ChemData!H104),"",(ChemData!H104))</f>
        <v>260</v>
      </c>
      <c r="G104" s="290">
        <f>IF(TRUE=ISBLANK(ChemData!Q104),"",(ChemData!Q104))</f>
        <v>46.495017847242345</v>
      </c>
      <c r="H104" s="291">
        <f>IF(TRUE=ISBLANK(ChemData!S104),"",(ChemData!S104))</f>
        <v>1</v>
      </c>
      <c r="I104" s="375" t="str">
        <f>IF(Start!$C$15="x",(IF(OR(C104="NA",C104=""), "NA", (IF($H104 = "NA", "NA", ((C104*$H104)))))),"---")</f>
        <v>---</v>
      </c>
      <c r="J104" s="376" t="str">
        <f>IF(Start!$C$15="x",(IF(I104 = "NA", "NA", IF(OR(D104="NA",D104=""),"NA",(I104 +((Data!$D$19-Data!$D$22)/(Data!$D$19*Data!$D$22)*$D104))))),"---")</f>
        <v>---</v>
      </c>
      <c r="K104" s="376" t="str">
        <f>IF(Start!$C$15="x",(IF(J104="NA","NA",IF(OR(G104="NA",G104=""),"NA",(J104*(1-Data!$D$23)*Data!$D$14*1000)/(Data!$D$23+((1-Data!$D$23)*Data!$D$14*$G104))))),"---")</f>
        <v>---</v>
      </c>
      <c r="L104" s="376" t="str">
        <f>IF(Start!$C$15="x",(IF(I104="NA","NA",IF($G104 = "NA", "NA",(IF(OR(ChemData!U104="NA",ChemData!U104=""),I104/((Data!$D$18+((1-Data!$D$18)*Data!$D$14*$G104))/((1-Data!$D$18)*Data!$D$14*1000)),(IF(I104/((Data!$D$18+((1-Data!$D$18)*Data!$D$14*$G104))/((1-Data!$D$18)*Data!$D$14*1000))&gt;ChemData!U104, ChemData!U104, I104/((Data!$D$18+((1-Data!$D$18)*Data!$D$14*$G104))/((1-Data!$D$18)*Data!$D$14*1000))))))))),"---")</f>
        <v>---</v>
      </c>
      <c r="M104" s="376" t="str">
        <f>IF(Start!$C$15="x",(IF(L104="NA","NA",IF(OR(D104="NA",D104=""),"NA",(((Data!$D$22*Data!$D$18)*L104)+(Data!$D$19-Data!$D$22)*$D104)/((Data!$D$22*Data!$D$18)+Data!$D$19-Data!$D$22)))),"---")</f>
        <v>---</v>
      </c>
      <c r="N104" s="376" t="str">
        <f>IF(Start!$C$15="x",IF(K104 = "NA", "NA", (IF(M104 = "NA", "NA",(IF(OR(ChemData!U104="NA",ChemData!U104=""),(IF(K104&gt;M104,K104,M104)),(IF(K104&gt;M104,(IF(K104&gt;ChemData!U104, ChemData!U104, K104)),(IF(M104&gt;ChemData!U104,ChemData!U104,M104))))))))),"---")</f>
        <v>---</v>
      </c>
      <c r="O104" s="377" t="str">
        <f>IF(Start!$C$15="x",IF(N104 = "NA","NA", IF(OR(E104="NA",E104=""),"NA",(N104+(Data!$D$26*$E104))/(Data!$D$26+1))),"---")</f>
        <v>---</v>
      </c>
      <c r="P104" s="730">
        <f>IF(E104="",F104,IF($F104&lt;(1+(Data!$D$27/100))*$E104,(1+(Data!$D$27/100))*$E104,$F104))</f>
        <v>260</v>
      </c>
      <c r="Q104" s="343" t="str">
        <f>IF(Start!$C$15="x",(IF(C104="","",(IF(O104="NA","NA",IF(P104="NA","NA",IF(P104=0,"NA",(O104/P104))))))),"Not Req.")</f>
        <v>Not Req.</v>
      </c>
      <c r="R104" s="163"/>
      <c r="S104" s="18"/>
      <c r="T104" s="18"/>
      <c r="U104" s="163"/>
      <c r="V104" s="163"/>
      <c r="W104" s="18"/>
      <c r="X104" s="163"/>
      <c r="Y104" s="163"/>
      <c r="Z104" s="18"/>
    </row>
    <row r="105" spans="1:26" s="10" customFormat="1" x14ac:dyDescent="0.25">
      <c r="A105" s="405" t="s">
        <v>423</v>
      </c>
      <c r="B105" s="371" t="str">
        <f>IF(Start!$C$15="x",IF(C105="NA","NA",(IF(C105="","",(IF(OR(F105="NA",F105=""),"No Criteria",(IF(AND(O105="NA",F105&lt;&gt;"NA",C105&lt;&gt;"NA"),                  "Missing Data",(IF(O105&lt;F105,"No",(IF(D105&gt;F105,"Caution",(IF(O105&gt;=F105,"Needed","No"))))))))))))),"---")</f>
        <v>---</v>
      </c>
      <c r="C105" s="372" t="str">
        <f>IF(TRUE=ISBLANK(ChemData!B105),"",(ChemData!B105))</f>
        <v/>
      </c>
      <c r="D105" s="373" t="str">
        <f>IF(TRUE=ISBLANK(ChemData!C105),"",(ChemData!C105))</f>
        <v/>
      </c>
      <c r="E105" s="374" t="str">
        <f>IF(TRUE=ISBLANK(ChemData!D105),"",(ChemData!D105))</f>
        <v/>
      </c>
      <c r="F105" s="289">
        <f>IF(TRUE=ISBLANK(ChemData!H105),"",(ChemData!H105))</f>
        <v>630</v>
      </c>
      <c r="G105" s="290">
        <f>IF(TRUE=ISBLANK(ChemData!Q105),"",(ChemData!Q105))</f>
        <v>46.495017847242345</v>
      </c>
      <c r="H105" s="291">
        <f>IF(TRUE=ISBLANK(ChemData!S105),"",(ChemData!S105))</f>
        <v>1</v>
      </c>
      <c r="I105" s="375" t="str">
        <f>IF(Start!$C$15="x",(IF(OR(C105="NA",C105=""), "NA", (IF($H105 = "NA", "NA", ((C105*$H105)))))),"---")</f>
        <v>---</v>
      </c>
      <c r="J105" s="376" t="str">
        <f>IF(Start!$C$15="x",(IF(I105 = "NA", "NA", IF(OR(D105="NA",D105=""),"NA",(I105 +((Data!$D$19-Data!$D$22)/(Data!$D$19*Data!$D$22)*$D105))))),"---")</f>
        <v>---</v>
      </c>
      <c r="K105" s="376" t="str">
        <f>IF(Start!$C$15="x",(IF(J105="NA","NA",IF(OR(G105="NA",G105=""),"NA",(J105*(1-Data!$D$23)*Data!$D$14*1000)/(Data!$D$23+((1-Data!$D$23)*Data!$D$14*$G105))))),"---")</f>
        <v>---</v>
      </c>
      <c r="L105" s="376" t="str">
        <f>IF(Start!$C$15="x",(IF(I105="NA","NA",IF($G105 = "NA", "NA",(IF(OR(ChemData!U105="NA",ChemData!U105=""),I105/((Data!$D$18+((1-Data!$D$18)*Data!$D$14*$G105))/((1-Data!$D$18)*Data!$D$14*1000)),(IF(I105/((Data!$D$18+((1-Data!$D$18)*Data!$D$14*$G105))/((1-Data!$D$18)*Data!$D$14*1000))&gt;ChemData!U105, ChemData!U105, I105/((Data!$D$18+((1-Data!$D$18)*Data!$D$14*$G105))/((1-Data!$D$18)*Data!$D$14*1000))))))))),"---")</f>
        <v>---</v>
      </c>
      <c r="M105" s="376" t="str">
        <f>IF(Start!$C$15="x",(IF(L105="NA","NA",IF(OR(D105="NA",D105=""),"NA",(((Data!$D$22*Data!$D$18)*L105)+(Data!$D$19-Data!$D$22)*$D105)/((Data!$D$22*Data!$D$18)+Data!$D$19-Data!$D$22)))),"---")</f>
        <v>---</v>
      </c>
      <c r="N105" s="376" t="str">
        <f>IF(Start!$C$15="x",IF(K105 = "NA", "NA", (IF(M105 = "NA", "NA",(IF(OR(ChemData!U105="NA",ChemData!U105=""),(IF(K105&gt;M105,K105,M105)),(IF(K105&gt;M105,(IF(K105&gt;ChemData!U105, ChemData!U105, K105)),(IF(M105&gt;ChemData!U105,ChemData!U105,M105))))))))),"---")</f>
        <v>---</v>
      </c>
      <c r="O105" s="377" t="str">
        <f>IF(Start!$C$15="x",IF(N105 = "NA","NA", IF(OR(E105="NA",E105=""),"NA",(N105+(Data!$D$26*$E105))/(Data!$D$26+1))),"---")</f>
        <v>---</v>
      </c>
      <c r="P105" s="730">
        <f>IF(E105="",F105,IF($F105&lt;(1+(Data!$D$27/100))*$E105,(1+(Data!$D$27/100))*$E105,$F105))</f>
        <v>630</v>
      </c>
      <c r="Q105" s="343" t="str">
        <f>IF(Start!$C$15="x",(IF(C105="","",(IF(O105="NA","NA",IF(P105="NA","NA",IF(P105=0,"NA",(O105/P105))))))),"Not Req.")</f>
        <v>Not Req.</v>
      </c>
      <c r="R105" s="163"/>
      <c r="S105" s="18"/>
      <c r="T105" s="18"/>
      <c r="U105" s="163"/>
      <c r="V105" s="163"/>
      <c r="W105" s="18"/>
      <c r="X105" s="163"/>
      <c r="Y105" s="163"/>
      <c r="Z105" s="18"/>
    </row>
    <row r="106" spans="1:26" s="10" customFormat="1" x14ac:dyDescent="0.25">
      <c r="A106" s="405" t="s">
        <v>424</v>
      </c>
      <c r="B106" s="371" t="str">
        <f>IF(Start!$C$15="x",IF(C106="NA","NA",(IF(C106="","",(IF(OR(F106="NA",F106=""),"No Criteria",(IF(AND(O106="NA",F106&lt;&gt;"NA",C106&lt;&gt;"NA"),                  "Missing Data",(IF(O106&lt;F106,"No",(IF(D106&gt;F106,"Caution",(IF(O106&gt;=F106,"Needed","No"))))))))))))),"---")</f>
        <v>---</v>
      </c>
      <c r="C106" s="372" t="str">
        <f>IF(TRUE=ISBLANK(ChemData!B106),"",(ChemData!B106))</f>
        <v/>
      </c>
      <c r="D106" s="373" t="str">
        <f>IF(TRUE=ISBLANK(ChemData!C106),"",(ChemData!C106))</f>
        <v/>
      </c>
      <c r="E106" s="374" t="str">
        <f>IF(TRUE=ISBLANK(ChemData!D106),"",(ChemData!D106))</f>
        <v/>
      </c>
      <c r="F106" s="289">
        <f>IF(TRUE=ISBLANK(ChemData!H106),"",(ChemData!H106))</f>
        <v>180</v>
      </c>
      <c r="G106" s="290">
        <f>IF(TRUE=ISBLANK(ChemData!Q106),"",(ChemData!Q106))</f>
        <v>48.686260529983528</v>
      </c>
      <c r="H106" s="291">
        <f>IF(TRUE=ISBLANK(ChemData!S106),"",(ChemData!S106))</f>
        <v>1</v>
      </c>
      <c r="I106" s="375" t="str">
        <f>IF(Start!$C$15="x",(IF(OR(C106="NA",C106=""), "NA", (IF($H106 = "NA", "NA", ((C106*$H106)))))),"---")</f>
        <v>---</v>
      </c>
      <c r="J106" s="376" t="str">
        <f>IF(Start!$C$15="x",(IF(I106 = "NA", "NA", IF(OR(D106="NA",D106=""),"NA",(I106 +((Data!$D$19-Data!$D$22)/(Data!$D$19*Data!$D$22)*$D106))))),"---")</f>
        <v>---</v>
      </c>
      <c r="K106" s="376" t="str">
        <f>IF(Start!$C$15="x",(IF(J106="NA","NA",IF(OR(G106="NA",G106=""),"NA",(J106*(1-Data!$D$23)*Data!$D$14*1000)/(Data!$D$23+((1-Data!$D$23)*Data!$D$14*$G106))))),"---")</f>
        <v>---</v>
      </c>
      <c r="L106" s="376" t="str">
        <f>IF(Start!$C$15="x",(IF(I106="NA","NA",IF($G106 = "NA", "NA",(IF(OR(ChemData!U106="NA",ChemData!U106=""),I106/((Data!$D$18+((1-Data!$D$18)*Data!$D$14*$G106))/((1-Data!$D$18)*Data!$D$14*1000)),(IF(I106/((Data!$D$18+((1-Data!$D$18)*Data!$D$14*$G106))/((1-Data!$D$18)*Data!$D$14*1000))&gt;ChemData!U106, ChemData!U106, I106/((Data!$D$18+((1-Data!$D$18)*Data!$D$14*$G106))/((1-Data!$D$18)*Data!$D$14*1000))))))))),"---")</f>
        <v>---</v>
      </c>
      <c r="M106" s="376" t="str">
        <f>IF(Start!$C$15="x",(IF(L106="NA","NA",IF(OR(D106="NA",D106=""),"NA",(((Data!$D$22*Data!$D$18)*L106)+(Data!$D$19-Data!$D$22)*$D106)/((Data!$D$22*Data!$D$18)+Data!$D$19-Data!$D$22)))),"---")</f>
        <v>---</v>
      </c>
      <c r="N106" s="376" t="str">
        <f>IF(Start!$C$15="x",IF(K106 = "NA", "NA", (IF(M106 = "NA", "NA",(IF(OR(ChemData!U106="NA",ChemData!U106=""),(IF(K106&gt;M106,K106,M106)),(IF(K106&gt;M106,(IF(K106&gt;ChemData!U106, ChemData!U106, K106)),(IF(M106&gt;ChemData!U106,ChemData!U106,M106))))))))),"---")</f>
        <v>---</v>
      </c>
      <c r="O106" s="377" t="str">
        <f>IF(Start!$C$15="x",IF(N106 = "NA","NA", IF(OR(E106="NA",E106=""),"NA",(N106+(Data!$D$26*$E106))/(Data!$D$26+1))),"---")</f>
        <v>---</v>
      </c>
      <c r="P106" s="730">
        <f>IF(E106="",F106,IF($F106&lt;(1+(Data!$D$27/100))*$E106,(1+(Data!$D$27/100))*$E106,$F106))</f>
        <v>180</v>
      </c>
      <c r="Q106" s="343" t="str">
        <f>IF(Start!$C$15="x",(IF(C106="","",(IF(O106="NA","NA",IF(P106="NA","NA",IF(P106=0,"NA",(O106/P106))))))),"Not Req.")</f>
        <v>Not Req.</v>
      </c>
      <c r="R106" s="163"/>
      <c r="S106" s="18"/>
      <c r="T106" s="18"/>
      <c r="U106" s="163"/>
      <c r="V106" s="163"/>
      <c r="W106" s="18"/>
      <c r="X106" s="163"/>
      <c r="Y106" s="163"/>
      <c r="Z106" s="18"/>
    </row>
    <row r="107" spans="1:26" s="10" customFormat="1" x14ac:dyDescent="0.25">
      <c r="A107" s="405" t="s">
        <v>425</v>
      </c>
      <c r="B107" s="371" t="str">
        <f>IF(Start!$C$15="x",IF(C107="NA","NA",(IF(C107="","",(IF(OR(F107="NA",F107=""),"No Criteria",(IF(AND(O107="NA",F107&lt;&gt;"NA",C107&lt;&gt;"NA"),                  "Missing Data",(IF(O107&lt;F107,"No",(IF(D107&gt;F107,"Caution",(IF(O107&gt;=F107,"Needed","No"))))))))))))),"---")</f>
        <v>---</v>
      </c>
      <c r="C107" s="372" t="str">
        <f>IF(TRUE=ISBLANK(ChemData!B107),"",(ChemData!B107))</f>
        <v/>
      </c>
      <c r="D107" s="373" t="str">
        <f>IF(TRUE=ISBLANK(ChemData!C107),"",(ChemData!C107))</f>
        <v/>
      </c>
      <c r="E107" s="374" t="str">
        <f>IF(TRUE=ISBLANK(ChemData!D107),"",(ChemData!D107))</f>
        <v/>
      </c>
      <c r="F107" s="289" t="str">
        <f>IF(TRUE=ISBLANK(ChemData!H107),"",(ChemData!H107))</f>
        <v>NA</v>
      </c>
      <c r="G107" s="290">
        <f>IF(TRUE=ISBLANK(ChemData!Q107),"",(ChemData!Q107))</f>
        <v>59.897185897674206</v>
      </c>
      <c r="H107" s="291">
        <f>IF(TRUE=ISBLANK(ChemData!S107),"",(ChemData!S107))</f>
        <v>1</v>
      </c>
      <c r="I107" s="375" t="str">
        <f>IF(Start!$C$15="x",(IF(OR(C107="NA",C107=""), "NA", (IF($H107 = "NA", "NA", ((C107*$H107)))))),"---")</f>
        <v>---</v>
      </c>
      <c r="J107" s="376" t="str">
        <f>IF(Start!$C$15="x",(IF(I107 = "NA", "NA", IF(OR(D107="NA",D107=""),"NA",(I107 +((Data!$D$19-Data!$D$22)/(Data!$D$19*Data!$D$22)*$D107))))),"---")</f>
        <v>---</v>
      </c>
      <c r="K107" s="376" t="str">
        <f>IF(Start!$C$15="x",(IF(J107="NA","NA",IF(OR(G107="NA",G107=""),"NA",(J107*(1-Data!$D$23)*Data!$D$14*1000)/(Data!$D$23+((1-Data!$D$23)*Data!$D$14*$G107))))),"---")</f>
        <v>---</v>
      </c>
      <c r="L107" s="376" t="str">
        <f>IF(Start!$C$15="x",(IF(I107="NA","NA",IF($G107 = "NA", "NA",(IF(OR(ChemData!U107="NA",ChemData!U107=""),I107/((Data!$D$18+((1-Data!$D$18)*Data!$D$14*$G107))/((1-Data!$D$18)*Data!$D$14*1000)),(IF(I107/((Data!$D$18+((1-Data!$D$18)*Data!$D$14*$G107))/((1-Data!$D$18)*Data!$D$14*1000))&gt;ChemData!U107, ChemData!U107, I107/((Data!$D$18+((1-Data!$D$18)*Data!$D$14*$G107))/((1-Data!$D$18)*Data!$D$14*1000))))))))),"---")</f>
        <v>---</v>
      </c>
      <c r="M107" s="376" t="str">
        <f>IF(Start!$C$15="x",(IF(L107="NA","NA",IF(OR(D107="NA",D107=""),"NA",(((Data!$D$22*Data!$D$18)*L107)+(Data!$D$19-Data!$D$22)*$D107)/((Data!$D$22*Data!$D$18)+Data!$D$19-Data!$D$22)))),"---")</f>
        <v>---</v>
      </c>
      <c r="N107" s="376" t="str">
        <f>IF(Start!$C$15="x",IF(K107 = "NA", "NA", (IF(M107 = "NA", "NA",(IF(OR(ChemData!U107="NA",ChemData!U107=""),(IF(K107&gt;M107,K107,M107)),(IF(K107&gt;M107,(IF(K107&gt;ChemData!U107, ChemData!U107, K107)),(IF(M107&gt;ChemData!U107,ChemData!U107,M107))))))))),"---")</f>
        <v>---</v>
      </c>
      <c r="O107" s="377" t="str">
        <f>IF(Start!$C$15="x",IF(N107 = "NA","NA", IF(OR(E107="NA",E107=""),"NA",(N107+(Data!$D$26*$E107))/(Data!$D$26+1))),"---")</f>
        <v>---</v>
      </c>
      <c r="P107" s="730" t="str">
        <f>IF(E107="",F107,IF($F107&lt;(1+(Data!$D$27/100))*$E107,(1+(Data!$D$27/100))*$E107,$F107))</f>
        <v>NA</v>
      </c>
      <c r="Q107" s="343" t="str">
        <f>IF(Start!$C$15="x",(IF(C107="","",(IF(O107="NA","NA",IF(P107="NA","NA",IF(P107=0,"NA",(O107/P107))))))),"Not Req.")</f>
        <v>Not Req.</v>
      </c>
      <c r="R107" s="163"/>
      <c r="S107" s="18"/>
      <c r="T107" s="18"/>
      <c r="U107" s="163"/>
      <c r="V107" s="163"/>
      <c r="W107" s="18"/>
      <c r="X107" s="163"/>
      <c r="Y107" s="163"/>
      <c r="Z107" s="18"/>
    </row>
    <row r="108" spans="1:26" s="10" customFormat="1" x14ac:dyDescent="0.25">
      <c r="A108" s="405" t="s">
        <v>426</v>
      </c>
      <c r="B108" s="371" t="str">
        <f>IF(Start!$C$15="x",IF(C108="NA","NA",(IF(C108="","",(IF(OR(F108="NA",F108=""),"No Criteria",(IF(AND(O108="NA",F108&lt;&gt;"NA",C108&lt;&gt;"NA"),                  "Missing Data",(IF(O108&lt;F108,"No",(IF(D108&gt;F108,"Caution",(IF(O108&gt;=F108,"Needed","No"))))))))))))),"---")</f>
        <v>---</v>
      </c>
      <c r="C108" s="372" t="str">
        <f>IF(TRUE=ISBLANK(ChemData!B108),"",(ChemData!B108))</f>
        <v/>
      </c>
      <c r="D108" s="373" t="str">
        <f>IF(TRUE=ISBLANK(ChemData!C108),"",(ChemData!C108))</f>
        <v/>
      </c>
      <c r="E108" s="374" t="str">
        <f>IF(TRUE=ISBLANK(ChemData!D108),"",(ChemData!D108))</f>
        <v/>
      </c>
      <c r="F108" s="289">
        <f>IF(TRUE=ISBLANK(ChemData!H108),"",(ChemData!H108))</f>
        <v>2020</v>
      </c>
      <c r="G108" s="290">
        <f>IF(TRUE=ISBLANK(ChemData!Q108),"",(ChemData!Q108))</f>
        <v>22.253914684768329</v>
      </c>
      <c r="H108" s="291">
        <f>IF(TRUE=ISBLANK(ChemData!S108),"",(ChemData!S108))</f>
        <v>1</v>
      </c>
      <c r="I108" s="375" t="str">
        <f>IF(Start!$C$15="x",(IF(OR(C108="NA",C108=""), "NA", (IF($H108 = "NA", "NA", ((C108*$H108)))))),"---")</f>
        <v>---</v>
      </c>
      <c r="J108" s="376" t="str">
        <f>IF(Start!$C$15="x",(IF(I108 = "NA", "NA", IF(OR(D108="NA",D108=""),"NA",(I108 +((Data!$D$19-Data!$D$22)/(Data!$D$19*Data!$D$22)*$D108))))),"---")</f>
        <v>---</v>
      </c>
      <c r="K108" s="376" t="str">
        <f>IF(Start!$C$15="x",(IF(J108="NA","NA",IF(OR(G108="NA",G108=""),"NA",(J108*(1-Data!$D$23)*Data!$D$14*1000)/(Data!$D$23+((1-Data!$D$23)*Data!$D$14*$G108))))),"---")</f>
        <v>---</v>
      </c>
      <c r="L108" s="376" t="str">
        <f>IF(Start!$C$15="x",(IF(I108="NA","NA",IF($G108 = "NA", "NA",(IF(OR(ChemData!U108="NA",ChemData!U108=""),I108/((Data!$D$18+((1-Data!$D$18)*Data!$D$14*$G108))/((1-Data!$D$18)*Data!$D$14*1000)),(IF(I108/((Data!$D$18+((1-Data!$D$18)*Data!$D$14*$G108))/((1-Data!$D$18)*Data!$D$14*1000))&gt;ChemData!U108, ChemData!U108, I108/((Data!$D$18+((1-Data!$D$18)*Data!$D$14*$G108))/((1-Data!$D$18)*Data!$D$14*1000))))))))),"---")</f>
        <v>---</v>
      </c>
      <c r="M108" s="376" t="str">
        <f>IF(Start!$C$15="x",(IF(L108="NA","NA",IF(OR(D108="NA",D108=""),"NA",(((Data!$D$22*Data!$D$18)*L108)+(Data!$D$19-Data!$D$22)*$D108)/((Data!$D$22*Data!$D$18)+Data!$D$19-Data!$D$22)))),"---")</f>
        <v>---</v>
      </c>
      <c r="N108" s="376" t="str">
        <f>IF(Start!$C$15="x",IF(K108 = "NA", "NA", (IF(M108 = "NA", "NA",(IF(OR(ChemData!U108="NA",ChemData!U108=""),(IF(K108&gt;M108,K108,M108)),(IF(K108&gt;M108,(IF(K108&gt;ChemData!U108, ChemData!U108, K108)),(IF(M108&gt;ChemData!U108,ChemData!U108,M108))))))))),"---")</f>
        <v>---</v>
      </c>
      <c r="O108" s="377" t="str">
        <f>IF(Start!$C$15="x",IF(N108 = "NA","NA", IF(OR(E108="NA",E108=""),"NA",(N108+(Data!$D$26*$E108))/(Data!$D$26+1))),"---")</f>
        <v>---</v>
      </c>
      <c r="P108" s="730">
        <f>IF(E108="",F108,IF($F108&lt;(1+(Data!$D$27/100))*$E108,(1+(Data!$D$27/100))*$E108,$F108))</f>
        <v>2020</v>
      </c>
      <c r="Q108" s="343" t="str">
        <f>IF(Start!$C$15="x",(IF(C108="","",(IF(O108="NA","NA",IF(P108="NA","NA",IF(P108=0,"NA",(O108/P108))))))),"Not Req.")</f>
        <v>Not Req.</v>
      </c>
      <c r="R108" s="163"/>
      <c r="S108" s="18"/>
      <c r="T108" s="18"/>
      <c r="U108" s="163"/>
      <c r="V108" s="163"/>
      <c r="W108" s="18"/>
      <c r="X108" s="163"/>
      <c r="Y108" s="163"/>
      <c r="Z108" s="18"/>
    </row>
    <row r="109" spans="1:26" s="10" customFormat="1" x14ac:dyDescent="0.25">
      <c r="A109" s="405" t="s">
        <v>427</v>
      </c>
      <c r="B109" s="371" t="str">
        <f>IF(Start!$C$15="x",IF(C109="NA","NA",(IF(C109="","",(IF(OR(F109="NA",F109=""),"No Criteria",(IF(AND(O109="NA",F109&lt;&gt;"NA",C109&lt;&gt;"NA"),                  "Missing Data",(IF(O109&lt;F109,"No",(IF(D109&gt;F109,"Caution",(IF(O109&gt;=F109,"Needed","No"))))))))))))),"---")</f>
        <v>---</v>
      </c>
      <c r="C109" s="372" t="str">
        <f>IF(TRUE=ISBLANK(ChemData!B109),"",(ChemData!B109))</f>
        <v/>
      </c>
      <c r="D109" s="373" t="str">
        <f>IF(TRUE=ISBLANK(ChemData!C109),"",(ChemData!C109))</f>
        <v/>
      </c>
      <c r="E109" s="374" t="str">
        <f>IF(TRUE=ISBLANK(ChemData!D109),"",(ChemData!D109))</f>
        <v/>
      </c>
      <c r="F109" s="289">
        <f>IF(TRUE=ISBLANK(ChemData!H109),"",(ChemData!H109))</f>
        <v>1800</v>
      </c>
      <c r="G109" s="290">
        <f>IF(TRUE=ISBLANK(ChemData!Q109),"",(ChemData!Q109))</f>
        <v>5.4626882785594866</v>
      </c>
      <c r="H109" s="291">
        <f>IF(TRUE=ISBLANK(ChemData!S109),"",(ChemData!S109))</f>
        <v>1</v>
      </c>
      <c r="I109" s="375" t="str">
        <f>IF(Start!$C$15="x",(IF(OR(C109="NA",C109=""), "NA", (IF($H109 = "NA", "NA", ((C109*$H109)))))),"---")</f>
        <v>---</v>
      </c>
      <c r="J109" s="376" t="str">
        <f>IF(Start!$C$15="x",(IF(I109 = "NA", "NA", IF(OR(D109="NA",D109=""),"NA",(I109 +((Data!$D$19-Data!$D$22)/(Data!$D$19*Data!$D$22)*$D109))))),"---")</f>
        <v>---</v>
      </c>
      <c r="K109" s="376" t="str">
        <f>IF(Start!$C$15="x",(IF(J109="NA","NA",IF(OR(G109="NA",G109=""),"NA",(J109*(1-Data!$D$23)*Data!$D$14*1000)/(Data!$D$23+((1-Data!$D$23)*Data!$D$14*$G109))))),"---")</f>
        <v>---</v>
      </c>
      <c r="L109" s="376" t="str">
        <f>IF(Start!$C$15="x",(IF(I109="NA","NA",IF($G109 = "NA", "NA",(IF(OR(ChemData!U109="NA",ChemData!U109=""),I109/((Data!$D$18+((1-Data!$D$18)*Data!$D$14*$G109))/((1-Data!$D$18)*Data!$D$14*1000)),(IF(I109/((Data!$D$18+((1-Data!$D$18)*Data!$D$14*$G109))/((1-Data!$D$18)*Data!$D$14*1000))&gt;ChemData!U109, ChemData!U109, I109/((Data!$D$18+((1-Data!$D$18)*Data!$D$14*$G109))/((1-Data!$D$18)*Data!$D$14*1000))))))))),"---")</f>
        <v>---</v>
      </c>
      <c r="M109" s="376" t="str">
        <f>IF(Start!$C$15="x",(IF(L109="NA","NA",IF(OR(D109="NA",D109=""),"NA",(((Data!$D$22*Data!$D$18)*L109)+(Data!$D$19-Data!$D$22)*$D109)/((Data!$D$22*Data!$D$18)+Data!$D$19-Data!$D$22)))),"---")</f>
        <v>---</v>
      </c>
      <c r="N109" s="376" t="str">
        <f>IF(Start!$C$15="x",IF(K109 = "NA", "NA", (IF(M109 = "NA", "NA",(IF(OR(ChemData!U109="NA",ChemData!U109=""),(IF(K109&gt;M109,K109,M109)),(IF(K109&gt;M109,(IF(K109&gt;ChemData!U109, ChemData!U109, K109)),(IF(M109&gt;ChemData!U109,ChemData!U109,M109))))))))),"---")</f>
        <v>---</v>
      </c>
      <c r="O109" s="377" t="str">
        <f>IF(Start!$C$15="x",IF(N109 = "NA","NA", IF(OR(E109="NA",E109=""),"NA",(N109+(Data!$D$26*$E109))/(Data!$D$26+1))),"---")</f>
        <v>---</v>
      </c>
      <c r="P109" s="730">
        <f>IF(E109="",F109,IF($F109&lt;(1+(Data!$D$27/100))*$E109,(1+(Data!$D$27/100))*$E109,$F109))</f>
        <v>1800</v>
      </c>
      <c r="Q109" s="343" t="str">
        <f>IF(Start!$C$15="x",(IF(C109="","",(IF(O109="NA","NA",IF(P109="NA","NA",IF(P109=0,"NA",(O109/P109))))))),"Not Req.")</f>
        <v>Not Req.</v>
      </c>
      <c r="R109" s="163"/>
      <c r="S109" s="18"/>
      <c r="T109" s="18"/>
      <c r="U109" s="163"/>
      <c r="V109" s="163"/>
      <c r="W109" s="18"/>
      <c r="X109" s="163"/>
      <c r="Y109" s="163"/>
      <c r="Z109" s="18"/>
    </row>
    <row r="110" spans="1:26" s="10" customFormat="1" x14ac:dyDescent="0.25">
      <c r="A110" s="405" t="s">
        <v>428</v>
      </c>
      <c r="B110" s="371" t="str">
        <f>IF(Start!$C$15="x",IF(C110="NA","NA",(IF(C110="","",(IF(OR(F110="NA",F110=""),"No Criteria",(IF(AND(O110="NA",F110&lt;&gt;"NA",C110&lt;&gt;"NA"),                  "Missing Data",(IF(O110&lt;F110,"No",(IF(D110&gt;F110,"Caution",(IF(O110&gt;=F110,"Needed","No"))))))))))))),"---")</f>
        <v>---</v>
      </c>
      <c r="C110" s="372" t="str">
        <f>IF(TRUE=ISBLANK(ChemData!B110),"",(ChemData!B110))</f>
        <v/>
      </c>
      <c r="D110" s="373" t="str">
        <f>IF(TRUE=ISBLANK(ChemData!C110),"",(ChemData!C110))</f>
        <v/>
      </c>
      <c r="E110" s="374" t="str">
        <f>IF(TRUE=ISBLANK(ChemData!D110),"",(ChemData!D110))</f>
        <v/>
      </c>
      <c r="F110" s="289" t="str">
        <f>IF(TRUE=ISBLANK(ChemData!H110),"",(ChemData!H110))</f>
        <v>NA</v>
      </c>
      <c r="G110" s="290">
        <f>IF(TRUE=ISBLANK(ChemData!Q110),"",(ChemData!Q110))</f>
        <v>0.67205747937945803</v>
      </c>
      <c r="H110" s="291">
        <f>IF(TRUE=ISBLANK(ChemData!S110),"",(ChemData!S110))</f>
        <v>1</v>
      </c>
      <c r="I110" s="375" t="str">
        <f>IF(Start!$C$15="x",(IF(OR(C110="NA",C110=""), "NA", (IF($H110 = "NA", "NA", ((C110*$H110)))))),"---")</f>
        <v>---</v>
      </c>
      <c r="J110" s="376" t="str">
        <f>IF(Start!$C$15="x",(IF(I110 = "NA", "NA", IF(OR(D110="NA",D110=""),"NA",(I110 +((Data!$D$19-Data!$D$22)/(Data!$D$19*Data!$D$22)*$D110))))),"---")</f>
        <v>---</v>
      </c>
      <c r="K110" s="376" t="str">
        <f>IF(Start!$C$15="x",(IF(J110="NA","NA",IF(OR(G110="NA",G110=""),"NA",(J110*(1-Data!$D$23)*Data!$D$14*1000)/(Data!$D$23+((1-Data!$D$23)*Data!$D$14*$G110))))),"---")</f>
        <v>---</v>
      </c>
      <c r="L110" s="376" t="str">
        <f>IF(Start!$C$15="x",(IF(I110="NA","NA",IF($G110 = "NA", "NA",(IF(OR(ChemData!U110="NA",ChemData!U110=""),I110/((Data!$D$18+((1-Data!$D$18)*Data!$D$14*$G110))/((1-Data!$D$18)*Data!$D$14*1000)),(IF(I110/((Data!$D$18+((1-Data!$D$18)*Data!$D$14*$G110))/((1-Data!$D$18)*Data!$D$14*1000))&gt;ChemData!U110, ChemData!U110, I110/((Data!$D$18+((1-Data!$D$18)*Data!$D$14*$G110))/((1-Data!$D$18)*Data!$D$14*1000))))))))),"---")</f>
        <v>---</v>
      </c>
      <c r="M110" s="376" t="str">
        <f>IF(Start!$C$15="x",(IF(L110="NA","NA",IF(OR(D110="NA",D110=""),"NA",(((Data!$D$22*Data!$D$18)*L110)+(Data!$D$19-Data!$D$22)*$D110)/((Data!$D$22*Data!$D$18)+Data!$D$19-Data!$D$22)))),"---")</f>
        <v>---</v>
      </c>
      <c r="N110" s="376" t="str">
        <f>IF(Start!$C$15="x",IF(K110 = "NA", "NA", (IF(M110 = "NA", "NA",(IF(OR(ChemData!U110="NA",ChemData!U110=""),(IF(K110&gt;M110,K110,M110)),(IF(K110&gt;M110,(IF(K110&gt;ChemData!U110, ChemData!U110, K110)),(IF(M110&gt;ChemData!U110,ChemData!U110,M110))))))))),"---")</f>
        <v>---</v>
      </c>
      <c r="O110" s="377" t="str">
        <f>IF(Start!$C$15="x",IF(N110 = "NA","NA", IF(OR(E110="NA",E110=""),"NA",(N110+(Data!$D$26*$E110))/(Data!$D$26+1))),"---")</f>
        <v>---</v>
      </c>
      <c r="P110" s="730" t="str">
        <f>IF(E110="",F110,IF($F110&lt;(1+(Data!$D$27/100))*$E110,(1+(Data!$D$27/100))*$E110,$F110))</f>
        <v>NA</v>
      </c>
      <c r="Q110" s="343" t="str">
        <f>IF(Start!$C$15="x",(IF(C110="","",(IF(O110="NA","NA",IF(P110="NA","NA",IF(P110=0,"NA",(O110/P110))))))),"Not Req.")</f>
        <v>Not Req.</v>
      </c>
      <c r="R110" s="163"/>
      <c r="S110" s="18"/>
      <c r="T110" s="18"/>
      <c r="U110" s="163"/>
      <c r="V110" s="163"/>
      <c r="W110" s="18"/>
      <c r="X110" s="163"/>
      <c r="Y110" s="163"/>
      <c r="Z110" s="18"/>
    </row>
    <row r="111" spans="1:26" s="10" customFormat="1" x14ac:dyDescent="0.25">
      <c r="A111" s="405" t="s">
        <v>429</v>
      </c>
      <c r="B111" s="371" t="str">
        <f>IF(Start!$C$15="x",IF(C111="NA","NA",(IF(C111="","",(IF(OR(F111="NA",F111=""),"No Criteria",(IF(AND(O111="NA",F111&lt;&gt;"NA",C111&lt;&gt;"NA"),                  "Missing Data",(IF(O111&lt;F111,"No",(IF(D111&gt;F111,"Caution",(IF(O111&gt;=F111,"Needed","No"))))))))))))),"---")</f>
        <v>---</v>
      </c>
      <c r="C111" s="372" t="str">
        <f>IF(TRUE=ISBLANK(ChemData!B111),"",(ChemData!B111))</f>
        <v/>
      </c>
      <c r="D111" s="373" t="str">
        <f>IF(TRUE=ISBLANK(ChemData!C111),"",(ChemData!C111))</f>
        <v/>
      </c>
      <c r="E111" s="374" t="str">
        <f>IF(TRUE=ISBLANK(ChemData!D111),"",(ChemData!D111))</f>
        <v/>
      </c>
      <c r="F111" s="289">
        <f>IF(TRUE=ISBLANK(ChemData!H111),"",(ChemData!H111))</f>
        <v>2120</v>
      </c>
      <c r="G111" s="290">
        <f>IF(TRUE=ISBLANK(ChemData!Q111),"",(ChemData!Q111))</f>
        <v>4.1438728274899992</v>
      </c>
      <c r="H111" s="291">
        <f>IF(TRUE=ISBLANK(ChemData!S111),"",(ChemData!S111))</f>
        <v>1</v>
      </c>
      <c r="I111" s="375" t="str">
        <f>IF(Start!$C$15="x",(IF(OR(C111="NA",C111=""), "NA", (IF($H111 = "NA", "NA", ((C111*$H111)))))),"---")</f>
        <v>---</v>
      </c>
      <c r="J111" s="376" t="str">
        <f>IF(Start!$C$15="x",(IF(I111 = "NA", "NA", IF(OR(D111="NA",D111=""),"NA",(I111 +((Data!$D$19-Data!$D$22)/(Data!$D$19*Data!$D$22)*$D111))))),"---")</f>
        <v>---</v>
      </c>
      <c r="K111" s="376" t="str">
        <f>IF(Start!$C$15="x",(IF(J111="NA","NA",IF(OR(G111="NA",G111=""),"NA",(J111*(1-Data!$D$23)*Data!$D$14*1000)/(Data!$D$23+((1-Data!$D$23)*Data!$D$14*$G111))))),"---")</f>
        <v>---</v>
      </c>
      <c r="L111" s="376" t="str">
        <f>IF(Start!$C$15="x",(IF(I111="NA","NA",IF($G111 = "NA", "NA",(IF(OR(ChemData!U111="NA",ChemData!U111=""),I111/((Data!$D$18+((1-Data!$D$18)*Data!$D$14*$G111))/((1-Data!$D$18)*Data!$D$14*1000)),(IF(I111/((Data!$D$18+((1-Data!$D$18)*Data!$D$14*$G111))/((1-Data!$D$18)*Data!$D$14*1000))&gt;ChemData!U111, ChemData!U111, I111/((Data!$D$18+((1-Data!$D$18)*Data!$D$14*$G111))/((1-Data!$D$18)*Data!$D$14*1000))))))))),"---")</f>
        <v>---</v>
      </c>
      <c r="M111" s="376" t="str">
        <f>IF(Start!$C$15="x",(IF(L111="NA","NA",IF(OR(D111="NA",D111=""),"NA",(((Data!$D$22*Data!$D$18)*L111)+(Data!$D$19-Data!$D$22)*$D111)/((Data!$D$22*Data!$D$18)+Data!$D$19-Data!$D$22)))),"---")</f>
        <v>---</v>
      </c>
      <c r="N111" s="376" t="str">
        <f>IF(Start!$C$15="x",IF(K111 = "NA", "NA", (IF(M111 = "NA", "NA",(IF(OR(ChemData!U111="NA",ChemData!U111=""),(IF(K111&gt;M111,K111,M111)),(IF(K111&gt;M111,(IF(K111&gt;ChemData!U111, ChemData!U111, K111)),(IF(M111&gt;ChemData!U111,ChemData!U111,M111))))))))),"---")</f>
        <v>---</v>
      </c>
      <c r="O111" s="377" t="str">
        <f>IF(Start!$C$15="x",IF(N111 = "NA","NA", IF(OR(E111="NA",E111=""),"NA",(N111+(Data!$D$26*$E111))/(Data!$D$26+1))),"---")</f>
        <v>---</v>
      </c>
      <c r="P111" s="730">
        <f>IF(E111="",F111,IF($F111&lt;(1+(Data!$D$27/100))*$E111,(1+(Data!$D$27/100))*$E111,$F111))</f>
        <v>2120</v>
      </c>
      <c r="Q111" s="343" t="str">
        <f>IF(Start!$C$15="x",(IF(C111="","",(IF(O111="NA","NA",IF(P111="NA","NA",IF(P111=0,"NA",(O111/P111))))))),"Not Req.")</f>
        <v>Not Req.</v>
      </c>
      <c r="R111" s="163"/>
      <c r="S111" s="18"/>
      <c r="T111" s="18"/>
      <c r="U111" s="163"/>
      <c r="V111" s="163"/>
      <c r="W111" s="18"/>
      <c r="X111" s="163"/>
      <c r="Y111" s="163"/>
      <c r="Z111" s="18"/>
    </row>
    <row r="112" spans="1:26" s="10" customFormat="1" x14ac:dyDescent="0.25">
      <c r="A112" s="405" t="s">
        <v>430</v>
      </c>
      <c r="B112" s="371" t="str">
        <f>IF(Start!$C$15="x",IF(C112="NA","NA",(IF(C112="","",(IF(OR(F112="NA",F112=""),"No Criteria",(IF(AND(O112="NA",F112&lt;&gt;"NA",C112&lt;&gt;"NA"),                  "Missing Data",(IF(O112&lt;F112,"No",(IF(D112&gt;F112,"Caution",(IF(O112&gt;=F112,"Needed","No"))))))))))))),"---")</f>
        <v>---</v>
      </c>
      <c r="C112" s="372" t="str">
        <f>IF(TRUE=ISBLANK(ChemData!B112),"",(ChemData!B112))</f>
        <v/>
      </c>
      <c r="D112" s="373" t="str">
        <f>IF(TRUE=ISBLANK(ChemData!C112),"",(ChemData!C112))</f>
        <v/>
      </c>
      <c r="E112" s="374" t="str">
        <f>IF(TRUE=ISBLANK(ChemData!D112),"",(ChemData!D112))</f>
        <v/>
      </c>
      <c r="F112" s="289" t="str">
        <f>IF(TRUE=ISBLANK(ChemData!H112),"",(ChemData!H112))</f>
        <v>NA</v>
      </c>
      <c r="G112" s="290">
        <f>IF(TRUE=ISBLANK(ChemData!Q112),"",(ChemData!Q112))</f>
        <v>9.2769756944408179</v>
      </c>
      <c r="H112" s="291">
        <f>IF(TRUE=ISBLANK(ChemData!S112),"",(ChemData!S112))</f>
        <v>1</v>
      </c>
      <c r="I112" s="375" t="str">
        <f>IF(Start!$C$15="x",(IF(OR(C112="NA",C112=""), "NA", (IF($H112 = "NA", "NA", ((C112*$H112)))))),"---")</f>
        <v>---</v>
      </c>
      <c r="J112" s="376" t="str">
        <f>IF(Start!$C$15="x",(IF(I112 = "NA", "NA", IF(OR(D112="NA",D112=""),"NA",(I112 +((Data!$D$19-Data!$D$22)/(Data!$D$19*Data!$D$22)*$D112))))),"---")</f>
        <v>---</v>
      </c>
      <c r="K112" s="376" t="str">
        <f>IF(Start!$C$15="x",(IF(J112="NA","NA",IF(OR(G112="NA",G112=""),"NA",(J112*(1-Data!$D$23)*Data!$D$14*1000)/(Data!$D$23+((1-Data!$D$23)*Data!$D$14*$G112))))),"---")</f>
        <v>---</v>
      </c>
      <c r="L112" s="376" t="str">
        <f>IF(Start!$C$15="x",(IF(I112="NA","NA",IF($G112 = "NA", "NA",(IF(OR(ChemData!U112="NA",ChemData!U112=""),I112/((Data!$D$18+((1-Data!$D$18)*Data!$D$14*$G112))/((1-Data!$D$18)*Data!$D$14*1000)),(IF(I112/((Data!$D$18+((1-Data!$D$18)*Data!$D$14*$G112))/((1-Data!$D$18)*Data!$D$14*1000))&gt;ChemData!U112, ChemData!U112, I112/((Data!$D$18+((1-Data!$D$18)*Data!$D$14*$G112))/((1-Data!$D$18)*Data!$D$14*1000))))))))),"---")</f>
        <v>---</v>
      </c>
      <c r="M112" s="376" t="str">
        <f>IF(Start!$C$15="x",(IF(L112="NA","NA",IF(OR(D112="NA",D112=""),"NA",(((Data!$D$22*Data!$D$18)*L112)+(Data!$D$19-Data!$D$22)*$D112)/((Data!$D$22*Data!$D$18)+Data!$D$19-Data!$D$22)))),"---")</f>
        <v>---</v>
      </c>
      <c r="N112" s="376" t="str">
        <f>IF(Start!$C$15="x",IF(K112 = "NA", "NA", (IF(M112 = "NA", "NA",(IF(OR(ChemData!U112="NA",ChemData!U112=""),(IF(K112&gt;M112,K112,M112)),(IF(K112&gt;M112,(IF(K112&gt;ChemData!U112, ChemData!U112, K112)),(IF(M112&gt;ChemData!U112,ChemData!U112,M112))))))))),"---")</f>
        <v>---</v>
      </c>
      <c r="O112" s="377" t="str">
        <f>IF(Start!$C$15="x",IF(N112 = "NA","NA", IF(OR(E112="NA",E112=""),"NA",(N112+(Data!$D$26*$E112))/(Data!$D$26+1))),"---")</f>
        <v>---</v>
      </c>
      <c r="P112" s="730" t="str">
        <f>IF(E112="",F112,IF($F112&lt;(1+(Data!$D$27/100))*$E112,(1+(Data!$D$27/100))*$E112,$F112))</f>
        <v>NA</v>
      </c>
      <c r="Q112" s="343" t="str">
        <f>IF(Start!$C$15="x",(IF(C112="","",(IF(O112="NA","NA",IF(P112="NA","NA",IF(P112=0,"NA",(O112/P112))))))),"Not Req.")</f>
        <v>Not Req.</v>
      </c>
      <c r="R112" s="163"/>
      <c r="S112" s="18"/>
      <c r="T112" s="18"/>
      <c r="U112" s="163"/>
      <c r="V112" s="163"/>
      <c r="W112" s="18"/>
      <c r="X112" s="163"/>
      <c r="Y112" s="163"/>
      <c r="Z112" s="18"/>
    </row>
    <row r="113" spans="1:26" s="10" customFormat="1" x14ac:dyDescent="0.25">
      <c r="A113" s="405" t="s">
        <v>431</v>
      </c>
      <c r="B113" s="371" t="str">
        <f>IF(Start!$C$15="x",IF(C113="NA","NA",(IF(C113="","",(IF(OR(F113="NA",F113=""),"No Criteria",(IF(AND(O113="NA",F113&lt;&gt;"NA",C113&lt;&gt;"NA"),                  "Missing Data",(IF(O113&lt;F113,"No",(IF(D113&gt;F113,"Caution",(IF(O113&gt;=F113,"Needed","No"))))))))))))),"---")</f>
        <v>---</v>
      </c>
      <c r="C113" s="372" t="str">
        <f>IF(TRUE=ISBLANK(ChemData!B113),"",(ChemData!B113))</f>
        <v/>
      </c>
      <c r="D113" s="373" t="str">
        <f>IF(TRUE=ISBLANK(ChemData!C113),"",(ChemData!C113))</f>
        <v/>
      </c>
      <c r="E113" s="374" t="str">
        <f>IF(TRUE=ISBLANK(ChemData!D113),"",(ChemData!D113))</f>
        <v/>
      </c>
      <c r="F113" s="289" t="str">
        <f>IF(TRUE=ISBLANK(ChemData!H113),"",(ChemData!H113))</f>
        <v>NA</v>
      </c>
      <c r="G113" s="290">
        <f>IF(TRUE=ISBLANK(ChemData!Q113),"",(ChemData!Q113))</f>
        <v>0.65675958347134833</v>
      </c>
      <c r="H113" s="291">
        <f>IF(TRUE=ISBLANK(ChemData!S113),"",(ChemData!S113))</f>
        <v>1</v>
      </c>
      <c r="I113" s="375" t="str">
        <f>IF(Start!$C$15="x",(IF(OR(C113="NA",C113=""), "NA", (IF($H113 = "NA", "NA", ((C113*$H113)))))),"---")</f>
        <v>---</v>
      </c>
      <c r="J113" s="376" t="str">
        <f>IF(Start!$C$15="x",(IF(I113 = "NA", "NA", IF(OR(D113="NA",D113=""),"NA",(I113 +((Data!$D$19-Data!$D$22)/(Data!$D$19*Data!$D$22)*$D113))))),"---")</f>
        <v>---</v>
      </c>
      <c r="K113" s="376" t="str">
        <f>IF(Start!$C$15="x",(IF(J113="NA","NA",IF(OR(G113="NA",G113=""),"NA",(J113*(1-Data!$D$23)*Data!$D$14*1000)/(Data!$D$23+((1-Data!$D$23)*Data!$D$14*$G113))))),"---")</f>
        <v>---</v>
      </c>
      <c r="L113" s="376" t="str">
        <f>IF(Start!$C$15="x",(IF(I113="NA","NA",IF($G113 = "NA", "NA",(IF(OR(ChemData!U113="NA",ChemData!U113=""),I113/((Data!$D$18+((1-Data!$D$18)*Data!$D$14*$G113))/((1-Data!$D$18)*Data!$D$14*1000)),(IF(I113/((Data!$D$18+((1-Data!$D$18)*Data!$D$14*$G113))/((1-Data!$D$18)*Data!$D$14*1000))&gt;ChemData!U113, ChemData!U113, I113/((Data!$D$18+((1-Data!$D$18)*Data!$D$14*$G113))/((1-Data!$D$18)*Data!$D$14*1000))))))))),"---")</f>
        <v>---</v>
      </c>
      <c r="M113" s="376" t="str">
        <f>IF(Start!$C$15="x",(IF(L113="NA","NA",IF(OR(D113="NA",D113=""),"NA",(((Data!$D$22*Data!$D$18)*L113)+(Data!$D$19-Data!$D$22)*$D113)/((Data!$D$22*Data!$D$18)+Data!$D$19-Data!$D$22)))),"---")</f>
        <v>---</v>
      </c>
      <c r="N113" s="376" t="str">
        <f>IF(Start!$C$15="x",IF(K113 = "NA", "NA", (IF(M113 = "NA", "NA",(IF(OR(ChemData!U113="NA",ChemData!U113=""),(IF(K113&gt;M113,K113,M113)),(IF(K113&gt;M113,(IF(K113&gt;ChemData!U113, ChemData!U113, K113)),(IF(M113&gt;ChemData!U113,ChemData!U113,M113))))))))),"---")</f>
        <v>---</v>
      </c>
      <c r="O113" s="377" t="str">
        <f>IF(Start!$C$15="x",IF(N113 = "NA","NA", IF(OR(E113="NA",E113=""),"NA",(N113+(Data!$D$26*$E113))/(Data!$D$26+1))),"---")</f>
        <v>---</v>
      </c>
      <c r="P113" s="730" t="str">
        <f>IF(E113="",F113,IF($F113&lt;(1+(Data!$D$27/100))*$E113,(1+(Data!$D$27/100))*$E113,$F113))</f>
        <v>NA</v>
      </c>
      <c r="Q113" s="343" t="str">
        <f>IF(Start!$C$15="x",(IF(C113="","",(IF(O113="NA","NA",IF(P113="NA","NA",IF(P113=0,"NA",(O113/P113))))))),"Not Req.")</f>
        <v>Not Req.</v>
      </c>
      <c r="R113" s="163"/>
      <c r="S113" s="18"/>
      <c r="T113" s="18"/>
      <c r="U113" s="163"/>
      <c r="V113" s="163"/>
      <c r="W113" s="18"/>
      <c r="X113" s="163"/>
      <c r="Y113" s="163"/>
      <c r="Z113" s="18"/>
    </row>
    <row r="114" spans="1:26" s="10" customFormat="1" x14ac:dyDescent="0.25">
      <c r="A114" s="405" t="s">
        <v>432</v>
      </c>
      <c r="B114" s="371" t="str">
        <f>IF(Start!$C$15="x",IF(C114="NA","NA",(IF(C114="","",(IF(OR(F114="NA",F114=""),"No Criteria",(IF(AND(O114="NA",F114&lt;&gt;"NA",C114&lt;&gt;"NA"),                  "Missing Data",(IF(O114&lt;F114,"No",(IF(D114&gt;F114,"Caution",(IF(O114&gt;=F114,"Needed","No"))))))))))))),"---")</f>
        <v>---</v>
      </c>
      <c r="C114" s="372" t="str">
        <f>IF(TRUE=ISBLANK(ChemData!B114),"",(ChemData!B114))</f>
        <v/>
      </c>
      <c r="D114" s="373" t="str">
        <f>IF(TRUE=ISBLANK(ChemData!C114),"",(ChemData!C114))</f>
        <v/>
      </c>
      <c r="E114" s="374" t="str">
        <f>IF(TRUE=ISBLANK(ChemData!D114),"",(ChemData!D114))</f>
        <v/>
      </c>
      <c r="F114" s="289" t="str">
        <f>IF(TRUE=ISBLANK(ChemData!H114),"",(ChemData!H114))</f>
        <v>NA</v>
      </c>
      <c r="G114" s="290">
        <f>IF(TRUE=ISBLANK(ChemData!Q114),"",(ChemData!Q114))</f>
        <v>1.8941153287116765</v>
      </c>
      <c r="H114" s="291">
        <f>IF(TRUE=ISBLANK(ChemData!S114),"",(ChemData!S114))</f>
        <v>1</v>
      </c>
      <c r="I114" s="375" t="str">
        <f>IF(Start!$C$15="x",(IF(OR(C114="NA",C114=""), "NA", (IF($H114 = "NA", "NA", ((C114*$H114)))))),"---")</f>
        <v>---</v>
      </c>
      <c r="J114" s="376" t="str">
        <f>IF(Start!$C$15="x",(IF(I114 = "NA", "NA", IF(OR(D114="NA",D114=""),"NA",(I114 +((Data!$D$19-Data!$D$22)/(Data!$D$19*Data!$D$22)*$D114))))),"---")</f>
        <v>---</v>
      </c>
      <c r="K114" s="376" t="str">
        <f>IF(Start!$C$15="x",(IF(J114="NA","NA",IF(OR(G114="NA",G114=""),"NA",(J114*(1-Data!$D$23)*Data!$D$14*1000)/(Data!$D$23+((1-Data!$D$23)*Data!$D$14*$G114))))),"---")</f>
        <v>---</v>
      </c>
      <c r="L114" s="376" t="str">
        <f>IF(Start!$C$15="x",(IF(I114="NA","NA",IF($G114 = "NA", "NA",(IF(OR(ChemData!U114="NA",ChemData!U114=""),I114/((Data!$D$18+((1-Data!$D$18)*Data!$D$14*$G114))/((1-Data!$D$18)*Data!$D$14*1000)),(IF(I114/((Data!$D$18+((1-Data!$D$18)*Data!$D$14*$G114))/((1-Data!$D$18)*Data!$D$14*1000))&gt;ChemData!U114, ChemData!U114, I114/((Data!$D$18+((1-Data!$D$18)*Data!$D$14*$G114))/((1-Data!$D$18)*Data!$D$14*1000))))))))),"---")</f>
        <v>---</v>
      </c>
      <c r="M114" s="376" t="str">
        <f>IF(Start!$C$15="x",(IF(L114="NA","NA",IF(OR(D114="NA",D114=""),"NA",(((Data!$D$22*Data!$D$18)*L114)+(Data!$D$19-Data!$D$22)*$D114)/((Data!$D$22*Data!$D$18)+Data!$D$19-Data!$D$22)))),"---")</f>
        <v>---</v>
      </c>
      <c r="N114" s="376" t="str">
        <f>IF(Start!$C$15="x",IF(K114 = "NA", "NA", (IF(M114 = "NA", "NA",(IF(OR(ChemData!U114="NA",ChemData!U114=""),(IF(K114&gt;M114,K114,M114)),(IF(K114&gt;M114,(IF(K114&gt;ChemData!U114, ChemData!U114, K114)),(IF(M114&gt;ChemData!U114,ChemData!U114,M114))))))))),"---")</f>
        <v>---</v>
      </c>
      <c r="O114" s="377" t="str">
        <f>IF(Start!$C$15="x",IF(N114 = "NA","NA", IF(OR(E114="NA",E114=""),"NA",(N114+(Data!$D$26*$E114))/(Data!$D$26+1))),"---")</f>
        <v>---</v>
      </c>
      <c r="P114" s="730" t="str">
        <f>IF(E114="",F114,IF($F114&lt;(1+(Data!$D$27/100))*$E114,(1+(Data!$D$27/100))*$E114,$F114))</f>
        <v>NA</v>
      </c>
      <c r="Q114" s="343" t="str">
        <f>IF(Start!$C$15="x",(IF(C114="","",(IF(O114="NA","NA",IF(P114="NA","NA",IF(P114=0,"NA",(O114/P114))))))),"Not Req.")</f>
        <v>Not Req.</v>
      </c>
      <c r="R114" s="163"/>
      <c r="S114" s="18"/>
      <c r="T114" s="18"/>
      <c r="U114" s="163"/>
      <c r="V114" s="163"/>
      <c r="W114" s="18"/>
      <c r="X114" s="163"/>
      <c r="Y114" s="163"/>
      <c r="Z114" s="18"/>
    </row>
    <row r="115" spans="1:26" s="10" customFormat="1" x14ac:dyDescent="0.25">
      <c r="A115" s="405" t="s">
        <v>433</v>
      </c>
      <c r="B115" s="371" t="str">
        <f>IF(Start!$C$15="x",IF(C115="NA","NA",(IF(C115="","",(IF(OR(F115="NA",F115=""),"No Criteria",(IF(AND(O115="NA",F115&lt;&gt;"NA",C115&lt;&gt;"NA"),                  "Missing Data",(IF(O115&lt;F115,"No",(IF(D115&gt;F115,"Caution",(IF(O115&gt;=F115,"Needed","No"))))))))))))),"---")</f>
        <v>---</v>
      </c>
      <c r="C115" s="372" t="str">
        <f>IF(TRUE=ISBLANK(ChemData!B115),"",(ChemData!B115))</f>
        <v/>
      </c>
      <c r="D115" s="373" t="str">
        <f>IF(TRUE=ISBLANK(ChemData!C115),"",(ChemData!C115))</f>
        <v/>
      </c>
      <c r="E115" s="374" t="str">
        <f>IF(TRUE=ISBLANK(ChemData!D115),"",(ChemData!D115))</f>
        <v/>
      </c>
      <c r="F115" s="289" t="str">
        <f>IF(TRUE=ISBLANK(ChemData!H115),"",(ChemData!H115))</f>
        <v>NA</v>
      </c>
      <c r="G115" s="290">
        <f>IF(TRUE=ISBLANK(ChemData!Q115),"",(ChemData!Q115))</f>
        <v>3.5270077889499718</v>
      </c>
      <c r="H115" s="291">
        <f>IF(TRUE=ISBLANK(ChemData!S115),"",(ChemData!S115))</f>
        <v>1</v>
      </c>
      <c r="I115" s="375" t="str">
        <f>IF(Start!$C$15="x",(IF(OR(C115="NA",C115=""), "NA", (IF($H115 = "NA", "NA", ((C115*$H115)))))),"---")</f>
        <v>---</v>
      </c>
      <c r="J115" s="376" t="str">
        <f>IF(Start!$C$15="x",(IF(I115 = "NA", "NA", IF(OR(D115="NA",D115=""),"NA",(I115 +((Data!$D$19-Data!$D$22)/(Data!$D$19*Data!$D$22)*$D115))))),"---")</f>
        <v>---</v>
      </c>
      <c r="K115" s="376" t="str">
        <f>IF(Start!$C$15="x",(IF(J115="NA","NA",IF(OR(G115="NA",G115=""),"NA",(J115*(1-Data!$D$23)*Data!$D$14*1000)/(Data!$D$23+((1-Data!$D$23)*Data!$D$14*$G115))))),"---")</f>
        <v>---</v>
      </c>
      <c r="L115" s="376" t="str">
        <f>IF(Start!$C$15="x",(IF(I115="NA","NA",IF($G115 = "NA", "NA",(IF(OR(ChemData!U115="NA",ChemData!U115=""),I115/((Data!$D$18+((1-Data!$D$18)*Data!$D$14*$G115))/((1-Data!$D$18)*Data!$D$14*1000)),(IF(I115/((Data!$D$18+((1-Data!$D$18)*Data!$D$14*$G115))/((1-Data!$D$18)*Data!$D$14*1000))&gt;ChemData!U115, ChemData!U115, I115/((Data!$D$18+((1-Data!$D$18)*Data!$D$14*$G115))/((1-Data!$D$18)*Data!$D$14*1000))))))))),"---")</f>
        <v>---</v>
      </c>
      <c r="M115" s="376" t="str">
        <f>IF(Start!$C$15="x",(IF(L115="NA","NA",IF(OR(D115="NA",D115=""),"NA",(((Data!$D$22*Data!$D$18)*L115)+(Data!$D$19-Data!$D$22)*$D115)/((Data!$D$22*Data!$D$18)+Data!$D$19-Data!$D$22)))),"---")</f>
        <v>---</v>
      </c>
      <c r="N115" s="376" t="str">
        <f>IF(Start!$C$15="x",IF(K115 = "NA", "NA", (IF(M115 = "NA", "NA",(IF(OR(ChemData!U115="NA",ChemData!U115=""),(IF(K115&gt;M115,K115,M115)),(IF(K115&gt;M115,(IF(K115&gt;ChemData!U115, ChemData!U115, K115)),(IF(M115&gt;ChemData!U115,ChemData!U115,M115))))))))),"---")</f>
        <v>---</v>
      </c>
      <c r="O115" s="377" t="str">
        <f>IF(Start!$C$15="x",IF(N115 = "NA","NA", IF(OR(E115="NA",E115=""),"NA",(N115+(Data!$D$26*$E115))/(Data!$D$26+1))),"---")</f>
        <v>---</v>
      </c>
      <c r="P115" s="730" t="str">
        <f>IF(E115="",F115,IF($F115&lt;(1+(Data!$D$27/100))*$E115,(1+(Data!$D$27/100))*$E115,$F115))</f>
        <v>NA</v>
      </c>
      <c r="Q115" s="343" t="str">
        <f>IF(Start!$C$15="x",(IF(C115="","",(IF(O115="NA","NA",IF(P115="NA","NA",IF(P115=0,"NA",(O115/P115))))))),"Not Req.")</f>
        <v>Not Req.</v>
      </c>
      <c r="R115" s="163"/>
      <c r="S115" s="18"/>
      <c r="T115" s="18"/>
      <c r="U115" s="163"/>
      <c r="V115" s="163"/>
      <c r="W115" s="18"/>
      <c r="X115" s="163"/>
      <c r="Y115" s="163"/>
      <c r="Z115" s="18"/>
    </row>
    <row r="116" spans="1:26" s="10" customFormat="1" x14ac:dyDescent="0.25">
      <c r="A116" s="405" t="s">
        <v>434</v>
      </c>
      <c r="B116" s="371" t="str">
        <f>IF(Start!$C$15="x",IF(C116="NA","NA",(IF(C116="","",(IF(OR(F116="NA",F116=""),"No Criteria",(IF(AND(O116="NA",F116&lt;&gt;"NA",C116&lt;&gt;"NA"),                  "Missing Data",(IF(O116&lt;F116,"No",(IF(D116&gt;F116,"Caution",(IF(O116&gt;=F116,"Needed","No"))))))))))))),"---")</f>
        <v>---</v>
      </c>
      <c r="C116" s="372" t="str">
        <f>IF(TRUE=ISBLANK(ChemData!B116),"",(ChemData!B116))</f>
        <v/>
      </c>
      <c r="D116" s="373" t="str">
        <f>IF(TRUE=ISBLANK(ChemData!C116),"",(ChemData!C116))</f>
        <v/>
      </c>
      <c r="E116" s="374" t="str">
        <f>IF(TRUE=ISBLANK(ChemData!D116),"",(ChemData!D116))</f>
        <v/>
      </c>
      <c r="F116" s="289" t="str">
        <f>IF(TRUE=ISBLANK(ChemData!H116),"",(ChemData!H116))</f>
        <v>NA</v>
      </c>
      <c r="G116" s="290">
        <f>IF(TRUE=ISBLANK(ChemData!Q116),"",(ChemData!Q116))</f>
        <v>16.121536050087055</v>
      </c>
      <c r="H116" s="291">
        <f>IF(TRUE=ISBLANK(ChemData!S116),"",(ChemData!S116))</f>
        <v>1</v>
      </c>
      <c r="I116" s="375" t="str">
        <f>IF(Start!$C$15="x",(IF(OR(C116="NA",C116=""), "NA", (IF($H116 = "NA", "NA", ((C116*$H116)))))),"---")</f>
        <v>---</v>
      </c>
      <c r="J116" s="376" t="str">
        <f>IF(Start!$C$15="x",(IF(I116 = "NA", "NA", IF(OR(D116="NA",D116=""),"NA",(I116 +((Data!$D$19-Data!$D$22)/(Data!$D$19*Data!$D$22)*$D116))))),"---")</f>
        <v>---</v>
      </c>
      <c r="K116" s="376" t="str">
        <f>IF(Start!$C$15="x",(IF(J116="NA","NA",IF(OR(G116="NA",G116=""),"NA",(J116*(1-Data!$D$23)*Data!$D$14*1000)/(Data!$D$23+((1-Data!$D$23)*Data!$D$14*$G116))))),"---")</f>
        <v>---</v>
      </c>
      <c r="L116" s="376" t="str">
        <f>IF(Start!$C$15="x",(IF(I116="NA","NA",IF($G116 = "NA", "NA",(IF(OR(ChemData!U116="NA",ChemData!U116=""),I116/((Data!$D$18+((1-Data!$D$18)*Data!$D$14*$G116))/((1-Data!$D$18)*Data!$D$14*1000)),(IF(I116/((Data!$D$18+((1-Data!$D$18)*Data!$D$14*$G116))/((1-Data!$D$18)*Data!$D$14*1000))&gt;ChemData!U116, ChemData!U116, I116/((Data!$D$18+((1-Data!$D$18)*Data!$D$14*$G116))/((1-Data!$D$18)*Data!$D$14*1000))))))))),"---")</f>
        <v>---</v>
      </c>
      <c r="M116" s="376" t="str">
        <f>IF(Start!$C$15="x",(IF(L116="NA","NA",IF(OR(D116="NA",D116=""),"NA",(((Data!$D$22*Data!$D$18)*L116)+(Data!$D$19-Data!$D$22)*$D116)/((Data!$D$22*Data!$D$18)+Data!$D$19-Data!$D$22)))),"---")</f>
        <v>---</v>
      </c>
      <c r="N116" s="376" t="str">
        <f>IF(Start!$C$15="x",IF(K116 = "NA", "NA", (IF(M116 = "NA", "NA",(IF(OR(ChemData!U116="NA",ChemData!U116=""),(IF(K116&gt;M116,K116,M116)),(IF(K116&gt;M116,(IF(K116&gt;ChemData!U116, ChemData!U116, K116)),(IF(M116&gt;ChemData!U116,ChemData!U116,M116))))))))),"---")</f>
        <v>---</v>
      </c>
      <c r="O116" s="377" t="str">
        <f>IF(Start!$C$15="x",IF(N116 = "NA","NA", IF(OR(E116="NA",E116=""),"NA",(N116+(Data!$D$26*$E116))/(Data!$D$26+1))),"---")</f>
        <v>---</v>
      </c>
      <c r="P116" s="730" t="str">
        <f>IF(E116="",F116,IF($F116&lt;(1+(Data!$D$27/100))*$E116,(1+(Data!$D$27/100))*$E116,$F116))</f>
        <v>NA</v>
      </c>
      <c r="Q116" s="343" t="str">
        <f>IF(Start!$C$15="x",(IF(C116="","",(IF(O116="NA","NA",IF(P116="NA","NA",IF(P116=0,"NA",(O116/P116))))))),"Not Req.")</f>
        <v>Not Req.</v>
      </c>
      <c r="R116" s="163"/>
      <c r="S116" s="18"/>
      <c r="T116" s="18"/>
      <c r="U116" s="163"/>
      <c r="V116" s="163"/>
      <c r="W116" s="18"/>
      <c r="X116" s="163"/>
      <c r="Y116" s="163"/>
      <c r="Z116" s="18"/>
    </row>
    <row r="117" spans="1:26" s="10" customFormat="1" x14ac:dyDescent="0.25">
      <c r="A117" s="405" t="s">
        <v>435</v>
      </c>
      <c r="B117" s="371" t="str">
        <f>IF(Start!$C$15="x",IF(C117="NA","NA",(IF(C117="","",(IF(OR(F117="NA",F117=""),"No Criteria",(IF(AND(O117="NA",F117&lt;&gt;"NA",C117&lt;&gt;"NA"),                  "Missing Data",(IF(O117&lt;F117,"No",(IF(D117&gt;F117,"Caution",(IF(O117&gt;=F117,"Needed","No"))))))))))))),"---")</f>
        <v>---</v>
      </c>
      <c r="C117" s="372" t="str">
        <f>IF(TRUE=ISBLANK(ChemData!B117),"",(ChemData!B117))</f>
        <v/>
      </c>
      <c r="D117" s="373" t="str">
        <f>IF(TRUE=ISBLANK(ChemData!C117),"",(ChemData!C117))</f>
        <v/>
      </c>
      <c r="E117" s="374" t="str">
        <f>IF(TRUE=ISBLANK(ChemData!D117),"",(ChemData!D117))</f>
        <v/>
      </c>
      <c r="F117" s="289" t="str">
        <f>IF(TRUE=ISBLANK(ChemData!H117),"",(ChemData!H117))</f>
        <v>NA</v>
      </c>
      <c r="G117" s="290">
        <f>IF(TRUE=ISBLANK(ChemData!Q117),"",(ChemData!Q117))</f>
        <v>14368.334128797091</v>
      </c>
      <c r="H117" s="291">
        <f>IF(TRUE=ISBLANK(ChemData!S117),"",(ChemData!S117))</f>
        <v>1</v>
      </c>
      <c r="I117" s="375" t="str">
        <f>IF(Start!$C$15="x",(IF(OR(C117="NA",C117=""), "NA", (IF($H117 = "NA", "NA", ((C117*$H117)))))),"---")</f>
        <v>---</v>
      </c>
      <c r="J117" s="376" t="str">
        <f>IF(Start!$C$15="x",(IF(I117 = "NA", "NA", IF(OR(D117="NA",D117=""),"NA",(I117 +((Data!$D$19-Data!$D$22)/(Data!$D$19*Data!$D$22)*$D117))))),"---")</f>
        <v>---</v>
      </c>
      <c r="K117" s="376" t="str">
        <f>IF(Start!$C$15="x",(IF(J117="NA","NA",IF(OR(G117="NA",G117=""),"NA",(J117*(1-Data!$D$23)*Data!$D$14*1000)/(Data!$D$23+((1-Data!$D$23)*Data!$D$14*$G117))))),"---")</f>
        <v>---</v>
      </c>
      <c r="L117" s="376" t="str">
        <f>IF(Start!$C$15="x",(IF(I117="NA","NA",IF($G117 = "NA", "NA",(IF(OR(ChemData!U117="NA",ChemData!U117=""),I117/((Data!$D$18+((1-Data!$D$18)*Data!$D$14*$G117))/((1-Data!$D$18)*Data!$D$14*1000)),(IF(I117/((Data!$D$18+((1-Data!$D$18)*Data!$D$14*$G117))/((1-Data!$D$18)*Data!$D$14*1000))&gt;ChemData!U117, ChemData!U117, I117/((Data!$D$18+((1-Data!$D$18)*Data!$D$14*$G117))/((1-Data!$D$18)*Data!$D$14*1000))))))))),"---")</f>
        <v>---</v>
      </c>
      <c r="M117" s="376" t="str">
        <f>IF(Start!$C$15="x",(IF(L117="NA","NA",IF(OR(D117="NA",D117=""),"NA",(((Data!$D$22*Data!$D$18)*L117)+(Data!$D$19-Data!$D$22)*$D117)/((Data!$D$22*Data!$D$18)+Data!$D$19-Data!$D$22)))),"---")</f>
        <v>---</v>
      </c>
      <c r="N117" s="376" t="str">
        <f>IF(Start!$C$15="x",IF(K117 = "NA", "NA", (IF(M117 = "NA", "NA",(IF(OR(ChemData!U117="NA",ChemData!U117=""),(IF(K117&gt;M117,K117,M117)),(IF(K117&gt;M117,(IF(K117&gt;ChemData!U117, ChemData!U117, K117)),(IF(M117&gt;ChemData!U117,ChemData!U117,M117))))))))),"---")</f>
        <v>---</v>
      </c>
      <c r="O117" s="377" t="str">
        <f>IF(Start!$C$15="x",IF(N117 = "NA","NA", IF(OR(E117="NA",E117=""),"NA",(N117+(Data!$D$26*$E117))/(Data!$D$26+1))),"---")</f>
        <v>---</v>
      </c>
      <c r="P117" s="730" t="str">
        <f>IF(E117="",F117,IF($F117&lt;(1+(Data!$D$27/100))*$E117,(1+(Data!$D$27/100))*$E117,$F117))</f>
        <v>NA</v>
      </c>
      <c r="Q117" s="343" t="str">
        <f>IF(Start!$C$15="x",(IF(C117="","",(IF(O117="NA","NA",IF(P117="NA","NA",IF(P117=0,"NA",(O117/P117))))))),"Not Req.")</f>
        <v>Not Req.</v>
      </c>
      <c r="R117" s="163"/>
      <c r="S117" s="18"/>
      <c r="T117" s="18"/>
      <c r="U117" s="163"/>
      <c r="V117" s="163"/>
      <c r="W117" s="18"/>
      <c r="X117" s="163"/>
      <c r="Y117" s="163"/>
      <c r="Z117" s="18"/>
    </row>
    <row r="118" spans="1:26" s="10" customFormat="1" ht="14.1" customHeight="1" x14ac:dyDescent="0.25">
      <c r="A118" s="405" t="s">
        <v>436</v>
      </c>
      <c r="B118" s="371" t="str">
        <f>IF(Start!$C$15="x",IF(C118="NA","NA",(IF(C118="","",(IF(OR(F118="NA",F118=""),"No Criteria",(IF(AND(O118="NA",F118&lt;&gt;"NA",C118&lt;&gt;"NA"),                  "Missing Data",(IF(O118&lt;F118,"No",(IF(D118&gt;F118,"Caution",(IF(O118&gt;=F118,"Needed","No"))))))))))))),"---")</f>
        <v>---</v>
      </c>
      <c r="C118" s="372" t="str">
        <f>IF(TRUE=ISBLANK(ChemData!B118),"",(ChemData!B118))</f>
        <v/>
      </c>
      <c r="D118" s="373" t="str">
        <f>IF(TRUE=ISBLANK(ChemData!C118),"",(ChemData!C118))</f>
        <v/>
      </c>
      <c r="E118" s="374" t="str">
        <f>IF(TRUE=ISBLANK(ChemData!D118),"",(ChemData!D118))</f>
        <v/>
      </c>
      <c r="F118" s="289">
        <f>IF(TRUE=ISBLANK(ChemData!H118),"",(ChemData!H118))</f>
        <v>90</v>
      </c>
      <c r="G118" s="290">
        <f>IF(TRUE=ISBLANK(ChemData!Q118),"",(ChemData!Q118))</f>
        <v>1195.1059779431475</v>
      </c>
      <c r="H118" s="291">
        <f>IF(TRUE=ISBLANK(ChemData!S118),"",(ChemData!S118))</f>
        <v>1</v>
      </c>
      <c r="I118" s="375" t="str">
        <f>IF(Start!$C$15="x",(IF(OR(C118="NA",C118=""), "NA", (IF($H118 = "NA", "NA", ((C118*$H118)))))),"---")</f>
        <v>---</v>
      </c>
      <c r="J118" s="376" t="str">
        <f>IF(Start!$C$15="x",(IF(I118 = "NA", "NA", IF(OR(D118="NA",D118=""),"NA",(I118 +((Data!$D$19-Data!$D$22)/(Data!$D$19*Data!$D$22)*$D118))))),"---")</f>
        <v>---</v>
      </c>
      <c r="K118" s="376" t="str">
        <f>IF(Start!$C$15="x",(IF(J118="NA","NA",IF(OR(G118="NA",G118=""),"NA",(J118*(1-Data!$D$23)*Data!$D$14*1000)/(Data!$D$23+((1-Data!$D$23)*Data!$D$14*$G118))))),"---")</f>
        <v>---</v>
      </c>
      <c r="L118" s="376" t="str">
        <f>IF(Start!$C$15="x",(IF(I118="NA","NA",IF($G118 = "NA", "NA",(IF(OR(ChemData!U118="NA",ChemData!U118=""),I118/((Data!$D$18+((1-Data!$D$18)*Data!$D$14*$G118))/((1-Data!$D$18)*Data!$D$14*1000)),(IF(I118/((Data!$D$18+((1-Data!$D$18)*Data!$D$14*$G118))/((1-Data!$D$18)*Data!$D$14*1000))&gt;ChemData!U118, ChemData!U118, I118/((Data!$D$18+((1-Data!$D$18)*Data!$D$14*$G118))/((1-Data!$D$18)*Data!$D$14*1000))))))))),"---")</f>
        <v>---</v>
      </c>
      <c r="M118" s="376" t="str">
        <f>IF(Start!$C$15="x",(IF(L118="NA","NA",IF(OR(D118="NA",D118=""),"NA",(((Data!$D$22*Data!$D$18)*L118)+(Data!$D$19-Data!$D$22)*$D118)/((Data!$D$22*Data!$D$18)+Data!$D$19-Data!$D$22)))),"---")</f>
        <v>---</v>
      </c>
      <c r="N118" s="376" t="str">
        <f>IF(Start!$C$15="x",IF(K118 = "NA", "NA", (IF(M118 = "NA", "NA",(IF(OR(ChemData!U118="NA",ChemData!U118=""),(IF(K118&gt;M118,K118,M118)),(IF(K118&gt;M118,(IF(K118&gt;ChemData!U118, ChemData!U118, K118)),(IF(M118&gt;ChemData!U118,ChemData!U118,M118))))))))),"---")</f>
        <v>---</v>
      </c>
      <c r="O118" s="377" t="str">
        <f>IF(Start!$C$15="x",IF(N118 = "NA","NA", IF(OR(E118="NA",E118=""),"NA",(N118+(Data!$D$26*$E118))/(Data!$D$26+1))),"---")</f>
        <v>---</v>
      </c>
      <c r="P118" s="730">
        <f>IF(E118="",F118,IF($F118&lt;(1+(Data!$D$27/100))*$E118,(1+(Data!$D$27/100))*$E118,$F118))</f>
        <v>90</v>
      </c>
      <c r="Q118" s="343" t="str">
        <f>IF(Start!$C$15="x",(IF(C118="","",(IF(O118="NA","NA",IF(P118="NA","NA",IF(P118=0,"NA",(O118/P118))))))),"Not Req.")</f>
        <v>Not Req.</v>
      </c>
      <c r="R118" s="163"/>
      <c r="S118" s="18"/>
      <c r="T118" s="18"/>
      <c r="U118" s="163"/>
      <c r="V118" s="163"/>
      <c r="W118" s="18"/>
      <c r="X118" s="163"/>
      <c r="Y118" s="163"/>
      <c r="Z118" s="18"/>
    </row>
    <row r="119" spans="1:26" s="10" customFormat="1" x14ac:dyDescent="0.25">
      <c r="A119" s="405" t="s">
        <v>437</v>
      </c>
      <c r="B119" s="371" t="str">
        <f>IF(Start!$C$15="x",IF(C119="NA","NA",(IF(C119="","",(IF(OR(F119="NA",F119=""),"No Criteria",(IF(AND(O119="NA",F119&lt;&gt;"NA",C119&lt;&gt;"NA"),                  "Missing Data",(IF(O119&lt;F119,"No",(IF(D119&gt;F119,"Caution",(IF(O119&gt;=F119,"Needed","No"))))))))))))),"---")</f>
        <v>---</v>
      </c>
      <c r="C119" s="372" t="str">
        <f>IF(TRUE=ISBLANK(ChemData!B119),"",(ChemData!B119))</f>
        <v/>
      </c>
      <c r="D119" s="373" t="str">
        <f>IF(TRUE=ISBLANK(ChemData!C119),"",(ChemData!C119))</f>
        <v/>
      </c>
      <c r="E119" s="374" t="str">
        <f>IF(TRUE=ISBLANK(ChemData!D119),"",(ChemData!D119))</f>
        <v/>
      </c>
      <c r="F119" s="289">
        <f>IF(TRUE=ISBLANK(ChemData!H119),"",(ChemData!H119))</f>
        <v>7</v>
      </c>
      <c r="G119" s="290">
        <f>IF(TRUE=ISBLANK(ChemData!Q119),"",(ChemData!Q119))</f>
        <v>1851</v>
      </c>
      <c r="H119" s="291">
        <f>IF(TRUE=ISBLANK(ChemData!S119),"",(ChemData!S119))</f>
        <v>1</v>
      </c>
      <c r="I119" s="375" t="str">
        <f>IF(Start!$C$15="x",(IF(OR(C119="NA",C119=""), "NA", (IF($H119 = "NA", "NA", ((C119*$H119)))))),"---")</f>
        <v>---</v>
      </c>
      <c r="J119" s="376" t="str">
        <f>IF(Start!$C$15="x",(IF(I119 = "NA", "NA", IF(OR(D119="NA",D119=""),"NA",(I119 +((Data!$D$19-Data!$D$22)/(Data!$D$19*Data!$D$22)*$D119))))),"---")</f>
        <v>---</v>
      </c>
      <c r="K119" s="376" t="str">
        <f>IF(Start!$C$15="x",(IF(J119="NA","NA",IF(OR(G119="NA",G119=""),"NA",(J119*(1-Data!$D$23)*Data!$D$14*1000)/(Data!$D$23+((1-Data!$D$23)*Data!$D$14*$G119))))),"---")</f>
        <v>---</v>
      </c>
      <c r="L119" s="376" t="str">
        <f>IF(Start!$C$15="x",(IF(I119="NA","NA",IF($G119 = "NA", "NA",(IF(OR(ChemData!U119="NA",ChemData!U119=""),I119/((Data!$D$18+((1-Data!$D$18)*Data!$D$14*$G119))/((1-Data!$D$18)*Data!$D$14*1000)),(IF(I119/((Data!$D$18+((1-Data!$D$18)*Data!$D$14*$G119))/((1-Data!$D$18)*Data!$D$14*1000))&gt;ChemData!U119, ChemData!U119, I119/((Data!$D$18+((1-Data!$D$18)*Data!$D$14*$G119))/((1-Data!$D$18)*Data!$D$14*1000))))))))),"---")</f>
        <v>---</v>
      </c>
      <c r="M119" s="376" t="str">
        <f>IF(Start!$C$15="x",(IF(L119="NA","NA",IF(OR(D119="NA",D119=""),"NA",(((Data!$D$22*Data!$D$18)*L119)+(Data!$D$19-Data!$D$22)*$D119)/((Data!$D$22*Data!$D$18)+Data!$D$19-Data!$D$22)))),"---")</f>
        <v>---</v>
      </c>
      <c r="N119" s="376" t="str">
        <f>IF(Start!$C$15="x",IF(K119 = "NA", "NA", (IF(M119 = "NA", "NA",(IF(OR(ChemData!U119="NA",ChemData!U119=""),(IF(K119&gt;M119,K119,M119)),(IF(K119&gt;M119,(IF(K119&gt;ChemData!U119, ChemData!U119, K119)),(IF(M119&gt;ChemData!U119,ChemData!U119,M119))))))))),"---")</f>
        <v>---</v>
      </c>
      <c r="O119" s="377" t="str">
        <f>IF(Start!$C$15="x",IF(N119 = "NA","NA", IF(OR(E119="NA",E119=""),"NA",(N119+(Data!$D$26*$E119))/(Data!$D$26+1))),"---")</f>
        <v>---</v>
      </c>
      <c r="P119" s="730">
        <f>IF(E119="",F119,IF($F119&lt;(1+(Data!$D$27/100))*$E119,(1+(Data!$D$27/100))*$E119,$F119))</f>
        <v>7</v>
      </c>
      <c r="Q119" s="343" t="str">
        <f>IF(Start!$C$15="x",(IF(C119="","",(IF(O119="NA","NA",IF(P119="NA","NA",IF(P119=0,"NA",(O119/P119))))))),"Not Req.")</f>
        <v>Not Req.</v>
      </c>
      <c r="R119" s="163"/>
      <c r="S119" s="18"/>
      <c r="T119" s="18"/>
      <c r="U119" s="163"/>
      <c r="V119" s="163"/>
      <c r="W119" s="18"/>
      <c r="X119" s="163"/>
      <c r="Y119" s="163"/>
      <c r="Z119" s="18"/>
    </row>
    <row r="120" spans="1:26" s="10" customFormat="1" x14ac:dyDescent="0.25">
      <c r="A120" s="405" t="s">
        <v>438</v>
      </c>
      <c r="B120" s="371" t="str">
        <f>IF(Start!$C$15="x",IF(C120="NA","NA",(IF(C120="","",(IF(OR(F120="NA",F120=""),"No Criteria",(IF(AND(O120="NA",F120&lt;&gt;"NA",C120&lt;&gt;"NA"),                  "Missing Data",(IF(O120&lt;F120,"No",(IF(D120&gt;F120,"Caution",(IF(O120&gt;=F120,"Needed","No"))))))))))))),"---")</f>
        <v>---</v>
      </c>
      <c r="C120" s="372" t="str">
        <f>IF(TRUE=ISBLANK(ChemData!B120),"",(ChemData!B120))</f>
        <v/>
      </c>
      <c r="D120" s="373" t="str">
        <f>IF(TRUE=ISBLANK(ChemData!C120),"",(ChemData!C120))</f>
        <v/>
      </c>
      <c r="E120" s="374" t="str">
        <f>IF(TRUE=ISBLANK(ChemData!D120),"",(ChemData!D120))</f>
        <v/>
      </c>
      <c r="F120" s="289">
        <f>IF(TRUE=ISBLANK(ChemData!H120),"",(ChemData!H120))</f>
        <v>210</v>
      </c>
      <c r="G120" s="290">
        <f>IF(TRUE=ISBLANK(ChemData!Q120),"",(ChemData!Q120))</f>
        <v>185.1</v>
      </c>
      <c r="H120" s="291">
        <f>IF(TRUE=ISBLANK(ChemData!S120),"",(ChemData!S120))</f>
        <v>1</v>
      </c>
      <c r="I120" s="375" t="str">
        <f>IF(Start!$C$15="x",(IF(OR(C120="NA",C120=""), "NA", (IF($H120 = "NA", "NA", ((C120*$H120)))))),"---")</f>
        <v>---</v>
      </c>
      <c r="J120" s="376" t="str">
        <f>IF(Start!$C$15="x",(IF(I120 = "NA", "NA", IF(OR(D120="NA",D120=""),"NA",(I120 +((Data!$D$19-Data!$D$22)/(Data!$D$19*Data!$D$22)*$D120))))),"---")</f>
        <v>---</v>
      </c>
      <c r="K120" s="376" t="str">
        <f>IF(Start!$C$15="x",(IF(J120="NA","NA",IF(OR(G120="NA",G120=""),"NA",(J120*(1-Data!$D$23)*Data!$D$14*1000)/(Data!$D$23+((1-Data!$D$23)*Data!$D$14*$G120))))),"---")</f>
        <v>---</v>
      </c>
      <c r="L120" s="376" t="str">
        <f>IF(Start!$C$15="x",(IF(I120="NA","NA",IF($G120 = "NA", "NA",(IF(OR(ChemData!U120="NA",ChemData!U120=""),I120/((Data!$D$18+((1-Data!$D$18)*Data!$D$14*$G120))/((1-Data!$D$18)*Data!$D$14*1000)),(IF(I120/((Data!$D$18+((1-Data!$D$18)*Data!$D$14*$G120))/((1-Data!$D$18)*Data!$D$14*1000))&gt;ChemData!U120, ChemData!U120, I120/((Data!$D$18+((1-Data!$D$18)*Data!$D$14*$G120))/((1-Data!$D$18)*Data!$D$14*1000))))))))),"---")</f>
        <v>---</v>
      </c>
      <c r="M120" s="376" t="str">
        <f>IF(Start!$C$15="x",(IF(L120="NA","NA",IF(OR(D120="NA",D120=""),"NA",(((Data!$D$22*Data!$D$18)*L120)+(Data!$D$19-Data!$D$22)*$D120)/((Data!$D$22*Data!$D$18)+Data!$D$19-Data!$D$22)))),"---")</f>
        <v>---</v>
      </c>
      <c r="N120" s="376" t="str">
        <f>IF(Start!$C$15="x",IF(K120 = "NA", "NA", (IF(M120 = "NA", "NA",(IF(OR(ChemData!U120="NA",ChemData!U120=""),(IF(K120&gt;M120,K120,M120)),(IF(K120&gt;M120,(IF(K120&gt;ChemData!U120, ChemData!U120, K120)),(IF(M120&gt;ChemData!U120,ChemData!U120,M120))))))))),"---")</f>
        <v>---</v>
      </c>
      <c r="O120" s="377" t="str">
        <f>IF(Start!$C$15="x",IF(N120 = "NA","NA", IF(OR(E120="NA",E120=""),"NA",(N120+(Data!$D$26*$E120))/(Data!$D$26+1))),"---")</f>
        <v>---</v>
      </c>
      <c r="P120" s="730">
        <f>IF(E120="",F120,IF($F120&lt;(1+(Data!$D$27/100))*$E120,(1+(Data!$D$27/100))*$E120,$F120))</f>
        <v>210</v>
      </c>
      <c r="Q120" s="343" t="str">
        <f>IF(Start!$C$15="x",(IF(C120="","",(IF(O120="NA","NA",IF(P120="NA","NA",IF(P120=0,"NA",(O120/P120))))))),"Not Req.")</f>
        <v>Not Req.</v>
      </c>
      <c r="R120" s="163"/>
      <c r="S120" s="18"/>
      <c r="T120" s="18"/>
      <c r="U120" s="163"/>
      <c r="V120" s="163"/>
      <c r="W120" s="18"/>
      <c r="X120" s="163"/>
      <c r="Y120" s="163"/>
      <c r="Z120" s="18"/>
    </row>
    <row r="121" spans="1:26" s="10" customFormat="1" x14ac:dyDescent="0.25">
      <c r="A121" s="405" t="s">
        <v>439</v>
      </c>
      <c r="B121" s="371" t="str">
        <f>IF(Start!$C$15="x",IF(C121="NA","NA",(IF(C121="","",(IF(OR(F121="NA",F121=""),"No Criteria",(IF(AND(O121="NA",F121&lt;&gt;"NA",C121&lt;&gt;"NA"),                  "Missing Data",(IF(O121&lt;F121,"No",(IF(D121&gt;F121,"Caution",(IF(O121&gt;=F121,"Needed","No"))))))))))))),"---")</f>
        <v>---</v>
      </c>
      <c r="C121" s="372" t="str">
        <f>IF(TRUE=ISBLANK(ChemData!B121),"",(ChemData!B121))</f>
        <v/>
      </c>
      <c r="D121" s="373" t="str">
        <f>IF(TRUE=ISBLANK(ChemData!C121),"",(ChemData!C121))</f>
        <v/>
      </c>
      <c r="E121" s="374" t="str">
        <f>IF(TRUE=ISBLANK(ChemData!D121),"",(ChemData!D121))</f>
        <v/>
      </c>
      <c r="F121" s="289">
        <f>IF(TRUE=ISBLANK(ChemData!H121),"",(ChemData!H121))</f>
        <v>117000</v>
      </c>
      <c r="G121" s="290">
        <f>IF(TRUE=ISBLANK(ChemData!Q121),"",(ChemData!Q121))</f>
        <v>0.9276975694440811</v>
      </c>
      <c r="H121" s="291">
        <f>IF(TRUE=ISBLANK(ChemData!S121),"",(ChemData!S121))</f>
        <v>1</v>
      </c>
      <c r="I121" s="375" t="str">
        <f>IF(Start!$C$15="x",(IF(OR(C121="NA",C121=""), "NA", (IF($H121 = "NA", "NA", ((C121*$H121)))))),"---")</f>
        <v>---</v>
      </c>
      <c r="J121" s="376" t="str">
        <f>IF(Start!$C$15="x",(IF(I121 = "NA", "NA", IF(OR(D121="NA",D121=""),"NA",(I121 +((Data!$D$19-Data!$D$22)/(Data!$D$19*Data!$D$22)*$D121))))),"---")</f>
        <v>---</v>
      </c>
      <c r="K121" s="376" t="str">
        <f>IF(Start!$C$15="x",(IF(J121="NA","NA",IF(OR(G121="NA",G121=""),"NA",(J121*(1-Data!$D$23)*Data!$D$14*1000)/(Data!$D$23+((1-Data!$D$23)*Data!$D$14*$G121))))),"---")</f>
        <v>---</v>
      </c>
      <c r="L121" s="376" t="str">
        <f>IF(Start!$C$15="x",(IF(I121="NA","NA",IF($G121 = "NA", "NA",(IF(OR(ChemData!U121="NA",ChemData!U121=""),I121/((Data!$D$18+((1-Data!$D$18)*Data!$D$14*$G121))/((1-Data!$D$18)*Data!$D$14*1000)),(IF(I121/((Data!$D$18+((1-Data!$D$18)*Data!$D$14*$G121))/((1-Data!$D$18)*Data!$D$14*1000))&gt;ChemData!U121, ChemData!U121, I121/((Data!$D$18+((1-Data!$D$18)*Data!$D$14*$G121))/((1-Data!$D$18)*Data!$D$14*1000))))))))),"---")</f>
        <v>---</v>
      </c>
      <c r="M121" s="376" t="str">
        <f>IF(Start!$C$15="x",(IF(L121="NA","NA",IF(OR(D121="NA",D121=""),"NA",(((Data!$D$22*Data!$D$18)*L121)+(Data!$D$19-Data!$D$22)*$D121)/((Data!$D$22*Data!$D$18)+Data!$D$19-Data!$D$22)))),"---")</f>
        <v>---</v>
      </c>
      <c r="N121" s="376" t="str">
        <f>IF(Start!$C$15="x",IF(K121 = "NA", "NA", (IF(M121 = "NA", "NA",(IF(OR(ChemData!U121="NA",ChemData!U121=""),(IF(K121&gt;M121,K121,M121)),(IF(K121&gt;M121,(IF(K121&gt;ChemData!U121, ChemData!U121, K121)),(IF(M121&gt;ChemData!U121,ChemData!U121,M121))))))))),"---")</f>
        <v>---</v>
      </c>
      <c r="O121" s="377" t="str">
        <f>IF(Start!$C$15="x",IF(N121 = "NA","NA", IF(OR(E121="NA",E121=""),"NA",(N121+(Data!$D$26*$E121))/(Data!$D$26+1))),"---")</f>
        <v>---</v>
      </c>
      <c r="P121" s="730">
        <f>IF(E121="",F121,IF($F121&lt;(1+(Data!$D$27/100))*$E121,(1+(Data!$D$27/100))*$E121,$F121))</f>
        <v>117000</v>
      </c>
      <c r="Q121" s="343" t="str">
        <f>IF(Start!$C$15="x",(IF(C121="","",(IF(O121="NA","NA",IF(P121="NA","NA",IF(P121=0,"NA",(O121/P121))))))),"Not Req.")</f>
        <v>Not Req.</v>
      </c>
      <c r="R121" s="163"/>
      <c r="S121" s="18"/>
      <c r="T121" s="18"/>
      <c r="U121" s="163"/>
      <c r="V121" s="163"/>
      <c r="W121" s="18"/>
      <c r="X121" s="163"/>
      <c r="Y121" s="163"/>
      <c r="Z121" s="18"/>
    </row>
    <row r="122" spans="1:26" s="10" customFormat="1" x14ac:dyDescent="0.25">
      <c r="A122" s="405" t="s">
        <v>440</v>
      </c>
      <c r="B122" s="371" t="str">
        <f>IF(Start!$C$15="x",IF(C122="NA","NA",(IF(C122="","",(IF(OR(F122="NA",F122=""),"No Criteria",(IF(AND(O122="NA",F122&lt;&gt;"NA",C122&lt;&gt;"NA"),                  "Missing Data",(IF(O122&lt;F122,"No",(IF(D122&gt;F122,"Caution",(IF(O122&gt;=F122,"Needed","No"))))))))))))),"---")</f>
        <v>---</v>
      </c>
      <c r="C122" s="372" t="str">
        <f>IF(TRUE=ISBLANK(ChemData!B122),"",(ChemData!B122))</f>
        <v/>
      </c>
      <c r="D122" s="373" t="str">
        <f>IF(TRUE=ISBLANK(ChemData!C122),"",(ChemData!C122))</f>
        <v/>
      </c>
      <c r="E122" s="374" t="str">
        <f>IF(TRUE=ISBLANK(ChemData!D122),"",(ChemData!D122))</f>
        <v/>
      </c>
      <c r="F122" s="289" t="str">
        <f>IF(TRUE=ISBLANK(ChemData!H122),"",(ChemData!H122))</f>
        <v>NA</v>
      </c>
      <c r="G122" s="290">
        <f>IF(TRUE=ISBLANK(ChemData!Q122),"",(ChemData!Q122))</f>
        <v>140.41270913790194</v>
      </c>
      <c r="H122" s="291">
        <f>IF(TRUE=ISBLANK(ChemData!S122),"",(ChemData!S122))</f>
        <v>1</v>
      </c>
      <c r="I122" s="375" t="str">
        <f>IF(Start!$C$15="x",(IF(OR(C122="NA",C122=""), "NA", (IF($H122 = "NA", "NA", ((C122*$H122)))))),"---")</f>
        <v>---</v>
      </c>
      <c r="J122" s="376" t="str">
        <f>IF(Start!$C$15="x",(IF(I122 = "NA", "NA", IF(OR(D122="NA",D122=""),"NA",(I122 +((Data!$D$19-Data!$D$22)/(Data!$D$19*Data!$D$22)*$D122))))),"---")</f>
        <v>---</v>
      </c>
      <c r="K122" s="376" t="str">
        <f>IF(Start!$C$15="x",(IF(J122="NA","NA",IF(OR(G122="NA",G122=""),"NA",(J122*(1-Data!$D$23)*Data!$D$14*1000)/(Data!$D$23+((1-Data!$D$23)*Data!$D$14*$G122))))),"---")</f>
        <v>---</v>
      </c>
      <c r="L122" s="376" t="str">
        <f>IF(Start!$C$15="x",(IF(I122="NA","NA",IF($G122 = "NA", "NA",(IF(OR(ChemData!U122="NA",ChemData!U122=""),I122/((Data!$D$18+((1-Data!$D$18)*Data!$D$14*$G122))/((1-Data!$D$18)*Data!$D$14*1000)),(IF(I122/((Data!$D$18+((1-Data!$D$18)*Data!$D$14*$G122))/((1-Data!$D$18)*Data!$D$14*1000))&gt;ChemData!U122, ChemData!U122, I122/((Data!$D$18+((1-Data!$D$18)*Data!$D$14*$G122))/((1-Data!$D$18)*Data!$D$14*1000))))))))),"---")</f>
        <v>---</v>
      </c>
      <c r="M122" s="376" t="str">
        <f>IF(Start!$C$15="x",(IF(L122="NA","NA",IF(OR(D122="NA",D122=""),"NA",(((Data!$D$22*Data!$D$18)*L122)+(Data!$D$19-Data!$D$22)*$D122)/((Data!$D$22*Data!$D$18)+Data!$D$19-Data!$D$22)))),"---")</f>
        <v>---</v>
      </c>
      <c r="N122" s="376" t="str">
        <f>IF(Start!$C$15="x",IF(K122 = "NA", "NA", (IF(M122 = "NA", "NA",(IF(OR(ChemData!U122="NA",ChemData!U122=""),(IF(K122&gt;M122,K122,M122)),(IF(K122&gt;M122,(IF(K122&gt;ChemData!U122, ChemData!U122, K122)),(IF(M122&gt;ChemData!U122,ChemData!U122,M122))))))))),"---")</f>
        <v>---</v>
      </c>
      <c r="O122" s="377" t="str">
        <f>IF(Start!$C$15="x",IF(N122 = "NA","NA", IF(OR(E122="NA",E122=""),"NA",(N122+(Data!$D$26*$E122))/(Data!$D$26+1))),"---")</f>
        <v>---</v>
      </c>
      <c r="P122" s="730" t="str">
        <f>IF(E122="",F122,IF($F122&lt;(1+(Data!$D$27/100))*$E122,(1+(Data!$D$27/100))*$E122,$F122))</f>
        <v>NA</v>
      </c>
      <c r="Q122" s="343" t="str">
        <f>IF(Start!$C$15="x",(IF(C122="","",(IF(O122="NA","NA",IF(P122="NA","NA",IF(P122=0,"NA",(O122/P122))))))),"Not Req.")</f>
        <v>Not Req.</v>
      </c>
      <c r="R122" s="163"/>
      <c r="S122" s="18"/>
      <c r="T122" s="18"/>
      <c r="U122" s="163"/>
      <c r="V122" s="163"/>
      <c r="W122" s="18"/>
      <c r="X122" s="163"/>
      <c r="Y122" s="163"/>
      <c r="Z122" s="18"/>
    </row>
    <row r="123" spans="1:26" s="10" customFormat="1" x14ac:dyDescent="0.25">
      <c r="A123" s="405" t="s">
        <v>441</v>
      </c>
      <c r="B123" s="371" t="str">
        <f>IF(Start!$C$15="x",IF(C123="NA","NA",(IF(C123="","",(IF(OR(F123="NA",F123=""),"No Criteria",(IF(AND(O123="NA",F123&lt;&gt;"NA",C123&lt;&gt;"NA"),                  "Missing Data",(IF(O123&lt;F123,"No",(IF(D123&gt;F123,"Caution",(IF(O123&gt;=F123,"Needed","No"))))))))))))),"---")</f>
        <v>---</v>
      </c>
      <c r="C123" s="372" t="str">
        <f>IF(TRUE=ISBLANK(ChemData!B123),"",(ChemData!B123))</f>
        <v/>
      </c>
      <c r="D123" s="373" t="str">
        <f>IF(TRUE=ISBLANK(ChemData!C123),"",(ChemData!C123))</f>
        <v/>
      </c>
      <c r="E123" s="374" t="str">
        <f>IF(TRUE=ISBLANK(ChemData!D123),"",(ChemData!D123))</f>
        <v/>
      </c>
      <c r="F123" s="289" t="str">
        <f>IF(TRUE=ISBLANK(ChemData!H123),"",(ChemData!H123))</f>
        <v>NA</v>
      </c>
      <c r="G123" s="290">
        <f>IF(TRUE=ISBLANK(ChemData!Q123),"",(ChemData!Q123))</f>
        <v>2.4400932230679122</v>
      </c>
      <c r="H123" s="291">
        <f>IF(TRUE=ISBLANK(ChemData!S123),"",(ChemData!S123))</f>
        <v>1</v>
      </c>
      <c r="I123" s="375" t="str">
        <f>IF(Start!$C$15="x",(IF(OR(C123="NA",C123=""), "NA", (IF($H123 = "NA", "NA", ((C123*$H123)))))),"---")</f>
        <v>---</v>
      </c>
      <c r="J123" s="376" t="str">
        <f>IF(Start!$C$15="x",(IF(I123 = "NA", "NA", IF(OR(D123="NA",D123=""),"NA",(I123 +((Data!$D$19-Data!$D$22)/(Data!$D$19*Data!$D$22)*$D123))))),"---")</f>
        <v>---</v>
      </c>
      <c r="K123" s="376" t="str">
        <f>IF(Start!$C$15="x",(IF(J123="NA","NA",IF(OR(G123="NA",G123=""),"NA",(J123*(1-Data!$D$23)*Data!$D$14*1000)/(Data!$D$23+((1-Data!$D$23)*Data!$D$14*$G123))))),"---")</f>
        <v>---</v>
      </c>
      <c r="L123" s="376" t="str">
        <f>IF(Start!$C$15="x",(IF(I123="NA","NA",IF($G123 = "NA", "NA",(IF(OR(ChemData!U123="NA",ChemData!U123=""),I123/((Data!$D$18+((1-Data!$D$18)*Data!$D$14*$G123))/((1-Data!$D$18)*Data!$D$14*1000)),(IF(I123/((Data!$D$18+((1-Data!$D$18)*Data!$D$14*$G123))/((1-Data!$D$18)*Data!$D$14*1000))&gt;ChemData!U123, ChemData!U123, I123/((Data!$D$18+((1-Data!$D$18)*Data!$D$14*$G123))/((1-Data!$D$18)*Data!$D$14*1000))))))))),"---")</f>
        <v>---</v>
      </c>
      <c r="M123" s="376" t="str">
        <f>IF(Start!$C$15="x",(IF(L123="NA","NA",IF(OR(D123="NA",D123=""),"NA",(((Data!$D$22*Data!$D$18)*L123)+(Data!$D$19-Data!$D$22)*$D123)/((Data!$D$22*Data!$D$18)+Data!$D$19-Data!$D$22)))),"---")</f>
        <v>---</v>
      </c>
      <c r="N123" s="376" t="str">
        <f>IF(Start!$C$15="x",IF(K123 = "NA", "NA", (IF(M123 = "NA", "NA",(IF(OR(ChemData!U123="NA",ChemData!U123=""),(IF(K123&gt;M123,K123,M123)),(IF(K123&gt;M123,(IF(K123&gt;ChemData!U123, ChemData!U123, K123)),(IF(M123&gt;ChemData!U123,ChemData!U123,M123))))))))),"---")</f>
        <v>---</v>
      </c>
      <c r="O123" s="377" t="str">
        <f>IF(Start!$C$15="x",IF(N123 = "NA","NA", IF(OR(E123="NA",E123=""),"NA",(N123+(Data!$D$26*$E123))/(Data!$D$26+1))),"---")</f>
        <v>---</v>
      </c>
      <c r="P123" s="730" t="str">
        <f>IF(E123="",F123,IF($F123&lt;(1+(Data!$D$27/100))*$E123,(1+(Data!$D$27/100))*$E123,$F123))</f>
        <v>NA</v>
      </c>
      <c r="Q123" s="343" t="str">
        <f>IF(Start!$C$15="x",(IF(C123="","",(IF(O123="NA","NA",IF(P123="NA","NA",IF(P123=0,"NA",(O123/P123))))))),"Not Req.")</f>
        <v>Not Req.</v>
      </c>
      <c r="R123" s="163"/>
      <c r="S123" s="18"/>
      <c r="T123" s="18"/>
      <c r="U123" s="163"/>
      <c r="V123" s="163"/>
      <c r="W123" s="18"/>
      <c r="X123" s="163"/>
      <c r="Y123" s="163"/>
      <c r="Z123" s="18"/>
    </row>
    <row r="124" spans="1:26" s="10" customFormat="1" x14ac:dyDescent="0.25">
      <c r="A124" s="405" t="s">
        <v>667</v>
      </c>
      <c r="B124" s="371" t="str">
        <f>IF(Start!$C$15="x",IF(C124="NA","NA",(IF(C124="","",(IF(OR(F124="NA",F124=""),"No Criteria",(IF(AND(O124="NA",F124&lt;&gt;"NA",C124&lt;&gt;"NA"),                  "Missing Data",(IF(O124&lt;F124,"No",(IF(D124&gt;F124,"Caution",(IF(O124&gt;=F124,"Needed","No"))))))))))))),"---")</f>
        <v>---</v>
      </c>
      <c r="C124" s="372" t="str">
        <f>IF(TRUE=ISBLANK(ChemData!B124),"",(ChemData!B124))</f>
        <v/>
      </c>
      <c r="D124" s="373" t="str">
        <f>IF(TRUE=ISBLANK(ChemData!C124),"",(ChemData!C124))</f>
        <v/>
      </c>
      <c r="E124" s="374" t="str">
        <f>IF(TRUE=ISBLANK(ChemData!D124),"",(ChemData!D124))</f>
        <v/>
      </c>
      <c r="F124" s="289">
        <f>IF(TRUE=ISBLANK(ChemData!H124),"",(ChemData!H124))</f>
        <v>230</v>
      </c>
      <c r="G124" s="290">
        <f>IF(TRUE=ISBLANK(ChemData!Q124),"",(ChemData!Q124))</f>
        <v>1.7676912767256789</v>
      </c>
      <c r="H124" s="291">
        <f>IF(TRUE=ISBLANK(ChemData!S124),"",(ChemData!S124))</f>
        <v>1</v>
      </c>
      <c r="I124" s="375" t="str">
        <f>IF(Start!$C$15="x",(IF(OR(C124="NA",C124=""), "NA", (IF($H124 = "NA", "NA", ((C124*$H124)))))),"---")</f>
        <v>---</v>
      </c>
      <c r="J124" s="376" t="str">
        <f>IF(Start!$C$15="x",(IF(I124 = "NA", "NA", IF(OR(D124="NA",D124=""),"NA",(I124 +((Data!$D$19-Data!$D$22)/(Data!$D$19*Data!$D$22)*$D124))))),"---")</f>
        <v>---</v>
      </c>
      <c r="K124" s="376" t="str">
        <f>IF(Start!$C$15="x",(IF(J124="NA","NA",IF(OR(G124="NA",G124=""),"NA",(J124*(1-Data!$D$23)*Data!$D$14*1000)/(Data!$D$23+((1-Data!$D$23)*Data!$D$14*$G124))))),"---")</f>
        <v>---</v>
      </c>
      <c r="L124" s="376" t="str">
        <f>IF(Start!$C$15="x",(IF(I124="NA","NA",IF($G124 = "NA", "NA",(IF(OR(ChemData!U124="NA",ChemData!U124=""),I124/((Data!$D$18+((1-Data!$D$18)*Data!$D$14*$G124))/((1-Data!$D$18)*Data!$D$14*1000)),(IF(I124/((Data!$D$18+((1-Data!$D$18)*Data!$D$14*$G124))/((1-Data!$D$18)*Data!$D$14*1000))&gt;ChemData!U124, ChemData!U124, I124/((Data!$D$18+((1-Data!$D$18)*Data!$D$14*$G124))/((1-Data!$D$18)*Data!$D$14*1000))))))))),"---")</f>
        <v>---</v>
      </c>
      <c r="M124" s="376" t="str">
        <f>IF(Start!$C$15="x",(IF(L124="NA","NA",IF(OR(D124="NA",D124=""),"NA",(((Data!$D$22*Data!$D$18)*L124)+(Data!$D$19-Data!$D$22)*$D124)/((Data!$D$22*Data!$D$18)+Data!$D$19-Data!$D$22)))),"---")</f>
        <v>---</v>
      </c>
      <c r="N124" s="376" t="str">
        <f>IF(Start!$C$15="x",IF(K124 = "NA", "NA", (IF(M124 = "NA", "NA",(IF(OR(ChemData!U124="NA",ChemData!U124=""),(IF(K124&gt;M124,K124,M124)),(IF(K124&gt;M124,(IF(K124&gt;ChemData!U124, ChemData!U124, K124)),(IF(M124&gt;ChemData!U124,ChemData!U124,M124))))))))),"---")</f>
        <v>---</v>
      </c>
      <c r="O124" s="377" t="str">
        <f>IF(Start!$C$15="x",IF(N124 = "NA","NA", IF(OR(E124="NA",E124=""),"NA",(N124+(Data!$D$26*$E124))/(Data!$D$26+1))),"---")</f>
        <v>---</v>
      </c>
      <c r="P124" s="730">
        <f>IF(E124="",F124,IF($F124&lt;(1+(Data!$D$27/100))*$E124,(1+(Data!$D$27/100))*$E124,$F124))</f>
        <v>230</v>
      </c>
      <c r="Q124" s="343" t="str">
        <f>IF(Start!$C$15="x",(IF(C124="","",(IF(O124="NA","NA",IF(P124="NA","NA",IF(P124=0,"NA",(O124/P124))))))),"Not Req.")</f>
        <v>Not Req.</v>
      </c>
      <c r="R124" s="163"/>
      <c r="S124" s="18"/>
      <c r="T124" s="18"/>
      <c r="U124" s="163"/>
      <c r="V124" s="163"/>
      <c r="W124" s="18"/>
      <c r="X124" s="163"/>
      <c r="Y124" s="163"/>
      <c r="Z124" s="18"/>
    </row>
    <row r="125" spans="1:26" s="10" customFormat="1" x14ac:dyDescent="0.25">
      <c r="A125" s="405" t="s">
        <v>668</v>
      </c>
      <c r="B125" s="371" t="str">
        <f>IF(Start!$C$15="x",IF(C125="NA","NA",(IF(C125="","",(IF(OR(F125="NA",F125=""),"No Criteria",(IF(AND(O125="NA",F125&lt;&gt;"NA",C125&lt;&gt;"NA"),                  "Missing Data",(IF(O125&lt;F125,"No",(IF(D125&gt;F125,"Caution",(IF(O125&gt;=F125,"Needed","No"))))))))))))),"---")</f>
        <v>---</v>
      </c>
      <c r="C125" s="372" t="str">
        <f>IF(TRUE=ISBLANK(ChemData!B125),"",(ChemData!B125))</f>
        <v/>
      </c>
      <c r="D125" s="373" t="str">
        <f>IF(TRUE=ISBLANK(ChemData!C125),"",(ChemData!C125))</f>
        <v/>
      </c>
      <c r="E125" s="374" t="str">
        <f>IF(TRUE=ISBLANK(ChemData!D125),"",(ChemData!D125))</f>
        <v/>
      </c>
      <c r="F125" s="289" t="str">
        <f>IF(TRUE=ISBLANK(ChemData!H125),"",(ChemData!H125))</f>
        <v>NA</v>
      </c>
      <c r="G125" s="290">
        <f>IF(TRUE=ISBLANK(ChemData!Q125),"",(ChemData!Q125))</f>
        <v>1.7274537107752317</v>
      </c>
      <c r="H125" s="291">
        <f>IF(TRUE=ISBLANK(ChemData!S125),"",(ChemData!S125))</f>
        <v>1</v>
      </c>
      <c r="I125" s="375" t="str">
        <f>IF(Start!$C$15="x",(IF(OR(C125="NA",C125=""), "NA", (IF($H125 = "NA", "NA", ((C125*$H125)))))),"---")</f>
        <v>---</v>
      </c>
      <c r="J125" s="376" t="str">
        <f>IF(Start!$C$15="x",(IF(I125 = "NA", "NA", IF(OR(D125="NA",D125=""),"NA",(I125 +((Data!$D$19-Data!$D$22)/(Data!$D$19*Data!$D$22)*$D125))))),"---")</f>
        <v>---</v>
      </c>
      <c r="K125" s="376" t="str">
        <f>IF(Start!$C$15="x",(IF(J125="NA","NA",IF(OR(G125="NA",G125=""),"NA",(J125*(1-Data!$D$23)*Data!$D$14*1000)/(Data!$D$23+((1-Data!$D$23)*Data!$D$14*$G125))))),"---")</f>
        <v>---</v>
      </c>
      <c r="L125" s="376" t="str">
        <f>IF(Start!$C$15="x",(IF(I125="NA","NA",IF($G125 = "NA", "NA",(IF(OR(ChemData!U125="NA",ChemData!U125=""),I125/((Data!$D$18+((1-Data!$D$18)*Data!$D$14*$G125))/((1-Data!$D$18)*Data!$D$14*1000)),(IF(I125/((Data!$D$18+((1-Data!$D$18)*Data!$D$14*$G125))/((1-Data!$D$18)*Data!$D$14*1000))&gt;ChemData!U125, ChemData!U125, I125/((Data!$D$18+((1-Data!$D$18)*Data!$D$14*$G125))/((1-Data!$D$18)*Data!$D$14*1000))))))))),"---")</f>
        <v>---</v>
      </c>
      <c r="M125" s="376" t="str">
        <f>IF(Start!$C$15="x",(IF(L125="NA","NA",IF(OR(D125="NA",D125=""),"NA",(((Data!$D$22*Data!$D$18)*L125)+(Data!$D$19-Data!$D$22)*$D125)/((Data!$D$22*Data!$D$18)+Data!$D$19-Data!$D$22)))),"---")</f>
        <v>---</v>
      </c>
      <c r="N125" s="376" t="str">
        <f>IF(Start!$C$15="x",IF(K125 = "NA", "NA", (IF(M125 = "NA", "NA",(IF(OR(ChemData!U125="NA",ChemData!U125=""),(IF(K125&gt;M125,K125,M125)),(IF(K125&gt;M125,(IF(K125&gt;ChemData!U125, ChemData!U125, K125)),(IF(M125&gt;ChemData!U125,ChemData!U125,M125))))))))),"---")</f>
        <v>---</v>
      </c>
      <c r="O125" s="377" t="str">
        <f>IF(Start!$C$15="x",IF(N125 = "NA","NA", IF(OR(E125="NA",E125=""),"NA",(N125+(Data!$D$26*$E125))/(Data!$D$26+1))),"---")</f>
        <v>---</v>
      </c>
      <c r="P125" s="730" t="str">
        <f>IF(E125="",F125,IF($F125&lt;(1+(Data!$D$27/100))*$E125,(1+(Data!$D$27/100))*$E125,$F125))</f>
        <v>NA</v>
      </c>
      <c r="Q125" s="343" t="str">
        <f>IF(Start!$C$15="x",(IF(C125="","",(IF(O125="NA","NA",IF(P125="NA","NA",IF(P125=0,"NA",(O125/P125))))))),"Not Req.")</f>
        <v>Not Req.</v>
      </c>
      <c r="R125" s="163"/>
      <c r="S125" s="18"/>
      <c r="T125" s="18"/>
      <c r="U125" s="163"/>
      <c r="V125" s="163"/>
      <c r="W125" s="18"/>
      <c r="X125" s="163"/>
      <c r="Y125" s="163"/>
      <c r="Z125" s="18"/>
    </row>
    <row r="126" spans="1:26" s="10" customFormat="1" x14ac:dyDescent="0.25">
      <c r="A126" s="405" t="s">
        <v>444</v>
      </c>
      <c r="B126" s="371" t="str">
        <f>IF(Start!$C$15="x",IF(C126="NA","NA",(IF(C126="","",(IF(OR(F126="NA",F126=""),"No Criteria",(IF(AND(O126="NA",F126&lt;&gt;"NA",C126&lt;&gt;"NA"),                  "Missing Data",(IF(O126&lt;F126,"No",(IF(D126&gt;F126,"Caution",(IF(O126&gt;=F126,"Needed","No"))))))))))))),"---")</f>
        <v>---</v>
      </c>
      <c r="C126" s="372" t="str">
        <f>IF(TRUE=ISBLANK(ChemData!B126),"",(ChemData!B126))</f>
        <v/>
      </c>
      <c r="D126" s="373" t="str">
        <f>IF(TRUE=ISBLANK(ChemData!C126),"",(ChemData!C126))</f>
        <v/>
      </c>
      <c r="E126" s="374" t="str">
        <f>IF(TRUE=ISBLANK(ChemData!D126),"",(ChemData!D126))</f>
        <v/>
      </c>
      <c r="F126" s="289" t="str">
        <f>IF(TRUE=ISBLANK(ChemData!H126),"",(ChemData!H126))</f>
        <v>NA</v>
      </c>
      <c r="G126" s="290">
        <f>IF(TRUE=ISBLANK(ChemData!Q126),"",(ChemData!Q126))</f>
        <v>1.1153377938236371</v>
      </c>
      <c r="H126" s="291">
        <f>IF(TRUE=ISBLANK(ChemData!S126),"",(ChemData!S126))</f>
        <v>1</v>
      </c>
      <c r="I126" s="375" t="str">
        <f>IF(Start!$C$15="x",(IF(OR(C126="NA",C126=""), "NA", (IF($H126 = "NA", "NA", ((C126*$H126)))))),"---")</f>
        <v>---</v>
      </c>
      <c r="J126" s="376" t="str">
        <f>IF(Start!$C$15="x",(IF(I126 = "NA", "NA", IF(OR(D126="NA",D126=""),"NA",(I126 +((Data!$D$19-Data!$D$22)/(Data!$D$19*Data!$D$22)*$D126))))),"---")</f>
        <v>---</v>
      </c>
      <c r="K126" s="376" t="str">
        <f>IF(Start!$C$15="x",(IF(J126="NA","NA",IF(OR(G126="NA",G126=""),"NA",(J126*(1-Data!$D$23)*Data!$D$14*1000)/(Data!$D$23+((1-Data!$D$23)*Data!$D$14*$G126))))),"---")</f>
        <v>---</v>
      </c>
      <c r="L126" s="376" t="str">
        <f>IF(Start!$C$15="x",(IF(I126="NA","NA",IF($G126 = "NA", "NA",(IF(OR(ChemData!U126="NA",ChemData!U126=""),I126/((Data!$D$18+((1-Data!$D$18)*Data!$D$14*$G126))/((1-Data!$D$18)*Data!$D$14*1000)),(IF(I126/((Data!$D$18+((1-Data!$D$18)*Data!$D$14*$G126))/((1-Data!$D$18)*Data!$D$14*1000))&gt;ChemData!U126, ChemData!U126, I126/((Data!$D$18+((1-Data!$D$18)*Data!$D$14*$G126))/((1-Data!$D$18)*Data!$D$14*1000))))))))),"---")</f>
        <v>---</v>
      </c>
      <c r="M126" s="376" t="str">
        <f>IF(Start!$C$15="x",(IF(L126="NA","NA",IF(OR(D126="NA",D126=""),"NA",(((Data!$D$22*Data!$D$18)*L126)+(Data!$D$19-Data!$D$22)*$D126)/((Data!$D$22*Data!$D$18)+Data!$D$19-Data!$D$22)))),"---")</f>
        <v>---</v>
      </c>
      <c r="N126" s="376" t="str">
        <f>IF(Start!$C$15="x",IF(K126 = "NA", "NA", (IF(M126 = "NA", "NA",(IF(OR(ChemData!U126="NA",ChemData!U126=""),(IF(K126&gt;M126,K126,M126)),(IF(K126&gt;M126,(IF(K126&gt;ChemData!U126, ChemData!U126, K126)),(IF(M126&gt;ChemData!U126,ChemData!U126,M126))))))))),"---")</f>
        <v>---</v>
      </c>
      <c r="O126" s="377" t="str">
        <f>IF(Start!$C$15="x",IF(N126 = "NA","NA", IF(OR(E126="NA",E126=""),"NA",(N126+(Data!$D$26*$E126))/(Data!$D$26+1))),"---")</f>
        <v>---</v>
      </c>
      <c r="P126" s="730" t="str">
        <f>IF(E126="",F126,IF($F126&lt;(1+(Data!$D$27/100))*$E126,(1+(Data!$D$27/100))*$E126,$F126))</f>
        <v>NA</v>
      </c>
      <c r="Q126" s="343" t="str">
        <f>IF(Start!$C$15="x",(IF(C126="","",(IF(O126="NA","NA",IF(P126="NA","NA",IF(P126=0,"NA",(O126/P126))))))),"Not Req.")</f>
        <v>Not Req.</v>
      </c>
      <c r="R126" s="163"/>
      <c r="S126" s="18"/>
      <c r="T126" s="18"/>
      <c r="U126" s="163"/>
      <c r="V126" s="163"/>
      <c r="W126" s="18"/>
      <c r="X126" s="163"/>
      <c r="Y126" s="163"/>
      <c r="Z126" s="18"/>
    </row>
    <row r="127" spans="1:26" s="10" customFormat="1" x14ac:dyDescent="0.25">
      <c r="A127" s="405" t="s">
        <v>445</v>
      </c>
      <c r="B127" s="371" t="str">
        <f>IF(Start!$C$15="x",IF(C127="NA","NA",(IF(C127="","",(IF(OR(F127="NA",F127=""),"No Criteria",(IF(AND(O127="NA",F127&lt;&gt;"NA",C127&lt;&gt;"NA"),                  "Missing Data",(IF(O127&lt;F127,"No",(IF(D127&gt;F127,"Caution",(IF(O127&gt;=F127,"Needed","No"))))))))))))),"---")</f>
        <v>---</v>
      </c>
      <c r="C127" s="372" t="str">
        <f>IF(TRUE=ISBLANK(ChemData!B127),"",(ChemData!B127))</f>
        <v/>
      </c>
      <c r="D127" s="373" t="str">
        <f>IF(TRUE=ISBLANK(ChemData!C127),"",(ChemData!C127))</f>
        <v/>
      </c>
      <c r="E127" s="374" t="str">
        <f>IF(TRUE=ISBLANK(ChemData!D127),"",(ChemData!D127))</f>
        <v/>
      </c>
      <c r="F127" s="289" t="str">
        <f>IF(TRUE=ISBLANK(ChemData!H127),"",(ChemData!H127))</f>
        <v>NA</v>
      </c>
      <c r="G127" s="290">
        <f>IF(TRUE=ISBLANK(ChemData!Q127),"",(ChemData!Q127))</f>
        <v>0.43391675371571786</v>
      </c>
      <c r="H127" s="291">
        <f>IF(TRUE=ISBLANK(ChemData!S127),"",(ChemData!S127))</f>
        <v>1</v>
      </c>
      <c r="I127" s="375" t="str">
        <f>IF(Start!$C$15="x",(IF(OR(C127="NA",C127=""), "NA", (IF($H127 = "NA", "NA", ((C127*$H127)))))),"---")</f>
        <v>---</v>
      </c>
      <c r="J127" s="376" t="str">
        <f>IF(Start!$C$15="x",(IF(I127 = "NA", "NA", IF(OR(D127="NA",D127=""),"NA",(I127 +((Data!$D$19-Data!$D$22)/(Data!$D$19*Data!$D$22)*$D127))))),"---")</f>
        <v>---</v>
      </c>
      <c r="K127" s="376" t="str">
        <f>IF(Start!$C$15="x",(IF(J127="NA","NA",IF(OR(G127="NA",G127=""),"NA",(J127*(1-Data!$D$23)*Data!$D$14*1000)/(Data!$D$23+((1-Data!$D$23)*Data!$D$14*$G127))))),"---")</f>
        <v>---</v>
      </c>
      <c r="L127" s="376" t="str">
        <f>IF(Start!$C$15="x",(IF(I127="NA","NA",IF($G127 = "NA", "NA",(IF(OR(ChemData!U127="NA",ChemData!U127=""),I127/((Data!$D$18+((1-Data!$D$18)*Data!$D$14*$G127))/((1-Data!$D$18)*Data!$D$14*1000)),(IF(I127/((Data!$D$18+((1-Data!$D$18)*Data!$D$14*$G127))/((1-Data!$D$18)*Data!$D$14*1000))&gt;ChemData!U127, ChemData!U127, I127/((Data!$D$18+((1-Data!$D$18)*Data!$D$14*$G127))/((1-Data!$D$18)*Data!$D$14*1000))))))))),"---")</f>
        <v>---</v>
      </c>
      <c r="M127" s="376" t="str">
        <f>IF(Start!$C$15="x",(IF(L127="NA","NA",IF(OR(D127="NA",D127=""),"NA",(((Data!$D$22*Data!$D$18)*L127)+(Data!$D$19-Data!$D$22)*$D127)/((Data!$D$22*Data!$D$18)+Data!$D$19-Data!$D$22)))),"---")</f>
        <v>---</v>
      </c>
      <c r="N127" s="376" t="str">
        <f>IF(Start!$C$15="x",IF(K127 = "NA", "NA", (IF(M127 = "NA", "NA",(IF(OR(ChemData!U127="NA",ChemData!U127=""),(IF(K127&gt;M127,K127,M127)),(IF(K127&gt;M127,(IF(K127&gt;ChemData!U127, ChemData!U127, K127)),(IF(M127&gt;ChemData!U127,ChemData!U127,M127))))))))),"---")</f>
        <v>---</v>
      </c>
      <c r="O127" s="377" t="str">
        <f>IF(Start!$C$15="x",IF(N127 = "NA","NA", IF(OR(E127="NA",E127=""),"NA",(N127+(Data!$D$26*$E127))/(Data!$D$26+1))),"---")</f>
        <v>---</v>
      </c>
      <c r="P127" s="730" t="str">
        <f>IF(E127="",F127,IF($F127&lt;(1+(Data!$D$27/100))*$E127,(1+(Data!$D$27/100))*$E127,$F127))</f>
        <v>NA</v>
      </c>
      <c r="Q127" s="343" t="str">
        <f>IF(Start!$C$15="x",(IF(C127="","",(IF(O127="NA","NA",IF(P127="NA","NA",IF(P127=0,"NA",(O127/P127))))))),"Not Req.")</f>
        <v>Not Req.</v>
      </c>
      <c r="R127" s="163"/>
      <c r="S127" s="18"/>
      <c r="T127" s="18"/>
      <c r="U127" s="163"/>
      <c r="V127" s="163"/>
      <c r="W127" s="18"/>
      <c r="X127" s="163"/>
      <c r="Y127" s="163"/>
      <c r="Z127" s="18"/>
    </row>
    <row r="128" spans="1:26" s="10" customFormat="1" x14ac:dyDescent="0.25">
      <c r="A128" s="405" t="s">
        <v>446</v>
      </c>
      <c r="B128" s="371" t="str">
        <f>IF(Start!$C$15="x",IF(C128="NA","NA",(IF(C128="","",(IF(OR(F128="NA",F128=""),"No Criteria",(IF(AND(O128="NA",F128&lt;&gt;"NA",C128&lt;&gt;"NA"),                  "Missing Data",(IF(O128&lt;F128,"No",(IF(D128&gt;F128,"Caution",(IF(O128&gt;=F128,"Needed","No"))))))))))))),"---")</f>
        <v>---</v>
      </c>
      <c r="C128" s="372" t="str">
        <f>IF(TRUE=ISBLANK(ChemData!B128),"",(ChemData!B128))</f>
        <v/>
      </c>
      <c r="D128" s="373" t="str">
        <f>IF(TRUE=ISBLANK(ChemData!C128),"",(ChemData!C128))</f>
        <v/>
      </c>
      <c r="E128" s="374" t="str">
        <f>IF(TRUE=ISBLANK(ChemData!D128),"",(ChemData!D128))</f>
        <v/>
      </c>
      <c r="F128" s="289" t="str">
        <f>IF(TRUE=ISBLANK(ChemData!H128),"",(ChemData!H128))</f>
        <v>NA</v>
      </c>
      <c r="G128" s="290">
        <f>IF(TRUE=ISBLANK(ChemData!Q128),"",(ChemData!Q128))</f>
        <v>0.45436662029329916</v>
      </c>
      <c r="H128" s="291">
        <f>IF(TRUE=ISBLANK(ChemData!S128),"",(ChemData!S128))</f>
        <v>1</v>
      </c>
      <c r="I128" s="375" t="str">
        <f>IF(Start!$C$15="x",(IF(OR(C128="NA",C128=""), "NA", (IF($H128 = "NA", "NA", ((C128*$H128)))))),"---")</f>
        <v>---</v>
      </c>
      <c r="J128" s="376" t="str">
        <f>IF(Start!$C$15="x",(IF(I128 = "NA", "NA", IF(OR(D128="NA",D128=""),"NA",(I128 +((Data!$D$19-Data!$D$22)/(Data!$D$19*Data!$D$22)*$D128))))),"---")</f>
        <v>---</v>
      </c>
      <c r="K128" s="376" t="str">
        <f>IF(Start!$C$15="x",(IF(J128="NA","NA",IF(OR(G128="NA",G128=""),"NA",(J128*(1-Data!$D$23)*Data!$D$14*1000)/(Data!$D$23+((1-Data!$D$23)*Data!$D$14*$G128))))),"---")</f>
        <v>---</v>
      </c>
      <c r="L128" s="376" t="str">
        <f>IF(Start!$C$15="x",(IF(I128="NA","NA",IF($G128 = "NA", "NA",(IF(OR(ChemData!U128="NA",ChemData!U128=""),I128/((Data!$D$18+((1-Data!$D$18)*Data!$D$14*$G128))/((1-Data!$D$18)*Data!$D$14*1000)),(IF(I128/((Data!$D$18+((1-Data!$D$18)*Data!$D$14*$G128))/((1-Data!$D$18)*Data!$D$14*1000))&gt;ChemData!U128, ChemData!U128, I128/((Data!$D$18+((1-Data!$D$18)*Data!$D$14*$G128))/((1-Data!$D$18)*Data!$D$14*1000))))))))),"---")</f>
        <v>---</v>
      </c>
      <c r="M128" s="376" t="str">
        <f>IF(Start!$C$15="x",(IF(L128="NA","NA",IF(OR(D128="NA",D128=""),"NA",(((Data!$D$22*Data!$D$18)*L128)+(Data!$D$19-Data!$D$22)*$D128)/((Data!$D$22*Data!$D$18)+Data!$D$19-Data!$D$22)))),"---")</f>
        <v>---</v>
      </c>
      <c r="N128" s="376" t="str">
        <f>IF(Start!$C$15="x",IF(K128 = "NA", "NA", (IF(M128 = "NA", "NA",(IF(OR(ChemData!U128="NA",ChemData!U128=""),(IF(K128&gt;M128,K128,M128)),(IF(K128&gt;M128,(IF(K128&gt;ChemData!U128, ChemData!U128, K128)),(IF(M128&gt;ChemData!U128,ChemData!U128,M128))))))))),"---")</f>
        <v>---</v>
      </c>
      <c r="O128" s="377" t="str">
        <f>IF(Start!$C$15="x",IF(N128 = "NA","NA", IF(OR(E128="NA",E128=""),"NA",(N128+(Data!$D$26*$E128))/(Data!$D$26+1))),"---")</f>
        <v>---</v>
      </c>
      <c r="P128" s="730" t="str">
        <f>IF(E128="",F128,IF($F128&lt;(1+(Data!$D$27/100))*$E128,(1+(Data!$D$27/100))*$E128,$F128))</f>
        <v>NA</v>
      </c>
      <c r="Q128" s="343" t="str">
        <f>IF(Start!$C$15="x",(IF(C128="","",(IF(O128="NA","NA",IF(P128="NA","NA",IF(P128=0,"NA",(O128/P128))))))),"Not Req.")</f>
        <v>Not Req.</v>
      </c>
      <c r="R128" s="163"/>
      <c r="S128" s="18"/>
      <c r="T128" s="18"/>
      <c r="U128" s="163"/>
      <c r="V128" s="163"/>
      <c r="W128" s="18"/>
      <c r="X128" s="163"/>
      <c r="Y128" s="163"/>
      <c r="Z128" s="18"/>
    </row>
    <row r="129" spans="1:26" s="10" customFormat="1" x14ac:dyDescent="0.25">
      <c r="A129" s="405" t="s">
        <v>447</v>
      </c>
      <c r="B129" s="371" t="str">
        <f>IF(Start!$C$15="x",IF(C129="NA","NA",(IF(C129="","",(IF(OR(F129="NA",F129=""),"No Criteria",(IF(AND(O129="NA",F129&lt;&gt;"NA",C129&lt;&gt;"NA"),                  "Missing Data",(IF(O129&lt;F129,"No",(IF(D129&gt;F129,"Caution",(IF(O129&gt;=F129,"Needed","No"))))))))))))),"---")</f>
        <v>---</v>
      </c>
      <c r="C129" s="372" t="str">
        <f>IF(TRUE=ISBLANK(ChemData!B129),"",(ChemData!B129))</f>
        <v/>
      </c>
      <c r="D129" s="373" t="str">
        <f>IF(TRUE=ISBLANK(ChemData!C129),"",(ChemData!C129))</f>
        <v/>
      </c>
      <c r="E129" s="374" t="str">
        <f>IF(TRUE=ISBLANK(ChemData!D129),"",(ChemData!D129))</f>
        <v/>
      </c>
      <c r="F129" s="289">
        <f>IF(TRUE=ISBLANK(ChemData!H129),"",(ChemData!H129))</f>
        <v>230</v>
      </c>
      <c r="G129" s="290">
        <f>IF(TRUE=ISBLANK(ChemData!Q129),"",(ChemData!Q129))</f>
        <v>1.1679020446328385</v>
      </c>
      <c r="H129" s="291">
        <f>IF(TRUE=ISBLANK(ChemData!S129),"",(ChemData!S129))</f>
        <v>1</v>
      </c>
      <c r="I129" s="375" t="str">
        <f>IF(Start!$C$15="x",(IF(OR(C129="NA",C129=""), "NA", (IF($H129 = "NA", "NA", ((C129*$H129)))))),"---")</f>
        <v>---</v>
      </c>
      <c r="J129" s="376" t="str">
        <f>IF(Start!$C$15="x",(IF(I129 = "NA", "NA", IF(OR(D129="NA",D129=""),"NA",(I129 +((Data!$D$19-Data!$D$22)/(Data!$D$19*Data!$D$22)*$D129))))),"---")</f>
        <v>---</v>
      </c>
      <c r="K129" s="376" t="str">
        <f>IF(Start!$C$15="x",(IF(J129="NA","NA",IF(OR(G129="NA",G129=""),"NA",(J129*(1-Data!$D$23)*Data!$D$14*1000)/(Data!$D$23+((1-Data!$D$23)*Data!$D$14*$G129))))),"---")</f>
        <v>---</v>
      </c>
      <c r="L129" s="376" t="str">
        <f>IF(Start!$C$15="x",(IF(I129="NA","NA",IF($G129 = "NA", "NA",(IF(OR(ChemData!U129="NA",ChemData!U129=""),I129/((Data!$D$18+((1-Data!$D$18)*Data!$D$14*$G129))/((1-Data!$D$18)*Data!$D$14*1000)),(IF(I129/((Data!$D$18+((1-Data!$D$18)*Data!$D$14*$G129))/((1-Data!$D$18)*Data!$D$14*1000))&gt;ChemData!U129, ChemData!U129, I129/((Data!$D$18+((1-Data!$D$18)*Data!$D$14*$G129))/((1-Data!$D$18)*Data!$D$14*1000))))))))),"---")</f>
        <v>---</v>
      </c>
      <c r="M129" s="376" t="str">
        <f>IF(Start!$C$15="x",(IF(L129="NA","NA",IF(OR(D129="NA",D129=""),"NA",(((Data!$D$22*Data!$D$18)*L129)+(Data!$D$19-Data!$D$22)*$D129)/((Data!$D$22*Data!$D$18)+Data!$D$19-Data!$D$22)))),"---")</f>
        <v>---</v>
      </c>
      <c r="N129" s="376" t="str">
        <f>IF(Start!$C$15="x",IF(K129 = "NA", "NA", (IF(M129 = "NA", "NA",(IF(OR(ChemData!U129="NA",ChemData!U129=""),(IF(K129&gt;M129,K129,M129)),(IF(K129&gt;M129,(IF(K129&gt;ChemData!U129, ChemData!U129, K129)),(IF(M129&gt;ChemData!U129,ChemData!U129,M129))))))))),"---")</f>
        <v>---</v>
      </c>
      <c r="O129" s="377" t="str">
        <f>IF(Start!$C$15="x",IF(N129 = "NA","NA", IF(OR(E129="NA",E129=""),"NA",(N129+(Data!$D$26*$E129))/(Data!$D$26+1))),"---")</f>
        <v>---</v>
      </c>
      <c r="P129" s="730">
        <f>IF(E129="",F129,IF($F129&lt;(1+(Data!$D$27/100))*$E129,(1+(Data!$D$27/100))*$E129,$F129))</f>
        <v>230</v>
      </c>
      <c r="Q129" s="343" t="str">
        <f>IF(Start!$C$15="x",(IF(C129="","",(IF(O129="NA","NA",IF(P129="NA","NA",IF(P129=0,"NA",(O129/P129))))))),"Not Req.")</f>
        <v>Not Req.</v>
      </c>
      <c r="R129" s="163"/>
      <c r="S129" s="18"/>
      <c r="T129" s="18"/>
      <c r="U129" s="163"/>
      <c r="V129" s="163"/>
      <c r="W129" s="18"/>
      <c r="X129" s="163"/>
      <c r="Y129" s="163"/>
      <c r="Z129" s="18"/>
    </row>
    <row r="130" spans="1:26" s="10" customFormat="1" x14ac:dyDescent="0.25">
      <c r="A130" s="405" t="s">
        <v>448</v>
      </c>
      <c r="B130" s="371" t="str">
        <f>IF(Start!$C$15="x",IF(C130="NA","NA",(IF(C130="","",(IF(OR(F130="NA",F130=""),"No Criteria",(IF(AND(O130="NA",F130&lt;&gt;"NA",C130&lt;&gt;"NA"),                  "Missing Data",(IF(O130&lt;F130,"No",(IF(D130&gt;F130,"Caution",(IF(O130&gt;=F130,"Needed","No"))))))))))))),"---")</f>
        <v>---</v>
      </c>
      <c r="C130" s="372" t="str">
        <f>IF(TRUE=ISBLANK(ChemData!B130),"",(ChemData!B130))</f>
        <v/>
      </c>
      <c r="D130" s="373" t="str">
        <f>IF(TRUE=ISBLANK(ChemData!C130),"",(ChemData!C130))</f>
        <v/>
      </c>
      <c r="E130" s="374" t="str">
        <f>IF(TRUE=ISBLANK(ChemData!D130),"",(ChemData!D130))</f>
        <v/>
      </c>
      <c r="F130" s="289">
        <f>IF(TRUE=ISBLANK(ChemData!H130),"",(ChemData!H130))</f>
        <v>1200</v>
      </c>
      <c r="G130" s="290">
        <f>IF(TRUE=ISBLANK(ChemData!Q130),"",(ChemData!Q130))</f>
        <v>1.7274537107752317</v>
      </c>
      <c r="H130" s="291">
        <f>IF(TRUE=ISBLANK(ChemData!S130),"",(ChemData!S130))</f>
        <v>1</v>
      </c>
      <c r="I130" s="375" t="str">
        <f>IF(Start!$C$15="x",(IF(OR(C130="NA",C130=""), "NA", (IF($H130 = "NA", "NA", ((C130*$H130)))))),"---")</f>
        <v>---</v>
      </c>
      <c r="J130" s="376" t="str">
        <f>IF(Start!$C$15="x",(IF(I130 = "NA", "NA", IF(OR(D130="NA",D130=""),"NA",(I130 +((Data!$D$19-Data!$D$22)/(Data!$D$19*Data!$D$22)*$D130))))),"---")</f>
        <v>---</v>
      </c>
      <c r="K130" s="376" t="str">
        <f>IF(Start!$C$15="x",(IF(J130="NA","NA",IF(OR(G130="NA",G130=""),"NA",(J130*(1-Data!$D$23)*Data!$D$14*1000)/(Data!$D$23+((1-Data!$D$23)*Data!$D$14*$G130))))),"---")</f>
        <v>---</v>
      </c>
      <c r="L130" s="376" t="str">
        <f>IF(Start!$C$15="x",(IF(I130="NA","NA",IF($G130 = "NA", "NA",(IF(OR(ChemData!U130="NA",ChemData!U130=""),I130/((Data!$D$18+((1-Data!$D$18)*Data!$D$14*$G130))/((1-Data!$D$18)*Data!$D$14*1000)),(IF(I130/((Data!$D$18+((1-Data!$D$18)*Data!$D$14*$G130))/((1-Data!$D$18)*Data!$D$14*1000))&gt;ChemData!U130, ChemData!U130, I130/((Data!$D$18+((1-Data!$D$18)*Data!$D$14*$G130))/((1-Data!$D$18)*Data!$D$14*1000))))))))),"---")</f>
        <v>---</v>
      </c>
      <c r="M130" s="376" t="str">
        <f>IF(Start!$C$15="x",(IF(L130="NA","NA",IF(OR(D130="NA",D130=""),"NA",(((Data!$D$22*Data!$D$18)*L130)+(Data!$D$19-Data!$D$22)*$D130)/((Data!$D$22*Data!$D$18)+Data!$D$19-Data!$D$22)))),"---")</f>
        <v>---</v>
      </c>
      <c r="N130" s="376" t="str">
        <f>IF(Start!$C$15="x",IF(K130 = "NA", "NA", (IF(M130 = "NA", "NA",(IF(OR(ChemData!U130="NA",ChemData!U130=""),(IF(K130&gt;M130,K130,M130)),(IF(K130&gt;M130,(IF(K130&gt;ChemData!U130, ChemData!U130, K130)),(IF(M130&gt;ChemData!U130,ChemData!U130,M130))))))))),"---")</f>
        <v>---</v>
      </c>
      <c r="O130" s="377" t="str">
        <f>IF(Start!$C$15="x",IF(N130 = "NA","NA", IF(OR(E130="NA",E130=""),"NA",(N130+(Data!$D$26*$E130))/(Data!$D$26+1))),"---")</f>
        <v>---</v>
      </c>
      <c r="P130" s="730">
        <f>IF(E130="",F130,IF($F130&lt;(1+(Data!$D$27/100))*$E130,(1+(Data!$D$27/100))*$E130,$F130))</f>
        <v>1200</v>
      </c>
      <c r="Q130" s="343" t="str">
        <f>IF(Start!$C$15="x",(IF(C130="","",(IF(O130="NA","NA",IF(P130="NA","NA",IF(P130=0,"NA",(O130/P130))))))),"Not Req.")</f>
        <v>Not Req.</v>
      </c>
      <c r="R130" s="163"/>
      <c r="S130" s="18"/>
      <c r="T130" s="18"/>
      <c r="U130" s="163"/>
      <c r="V130" s="163"/>
      <c r="W130" s="18"/>
      <c r="X130" s="163"/>
      <c r="Y130" s="163"/>
      <c r="Z130" s="18"/>
    </row>
    <row r="131" spans="1:26" s="10" customFormat="1" x14ac:dyDescent="0.25">
      <c r="A131" s="405" t="s">
        <v>449</v>
      </c>
      <c r="B131" s="371" t="str">
        <f>IF(Start!$C$15="x",IF(C131="NA","NA",(IF(C131="","",(IF(OR(F131="NA",F131=""),"No Criteria",(IF(AND(O131="NA",F131&lt;&gt;"NA",C131&lt;&gt;"NA"),                  "Missing Data",(IF(O131&lt;F131,"No",(IF(D131&gt;F131,"Caution",(IF(O131&gt;=F131,"Needed","No"))))))))))))),"---")</f>
        <v>---</v>
      </c>
      <c r="C131" s="372" t="str">
        <f>IF(TRUE=ISBLANK(ChemData!B131),"",(ChemData!B131))</f>
        <v/>
      </c>
      <c r="D131" s="373" t="str">
        <f>IF(TRUE=ISBLANK(ChemData!C131),"",(ChemData!C131))</f>
        <v/>
      </c>
      <c r="E131" s="374" t="str">
        <f>IF(TRUE=ISBLANK(ChemData!D131),"",(ChemData!D131))</f>
        <v/>
      </c>
      <c r="F131" s="289" t="str">
        <f>IF(TRUE=ISBLANK(ChemData!H131),"",(ChemData!H131))</f>
        <v>NA</v>
      </c>
      <c r="G131" s="290">
        <f>IF(TRUE=ISBLANK(ChemData!Q131),"",(ChemData!Q131))</f>
        <v>0.46495017847242326</v>
      </c>
      <c r="H131" s="291">
        <f>IF(TRUE=ISBLANK(ChemData!S131),"",(ChemData!S131))</f>
        <v>1</v>
      </c>
      <c r="I131" s="375" t="str">
        <f>IF(Start!$C$15="x",(IF(OR(C131="NA",C131=""), "NA", (IF($H131 = "NA", "NA", ((C131*$H131)))))),"---")</f>
        <v>---</v>
      </c>
      <c r="J131" s="376" t="str">
        <f>IF(Start!$C$15="x",(IF(I131 = "NA", "NA", IF(OR(D131="NA",D131=""),"NA",(I131 +((Data!$D$19-Data!$D$22)/(Data!$D$19*Data!$D$22)*$D131))))),"---")</f>
        <v>---</v>
      </c>
      <c r="K131" s="376" t="str">
        <f>IF(Start!$C$15="x",(IF(J131="NA","NA",IF(OR(G131="NA",G131=""),"NA",(J131*(1-Data!$D$23)*Data!$D$14*1000)/(Data!$D$23+((1-Data!$D$23)*Data!$D$14*$G131))))),"---")</f>
        <v>---</v>
      </c>
      <c r="L131" s="376" t="str">
        <f>IF(Start!$C$15="x",(IF(I131="NA","NA",IF($G131 = "NA", "NA",(IF(OR(ChemData!U131="NA",ChemData!U131=""),I131/((Data!$D$18+((1-Data!$D$18)*Data!$D$14*$G131))/((1-Data!$D$18)*Data!$D$14*1000)),(IF(I131/((Data!$D$18+((1-Data!$D$18)*Data!$D$14*$G131))/((1-Data!$D$18)*Data!$D$14*1000))&gt;ChemData!U131, ChemData!U131, I131/((Data!$D$18+((1-Data!$D$18)*Data!$D$14*$G131))/((1-Data!$D$18)*Data!$D$14*1000))))))))),"---")</f>
        <v>---</v>
      </c>
      <c r="M131" s="376" t="str">
        <f>IF(Start!$C$15="x",(IF(L131="NA","NA",IF(OR(D131="NA",D131=""),"NA",(((Data!$D$22*Data!$D$18)*L131)+(Data!$D$19-Data!$D$22)*$D131)/((Data!$D$22*Data!$D$18)+Data!$D$19-Data!$D$22)))),"---")</f>
        <v>---</v>
      </c>
      <c r="N131" s="376" t="str">
        <f>IF(Start!$C$15="x",IF(K131 = "NA", "NA", (IF(M131 = "NA", "NA",(IF(OR(ChemData!U131="NA",ChemData!U131=""),(IF(K131&gt;M131,K131,M131)),(IF(K131&gt;M131,(IF(K131&gt;ChemData!U131, ChemData!U131, K131)),(IF(M131&gt;ChemData!U131,ChemData!U131,M131))))))))),"---")</f>
        <v>---</v>
      </c>
      <c r="O131" s="377" t="str">
        <f>IF(Start!$C$15="x",IF(N131 = "NA","NA", IF(OR(E131="NA",E131=""),"NA",(N131+(Data!$D$26*$E131))/(Data!$D$26+1))),"---")</f>
        <v>---</v>
      </c>
      <c r="P131" s="730" t="str">
        <f>IF(E131="",F131,IF($F131&lt;(1+(Data!$D$27/100))*$E131,(1+(Data!$D$27/100))*$E131,$F131))</f>
        <v>NA</v>
      </c>
      <c r="Q131" s="343" t="str">
        <f>IF(Start!$C$15="x",(IF(C131="","",(IF(O131="NA","NA",IF(P131="NA","NA",IF(P131=0,"NA",(O131/P131))))))),"Not Req.")</f>
        <v>Not Req.</v>
      </c>
      <c r="R131" s="163"/>
      <c r="S131" s="18"/>
      <c r="T131" s="18"/>
      <c r="U131" s="163"/>
      <c r="V131" s="163"/>
      <c r="W131" s="18"/>
      <c r="X131" s="163"/>
      <c r="Y131" s="163"/>
      <c r="Z131" s="18"/>
    </row>
    <row r="132" spans="1:26" s="10" customFormat="1" x14ac:dyDescent="0.25">
      <c r="A132" s="405" t="s">
        <v>450</v>
      </c>
      <c r="B132" s="371" t="str">
        <f>IF(Start!$C$15="x",IF(C132="NA","NA",(IF(C132="","",(IF(OR(F132="NA",F132=""),"No Criteria",(IF(AND(O132="NA",F132&lt;&gt;"NA",C132&lt;&gt;"NA"),                  "Missing Data",(IF(O132&lt;F132,"No",(IF(D132&gt;F132,"Caution",(IF(O132&gt;=F132,"Needed","No"))))))))))))),"---")</f>
        <v>---</v>
      </c>
      <c r="C132" s="372" t="str">
        <f>IF(TRUE=ISBLANK(ChemData!B132),"",(ChemData!B132))</f>
        <v/>
      </c>
      <c r="D132" s="373" t="str">
        <f>IF(TRUE=ISBLANK(ChemData!C132),"",(ChemData!C132))</f>
        <v/>
      </c>
      <c r="E132" s="374" t="str">
        <f>IF(TRUE=ISBLANK(ChemData!D132),"",(ChemData!D132))</f>
        <v/>
      </c>
      <c r="F132" s="289" t="str">
        <f>IF(TRUE=ISBLANK(ChemData!H132),"",(ChemData!H132))</f>
        <v>NA</v>
      </c>
      <c r="G132" s="290">
        <f>IF(TRUE=ISBLANK(ChemData!Q132),"",(ChemData!Q132))</f>
        <v>2.12523235339073E-2</v>
      </c>
      <c r="H132" s="291">
        <f>IF(TRUE=ISBLANK(ChemData!S132),"",(ChemData!S132))</f>
        <v>1</v>
      </c>
      <c r="I132" s="375" t="str">
        <f>IF(Start!$C$15="x",(IF(OR(C132="NA",C132=""), "NA", (IF($H132 = "NA", "NA", ((C132*$H132)))))),"---")</f>
        <v>---</v>
      </c>
      <c r="J132" s="376" t="str">
        <f>IF(Start!$C$15="x",(IF(I132 = "NA", "NA", IF(OR(D132="NA",D132=""),"NA",(I132 +((Data!$D$19-Data!$D$22)/(Data!$D$19*Data!$D$22)*$D132))))),"---")</f>
        <v>---</v>
      </c>
      <c r="K132" s="376" t="str">
        <f>IF(Start!$C$15="x",(IF(J132="NA","NA",IF(OR(G132="NA",G132=""),"NA",(J132*(1-Data!$D$23)*Data!$D$14*1000)/(Data!$D$23+((1-Data!$D$23)*Data!$D$14*$G132))))),"---")</f>
        <v>---</v>
      </c>
      <c r="L132" s="376" t="str">
        <f>IF(Start!$C$15="x",(IF(I132="NA","NA",IF($G132 = "NA", "NA",(IF(OR(ChemData!U132="NA",ChemData!U132=""),I132/((Data!$D$18+((1-Data!$D$18)*Data!$D$14*$G132))/((1-Data!$D$18)*Data!$D$14*1000)),(IF(I132/((Data!$D$18+((1-Data!$D$18)*Data!$D$14*$G132))/((1-Data!$D$18)*Data!$D$14*1000))&gt;ChemData!U132, ChemData!U132, I132/((Data!$D$18+((1-Data!$D$18)*Data!$D$14*$G132))/((1-Data!$D$18)*Data!$D$14*1000))))))))),"---")</f>
        <v>---</v>
      </c>
      <c r="M132" s="376" t="str">
        <f>IF(Start!$C$15="x",(IF(L132="NA","NA",IF(OR(D132="NA",D132=""),"NA",(((Data!$D$22*Data!$D$18)*L132)+(Data!$D$19-Data!$D$22)*$D132)/((Data!$D$22*Data!$D$18)+Data!$D$19-Data!$D$22)))),"---")</f>
        <v>---</v>
      </c>
      <c r="N132" s="376" t="str">
        <f>IF(Start!$C$15="x",IF(K132 = "NA", "NA", (IF(M132 = "NA", "NA",(IF(OR(ChemData!U132="NA",ChemData!U132=""),(IF(K132&gt;M132,K132,M132)),(IF(K132&gt;M132,(IF(K132&gt;ChemData!U132, ChemData!U132, K132)),(IF(M132&gt;ChemData!U132,ChemData!U132,M132))))))))),"---")</f>
        <v>---</v>
      </c>
      <c r="O132" s="377" t="str">
        <f>IF(Start!$C$15="x",IF(N132 = "NA","NA", IF(OR(E132="NA",E132=""),"NA",(N132+(Data!$D$26*$E132))/(Data!$D$26+1))),"---")</f>
        <v>---</v>
      </c>
      <c r="P132" s="730" t="str">
        <f>IF(E132="",F132,IF($F132&lt;(1+(Data!$D$27/100))*$E132,(1+(Data!$D$27/100))*$E132,$F132))</f>
        <v>NA</v>
      </c>
      <c r="Q132" s="343" t="str">
        <f>IF(Start!$C$15="x",(IF(C132="","",(IF(O132="NA","NA",IF(P132="NA","NA",IF(P132=0,"NA",(O132/P132))))))),"Not Req.")</f>
        <v>Not Req.</v>
      </c>
      <c r="R132" s="163"/>
      <c r="S132" s="18"/>
      <c r="T132" s="18"/>
      <c r="U132" s="163"/>
      <c r="V132" s="163"/>
      <c r="W132" s="18"/>
      <c r="X132" s="163"/>
      <c r="Y132" s="163"/>
      <c r="Z132" s="18"/>
    </row>
    <row r="133" spans="1:26" s="10" customFormat="1" x14ac:dyDescent="0.25">
      <c r="A133" s="405" t="s">
        <v>451</v>
      </c>
      <c r="B133" s="371" t="str">
        <f>IF(Start!$C$15="x",IF(C133="NA","NA",(IF(C133="","",(IF(OR(F133="NA",F133=""),"No Criteria",(IF(AND(O133="NA",F133&lt;&gt;"NA",C133&lt;&gt;"NA"),                  "Missing Data",(IF(O133&lt;F133,"No",(IF(D133&gt;F133,"Caution",(IF(O133&gt;=F133,"Needed","No"))))))))))))),"---")</f>
        <v>---</v>
      </c>
      <c r="C133" s="372" t="str">
        <f>IF(TRUE=ISBLANK(ChemData!B133),"",(ChemData!B133))</f>
        <v/>
      </c>
      <c r="D133" s="373" t="str">
        <f>IF(TRUE=ISBLANK(ChemData!C133),"",(ChemData!C133))</f>
        <v/>
      </c>
      <c r="E133" s="374" t="str">
        <f>IF(TRUE=ISBLANK(ChemData!D133),"",(ChemData!D133))</f>
        <v/>
      </c>
      <c r="F133" s="289">
        <f>IF(TRUE=ISBLANK(ChemData!H133),"",(ChemData!H133))</f>
        <v>3800</v>
      </c>
      <c r="G133" s="290">
        <f>IF(TRUE=ISBLANK(ChemData!Q133),"",(ChemData!Q133))</f>
        <v>24.969302956771518</v>
      </c>
      <c r="H133" s="291">
        <f>IF(TRUE=ISBLANK(ChemData!S133),"",(ChemData!S133))</f>
        <v>1</v>
      </c>
      <c r="I133" s="375" t="str">
        <f>IF(Start!$C$15="x",(IF(OR(C133="NA",C133=""), "NA", (IF($H133 = "NA", "NA", ((C133*$H133)))))),"---")</f>
        <v>---</v>
      </c>
      <c r="J133" s="376" t="str">
        <f>IF(Start!$C$15="x",(IF(I133 = "NA", "NA", IF(OR(D133="NA",D133=""),"NA",(I133 +((Data!$D$19-Data!$D$22)/(Data!$D$19*Data!$D$22)*$D133))))),"---")</f>
        <v>---</v>
      </c>
      <c r="K133" s="376" t="str">
        <f>IF(Start!$C$15="x",(IF(J133="NA","NA",IF(OR(G133="NA",G133=""),"NA",(J133*(1-Data!$D$23)*Data!$D$14*1000)/(Data!$D$23+((1-Data!$D$23)*Data!$D$14*$G133))))),"---")</f>
        <v>---</v>
      </c>
      <c r="L133" s="376" t="str">
        <f>IF(Start!$C$15="x",(IF(I133="NA","NA",IF($G133 = "NA", "NA",(IF(OR(ChemData!U133="NA",ChemData!U133=""),I133/((Data!$D$18+((1-Data!$D$18)*Data!$D$14*$G133))/((1-Data!$D$18)*Data!$D$14*1000)),(IF(I133/((Data!$D$18+((1-Data!$D$18)*Data!$D$14*$G133))/((1-Data!$D$18)*Data!$D$14*1000))&gt;ChemData!U133, ChemData!U133, I133/((Data!$D$18+((1-Data!$D$18)*Data!$D$14*$G133))/((1-Data!$D$18)*Data!$D$14*1000))))))))),"---")</f>
        <v>---</v>
      </c>
      <c r="M133" s="376" t="str">
        <f>IF(Start!$C$15="x",(IF(L133="NA","NA",IF(OR(D133="NA",D133=""),"NA",(((Data!$D$22*Data!$D$18)*L133)+(Data!$D$19-Data!$D$22)*$D133)/((Data!$D$22*Data!$D$18)+Data!$D$19-Data!$D$22)))),"---")</f>
        <v>---</v>
      </c>
      <c r="N133" s="376" t="str">
        <f>IF(Start!$C$15="x",IF(K133 = "NA", "NA", (IF(M133 = "NA", "NA",(IF(OR(ChemData!U133="NA",ChemData!U133=""),(IF(K133&gt;M133,K133,M133)),(IF(K133&gt;M133,(IF(K133&gt;ChemData!U133, ChemData!U133, K133)),(IF(M133&gt;ChemData!U133,ChemData!U133,M133))))))))),"---")</f>
        <v>---</v>
      </c>
      <c r="O133" s="377" t="str">
        <f>IF(Start!$C$15="x",IF(N133 = "NA","NA", IF(OR(E133="NA",E133=""),"NA",(N133+(Data!$D$26*$E133))/(Data!$D$26+1))),"---")</f>
        <v>---</v>
      </c>
      <c r="P133" s="730">
        <f>IF(E133="",F133,IF($F133&lt;(1+(Data!$D$27/100))*$E133,(1+(Data!$D$27/100))*$E133,$F133))</f>
        <v>3800</v>
      </c>
      <c r="Q133" s="343" t="str">
        <f>IF(Start!$C$15="x",(IF(C133="","",(IF(O133="NA","NA",IF(P133="NA","NA",IF(P133=0,"NA",(O133/P133))))))),"Not Req.")</f>
        <v>Not Req.</v>
      </c>
      <c r="R133" s="163"/>
      <c r="S133" s="18"/>
      <c r="T133" s="18"/>
      <c r="U133" s="163"/>
      <c r="V133" s="163"/>
      <c r="W133" s="18"/>
      <c r="X133" s="163"/>
      <c r="Y133" s="163"/>
      <c r="Z133" s="18"/>
    </row>
    <row r="134" spans="1:26" s="10" customFormat="1" x14ac:dyDescent="0.25">
      <c r="A134" s="405" t="s">
        <v>452</v>
      </c>
      <c r="B134" s="371" t="str">
        <f>IF(Start!$C$15="x",IF(C134="NA","NA",(IF(C134="","",(IF(OR(F134="NA",F134=""),"No Criteria",(IF(AND(O134="NA",F134&lt;&gt;"NA",C134&lt;&gt;"NA"),                  "Missing Data",(IF(O134&lt;F134,"No",(IF(D134&gt;F134,"Caution",(IF(O134&gt;=F134,"Needed","No"))))))))))))),"---")</f>
        <v>---</v>
      </c>
      <c r="C134" s="372" t="str">
        <f>IF(TRUE=ISBLANK(ChemData!B134),"",(ChemData!B134))</f>
        <v/>
      </c>
      <c r="D134" s="373" t="str">
        <f>IF(TRUE=ISBLANK(ChemData!C134),"",(ChemData!C134))</f>
        <v/>
      </c>
      <c r="E134" s="374" t="str">
        <f>IF(TRUE=ISBLANK(ChemData!D134),"",(ChemData!D134))</f>
        <v/>
      </c>
      <c r="F134" s="289">
        <f>IF(TRUE=ISBLANK(ChemData!H134),"",(ChemData!H134))</f>
        <v>27000</v>
      </c>
      <c r="G134" s="290">
        <f>IF(TRUE=ISBLANK(ChemData!Q134),"",(ChemData!Q134))</f>
        <v>1.3104076468950407</v>
      </c>
      <c r="H134" s="291">
        <f>IF(TRUE=ISBLANK(ChemData!S134),"",(ChemData!S134))</f>
        <v>1</v>
      </c>
      <c r="I134" s="375" t="str">
        <f>IF(Start!$C$15="x",(IF(OR(C134="NA",C134=""), "NA", (IF($H134 = "NA", "NA", ((C134*$H134)))))),"---")</f>
        <v>---</v>
      </c>
      <c r="J134" s="376" t="str">
        <f>IF(Start!$C$15="x",(IF(I134 = "NA", "NA", IF(OR(D134="NA",D134=""),"NA",(I134 +((Data!$D$19-Data!$D$22)/(Data!$D$19*Data!$D$22)*$D134))))),"---")</f>
        <v>---</v>
      </c>
      <c r="K134" s="376" t="str">
        <f>IF(Start!$C$15="x",(IF(J134="NA","NA",IF(OR(G134="NA",G134=""),"NA",(J134*(1-Data!$D$23)*Data!$D$14*1000)/(Data!$D$23+((1-Data!$D$23)*Data!$D$14*$G134))))),"---")</f>
        <v>---</v>
      </c>
      <c r="L134" s="376" t="str">
        <f>IF(Start!$C$15="x",(IF(I134="NA","NA",IF($G134 = "NA", "NA",(IF(OR(ChemData!U134="NA",ChemData!U134=""),I134/((Data!$D$18+((1-Data!$D$18)*Data!$D$14*$G134))/((1-Data!$D$18)*Data!$D$14*1000)),(IF(I134/((Data!$D$18+((1-Data!$D$18)*Data!$D$14*$G134))/((1-Data!$D$18)*Data!$D$14*1000))&gt;ChemData!U134, ChemData!U134, I134/((Data!$D$18+((1-Data!$D$18)*Data!$D$14*$G134))/((1-Data!$D$18)*Data!$D$14*1000))))))))),"---")</f>
        <v>---</v>
      </c>
      <c r="M134" s="376" t="str">
        <f>IF(Start!$C$15="x",(IF(L134="NA","NA",IF(OR(D134="NA",D134=""),"NA",(((Data!$D$22*Data!$D$18)*L134)+(Data!$D$19-Data!$D$22)*$D134)/((Data!$D$22*Data!$D$18)+Data!$D$19-Data!$D$22)))),"---")</f>
        <v>---</v>
      </c>
      <c r="N134" s="376" t="str">
        <f>IF(Start!$C$15="x",IF(K134 = "NA", "NA", (IF(M134 = "NA", "NA",(IF(OR(ChemData!U134="NA",ChemData!U134=""),(IF(K134&gt;M134,K134,M134)),(IF(K134&gt;M134,(IF(K134&gt;ChemData!U134, ChemData!U134, K134)),(IF(M134&gt;ChemData!U134,ChemData!U134,M134))))))))),"---")</f>
        <v>---</v>
      </c>
      <c r="O134" s="377" t="str">
        <f>IF(Start!$C$15="x",IF(N134 = "NA","NA", IF(OR(E134="NA",E134=""),"NA",(N134+(Data!$D$26*$E134))/(Data!$D$26+1))),"---")</f>
        <v>---</v>
      </c>
      <c r="P134" s="730">
        <f>IF(E134="",F134,IF($F134&lt;(1+(Data!$D$27/100))*$E134,(1+(Data!$D$27/100))*$E134,$F134))</f>
        <v>27000</v>
      </c>
      <c r="Q134" s="343" t="str">
        <f>IF(Start!$C$15="x",(IF(C134="","",(IF(O134="NA","NA",IF(P134="NA","NA",IF(P134=0,"NA",(O134/P134))))))),"Not Req.")</f>
        <v>Not Req.</v>
      </c>
      <c r="R134" s="163"/>
      <c r="S134" s="18"/>
      <c r="T134" s="18"/>
      <c r="U134" s="163"/>
      <c r="V134" s="163"/>
      <c r="W134" s="18"/>
      <c r="X134" s="163"/>
      <c r="Y134" s="163"/>
      <c r="Z134" s="18"/>
    </row>
    <row r="135" spans="1:26" s="10" customFormat="1" x14ac:dyDescent="0.25">
      <c r="A135" s="405" t="s">
        <v>453</v>
      </c>
      <c r="B135" s="371" t="str">
        <f>IF(Start!$C$15="x",IF(C135="NA","NA",(IF(C135="","",(IF(OR(F135="NA",F135=""),"No Criteria",(IF(AND(O135="NA",F135&lt;&gt;"NA",C135&lt;&gt;"NA"),                  "Missing Data",(IF(O135&lt;F135,"No",(IF(D135&gt;F135,"Caution",(IF(O135&gt;=F135,"Needed","No"))))))))))))),"---")</f>
        <v>---</v>
      </c>
      <c r="C135" s="372" t="str">
        <f>IF(TRUE=ISBLANK(ChemData!B135),"",(ChemData!B135))</f>
        <v/>
      </c>
      <c r="D135" s="373" t="str">
        <f>IF(TRUE=ISBLANK(ChemData!C135),"",(ChemData!C135))</f>
        <v/>
      </c>
      <c r="E135" s="374" t="str">
        <f>IF(TRUE=ISBLANK(ChemData!D135),"",(ChemData!D135))</f>
        <v/>
      </c>
      <c r="F135" s="289">
        <f>IF(TRUE=ISBLANK(ChemData!H135),"",(ChemData!H135))</f>
        <v>8.4</v>
      </c>
      <c r="G135" s="290">
        <f>IF(TRUE=ISBLANK(ChemData!Q135),"",(ChemData!Q135))</f>
        <v>9384.398010164783</v>
      </c>
      <c r="H135" s="291">
        <f>IF(TRUE=ISBLANK(ChemData!S135),"",(ChemData!S135))</f>
        <v>1</v>
      </c>
      <c r="I135" s="375" t="str">
        <f>IF(Start!$C$15="x",(IF(OR(C135="NA",C135=""), "NA", (IF($H135 = "NA", "NA", ((C135*$H135)))))),"---")</f>
        <v>---</v>
      </c>
      <c r="J135" s="376" t="str">
        <f>IF(Start!$C$15="x",(IF(I135 = "NA", "NA", IF(OR(D135="NA",D135=""),"NA",(I135 +((Data!$D$19-Data!$D$22)/(Data!$D$19*Data!$D$22)*$D135))))),"---")</f>
        <v>---</v>
      </c>
      <c r="K135" s="376" t="str">
        <f>IF(Start!$C$15="x",(IF(J135="NA","NA",IF(OR(G135="NA",G135=""),"NA",(J135*(1-Data!$D$23)*Data!$D$14*1000)/(Data!$D$23+((1-Data!$D$23)*Data!$D$14*$G135))))),"---")</f>
        <v>---</v>
      </c>
      <c r="L135" s="376" t="str">
        <f>IF(Start!$C$15="x",(IF(I135="NA","NA",IF($G135 = "NA", "NA",(IF(OR(ChemData!U135="NA",ChemData!U135=""),I135/((Data!$D$18+((1-Data!$D$18)*Data!$D$14*$G135))/((1-Data!$D$18)*Data!$D$14*1000)),(IF(I135/((Data!$D$18+((1-Data!$D$18)*Data!$D$14*$G135))/((1-Data!$D$18)*Data!$D$14*1000))&gt;ChemData!U135, ChemData!U135, I135/((Data!$D$18+((1-Data!$D$18)*Data!$D$14*$G135))/((1-Data!$D$18)*Data!$D$14*1000))))))))),"---")</f>
        <v>---</v>
      </c>
      <c r="M135" s="376" t="str">
        <f>IF(Start!$C$15="x",(IF(L135="NA","NA",IF(OR(D135="NA",D135=""),"NA",(((Data!$D$22*Data!$D$18)*L135)+(Data!$D$19-Data!$D$22)*$D135)/((Data!$D$22*Data!$D$18)+Data!$D$19-Data!$D$22)))),"---")</f>
        <v>---</v>
      </c>
      <c r="N135" s="376" t="str">
        <f>IF(Start!$C$15="x",IF(K135 = "NA", "NA", (IF(M135 = "NA", "NA",(IF(OR(ChemData!U135="NA",ChemData!U135=""),(IF(K135&gt;M135,K135,M135)),(IF(K135&gt;M135,(IF(K135&gt;ChemData!U135, ChemData!U135, K135)),(IF(M135&gt;ChemData!U135,ChemData!U135,M135))))))))),"---")</f>
        <v>---</v>
      </c>
      <c r="O135" s="377" t="str">
        <f>IF(Start!$C$15="x",IF(N135 = "NA","NA", IF(OR(E135="NA",E135=""),"NA",(N135+(Data!$D$26*$E135))/(Data!$D$26+1))),"---")</f>
        <v>---</v>
      </c>
      <c r="P135" s="730">
        <f>IF(E135="",F135,IF($F135&lt;(1+(Data!$D$27/100))*$E135,(1+(Data!$D$27/100))*$E135,$F135))</f>
        <v>8.4</v>
      </c>
      <c r="Q135" s="343" t="str">
        <f>IF(Start!$C$15="x",(IF(C135="","",(IF(O135="NA","NA",IF(P135="NA","NA",IF(P135=0,"NA",(O135/P135))))))),"Not Req.")</f>
        <v>Not Req.</v>
      </c>
      <c r="R135" s="163"/>
      <c r="S135" s="18"/>
      <c r="T135" s="18"/>
      <c r="U135" s="163"/>
      <c r="V135" s="163"/>
      <c r="W135" s="18"/>
      <c r="X135" s="163"/>
      <c r="Y135" s="163"/>
      <c r="Z135" s="18"/>
    </row>
    <row r="136" spans="1:26" s="10" customFormat="1" x14ac:dyDescent="0.25">
      <c r="A136" s="405" t="s">
        <v>454</v>
      </c>
      <c r="B136" s="371" t="str">
        <f>IF(Start!$C$15="x",IF(C136="NA","NA",(IF(C136="","",(IF(OR(F136="NA",F136=""),"No Criteria",(IF(AND(O136="NA",F136&lt;&gt;"NA",C136&lt;&gt;"NA"),                  "Missing Data",(IF(O136&lt;F136,"No",(IF(D136&gt;F136,"Caution",(IF(O136&gt;=F136,"Needed","No"))))))))))))),"---")</f>
        <v>---</v>
      </c>
      <c r="C136" s="372" t="str">
        <f>IF(TRUE=ISBLANK(ChemData!B136),"",(ChemData!B136))</f>
        <v/>
      </c>
      <c r="D136" s="373" t="str">
        <f>IF(TRUE=ISBLANK(ChemData!C136),"",(ChemData!C136))</f>
        <v/>
      </c>
      <c r="E136" s="374" t="str">
        <f>IF(TRUE=ISBLANK(ChemData!D136),"",(ChemData!D136))</f>
        <v/>
      </c>
      <c r="F136" s="289">
        <f>IF(TRUE=ISBLANK(ChemData!H136),"",(ChemData!H136))</f>
        <v>19</v>
      </c>
      <c r="G136" s="290">
        <f>IF(TRUE=ISBLANK(ChemData!Q136),"",(ChemData!Q136))</f>
        <v>2174.7353741930724</v>
      </c>
      <c r="H136" s="291">
        <f>IF(TRUE=ISBLANK(ChemData!S136),"",(ChemData!S136))</f>
        <v>1</v>
      </c>
      <c r="I136" s="375" t="str">
        <f>IF(Start!$C$15="x",(IF(OR(C136="NA",C136=""), "NA", (IF($H136 = "NA", "NA", ((C136*$H136)))))),"---")</f>
        <v>---</v>
      </c>
      <c r="J136" s="376" t="str">
        <f>IF(Start!$C$15="x",(IF(I136 = "NA", "NA", IF(OR(D136="NA",D136=""),"NA",(I136 +((Data!$D$19-Data!$D$22)/(Data!$D$19*Data!$D$22)*$D136))))),"---")</f>
        <v>---</v>
      </c>
      <c r="K136" s="376" t="str">
        <f>IF(Start!$C$15="x",(IF(J136="NA","NA",IF(OR(G136="NA",G136=""),"NA",(J136*(1-Data!$D$23)*Data!$D$14*1000)/(Data!$D$23+((1-Data!$D$23)*Data!$D$14*$G136))))),"---")</f>
        <v>---</v>
      </c>
      <c r="L136" s="376" t="str">
        <f>IF(Start!$C$15="x",(IF(I136="NA","NA",IF($G136 = "NA", "NA",(IF(OR(ChemData!U136="NA",ChemData!U136=""),I136/((Data!$D$18+((1-Data!$D$18)*Data!$D$14*$G136))/((1-Data!$D$18)*Data!$D$14*1000)),(IF(I136/((Data!$D$18+((1-Data!$D$18)*Data!$D$14*$G136))/((1-Data!$D$18)*Data!$D$14*1000))&gt;ChemData!U136, ChemData!U136, I136/((Data!$D$18+((1-Data!$D$18)*Data!$D$14*$G136))/((1-Data!$D$18)*Data!$D$14*1000))))))))),"---")</f>
        <v>---</v>
      </c>
      <c r="M136" s="376" t="str">
        <f>IF(Start!$C$15="x",(IF(L136="NA","NA",IF(OR(D136="NA",D136=""),"NA",(((Data!$D$22*Data!$D$18)*L136)+(Data!$D$19-Data!$D$22)*$D136)/((Data!$D$22*Data!$D$18)+Data!$D$19-Data!$D$22)))),"---")</f>
        <v>---</v>
      </c>
      <c r="N136" s="376" t="str">
        <f>IF(Start!$C$15="x",IF(K136 = "NA", "NA", (IF(M136 = "NA", "NA",(IF(OR(ChemData!U136="NA",ChemData!U136=""),(IF(K136&gt;M136,K136,M136)),(IF(K136&gt;M136,(IF(K136&gt;ChemData!U136, ChemData!U136, K136)),(IF(M136&gt;ChemData!U136,ChemData!U136,M136))))))))),"---")</f>
        <v>---</v>
      </c>
      <c r="O136" s="377" t="str">
        <f>IF(Start!$C$15="x",IF(N136 = "NA","NA", IF(OR(E136="NA",E136=""),"NA",(N136+(Data!$D$26*$E136))/(Data!$D$26+1))),"---")</f>
        <v>---</v>
      </c>
      <c r="P136" s="730">
        <f>IF(E136="",F136,IF($F136&lt;(1+(Data!$D$27/100))*$E136,(1+(Data!$D$27/100))*$E136,$F136))</f>
        <v>19</v>
      </c>
      <c r="Q136" s="343" t="str">
        <f>IF(Start!$C$15="x",(IF(C136="","",(IF(O136="NA","NA",IF(P136="NA","NA",IF(P136=0,"NA",(O136/P136))))))),"Not Req.")</f>
        <v>Not Req.</v>
      </c>
      <c r="R136" s="163"/>
      <c r="S136" s="18"/>
      <c r="T136" s="18"/>
      <c r="U136" s="163"/>
      <c r="V136" s="163"/>
      <c r="W136" s="18"/>
      <c r="X136" s="163"/>
      <c r="Y136" s="163"/>
      <c r="Z136" s="18"/>
    </row>
    <row r="137" spans="1:26" s="10" customFormat="1" x14ac:dyDescent="0.25">
      <c r="A137" s="405" t="s">
        <v>455</v>
      </c>
      <c r="B137" s="371" t="str">
        <f>IF(Start!$C$15="x",IF(C137="NA","NA",(IF(C137="","",(IF(OR(F137="NA",F137=""),"No Criteria",(IF(AND(O137="NA",F137&lt;&gt;"NA",C137&lt;&gt;"NA"),                  "Missing Data",(IF(O137&lt;F137,"No",(IF(D137&gt;F137,"Caution",(IF(O137&gt;=F137,"Needed","No"))))))))))))),"---")</f>
        <v>---</v>
      </c>
      <c r="C137" s="372" t="str">
        <f>IF(TRUE=ISBLANK(ChemData!B137),"",(ChemData!B137))</f>
        <v/>
      </c>
      <c r="D137" s="373" t="str">
        <f>IF(TRUE=ISBLANK(ChemData!C137),"",(ChemData!C137))</f>
        <v/>
      </c>
      <c r="E137" s="374" t="str">
        <f>IF(TRUE=ISBLANK(ChemData!D137),"",(ChemData!D137))</f>
        <v/>
      </c>
      <c r="F137" s="289">
        <f>IF(TRUE=ISBLANK(ChemData!H137),"",(ChemData!H137))</f>
        <v>3600</v>
      </c>
      <c r="G137" s="290">
        <f>IF(TRUE=ISBLANK(ChemData!Q137),"",(ChemData!Q137))</f>
        <v>0.53383423122873486</v>
      </c>
      <c r="H137" s="291">
        <f>IF(TRUE=ISBLANK(ChemData!S137),"",(ChemData!S137))</f>
        <v>1</v>
      </c>
      <c r="I137" s="375" t="str">
        <f>IF(Start!$C$15="x",(IF(OR(C137="NA",C137=""), "NA", (IF($H137 = "NA", "NA", ((C137*$H137)))))),"---")</f>
        <v>---</v>
      </c>
      <c r="J137" s="376" t="str">
        <f>IF(Start!$C$15="x",(IF(I137 = "NA", "NA", IF(OR(D137="NA",D137=""),"NA",(I137 +((Data!$D$19-Data!$D$22)/(Data!$D$19*Data!$D$22)*$D137))))),"---")</f>
        <v>---</v>
      </c>
      <c r="K137" s="376" t="str">
        <f>IF(Start!$C$15="x",(IF(J137="NA","NA",IF(OR(G137="NA",G137=""),"NA",(J137*(1-Data!$D$23)*Data!$D$14*1000)/(Data!$D$23+((1-Data!$D$23)*Data!$D$14*$G137))))),"---")</f>
        <v>---</v>
      </c>
      <c r="L137" s="376" t="str">
        <f>IF(Start!$C$15="x",(IF(I137="NA","NA",IF($G137 = "NA", "NA",(IF(OR(ChemData!U137="NA",ChemData!U137=""),I137/((Data!$D$18+((1-Data!$D$18)*Data!$D$14*$G137))/((1-Data!$D$18)*Data!$D$14*1000)),(IF(I137/((Data!$D$18+((1-Data!$D$18)*Data!$D$14*$G137))/((1-Data!$D$18)*Data!$D$14*1000))&gt;ChemData!U137, ChemData!U137, I137/((Data!$D$18+((1-Data!$D$18)*Data!$D$14*$G137))/((1-Data!$D$18)*Data!$D$14*1000))))))))),"---")</f>
        <v>---</v>
      </c>
      <c r="M137" s="376" t="str">
        <f>IF(Start!$C$15="x",(IF(L137="NA","NA",IF(OR(D137="NA",D137=""),"NA",(((Data!$D$22*Data!$D$18)*L137)+(Data!$D$19-Data!$D$22)*$D137)/((Data!$D$22*Data!$D$18)+Data!$D$19-Data!$D$22)))),"---")</f>
        <v>---</v>
      </c>
      <c r="N137" s="376" t="str">
        <f>IF(Start!$C$15="x",IF(K137 = "NA", "NA", (IF(M137 = "NA", "NA",(IF(OR(ChemData!U137="NA",ChemData!U137=""),(IF(K137&gt;M137,K137,M137)),(IF(K137&gt;M137,(IF(K137&gt;ChemData!U137, ChemData!U137, K137)),(IF(M137&gt;ChemData!U137,ChemData!U137,M137))))))))),"---")</f>
        <v>---</v>
      </c>
      <c r="O137" s="377" t="str">
        <f>IF(Start!$C$15="x",IF(N137 = "NA","NA", IF(OR(E137="NA",E137=""),"NA",(N137+(Data!$D$26*$E137))/(Data!$D$26+1))),"---")</f>
        <v>---</v>
      </c>
      <c r="P137" s="730">
        <f>IF(E137="",F137,IF($F137&lt;(1+(Data!$D$27/100))*$E137,(1+(Data!$D$27/100))*$E137,$F137))</f>
        <v>3600</v>
      </c>
      <c r="Q137" s="343" t="str">
        <f>IF(Start!$C$15="x",(IF(C137="","",(IF(O137="NA","NA",IF(P137="NA","NA",IF(P137=0,"NA",(O137/P137))))))),"Not Req.")</f>
        <v>Not Req.</v>
      </c>
      <c r="R137" s="163"/>
      <c r="S137" s="18"/>
      <c r="T137" s="18"/>
      <c r="U137" s="18"/>
      <c r="V137" s="18"/>
      <c r="W137" s="18"/>
      <c r="X137" s="163"/>
      <c r="Y137" s="163"/>
      <c r="Z137" s="18"/>
    </row>
    <row r="138" spans="1:26" s="10" customFormat="1" x14ac:dyDescent="0.25">
      <c r="A138" s="404" t="s">
        <v>456</v>
      </c>
      <c r="B138" s="371" t="str">
        <f>IF(Start!$C$15="x",IF(C138="NA","NA",(IF(C138="","",(IF(OR(F138="NA",F138=""),"No Criteria",(IF(AND(O138="NA",F138&lt;&gt;"NA",C138&lt;&gt;"NA"),                  "Missing Data",(IF(O138&lt;F138,"No",(IF(D138&gt;F138,"Caution",(IF(O138&gt;=F138,"Needed","No"))))))))))))),"---")</f>
        <v>---</v>
      </c>
      <c r="C138" s="372" t="str">
        <f>IF(TRUE=ISBLANK(ChemData!B138),"",(ChemData!B138))</f>
        <v/>
      </c>
      <c r="D138" s="373" t="str">
        <f>IF(TRUE=ISBLANK(ChemData!C138),"",(ChemData!C138))</f>
        <v/>
      </c>
      <c r="E138" s="374" t="str">
        <f>IF(TRUE=ISBLANK(ChemData!D138),"",(ChemData!D138))</f>
        <v/>
      </c>
      <c r="F138" s="289">
        <f>IF(TRUE=ISBLANK(ChemData!H138),"",(ChemData!H138))</f>
        <v>700</v>
      </c>
      <c r="G138" s="290">
        <f>IF(TRUE=ISBLANK(ChemData!Q138),"",(ChemData!Q138))</f>
        <v>189.41153287116774</v>
      </c>
      <c r="H138" s="291">
        <f>IF(TRUE=ISBLANK(ChemData!S138),"",(ChemData!S138))</f>
        <v>1</v>
      </c>
      <c r="I138" s="375" t="str">
        <f>IF(Start!$C$15="x",(IF(OR(C138="NA",C138=""), "NA", (IF($H138 = "NA", "NA", ((C138*$H138)))))),"---")</f>
        <v>---</v>
      </c>
      <c r="J138" s="376" t="str">
        <f>IF(Start!$C$15="x",(IF(I138 = "NA", "NA", IF(OR(D138="NA",D138=""),"NA",(I138 +((Data!$D$19-Data!$D$22)/(Data!$D$19*Data!$D$22)*$D138))))),"---")</f>
        <v>---</v>
      </c>
      <c r="K138" s="376" t="str">
        <f>IF(Start!$C$15="x",(IF(J138="NA","NA",IF(OR(G138="NA",G138=""),"NA",(J138*(1-Data!$D$23)*Data!$D$14*1000)/(Data!$D$23+((1-Data!$D$23)*Data!$D$14*$G138))))),"---")</f>
        <v>---</v>
      </c>
      <c r="L138" s="376" t="str">
        <f>IF(Start!$C$15="x",(IF(I138="NA","NA",IF($G138 = "NA", "NA",(IF(OR(ChemData!U138="NA",ChemData!U138=""),I138/((Data!$D$18+((1-Data!$D$18)*Data!$D$14*$G138))/((1-Data!$D$18)*Data!$D$14*1000)),(IF(I138/((Data!$D$18+((1-Data!$D$18)*Data!$D$14*$G138))/((1-Data!$D$18)*Data!$D$14*1000))&gt;ChemData!U138, ChemData!U138, I138/((Data!$D$18+((1-Data!$D$18)*Data!$D$14*$G138))/((1-Data!$D$18)*Data!$D$14*1000))))))))),"---")</f>
        <v>---</v>
      </c>
      <c r="M138" s="376" t="str">
        <f>IF(Start!$C$15="x",(IF(L138="NA","NA",IF(OR(D138="NA",D138=""),"NA",(((Data!$D$22*Data!$D$18)*L138)+(Data!$D$19-Data!$D$22)*$D138)/((Data!$D$22*Data!$D$18)+Data!$D$19-Data!$D$22)))),"---")</f>
        <v>---</v>
      </c>
      <c r="N138" s="376" t="str">
        <f>IF(Start!$C$15="x",IF(K138 = "NA", "NA", (IF(M138 = "NA", "NA",(IF(OR(ChemData!U138="NA",ChemData!U138=""),(IF(K138&gt;M138,K138,M138)),(IF(K138&gt;M138,(IF(K138&gt;ChemData!U138, ChemData!U138, K138)),(IF(M138&gt;ChemData!U138,ChemData!U138,M138))))))))),"---")</f>
        <v>---</v>
      </c>
      <c r="O138" s="377" t="str">
        <f>IF(Start!$C$15="x",IF(N138 = "NA","NA", IF(OR(E138="NA",E138=""),"NA",(N138+(Data!$D$26*$E138))/(Data!$D$26+1))),"---")</f>
        <v>---</v>
      </c>
      <c r="P138" s="730">
        <f>IF(E138="",F138,IF($F138&lt;(1+(Data!$D$27/100))*$E138,(1+(Data!$D$27/100))*$E138,$F138))</f>
        <v>700</v>
      </c>
      <c r="Q138" s="343" t="str">
        <f>IF(Start!$C$15="x",(IF(C138="","",(IF(O138="NA","NA",IF(P138="NA","NA",IF(P138=0,"NA",(O138/P138))))))),"Not Req.")</f>
        <v>Not Req.</v>
      </c>
      <c r="R138" s="163"/>
      <c r="S138" s="18"/>
      <c r="T138" s="18"/>
      <c r="U138" s="163"/>
      <c r="V138" s="163"/>
      <c r="W138" s="18"/>
      <c r="X138" s="163"/>
      <c r="Y138" s="163"/>
      <c r="Z138" s="18"/>
    </row>
    <row r="139" spans="1:26" s="10" customFormat="1" x14ac:dyDescent="0.25">
      <c r="A139" s="404" t="s">
        <v>457</v>
      </c>
      <c r="B139" s="371" t="str">
        <f>IF(Start!$C$15="x",IF(C139="NA","NA",(IF(C139="","",(IF(OR(F139="NA",F139=""),"No Criteria",(IF(AND(O139="NA",F139&lt;&gt;"NA",C139&lt;&gt;"NA"),                  "Missing Data",(IF(O139&lt;F139,"No",(IF(D139&gt;F139,"Caution",(IF(O139&gt;=F139,"Needed","No"))))))))))))),"---")</f>
        <v>---</v>
      </c>
      <c r="C139" s="372" t="str">
        <f>IF(TRUE=ISBLANK(ChemData!B139),"",(ChemData!B139))</f>
        <v/>
      </c>
      <c r="D139" s="373" t="str">
        <f>IF(TRUE=ISBLANK(ChemData!C139),"",(ChemData!C139))</f>
        <v/>
      </c>
      <c r="E139" s="374" t="str">
        <f>IF(TRUE=ISBLANK(ChemData!D139),"",(ChemData!D139))</f>
        <v/>
      </c>
      <c r="F139" s="289" t="str">
        <f>IF(TRUE=ISBLANK(ChemData!H139),"",(ChemData!H139))</f>
        <v>NA</v>
      </c>
      <c r="G139" s="290">
        <f>IF(TRUE=ISBLANK(ChemData!Q139),"",(ChemData!Q139))</f>
        <v>147.0301562474645</v>
      </c>
      <c r="H139" s="291">
        <f>IF(TRUE=ISBLANK(ChemData!S139),"",(ChemData!S139))</f>
        <v>1</v>
      </c>
      <c r="I139" s="375" t="str">
        <f>IF(Start!$C$15="x",(IF(OR(C139="NA",C139=""), "NA", (IF($H139 = "NA", "NA", ((C139*$H139)))))),"---")</f>
        <v>---</v>
      </c>
      <c r="J139" s="376" t="str">
        <f>IF(Start!$C$15="x",(IF(I139 = "NA", "NA", IF(OR(D139="NA",D139=""),"NA",(I139 +((Data!$D$19-Data!$D$22)/(Data!$D$19*Data!$D$22)*$D139))))),"---")</f>
        <v>---</v>
      </c>
      <c r="K139" s="376" t="str">
        <f>IF(Start!$C$15="x",(IF(J139="NA","NA",IF(OR(G139="NA",G139=""),"NA",(J139*(1-Data!$D$23)*Data!$D$14*1000)/(Data!$D$23+((1-Data!$D$23)*Data!$D$14*$G139))))),"---")</f>
        <v>---</v>
      </c>
      <c r="L139" s="376" t="str">
        <f>IF(Start!$C$15="x",(IF(I139="NA","NA",IF($G139 = "NA", "NA",(IF(OR(ChemData!U139="NA",ChemData!U139=""),I139/((Data!$D$18+((1-Data!$D$18)*Data!$D$14*$G139))/((1-Data!$D$18)*Data!$D$14*1000)),(IF(I139/((Data!$D$18+((1-Data!$D$18)*Data!$D$14*$G139))/((1-Data!$D$18)*Data!$D$14*1000))&gt;ChemData!U139, ChemData!U139, I139/((Data!$D$18+((1-Data!$D$18)*Data!$D$14*$G139))/((1-Data!$D$18)*Data!$D$14*1000))))))))),"---")</f>
        <v>---</v>
      </c>
      <c r="M139" s="376" t="str">
        <f>IF(Start!$C$15="x",(IF(L139="NA","NA",IF(OR(D139="NA",D139=""),"NA",(((Data!$D$22*Data!$D$18)*L139)+(Data!$D$19-Data!$D$22)*$D139)/((Data!$D$22*Data!$D$18)+Data!$D$19-Data!$D$22)))),"---")</f>
        <v>---</v>
      </c>
      <c r="N139" s="376" t="str">
        <f>IF(Start!$C$15="x",IF(K139 = "NA", "NA", (IF(M139 = "NA", "NA",(IF(OR(ChemData!U139="NA",ChemData!U139=""),(IF(K139&gt;M139,K139,M139)),(IF(K139&gt;M139,(IF(K139&gt;ChemData!U139, ChemData!U139, K139)),(IF(M139&gt;ChemData!U139,ChemData!U139,M139))))))))),"---")</f>
        <v>---</v>
      </c>
      <c r="O139" s="377" t="str">
        <f>IF(Start!$C$15="x",IF(N139 = "NA","NA", IF(OR(E139="NA",E139=""),"NA",(N139+(Data!$D$26*$E139))/(Data!$D$26+1))),"---")</f>
        <v>---</v>
      </c>
      <c r="P139" s="730" t="str">
        <f>IF(E139="",F139,IF($F139&lt;(1+(Data!$D$27/100))*$E139,(1+(Data!$D$27/100))*$E139,$F139))</f>
        <v>NA</v>
      </c>
      <c r="Q139" s="343" t="str">
        <f>IF(Start!$C$15="x",(IF(C139="","",(IF(O139="NA","NA",IF(P139="NA","NA",IF(P139=0,"NA",(O139/P139))))))),"Not Req.")</f>
        <v>Not Req.</v>
      </c>
      <c r="R139" s="163"/>
      <c r="S139" s="18"/>
      <c r="T139" s="18"/>
      <c r="U139" s="163"/>
      <c r="V139" s="163"/>
      <c r="W139" s="18"/>
      <c r="X139" s="163"/>
      <c r="Y139" s="163"/>
      <c r="Z139" s="18"/>
    </row>
    <row r="140" spans="1:26" s="10" customFormat="1" ht="13.8" thickBot="1" x14ac:dyDescent="0.3">
      <c r="A140" s="405" t="s">
        <v>458</v>
      </c>
      <c r="B140" s="371" t="str">
        <f>IF(Start!$C$15="x",IF(C140="NA","NA",(IF(C140="","",(IF(OR(F140="NA",F140=""),"No Criteria",(IF(AND(O140="NA",F140&lt;&gt;"NA",C140&lt;&gt;"NA"),                  "Missing Data",(IF(O140&lt;F140,"No",(IF(D140&gt;F140,"Caution",(IF(O140&gt;=F140,"Needed","No"))))))))))))),"---")</f>
        <v>---</v>
      </c>
      <c r="C140" s="372" t="str">
        <f>IF(TRUE=ISBLANK(ChemData!B140),"",(ChemData!B140))</f>
        <v/>
      </c>
      <c r="D140" s="373" t="str">
        <f>IF(TRUE=ISBLANK(ChemData!C140),"",(ChemData!C140))</f>
        <v/>
      </c>
      <c r="E140" s="374" t="str">
        <f>IF(TRUE=ISBLANK(ChemData!D140),"",(ChemData!D140))</f>
        <v/>
      </c>
      <c r="F140" s="289" t="str">
        <f>IF(TRUE=ISBLANK(ChemData!H140),"",(ChemData!H140))</f>
        <v>NA</v>
      </c>
      <c r="G140" s="290">
        <f>IF(TRUE=ISBLANK(ChemData!Q140),"",(ChemData!Q140))</f>
        <v>73.689637269452419</v>
      </c>
      <c r="H140" s="291">
        <f>IF(TRUE=ISBLANK(ChemData!S140),"",(ChemData!S140))</f>
        <v>1</v>
      </c>
      <c r="I140" s="375" t="str">
        <f>IF(Start!$C$15="x",(IF(OR(C140="NA",C140=""), "NA", (IF($H140 = "NA", "NA", ((C140*$H140)))))),"---")</f>
        <v>---</v>
      </c>
      <c r="J140" s="376" t="str">
        <f>IF(Start!$C$15="x",(IF(I140 = "NA", "NA", IF(OR(D140="NA",D140=""),"NA",(I140 +((Data!$D$19-Data!$D$22)/(Data!$D$19*Data!$D$22)*$D140))))),"---")</f>
        <v>---</v>
      </c>
      <c r="K140" s="376" t="str">
        <f>IF(Start!$C$15="x",(IF(J140="NA","NA",IF(OR(G140="NA",G140=""),"NA",(J140*(1-Data!$D$23)*Data!$D$14*1000)/(Data!$D$23+((1-Data!$D$23)*Data!$D$14*$G140))))),"---")</f>
        <v>---</v>
      </c>
      <c r="L140" s="376" t="str">
        <f>IF(Start!$C$15="x",(IF(I140="NA","NA",IF($G140 = "NA", "NA",(IF(OR(ChemData!U140="NA",ChemData!U140=""),I140/((Data!$D$18+((1-Data!$D$18)*Data!$D$14*$G140))/((1-Data!$D$18)*Data!$D$14*1000)),(IF(I140/((Data!$D$18+((1-Data!$D$18)*Data!$D$14*$G140))/((1-Data!$D$18)*Data!$D$14*1000))&gt;ChemData!U140, ChemData!U140, I140/((Data!$D$18+((1-Data!$D$18)*Data!$D$14*$G140))/((1-Data!$D$18)*Data!$D$14*1000))))))))),"---")</f>
        <v>---</v>
      </c>
      <c r="M140" s="376" t="str">
        <f>IF(Start!$C$15="x",(IF(L140="NA","NA",IF(OR(D140="NA",D140=""),"NA",(((Data!$D$22*Data!$D$18)*L140)+(Data!$D$19-Data!$D$22)*$D140)/((Data!$D$22*Data!$D$18)+Data!$D$19-Data!$D$22)))),"---")</f>
        <v>---</v>
      </c>
      <c r="N140" s="376" t="str">
        <f>IF(Start!$C$15="x",IF(K140 = "NA", "NA", (IF(M140 = "NA", "NA",(IF(OR(ChemData!U140="NA",ChemData!U140=""),(IF(K140&gt;M140,K140,M140)),(IF(K140&gt;M140,(IF(K140&gt;ChemData!U140, ChemData!U140, K140)),(IF(M140&gt;ChemData!U140,ChemData!U140,M140))))))))),"---")</f>
        <v>---</v>
      </c>
      <c r="O140" s="377" t="str">
        <f>IF(Start!$C$15="x",IF(N140 = "NA","NA", IF(OR(E140="NA",E140=""),"NA",(N140+(Data!$D$26*$E140))/(Data!$D$26+1))),"---")</f>
        <v>---</v>
      </c>
      <c r="P140" s="731" t="str">
        <f>IF(E140="",F140,IF($F140&lt;(1+(Data!$D$27/100))*$E140,(1+(Data!$D$27/100))*$E140,$F140))</f>
        <v>NA</v>
      </c>
      <c r="Q140" s="343" t="str">
        <f>IF(Start!$C$15="x",(IF(C140="","",(IF(O140="NA","NA",IF(P140="NA","NA",IF(P140=0,"NA",(O140/P140))))))),"Not Req.")</f>
        <v>Not Req.</v>
      </c>
      <c r="R140" s="163"/>
      <c r="S140" s="18"/>
      <c r="T140" s="18"/>
      <c r="U140" s="163"/>
      <c r="V140" s="163"/>
      <c r="W140" s="18"/>
      <c r="X140" s="163"/>
      <c r="Y140" s="163"/>
      <c r="Z140" s="18"/>
    </row>
    <row r="141" spans="1:26" s="10" customFormat="1" x14ac:dyDescent="0.25">
      <c r="A141" s="554" t="s">
        <v>459</v>
      </c>
      <c r="B141" s="514"/>
      <c r="C141" s="508"/>
      <c r="D141" s="509"/>
      <c r="E141" s="510"/>
      <c r="F141" s="511"/>
      <c r="G141" s="512"/>
      <c r="H141" s="513"/>
      <c r="I141" s="511"/>
      <c r="J141" s="512"/>
      <c r="K141" s="512"/>
      <c r="L141" s="512"/>
      <c r="M141" s="512"/>
      <c r="N141" s="512"/>
      <c r="O141" s="513"/>
      <c r="P141" s="672"/>
      <c r="Q141" s="507"/>
      <c r="R141" s="163"/>
      <c r="S141" s="18"/>
      <c r="T141" s="18"/>
      <c r="U141" s="163"/>
      <c r="V141" s="163"/>
      <c r="W141" s="18"/>
      <c r="X141" s="163"/>
      <c r="Y141" s="163"/>
      <c r="Z141" s="18"/>
    </row>
    <row r="142" spans="1:26" s="10" customFormat="1" x14ac:dyDescent="0.25">
      <c r="A142" s="405" t="s">
        <v>460</v>
      </c>
      <c r="B142" s="371" t="str">
        <f>IF(Start!$C$15="x",IF(C142="NA","NA",(IF(C142="","",(IF(OR(F142="NA",F142=""),"No Criteria",(IF(AND(O142="NA",F142&lt;&gt;"NA",C142&lt;&gt;"NA"),                  "Missing Data",(IF(O142&lt;F142,"No",(IF(D142&gt;F142,"Caution",(IF(O142&gt;=F142,"Needed","No"))))))))))))),"---")</f>
        <v>---</v>
      </c>
      <c r="C142" s="372" t="str">
        <f>IF(TRUE=ISBLANK(ChemData!B142),"",(ChemData!B142))</f>
        <v/>
      </c>
      <c r="D142" s="373" t="str">
        <f>IF(TRUE=ISBLANK(ChemData!C142),"",(ChemData!C142))</f>
        <v/>
      </c>
      <c r="E142" s="374" t="str">
        <f>IF(TRUE=ISBLANK(ChemData!D142),"",(ChemData!D142))</f>
        <v/>
      </c>
      <c r="F142" s="289">
        <f>IF(TRUE=ISBLANK(ChemData!H142),"",(ChemData!H142))</f>
        <v>28000</v>
      </c>
      <c r="G142" s="290">
        <f>IF(TRUE=ISBLANK(ChemData!Q142),"",(ChemData!Q142))</f>
        <v>1.0651393240110774E-2</v>
      </c>
      <c r="H142" s="291">
        <f>IF(TRUE=ISBLANK(ChemData!S142),"",(ChemData!S142))</f>
        <v>1</v>
      </c>
      <c r="I142" s="375" t="str">
        <f>IF(Start!$C$15="x",(IF(OR(C142="NA",C142=""), "NA", (IF($H142 = "NA", "NA", ((C142*$H142)))))),"---")</f>
        <v>---</v>
      </c>
      <c r="J142" s="376" t="str">
        <f>IF(Start!$C$15="x",(IF(I142 = "NA", "NA", IF(OR(D142="NA",D142=""),"NA",(I142 +((Data!$D$19-Data!$D$22)/(Data!$D$19*Data!$D$22)*$D142))))),"---")</f>
        <v>---</v>
      </c>
      <c r="K142" s="376" t="str">
        <f>IF(Start!$C$15="x",(IF(J142="NA","NA",IF(OR(G142="NA",G142=""),"NA",(J142*(1-Data!$D$23)*Data!$D$14*1000)/(Data!$D$23+((1-Data!$D$23)*Data!$D$14*$G142))))),"---")</f>
        <v>---</v>
      </c>
      <c r="L142" s="376" t="str">
        <f>IF(Start!$C$15="x",(IF(I142="NA","NA",IF($G142 = "NA", "NA",(IF(OR(ChemData!U142="NA",ChemData!U142=""),I142/((Data!$D$18+((1-Data!$D$18)*Data!$D$14*$G142))/((1-Data!$D$18)*Data!$D$14*1000)),(IF(I142/((Data!$D$18+((1-Data!$D$18)*Data!$D$14*$G142))/((1-Data!$D$18)*Data!$D$14*1000))&gt;ChemData!U142, ChemData!U142, I142/((Data!$D$18+((1-Data!$D$18)*Data!$D$14*$G142))/((1-Data!$D$18)*Data!$D$14*1000))))))))),"---")</f>
        <v>---</v>
      </c>
      <c r="M142" s="376" t="str">
        <f>IF(Start!$C$15="x",(IF(L142="NA","NA",IF(OR(D142="NA",D142=""),"NA",(((Data!$D$22*Data!$D$18)*L142)+(Data!$D$19-Data!$D$22)*$D142)/((Data!$D$22*Data!$D$18)+Data!$D$19-Data!$D$22)))),"---")</f>
        <v>---</v>
      </c>
      <c r="N142" s="376" t="str">
        <f>IF(Start!$C$15="x",IF(K142 = "NA", "NA", (IF(M142 = "NA", "NA",(IF(OR(ChemData!U142="NA",ChemData!U142=""),(IF(K142&gt;M142,K142,M142)),(IF(K142&gt;M142,(IF(K142&gt;ChemData!U142, ChemData!U142, K142)),(IF(M142&gt;ChemData!U142,ChemData!U142,M142))))))))),"---")</f>
        <v>---</v>
      </c>
      <c r="O142" s="377" t="str">
        <f>IF(Start!$C$15="x",IF(N142 = "NA","NA", IF(OR(E142="NA",E142=""),"NA",(N142+(Data!$D$26*$E142))/(Data!$D$26+1))),"---")</f>
        <v>---</v>
      </c>
      <c r="P142" s="730">
        <f>IF(E142="",F142,IF($F142&lt;(1+(Data!$D$27/100))*$E142,(1+(Data!$D$27/100))*$E142,$F142))</f>
        <v>28000</v>
      </c>
      <c r="Q142" s="343" t="str">
        <f>IF(Start!$C$15="x",(IF(C142="","",(IF(O142="NA","NA",IF(P142="NA","NA",IF(P142=0,"NA",(O142/P142))))))),"Not Req.")</f>
        <v>Not Req.</v>
      </c>
      <c r="R142" s="163"/>
      <c r="S142" s="18"/>
      <c r="T142" s="18"/>
      <c r="U142" s="163"/>
      <c r="V142" s="163"/>
      <c r="W142" s="18"/>
      <c r="X142" s="163"/>
      <c r="Y142" s="163"/>
      <c r="Z142" s="18"/>
    </row>
    <row r="143" spans="1:26" s="10" customFormat="1" x14ac:dyDescent="0.25">
      <c r="A143" s="405" t="s">
        <v>461</v>
      </c>
      <c r="B143" s="371" t="str">
        <f>IF(Start!$C$15="x",IF(C143="NA","NA",(IF(C143="","",(IF(OR(F143="NA",F143=""),"No Criteria",(IF(AND(O143="NA",F143&lt;&gt;"NA",C143&lt;&gt;"NA"),                  "Missing Data",(IF(O143&lt;F143,"No",(IF(D143&gt;F143,"Caution",(IF(O143&gt;=F143,"Needed","No"))))))))))))),"---")</f>
        <v>---</v>
      </c>
      <c r="C143" s="372" t="str">
        <f>IF(TRUE=ISBLANK(ChemData!B143),"",(ChemData!B143))</f>
        <v/>
      </c>
      <c r="D143" s="373" t="str">
        <f>IF(TRUE=ISBLANK(ChemData!C143),"",(ChemData!C143))</f>
        <v/>
      </c>
      <c r="E143" s="374" t="str">
        <f>IF(TRUE=ISBLANK(ChemData!D143),"",(ChemData!D143))</f>
        <v/>
      </c>
      <c r="F143" s="289" t="str">
        <f>IF(TRUE=ISBLANK(ChemData!H143),"",(ChemData!H143))</f>
        <v>NA</v>
      </c>
      <c r="G143" s="290">
        <f>IF(TRUE=ISBLANK(ChemData!Q143),"",(ChemData!Q143))</f>
        <v>1.808427E-2</v>
      </c>
      <c r="H143" s="291">
        <f>IF(TRUE=ISBLANK(ChemData!S143),"",(ChemData!S143))</f>
        <v>1</v>
      </c>
      <c r="I143" s="375" t="str">
        <f>IF(Start!$C$15="x",(IF(OR(C143="NA",C143=""), "NA", (IF($H143 = "NA", "NA", ((C143*$H143)))))),"---")</f>
        <v>---</v>
      </c>
      <c r="J143" s="376" t="str">
        <f>IF(Start!$C$15="x",(IF(I143 = "NA", "NA", IF(OR(D143="NA",D143=""),"NA",(I143 +((Data!$D$19-Data!$D$22)/(Data!$D$19*Data!$D$22)*$D143))))),"---")</f>
        <v>---</v>
      </c>
      <c r="K143" s="376" t="str">
        <f>IF(Start!$C$15="x",(IF(J143="NA","NA",IF(OR(G143="NA",G143=""),"NA",(J143*(1-Data!$D$23)*Data!$D$14*1000)/(Data!$D$23+((1-Data!$D$23)*Data!$D$14*$G143))))),"---")</f>
        <v>---</v>
      </c>
      <c r="L143" s="376" t="str">
        <f>IF(Start!$C$15="x",(IF(I143="NA","NA",IF($G143 = "NA", "NA",(IF(OR(ChemData!U143="NA",ChemData!U143=""),I143/((Data!$D$18+((1-Data!$D$18)*Data!$D$14*$G143))/((1-Data!$D$18)*Data!$D$14*1000)),(IF(I143/((Data!$D$18+((1-Data!$D$18)*Data!$D$14*$G143))/((1-Data!$D$18)*Data!$D$14*1000))&gt;ChemData!U143, ChemData!U143, I143/((Data!$D$18+((1-Data!$D$18)*Data!$D$14*$G143))/((1-Data!$D$18)*Data!$D$14*1000))))))))),"---")</f>
        <v>---</v>
      </c>
      <c r="M143" s="376" t="str">
        <f>IF(Start!$C$15="x",(IF(L143="NA","NA",IF(OR(D143="NA",D143=""),"NA",(((Data!$D$22*Data!$D$18)*L143)+(Data!$D$19-Data!$D$22)*$D143)/((Data!$D$22*Data!$D$18)+Data!$D$19-Data!$D$22)))),"---")</f>
        <v>---</v>
      </c>
      <c r="N143" s="376" t="str">
        <f>IF(Start!$C$15="x",IF(K143 = "NA", "NA", (IF(M143 = "NA", "NA",(IF(OR(ChemData!U143="NA",ChemData!U143=""),(IF(K143&gt;M143,K143,M143)),(IF(K143&gt;M143,(IF(K143&gt;ChemData!U143, ChemData!U143, K143)),(IF(M143&gt;ChemData!U143,ChemData!U143,M143))))))))),"---")</f>
        <v>---</v>
      </c>
      <c r="O143" s="377" t="str">
        <f>IF(Start!$C$15="x",IF(N143 = "NA","NA", IF(OR(E143="NA",E143=""),"NA",(N143+(Data!$D$26*$E143))/(Data!$D$26+1))),"---")</f>
        <v>---</v>
      </c>
      <c r="P143" s="730" t="str">
        <f>IF(E143="",F143,IF($F143&lt;(1+(Data!$D$27/100))*$E143,(1+(Data!$D$27/100))*$E143,$F143))</f>
        <v>NA</v>
      </c>
      <c r="Q143" s="343" t="str">
        <f>IF(Start!$C$15="x",(IF(C143="","",(IF(O143="NA","NA",IF(P143="NA","NA",IF(P143=0,"NA",(O143/P143))))))),"Not Req.")</f>
        <v>Not Req.</v>
      </c>
      <c r="R143" s="163"/>
      <c r="S143" s="18"/>
      <c r="T143" s="18"/>
      <c r="U143" s="163"/>
      <c r="V143" s="163"/>
      <c r="W143" s="18"/>
      <c r="X143" s="163"/>
      <c r="Y143" s="163"/>
      <c r="Z143" s="18"/>
    </row>
    <row r="144" spans="1:26" s="10" customFormat="1" x14ac:dyDescent="0.25">
      <c r="A144" s="405" t="s">
        <v>462</v>
      </c>
      <c r="B144" s="371" t="str">
        <f>IF(Start!$C$15="x",IF(C144="NA","NA",(IF(C144="","",(IF(OR(F144="NA",F144=""),"No Criteria",(IF(AND(O144="NA",F144&lt;&gt;"NA",C144&lt;&gt;"NA"),                  "Missing Data",(IF(O144&lt;F144,"No",(IF(D144&gt;F144,"Caution",(IF(O144&gt;=F144,"Needed","No"))))))))))))),"---")</f>
        <v>---</v>
      </c>
      <c r="C144" s="372" t="str">
        <f>IF(TRUE=ISBLANK(ChemData!B144),"",(ChemData!B144))</f>
        <v/>
      </c>
      <c r="D144" s="373" t="str">
        <f>IF(TRUE=ISBLANK(ChemData!C144),"",(ChemData!C144))</f>
        <v/>
      </c>
      <c r="E144" s="374" t="str">
        <f>IF(TRUE=ISBLANK(ChemData!D144),"",(ChemData!D144))</f>
        <v/>
      </c>
      <c r="F144" s="289" t="str">
        <f>IF(TRUE=ISBLANK(ChemData!H144),"",(ChemData!H144))</f>
        <v>NA</v>
      </c>
      <c r="G144" s="290">
        <f>IF(TRUE=ISBLANK(ChemData!Q144),"",(ChemData!Q144))</f>
        <v>3.2910780000000001E-2</v>
      </c>
      <c r="H144" s="291">
        <f>IF(TRUE=ISBLANK(ChemData!S144),"",(ChemData!S144))</f>
        <v>1</v>
      </c>
      <c r="I144" s="375" t="str">
        <f>IF(Start!$C$15="x",(IF(OR(C144="NA",C144=""), "NA", (IF($H144 = "NA", "NA", ((C144*$H144)))))),"---")</f>
        <v>---</v>
      </c>
      <c r="J144" s="376" t="str">
        <f>IF(Start!$C$15="x",(IF(I144 = "NA", "NA", IF(OR(D144="NA",D144=""),"NA",(I144 +((Data!$D$19-Data!$D$22)/(Data!$D$19*Data!$D$22)*$D144))))),"---")</f>
        <v>---</v>
      </c>
      <c r="K144" s="376" t="str">
        <f>IF(Start!$C$15="x",(IF(J144="NA","NA",IF(OR(G144="NA",G144=""),"NA",(J144*(1-Data!$D$23)*Data!$D$14*1000)/(Data!$D$23+((1-Data!$D$23)*Data!$D$14*$G144))))),"---")</f>
        <v>---</v>
      </c>
      <c r="L144" s="376" t="str">
        <f>IF(Start!$C$15="x",(IF(I144="NA","NA",IF($G144 = "NA", "NA",(IF(OR(ChemData!U144="NA",ChemData!U144=""),I144/((Data!$D$18+((1-Data!$D$18)*Data!$D$14*$G144))/((1-Data!$D$18)*Data!$D$14*1000)),(IF(I144/((Data!$D$18+((1-Data!$D$18)*Data!$D$14*$G144))/((1-Data!$D$18)*Data!$D$14*1000))&gt;ChemData!U144, ChemData!U144, I144/((Data!$D$18+((1-Data!$D$18)*Data!$D$14*$G144))/((1-Data!$D$18)*Data!$D$14*1000))))))))),"---")</f>
        <v>---</v>
      </c>
      <c r="M144" s="376" t="str">
        <f>IF(Start!$C$15="x",(IF(L144="NA","NA",IF(OR(D144="NA",D144=""),"NA",(((Data!$D$22*Data!$D$18)*L144)+(Data!$D$19-Data!$D$22)*$D144)/((Data!$D$22*Data!$D$18)+Data!$D$19-Data!$D$22)))),"---")</f>
        <v>---</v>
      </c>
      <c r="N144" s="376" t="str">
        <f>IF(Start!$C$15="x",IF(K144 = "NA", "NA", (IF(M144 = "NA", "NA",(IF(OR(ChemData!U144="NA",ChemData!U144=""),(IF(K144&gt;M144,K144,M144)),(IF(K144&gt;M144,(IF(K144&gt;ChemData!U144, ChemData!U144, K144)),(IF(M144&gt;ChemData!U144,ChemData!U144,M144))))))))),"---")</f>
        <v>---</v>
      </c>
      <c r="O144" s="377" t="str">
        <f>IF(Start!$C$15="x",IF(N144 = "NA","NA", IF(OR(E144="NA",E144=""),"NA",(N144+(Data!$D$26*$E144))/(Data!$D$26+1))),"---")</f>
        <v>---</v>
      </c>
      <c r="P144" s="730" t="str">
        <f>IF(E144="",F144,IF($F144&lt;(1+(Data!$D$27/100))*$E144,(1+(Data!$D$27/100))*$E144,$F144))</f>
        <v>NA</v>
      </c>
      <c r="Q144" s="343" t="str">
        <f>IF(Start!$C$15="x",(IF(C144="","",(IF(O144="NA","NA",IF(P144="NA","NA",IF(P144=0,"NA",(O144/P144))))))),"Not Req.")</f>
        <v>Not Req.</v>
      </c>
      <c r="R144" s="163"/>
      <c r="S144" s="18"/>
      <c r="T144" s="18"/>
      <c r="U144" s="163"/>
      <c r="V144" s="163"/>
      <c r="W144" s="18"/>
      <c r="X144" s="163"/>
      <c r="Y144" s="163"/>
      <c r="Z144" s="18"/>
    </row>
    <row r="145" spans="1:26" s="10" customFormat="1" x14ac:dyDescent="0.25">
      <c r="A145" s="405" t="s">
        <v>463</v>
      </c>
      <c r="B145" s="371" t="str">
        <f>IF(Start!$C$15="x",IF(C145="NA","NA",(IF(C145="","",(IF(OR(F145="NA",F145=""),"No Criteria",(IF(AND(O145="NA",F145&lt;&gt;"NA",C145&lt;&gt;"NA"),                  "Missing Data",(IF(O145&lt;F145,"No",(IF(D145&gt;F145,"Caution",(IF(O145&gt;=F145,"Needed","No"))))))))))))),"---")</f>
        <v>---</v>
      </c>
      <c r="C145" s="372" t="str">
        <f>IF(TRUE=ISBLANK(ChemData!B145),"",(ChemData!B145))</f>
        <v/>
      </c>
      <c r="D145" s="373" t="str">
        <f>IF(TRUE=ISBLANK(ChemData!C145),"",(ChemData!C145))</f>
        <v/>
      </c>
      <c r="E145" s="374" t="str">
        <f>IF(TRUE=ISBLANK(ChemData!D145),"",(ChemData!D145))</f>
        <v/>
      </c>
      <c r="F145" s="289">
        <f>IF(TRUE=ISBLANK(ChemData!H145),"",(ChemData!H145))</f>
        <v>2300</v>
      </c>
      <c r="G145" s="290">
        <f>IF(TRUE=ISBLANK(ChemData!Q145),"",(ChemData!Q145))</f>
        <v>2.4969302956771511</v>
      </c>
      <c r="H145" s="291">
        <f>IF(TRUE=ISBLANK(ChemData!S145),"",(ChemData!S145))</f>
        <v>1</v>
      </c>
      <c r="I145" s="375" t="str">
        <f>IF(Start!$C$15="x",(IF(OR(C145="NA",C145=""), "NA", (IF($H145 = "NA", "NA", ((C145*$H145)))))),"---")</f>
        <v>---</v>
      </c>
      <c r="J145" s="376" t="str">
        <f>IF(Start!$C$15="x",(IF(I145 = "NA", "NA", IF(OR(D145="NA",D145=""),"NA",(I145 +((Data!$D$19-Data!$D$22)/(Data!$D$19*Data!$D$22)*$D145))))),"---")</f>
        <v>---</v>
      </c>
      <c r="K145" s="376" t="str">
        <f>IF(Start!$C$15="x",(IF(J145="NA","NA",IF(OR(G145="NA",G145=""),"NA",(J145*(1-Data!$D$23)*Data!$D$14*1000)/(Data!$D$23+((1-Data!$D$23)*Data!$D$14*$G145))))),"---")</f>
        <v>---</v>
      </c>
      <c r="L145" s="376" t="str">
        <f>IF(Start!$C$15="x",(IF(I145="NA","NA",IF($G145 = "NA", "NA",(IF(OR(ChemData!U145="NA",ChemData!U145=""),I145/((Data!$D$18+((1-Data!$D$18)*Data!$D$14*$G145))/((1-Data!$D$18)*Data!$D$14*1000)),(IF(I145/((Data!$D$18+((1-Data!$D$18)*Data!$D$14*$G145))/((1-Data!$D$18)*Data!$D$14*1000))&gt;ChemData!U145, ChemData!U145, I145/((Data!$D$18+((1-Data!$D$18)*Data!$D$14*$G145))/((1-Data!$D$18)*Data!$D$14*1000))))))))),"---")</f>
        <v>---</v>
      </c>
      <c r="M145" s="376" t="str">
        <f>IF(Start!$C$15="x",(IF(L145="NA","NA",IF(OR(D145="NA",D145=""),"NA",(((Data!$D$22*Data!$D$18)*L145)+(Data!$D$19-Data!$D$22)*$D145)/((Data!$D$22*Data!$D$18)+Data!$D$19-Data!$D$22)))),"---")</f>
        <v>---</v>
      </c>
      <c r="N145" s="376" t="str">
        <f>IF(Start!$C$15="x",IF(K145 = "NA", "NA", (IF(M145 = "NA", "NA",(IF(OR(ChemData!U145="NA",ChemData!U145=""),(IF(K145&gt;M145,K145,M145)),(IF(K145&gt;M145,(IF(K145&gt;ChemData!U145, ChemData!U145, K145)),(IF(M145&gt;ChemData!U145,ChemData!U145,M145))))))))),"---")</f>
        <v>---</v>
      </c>
      <c r="O145" s="377" t="str">
        <f>IF(Start!$C$15="x",IF(N145 = "NA","NA", IF(OR(E145="NA",E145=""),"NA",(N145+(Data!$D$26*$E145))/(Data!$D$26+1))),"---")</f>
        <v>---</v>
      </c>
      <c r="P145" s="730">
        <f>IF(E145="",F145,IF($F145&lt;(1+(Data!$D$27/100))*$E145,(1+(Data!$D$27/100))*$E145,$F145))</f>
        <v>2300</v>
      </c>
      <c r="Q145" s="343" t="str">
        <f>IF(Start!$C$15="x",(IF(C145="","",(IF(O145="NA","NA",IF(P145="NA","NA",IF(P145=0,"NA",(O145/P145))))))),"Not Req.")</f>
        <v>Not Req.</v>
      </c>
      <c r="R145" s="163"/>
      <c r="S145" s="18"/>
      <c r="T145" s="18"/>
      <c r="U145" s="163"/>
      <c r="V145" s="163"/>
      <c r="W145" s="18"/>
      <c r="X145" s="163"/>
      <c r="Y145" s="163"/>
      <c r="Z145" s="18"/>
    </row>
    <row r="146" spans="1:26" s="10" customFormat="1" x14ac:dyDescent="0.25">
      <c r="A146" s="405" t="s">
        <v>464</v>
      </c>
      <c r="B146" s="371" t="str">
        <f>IF(Start!$C$15="x",IF(C146="NA","NA",(IF(C146="","",(IF(OR(F146="NA",F146=""),"No Criteria",(IF(AND(O146="NA",F146&lt;&gt;"NA",C146&lt;&gt;"NA"),                  "Missing Data",(IF(O146&lt;F146,"No",(IF(D146&gt;F146,"Caution",(IF(O146&gt;=F146,"Needed","No"))))))))))))),"---")</f>
        <v>---</v>
      </c>
      <c r="C146" s="372" t="str">
        <f>IF(TRUE=ISBLANK(ChemData!B146),"",(ChemData!B146))</f>
        <v/>
      </c>
      <c r="D146" s="373" t="str">
        <f>IF(TRUE=ISBLANK(ChemData!C146),"",(ChemData!C146))</f>
        <v/>
      </c>
      <c r="E146" s="374" t="str">
        <f>IF(TRUE=ISBLANK(ChemData!D146),"",(ChemData!D146))</f>
        <v/>
      </c>
      <c r="F146" s="289" t="str">
        <f>IF(TRUE=ISBLANK(ChemData!H146),"",(ChemData!H146))</f>
        <v>NA</v>
      </c>
      <c r="G146" s="290">
        <f>IF(TRUE=ISBLANK(ChemData!Q146),"",(ChemData!Q146))</f>
        <v>2.3302709372310044</v>
      </c>
      <c r="H146" s="291">
        <f>IF(TRUE=ISBLANK(ChemData!S146),"",(ChemData!S146))</f>
        <v>1</v>
      </c>
      <c r="I146" s="375" t="str">
        <f>IF(Start!$C$15="x",(IF(OR(C146="NA",C146=""), "NA", (IF($H146 = "NA", "NA", ((C146*$H146)))))),"---")</f>
        <v>---</v>
      </c>
      <c r="J146" s="376" t="str">
        <f>IF(Start!$C$15="x",(IF(I146 = "NA", "NA", IF(OR(D146="NA",D146=""),"NA",(I146 +((Data!$D$19-Data!$D$22)/(Data!$D$19*Data!$D$22)*$D146))))),"---")</f>
        <v>---</v>
      </c>
      <c r="K146" s="376" t="str">
        <f>IF(Start!$C$15="x",(IF(J146="NA","NA",IF(OR(G146="NA",G146=""),"NA",(J146*(1-Data!$D$23)*Data!$D$14*1000)/(Data!$D$23+((1-Data!$D$23)*Data!$D$14*$G146))))),"---")</f>
        <v>---</v>
      </c>
      <c r="L146" s="376" t="str">
        <f>IF(Start!$C$15="x",(IF(I146="NA","NA",IF($G146 = "NA", "NA",(IF(OR(ChemData!U146="NA",ChemData!U146=""),I146/((Data!$D$18+((1-Data!$D$18)*Data!$D$14*$G146))/((1-Data!$D$18)*Data!$D$14*1000)),(IF(I146/((Data!$D$18+((1-Data!$D$18)*Data!$D$14*$G146))/((1-Data!$D$18)*Data!$D$14*1000))&gt;ChemData!U146, ChemData!U146, I146/((Data!$D$18+((1-Data!$D$18)*Data!$D$14*$G146))/((1-Data!$D$18)*Data!$D$14*1000))))))))),"---")</f>
        <v>---</v>
      </c>
      <c r="M146" s="376" t="str">
        <f>IF(Start!$C$15="x",(IF(L146="NA","NA",IF(OR(D146="NA",D146=""),"NA",(((Data!$D$22*Data!$D$18)*L146)+(Data!$D$19-Data!$D$22)*$D146)/((Data!$D$22*Data!$D$18)+Data!$D$19-Data!$D$22)))),"---")</f>
        <v>---</v>
      </c>
      <c r="N146" s="376" t="str">
        <f>IF(Start!$C$15="x",IF(K146 = "NA", "NA", (IF(M146 = "NA", "NA",(IF(OR(ChemData!U146="NA",ChemData!U146=""),(IF(K146&gt;M146,K146,M146)),(IF(K146&gt;M146,(IF(K146&gt;ChemData!U146, ChemData!U146, K146)),(IF(M146&gt;ChemData!U146,ChemData!U146,M146))))))))),"---")</f>
        <v>---</v>
      </c>
      <c r="O146" s="377" t="str">
        <f>IF(Start!$C$15="x",IF(N146 = "NA","NA", IF(OR(E146="NA",E146=""),"NA",(N146+(Data!$D$26*$E146))/(Data!$D$26+1))),"---")</f>
        <v>---</v>
      </c>
      <c r="P146" s="730" t="str">
        <f>IF(E146="",F146,IF($F146&lt;(1+(Data!$D$27/100))*$E146,(1+(Data!$D$27/100))*$E146,$F146))</f>
        <v>NA</v>
      </c>
      <c r="Q146" s="343" t="str">
        <f>IF(Start!$C$15="x",(IF(C146="","",(IF(O146="NA","NA",IF(P146="NA","NA",IF(P146=0,"NA",(O146/P146))))))),"Not Req.")</f>
        <v>Not Req.</v>
      </c>
      <c r="R146" s="163"/>
      <c r="S146" s="18"/>
      <c r="T146" s="18"/>
      <c r="U146" s="163"/>
      <c r="V146" s="163"/>
      <c r="W146" s="18"/>
      <c r="X146" s="163"/>
      <c r="Y146" s="163"/>
      <c r="Z146" s="18"/>
    </row>
    <row r="147" spans="1:26" s="10" customFormat="1" x14ac:dyDescent="0.25">
      <c r="A147" s="405" t="s">
        <v>465</v>
      </c>
      <c r="B147" s="371" t="str">
        <f>IF(Start!$C$15="x",IF(C147="NA","NA",(IF(C147="","",(IF(OR(F147="NA",F147=""),"No Criteria",(IF(AND(O147="NA",F147&lt;&gt;"NA",C147&lt;&gt;"NA"),                  "Missing Data",(IF(O147&lt;F147,"No",(IF(D147&gt;F147,"Caution",(IF(O147&gt;=F147,"Needed","No"))))))))))))),"---")</f>
        <v>---</v>
      </c>
      <c r="C147" s="372" t="str">
        <f>IF(TRUE=ISBLANK(ChemData!B147),"",(ChemData!B147))</f>
        <v/>
      </c>
      <c r="D147" s="373" t="str">
        <f>IF(TRUE=ISBLANK(ChemData!C147),"",(ChemData!C147))</f>
        <v/>
      </c>
      <c r="E147" s="374" t="str">
        <f>IF(TRUE=ISBLANK(ChemData!D147),"",(ChemData!D147))</f>
        <v/>
      </c>
      <c r="F147" s="289">
        <f>IF(TRUE=ISBLANK(ChemData!H147),"",(ChemData!H147))</f>
        <v>2300</v>
      </c>
      <c r="G147" s="290">
        <f>IF(TRUE=ISBLANK(ChemData!Q147),"",(ChemData!Q147))</f>
        <v>4.440239733105078</v>
      </c>
      <c r="H147" s="291">
        <f>IF(TRUE=ISBLANK(ChemData!S147),"",(ChemData!S147))</f>
        <v>1</v>
      </c>
      <c r="I147" s="375" t="str">
        <f>IF(Start!$C$15="x",(IF(OR(C147="NA",C147=""), "NA", (IF($H147 = "NA", "NA", ((C147*$H147)))))),"---")</f>
        <v>---</v>
      </c>
      <c r="J147" s="376" t="str">
        <f>IF(Start!$C$15="x",(IF(I147 = "NA", "NA", IF(OR(D147="NA",D147=""),"NA",(I147 +((Data!$D$19-Data!$D$22)/(Data!$D$19*Data!$D$22)*$D147))))),"---")</f>
        <v>---</v>
      </c>
      <c r="K147" s="376" t="str">
        <f>IF(Start!$C$15="x",(IF(J147="NA","NA",IF(OR(G147="NA",G147=""),"NA",(J147*(1-Data!$D$23)*Data!$D$14*1000)/(Data!$D$23+((1-Data!$D$23)*Data!$D$14*$G147))))),"---")</f>
        <v>---</v>
      </c>
      <c r="L147" s="376" t="str">
        <f>IF(Start!$C$15="x",(IF(I147="NA","NA",IF($G147 = "NA", "NA",(IF(OR(ChemData!U147="NA",ChemData!U147=""),I147/((Data!$D$18+((1-Data!$D$18)*Data!$D$14*$G147))/((1-Data!$D$18)*Data!$D$14*1000)),(IF(I147/((Data!$D$18+((1-Data!$D$18)*Data!$D$14*$G147))/((1-Data!$D$18)*Data!$D$14*1000))&gt;ChemData!U147, ChemData!U147, I147/((Data!$D$18+((1-Data!$D$18)*Data!$D$14*$G147))/((1-Data!$D$18)*Data!$D$14*1000))))))))),"---")</f>
        <v>---</v>
      </c>
      <c r="M147" s="376" t="str">
        <f>IF(Start!$C$15="x",(IF(L147="NA","NA",IF(OR(D147="NA",D147=""),"NA",(((Data!$D$22*Data!$D$18)*L147)+(Data!$D$19-Data!$D$22)*$D147)/((Data!$D$22*Data!$D$18)+Data!$D$19-Data!$D$22)))),"---")</f>
        <v>---</v>
      </c>
      <c r="N147" s="376" t="str">
        <f>IF(Start!$C$15="x",IF(K147 = "NA", "NA", (IF(M147 = "NA", "NA",(IF(OR(ChemData!U147="NA",ChemData!U147=""),(IF(K147&gt;M147,K147,M147)),(IF(K147&gt;M147,(IF(K147&gt;ChemData!U147, ChemData!U147, K147)),(IF(M147&gt;ChemData!U147,ChemData!U147,M147))))))))),"---")</f>
        <v>---</v>
      </c>
      <c r="O147" s="377" t="str">
        <f>IF(Start!$C$15="x",IF(N147 = "NA","NA", IF(OR(E147="NA",E147=""),"NA",(N147+(Data!$D$26*$E147))/(Data!$D$26+1))),"---")</f>
        <v>---</v>
      </c>
      <c r="P147" s="730">
        <f>IF(E147="",F147,IF($F147&lt;(1+(Data!$D$27/100))*$E147,(1+(Data!$D$27/100))*$E147,$F147))</f>
        <v>2300</v>
      </c>
      <c r="Q147" s="343" t="str">
        <f>IF(Start!$C$15="x",(IF(C147="","",(IF(O147="NA","NA",IF(P147="NA","NA",IF(P147=0,"NA",(O147/P147))))))),"Not Req.")</f>
        <v>Not Req.</v>
      </c>
      <c r="R147" s="163"/>
      <c r="S147" s="18"/>
      <c r="T147" s="18"/>
      <c r="U147" s="163"/>
      <c r="V147" s="163"/>
      <c r="W147" s="18"/>
      <c r="X147" s="163"/>
      <c r="Y147" s="163"/>
      <c r="Z147" s="18"/>
    </row>
    <row r="148" spans="1:26" s="10" customFormat="1" x14ac:dyDescent="0.25">
      <c r="A148" s="405" t="s">
        <v>466</v>
      </c>
      <c r="B148" s="371" t="str">
        <f>IF(Start!$C$15="x",IF(C148="NA","NA",(IF(C148="","",(IF(OR(F148="NA",F148=""),"No Criteria",(IF(AND(O148="NA",F148&lt;&gt;"NA",C148&lt;&gt;"NA"),                  "Missing Data",(IF(O148&lt;F148,"No",(IF(D148&gt;F148,"Caution",(IF(O148&gt;=F148,"Needed","No"))))))))))))),"---")</f>
        <v>---</v>
      </c>
      <c r="C148" s="372" t="str">
        <f>IF(TRUE=ISBLANK(ChemData!B148),"",(ChemData!B148))</f>
        <v/>
      </c>
      <c r="D148" s="373" t="str">
        <f>IF(TRUE=ISBLANK(ChemData!C148),"",(ChemData!C148))</f>
        <v/>
      </c>
      <c r="E148" s="374" t="str">
        <f>IF(TRUE=ISBLANK(ChemData!D148),"",(ChemData!D148))</f>
        <v/>
      </c>
      <c r="F148" s="289" t="str">
        <f>IF(TRUE=ISBLANK(ChemData!H148),"",(ChemData!H148))</f>
        <v>NA</v>
      </c>
      <c r="G148" s="290">
        <f>IF(TRUE=ISBLANK(ChemData!Q148),"",(ChemData!Q148))</f>
        <v>0.28668595616070036</v>
      </c>
      <c r="H148" s="291">
        <f>IF(TRUE=ISBLANK(ChemData!S148),"",(ChemData!S148))</f>
        <v>1</v>
      </c>
      <c r="I148" s="375" t="str">
        <f>IF(Start!$C$15="x",(IF(OR(C148="NA",C148=""), "NA", (IF($H148 = "NA", "NA", ((C148*$H148)))))),"---")</f>
        <v>---</v>
      </c>
      <c r="J148" s="376" t="str">
        <f>IF(Start!$C$15="x",(IF(I148 = "NA", "NA", IF(OR(D148="NA",D148=""),"NA",(I148 +((Data!$D$19-Data!$D$22)/(Data!$D$19*Data!$D$22)*$D148))))),"---")</f>
        <v>---</v>
      </c>
      <c r="K148" s="376" t="str">
        <f>IF(Start!$C$15="x",(IF(J148="NA","NA",IF(OR(G148="NA",G148=""),"NA",(J148*(1-Data!$D$23)*Data!$D$14*1000)/(Data!$D$23+((1-Data!$D$23)*Data!$D$14*$G148))))),"---")</f>
        <v>---</v>
      </c>
      <c r="L148" s="376" t="str">
        <f>IF(Start!$C$15="x",(IF(I148="NA","NA",IF($G148 = "NA", "NA",(IF(OR(ChemData!U148="NA",ChemData!U148=""),I148/((Data!$D$18+((1-Data!$D$18)*Data!$D$14*$G148))/((1-Data!$D$18)*Data!$D$14*1000)),(IF(I148/((Data!$D$18+((1-Data!$D$18)*Data!$D$14*$G148))/((1-Data!$D$18)*Data!$D$14*1000))&gt;ChemData!U148, ChemData!U148, I148/((Data!$D$18+((1-Data!$D$18)*Data!$D$14*$G148))/((1-Data!$D$18)*Data!$D$14*1000))))))))),"---")</f>
        <v>---</v>
      </c>
      <c r="M148" s="376" t="str">
        <f>IF(Start!$C$15="x",(IF(L148="NA","NA",IF(OR(D148="NA",D148=""),"NA",(((Data!$D$22*Data!$D$18)*L148)+(Data!$D$19-Data!$D$22)*$D148)/((Data!$D$22*Data!$D$18)+Data!$D$19-Data!$D$22)))),"---")</f>
        <v>---</v>
      </c>
      <c r="N148" s="376" t="str">
        <f>IF(Start!$C$15="x",IF(K148 = "NA", "NA", (IF(M148 = "NA", "NA",(IF(OR(ChemData!U148="NA",ChemData!U148=""),(IF(K148&gt;M148,K148,M148)),(IF(K148&gt;M148,(IF(K148&gt;ChemData!U148, ChemData!U148, K148)),(IF(M148&gt;ChemData!U148,ChemData!U148,M148))))))))),"---")</f>
        <v>---</v>
      </c>
      <c r="O148" s="377" t="str">
        <f>IF(Start!$C$15="x",IF(N148 = "NA","NA", IF(OR(E148="NA",E148=""),"NA",(N148+(Data!$D$26*$E148))/(Data!$D$26+1))),"---")</f>
        <v>---</v>
      </c>
      <c r="P148" s="730" t="str">
        <f>IF(E148="",F148,IF($F148&lt;(1+(Data!$D$27/100))*$E148,(1+(Data!$D$27/100))*$E148,$F148))</f>
        <v>NA</v>
      </c>
      <c r="Q148" s="343" t="str">
        <f>IF(Start!$C$15="x",(IF(C148="","",(IF(O148="NA","NA",IF(P148="NA","NA",IF(P148=0,"NA",(O148/P148))))))),"Not Req.")</f>
        <v>Not Req.</v>
      </c>
      <c r="R148" s="163"/>
      <c r="S148" s="18"/>
      <c r="T148" s="18"/>
      <c r="U148" s="163"/>
      <c r="V148" s="163"/>
      <c r="W148" s="18"/>
      <c r="X148" s="163"/>
      <c r="Y148" s="163"/>
      <c r="Z148" s="18"/>
    </row>
    <row r="149" spans="1:26" s="10" customFormat="1" x14ac:dyDescent="0.25">
      <c r="A149" s="405" t="s">
        <v>670</v>
      </c>
      <c r="B149" s="371" t="str">
        <f>IF(Start!$C$15="x",IF(C149="NA","NA",(IF(C149="","",(IF(OR(F149="NA",F149=""),"No Criteria",(IF(AND(O149="NA",F149&lt;&gt;"NA",C149&lt;&gt;"NA"),                  "Missing Data",(IF(O149&lt;F149,"No",(IF(D149&gt;F149,"Caution",(IF(O149&gt;=F149,"Needed","No"))))))))))))),"---")</f>
        <v>---</v>
      </c>
      <c r="C149" s="372" t="str">
        <f>IF(TRUE=ISBLANK(ChemData!B149),"",(ChemData!B149))</f>
        <v/>
      </c>
      <c r="D149" s="373" t="str">
        <f>IF(TRUE=ISBLANK(ChemData!C149),"",(ChemData!C149))</f>
        <v/>
      </c>
      <c r="E149" s="374" t="str">
        <f>IF(TRUE=ISBLANK(ChemData!D149),"",(ChemData!D149))</f>
        <v/>
      </c>
      <c r="F149" s="289">
        <f>IF(TRUE=ISBLANK(ChemData!H149),"",(ChemData!H149))</f>
        <v>240000</v>
      </c>
      <c r="G149" s="290">
        <f>IF(TRUE=ISBLANK(ChemData!Q149),"",(ChemData!Q149))</f>
        <v>3.6091623541521421E-2</v>
      </c>
      <c r="H149" s="291">
        <f>IF(TRUE=ISBLANK(ChemData!S149),"",(ChemData!S149))</f>
        <v>1</v>
      </c>
      <c r="I149" s="375" t="str">
        <f>IF(Start!$C$15="x",(IF(OR(C149="NA",C149=""), "NA", (IF($H149 = "NA", "NA", ((C149*$H149)))))),"---")</f>
        <v>---</v>
      </c>
      <c r="J149" s="376" t="str">
        <f>IF(Start!$C$15="x",(IF(I149 = "NA", "NA", IF(OR(D149="NA",D149=""),"NA",(I149 +((Data!$D$19-Data!$D$22)/(Data!$D$19*Data!$D$22)*$D149))))),"---")</f>
        <v>---</v>
      </c>
      <c r="K149" s="376" t="str">
        <f>IF(Start!$C$15="x",(IF(J149="NA","NA",IF(OR(G149="NA",G149=""),"NA",(J149*(1-Data!$D$23)*Data!$D$14*1000)/(Data!$D$23+((1-Data!$D$23)*Data!$D$14*$G149))))),"---")</f>
        <v>---</v>
      </c>
      <c r="L149" s="376" t="str">
        <f>IF(Start!$C$15="x",(IF(I149="NA","NA",IF($G149 = "NA", "NA",(IF(OR(ChemData!U149="NA",ChemData!U149=""),I149/((Data!$D$18+((1-Data!$D$18)*Data!$D$14*$G149))/((1-Data!$D$18)*Data!$D$14*1000)),(IF(I149/((Data!$D$18+((1-Data!$D$18)*Data!$D$14*$G149))/((1-Data!$D$18)*Data!$D$14*1000))&gt;ChemData!U149, ChemData!U149, I149/((Data!$D$18+((1-Data!$D$18)*Data!$D$14*$G149))/((1-Data!$D$18)*Data!$D$14*1000))))))))),"---")</f>
        <v>---</v>
      </c>
      <c r="M149" s="376" t="str">
        <f>IF(Start!$C$15="x",(IF(L149="NA","NA",IF(OR(D149="NA",D149=""),"NA",(((Data!$D$22*Data!$D$18)*L149)+(Data!$D$19-Data!$D$22)*$D149)/((Data!$D$22*Data!$D$18)+Data!$D$19-Data!$D$22)))),"---")</f>
        <v>---</v>
      </c>
      <c r="N149" s="376" t="str">
        <f>IF(Start!$C$15="x",IF(K149 = "NA", "NA", (IF(M149 = "NA", "NA",(IF(OR(ChemData!U149="NA",ChemData!U149=""),(IF(K149&gt;M149,K149,M149)),(IF(K149&gt;M149,(IF(K149&gt;ChemData!U149, ChemData!U149, K149)),(IF(M149&gt;ChemData!U149,ChemData!U149,M149))))))))),"---")</f>
        <v>---</v>
      </c>
      <c r="O149" s="377" t="str">
        <f>IF(Start!$C$15="x",IF(N149 = "NA","NA", IF(OR(E149="NA",E149=""),"NA",(N149+(Data!$D$26*$E149))/(Data!$D$26+1))),"---")</f>
        <v>---</v>
      </c>
      <c r="P149" s="730">
        <f>IF(E149="",F149,IF($F149&lt;(1+(Data!$D$27/100))*$E149,(1+(Data!$D$27/100))*$E149,$F149))</f>
        <v>240000</v>
      </c>
      <c r="Q149" s="343" t="str">
        <f>IF(Start!$C$15="x",(IF(C149="","",(IF(O149="NA","NA",IF(P149="NA","NA",IF(P149=0,"NA",(O149/P149))))))),"Not Req.")</f>
        <v>Not Req.</v>
      </c>
      <c r="R149" s="163"/>
      <c r="S149" s="18"/>
      <c r="T149" s="18"/>
      <c r="U149" s="163"/>
      <c r="V149" s="163"/>
      <c r="W149" s="18"/>
      <c r="X149" s="18"/>
      <c r="Y149" s="163"/>
      <c r="Z149" s="18"/>
    </row>
    <row r="150" spans="1:26" s="10" customFormat="1" x14ac:dyDescent="0.25">
      <c r="A150" s="405" t="s">
        <v>468</v>
      </c>
      <c r="B150" s="371" t="str">
        <f>IF(Start!$C$15="x",IF(C150="NA","NA",(IF(C150="","",(IF(OR(F150="NA",F150=""),"No Criteria",(IF(AND(O150="NA",F150&lt;&gt;"NA",C150&lt;&gt;"NA"),                  "Missing Data",(IF(O150&lt;F150,"No",(IF(D150&gt;F150,"Caution",(IF(O150&gt;=F150,"Needed","No"))))))))))))),"---")</f>
        <v>---</v>
      </c>
      <c r="C150" s="372" t="str">
        <f>IF(TRUE=ISBLANK(ChemData!B150),"",(ChemData!B150))</f>
        <v/>
      </c>
      <c r="D150" s="373" t="str">
        <f>IF(TRUE=ISBLANK(ChemData!C150),"",(ChemData!C150))</f>
        <v/>
      </c>
      <c r="E150" s="374" t="str">
        <f>IF(TRUE=ISBLANK(ChemData!D150),"",(ChemData!D150))</f>
        <v/>
      </c>
      <c r="F150" s="289">
        <f>IF(TRUE=ISBLANK(ChemData!H150),"",(ChemData!H150))</f>
        <v>17</v>
      </c>
      <c r="G150" s="290">
        <f>IF(TRUE=ISBLANK(ChemData!Q150),"",(ChemData!Q150))</f>
        <v>1.6121536050087053</v>
      </c>
      <c r="H150" s="291">
        <f>IF(TRUE=ISBLANK(ChemData!S150),"",(ChemData!S150))</f>
        <v>1</v>
      </c>
      <c r="I150" s="375" t="str">
        <f>IF(Start!$C$15="x",(IF(OR(C150="NA",C150=""), "NA", (IF($H150 = "NA", "NA", ((C150*$H150)))))),"---")</f>
        <v>---</v>
      </c>
      <c r="J150" s="376" t="str">
        <f>IF(Start!$C$15="x",(IF(I150 = "NA", "NA", IF(OR(D150="NA",D150=""),"NA",(I150 +((Data!$D$19-Data!$D$22)/(Data!$D$19*Data!$D$22)*$D150))))),"---")</f>
        <v>---</v>
      </c>
      <c r="K150" s="376" t="str">
        <f>IF(Start!$C$15="x",(IF(J150="NA","NA",IF(OR(G150="NA",G150=""),"NA",(J150*(1-Data!$D$23)*Data!$D$14*1000)/(Data!$D$23+((1-Data!$D$23)*Data!$D$14*$G150))))),"---")</f>
        <v>---</v>
      </c>
      <c r="L150" s="376" t="str">
        <f>IF(Start!$C$15="x",(IF(I150="NA","NA",IF($G150 = "NA", "NA",(IF(OR(ChemData!U150="NA",ChemData!U150=""),I150/((Data!$D$18+((1-Data!$D$18)*Data!$D$14*$G150))/((1-Data!$D$18)*Data!$D$14*1000)),(IF(I150/((Data!$D$18+((1-Data!$D$18)*Data!$D$14*$G150))/((1-Data!$D$18)*Data!$D$14*1000))&gt;ChemData!U150, ChemData!U150, I150/((Data!$D$18+((1-Data!$D$18)*Data!$D$14*$G150))/((1-Data!$D$18)*Data!$D$14*1000))))))))),"---")</f>
        <v>---</v>
      </c>
      <c r="M150" s="376" t="str">
        <f>IF(Start!$C$15="x",(IF(L150="NA","NA",IF(OR(D150="NA",D150=""),"NA",(((Data!$D$22*Data!$D$18)*L150)+(Data!$D$19-Data!$D$22)*$D150)/((Data!$D$22*Data!$D$18)+Data!$D$19-Data!$D$22)))),"---")</f>
        <v>---</v>
      </c>
      <c r="N150" s="376" t="str">
        <f>IF(Start!$C$15="x",IF(K150 = "NA", "NA", (IF(M150 = "NA", "NA",(IF(OR(ChemData!U150="NA",ChemData!U150=""),(IF(K150&gt;M150,K150,M150)),(IF(K150&gt;M150,(IF(K150&gt;ChemData!U150, ChemData!U150, K150)),(IF(M150&gt;ChemData!U150,ChemData!U150,M150))))))))),"---")</f>
        <v>---</v>
      </c>
      <c r="O150" s="377" t="str">
        <f>IF(Start!$C$15="x",IF(N150 = "NA","NA", IF(OR(E150="NA",E150=""),"NA",(N150+(Data!$D$26*$E150))/(Data!$D$26+1))),"---")</f>
        <v>---</v>
      </c>
      <c r="P150" s="730">
        <f>IF(E150="",F150,IF($F150&lt;(1+(Data!$D$27/100))*$E150,(1+(Data!$D$27/100))*$E150,$F150))</f>
        <v>17</v>
      </c>
      <c r="Q150" s="343" t="str">
        <f>IF(Start!$C$15="x",(IF(C150="","",(IF(O150="NA","NA",IF(P150="NA","NA",IF(P150=0,"NA",(O150/P150))))))),"Not Req.")</f>
        <v>Not Req.</v>
      </c>
      <c r="R150" s="163"/>
      <c r="S150" s="18"/>
      <c r="T150" s="18"/>
      <c r="U150" s="163"/>
      <c r="V150" s="163"/>
      <c r="W150" s="18"/>
      <c r="X150" s="18"/>
      <c r="Y150" s="163"/>
      <c r="Z150" s="18"/>
    </row>
    <row r="151" spans="1:26" s="10" customFormat="1" x14ac:dyDescent="0.25">
      <c r="A151" s="405" t="s">
        <v>469</v>
      </c>
      <c r="B151" s="371" t="str">
        <f>IF(Start!$C$15="x",IF(C151="NA","NA",(IF(C151="","",(IF(OR(F151="NA",F151=""),"No Criteria",(IF(AND(O151="NA",F151&lt;&gt;"NA",C151&lt;&gt;"NA"),                  "Missing Data",(IF(O151&lt;F151,"No",(IF(D151&gt;F151,"Caution",(IF(O151&gt;=F151,"Needed","No"))))))))))))),"---")</f>
        <v>---</v>
      </c>
      <c r="C151" s="372" t="str">
        <f>IF(TRUE=ISBLANK(ChemData!B151),"",(ChemData!B151))</f>
        <v/>
      </c>
      <c r="D151" s="373" t="str">
        <f>IF(TRUE=ISBLANK(ChemData!C151),"",(ChemData!C151))</f>
        <v/>
      </c>
      <c r="E151" s="374" t="str">
        <f>IF(TRUE=ISBLANK(ChemData!D151),"",(ChemData!D151))</f>
        <v/>
      </c>
      <c r="F151" s="289">
        <f>IF(TRUE=ISBLANK(ChemData!H151),"",(ChemData!H151))</f>
        <v>180</v>
      </c>
      <c r="G151" s="290">
        <f>IF(TRUE=ISBLANK(ChemData!Q151),"",(ChemData!Q151))</f>
        <v>16.881320636477891</v>
      </c>
      <c r="H151" s="291">
        <f>IF(TRUE=ISBLANK(ChemData!S151),"",(ChemData!S151))</f>
        <v>1</v>
      </c>
      <c r="I151" s="375" t="str">
        <f>IF(Start!$C$15="x",(IF(OR(C151="NA",C151=""), "NA", (IF($H151 = "NA", "NA", ((C151*$H151)))))),"---")</f>
        <v>---</v>
      </c>
      <c r="J151" s="376" t="str">
        <f>IF(Start!$C$15="x",(IF(I151 = "NA", "NA", IF(OR(D151="NA",D151=""),"NA",(I151 +((Data!$D$19-Data!$D$22)/(Data!$D$19*Data!$D$22)*$D151))))),"---")</f>
        <v>---</v>
      </c>
      <c r="K151" s="376" t="str">
        <f>IF(Start!$C$15="x",(IF(J151="NA","NA",IF(OR(G151="NA",G151=""),"NA",(J151*(1-Data!$D$23)*Data!$D$14*1000)/(Data!$D$23+((1-Data!$D$23)*Data!$D$14*$G151))))),"---")</f>
        <v>---</v>
      </c>
      <c r="L151" s="376" t="str">
        <f>IF(Start!$C$15="x",(IF(I151="NA","NA",IF($G151 = "NA", "NA",(IF(OR(ChemData!U151="NA",ChemData!U151=""),I151/((Data!$D$18+((1-Data!$D$18)*Data!$D$14*$G151))/((1-Data!$D$18)*Data!$D$14*1000)),(IF(I151/((Data!$D$18+((1-Data!$D$18)*Data!$D$14*$G151))/((1-Data!$D$18)*Data!$D$14*1000))&gt;ChemData!U151, ChemData!U151, I151/((Data!$D$18+((1-Data!$D$18)*Data!$D$14*$G151))/((1-Data!$D$18)*Data!$D$14*1000))))))))),"---")</f>
        <v>---</v>
      </c>
      <c r="M151" s="376" t="str">
        <f>IF(Start!$C$15="x",(IF(L151="NA","NA",IF(OR(D151="NA",D151=""),"NA",(((Data!$D$22*Data!$D$18)*L151)+(Data!$D$19-Data!$D$22)*$D151)/((Data!$D$22*Data!$D$18)+Data!$D$19-Data!$D$22)))),"---")</f>
        <v>---</v>
      </c>
      <c r="N151" s="376" t="str">
        <f>IF(Start!$C$15="x",IF(K151 = "NA", "NA", (IF(M151 = "NA", "NA",(IF(OR(ChemData!U151="NA",ChemData!U151=""),(IF(K151&gt;M151,K151,M151)),(IF(K151&gt;M151,(IF(K151&gt;ChemData!U151, ChemData!U151, K151)),(IF(M151&gt;ChemData!U151,ChemData!U151,M151))))))))),"---")</f>
        <v>---</v>
      </c>
      <c r="O151" s="377" t="str">
        <f>IF(Start!$C$15="x",IF(N151 = "NA","NA", IF(OR(E151="NA",E151=""),"NA",(N151+(Data!$D$26*$E151))/(Data!$D$26+1))),"---")</f>
        <v>---</v>
      </c>
      <c r="P151" s="730">
        <f>IF(E151="",F151,IF($F151&lt;(1+(Data!$D$27/100))*$E151,(1+(Data!$D$27/100))*$E151,$F151))</f>
        <v>180</v>
      </c>
      <c r="Q151" s="343" t="str">
        <f>IF(Start!$C$15="x",(IF(C151="","",(IF(O151="NA","NA",IF(P151="NA","NA",IF(P151=0,"NA",(O151/P151))))))),"Not Req.")</f>
        <v>Not Req.</v>
      </c>
      <c r="R151" s="163"/>
      <c r="S151" s="18"/>
      <c r="T151" s="18"/>
      <c r="U151" s="163"/>
      <c r="V151" s="163"/>
      <c r="W151" s="18"/>
      <c r="X151" s="163"/>
      <c r="Y151" s="163"/>
      <c r="Z151" s="18"/>
    </row>
    <row r="152" spans="1:26" s="10" customFormat="1" x14ac:dyDescent="0.25">
      <c r="A152" s="405" t="s">
        <v>470</v>
      </c>
      <c r="B152" s="371" t="str">
        <f>IF(Start!$C$15="x",IF(C152="NA","NA",(IF(C152="","",(IF(OR(F152="NA",F152=""),"No Criteria",(IF(AND(O152="NA",F152&lt;&gt;"NA",C152&lt;&gt;"NA"),                  "Missing Data",(IF(O152&lt;F152,"No",(IF(D152&gt;F152,"Caution",(IF(O152&gt;=F152,"Needed","No"))))))))))))),"---")</f>
        <v>---</v>
      </c>
      <c r="C152" s="372" t="str">
        <f>IF(TRUE=ISBLANK(ChemData!B152),"",(ChemData!B152))</f>
        <v/>
      </c>
      <c r="D152" s="373" t="str">
        <f>IF(TRUE=ISBLANK(ChemData!C152),"",(ChemData!C152))</f>
        <v/>
      </c>
      <c r="E152" s="374" t="str">
        <f>IF(TRUE=ISBLANK(ChemData!D152),"",(ChemData!D152))</f>
        <v/>
      </c>
      <c r="F152" s="289">
        <f>IF(TRUE=ISBLANK(ChemData!H152),"",(ChemData!H152))</f>
        <v>1100</v>
      </c>
      <c r="G152" s="290">
        <f>IF(TRUE=ISBLANK(ChemData!Q152),"",(ChemData!Q152))</f>
        <v>12.805791271709518</v>
      </c>
      <c r="H152" s="291">
        <f>IF(TRUE=ISBLANK(ChemData!S152),"",(ChemData!S152))</f>
        <v>1</v>
      </c>
      <c r="I152" s="375" t="str">
        <f>IF(Start!$C$15="x",(IF(OR(C152="NA",C152=""), "NA", (IF($H152 = "NA", "NA", ((C152*$H152)))))),"---")</f>
        <v>---</v>
      </c>
      <c r="J152" s="376" t="str">
        <f>IF(Start!$C$15="x",(IF(I152 = "NA", "NA", IF(OR(D152="NA",D152=""),"NA",(I152 +((Data!$D$19-Data!$D$22)/(Data!$D$19*Data!$D$22)*$D152))))),"---")</f>
        <v>---</v>
      </c>
      <c r="K152" s="376" t="str">
        <f>IF(Start!$C$15="x",(IF(J152="NA","NA",IF(OR(G152="NA",G152=""),"NA",(J152*(1-Data!$D$23)*Data!$D$14*1000)/(Data!$D$23+((1-Data!$D$23)*Data!$D$14*$G152))))),"---")</f>
        <v>---</v>
      </c>
      <c r="L152" s="376" t="str">
        <f>IF(Start!$C$15="x",(IF(I152="NA","NA",IF($G152 = "NA", "NA",(IF(OR(ChemData!U152="NA",ChemData!U152=""),I152/((Data!$D$18+((1-Data!$D$18)*Data!$D$14*$G152))/((1-Data!$D$18)*Data!$D$14*1000)),(IF(I152/((Data!$D$18+((1-Data!$D$18)*Data!$D$14*$G152))/((1-Data!$D$18)*Data!$D$14*1000))&gt;ChemData!U152, ChemData!U152, I152/((Data!$D$18+((1-Data!$D$18)*Data!$D$14*$G152))/((1-Data!$D$18)*Data!$D$14*1000))))))))),"---")</f>
        <v>---</v>
      </c>
      <c r="M152" s="376" t="str">
        <f>IF(Start!$C$15="x",(IF(L152="NA","NA",IF(OR(D152="NA",D152=""),"NA",(((Data!$D$22*Data!$D$18)*L152)+(Data!$D$19-Data!$D$22)*$D152)/((Data!$D$22*Data!$D$18)+Data!$D$19-Data!$D$22)))),"---")</f>
        <v>---</v>
      </c>
      <c r="N152" s="376" t="str">
        <f>IF(Start!$C$15="x",IF(K152 = "NA", "NA", (IF(M152 = "NA", "NA",(IF(OR(ChemData!U152="NA",ChemData!U152=""),(IF(K152&gt;M152,K152,M152)),(IF(K152&gt;M152,(IF(K152&gt;ChemData!U152, ChemData!U152, K152)),(IF(M152&gt;ChemData!U152,ChemData!U152,M152))))))))),"---")</f>
        <v>---</v>
      </c>
      <c r="O152" s="377" t="str">
        <f>IF(Start!$C$15="x",IF(N152 = "NA","NA", IF(OR(E152="NA",E152=""),"NA",(N152+(Data!$D$26*$E152))/(Data!$D$26+1))),"---")</f>
        <v>---</v>
      </c>
      <c r="P152" s="730">
        <f>IF(E152="",F152,IF($F152&lt;(1+(Data!$D$27/100))*$E152,(1+(Data!$D$27/100))*$E152,$F152))</f>
        <v>1100</v>
      </c>
      <c r="Q152" s="343" t="str">
        <f>IF(Start!$C$15="x",(IF(C152="","",(IF(O152="NA","NA",IF(P152="NA","NA",IF(P152=0,"NA",(O152/P152))))))),"Not Req.")</f>
        <v>Not Req.</v>
      </c>
      <c r="R152" s="163"/>
      <c r="S152" s="18"/>
      <c r="T152" s="18"/>
      <c r="U152" s="163"/>
      <c r="V152" s="163"/>
      <c r="W152" s="18"/>
      <c r="X152" s="163"/>
      <c r="Y152" s="163"/>
      <c r="Z152" s="18"/>
    </row>
    <row r="153" spans="1:26" s="10" customFormat="1" x14ac:dyDescent="0.25">
      <c r="A153" s="405" t="s">
        <v>471</v>
      </c>
      <c r="B153" s="371" t="str">
        <f>IF(Start!$C$15="x",IF(C153="NA","NA",(IF(C153="","",(IF(OR(F153="NA",F153=""),"No Criteria",(IF(AND(O153="NA",F153&lt;&gt;"NA",C153&lt;&gt;"NA"),                  "Missing Data",(IF(O153&lt;F153,"No",(IF(D153&gt;F153,"Caution",(IF(O153&gt;=F153,"Needed","No"))))))))))))),"---")</f>
        <v>---</v>
      </c>
      <c r="C153" s="372" t="str">
        <f>IF(TRUE=ISBLANK(ChemData!B153),"",(ChemData!B153))</f>
        <v/>
      </c>
      <c r="D153" s="373" t="str">
        <f>IF(TRUE=ISBLANK(ChemData!C153),"",(ChemData!C153))</f>
        <v/>
      </c>
      <c r="E153" s="374" t="str">
        <f>IF(TRUE=ISBLANK(ChemData!D153),"",(ChemData!D153))</f>
        <v/>
      </c>
      <c r="F153" s="289" t="str">
        <f>IF(TRUE=ISBLANK(ChemData!H153),"",(ChemData!H153))</f>
        <v>NA</v>
      </c>
      <c r="G153" s="290">
        <f>IF(TRUE=ISBLANK(ChemData!Q153),"",(ChemData!Q153))</f>
        <v>0.49820309220687214</v>
      </c>
      <c r="H153" s="291">
        <f>IF(TRUE=ISBLANK(ChemData!S153),"",(ChemData!S153))</f>
        <v>1</v>
      </c>
      <c r="I153" s="375" t="str">
        <f>IF(Start!$C$15="x",(IF(OR(C153="NA",C153=""), "NA", (IF($H153 = "NA", "NA", ((C153*$H153)))))),"---")</f>
        <v>---</v>
      </c>
      <c r="J153" s="376" t="str">
        <f>IF(Start!$C$15="x",(IF(I153 = "NA", "NA", IF(OR(D153="NA",D153=""),"NA",(I153 +((Data!$D$19-Data!$D$22)/(Data!$D$19*Data!$D$22)*$D153))))),"---")</f>
        <v>---</v>
      </c>
      <c r="K153" s="376" t="str">
        <f>IF(Start!$C$15="x",(IF(J153="NA","NA",IF(OR(G153="NA",G153=""),"NA",(J153*(1-Data!$D$23)*Data!$D$14*1000)/(Data!$D$23+((1-Data!$D$23)*Data!$D$14*$G153))))),"---")</f>
        <v>---</v>
      </c>
      <c r="L153" s="376" t="str">
        <f>IF(Start!$C$15="x",(IF(I153="NA","NA",IF($G153 = "NA", "NA",(IF(OR(ChemData!U153="NA",ChemData!U153=""),I153/((Data!$D$18+((1-Data!$D$18)*Data!$D$14*$G153))/((1-Data!$D$18)*Data!$D$14*1000)),(IF(I153/((Data!$D$18+((1-Data!$D$18)*Data!$D$14*$G153))/((1-Data!$D$18)*Data!$D$14*1000))&gt;ChemData!U153, ChemData!U153, I153/((Data!$D$18+((1-Data!$D$18)*Data!$D$14*$G153))/((1-Data!$D$18)*Data!$D$14*1000))))))))),"---")</f>
        <v>---</v>
      </c>
      <c r="M153" s="376" t="str">
        <f>IF(Start!$C$15="x",(IF(L153="NA","NA",IF(OR(D153="NA",D153=""),"NA",(((Data!$D$22*Data!$D$18)*L153)+(Data!$D$19-Data!$D$22)*$D153)/((Data!$D$22*Data!$D$18)+Data!$D$19-Data!$D$22)))),"---")</f>
        <v>---</v>
      </c>
      <c r="N153" s="376" t="str">
        <f>IF(Start!$C$15="x",IF(K153 = "NA", "NA", (IF(M153 = "NA", "NA",(IF(OR(ChemData!U153="NA",ChemData!U153=""),(IF(K153&gt;M153,K153,M153)),(IF(K153&gt;M153,(IF(K153&gt;ChemData!U153, ChemData!U153, K153)),(IF(M153&gt;ChemData!U153,ChemData!U153,M153))))))))),"---")</f>
        <v>---</v>
      </c>
      <c r="O153" s="377" t="str">
        <f>IF(Start!$C$15="x",IF(N153 = "NA","NA", IF(OR(E153="NA",E153=""),"NA",(N153+(Data!$D$26*$E153))/(Data!$D$26+1))),"---")</f>
        <v>---</v>
      </c>
      <c r="P153" s="730" t="str">
        <f>IF(E153="",F153,IF($F153&lt;(1+(Data!$D$27/100))*$E153,(1+(Data!$D$27/100))*$E153,$F153))</f>
        <v>NA</v>
      </c>
      <c r="Q153" s="343" t="str">
        <f>IF(Start!$C$15="x",(IF(C153="","",(IF(O153="NA","NA",IF(P153="NA","NA",IF(P153=0,"NA",(O153/P153))))))),"Not Req.")</f>
        <v>Not Req.</v>
      </c>
      <c r="R153" s="163"/>
      <c r="S153" s="18"/>
      <c r="T153" s="18"/>
      <c r="U153" s="163"/>
      <c r="V153" s="163"/>
      <c r="W153" s="18"/>
      <c r="X153" s="163"/>
      <c r="Y153" s="163"/>
      <c r="Z153" s="18"/>
    </row>
    <row r="154" spans="1:26" s="10" customFormat="1" x14ac:dyDescent="0.25">
      <c r="A154" s="405" t="s">
        <v>472</v>
      </c>
      <c r="B154" s="371" t="str">
        <f>IF(Start!$C$15="x",IF(C154="NA","NA",(IF(C154="","",(IF(OR(F154="NA",F154=""),"No Criteria",(IF(AND(O154="NA",F154&lt;&gt;"NA",C154&lt;&gt;"NA"),                  "Missing Data",(IF(O154&lt;F154,"No",(IF(D154&gt;F154,"Caution",(IF(O154&gt;=F154,"Needed","No"))))))))))))),"---")</f>
        <v>---</v>
      </c>
      <c r="C154" s="372" t="str">
        <f>IF(TRUE=ISBLANK(ChemData!B154),"",(ChemData!B154))</f>
        <v/>
      </c>
      <c r="D154" s="373" t="str">
        <f>IF(TRUE=ISBLANK(ChemData!C154),"",(ChemData!C154))</f>
        <v/>
      </c>
      <c r="E154" s="374" t="str">
        <f>IF(TRUE=ISBLANK(ChemData!D154),"",(ChemData!D154))</f>
        <v/>
      </c>
      <c r="F154" s="289">
        <f>IF(TRUE=ISBLANK(ChemData!H154),"",(ChemData!H154))</f>
        <v>490</v>
      </c>
      <c r="G154" s="290">
        <f>IF(TRUE=ISBLANK(ChemData!Q154),"",(ChemData!Q154))</f>
        <v>1.5395947403110444</v>
      </c>
      <c r="H154" s="291">
        <f>IF(TRUE=ISBLANK(ChemData!S154),"",(ChemData!S154))</f>
        <v>1</v>
      </c>
      <c r="I154" s="375" t="str">
        <f>IF(Start!$C$15="x",(IF(OR(C154="NA",C154=""), "NA", (IF($H154 = "NA", "NA", ((C154*$H154)))))),"---")</f>
        <v>---</v>
      </c>
      <c r="J154" s="376" t="str">
        <f>IF(Start!$C$15="x",(IF(I154 = "NA", "NA", IF(OR(D154="NA",D154=""),"NA",(I154 +((Data!$D$19-Data!$D$22)/(Data!$D$19*Data!$D$22)*$D154))))),"---")</f>
        <v>---</v>
      </c>
      <c r="K154" s="376" t="str">
        <f>IF(Start!$C$15="x",(IF(J154="NA","NA",IF(OR(G154="NA",G154=""),"NA",(J154*(1-Data!$D$23)*Data!$D$14*1000)/(Data!$D$23+((1-Data!$D$23)*Data!$D$14*$G154))))),"---")</f>
        <v>---</v>
      </c>
      <c r="L154" s="376" t="str">
        <f>IF(Start!$C$15="x",(IF(I154="NA","NA",IF($G154 = "NA", "NA",(IF(OR(ChemData!U154="NA",ChemData!U154=""),I154/((Data!$D$18+((1-Data!$D$18)*Data!$D$14*$G154))/((1-Data!$D$18)*Data!$D$14*1000)),(IF(I154/((Data!$D$18+((1-Data!$D$18)*Data!$D$14*$G154))/((1-Data!$D$18)*Data!$D$14*1000))&gt;ChemData!U154, ChemData!U154, I154/((Data!$D$18+((1-Data!$D$18)*Data!$D$14*$G154))/((1-Data!$D$18)*Data!$D$14*1000))))))))),"---")</f>
        <v>---</v>
      </c>
      <c r="M154" s="376" t="str">
        <f>IF(Start!$C$15="x",(IF(L154="NA","NA",IF(OR(D154="NA",D154=""),"NA",(((Data!$D$22*Data!$D$18)*L154)+(Data!$D$19-Data!$D$22)*$D154)/((Data!$D$22*Data!$D$18)+Data!$D$19-Data!$D$22)))),"---")</f>
        <v>---</v>
      </c>
      <c r="N154" s="376" t="str">
        <f>IF(Start!$C$15="x",IF(K154 = "NA", "NA", (IF(M154 = "NA", "NA",(IF(OR(ChemData!U154="NA",ChemData!U154=""),(IF(K154&gt;M154,K154,M154)),(IF(K154&gt;M154,(IF(K154&gt;ChemData!U154, ChemData!U154, K154)),(IF(M154&gt;ChemData!U154,ChemData!U154,M154))))))))),"---")</f>
        <v>---</v>
      </c>
      <c r="O154" s="377" t="str">
        <f>IF(Start!$C$15="x",IF(N154 = "NA","NA", IF(OR(E154="NA",E154=""),"NA",(N154+(Data!$D$26*$E154))/(Data!$D$26+1))),"---")</f>
        <v>---</v>
      </c>
      <c r="P154" s="730">
        <f>IF(E154="",F154,IF($F154&lt;(1+(Data!$D$27/100))*$E154,(1+(Data!$D$27/100))*$E154,$F154))</f>
        <v>490</v>
      </c>
      <c r="Q154" s="343" t="str">
        <f>IF(Start!$C$15="x",(IF(C154="","",(IF(O154="NA","NA",IF(P154="NA","NA",IF(P154=0,"NA",(O154/P154))))))),"Not Req.")</f>
        <v>Not Req.</v>
      </c>
      <c r="R154" s="163"/>
      <c r="S154" s="18"/>
      <c r="T154" s="18"/>
      <c r="U154" s="163"/>
      <c r="V154" s="163"/>
      <c r="W154" s="18"/>
      <c r="X154" s="163"/>
      <c r="Y154" s="163"/>
      <c r="Z154" s="18"/>
    </row>
    <row r="155" spans="1:26" s="10" customFormat="1" x14ac:dyDescent="0.25">
      <c r="A155" s="405" t="s">
        <v>671</v>
      </c>
      <c r="B155" s="371" t="str">
        <f>IF(Start!$C$15="x",IF(C155="NA","NA",(IF(C155="","",(IF(OR(F155="NA",F155=""),"No Criteria",(IF(AND(O155="NA",F155&lt;&gt;"NA",C155&lt;&gt;"NA"),                  "Missing Data",(IF(O155&lt;F155,"No",(IF(D155&gt;F155,"Caution",(IF(O155&gt;=F155,"Needed","No"))))))))))))),"---")</f>
        <v>---</v>
      </c>
      <c r="C155" s="372" t="str">
        <f>IF(TRUE=ISBLANK(ChemData!B155),"",(ChemData!B155))</f>
        <v/>
      </c>
      <c r="D155" s="373" t="str">
        <f>IF(TRUE=ISBLANK(ChemData!C155),"",(ChemData!C155))</f>
        <v/>
      </c>
      <c r="E155" s="374" t="str">
        <f>IF(TRUE=ISBLANK(ChemData!D155),"",(ChemData!D155))</f>
        <v/>
      </c>
      <c r="F155" s="289" t="str">
        <f>IF(TRUE=ISBLANK(ChemData!H155),"",(ChemData!H155))</f>
        <v>NA</v>
      </c>
      <c r="G155" s="290">
        <f>IF(TRUE=ISBLANK(ChemData!Q155),"",(ChemData!Q155))</f>
        <v>0.15045492854197479</v>
      </c>
      <c r="H155" s="291">
        <f>IF(TRUE=ISBLANK(ChemData!S155),"",(ChemData!S155))</f>
        <v>1</v>
      </c>
      <c r="I155" s="375" t="str">
        <f>IF(Start!$C$15="x",(IF(OR(C155="NA",C155=""), "NA", (IF($H155 = "NA", "NA", ((C155*$H155)))))),"---")</f>
        <v>---</v>
      </c>
      <c r="J155" s="376" t="str">
        <f>IF(Start!$C$15="x",(IF(I155 = "NA", "NA", IF(OR(D155="NA",D155=""),"NA",(I155 +((Data!$D$19-Data!$D$22)/(Data!$D$19*Data!$D$22)*$D155))))),"---")</f>
        <v>---</v>
      </c>
      <c r="K155" s="376" t="str">
        <f>IF(Start!$C$15="x",(IF(J155="NA","NA",IF(OR(G155="NA",G155=""),"NA",(J155*(1-Data!$D$23)*Data!$D$14*1000)/(Data!$D$23+((1-Data!$D$23)*Data!$D$14*$G155))))),"---")</f>
        <v>---</v>
      </c>
      <c r="L155" s="376" t="str">
        <f>IF(Start!$C$15="x",(IF(I155="NA","NA",IF($G155 = "NA", "NA",(IF(OR(ChemData!U155="NA",ChemData!U155=""),I155/((Data!$D$18+((1-Data!$D$18)*Data!$D$14*$G155))/((1-Data!$D$18)*Data!$D$14*1000)),(IF(I155/((Data!$D$18+((1-Data!$D$18)*Data!$D$14*$G155))/((1-Data!$D$18)*Data!$D$14*1000))&gt;ChemData!U155, ChemData!U155, I155/((Data!$D$18+((1-Data!$D$18)*Data!$D$14*$G155))/((1-Data!$D$18)*Data!$D$14*1000))))))))),"---")</f>
        <v>---</v>
      </c>
      <c r="M155" s="376" t="str">
        <f>IF(Start!$C$15="x",(IF(L155="NA","NA",IF(OR(D155="NA",D155=""),"NA",(((Data!$D$22*Data!$D$18)*L155)+(Data!$D$19-Data!$D$22)*$D155)/((Data!$D$22*Data!$D$18)+Data!$D$19-Data!$D$22)))),"---")</f>
        <v>---</v>
      </c>
      <c r="N155" s="376" t="str">
        <f>IF(Start!$C$15="x",IF(K155 = "NA", "NA", (IF(M155 = "NA", "NA",(IF(OR(ChemData!U155="NA",ChemData!U155=""),(IF(K155&gt;M155,K155,M155)),(IF(K155&gt;M155,(IF(K155&gt;ChemData!U155, ChemData!U155, K155)),(IF(M155&gt;ChemData!U155,ChemData!U155,M155))))))))),"---")</f>
        <v>---</v>
      </c>
      <c r="O155" s="377" t="str">
        <f>IF(Start!$C$15="x",IF(N155 = "NA","NA", IF(OR(E155="NA",E155=""),"NA",(N155+(Data!$D$26*$E155))/(Data!$D$26+1))),"---")</f>
        <v>---</v>
      </c>
      <c r="P155" s="730" t="str">
        <f>IF(E155="",F155,IF($F155&lt;(1+(Data!$D$27/100))*$E155,(1+(Data!$D$27/100))*$E155,$F155))</f>
        <v>NA</v>
      </c>
      <c r="Q155" s="343" t="str">
        <f>IF(Start!$C$15="x",(IF(C155="","",(IF(O155="NA","NA",IF(P155="NA","NA",IF(P155=0,"NA",(O155/P155))))))),"Not Req.")</f>
        <v>Not Req.</v>
      </c>
      <c r="R155" s="163"/>
      <c r="S155" s="18"/>
      <c r="T155" s="18"/>
      <c r="U155" s="163"/>
      <c r="V155" s="163"/>
      <c r="W155" s="18"/>
      <c r="X155" s="163"/>
      <c r="Y155" s="163"/>
      <c r="Z155" s="18"/>
    </row>
    <row r="156" spans="1:26" s="10" customFormat="1" x14ac:dyDescent="0.25">
      <c r="A156" s="405" t="s">
        <v>474</v>
      </c>
      <c r="B156" s="371" t="str">
        <f>IF(Start!$C$15="x",IF(C156="NA","NA",(IF(C156="","",(IF(OR(F156="NA",F156=""),"No Criteria",(IF(AND(O156="NA",F156&lt;&gt;"NA",C156&lt;&gt;"NA"),                  "Missing Data",(IF(O156&lt;F156,"No",(IF(D156&gt;F156,"Caution",(IF(O156&gt;=F156,"Needed","No"))))))))))))),"---")</f>
        <v>---</v>
      </c>
      <c r="C156" s="372" t="str">
        <f>IF(TRUE=ISBLANK(ChemData!B156),"",(ChemData!B156))</f>
        <v/>
      </c>
      <c r="D156" s="373" t="str">
        <f>IF(TRUE=ISBLANK(ChemData!C156),"",(ChemData!C156))</f>
        <v/>
      </c>
      <c r="E156" s="374" t="str">
        <f>IF(TRUE=ISBLANK(ChemData!D156),"",(ChemData!D156))</f>
        <v/>
      </c>
      <c r="F156" s="289">
        <f>IF(TRUE=ISBLANK(ChemData!H156),"",(ChemData!H156))</f>
        <v>880</v>
      </c>
      <c r="G156" s="290">
        <f>IF(TRUE=ISBLANK(ChemData!Q156),"",(ChemData!Q156))</f>
        <v>32915.951879820481</v>
      </c>
      <c r="H156" s="291">
        <f>IF(TRUE=ISBLANK(ChemData!S156),"",(ChemData!S156))</f>
        <v>1</v>
      </c>
      <c r="I156" s="375" t="str">
        <f>IF(Start!$C$15="x",(IF(OR(C156="NA",C156=""), "NA", (IF($H156 = "NA", "NA", ((C156*$H156)))))),"---")</f>
        <v>---</v>
      </c>
      <c r="J156" s="376" t="str">
        <f>IF(Start!$C$15="x",(IF(I156 = "NA", "NA", IF(OR(D156="NA",D156=""),"NA",(I156 +((Data!$D$19-Data!$D$22)/(Data!$D$19*Data!$D$22)*$D156))))),"---")</f>
        <v>---</v>
      </c>
      <c r="K156" s="376" t="str">
        <f>IF(Start!$C$15="x",(IF(J156="NA","NA",IF(OR(G156="NA",G156=""),"NA",(J156*(1-Data!$D$23)*Data!$D$14*1000)/(Data!$D$23+((1-Data!$D$23)*Data!$D$14*$G156))))),"---")</f>
        <v>---</v>
      </c>
      <c r="L156" s="376" t="str">
        <f>IF(Start!$C$15="x",(IF(I156="NA","NA",IF($G156 = "NA", "NA",(IF(OR(ChemData!U156="NA",ChemData!U156=""),I156/((Data!$D$18+((1-Data!$D$18)*Data!$D$14*$G156))/((1-Data!$D$18)*Data!$D$14*1000)),(IF(I156/((Data!$D$18+((1-Data!$D$18)*Data!$D$14*$G156))/((1-Data!$D$18)*Data!$D$14*1000))&gt;ChemData!U156, ChemData!U156, I156/((Data!$D$18+((1-Data!$D$18)*Data!$D$14*$G156))/((1-Data!$D$18)*Data!$D$14*1000))))))))),"---")</f>
        <v>---</v>
      </c>
      <c r="M156" s="376" t="str">
        <f>IF(Start!$C$15="x",(IF(L156="NA","NA",IF(OR(D156="NA",D156=""),"NA",(((Data!$D$22*Data!$D$18)*L156)+(Data!$D$19-Data!$D$22)*$D156)/((Data!$D$22*Data!$D$18)+Data!$D$19-Data!$D$22)))),"---")</f>
        <v>---</v>
      </c>
      <c r="N156" s="376" t="str">
        <f>IF(Start!$C$15="x",IF(K156 = "NA", "NA", (IF(M156 = "NA", "NA",(IF(OR(ChemData!U156="NA",ChemData!U156=""),(IF(K156&gt;M156,K156,M156)),(IF(K156&gt;M156,(IF(K156&gt;ChemData!U156, ChemData!U156, K156)),(IF(M156&gt;ChemData!U156,ChemData!U156,M156))))))))),"---")</f>
        <v>---</v>
      </c>
      <c r="O156" s="377" t="str">
        <f>IF(Start!$C$15="x",IF(N156 = "NA","NA", IF(OR(E156="NA",E156=""),"NA",(N156+(Data!$D$26*$E156))/(Data!$D$26+1))),"---")</f>
        <v>---</v>
      </c>
      <c r="P156" s="730">
        <f>IF(E156="",F156,IF($F156&lt;(1+(Data!$D$27/100))*$E156,(1+(Data!$D$27/100))*$E156,$F156))</f>
        <v>880</v>
      </c>
      <c r="Q156" s="343" t="str">
        <f>IF(Start!$C$15="x",(IF(C156="","",(IF(O156="NA","NA",IF(P156="NA","NA",IF(P156=0,"NA",(O156/P156))))))),"Not Req.")</f>
        <v>Not Req.</v>
      </c>
      <c r="R156" s="163"/>
      <c r="S156" s="18"/>
      <c r="T156" s="18"/>
      <c r="U156" s="163"/>
      <c r="V156" s="163"/>
      <c r="W156" s="18"/>
      <c r="X156" s="163"/>
      <c r="Y156" s="163"/>
      <c r="Z156" s="18"/>
    </row>
    <row r="157" spans="1:26" s="10" customFormat="1" x14ac:dyDescent="0.25">
      <c r="A157" s="405" t="s">
        <v>475</v>
      </c>
      <c r="B157" s="371" t="str">
        <f>IF(Start!$C$15="x",IF(C157="NA","NA",(IF(C157="","",(IF(OR(F157="NA",F157=""),"No Criteria",(IF(AND(O157="NA",F157&lt;&gt;"NA",C157&lt;&gt;"NA"),                  "Missing Data",(IF(O157&lt;F157,"No",(IF(D157&gt;F157,"Caution",(IF(O157&gt;=F157,"Needed","No"))))))))))))),"---")</f>
        <v>---</v>
      </c>
      <c r="C157" s="372" t="str">
        <f>IF(TRUE=ISBLANK(ChemData!B157),"",(ChemData!B157))</f>
        <v/>
      </c>
      <c r="D157" s="373" t="str">
        <f>IF(TRUE=ISBLANK(ChemData!C157),"",(ChemData!C157))</f>
        <v/>
      </c>
      <c r="E157" s="374" t="str">
        <f>IF(TRUE=ISBLANK(ChemData!D157),"",(ChemData!D157))</f>
        <v/>
      </c>
      <c r="F157" s="289" t="str">
        <f>IF(TRUE=ISBLANK(ChemData!H157),"",(ChemData!H157))</f>
        <v>NA</v>
      </c>
      <c r="G157" s="290">
        <f>IF(TRUE=ISBLANK(ChemData!Q157),"",(ChemData!Q157))</f>
        <v>3.2166693340150965</v>
      </c>
      <c r="H157" s="291">
        <f>IF(TRUE=ISBLANK(ChemData!S157),"",(ChemData!S157))</f>
        <v>1</v>
      </c>
      <c r="I157" s="375" t="str">
        <f>IF(Start!$C$15="x",(IF(OR(C157="NA",C157=""), "NA", (IF($H157 = "NA", "NA", ((C157*$H157)))))),"---")</f>
        <v>---</v>
      </c>
      <c r="J157" s="376" t="str">
        <f>IF(Start!$C$15="x",(IF(I157 = "NA", "NA", IF(OR(D157="NA",D157=""),"NA",(I157 +((Data!$D$19-Data!$D$22)/(Data!$D$19*Data!$D$22)*$D157))))),"---")</f>
        <v>---</v>
      </c>
      <c r="K157" s="376" t="str">
        <f>IF(Start!$C$15="x",(IF(J157="NA","NA",IF(OR(G157="NA",G157=""),"NA",(J157*(1-Data!$D$23)*Data!$D$14*1000)/(Data!$D$23+((1-Data!$D$23)*Data!$D$14*$G157))))),"---")</f>
        <v>---</v>
      </c>
      <c r="L157" s="376" t="str">
        <f>IF(Start!$C$15="x",(IF(I157="NA","NA",IF($G157 = "NA", "NA",(IF(OR(ChemData!U157="NA",ChemData!U157=""),I157/((Data!$D$18+((1-Data!$D$18)*Data!$D$14*$G157))/((1-Data!$D$18)*Data!$D$14*1000)),(IF(I157/((Data!$D$18+((1-Data!$D$18)*Data!$D$14*$G157))/((1-Data!$D$18)*Data!$D$14*1000))&gt;ChemData!U157, ChemData!U157, I157/((Data!$D$18+((1-Data!$D$18)*Data!$D$14*$G157))/((1-Data!$D$18)*Data!$D$14*1000))))))))),"---")</f>
        <v>---</v>
      </c>
      <c r="M157" s="376" t="str">
        <f>IF(Start!$C$15="x",(IF(L157="NA","NA",IF(OR(D157="NA",D157=""),"NA",(((Data!$D$22*Data!$D$18)*L157)+(Data!$D$19-Data!$D$22)*$D157)/((Data!$D$22*Data!$D$18)+Data!$D$19-Data!$D$22)))),"---")</f>
        <v>---</v>
      </c>
      <c r="N157" s="376" t="str">
        <f>IF(Start!$C$15="x",IF(K157 = "NA", "NA", (IF(M157 = "NA", "NA",(IF(OR(ChemData!U157="NA",ChemData!U157=""),(IF(K157&gt;M157,K157,M157)),(IF(K157&gt;M157,(IF(K157&gt;ChemData!U157, ChemData!U157, K157)),(IF(M157&gt;ChemData!U157,ChemData!U157,M157))))))))),"---")</f>
        <v>---</v>
      </c>
      <c r="O157" s="377" t="str">
        <f>IF(Start!$C$15="x",IF(N157 = "NA","NA", IF(OR(E157="NA",E157=""),"NA",(N157+(Data!$D$26*$E157))/(Data!$D$26+1))),"---")</f>
        <v>---</v>
      </c>
      <c r="P157" s="730" t="str">
        <f>IF(E157="",F157,IF($F157&lt;(1+(Data!$D$27/100))*$E157,(1+(Data!$D$27/100))*$E157,$F157))</f>
        <v>NA</v>
      </c>
      <c r="Q157" s="343" t="str">
        <f>IF(Start!$C$15="x",(IF(C157="","",(IF(O157="NA","NA",IF(P157="NA","NA",IF(P157=0,"NA",(O157/P157))))))),"Not Req.")</f>
        <v>Not Req.</v>
      </c>
      <c r="R157" s="163"/>
      <c r="S157" s="18"/>
      <c r="T157" s="18"/>
      <c r="U157" s="163"/>
      <c r="V157" s="163"/>
      <c r="W157" s="18"/>
      <c r="X157" s="163"/>
      <c r="Y157" s="163"/>
      <c r="Z157" s="18"/>
    </row>
    <row r="158" spans="1:26" s="10" customFormat="1" x14ac:dyDescent="0.25">
      <c r="A158" s="405" t="s">
        <v>476</v>
      </c>
      <c r="B158" s="371" t="str">
        <f>IF(Start!$C$15="x",IF(C158="NA","NA",(IF(C158="","",(IF(OR(F158="NA",F158=""),"No Criteria",(IF(AND(O158="NA",F158&lt;&gt;"NA",C158&lt;&gt;"NA"),                  "Missing Data",(IF(O158&lt;F158,"No",(IF(D158&gt;F158,"Caution",(IF(O158&gt;=F158,"Needed","No"))))))))))))),"---")</f>
        <v>---</v>
      </c>
      <c r="C158" s="372" t="str">
        <f>IF(TRUE=ISBLANK(ChemData!B158),"",(ChemData!B158))</f>
        <v/>
      </c>
      <c r="D158" s="373" t="str">
        <f>IF(TRUE=ISBLANK(ChemData!C158),"",(ChemData!C158))</f>
        <v/>
      </c>
      <c r="E158" s="374" t="str">
        <f>IF(TRUE=ISBLANK(ChemData!D158),"",(ChemData!D158))</f>
        <v/>
      </c>
      <c r="F158" s="289" t="str">
        <f>IF(TRUE=ISBLANK(ChemData!H158),"",(ChemData!H158))</f>
        <v>NA</v>
      </c>
      <c r="G158" s="290">
        <f>IF(TRUE=ISBLANK(ChemData!Q158),"",(ChemData!Q158))</f>
        <v>3.3682662892870785</v>
      </c>
      <c r="H158" s="291">
        <f>IF(TRUE=ISBLANK(ChemData!S158),"",(ChemData!S158))</f>
        <v>1</v>
      </c>
      <c r="I158" s="375" t="str">
        <f>IF(Start!$C$15="x",(IF(OR(C158="NA",C158=""), "NA", (IF($H158 = "NA", "NA", ((C158*$H158)))))),"---")</f>
        <v>---</v>
      </c>
      <c r="J158" s="376" t="str">
        <f>IF(Start!$C$15="x",(IF(I158 = "NA", "NA", IF(OR(D158="NA",D158=""),"NA",(I158 +((Data!$D$19-Data!$D$22)/(Data!$D$19*Data!$D$22)*$D158))))),"---")</f>
        <v>---</v>
      </c>
      <c r="K158" s="376" t="str">
        <f>IF(Start!$C$15="x",(IF(J158="NA","NA",IF(OR(G158="NA",G158=""),"NA",(J158*(1-Data!$D$23)*Data!$D$14*1000)/(Data!$D$23+((1-Data!$D$23)*Data!$D$14*$G158))))),"---")</f>
        <v>---</v>
      </c>
      <c r="L158" s="376" t="str">
        <f>IF(Start!$C$15="x",(IF(I158="NA","NA",IF($G158 = "NA", "NA",(IF(OR(ChemData!U158="NA",ChemData!U158=""),I158/((Data!$D$18+((1-Data!$D$18)*Data!$D$14*$G158))/((1-Data!$D$18)*Data!$D$14*1000)),(IF(I158/((Data!$D$18+((1-Data!$D$18)*Data!$D$14*$G158))/((1-Data!$D$18)*Data!$D$14*1000))&gt;ChemData!U158, ChemData!U158, I158/((Data!$D$18+((1-Data!$D$18)*Data!$D$14*$G158))/((1-Data!$D$18)*Data!$D$14*1000))))))))),"---")</f>
        <v>---</v>
      </c>
      <c r="M158" s="376" t="str">
        <f>IF(Start!$C$15="x",(IF(L158="NA","NA",IF(OR(D158="NA",D158=""),"NA",(((Data!$D$22*Data!$D$18)*L158)+(Data!$D$19-Data!$D$22)*$D158)/((Data!$D$22*Data!$D$18)+Data!$D$19-Data!$D$22)))),"---")</f>
        <v>---</v>
      </c>
      <c r="N158" s="376" t="str">
        <f>IF(Start!$C$15="x",IF(K158 = "NA", "NA", (IF(M158 = "NA", "NA",(IF(OR(ChemData!U158="NA",ChemData!U158=""),(IF(K158&gt;M158,K158,M158)),(IF(K158&gt;M158,(IF(K158&gt;ChemData!U158, ChemData!U158, K158)),(IF(M158&gt;ChemData!U158,ChemData!U158,M158))))))))),"---")</f>
        <v>---</v>
      </c>
      <c r="O158" s="377" t="str">
        <f>IF(Start!$C$15="x",IF(N158 = "NA","NA", IF(OR(E158="NA",E158=""),"NA",(N158+(Data!$D$26*$E158))/(Data!$D$26+1))),"---")</f>
        <v>---</v>
      </c>
      <c r="P158" s="730" t="str">
        <f>IF(E158="",F158,IF($F158&lt;(1+(Data!$D$27/100))*$E158,(1+(Data!$D$27/100))*$E158,$F158))</f>
        <v>NA</v>
      </c>
      <c r="Q158" s="343" t="str">
        <f>IF(Start!$C$15="x",(IF(C158="","",(IF(O158="NA","NA",IF(P158="NA","NA",IF(P158=0,"NA",(O158/P158))))))),"Not Req.")</f>
        <v>Not Req.</v>
      </c>
      <c r="R158" s="163"/>
      <c r="S158" s="18"/>
      <c r="T158" s="18"/>
      <c r="U158" s="163"/>
      <c r="V158" s="163"/>
      <c r="W158" s="18"/>
      <c r="X158" s="163"/>
      <c r="Y158" s="163"/>
      <c r="Z158" s="18"/>
    </row>
    <row r="159" spans="1:26" s="10" customFormat="1" x14ac:dyDescent="0.25">
      <c r="A159" s="405" t="s">
        <v>672</v>
      </c>
      <c r="B159" s="371" t="str">
        <f>IF(Start!$C$15="x",IF(C159="NA","NA",(IF(C159="","",(IF(OR(F159="NA",F159=""),"No Criteria",(IF(AND(O159="NA",F159&lt;&gt;"NA",C159&lt;&gt;"NA"),                  "Missing Data",(IF(O159&lt;F159,"No",(IF(D159&gt;F159,"Caution",(IF(O159&gt;=F159,"Needed","No"))))))))))))),"---")</f>
        <v>---</v>
      </c>
      <c r="C159" s="372" t="str">
        <f>IF(TRUE=ISBLANK(ChemData!B159),"",(ChemData!B159))</f>
        <v/>
      </c>
      <c r="D159" s="373" t="str">
        <f>IF(TRUE=ISBLANK(ChemData!C159),"",(ChemData!C159))</f>
        <v/>
      </c>
      <c r="E159" s="374" t="str">
        <f>IF(TRUE=ISBLANK(ChemData!D159),"",(ChemData!D159))</f>
        <v/>
      </c>
      <c r="F159" s="289" t="str">
        <f>IF(TRUE=ISBLANK(ChemData!H159),"",(ChemData!H159))</f>
        <v>NA</v>
      </c>
      <c r="G159" s="290">
        <f>IF(TRUE=ISBLANK(ChemData!Q159),"",(ChemData!Q159))</f>
        <v>1.688132063647789</v>
      </c>
      <c r="H159" s="291">
        <f>IF(TRUE=ISBLANK(ChemData!S159),"",(ChemData!S159))</f>
        <v>1</v>
      </c>
      <c r="I159" s="375" t="str">
        <f>IF(Start!$C$15="x",(IF(OR(C159="NA",C159=""), "NA", (IF($H159 = "NA", "NA", ((C159*$H159)))))),"---")</f>
        <v>---</v>
      </c>
      <c r="J159" s="376" t="str">
        <f>IF(Start!$C$15="x",(IF(I159 = "NA", "NA", IF(OR(D159="NA",D159=""),"NA",(I159 +((Data!$D$19-Data!$D$22)/(Data!$D$19*Data!$D$22)*$D159))))),"---")</f>
        <v>---</v>
      </c>
      <c r="K159" s="376" t="str">
        <f>IF(Start!$C$15="x",(IF(J159="NA","NA",IF(OR(G159="NA",G159=""),"NA",(J159*(1-Data!$D$23)*Data!$D$14*1000)/(Data!$D$23+((1-Data!$D$23)*Data!$D$14*$G159))))),"---")</f>
        <v>---</v>
      </c>
      <c r="L159" s="376" t="str">
        <f>IF(Start!$C$15="x",(IF(I159="NA","NA",IF($G159 = "NA", "NA",(IF(OR(ChemData!U159="NA",ChemData!U159=""),I159/((Data!$D$18+((1-Data!$D$18)*Data!$D$14*$G159))/((1-Data!$D$18)*Data!$D$14*1000)),(IF(I159/((Data!$D$18+((1-Data!$D$18)*Data!$D$14*$G159))/((1-Data!$D$18)*Data!$D$14*1000))&gt;ChemData!U159, ChemData!U159, I159/((Data!$D$18+((1-Data!$D$18)*Data!$D$14*$G159))/((1-Data!$D$18)*Data!$D$14*1000))))))))),"---")</f>
        <v>---</v>
      </c>
      <c r="M159" s="376" t="str">
        <f>IF(Start!$C$15="x",(IF(L159="NA","NA",IF(OR(D159="NA",D159=""),"NA",(((Data!$D$22*Data!$D$18)*L159)+(Data!$D$19-Data!$D$22)*$D159)/((Data!$D$22*Data!$D$18)+Data!$D$19-Data!$D$22)))),"---")</f>
        <v>---</v>
      </c>
      <c r="N159" s="376" t="str">
        <f>IF(Start!$C$15="x",IF(K159 = "NA", "NA", (IF(M159 = "NA", "NA",(IF(OR(ChemData!U159="NA",ChemData!U159=""),(IF(K159&gt;M159,K159,M159)),(IF(K159&gt;M159,(IF(K159&gt;ChemData!U159, ChemData!U159, K159)),(IF(M159&gt;ChemData!U159,ChemData!U159,M159))))))))),"---")</f>
        <v>---</v>
      </c>
      <c r="O159" s="377" t="str">
        <f>IF(Start!$C$15="x",IF(N159 = "NA","NA", IF(OR(E159="NA",E159=""),"NA",(N159+(Data!$D$26*$E159))/(Data!$D$26+1))),"---")</f>
        <v>---</v>
      </c>
      <c r="P159" s="730" t="str">
        <f>IF(E159="",F159,IF($F159&lt;(1+(Data!$D$27/100))*$E159,(1+(Data!$D$27/100))*$E159,$F159))</f>
        <v>NA</v>
      </c>
      <c r="Q159" s="343" t="str">
        <f>IF(Start!$C$15="x",(IF(C159="","",(IF(O159="NA","NA",IF(P159="NA","NA",IF(P159=0,"NA",(O159/P159))))))),"Not Req.")</f>
        <v>Not Req.</v>
      </c>
      <c r="R159" s="163"/>
      <c r="S159" s="18"/>
      <c r="T159" s="18"/>
      <c r="U159" s="163"/>
      <c r="V159" s="163"/>
      <c r="W159" s="18"/>
      <c r="X159" s="163"/>
      <c r="Y159" s="163"/>
      <c r="Z159" s="18"/>
    </row>
    <row r="160" spans="1:26" s="10" customFormat="1" x14ac:dyDescent="0.25">
      <c r="A160" s="405" t="s">
        <v>673</v>
      </c>
      <c r="B160" s="371" t="str">
        <f>IF(Start!$C$15="x",IF(C160="NA","NA",(IF(C160="","",(IF(OR(F160="NA",F160=""),"No Criteria",(IF(AND(O160="NA",F160&lt;&gt;"NA",C160&lt;&gt;"NA"),                  "Missing Data",(IF(O160&lt;F160,"No",(IF(D160&gt;F160,"Caution",(IF(O160&gt;=F160,"Needed","No"))))))))))))),"---")</f>
        <v>---</v>
      </c>
      <c r="C160" s="372" t="str">
        <f>IF(TRUE=ISBLANK(ChemData!B160),"",(ChemData!B160))</f>
        <v/>
      </c>
      <c r="D160" s="373" t="str">
        <f>IF(TRUE=ISBLANK(ChemData!C160),"",(ChemData!C160))</f>
        <v/>
      </c>
      <c r="E160" s="374" t="str">
        <f>IF(TRUE=ISBLANK(ChemData!D160),"",(ChemData!D160))</f>
        <v/>
      </c>
      <c r="F160" s="289" t="str">
        <f>IF(TRUE=ISBLANK(ChemData!H160),"",(ChemData!H160))</f>
        <v>NA</v>
      </c>
      <c r="G160" s="290">
        <f>IF(TRUE=ISBLANK(ChemData!Q160),"",(ChemData!Q160))</f>
        <v>2.6755090156507135</v>
      </c>
      <c r="H160" s="291">
        <f>IF(TRUE=ISBLANK(ChemData!S160),"",(ChemData!S160))</f>
        <v>1</v>
      </c>
      <c r="I160" s="375" t="str">
        <f>IF(Start!$C$15="x",(IF(OR(C160="NA",C160=""), "NA", (IF($H160 = "NA", "NA", ((C160*$H160)))))),"---")</f>
        <v>---</v>
      </c>
      <c r="J160" s="376" t="str">
        <f>IF(Start!$C$15="x",(IF(I160 = "NA", "NA", IF(OR(D160="NA",D160=""),"NA",(I160 +((Data!$D$19-Data!$D$22)/(Data!$D$19*Data!$D$22)*$D160))))),"---")</f>
        <v>---</v>
      </c>
      <c r="K160" s="376" t="str">
        <f>IF(Start!$C$15="x",(IF(J160="NA","NA",IF(OR(G160="NA",G160=""),"NA",(J160*(1-Data!$D$23)*Data!$D$14*1000)/(Data!$D$23+((1-Data!$D$23)*Data!$D$14*$G160))))),"---")</f>
        <v>---</v>
      </c>
      <c r="L160" s="376" t="str">
        <f>IF(Start!$C$15="x",(IF(I160="NA","NA",IF($G160 = "NA", "NA",(IF(OR(ChemData!U160="NA",ChemData!U160=""),I160/((Data!$D$18+((1-Data!$D$18)*Data!$D$14*$G160))/((1-Data!$D$18)*Data!$D$14*1000)),(IF(I160/((Data!$D$18+((1-Data!$D$18)*Data!$D$14*$G160))/((1-Data!$D$18)*Data!$D$14*1000))&gt;ChemData!U160, ChemData!U160, I160/((Data!$D$18+((1-Data!$D$18)*Data!$D$14*$G160))/((1-Data!$D$18)*Data!$D$14*1000))))))))),"---")</f>
        <v>---</v>
      </c>
      <c r="M160" s="376" t="str">
        <f>IF(Start!$C$15="x",(IF(L160="NA","NA",IF(OR(D160="NA",D160=""),"NA",(((Data!$D$22*Data!$D$18)*L160)+(Data!$D$19-Data!$D$22)*$D160)/((Data!$D$22*Data!$D$18)+Data!$D$19-Data!$D$22)))),"---")</f>
        <v>---</v>
      </c>
      <c r="N160" s="376" t="str">
        <f>IF(Start!$C$15="x",IF(K160 = "NA", "NA", (IF(M160 = "NA", "NA",(IF(OR(ChemData!U160="NA",ChemData!U160=""),(IF(K160&gt;M160,K160,M160)),(IF(K160&gt;M160,(IF(K160&gt;ChemData!U160, ChemData!U160, K160)),(IF(M160&gt;ChemData!U160,ChemData!U160,M160))))))))),"---")</f>
        <v>---</v>
      </c>
      <c r="O160" s="377" t="str">
        <f>IF(Start!$C$15="x",IF(N160 = "NA","NA", IF(OR(E160="NA",E160=""),"NA",(N160+(Data!$D$26*$E160))/(Data!$D$26+1))),"---")</f>
        <v>---</v>
      </c>
      <c r="P160" s="730" t="str">
        <f>IF(E160="",F160,IF($F160&lt;(1+(Data!$D$27/100))*$E160,(1+(Data!$D$27/100))*$E160,$F160))</f>
        <v>NA</v>
      </c>
      <c r="Q160" s="343" t="str">
        <f>IF(Start!$C$15="x",(IF(C160="","",(IF(O160="NA","NA",IF(P160="NA","NA",IF(P160=0,"NA",(O160/P160))))))),"Not Req.")</f>
        <v>Not Req.</v>
      </c>
      <c r="R160" s="163"/>
      <c r="S160" s="18"/>
      <c r="T160" s="18"/>
      <c r="U160" s="163"/>
      <c r="V160" s="163"/>
      <c r="W160" s="18"/>
      <c r="X160" s="163"/>
      <c r="Y160" s="163"/>
      <c r="Z160" s="18"/>
    </row>
    <row r="161" spans="1:26" s="10" customFormat="1" x14ac:dyDescent="0.25">
      <c r="A161" s="405" t="s">
        <v>479</v>
      </c>
      <c r="B161" s="371" t="str">
        <f>IF(Start!$C$15="x",IF(C161="NA","NA",(IF(C161="","",(IF(OR(F161="NA",F161=""),"No Criteria",(IF(AND(O161="NA",F161&lt;&gt;"NA",C161&lt;&gt;"NA"),                  "Missing Data",(IF(O161&lt;F161,"No",(IF(D161&gt;F161,"Caution",(IF(O161&gt;=F161,"Needed","No"))))))))))))),"---")</f>
        <v>---</v>
      </c>
      <c r="C161" s="372" t="str">
        <f>IF(TRUE=ISBLANK(ChemData!B161),"",(ChemData!B161))</f>
        <v/>
      </c>
      <c r="D161" s="373" t="str">
        <f>IF(TRUE=ISBLANK(ChemData!C161),"",(ChemData!C161))</f>
        <v/>
      </c>
      <c r="E161" s="374" t="str">
        <f>IF(TRUE=ISBLANK(ChemData!D161),"",(ChemData!D161))</f>
        <v/>
      </c>
      <c r="F161" s="289">
        <f>IF(TRUE=ISBLANK(ChemData!H161),"",(ChemData!H161))</f>
        <v>830</v>
      </c>
      <c r="G161" s="290">
        <f>IF(TRUE=ISBLANK(ChemData!Q161),"",(ChemData!Q161))</f>
        <v>1.1413173484456043</v>
      </c>
      <c r="H161" s="291">
        <f>IF(TRUE=ISBLANK(ChemData!S161),"",(ChemData!S161))</f>
        <v>1</v>
      </c>
      <c r="I161" s="375" t="str">
        <f>IF(Start!$C$15="x",(IF(OR(C161="NA",C161=""), "NA", (IF($H161 = "NA", "NA", ((C161*$H161)))))),"---")</f>
        <v>---</v>
      </c>
      <c r="J161" s="376" t="str">
        <f>IF(Start!$C$15="x",(IF(I161 = "NA", "NA", IF(OR(D161="NA",D161=""),"NA",(I161 +((Data!$D$19-Data!$D$22)/(Data!$D$19*Data!$D$22)*$D161))))),"---")</f>
        <v>---</v>
      </c>
      <c r="K161" s="376" t="str">
        <f>IF(Start!$C$15="x",(IF(J161="NA","NA",IF(OR(G161="NA",G161=""),"NA",(J161*(1-Data!$D$23)*Data!$D$14*1000)/(Data!$D$23+((1-Data!$D$23)*Data!$D$14*$G161))))),"---")</f>
        <v>---</v>
      </c>
      <c r="L161" s="376" t="str">
        <f>IF(Start!$C$15="x",(IF(I161="NA","NA",IF($G161 = "NA", "NA",(IF(OR(ChemData!U161="NA",ChemData!U161=""),I161/((Data!$D$18+((1-Data!$D$18)*Data!$D$14*$G161))/((1-Data!$D$18)*Data!$D$14*1000)),(IF(I161/((Data!$D$18+((1-Data!$D$18)*Data!$D$14*$G161))/((1-Data!$D$18)*Data!$D$14*1000))&gt;ChemData!U161, ChemData!U161, I161/((Data!$D$18+((1-Data!$D$18)*Data!$D$14*$G161))/((1-Data!$D$18)*Data!$D$14*1000))))))))),"---")</f>
        <v>---</v>
      </c>
      <c r="M161" s="376" t="str">
        <f>IF(Start!$C$15="x",(IF(L161="NA","NA",IF(OR(D161="NA",D161=""),"NA",(((Data!$D$22*Data!$D$18)*L161)+(Data!$D$19-Data!$D$22)*$D161)/((Data!$D$22*Data!$D$18)+Data!$D$19-Data!$D$22)))),"---")</f>
        <v>---</v>
      </c>
      <c r="N161" s="376" t="str">
        <f>IF(Start!$C$15="x",IF(K161 = "NA", "NA", (IF(M161 = "NA", "NA",(IF(OR(ChemData!U161="NA",ChemData!U161=""),(IF(K161&gt;M161,K161,M161)),(IF(K161&gt;M161,(IF(K161&gt;ChemData!U161, ChemData!U161, K161)),(IF(M161&gt;ChemData!U161,ChemData!U161,M161))))))))),"---")</f>
        <v>---</v>
      </c>
      <c r="O161" s="377" t="str">
        <f>IF(Start!$C$15="x",IF(N161 = "NA","NA", IF(OR(E161="NA",E161=""),"NA",(N161+(Data!$D$26*$E161))/(Data!$D$26+1))),"---")</f>
        <v>---</v>
      </c>
      <c r="P161" s="730">
        <f>IF(E161="",F161,IF($F161&lt;(1+(Data!$D$27/100))*$E161,(1+(Data!$D$27/100))*$E161,$F161))</f>
        <v>830</v>
      </c>
      <c r="Q161" s="343" t="str">
        <f>IF(Start!$C$15="x",(IF(C161="","",(IF(O161="NA","NA",IF(P161="NA","NA",IF(P161=0,"NA",(O161/P161))))))),"Not Req.")</f>
        <v>Not Req.</v>
      </c>
      <c r="R161" s="163"/>
      <c r="S161" s="18"/>
      <c r="T161" s="18"/>
      <c r="U161" s="163"/>
      <c r="V161" s="163"/>
      <c r="W161" s="18"/>
      <c r="X161" s="163"/>
      <c r="Y161" s="163"/>
      <c r="Z161" s="18"/>
    </row>
    <row r="162" spans="1:26" s="10" customFormat="1" x14ac:dyDescent="0.25">
      <c r="A162" s="405" t="s">
        <v>480</v>
      </c>
      <c r="B162" s="371" t="str">
        <f>IF(Start!$C$15="x",IF(C162="NA","NA",(IF(C162="","",(IF(OR(F162="NA",F162=""),"No Criteria",(IF(AND(O162="NA",F162&lt;&gt;"NA",C162&lt;&gt;"NA"),                  "Missing Data",(IF(O162&lt;F162,"No",(IF(D162&gt;F162,"Caution",(IF(O162&gt;=F162,"Needed","No"))))))))))))),"---")</f>
        <v>---</v>
      </c>
      <c r="C162" s="372" t="str">
        <f>IF(TRUE=ISBLANK(ChemData!B162),"",(ChemData!B162))</f>
        <v/>
      </c>
      <c r="D162" s="373" t="str">
        <f>IF(TRUE=ISBLANK(ChemData!C162),"",(ChemData!C162))</f>
        <v/>
      </c>
      <c r="E162" s="374" t="str">
        <f>IF(TRUE=ISBLANK(ChemData!D162),"",(ChemData!D162))</f>
        <v/>
      </c>
      <c r="F162" s="289">
        <f>IF(TRUE=ISBLANK(ChemData!H162),"",(ChemData!H162))</f>
        <v>8800</v>
      </c>
      <c r="G162" s="290">
        <f>IF(TRUE=ISBLANK(ChemData!Q162),"",(ChemData!Q162))</f>
        <v>0.5589930634464132</v>
      </c>
      <c r="H162" s="291">
        <f>IF(TRUE=ISBLANK(ChemData!S162),"",(ChemData!S162))</f>
        <v>1</v>
      </c>
      <c r="I162" s="375" t="str">
        <f>IF(Start!$C$15="x",(IF(OR(C162="NA",C162=""), "NA", (IF($H162 = "NA", "NA", ((C162*$H162)))))),"---")</f>
        <v>---</v>
      </c>
      <c r="J162" s="376" t="str">
        <f>IF(Start!$C$15="x",(IF(I162 = "NA", "NA", IF(OR(D162="NA",D162=""),"NA",(I162 +((Data!$D$19-Data!$D$22)/(Data!$D$19*Data!$D$22)*$D162))))),"---")</f>
        <v>---</v>
      </c>
      <c r="K162" s="376" t="str">
        <f>IF(Start!$C$15="x",(IF(J162="NA","NA",IF(OR(G162="NA",G162=""),"NA",(J162*(1-Data!$D$23)*Data!$D$14*1000)/(Data!$D$23+((1-Data!$D$23)*Data!$D$14*$G162))))),"---")</f>
        <v>---</v>
      </c>
      <c r="L162" s="376" t="str">
        <f>IF(Start!$C$15="x",(IF(I162="NA","NA",IF($G162 = "NA", "NA",(IF(OR(ChemData!U162="NA",ChemData!U162=""),I162/((Data!$D$18+((1-Data!$D$18)*Data!$D$14*$G162))/((1-Data!$D$18)*Data!$D$14*1000)),(IF(I162/((Data!$D$18+((1-Data!$D$18)*Data!$D$14*$G162))/((1-Data!$D$18)*Data!$D$14*1000))&gt;ChemData!U162, ChemData!U162, I162/((Data!$D$18+((1-Data!$D$18)*Data!$D$14*$G162))/((1-Data!$D$18)*Data!$D$14*1000))))))))),"---")</f>
        <v>---</v>
      </c>
      <c r="M162" s="376" t="str">
        <f>IF(Start!$C$15="x",(IF(L162="NA","NA",IF(OR(D162="NA",D162=""),"NA",(((Data!$D$22*Data!$D$18)*L162)+(Data!$D$19-Data!$D$22)*$D162)/((Data!$D$22*Data!$D$18)+Data!$D$19-Data!$D$22)))),"---")</f>
        <v>---</v>
      </c>
      <c r="N162" s="376" t="str">
        <f>IF(Start!$C$15="x",IF(K162 = "NA", "NA", (IF(M162 = "NA", "NA",(IF(OR(ChemData!U162="NA",ChemData!U162=""),(IF(K162&gt;M162,K162,M162)),(IF(K162&gt;M162,(IF(K162&gt;ChemData!U162, ChemData!U162, K162)),(IF(M162&gt;ChemData!U162,ChemData!U162,M162))))))))),"---")</f>
        <v>---</v>
      </c>
      <c r="O162" s="377" t="str">
        <f>IF(Start!$C$15="x",IF(N162 = "NA","NA", IF(OR(E162="NA",E162=""),"NA",(N162+(Data!$D$26*$E162))/(Data!$D$26+1))),"---")</f>
        <v>---</v>
      </c>
      <c r="P162" s="730">
        <f>IF(E162="",F162,IF($F162&lt;(1+(Data!$D$27/100))*$E162,(1+(Data!$D$27/100))*$E162,$F162))</f>
        <v>8800</v>
      </c>
      <c r="Q162" s="343" t="str">
        <f>IF(Start!$C$15="x",(IF(C162="","",(IF(O162="NA","NA",IF(P162="NA","NA",IF(P162=0,"NA",(O162/P162))))))),"Not Req.")</f>
        <v>Not Req.</v>
      </c>
      <c r="R162" s="163"/>
      <c r="S162" s="18"/>
      <c r="T162" s="18"/>
      <c r="U162" s="163"/>
      <c r="V162" s="163"/>
      <c r="W162" s="18"/>
      <c r="X162" s="163"/>
      <c r="Y162" s="163"/>
      <c r="Z162" s="18"/>
    </row>
    <row r="163" spans="1:26" s="10" customFormat="1" x14ac:dyDescent="0.25">
      <c r="A163" s="308" t="s">
        <v>481</v>
      </c>
      <c r="B163" s="371" t="str">
        <f>IF(Start!$C$15="x",IF(C163="NA","NA",(IF(C163="","",(IF(OR(F163="NA",F163=""),"No Criteria",(IF(AND(O163="NA",F163&lt;&gt;"NA",C163&lt;&gt;"NA"),                  "Missing Data",(IF(O163&lt;F163,"No",(IF(D163&gt;F163,"Caution",(IF(O163&gt;=F163,"Needed","No"))))))))))))),"---")</f>
        <v>---</v>
      </c>
      <c r="C163" s="372" t="str">
        <f>IF(TRUE=ISBLANK(ChemData!B163),"",(ChemData!B163))</f>
        <v/>
      </c>
      <c r="D163" s="373" t="str">
        <f>IF(TRUE=ISBLANK(ChemData!C163),"",(ChemData!C163))</f>
        <v/>
      </c>
      <c r="E163" s="374" t="str">
        <f>IF(TRUE=ISBLANK(ChemData!D163),"",(ChemData!D163))</f>
        <v/>
      </c>
      <c r="F163" s="289">
        <f>IF(TRUE=ISBLANK(ChemData!H163),"",(ChemData!H163))</f>
        <v>450</v>
      </c>
      <c r="G163" s="290">
        <f>IF(TRUE=ISBLANK(ChemData!Q163),"",(ChemData!Q163))</f>
        <v>2.4969302956771511</v>
      </c>
      <c r="H163" s="291">
        <f>IF(TRUE=ISBLANK(ChemData!S163),"",(ChemData!S163))</f>
        <v>1</v>
      </c>
      <c r="I163" s="375" t="str">
        <f>IF(Start!$C$15="x",(IF(OR(C163="NA",C163=""), "NA", (IF($H163 = "NA", "NA", ((C163*$H163)))))),"---")</f>
        <v>---</v>
      </c>
      <c r="J163" s="376" t="str">
        <f>IF(Start!$C$15="x",(IF(I163 = "NA", "NA", IF(OR(D163="NA",D163=""),"NA",(I163 +((Data!$D$19-Data!$D$22)/(Data!$D$19*Data!$D$22)*$D163))))),"---")</f>
        <v>---</v>
      </c>
      <c r="K163" s="376" t="str">
        <f>IF(Start!$C$15="x",(IF(J163="NA","NA",IF(OR(G163="NA",G163=""),"NA",(J163*(1-Data!$D$23)*Data!$D$14*1000)/(Data!$D$23+((1-Data!$D$23)*Data!$D$14*$G163))))),"---")</f>
        <v>---</v>
      </c>
      <c r="L163" s="376" t="str">
        <f>IF(Start!$C$15="x",(IF(I163="NA","NA",IF($G163 = "NA", "NA",(IF(OR(ChemData!U163="NA",ChemData!U163=""),I163/((Data!$D$18+((1-Data!$D$18)*Data!$D$14*$G163))/((1-Data!$D$18)*Data!$D$14*1000)),(IF(I163/((Data!$D$18+((1-Data!$D$18)*Data!$D$14*$G163))/((1-Data!$D$18)*Data!$D$14*1000))&gt;ChemData!U163, ChemData!U163, I163/((Data!$D$18+((1-Data!$D$18)*Data!$D$14*$G163))/((1-Data!$D$18)*Data!$D$14*1000))))))))),"---")</f>
        <v>---</v>
      </c>
      <c r="M163" s="376" t="str">
        <f>IF(Start!$C$15="x",(IF(L163="NA","NA",IF(OR(D163="NA",D163=""),"NA",(((Data!$D$22*Data!$D$18)*L163)+(Data!$D$19-Data!$D$22)*$D163)/((Data!$D$22*Data!$D$18)+Data!$D$19-Data!$D$22)))),"---")</f>
        <v>---</v>
      </c>
      <c r="N163" s="376" t="str">
        <f>IF(Start!$C$15="x",IF(K163 = "NA", "NA", (IF(M163 = "NA", "NA",(IF(OR(ChemData!U163="NA",ChemData!U163=""),(IF(K163&gt;M163,K163,M163)),(IF(K163&gt;M163,(IF(K163&gt;ChemData!U163, ChemData!U163, K163)),(IF(M163&gt;ChemData!U163,ChemData!U163,M163))))))))),"---")</f>
        <v>---</v>
      </c>
      <c r="O163" s="377" t="str">
        <f>IF(Start!$C$15="x",IF(N163 = "NA","NA", IF(OR(E163="NA",E163=""),"NA",(N163+(Data!$D$26*$E163))/(Data!$D$26+1))),"---")</f>
        <v>---</v>
      </c>
      <c r="P163" s="730">
        <f>IF(E163="",F163,IF($F163&lt;(1+(Data!$D$27/100))*$E163,(1+(Data!$D$27/100))*$E163,$F163))</f>
        <v>450</v>
      </c>
      <c r="Q163" s="343" t="str">
        <f>IF(Start!$C$15="x",(IF(C163="","",(IF(O163="NA","NA",IF(P163="NA","NA",IF(P163=0,"NA",(O163/P163))))))),"Not Req.")</f>
        <v>Not Req.</v>
      </c>
      <c r="R163" s="163"/>
      <c r="S163" s="18"/>
      <c r="T163" s="18"/>
      <c r="U163" s="163"/>
      <c r="V163" s="163"/>
      <c r="W163" s="18"/>
      <c r="X163" s="163"/>
      <c r="Y163" s="163"/>
      <c r="Z163" s="18"/>
    </row>
    <row r="164" spans="1:26" s="10" customFormat="1" x14ac:dyDescent="0.25">
      <c r="A164" s="405" t="s">
        <v>482</v>
      </c>
      <c r="B164" s="371" t="str">
        <f>IF(Start!$C$15="x",IF(C164="NA","NA",(IF(C164="","",(IF(OR(F164="NA",F164=""),"No Criteria",(IF(AND(O164="NA",F164&lt;&gt;"NA",C164&lt;&gt;"NA"),                  "Missing Data",(IF(O164&lt;F164,"No",(IF(D164&gt;F164,"Caution",(IF(O164&gt;=F164,"Needed","No"))))))))))))),"---")</f>
        <v>---</v>
      </c>
      <c r="C164" s="372" t="str">
        <f>IF(TRUE=ISBLANK(ChemData!B164),"",(ChemData!B164))</f>
        <v/>
      </c>
      <c r="D164" s="373" t="str">
        <f>IF(TRUE=ISBLANK(ChemData!C164),"",(ChemData!C164))</f>
        <v/>
      </c>
      <c r="E164" s="374" t="str">
        <f>IF(TRUE=ISBLANK(ChemData!D164),"",(ChemData!D164))</f>
        <v/>
      </c>
      <c r="F164" s="289">
        <f>IF(TRUE=ISBLANK(ChemData!H164),"",(ChemData!H164))</f>
        <v>1100</v>
      </c>
      <c r="G164" s="290">
        <f>IF(TRUE=ISBLANK(ChemData!Q164),"",(ChemData!Q164))</f>
        <v>1.3409309620988077</v>
      </c>
      <c r="H164" s="291">
        <f>IF(TRUE=ISBLANK(ChemData!S164),"",(ChemData!S164))</f>
        <v>1</v>
      </c>
      <c r="I164" s="375" t="str">
        <f>IF(Start!$C$15="x",(IF(OR(C164="NA",C164=""), "NA", (IF($H164 = "NA", "NA", ((C164*$H164)))))),"---")</f>
        <v>---</v>
      </c>
      <c r="J164" s="376" t="str">
        <f>IF(Start!$C$15="x",(IF(I164 = "NA", "NA", IF(OR(D164="NA",D164=""),"NA",(I164 +((Data!$D$19-Data!$D$22)/(Data!$D$19*Data!$D$22)*$D164))))),"---")</f>
        <v>---</v>
      </c>
      <c r="K164" s="376" t="str">
        <f>IF(Start!$C$15="x",(IF(J164="NA","NA",IF(OR(G164="NA",G164=""),"NA",(J164*(1-Data!$D$23)*Data!$D$14*1000)/(Data!$D$23+((1-Data!$D$23)*Data!$D$14*$G164))))),"---")</f>
        <v>---</v>
      </c>
      <c r="L164" s="376" t="str">
        <f>IF(Start!$C$15="x",(IF(I164="NA","NA",IF($G164 = "NA", "NA",(IF(OR(ChemData!U164="NA",ChemData!U164=""),I164/((Data!$D$18+((1-Data!$D$18)*Data!$D$14*$G164))/((1-Data!$D$18)*Data!$D$14*1000)),(IF(I164/((Data!$D$18+((1-Data!$D$18)*Data!$D$14*$G164))/((1-Data!$D$18)*Data!$D$14*1000))&gt;ChemData!U164, ChemData!U164, I164/((Data!$D$18+((1-Data!$D$18)*Data!$D$14*$G164))/((1-Data!$D$18)*Data!$D$14*1000))))))))),"---")</f>
        <v>---</v>
      </c>
      <c r="M164" s="376" t="str">
        <f>IF(Start!$C$15="x",(IF(L164="NA","NA",IF(OR(D164="NA",D164=""),"NA",(((Data!$D$22*Data!$D$18)*L164)+(Data!$D$19-Data!$D$22)*$D164)/((Data!$D$22*Data!$D$18)+Data!$D$19-Data!$D$22)))),"---")</f>
        <v>---</v>
      </c>
      <c r="N164" s="376" t="str">
        <f>IF(Start!$C$15="x",IF(K164 = "NA", "NA", (IF(M164 = "NA", "NA",(IF(OR(ChemData!U164="NA",ChemData!U164=""),(IF(K164&gt;M164,K164,M164)),(IF(K164&gt;M164,(IF(K164&gt;ChemData!U164, ChemData!U164, K164)),(IF(M164&gt;ChemData!U164,ChemData!U164,M164))))))))),"---")</f>
        <v>---</v>
      </c>
      <c r="O164" s="377" t="str">
        <f>IF(Start!$C$15="x",IF(N164 = "NA","NA", IF(OR(E164="NA",E164=""),"NA",(N164+(Data!$D$26*$E164))/(Data!$D$26+1))),"---")</f>
        <v>---</v>
      </c>
      <c r="P164" s="730">
        <f>IF(E164="",F164,IF($F164&lt;(1+(Data!$D$27/100))*$E164,(1+(Data!$D$27/100))*$E164,$F164))</f>
        <v>1100</v>
      </c>
      <c r="Q164" s="343" t="str">
        <f>IF(Start!$C$15="x",(IF(C164="","",(IF(O164="NA","NA",IF(P164="NA","NA",IF(P164=0,"NA",(O164/P164))))))),"Not Req.")</f>
        <v>Not Req.</v>
      </c>
      <c r="R164" s="163"/>
      <c r="S164" s="18"/>
      <c r="T164" s="18"/>
      <c r="U164" s="163"/>
      <c r="V164" s="163"/>
      <c r="W164" s="18"/>
      <c r="X164" s="163"/>
      <c r="Y164" s="163"/>
      <c r="Z164" s="18"/>
    </row>
    <row r="165" spans="1:26" s="10" customFormat="1" x14ac:dyDescent="0.25">
      <c r="A165" s="405" t="s">
        <v>483</v>
      </c>
      <c r="B165" s="371" t="str">
        <f>IF(Start!$C$15="x",IF(C165="NA","NA",(IF(C165="","",(IF(OR(F165="NA",F165=""),"No Criteria",(IF(AND(O165="NA",F165&lt;&gt;"NA",C165&lt;&gt;"NA"),                  "Missing Data",(IF(O165&lt;F165,"No",(IF(D165&gt;F165,"Caution",(IF(O165&gt;=F165,"Needed","No"))))))))))))),"---")</f>
        <v>---</v>
      </c>
      <c r="C165" s="372" t="str">
        <f>IF(TRUE=ISBLANK(ChemData!B165),"",(ChemData!B165))</f>
        <v/>
      </c>
      <c r="D165" s="373" t="str">
        <f>IF(TRUE=ISBLANK(ChemData!C165),"",(ChemData!C165))</f>
        <v/>
      </c>
      <c r="E165" s="374" t="str">
        <f>IF(TRUE=ISBLANK(ChemData!D165),"",(ChemData!D165))</f>
        <v/>
      </c>
      <c r="F165" s="289">
        <f>IF(TRUE=ISBLANK(ChemData!H165),"",(ChemData!H165))</f>
        <v>1100</v>
      </c>
      <c r="G165" s="290">
        <f>IF(TRUE=ISBLANK(ChemData!Q165),"",(ChemData!Q165))</f>
        <v>1.5754565087125991</v>
      </c>
      <c r="H165" s="291">
        <f>IF(TRUE=ISBLANK(ChemData!S165),"",(ChemData!S165))</f>
        <v>1</v>
      </c>
      <c r="I165" s="375" t="str">
        <f>IF(Start!$C$15="x",(IF(OR(C165="NA",C165=""), "NA", (IF($H165 = "NA", "NA", ((C165*$H165)))))),"---")</f>
        <v>---</v>
      </c>
      <c r="J165" s="376" t="str">
        <f>IF(Start!$C$15="x",(IF(I165 = "NA", "NA", IF(OR(D165="NA",D165=""),"NA",(I165 +((Data!$D$19-Data!$D$22)/(Data!$D$19*Data!$D$22)*$D165))))),"---")</f>
        <v>---</v>
      </c>
      <c r="K165" s="376" t="str">
        <f>IF(Start!$C$15="x",(IF(J165="NA","NA",IF(OR(G165="NA",G165=""),"NA",(J165*(1-Data!$D$23)*Data!$D$14*1000)/(Data!$D$23+((1-Data!$D$23)*Data!$D$14*$G165))))),"---")</f>
        <v>---</v>
      </c>
      <c r="L165" s="376" t="str">
        <f>IF(Start!$C$15="x",(IF(I165="NA","NA",IF($G165 = "NA", "NA",(IF(OR(ChemData!U165="NA",ChemData!U165=""),I165/((Data!$D$18+((1-Data!$D$18)*Data!$D$14*$G165))/((1-Data!$D$18)*Data!$D$14*1000)),(IF(I165/((Data!$D$18+((1-Data!$D$18)*Data!$D$14*$G165))/((1-Data!$D$18)*Data!$D$14*1000))&gt;ChemData!U165, ChemData!U165, I165/((Data!$D$18+((1-Data!$D$18)*Data!$D$14*$G165))/((1-Data!$D$18)*Data!$D$14*1000))))))))),"---")</f>
        <v>---</v>
      </c>
      <c r="M165" s="376" t="str">
        <f>IF(Start!$C$15="x",(IF(L165="NA","NA",IF(OR(D165="NA",D165=""),"NA",(((Data!$D$22*Data!$D$18)*L165)+(Data!$D$19-Data!$D$22)*$D165)/((Data!$D$22*Data!$D$18)+Data!$D$19-Data!$D$22)))),"---")</f>
        <v>---</v>
      </c>
      <c r="N165" s="376" t="str">
        <f>IF(Start!$C$15="x",IF(K165 = "NA", "NA", (IF(M165 = "NA", "NA",(IF(OR(ChemData!U165="NA",ChemData!U165=""),(IF(K165&gt;M165,K165,M165)),(IF(K165&gt;M165,(IF(K165&gt;ChemData!U165, ChemData!U165, K165)),(IF(M165&gt;ChemData!U165,ChemData!U165,M165))))))))),"---")</f>
        <v>---</v>
      </c>
      <c r="O165" s="377" t="str">
        <f>IF(Start!$C$15="x",IF(N165 = "NA","NA", IF(OR(E165="NA",E165=""),"NA",(N165+(Data!$D$26*$E165))/(Data!$D$26+1))),"---")</f>
        <v>---</v>
      </c>
      <c r="P165" s="730">
        <f>IF(E165="",F165,IF($F165&lt;(1+(Data!$D$27/100))*$E165,(1+(Data!$D$27/100))*$E165,$F165))</f>
        <v>1100</v>
      </c>
      <c r="Q165" s="343" t="str">
        <f>IF(Start!$C$15="x",(IF(C165="","",(IF(O165="NA","NA",IF(P165="NA","NA",IF(P165=0,"NA",(O165/P165))))))),"Not Req.")</f>
        <v>Not Req.</v>
      </c>
      <c r="R165" s="163"/>
      <c r="S165" s="18"/>
      <c r="T165" s="18"/>
      <c r="U165" s="163"/>
      <c r="V165" s="163"/>
      <c r="W165" s="18"/>
      <c r="X165" s="163"/>
      <c r="Y165" s="163"/>
      <c r="Z165" s="18"/>
    </row>
    <row r="166" spans="1:26" s="10" customFormat="1" x14ac:dyDescent="0.25">
      <c r="A166" s="405" t="s">
        <v>484</v>
      </c>
      <c r="B166" s="371" t="str">
        <f>IF(Start!$C$15="x",IF(C166="NA","NA",(IF(C166="","",(IF(OR(F166="NA",F166=""),"No Criteria",(IF(AND(O166="NA",F166&lt;&gt;"NA",C166&lt;&gt;"NA"),                  "Missing Data",(IF(O166&lt;F166,"No",(IF(D166&gt;F166,"Caution",(IF(O166&gt;=F166,"Needed","No"))))))))))))),"---")</f>
        <v>---</v>
      </c>
      <c r="C166" s="372" t="str">
        <f>IF(TRUE=ISBLANK(ChemData!B166),"",(ChemData!B166))</f>
        <v/>
      </c>
      <c r="D166" s="373" t="str">
        <f>IF(TRUE=ISBLANK(ChemData!C166),"",(ChemData!C166))</f>
        <v/>
      </c>
      <c r="E166" s="374" t="str">
        <f>IF(TRUE=ISBLANK(ChemData!D166),"",(ChemData!D166))</f>
        <v/>
      </c>
      <c r="F166" s="289" t="str">
        <f>IF(TRUE=ISBLANK(ChemData!H166),"",(ChemData!H166))</f>
        <v>NA</v>
      </c>
      <c r="G166" s="290">
        <f>IF(TRUE=ISBLANK(ChemData!Q166),"",(ChemData!Q166))</f>
        <v>1.9382349424422154</v>
      </c>
      <c r="H166" s="291">
        <f>IF(TRUE=ISBLANK(ChemData!S166),"",(ChemData!S166))</f>
        <v>1</v>
      </c>
      <c r="I166" s="375" t="str">
        <f>IF(Start!$C$15="x",(IF(OR(C166="NA",C166=""), "NA", (IF($H166 = "NA", "NA", ((C166*$H166)))))),"---")</f>
        <v>---</v>
      </c>
      <c r="J166" s="376" t="str">
        <f>IF(Start!$C$15="x",(IF(I166 = "NA", "NA", IF(OR(D166="NA",D166=""),"NA",(I166 +((Data!$D$19-Data!$D$22)/(Data!$D$19*Data!$D$22)*$D166))))),"---")</f>
        <v>---</v>
      </c>
      <c r="K166" s="376" t="str">
        <f>IF(Start!$C$15="x",(IF(J166="NA","NA",IF(OR(G166="NA",G166=""),"NA",(J166*(1-Data!$D$23)*Data!$D$14*1000)/(Data!$D$23+((1-Data!$D$23)*Data!$D$14*$G166))))),"---")</f>
        <v>---</v>
      </c>
      <c r="L166" s="376" t="str">
        <f>IF(Start!$C$15="x",(IF(I166="NA","NA",IF($G166 = "NA", "NA",(IF(OR(ChemData!U166="NA",ChemData!U166=""),I166/((Data!$D$18+((1-Data!$D$18)*Data!$D$14*$G166))/((1-Data!$D$18)*Data!$D$14*1000)),(IF(I166/((Data!$D$18+((1-Data!$D$18)*Data!$D$14*$G166))/((1-Data!$D$18)*Data!$D$14*1000))&gt;ChemData!U166, ChemData!U166, I166/((Data!$D$18+((1-Data!$D$18)*Data!$D$14*$G166))/((1-Data!$D$18)*Data!$D$14*1000))))))))),"---")</f>
        <v>---</v>
      </c>
      <c r="M166" s="376" t="str">
        <f>IF(Start!$C$15="x",(IF(L166="NA","NA",IF(OR(D166="NA",D166=""),"NA",(((Data!$D$22*Data!$D$18)*L166)+(Data!$D$19-Data!$D$22)*$D166)/((Data!$D$22*Data!$D$18)+Data!$D$19-Data!$D$22)))),"---")</f>
        <v>---</v>
      </c>
      <c r="N166" s="376" t="str">
        <f>IF(Start!$C$15="x",IF(K166 = "NA", "NA", (IF(M166 = "NA", "NA",(IF(OR(ChemData!U166="NA",ChemData!U166=""),(IF(K166&gt;M166,K166,M166)),(IF(K166&gt;M166,(IF(K166&gt;ChemData!U166, ChemData!U166, K166)),(IF(M166&gt;ChemData!U166,ChemData!U166,M166))))))))),"---")</f>
        <v>---</v>
      </c>
      <c r="O166" s="377" t="str">
        <f>IF(Start!$C$15="x",IF(N166 = "NA","NA", IF(OR(E166="NA",E166=""),"NA",(N166+(Data!$D$26*$E166))/(Data!$D$26+1))),"---")</f>
        <v>---</v>
      </c>
      <c r="P166" s="730" t="str">
        <f>IF(E166="",F166,IF($F166&lt;(1+(Data!$D$27/100))*$E166,(1+(Data!$D$27/100))*$E166,$F166))</f>
        <v>NA</v>
      </c>
      <c r="Q166" s="343" t="str">
        <f>IF(Start!$C$15="x",(IF(C166="","",(IF(O166="NA","NA",IF(P166="NA","NA",IF(P166=0,"NA",(O166/P166))))))),"Not Req.")</f>
        <v>Not Req.</v>
      </c>
      <c r="R166" s="163"/>
      <c r="S166" s="18"/>
      <c r="T166" s="18"/>
      <c r="U166" s="163"/>
      <c r="V166" s="163"/>
      <c r="W166" s="18"/>
      <c r="X166" s="163"/>
      <c r="Y166" s="163"/>
      <c r="Z166" s="18"/>
    </row>
    <row r="167" spans="1:26" s="10" customFormat="1" x14ac:dyDescent="0.25">
      <c r="A167" s="405" t="s">
        <v>485</v>
      </c>
      <c r="B167" s="371" t="str">
        <f>IF(Start!$C$15="x",IF(C167="NA","NA",(IF(C167="","",(IF(OR(F167="NA",F167=""),"No Criteria",(IF(AND(O167="NA",F167&lt;&gt;"NA",C167&lt;&gt;"NA"),                  "Missing Data",(IF(O167&lt;F167,"No",(IF(D167&gt;F167,"Caution",(IF(O167&gt;=F167,"Needed","No"))))))))))))),"---")</f>
        <v>---</v>
      </c>
      <c r="C167" s="372" t="str">
        <f>IF(TRUE=ISBLANK(ChemData!B167),"",(ChemData!B167))</f>
        <v/>
      </c>
      <c r="D167" s="373" t="str">
        <f>IF(TRUE=ISBLANK(ChemData!C167),"",(ChemData!C167))</f>
        <v/>
      </c>
      <c r="E167" s="374" t="str">
        <f>IF(TRUE=ISBLANK(ChemData!D167),"",(ChemData!D167))</f>
        <v/>
      </c>
      <c r="F167" s="289">
        <f>IF(TRUE=ISBLANK(ChemData!H167),"",(ChemData!H167))</f>
        <v>0.99</v>
      </c>
      <c r="G167" s="290">
        <f>IF(TRUE=ISBLANK(ChemData!Q167),"",(ChemData!Q167))</f>
        <v>0.47578025939051682</v>
      </c>
      <c r="H167" s="291">
        <f>IF(TRUE=ISBLANK(ChemData!S167),"",(ChemData!S167))</f>
        <v>1</v>
      </c>
      <c r="I167" s="375" t="str">
        <f>IF(Start!$C$15="x",(IF(OR(C167="NA",C167=""), "NA", (IF($H167 = "NA", "NA", ((C167*$H167)))))),"---")</f>
        <v>---</v>
      </c>
      <c r="J167" s="376" t="str">
        <f>IF(Start!$C$15="x",(IF(I167 = "NA", "NA", IF(OR(D167="NA",D167=""),"NA",(I167 +((Data!$D$19-Data!$D$22)/(Data!$D$19*Data!$D$22)*$D167))))),"---")</f>
        <v>---</v>
      </c>
      <c r="K167" s="376" t="str">
        <f>IF(Start!$C$15="x",(IF(J167="NA","NA",IF(OR(G167="NA",G167=""),"NA",(J167*(1-Data!$D$23)*Data!$D$14*1000)/(Data!$D$23+((1-Data!$D$23)*Data!$D$14*$G167))))),"---")</f>
        <v>---</v>
      </c>
      <c r="L167" s="376" t="str">
        <f>IF(Start!$C$15="x",(IF(I167="NA","NA",IF($G167 = "NA", "NA",(IF(OR(ChemData!U167="NA",ChemData!U167=""),I167/((Data!$D$18+((1-Data!$D$18)*Data!$D$14*$G167))/((1-Data!$D$18)*Data!$D$14*1000)),(IF(I167/((Data!$D$18+((1-Data!$D$18)*Data!$D$14*$G167))/((1-Data!$D$18)*Data!$D$14*1000))&gt;ChemData!U167, ChemData!U167, I167/((Data!$D$18+((1-Data!$D$18)*Data!$D$14*$G167))/((1-Data!$D$18)*Data!$D$14*1000))))))))),"---")</f>
        <v>---</v>
      </c>
      <c r="M167" s="376" t="str">
        <f>IF(Start!$C$15="x",(IF(L167="NA","NA",IF(OR(D167="NA",D167=""),"NA",(((Data!$D$22*Data!$D$18)*L167)+(Data!$D$19-Data!$D$22)*$D167)/((Data!$D$22*Data!$D$18)+Data!$D$19-Data!$D$22)))),"---")</f>
        <v>---</v>
      </c>
      <c r="N167" s="376" t="str">
        <f>IF(Start!$C$15="x",IF(K167 = "NA", "NA", (IF(M167 = "NA", "NA",(IF(OR(ChemData!U167="NA",ChemData!U167=""),(IF(K167&gt;M167,K167,M167)),(IF(K167&gt;M167,(IF(K167&gt;ChemData!U167, ChemData!U167, K167)),(IF(M167&gt;ChemData!U167,ChemData!U167,M167))))))))),"---")</f>
        <v>---</v>
      </c>
      <c r="O167" s="377" t="str">
        <f>IF(Start!$C$15="x",IF(N167 = "NA","NA", IF(OR(E167="NA",E167=""),"NA",(N167+(Data!$D$26*$E167))/(Data!$D$26+1))),"---")</f>
        <v>---</v>
      </c>
      <c r="P167" s="730">
        <f>IF(E167="",F167,IF($F167&lt;(1+(Data!$D$27/100))*$E167,(1+(Data!$D$27/100))*$E167,$F167))</f>
        <v>0.99</v>
      </c>
      <c r="Q167" s="343" t="str">
        <f>IF(Start!$C$15="x",(IF(C167="","",(IF(O167="NA","NA",IF(P167="NA","NA",IF(P167=0,"NA",(O167/P167))))))),"Not Req.")</f>
        <v>Not Req.</v>
      </c>
      <c r="R167" s="163"/>
      <c r="S167" s="18"/>
      <c r="T167" s="18"/>
      <c r="U167" s="163"/>
      <c r="V167" s="163"/>
      <c r="W167" s="18"/>
      <c r="X167" s="163"/>
      <c r="Y167" s="163"/>
      <c r="Z167" s="18"/>
    </row>
    <row r="168" spans="1:26" s="10" customFormat="1" x14ac:dyDescent="0.25">
      <c r="A168" s="405" t="s">
        <v>486</v>
      </c>
      <c r="B168" s="371" t="str">
        <f>IF(Start!$C$15="x",IF(C168="NA","NA",(IF(C168="","",(IF(OR(F168="NA",F168=""),"No Criteria",(IF(AND(O168="NA",F168&lt;&gt;"NA",C168&lt;&gt;"NA"),                  "Missing Data",(IF(O168&lt;F168,"No",(IF(D168&gt;F168,"Caution",(IF(O168&gt;=F168,"Needed","No"))))))))))))),"---")</f>
        <v>---</v>
      </c>
      <c r="C168" s="372" t="str">
        <f>IF(TRUE=ISBLANK(ChemData!B168),"",(ChemData!B168))</f>
        <v/>
      </c>
      <c r="D168" s="373" t="str">
        <f>IF(TRUE=ISBLANK(ChemData!C168),"",(ChemData!C168))</f>
        <v/>
      </c>
      <c r="E168" s="374" t="str">
        <f>IF(TRUE=ISBLANK(ChemData!D168),"",(ChemData!D168))</f>
        <v/>
      </c>
      <c r="F168" s="289">
        <f>IF(TRUE=ISBLANK(ChemData!H168),"",(ChemData!H168))</f>
        <v>0.99</v>
      </c>
      <c r="G168" s="290">
        <f>IF(TRUE=ISBLANK(ChemData!Q168),"",(ChemData!Q168))</f>
        <v>0.47578025939051682</v>
      </c>
      <c r="H168" s="291">
        <f>IF(TRUE=ISBLANK(ChemData!S168),"",(ChemData!S168))</f>
        <v>1</v>
      </c>
      <c r="I168" s="375" t="str">
        <f>IF(Start!$C$15="x",(IF(OR(C168="NA",C168=""), "NA", (IF($H168 = "NA", "NA", ((C168*$H168)))))),"---")</f>
        <v>---</v>
      </c>
      <c r="J168" s="376" t="str">
        <f>IF(Start!$C$15="x",(IF(I168 = "NA", "NA", IF(OR(D168="NA",D168=""),"NA",(I168 +((Data!$D$19-Data!$D$22)/(Data!$D$19*Data!$D$22)*$D168))))),"---")</f>
        <v>---</v>
      </c>
      <c r="K168" s="376" t="str">
        <f>IF(Start!$C$15="x",(IF(J168="NA","NA",IF(OR(G168="NA",G168=""),"NA",(J168*(1-Data!$D$23)*Data!$D$14*1000)/(Data!$D$23+((1-Data!$D$23)*Data!$D$14*$G168))))),"---")</f>
        <v>---</v>
      </c>
      <c r="L168" s="376" t="str">
        <f>IF(Start!$C$15="x",(IF(I168="NA","NA",IF($G168 = "NA", "NA",(IF(OR(ChemData!U168="NA",ChemData!U168=""),I168/((Data!$D$18+((1-Data!$D$18)*Data!$D$14*$G168))/((1-Data!$D$18)*Data!$D$14*1000)),(IF(I168/((Data!$D$18+((1-Data!$D$18)*Data!$D$14*$G168))/((1-Data!$D$18)*Data!$D$14*1000))&gt;ChemData!U168, ChemData!U168, I168/((Data!$D$18+((1-Data!$D$18)*Data!$D$14*$G168))/((1-Data!$D$18)*Data!$D$14*1000))))))))),"---")</f>
        <v>---</v>
      </c>
      <c r="M168" s="376" t="str">
        <f>IF(Start!$C$15="x",(IF(L168="NA","NA",IF(OR(D168="NA",D168=""),"NA",(((Data!$D$22*Data!$D$18)*L168)+(Data!$D$19-Data!$D$22)*$D168)/((Data!$D$22*Data!$D$18)+Data!$D$19-Data!$D$22)))),"---")</f>
        <v>---</v>
      </c>
      <c r="N168" s="376" t="str">
        <f>IF(Start!$C$15="x",IF(K168 = "NA", "NA", (IF(M168 = "NA", "NA",(IF(OR(ChemData!U168="NA",ChemData!U168=""),(IF(K168&gt;M168,K168,M168)),(IF(K168&gt;M168,(IF(K168&gt;ChemData!U168, ChemData!U168, K168)),(IF(M168&gt;ChemData!U168,ChemData!U168,M168))))))))),"---")</f>
        <v>---</v>
      </c>
      <c r="O168" s="377" t="str">
        <f>IF(Start!$C$15="x",IF(N168 = "NA","NA", IF(OR(E168="NA",E168=""),"NA",(N168+(Data!$D$26*$E168))/(Data!$D$26+1))),"---")</f>
        <v>---</v>
      </c>
      <c r="P168" s="730">
        <f>IF(E168="",F168,IF($F168&lt;(1+(Data!$D$27/100))*$E168,(1+(Data!$D$27/100))*$E168,$F168))</f>
        <v>0.99</v>
      </c>
      <c r="Q168" s="343" t="str">
        <f>IF(Start!$C$15="x",(IF(C168="","",(IF(O168="NA","NA",IF(P168="NA","NA",IF(P168=0,"NA",(O168/P168))))))),"Not Req.")</f>
        <v>Not Req.</v>
      </c>
      <c r="R168" s="163"/>
      <c r="S168" s="18"/>
      <c r="T168" s="18"/>
      <c r="U168" s="163"/>
      <c r="V168" s="163"/>
      <c r="W168" s="18"/>
      <c r="X168" s="163"/>
      <c r="Y168" s="163"/>
      <c r="Z168" s="18"/>
    </row>
    <row r="169" spans="1:26" s="10" customFormat="1" x14ac:dyDescent="0.25">
      <c r="A169" s="405" t="s">
        <v>487</v>
      </c>
      <c r="B169" s="371" t="str">
        <f>IF(Start!$C$15="x",IF(C169="NA","NA",(IF(C169="","",(IF(OR(F169="NA",F169=""),"No Criteria",(IF(AND(O169="NA",F169&lt;&gt;"NA",C169&lt;&gt;"NA"),                  "Missing Data",(IF(O169&lt;F169,"No",(IF(D169&gt;F169,"Caution",(IF(O169&gt;=F169,"Needed","No"))))))))))))),"---")</f>
        <v>---</v>
      </c>
      <c r="C169" s="372" t="str">
        <f>IF(TRUE=ISBLANK(ChemData!B169),"",(ChemData!B169))</f>
        <v/>
      </c>
      <c r="D169" s="373" t="str">
        <f>IF(TRUE=ISBLANK(ChemData!C169),"",(ChemData!C169))</f>
        <v/>
      </c>
      <c r="E169" s="374" t="str">
        <f>IF(TRUE=ISBLANK(ChemData!D169),"",(ChemData!D169))</f>
        <v/>
      </c>
      <c r="F169" s="289">
        <f>IF(TRUE=ISBLANK(ChemData!H169),"",(ChemData!H169))</f>
        <v>130</v>
      </c>
      <c r="G169" s="290">
        <f>IF(TRUE=ISBLANK(ChemData!Q169),"",(ChemData!Q169))</f>
        <v>26.146069950967185</v>
      </c>
      <c r="H169" s="291">
        <f>IF(TRUE=ISBLANK(ChemData!S169),"",(ChemData!S169))</f>
        <v>1</v>
      </c>
      <c r="I169" s="375" t="str">
        <f>IF(Start!$C$15="x",(IF(OR(C169="NA",C169=""), "NA", (IF($H169 = "NA", "NA", ((C169*$H169)))))),"---")</f>
        <v>---</v>
      </c>
      <c r="J169" s="376" t="str">
        <f>IF(Start!$C$15="x",(IF(I169 = "NA", "NA", IF(OR(D169="NA",D169=""),"NA",(I169 +((Data!$D$19-Data!$D$22)/(Data!$D$19*Data!$D$22)*$D169))))),"---")</f>
        <v>---</v>
      </c>
      <c r="K169" s="376" t="str">
        <f>IF(Start!$C$15="x",(IF(J169="NA","NA",IF(OR(G169="NA",G169=""),"NA",(J169*(1-Data!$D$23)*Data!$D$14*1000)/(Data!$D$23+((1-Data!$D$23)*Data!$D$14*$G169))))),"---")</f>
        <v>---</v>
      </c>
      <c r="L169" s="376" t="str">
        <f>IF(Start!$C$15="x",(IF(I169="NA","NA",IF($G169 = "NA", "NA",(IF(OR(ChemData!U169="NA",ChemData!U169=""),I169/((Data!$D$18+((1-Data!$D$18)*Data!$D$14*$G169))/((1-Data!$D$18)*Data!$D$14*1000)),(IF(I169/((Data!$D$18+((1-Data!$D$18)*Data!$D$14*$G169))/((1-Data!$D$18)*Data!$D$14*1000))&gt;ChemData!U169, ChemData!U169, I169/((Data!$D$18+((1-Data!$D$18)*Data!$D$14*$G169))/((1-Data!$D$18)*Data!$D$14*1000))))))))),"---")</f>
        <v>---</v>
      </c>
      <c r="M169" s="376" t="str">
        <f>IF(Start!$C$15="x",(IF(L169="NA","NA",IF(OR(D169="NA",D169=""),"NA",(((Data!$D$22*Data!$D$18)*L169)+(Data!$D$19-Data!$D$22)*$D169)/((Data!$D$22*Data!$D$18)+Data!$D$19-Data!$D$22)))),"---")</f>
        <v>---</v>
      </c>
      <c r="N169" s="376" t="str">
        <f>IF(Start!$C$15="x",IF(K169 = "NA", "NA", (IF(M169 = "NA", "NA",(IF(OR(ChemData!U169="NA",ChemData!U169=""),(IF(K169&gt;M169,K169,M169)),(IF(K169&gt;M169,(IF(K169&gt;ChemData!U169, ChemData!U169, K169)),(IF(M169&gt;ChemData!U169,ChemData!U169,M169))))))))),"---")</f>
        <v>---</v>
      </c>
      <c r="O169" s="377" t="str">
        <f>IF(Start!$C$15="x",IF(N169 = "NA","NA", IF(OR(E169="NA",E169=""),"NA",(N169+(Data!$D$26*$E169))/(Data!$D$26+1))),"---")</f>
        <v>---</v>
      </c>
      <c r="P169" s="730">
        <f>IF(E169="",F169,IF($F169&lt;(1+(Data!$D$27/100))*$E169,(1+(Data!$D$27/100))*$E169,$F169))</f>
        <v>130</v>
      </c>
      <c r="Q169" s="343" t="str">
        <f>IF(Start!$C$15="x",(IF(C169="","",(IF(O169="NA","NA",IF(P169="NA","NA",IF(P169=0,"NA",(O169/P169))))))),"Not Req.")</f>
        <v>Not Req.</v>
      </c>
      <c r="R169" s="163"/>
      <c r="S169" s="18"/>
      <c r="T169" s="18"/>
      <c r="U169" s="163"/>
      <c r="V169" s="163"/>
      <c r="W169" s="18"/>
      <c r="X169" s="163"/>
      <c r="Y169" s="163"/>
      <c r="Z169" s="18"/>
    </row>
    <row r="170" spans="1:26" s="10" customFormat="1" x14ac:dyDescent="0.25">
      <c r="A170" s="405" t="s">
        <v>488</v>
      </c>
      <c r="B170" s="371" t="str">
        <f>IF(Start!$C$15="x",IF(C170="NA","NA",(IF(C170="","",(IF(OR(F170="NA",F170=""),"No Criteria",(IF(AND(O170="NA",F170&lt;&gt;"NA",C170&lt;&gt;"NA"),                  "Missing Data",(IF(O170&lt;F170,"No",(IF(D170&gt;F170,"Caution",(IF(O170&gt;=F170,"Needed","No"))))))))))))),"---")</f>
        <v>---</v>
      </c>
      <c r="C170" s="372" t="str">
        <f>IF(TRUE=ISBLANK(ChemData!B170),"",(ChemData!B170))</f>
        <v/>
      </c>
      <c r="D170" s="373" t="str">
        <f>IF(TRUE=ISBLANK(ChemData!C170),"",(ChemData!C170))</f>
        <v/>
      </c>
      <c r="E170" s="374" t="str">
        <f>IF(TRUE=ISBLANK(ChemData!D170),"",(ChemData!D170))</f>
        <v/>
      </c>
      <c r="F170" s="289">
        <f>IF(TRUE=ISBLANK(ChemData!H170),"",(ChemData!H170))</f>
        <v>10</v>
      </c>
      <c r="G170" s="290">
        <f>IF(TRUE=ISBLANK(ChemData!Q170),"",(ChemData!Q170))</f>
        <v>238.45499201839945</v>
      </c>
      <c r="H170" s="291">
        <f>IF(TRUE=ISBLANK(ChemData!S170),"",(ChemData!S170))</f>
        <v>1</v>
      </c>
      <c r="I170" s="375" t="str">
        <f>IF(Start!$C$15="x",(IF(OR(C170="NA",C170=""), "NA", (IF($H170 = "NA", "NA", ((C170*$H170)))))),"---")</f>
        <v>---</v>
      </c>
      <c r="J170" s="376" t="str">
        <f>IF(Start!$C$15="x",(IF(I170 = "NA", "NA", IF(OR(D170="NA",D170=""),"NA",(I170 +((Data!$D$19-Data!$D$22)/(Data!$D$19*Data!$D$22)*$D170))))),"---")</f>
        <v>---</v>
      </c>
      <c r="K170" s="376" t="str">
        <f>IF(Start!$C$15="x",(IF(J170="NA","NA",IF(OR(G170="NA",G170=""),"NA",(J170*(1-Data!$D$23)*Data!$D$14*1000)/(Data!$D$23+((1-Data!$D$23)*Data!$D$14*$G170))))),"---")</f>
        <v>---</v>
      </c>
      <c r="L170" s="376" t="str">
        <f>IF(Start!$C$15="x",(IF(I170="NA","NA",IF($G170 = "NA", "NA",(IF(OR(ChemData!U170="NA",ChemData!U170=""),I170/((Data!$D$18+((1-Data!$D$18)*Data!$D$14*$G170))/((1-Data!$D$18)*Data!$D$14*1000)),(IF(I170/((Data!$D$18+((1-Data!$D$18)*Data!$D$14*$G170))/((1-Data!$D$18)*Data!$D$14*1000))&gt;ChemData!U170, ChemData!U170, I170/((Data!$D$18+((1-Data!$D$18)*Data!$D$14*$G170))/((1-Data!$D$18)*Data!$D$14*1000))))))))),"---")</f>
        <v>---</v>
      </c>
      <c r="M170" s="376" t="str">
        <f>IF(Start!$C$15="x",(IF(L170="NA","NA",IF(OR(D170="NA",D170=""),"NA",(((Data!$D$22*Data!$D$18)*L170)+(Data!$D$19-Data!$D$22)*$D170)/((Data!$D$22*Data!$D$18)+Data!$D$19-Data!$D$22)))),"---")</f>
        <v>---</v>
      </c>
      <c r="N170" s="376" t="str">
        <f>IF(Start!$C$15="x",IF(K170 = "NA", "NA", (IF(M170 = "NA", "NA",(IF(OR(ChemData!U170="NA",ChemData!U170=""),(IF(K170&gt;M170,K170,M170)),(IF(K170&gt;M170,(IF(K170&gt;ChemData!U170, ChemData!U170, K170)),(IF(M170&gt;ChemData!U170,ChemData!U170,M170))))))))),"---")</f>
        <v>---</v>
      </c>
      <c r="O170" s="377" t="str">
        <f>IF(Start!$C$15="x",IF(N170 = "NA","NA", IF(OR(E170="NA",E170=""),"NA",(N170+(Data!$D$26*$E170))/(Data!$D$26+1))),"---")</f>
        <v>---</v>
      </c>
      <c r="P170" s="730">
        <f>IF(E170="",F170,IF($F170&lt;(1+(Data!$D$27/100))*$E170,(1+(Data!$D$27/100))*$E170,$F170))</f>
        <v>10</v>
      </c>
      <c r="Q170" s="343" t="str">
        <f>IF(Start!$C$15="x",(IF(C170="","",(IF(O170="NA","NA",IF(P170="NA","NA",IF(P170=0,"NA",(O170/P170))))))),"Not Req.")</f>
        <v>Not Req.</v>
      </c>
      <c r="R170" s="163"/>
      <c r="S170" s="18"/>
      <c r="T170" s="18"/>
      <c r="U170" s="163"/>
      <c r="V170" s="163"/>
      <c r="W170" s="18"/>
      <c r="X170" s="163"/>
      <c r="Y170" s="163"/>
      <c r="Z170" s="18"/>
    </row>
    <row r="171" spans="1:26" s="10" customFormat="1" x14ac:dyDescent="0.25">
      <c r="A171" s="405" t="s">
        <v>674</v>
      </c>
      <c r="B171" s="371" t="str">
        <f>IF(Start!$C$15="x",IF(C171="NA","NA",(IF(C171="","",(IF(OR(F171="NA",F171=""),"No Criteria",(IF(AND(O171="NA",F171&lt;&gt;"NA",C171&lt;&gt;"NA"),                  "Missing Data",(IF(O171&lt;F171,"No",(IF(D171&gt;F171,"Caution",(IF(O171&gt;=F171,"Needed","No"))))))))))))),"---")</f>
        <v>---</v>
      </c>
      <c r="C171" s="372" t="str">
        <f>IF(TRUE=ISBLANK(ChemData!B171),"",(ChemData!B171))</f>
        <v/>
      </c>
      <c r="D171" s="373" t="str">
        <f>IF(TRUE=ISBLANK(ChemData!C171),"",(ChemData!C171))</f>
        <v/>
      </c>
      <c r="E171" s="374" t="str">
        <f>IF(TRUE=ISBLANK(ChemData!D171),"",(ChemData!D171))</f>
        <v/>
      </c>
      <c r="F171" s="289">
        <f>IF(TRUE=ISBLANK(ChemData!H171),"",(ChemData!H171))</f>
        <v>1800</v>
      </c>
      <c r="G171" s="290">
        <f>IF(TRUE=ISBLANK(ChemData!Q171),"",(ChemData!Q171))</f>
        <v>0.45436662029329916</v>
      </c>
      <c r="H171" s="291">
        <f>IF(TRUE=ISBLANK(ChemData!S171),"",(ChemData!S171))</f>
        <v>1</v>
      </c>
      <c r="I171" s="375" t="str">
        <f>IF(Start!$C$15="x",(IF(OR(C171="NA",C171=""), "NA", (IF($H171 = "NA", "NA", ((C171*$H171)))))),"---")</f>
        <v>---</v>
      </c>
      <c r="J171" s="376" t="str">
        <f>IF(Start!$C$15="x",(IF(I171 = "NA", "NA", IF(OR(D171="NA",D171=""),"NA",(I171 +((Data!$D$19-Data!$D$22)/(Data!$D$19*Data!$D$22)*$D171))))),"---")</f>
        <v>---</v>
      </c>
      <c r="K171" s="376" t="str">
        <f>IF(Start!$C$15="x",(IF(J171="NA","NA",IF(OR(G171="NA",G171=""),"NA",(J171*(1-Data!$D$23)*Data!$D$14*1000)/(Data!$D$23+((1-Data!$D$23)*Data!$D$14*$G171))))),"---")</f>
        <v>---</v>
      </c>
      <c r="L171" s="376" t="str">
        <f>IF(Start!$C$15="x",(IF(I171="NA","NA",IF($G171 = "NA", "NA",(IF(OR(ChemData!U171="NA",ChemData!U171=""),I171/((Data!$D$18+((1-Data!$D$18)*Data!$D$14*$G171))/((1-Data!$D$18)*Data!$D$14*1000)),(IF(I171/((Data!$D$18+((1-Data!$D$18)*Data!$D$14*$G171))/((1-Data!$D$18)*Data!$D$14*1000))&gt;ChemData!U171, ChemData!U171, I171/((Data!$D$18+((1-Data!$D$18)*Data!$D$14*$G171))/((1-Data!$D$18)*Data!$D$14*1000))))))))),"---")</f>
        <v>---</v>
      </c>
      <c r="M171" s="376" t="str">
        <f>IF(Start!$C$15="x",(IF(L171="NA","NA",IF(OR(D171="NA",D171=""),"NA",(((Data!$D$22*Data!$D$18)*L171)+(Data!$D$19-Data!$D$22)*$D171)/((Data!$D$22*Data!$D$18)+Data!$D$19-Data!$D$22)))),"---")</f>
        <v>---</v>
      </c>
      <c r="N171" s="376" t="str">
        <f>IF(Start!$C$15="x",IF(K171 = "NA", "NA", (IF(M171 = "NA", "NA",(IF(OR(ChemData!U171="NA",ChemData!U171=""),(IF(K171&gt;M171,K171,M171)),(IF(K171&gt;M171,(IF(K171&gt;ChemData!U171, ChemData!U171, K171)),(IF(M171&gt;ChemData!U171,ChemData!U171,M171))))))))),"---")</f>
        <v>---</v>
      </c>
      <c r="O171" s="377" t="str">
        <f>IF(Start!$C$15="x",IF(N171 = "NA","NA", IF(OR(E171="NA",E171=""),"NA",(N171+(Data!$D$26*$E171))/(Data!$D$26+1))),"---")</f>
        <v>---</v>
      </c>
      <c r="P171" s="730">
        <f>IF(E171="",F171,IF($F171&lt;(1+(Data!$D$27/100))*$E171,(1+(Data!$D$27/100))*$E171,$F171))</f>
        <v>1800</v>
      </c>
      <c r="Q171" s="343" t="str">
        <f>IF(Start!$C$15="x",(IF(C171="","",(IF(O171="NA","NA",IF(P171="NA","NA",IF(P171=0,"NA",(O171/P171))))))),"Not Req.")</f>
        <v>Not Req.</v>
      </c>
      <c r="R171" s="163"/>
      <c r="S171" s="18"/>
      <c r="T171" s="18"/>
      <c r="U171" s="163"/>
      <c r="V171" s="163"/>
      <c r="W171" s="18"/>
      <c r="X171" s="163"/>
      <c r="Y171" s="163"/>
      <c r="Z171" s="18"/>
    </row>
    <row r="172" spans="1:26" s="10" customFormat="1" x14ac:dyDescent="0.25">
      <c r="A172" s="405" t="s">
        <v>675</v>
      </c>
      <c r="B172" s="371" t="str">
        <f>IF(Start!$C$15="x",IF(C172="NA","NA",(IF(C172="","",(IF(OR(F172="NA",F172=""),"No Criteria",(IF(AND(O172="NA",F172&lt;&gt;"NA",C172&lt;&gt;"NA"),                  "Missing Data",(IF(O172&lt;F172,"No",(IF(D172&gt;F172,"Caution",(IF(O172&gt;=F172,"Needed","No"))))))))))))),"---")</f>
        <v>---</v>
      </c>
      <c r="C172" s="372" t="str">
        <f>IF(TRUE=ISBLANK(ChemData!B172),"",(ChemData!B172))</f>
        <v/>
      </c>
      <c r="D172" s="373" t="str">
        <f>IF(TRUE=ISBLANK(ChemData!C172),"",(ChemData!C172))</f>
        <v/>
      </c>
      <c r="E172" s="374" t="str">
        <f>IF(TRUE=ISBLANK(ChemData!D172),"",(ChemData!D172))</f>
        <v/>
      </c>
      <c r="F172" s="289" t="str">
        <f>IF(TRUE=ISBLANK(ChemData!H172),"",(ChemData!H172))</f>
        <v>NA</v>
      </c>
      <c r="G172" s="290">
        <f>IF(TRUE=ISBLANK(ChemData!Q172),"",(ChemData!Q172))</f>
        <v>84.607023897713418</v>
      </c>
      <c r="H172" s="291">
        <f>IF(TRUE=ISBLANK(ChemData!S172),"",(ChemData!S172))</f>
        <v>1</v>
      </c>
      <c r="I172" s="375" t="str">
        <f>IF(Start!$C$15="x",(IF(OR(C172="NA",C172=""), "NA", (IF($H172 = "NA", "NA", ((C172*$H172)))))),"---")</f>
        <v>---</v>
      </c>
      <c r="J172" s="376" t="str">
        <f>IF(Start!$C$15="x",(IF(I172 = "NA", "NA", IF(OR(D172="NA",D172=""),"NA",(I172 +((Data!$D$19-Data!$D$22)/(Data!$D$19*Data!$D$22)*$D172))))),"---")</f>
        <v>---</v>
      </c>
      <c r="K172" s="376" t="str">
        <f>IF(Start!$C$15="x",(IF(J172="NA","NA",IF(OR(G172="NA",G172=""),"NA",(J172*(1-Data!$D$23)*Data!$D$14*1000)/(Data!$D$23+((1-Data!$D$23)*Data!$D$14*$G172))))),"---")</f>
        <v>---</v>
      </c>
      <c r="L172" s="376" t="str">
        <f>IF(Start!$C$15="x",(IF(I172="NA","NA",IF($G172 = "NA", "NA",(IF(OR(ChemData!U172="NA",ChemData!U172=""),I172/((Data!$D$18+((1-Data!$D$18)*Data!$D$14*$G172))/((1-Data!$D$18)*Data!$D$14*1000)),(IF(I172/((Data!$D$18+((1-Data!$D$18)*Data!$D$14*$G172))/((1-Data!$D$18)*Data!$D$14*1000))&gt;ChemData!U172, ChemData!U172, I172/((Data!$D$18+((1-Data!$D$18)*Data!$D$14*$G172))/((1-Data!$D$18)*Data!$D$14*1000))))))))),"---")</f>
        <v>---</v>
      </c>
      <c r="M172" s="376" t="str">
        <f>IF(Start!$C$15="x",(IF(L172="NA","NA",IF(OR(D172="NA",D172=""),"NA",(((Data!$D$22*Data!$D$18)*L172)+(Data!$D$19-Data!$D$22)*$D172)/((Data!$D$22*Data!$D$18)+Data!$D$19-Data!$D$22)))),"---")</f>
        <v>---</v>
      </c>
      <c r="N172" s="376" t="str">
        <f>IF(Start!$C$15="x",IF(K172 = "NA", "NA", (IF(M172 = "NA", "NA",(IF(OR(ChemData!U172="NA",ChemData!U172=""),(IF(K172&gt;M172,K172,M172)),(IF(K172&gt;M172,(IF(K172&gt;ChemData!U172, ChemData!U172, K172)),(IF(M172&gt;ChemData!U172,ChemData!U172,M172))))))))),"---")</f>
        <v>---</v>
      </c>
      <c r="O172" s="377" t="str">
        <f>IF(Start!$C$15="x",IF(N172 = "NA","NA", IF(OR(E172="NA",E172=""),"NA",(N172+(Data!$D$26*$E172))/(Data!$D$26+1))),"---")</f>
        <v>---</v>
      </c>
      <c r="P172" s="730" t="str">
        <f>IF(E172="",F172,IF($F172&lt;(1+(Data!$D$27/100))*$E172,(1+(Data!$D$27/100))*$E172,$F172))</f>
        <v>NA</v>
      </c>
      <c r="Q172" s="343" t="str">
        <f>IF(Start!$C$15="x",(IF(C172="","",(IF(O172="NA","NA",IF(P172="NA","NA",IF(P172=0,"NA",(O172/P172))))))),"Not Req.")</f>
        <v>Not Req.</v>
      </c>
      <c r="R172" s="163"/>
      <c r="S172" s="18"/>
      <c r="T172" s="18"/>
      <c r="U172" s="163"/>
      <c r="V172" s="163"/>
      <c r="W172" s="18"/>
      <c r="X172" s="163"/>
      <c r="Y172" s="163"/>
      <c r="Z172" s="18"/>
    </row>
    <row r="173" spans="1:26" s="10" customFormat="1" x14ac:dyDescent="0.25">
      <c r="A173" s="405" t="s">
        <v>491</v>
      </c>
      <c r="B173" s="371" t="str">
        <f>IF(Start!$C$15="x",IF(C173="NA","NA",(IF(C173="","",(IF(OR(F173="NA",F173=""),"No Criteria",(IF(AND(O173="NA",F173&lt;&gt;"NA",C173&lt;&gt;"NA"),                  "Missing Data",(IF(O173&lt;F173,"No",(IF(D173&gt;F173,"Caution",(IF(O173&gt;=F173,"Needed","No"))))))))))))),"---")</f>
        <v>---</v>
      </c>
      <c r="C173" s="372" t="str">
        <f>IF(TRUE=ISBLANK(ChemData!B173),"",(ChemData!B173))</f>
        <v/>
      </c>
      <c r="D173" s="373" t="str">
        <f>IF(TRUE=ISBLANK(ChemData!C173),"",(ChemData!C173))</f>
        <v/>
      </c>
      <c r="E173" s="374" t="str">
        <f>IF(TRUE=ISBLANK(ChemData!D173),"",(ChemData!D173))</f>
        <v/>
      </c>
      <c r="F173" s="289" t="str">
        <f>IF(TRUE=ISBLANK(ChemData!H173),"",(ChemData!H173))</f>
        <v>NA</v>
      </c>
      <c r="G173" s="290">
        <f>IF(TRUE=ISBLANK(ChemData!Q173),"",(ChemData!Q173))</f>
        <v>2.8016018708554212E-2</v>
      </c>
      <c r="H173" s="291">
        <f>IF(TRUE=ISBLANK(ChemData!S173),"",(ChemData!S173))</f>
        <v>1</v>
      </c>
      <c r="I173" s="375" t="str">
        <f>IF(Start!$C$15="x",(IF(OR(C173="NA",C173=""), "NA", (IF($H173 = "NA", "NA", ((C173*$H173)))))),"---")</f>
        <v>---</v>
      </c>
      <c r="J173" s="376" t="str">
        <f>IF(Start!$C$15="x",(IF(I173 = "NA", "NA", IF(OR(D173="NA",D173=""),"NA",(I173 +((Data!$D$19-Data!$D$22)/(Data!$D$19*Data!$D$22)*$D173))))),"---")</f>
        <v>---</v>
      </c>
      <c r="K173" s="376" t="str">
        <f>IF(Start!$C$15="x",(IF(J173="NA","NA",IF(OR(G173="NA",G173=""),"NA",(J173*(1-Data!$D$23)*Data!$D$14*1000)/(Data!$D$23+((1-Data!$D$23)*Data!$D$14*$G173))))),"---")</f>
        <v>---</v>
      </c>
      <c r="L173" s="376" t="str">
        <f>IF(Start!$C$15="x",(IF(I173="NA","NA",IF($G173 = "NA", "NA",(IF(OR(ChemData!U173="NA",ChemData!U173=""),I173/((Data!$D$18+((1-Data!$D$18)*Data!$D$14*$G173))/((1-Data!$D$18)*Data!$D$14*1000)),(IF(I173/((Data!$D$18+((1-Data!$D$18)*Data!$D$14*$G173))/((1-Data!$D$18)*Data!$D$14*1000))&gt;ChemData!U173, ChemData!U173, I173/((Data!$D$18+((1-Data!$D$18)*Data!$D$14*$G173))/((1-Data!$D$18)*Data!$D$14*1000))))))))),"---")</f>
        <v>---</v>
      </c>
      <c r="M173" s="376" t="str">
        <f>IF(Start!$C$15="x",(IF(L173="NA","NA",IF(OR(D173="NA",D173=""),"NA",(((Data!$D$22*Data!$D$18)*L173)+(Data!$D$19-Data!$D$22)*$D173)/((Data!$D$22*Data!$D$18)+Data!$D$19-Data!$D$22)))),"---")</f>
        <v>---</v>
      </c>
      <c r="N173" s="376" t="str">
        <f>IF(Start!$C$15="x",IF(K173 = "NA", "NA", (IF(M173 = "NA", "NA",(IF(OR(ChemData!U173="NA",ChemData!U173=""),(IF(K173&gt;M173,K173,M173)),(IF(K173&gt;M173,(IF(K173&gt;ChemData!U173, ChemData!U173, K173)),(IF(M173&gt;ChemData!U173,ChemData!U173,M173))))))))),"---")</f>
        <v>---</v>
      </c>
      <c r="O173" s="377" t="str">
        <f>IF(Start!$C$15="x",IF(N173 = "NA","NA", IF(OR(E173="NA",E173=""),"NA",(N173+(Data!$D$26*$E173))/(Data!$D$26+1))),"---")</f>
        <v>---</v>
      </c>
      <c r="P173" s="730" t="str">
        <f>IF(E173="",F173,IF($F173&lt;(1+(Data!$D$27/100))*$E173,(1+(Data!$D$27/100))*$E173,$F173))</f>
        <v>NA</v>
      </c>
      <c r="Q173" s="343" t="str">
        <f>IF(Start!$C$15="x",(IF(C173="","",(IF(O173="NA","NA",IF(P173="NA","NA",IF(P173=0,"NA",(O173/P173))))))),"Not Req.")</f>
        <v>Not Req.</v>
      </c>
      <c r="R173" s="163"/>
      <c r="S173" s="18"/>
      <c r="T173" s="18"/>
      <c r="U173" s="163"/>
      <c r="V173" s="163"/>
      <c r="W173" s="18"/>
      <c r="X173" s="163"/>
      <c r="Y173" s="163"/>
      <c r="Z173" s="18"/>
    </row>
    <row r="174" spans="1:26" s="10" customFormat="1" x14ac:dyDescent="0.25">
      <c r="A174" s="405" t="s">
        <v>676</v>
      </c>
      <c r="B174" s="371" t="str">
        <f>IF(Start!$C$15="x",IF(C174="NA","NA",(IF(C174="","",(IF(OR(F174="NA",F174=""),"No Criteria",(IF(AND(O174="NA",F174&lt;&gt;"NA",C174&lt;&gt;"NA"),                  "Missing Data",(IF(O174&lt;F174,"No",(IF(D174&gt;F174,"Caution",(IF(O174&gt;=F174,"Needed","No"))))))))))))),"---")</f>
        <v>---</v>
      </c>
      <c r="C174" s="372" t="str">
        <f>IF(TRUE=ISBLANK(ChemData!B174),"",(ChemData!B174))</f>
        <v/>
      </c>
      <c r="D174" s="373" t="str">
        <f>IF(TRUE=ISBLANK(ChemData!C174),"",(ChemData!C174))</f>
        <v/>
      </c>
      <c r="E174" s="374" t="str">
        <f>IF(TRUE=ISBLANK(ChemData!D174),"",(ChemData!D174))</f>
        <v/>
      </c>
      <c r="F174" s="289" t="str">
        <f>IF(TRUE=ISBLANK(ChemData!H174),"",(ChemData!H174))</f>
        <v>NA</v>
      </c>
      <c r="G174" s="290">
        <f>IF(TRUE=ISBLANK(ChemData!Q174),"",(ChemData!Q174))</f>
        <v>0.32166693340150943</v>
      </c>
      <c r="H174" s="291">
        <f>IF(TRUE=ISBLANK(ChemData!S174),"",(ChemData!S174))</f>
        <v>1</v>
      </c>
      <c r="I174" s="375" t="str">
        <f>IF(Start!$C$15="x",(IF(OR(C174="NA",C174=""), "NA", (IF($H174 = "NA", "NA", ((C174*$H174)))))),"---")</f>
        <v>---</v>
      </c>
      <c r="J174" s="376" t="str">
        <f>IF(Start!$C$15="x",(IF(I174 = "NA", "NA", IF(OR(D174="NA",D174=""),"NA",(I174 +((Data!$D$19-Data!$D$22)/(Data!$D$19*Data!$D$22)*$D174))))),"---")</f>
        <v>---</v>
      </c>
      <c r="K174" s="376" t="str">
        <f>IF(Start!$C$15="x",(IF(J174="NA","NA",IF(OR(G174="NA",G174=""),"NA",(J174*(1-Data!$D$23)*Data!$D$14*1000)/(Data!$D$23+((1-Data!$D$23)*Data!$D$14*$G174))))),"---")</f>
        <v>---</v>
      </c>
      <c r="L174" s="376" t="str">
        <f>IF(Start!$C$15="x",(IF(I174="NA","NA",IF($G174 = "NA", "NA",(IF(OR(ChemData!U174="NA",ChemData!U174=""),I174/((Data!$D$18+((1-Data!$D$18)*Data!$D$14*$G174))/((1-Data!$D$18)*Data!$D$14*1000)),(IF(I174/((Data!$D$18+((1-Data!$D$18)*Data!$D$14*$G174))/((1-Data!$D$18)*Data!$D$14*1000))&gt;ChemData!U174, ChemData!U174, I174/((Data!$D$18+((1-Data!$D$18)*Data!$D$14*$G174))/((1-Data!$D$18)*Data!$D$14*1000))))))))),"---")</f>
        <v>---</v>
      </c>
      <c r="M174" s="376" t="str">
        <f>IF(Start!$C$15="x",(IF(L174="NA","NA",IF(OR(D174="NA",D174=""),"NA",(((Data!$D$22*Data!$D$18)*L174)+(Data!$D$19-Data!$D$22)*$D174)/((Data!$D$22*Data!$D$18)+Data!$D$19-Data!$D$22)))),"---")</f>
        <v>---</v>
      </c>
      <c r="N174" s="376" t="str">
        <f>IF(Start!$C$15="x",IF(K174 = "NA", "NA", (IF(M174 = "NA", "NA",(IF(OR(ChemData!U174="NA",ChemData!U174=""),(IF(K174&gt;M174,K174,M174)),(IF(K174&gt;M174,(IF(K174&gt;ChemData!U174, ChemData!U174, K174)),(IF(M174&gt;ChemData!U174,ChemData!U174,M174))))))))),"---")</f>
        <v>---</v>
      </c>
      <c r="O174" s="377" t="str">
        <f>IF(Start!$C$15="x",IF(N174 = "NA","NA", IF(OR(E174="NA",E174=""),"NA",(N174+(Data!$D$26*$E174))/(Data!$D$26+1))),"---")</f>
        <v>---</v>
      </c>
      <c r="P174" s="730" t="str">
        <f>IF(E174="",F174,IF($F174&lt;(1+(Data!$D$27/100))*$E174,(1+(Data!$D$27/100))*$E174,$F174))</f>
        <v>NA</v>
      </c>
      <c r="Q174" s="343" t="str">
        <f>IF(Start!$C$15="x",(IF(C174="","",(IF(O174="NA","NA",IF(P174="NA","NA",IF(P174=0,"NA",(O174/P174))))))),"Not Req.")</f>
        <v>Not Req.</v>
      </c>
      <c r="R174" s="163"/>
      <c r="S174" s="18"/>
      <c r="T174" s="18"/>
      <c r="U174" s="163"/>
      <c r="V174" s="163"/>
      <c r="W174" s="18"/>
      <c r="X174" s="163"/>
      <c r="Y174" s="163"/>
      <c r="Z174" s="18"/>
    </row>
    <row r="175" spans="1:26" s="10" customFormat="1" x14ac:dyDescent="0.25">
      <c r="A175" s="405" t="s">
        <v>677</v>
      </c>
      <c r="B175" s="371" t="str">
        <f>IF(Start!$C$15="x",IF(C175="NA","NA",(IF(C175="","",(IF(OR(F175="NA",F175=""),"No Criteria",(IF(AND(O175="NA",F175&lt;&gt;"NA",C175&lt;&gt;"NA"),                  "Missing Data",(IF(O175&lt;F175,"No",(IF(D175&gt;F175,"Caution",(IF(O175&gt;=F175,"Needed","No"))))))))))))),"---")</f>
        <v>---</v>
      </c>
      <c r="C175" s="372" t="str">
        <f>IF(TRUE=ISBLANK(ChemData!B175),"",(ChemData!B175))</f>
        <v/>
      </c>
      <c r="D175" s="373" t="str">
        <f>IF(TRUE=ISBLANK(ChemData!C175),"",(ChemData!C175))</f>
        <v/>
      </c>
      <c r="E175" s="374" t="str">
        <f>IF(TRUE=ISBLANK(ChemData!D175),"",(ChemData!D175))</f>
        <v/>
      </c>
      <c r="F175" s="289">
        <f>IF(TRUE=ISBLANK(ChemData!H175),"",(ChemData!H175))</f>
        <v>2200</v>
      </c>
      <c r="G175" s="290">
        <f>IF(TRUE=ISBLANK(ChemData!Q175),"",(ChemData!Q175))</f>
        <v>0.37792569355833</v>
      </c>
      <c r="H175" s="291">
        <f>IF(TRUE=ISBLANK(ChemData!S175),"",(ChemData!S175))</f>
        <v>1</v>
      </c>
      <c r="I175" s="375" t="str">
        <f>IF(Start!$C$15="x",(IF(OR(C175="NA",C175=""), "NA", (IF($H175 = "NA", "NA", ((C175*$H175)))))),"---")</f>
        <v>---</v>
      </c>
      <c r="J175" s="376" t="str">
        <f>IF(Start!$C$15="x",(IF(I175 = "NA", "NA", IF(OR(D175="NA",D175=""),"NA",(I175 +((Data!$D$19-Data!$D$22)/(Data!$D$19*Data!$D$22)*$D175))))),"---")</f>
        <v>---</v>
      </c>
      <c r="K175" s="376" t="str">
        <f>IF(Start!$C$15="x",(IF(J175="NA","NA",IF(OR(G175="NA",G175=""),"NA",(J175*(1-Data!$D$23)*Data!$D$14*1000)/(Data!$D$23+((1-Data!$D$23)*Data!$D$14*$G175))))),"---")</f>
        <v>---</v>
      </c>
      <c r="L175" s="376" t="str">
        <f>IF(Start!$C$15="x",(IF(I175="NA","NA",IF($G175 = "NA", "NA",(IF(OR(ChemData!U175="NA",ChemData!U175=""),I175/((Data!$D$18+((1-Data!$D$18)*Data!$D$14*$G175))/((1-Data!$D$18)*Data!$D$14*1000)),(IF(I175/((Data!$D$18+((1-Data!$D$18)*Data!$D$14*$G175))/((1-Data!$D$18)*Data!$D$14*1000))&gt;ChemData!U175, ChemData!U175, I175/((Data!$D$18+((1-Data!$D$18)*Data!$D$14*$G175))/((1-Data!$D$18)*Data!$D$14*1000))))))))),"---")</f>
        <v>---</v>
      </c>
      <c r="M175" s="376" t="str">
        <f>IF(Start!$C$15="x",(IF(L175="NA","NA",IF(OR(D175="NA",D175=""),"NA",(((Data!$D$22*Data!$D$18)*L175)+(Data!$D$19-Data!$D$22)*$D175)/((Data!$D$22*Data!$D$18)+Data!$D$19-Data!$D$22)))),"---")</f>
        <v>---</v>
      </c>
      <c r="N175" s="376" t="str">
        <f>IF(Start!$C$15="x",IF(K175 = "NA", "NA", (IF(M175 = "NA", "NA",(IF(OR(ChemData!U175="NA",ChemData!U175=""),(IF(K175&gt;M175,K175,M175)),(IF(K175&gt;M175,(IF(K175&gt;ChemData!U175, ChemData!U175, K175)),(IF(M175&gt;ChemData!U175,ChemData!U175,M175))))))))),"---")</f>
        <v>---</v>
      </c>
      <c r="O175" s="377" t="str">
        <f>IF(Start!$C$15="x",IF(N175 = "NA","NA", IF(OR(E175="NA",E175=""),"NA",(N175+(Data!$D$26*$E175))/(Data!$D$26+1))),"---")</f>
        <v>---</v>
      </c>
      <c r="P175" s="730">
        <f>IF(E175="",F175,IF($F175&lt;(1+(Data!$D$27/100))*$E175,(1+(Data!$D$27/100))*$E175,$F175))</f>
        <v>2200</v>
      </c>
      <c r="Q175" s="343" t="str">
        <f>IF(Start!$C$15="x",(IF(C175="","",(IF(O175="NA","NA",IF(P175="NA","NA",IF(P175=0,"NA",(O175/P175))))))),"Not Req.")</f>
        <v>Not Req.</v>
      </c>
      <c r="R175" s="163"/>
      <c r="S175" s="18"/>
      <c r="T175" s="18"/>
      <c r="U175" s="163"/>
      <c r="V175" s="163"/>
      <c r="W175" s="18"/>
      <c r="X175" s="163"/>
      <c r="Y175" s="163"/>
      <c r="Z175" s="18"/>
    </row>
    <row r="176" spans="1:26" s="10" customFormat="1" x14ac:dyDescent="0.25">
      <c r="A176" s="405" t="s">
        <v>678</v>
      </c>
      <c r="B176" s="371" t="str">
        <f>IF(Start!$C$15="x",IF(C176="NA","NA",(IF(C176="","",(IF(OR(F176="NA",F176=""),"No Criteria",(IF(AND(O176="NA",F176&lt;&gt;"NA",C176&lt;&gt;"NA"),                  "Missing Data",(IF(O176&lt;F176,"No",(IF(D176&gt;F176,"Caution",(IF(O176&gt;=F176,"Needed","No"))))))))))))),"---")</f>
        <v>---</v>
      </c>
      <c r="C176" s="372" t="str">
        <f>IF(TRUE=ISBLANK(ChemData!B176),"",(ChemData!B176))</f>
        <v/>
      </c>
      <c r="D176" s="373" t="str">
        <f>IF(TRUE=ISBLANK(ChemData!C176),"",(ChemData!C176))</f>
        <v/>
      </c>
      <c r="E176" s="374" t="str">
        <f>IF(TRUE=ISBLANK(ChemData!D176),"",(ChemData!D176))</f>
        <v/>
      </c>
      <c r="F176" s="289">
        <f>IF(TRUE=ISBLANK(ChemData!H176),"",(ChemData!H176))</f>
        <v>26000</v>
      </c>
      <c r="G176" s="290">
        <f>IF(TRUE=ISBLANK(ChemData!Q176),"",(ChemData!Q176))</f>
        <v>0.32915951879820476</v>
      </c>
      <c r="H176" s="291">
        <f>IF(TRUE=ISBLANK(ChemData!S176),"",(ChemData!S176))</f>
        <v>1</v>
      </c>
      <c r="I176" s="375" t="str">
        <f>IF(Start!$C$15="x",(IF(OR(C176="NA",C176=""), "NA", (IF($H176 = "NA", "NA", ((C176*$H176)))))),"---")</f>
        <v>---</v>
      </c>
      <c r="J176" s="376" t="str">
        <f>IF(Start!$C$15="x",(IF(I176 = "NA", "NA", IF(OR(D176="NA",D176=""),"NA",(I176 +((Data!$D$19-Data!$D$22)/(Data!$D$19*Data!$D$22)*$D176))))),"---")</f>
        <v>---</v>
      </c>
      <c r="K176" s="376" t="str">
        <f>IF(Start!$C$15="x",(IF(J176="NA","NA",IF(OR(G176="NA",G176=""),"NA",(J176*(1-Data!$D$23)*Data!$D$14*1000)/(Data!$D$23+((1-Data!$D$23)*Data!$D$14*$G176))))),"---")</f>
        <v>---</v>
      </c>
      <c r="L176" s="376" t="str">
        <f>IF(Start!$C$15="x",(IF(I176="NA","NA",IF($G176 = "NA", "NA",(IF(OR(ChemData!U176="NA",ChemData!U176=""),I176/((Data!$D$18+((1-Data!$D$18)*Data!$D$14*$G176))/((1-Data!$D$18)*Data!$D$14*1000)),(IF(I176/((Data!$D$18+((1-Data!$D$18)*Data!$D$14*$G176))/((1-Data!$D$18)*Data!$D$14*1000))&gt;ChemData!U176, ChemData!U176, I176/((Data!$D$18+((1-Data!$D$18)*Data!$D$14*$G176))/((1-Data!$D$18)*Data!$D$14*1000))))))))),"---")</f>
        <v>---</v>
      </c>
      <c r="M176" s="376" t="str">
        <f>IF(Start!$C$15="x",(IF(L176="NA","NA",IF(OR(D176="NA",D176=""),"NA",(((Data!$D$22*Data!$D$18)*L176)+(Data!$D$19-Data!$D$22)*$D176)/((Data!$D$22*Data!$D$18)+Data!$D$19-Data!$D$22)))),"---")</f>
        <v>---</v>
      </c>
      <c r="N176" s="376" t="str">
        <f>IF(Start!$C$15="x",IF(K176 = "NA", "NA", (IF(M176 = "NA", "NA",(IF(OR(ChemData!U176="NA",ChemData!U176=""),(IF(K176&gt;M176,K176,M176)),(IF(K176&gt;M176,(IF(K176&gt;ChemData!U176, ChemData!U176, K176)),(IF(M176&gt;ChemData!U176,ChemData!U176,M176))))))))),"---")</f>
        <v>---</v>
      </c>
      <c r="O176" s="377" t="str">
        <f>IF(Start!$C$15="x",IF(N176 = "NA","NA", IF(OR(E176="NA",E176=""),"NA",(N176+(Data!$D$26*$E176))/(Data!$D$26+1))),"---")</f>
        <v>---</v>
      </c>
      <c r="P176" s="730">
        <f>IF(E176="",F176,IF($F176&lt;(1+(Data!$D$27/100))*$E176,(1+(Data!$D$27/100))*$E176,$F176))</f>
        <v>26000</v>
      </c>
      <c r="Q176" s="343" t="str">
        <f>IF(Start!$C$15="x",(IF(C176="","",(IF(O176="NA","NA",IF(P176="NA","NA",IF(P176=0,"NA",(O176/P176))))))),"Not Req.")</f>
        <v>Not Req.</v>
      </c>
      <c r="R176" s="163"/>
      <c r="S176" s="18"/>
      <c r="T176" s="18"/>
      <c r="U176" s="163"/>
      <c r="V176" s="163"/>
      <c r="W176" s="18"/>
      <c r="X176" s="163"/>
      <c r="Y176" s="163"/>
      <c r="Z176" s="18"/>
    </row>
    <row r="177" spans="1:26" s="10" customFormat="1" x14ac:dyDescent="0.25">
      <c r="A177" s="308" t="s">
        <v>679</v>
      </c>
      <c r="B177" s="371" t="str">
        <f>IF(Start!$C$15="x",IF(C177="NA","NA",(IF(C177="","",(IF(OR(F177="NA",F177=""),"No Criteria",(IF(AND(O177="NA",F177&lt;&gt;"NA",C177&lt;&gt;"NA"),                  "Missing Data",(IF(O177&lt;F177,"No",(IF(D177&gt;F177,"Caution",(IF(O177&gt;=F177,"Needed","No"))))))))))))),"---")</f>
        <v>---</v>
      </c>
      <c r="C177" s="372" t="str">
        <f>IF(TRUE=ISBLANK(ChemData!B177),"",(ChemData!B177))</f>
        <v/>
      </c>
      <c r="D177" s="373" t="str">
        <f>IF(TRUE=ISBLANK(ChemData!C177),"",(ChemData!C177))</f>
        <v/>
      </c>
      <c r="E177" s="374" t="str">
        <f>IF(TRUE=ISBLANK(ChemData!D177),"",(ChemData!D177))</f>
        <v/>
      </c>
      <c r="F177" s="289">
        <f>IF(TRUE=ISBLANK(ChemData!H177),"",(ChemData!H177))</f>
        <v>150</v>
      </c>
      <c r="G177" s="290">
        <f>IF(TRUE=ISBLANK(ChemData!Q177),"",(ChemData!Q177))</f>
        <v>4.3391675371571781</v>
      </c>
      <c r="H177" s="291">
        <f>IF(TRUE=ISBLANK(ChemData!S177),"",(ChemData!S177))</f>
        <v>1</v>
      </c>
      <c r="I177" s="375" t="str">
        <f>IF(Start!$C$15="x",(IF(OR(C177="NA",C177=""), "NA", (IF($H177 = "NA", "NA", ((C177*$H177)))))),"---")</f>
        <v>---</v>
      </c>
      <c r="J177" s="376" t="str">
        <f>IF(Start!$C$15="x",(IF(I177 = "NA", "NA", IF(OR(D177="NA",D177=""),"NA",(I177 +((Data!$D$19-Data!$D$22)/(Data!$D$19*Data!$D$22)*$D177))))),"---")</f>
        <v>---</v>
      </c>
      <c r="K177" s="376" t="str">
        <f>IF(Start!$C$15="x",(IF(J177="NA","NA",IF(OR(G177="NA",G177=""),"NA",(J177*(1-Data!$D$23)*Data!$D$14*1000)/(Data!$D$23+((1-Data!$D$23)*Data!$D$14*$G177))))),"---")</f>
        <v>---</v>
      </c>
      <c r="L177" s="376" t="str">
        <f>IF(Start!$C$15="x",(IF(I177="NA","NA",IF($G177 = "NA", "NA",(IF(OR(ChemData!U177="NA",ChemData!U177=""),I177/((Data!$D$18+((1-Data!$D$18)*Data!$D$14*$G177))/((1-Data!$D$18)*Data!$D$14*1000)),(IF(I177/((Data!$D$18+((1-Data!$D$18)*Data!$D$14*$G177))/((1-Data!$D$18)*Data!$D$14*1000))&gt;ChemData!U177, ChemData!U177, I177/((Data!$D$18+((1-Data!$D$18)*Data!$D$14*$G177))/((1-Data!$D$18)*Data!$D$14*1000))))))))),"---")</f>
        <v>---</v>
      </c>
      <c r="M177" s="376" t="str">
        <f>IF(Start!$C$15="x",(IF(L177="NA","NA",IF(OR(D177="NA",D177=""),"NA",(((Data!$D$22*Data!$D$18)*L177)+(Data!$D$19-Data!$D$22)*$D177)/((Data!$D$22*Data!$D$18)+Data!$D$19-Data!$D$22)))),"---")</f>
        <v>---</v>
      </c>
      <c r="N177" s="376" t="str">
        <f>IF(Start!$C$15="x",IF(K177 = "NA", "NA", (IF(M177 = "NA", "NA",(IF(OR(ChemData!U177="NA",ChemData!U177=""),(IF(K177&gt;M177,K177,M177)),(IF(K177&gt;M177,(IF(K177&gt;ChemData!U177, ChemData!U177, K177)),(IF(M177&gt;ChemData!U177,ChemData!U177,M177))))))))),"---")</f>
        <v>---</v>
      </c>
      <c r="O177" s="377" t="str">
        <f>IF(Start!$C$15="x",IF(N177 = "NA","NA", IF(OR(E177="NA",E177=""),"NA",(N177+(Data!$D$26*$E177))/(Data!$D$26+1))),"---")</f>
        <v>---</v>
      </c>
      <c r="P177" s="730">
        <f>IF(E177="",F177,IF($F177&lt;(1+(Data!$D$27/100))*$E177,(1+(Data!$D$27/100))*$E177,$F177))</f>
        <v>150</v>
      </c>
      <c r="Q177" s="343" t="str">
        <f>IF(Start!$C$15="x",(IF(C177="","",(IF(O177="NA","NA",IF(P177="NA","NA",IF(P177=0,"NA",(O177/P177))))))),"Not Req.")</f>
        <v>Not Req.</v>
      </c>
      <c r="R177" s="163"/>
      <c r="S177" s="18"/>
      <c r="T177" s="18"/>
      <c r="U177" s="163"/>
      <c r="V177" s="163"/>
      <c r="W177" s="18"/>
      <c r="X177" s="163"/>
      <c r="Y177" s="163"/>
      <c r="Z177" s="18"/>
    </row>
    <row r="178" spans="1:26" s="10" customFormat="1" x14ac:dyDescent="0.25">
      <c r="A178" s="308" t="s">
        <v>496</v>
      </c>
      <c r="B178" s="371" t="str">
        <f>IF(Start!$C$15="x",IF(C178="NA","NA",(IF(C178="","",(IF(OR(F178="NA",F178=""),"No Criteria",(IF(AND(O178="NA",F178&lt;&gt;"NA",C178&lt;&gt;"NA"),                  "Missing Data",(IF(O178&lt;F178,"No",(IF(D178&gt;F178,"Caution",(IF(O178&gt;=F178,"Needed","No"))))))))))))),"---")</f>
        <v>---</v>
      </c>
      <c r="C178" s="372" t="str">
        <f>IF(TRUE=ISBLANK(ChemData!B178),"",(ChemData!B178))</f>
        <v/>
      </c>
      <c r="D178" s="373" t="str">
        <f>IF(TRUE=ISBLANK(ChemData!C178),"",(ChemData!C178))</f>
        <v/>
      </c>
      <c r="E178" s="374" t="str">
        <f>IF(TRUE=ISBLANK(ChemData!D178),"",(ChemData!D178))</f>
        <v/>
      </c>
      <c r="F178" s="289">
        <f>IF(TRUE=ISBLANK(ChemData!H178),"",(ChemData!H178))</f>
        <v>2000</v>
      </c>
      <c r="G178" s="290">
        <f>IF(TRUE=ISBLANK(ChemData!Q178),"",(ChemData!Q178))</f>
        <v>0.5989718589767421</v>
      </c>
      <c r="H178" s="291">
        <f>IF(TRUE=ISBLANK(ChemData!S178),"",(ChemData!S178))</f>
        <v>1</v>
      </c>
      <c r="I178" s="375" t="str">
        <f>IF(Start!$C$15="x",(IF(OR(C178="NA",C178=""), "NA", (IF($H178 = "NA", "NA", ((C178*$H178)))))),"---")</f>
        <v>---</v>
      </c>
      <c r="J178" s="376" t="str">
        <f>IF(Start!$C$15="x",(IF(I178 = "NA", "NA", IF(OR(D178="NA",D178=""),"NA",(I178 +((Data!$D$19-Data!$D$22)/(Data!$D$19*Data!$D$22)*$D178))))),"---")</f>
        <v>---</v>
      </c>
      <c r="K178" s="376" t="str">
        <f>IF(Start!$C$15="x",(IF(J178="NA","NA",IF(OR(G178="NA",G178=""),"NA",(J178*(1-Data!$D$23)*Data!$D$14*1000)/(Data!$D$23+((1-Data!$D$23)*Data!$D$14*$G178))))),"---")</f>
        <v>---</v>
      </c>
      <c r="L178" s="376" t="str">
        <f>IF(Start!$C$15="x",(IF(I178="NA","NA",IF($G178 = "NA", "NA",(IF(OR(ChemData!U178="NA",ChemData!U178=""),I178/((Data!$D$18+((1-Data!$D$18)*Data!$D$14*$G178))/((1-Data!$D$18)*Data!$D$14*1000)),(IF(I178/((Data!$D$18+((1-Data!$D$18)*Data!$D$14*$G178))/((1-Data!$D$18)*Data!$D$14*1000))&gt;ChemData!U178, ChemData!U178, I178/((Data!$D$18+((1-Data!$D$18)*Data!$D$14*$G178))/((1-Data!$D$18)*Data!$D$14*1000))))))))),"---")</f>
        <v>---</v>
      </c>
      <c r="M178" s="376" t="str">
        <f>IF(Start!$C$15="x",(IF(L178="NA","NA",IF(OR(D178="NA",D178=""),"NA",(((Data!$D$22*Data!$D$18)*L178)+(Data!$D$19-Data!$D$22)*$D178)/((Data!$D$22*Data!$D$18)+Data!$D$19-Data!$D$22)))),"---")</f>
        <v>---</v>
      </c>
      <c r="N178" s="376" t="str">
        <f>IF(Start!$C$15="x",IF(K178 = "NA", "NA", (IF(M178 = "NA", "NA",(IF(OR(ChemData!U178="NA",ChemData!U178=""),(IF(K178&gt;M178,K178,M178)),(IF(K178&gt;M178,(IF(K178&gt;ChemData!U178, ChemData!U178, K178)),(IF(M178&gt;ChemData!U178,ChemData!U178,M178))))))))),"---")</f>
        <v>---</v>
      </c>
      <c r="O178" s="377" t="str">
        <f>IF(Start!$C$15="x",IF(N178 = "NA","NA", IF(OR(E178="NA",E178=""),"NA",(N178+(Data!$D$26*$E178))/(Data!$D$26+1))),"---")</f>
        <v>---</v>
      </c>
      <c r="P178" s="730">
        <f>IF(E178="",F178,IF($F178&lt;(1+(Data!$D$27/100))*$E178,(1+(Data!$D$27/100))*$E178,$F178))</f>
        <v>2000</v>
      </c>
      <c r="Q178" s="343" t="str">
        <f>IF(Start!$C$15="x",(IF(C178="","",(IF(O178="NA","NA",IF(P178="NA","NA",IF(P178=0,"NA",(O178/P178))))))),"Not Req.")</f>
        <v>Not Req.</v>
      </c>
      <c r="R178" s="163"/>
      <c r="S178" s="18"/>
      <c r="T178" s="18"/>
      <c r="U178" s="163"/>
      <c r="V178" s="163"/>
      <c r="W178" s="18"/>
      <c r="X178" s="163"/>
      <c r="Y178" s="163"/>
      <c r="Z178" s="18"/>
    </row>
    <row r="179" spans="1:26" s="10" customFormat="1" x14ac:dyDescent="0.25">
      <c r="A179" s="308" t="s">
        <v>497</v>
      </c>
      <c r="B179" s="371" t="str">
        <f>IF(Start!$C$15="x",IF(C179="NA","NA",(IF(C179="","",(IF(OR(F179="NA",F179=""),"No Criteria",(IF(AND(O179="NA",F179&lt;&gt;"NA",C179&lt;&gt;"NA"),                  "Missing Data",(IF(O179&lt;F179,"No",(IF(D179&gt;F179,"Caution",(IF(O179&gt;=F179,"Needed","No"))))))))))))),"---")</f>
        <v>---</v>
      </c>
      <c r="C179" s="372" t="str">
        <f>IF(TRUE=ISBLANK(ChemData!B179),"",(ChemData!B179))</f>
        <v/>
      </c>
      <c r="D179" s="373" t="str">
        <f>IF(TRUE=ISBLANK(ChemData!C179),"",(ChemData!C179))</f>
        <v/>
      </c>
      <c r="E179" s="374" t="str">
        <f>IF(TRUE=ISBLANK(ChemData!D179),"",(ChemData!D179))</f>
        <v/>
      </c>
      <c r="F179" s="289">
        <f>IF(TRUE=ISBLANK(ChemData!H179),"",(ChemData!H179))</f>
        <v>130</v>
      </c>
      <c r="G179" s="290">
        <f>IF(TRUE=ISBLANK(ChemData!Q179),"",(ChemData!Q179))</f>
        <v>2.0768561589129347E-2</v>
      </c>
      <c r="H179" s="291">
        <f>IF(TRUE=ISBLANK(ChemData!S179),"",(ChemData!S179))</f>
        <v>1</v>
      </c>
      <c r="I179" s="375" t="str">
        <f>IF(Start!$C$15="x",(IF(OR(C179="NA",C179=""), "NA", (IF($H179 = "NA", "NA", ((C179*$H179)))))),"---")</f>
        <v>---</v>
      </c>
      <c r="J179" s="376" t="str">
        <f>IF(Start!$C$15="x",(IF(I179 = "NA", "NA", IF(OR(D179="NA",D179=""),"NA",(I179 +((Data!$D$19-Data!$D$22)/(Data!$D$19*Data!$D$22)*$D179))))),"---")</f>
        <v>---</v>
      </c>
      <c r="K179" s="376" t="str">
        <f>IF(Start!$C$15="x",(IF(J179="NA","NA",IF(OR(G179="NA",G179=""),"NA",(J179*(1-Data!$D$23)*Data!$D$14*1000)/(Data!$D$23+((1-Data!$D$23)*Data!$D$14*$G179))))),"---")</f>
        <v>---</v>
      </c>
      <c r="L179" s="376" t="str">
        <f>IF(Start!$C$15="x",(IF(I179="NA","NA",IF($G179 = "NA", "NA",(IF(OR(ChemData!U179="NA",ChemData!U179=""),I179/((Data!$D$18+((1-Data!$D$18)*Data!$D$14*$G179))/((1-Data!$D$18)*Data!$D$14*1000)),(IF(I179/((Data!$D$18+((1-Data!$D$18)*Data!$D$14*$G179))/((1-Data!$D$18)*Data!$D$14*1000))&gt;ChemData!U179, ChemData!U179, I179/((Data!$D$18+((1-Data!$D$18)*Data!$D$14*$G179))/((1-Data!$D$18)*Data!$D$14*1000))))))))),"---")</f>
        <v>---</v>
      </c>
      <c r="M179" s="376" t="str">
        <f>IF(Start!$C$15="x",(IF(L179="NA","NA",IF(OR(D179="NA",D179=""),"NA",(((Data!$D$22*Data!$D$18)*L179)+(Data!$D$19-Data!$D$22)*$D179)/((Data!$D$22*Data!$D$18)+Data!$D$19-Data!$D$22)))),"---")</f>
        <v>---</v>
      </c>
      <c r="N179" s="376" t="str">
        <f>IF(Start!$C$15="x",IF(K179 = "NA", "NA", (IF(M179 = "NA", "NA",(IF(OR(ChemData!U179="NA",ChemData!U179=""),(IF(K179&gt;M179,K179,M179)),(IF(K179&gt;M179,(IF(K179&gt;ChemData!U179, ChemData!U179, K179)),(IF(M179&gt;ChemData!U179,ChemData!U179,M179))))))))),"---")</f>
        <v>---</v>
      </c>
      <c r="O179" s="377" t="str">
        <f>IF(Start!$C$15="x",IF(N179 = "NA","NA", IF(OR(E179="NA",E179=""),"NA",(N179+(Data!$D$26*$E179))/(Data!$D$26+1))),"---")</f>
        <v>---</v>
      </c>
      <c r="P179" s="730">
        <f>IF(E179="",F179,IF($F179&lt;(1+(Data!$D$27/100))*$E179,(1+(Data!$D$27/100))*$E179,$F179))</f>
        <v>130</v>
      </c>
      <c r="Q179" s="343" t="str">
        <f>IF(Start!$C$15="x",(IF(C179="","",(IF(O179="NA","NA",IF(P179="NA","NA",IF(P179=0,"NA",(O179/P179))))))),"Not Req.")</f>
        <v>Not Req.</v>
      </c>
      <c r="R179" s="163"/>
      <c r="S179" s="18"/>
      <c r="T179" s="18"/>
      <c r="U179" s="163"/>
      <c r="V179" s="163"/>
      <c r="W179" s="18"/>
      <c r="X179" s="163"/>
      <c r="Y179" s="163"/>
      <c r="Z179" s="18"/>
    </row>
    <row r="180" spans="1:26" s="10" customFormat="1" x14ac:dyDescent="0.25">
      <c r="A180" s="405" t="s">
        <v>498</v>
      </c>
      <c r="B180" s="371" t="str">
        <f>IF(Start!$C$15="x",IF(C180="NA","NA",(IF(C180="","",(IF(OR(F180="NA",F180=""),"No Criteria",(IF(AND(O180="NA",F180&lt;&gt;"NA",C180&lt;&gt;"NA"),                  "Missing Data",(IF(O180&lt;F180,"No",(IF(D180&gt;F180,"Caution",(IF(O180&gt;=F180,"Needed","No"))))))))))))),"---")</f>
        <v>---</v>
      </c>
      <c r="C180" s="372" t="str">
        <f>IF(TRUE=ISBLANK(ChemData!B180),"",(ChemData!B180))</f>
        <v/>
      </c>
      <c r="D180" s="373" t="str">
        <f>IF(TRUE=ISBLANK(ChemData!C180),"",(ChemData!C180))</f>
        <v/>
      </c>
      <c r="E180" s="374" t="str">
        <f>IF(TRUE=ISBLANK(ChemData!D180),"",(ChemData!D180))</f>
        <v/>
      </c>
      <c r="F180" s="289" t="str">
        <f>IF(TRUE=ISBLANK(ChemData!H180),"",(ChemData!H180))</f>
        <v>NA</v>
      </c>
      <c r="G180" s="290">
        <f>IF(TRUE=ISBLANK(ChemData!Q180),"",(ChemData!Q180))</f>
        <v>16.121536050087055</v>
      </c>
      <c r="H180" s="291">
        <f>IF(TRUE=ISBLANK(ChemData!S180),"",(ChemData!S180))</f>
        <v>1</v>
      </c>
      <c r="I180" s="375" t="str">
        <f>IF(Start!$C$15="x",(IF(OR(C180="NA",C180=""), "NA", (IF($H180 = "NA", "NA", ((C180*$H180)))))),"---")</f>
        <v>---</v>
      </c>
      <c r="J180" s="376" t="str">
        <f>IF(Start!$C$15="x",(IF(I180 = "NA", "NA", IF(OR(D180="NA",D180=""),"NA",(I180 +((Data!$D$19-Data!$D$22)/(Data!$D$19*Data!$D$22)*$D180))))),"---")</f>
        <v>---</v>
      </c>
      <c r="K180" s="376" t="str">
        <f>IF(Start!$C$15="x",(IF(J180="NA","NA",IF(OR(G180="NA",G180=""),"NA",(J180*(1-Data!$D$23)*Data!$D$14*1000)/(Data!$D$23+((1-Data!$D$23)*Data!$D$14*$G180))))),"---")</f>
        <v>---</v>
      </c>
      <c r="L180" s="376" t="str">
        <f>IF(Start!$C$15="x",(IF(I180="NA","NA",IF($G180 = "NA", "NA",(IF(OR(ChemData!U180="NA",ChemData!U180=""),I180/((Data!$D$18+((1-Data!$D$18)*Data!$D$14*$G180))/((1-Data!$D$18)*Data!$D$14*1000)),(IF(I180/((Data!$D$18+((1-Data!$D$18)*Data!$D$14*$G180))/((1-Data!$D$18)*Data!$D$14*1000))&gt;ChemData!U180, ChemData!U180, I180/((Data!$D$18+((1-Data!$D$18)*Data!$D$14*$G180))/((1-Data!$D$18)*Data!$D$14*1000))))))))),"---")</f>
        <v>---</v>
      </c>
      <c r="M180" s="376" t="str">
        <f>IF(Start!$C$15="x",(IF(L180="NA","NA",IF(OR(D180="NA",D180=""),"NA",(((Data!$D$22*Data!$D$18)*L180)+(Data!$D$19-Data!$D$22)*$D180)/((Data!$D$22*Data!$D$18)+Data!$D$19-Data!$D$22)))),"---")</f>
        <v>---</v>
      </c>
      <c r="N180" s="376" t="str">
        <f>IF(Start!$C$15="x",IF(K180 = "NA", "NA", (IF(M180 = "NA", "NA",(IF(OR(ChemData!U180="NA",ChemData!U180=""),(IF(K180&gt;M180,K180,M180)),(IF(K180&gt;M180,(IF(K180&gt;ChemData!U180, ChemData!U180, K180)),(IF(M180&gt;ChemData!U180,ChemData!U180,M180))))))))),"---")</f>
        <v>---</v>
      </c>
      <c r="O180" s="377" t="str">
        <f>IF(Start!$C$15="x",IF(N180 = "NA","NA", IF(OR(E180="NA",E180=""),"NA",(N180+(Data!$D$26*$E180))/(Data!$D$26+1))),"---")</f>
        <v>---</v>
      </c>
      <c r="P180" s="730" t="str">
        <f>IF(E180="",F180,IF($F180&lt;(1+(Data!$D$27/100))*$E180,(1+(Data!$D$27/100))*$E180,$F180))</f>
        <v>NA</v>
      </c>
      <c r="Q180" s="343" t="str">
        <f>IF(Start!$C$15="x",(IF(C180="","",(IF(O180="NA","NA",IF(P180="NA","NA",IF(P180=0,"NA",(O180/P180))))))),"Not Req.")</f>
        <v>Not Req.</v>
      </c>
      <c r="R180" s="163"/>
      <c r="S180" s="18"/>
      <c r="T180" s="18"/>
      <c r="U180" s="163"/>
      <c r="V180" s="163"/>
      <c r="W180" s="18"/>
      <c r="X180" s="163"/>
      <c r="Y180" s="163"/>
      <c r="Z180" s="18"/>
    </row>
    <row r="181" spans="1:26" s="10" customFormat="1" x14ac:dyDescent="0.25">
      <c r="A181" s="405" t="s">
        <v>499</v>
      </c>
      <c r="B181" s="371" t="str">
        <f>IF(Start!$C$15="x",IF(C181="NA","NA",(IF(C181="","",(IF(OR(F181="NA",F181=""),"No Criteria",(IF(AND(O181="NA",F181&lt;&gt;"NA",C181&lt;&gt;"NA"),                  "Missing Data",(IF(O181&lt;F181,"No",(IF(D181&gt;F181,"Caution",(IF(O181&gt;=F181,"Needed","No"))))))))))))),"---")</f>
        <v>---</v>
      </c>
      <c r="C181" s="372" t="str">
        <f>IF(TRUE=ISBLANK(ChemData!B181),"",(ChemData!B181))</f>
        <v/>
      </c>
      <c r="D181" s="373" t="str">
        <f>IF(TRUE=ISBLANK(ChemData!C181),"",(ChemData!C181))</f>
        <v/>
      </c>
      <c r="E181" s="374" t="str">
        <f>IF(TRUE=ISBLANK(ChemData!D181),"",(ChemData!D181))</f>
        <v/>
      </c>
      <c r="F181" s="289">
        <f>IF(TRUE=ISBLANK(ChemData!H181),"",(ChemData!H181))</f>
        <v>2100</v>
      </c>
      <c r="G181" s="290">
        <f>IF(TRUE=ISBLANK(ChemData!Q181),"",(ChemData!Q181))</f>
        <v>4.5436662029329957</v>
      </c>
      <c r="H181" s="291">
        <f>IF(TRUE=ISBLANK(ChemData!S181),"",(ChemData!S181))</f>
        <v>1</v>
      </c>
      <c r="I181" s="375" t="str">
        <f>IF(Start!$C$15="x",(IF(OR(C181="NA",C181=""), "NA", (IF($H181 = "NA", "NA", ((C181*$H181)))))),"---")</f>
        <v>---</v>
      </c>
      <c r="J181" s="376" t="str">
        <f>IF(Start!$C$15="x",(IF(I181 = "NA", "NA", IF(OR(D181="NA",D181=""),"NA",(I181 +((Data!$D$19-Data!$D$22)/(Data!$D$19*Data!$D$22)*$D181))))),"---")</f>
        <v>---</v>
      </c>
      <c r="K181" s="376" t="str">
        <f>IF(Start!$C$15="x",(IF(J181="NA","NA",IF(OR(G181="NA",G181=""),"NA",(J181*(1-Data!$D$23)*Data!$D$14*1000)/(Data!$D$23+((1-Data!$D$23)*Data!$D$14*$G181))))),"---")</f>
        <v>---</v>
      </c>
      <c r="L181" s="376" t="str">
        <f>IF(Start!$C$15="x",(IF(I181="NA","NA",IF($G181 = "NA", "NA",(IF(OR(ChemData!U181="NA",ChemData!U181=""),I181/((Data!$D$18+((1-Data!$D$18)*Data!$D$14*$G181))/((1-Data!$D$18)*Data!$D$14*1000)),(IF(I181/((Data!$D$18+((1-Data!$D$18)*Data!$D$14*$G181))/((1-Data!$D$18)*Data!$D$14*1000))&gt;ChemData!U181, ChemData!U181, I181/((Data!$D$18+((1-Data!$D$18)*Data!$D$14*$G181))/((1-Data!$D$18)*Data!$D$14*1000))))))))),"---")</f>
        <v>---</v>
      </c>
      <c r="M181" s="376" t="str">
        <f>IF(Start!$C$15="x",(IF(L181="NA","NA",IF(OR(D181="NA",D181=""),"NA",(((Data!$D$22*Data!$D$18)*L181)+(Data!$D$19-Data!$D$22)*$D181)/((Data!$D$22*Data!$D$18)+Data!$D$19-Data!$D$22)))),"---")</f>
        <v>---</v>
      </c>
      <c r="N181" s="376" t="str">
        <f>IF(Start!$C$15="x",IF(K181 = "NA", "NA", (IF(M181 = "NA", "NA",(IF(OR(ChemData!U181="NA",ChemData!U181=""),(IF(K181&gt;M181,K181,M181)),(IF(K181&gt;M181,(IF(K181&gt;ChemData!U181, ChemData!U181, K181)),(IF(M181&gt;ChemData!U181,ChemData!U181,M181))))))))),"---")</f>
        <v>---</v>
      </c>
      <c r="O181" s="377" t="str">
        <f>IF(Start!$C$15="x",IF(N181 = "NA","NA", IF(OR(E181="NA",E181=""),"NA",(N181+(Data!$D$26*$E181))/(Data!$D$26+1))),"---")</f>
        <v>---</v>
      </c>
      <c r="P181" s="730">
        <f>IF(E181="",F181,IF($F181&lt;(1+(Data!$D$27/100))*$E181,(1+(Data!$D$27/100))*$E181,$F181))</f>
        <v>2100</v>
      </c>
      <c r="Q181" s="343" t="str">
        <f>IF(Start!$C$15="x",(IF(C181="","",(IF(O181="NA","NA",IF(P181="NA","NA",IF(P181=0,"NA",(O181/P181))))))),"Not Req.")</f>
        <v>Not Req.</v>
      </c>
      <c r="R181" s="163"/>
      <c r="S181" s="18"/>
      <c r="T181" s="18"/>
      <c r="U181" s="163"/>
      <c r="V181" s="163"/>
      <c r="W181" s="18"/>
      <c r="X181" s="163"/>
      <c r="Y181" s="163"/>
      <c r="Z181" s="18"/>
    </row>
    <row r="182" spans="1:26" s="10" customFormat="1" ht="14.1" customHeight="1" x14ac:dyDescent="0.25">
      <c r="A182" s="405" t="s">
        <v>680</v>
      </c>
      <c r="B182" s="371" t="str">
        <f>IF(Start!$C$15="x",IF(C182="NA","NA",(IF(C182="","",(IF(OR(F182="NA",F182=""),"No Criteria",(IF(AND(O182="NA",F182&lt;&gt;"NA",C182&lt;&gt;"NA"),                  "Missing Data",(IF(O182&lt;F182,"No",(IF(D182&gt;F182,"Caution",(IF(O182&gt;=F182,"Needed","No"))))))))))))),"---")</f>
        <v>---</v>
      </c>
      <c r="C182" s="372" t="str">
        <f>IF(TRUE=ISBLANK(ChemData!B182),"",(ChemData!B182))</f>
        <v/>
      </c>
      <c r="D182" s="373" t="str">
        <f>IF(TRUE=ISBLANK(ChemData!C182),"",(ChemData!C182))</f>
        <v/>
      </c>
      <c r="E182" s="374" t="str">
        <f>IF(TRUE=ISBLANK(ChemData!D182),"",(ChemData!D182))</f>
        <v/>
      </c>
      <c r="F182" s="289">
        <f>IF(TRUE=ISBLANK(ChemData!H182),"",(ChemData!H182))</f>
        <v>830</v>
      </c>
      <c r="G182" s="290">
        <f>IF(TRUE=ISBLANK(ChemData!Q182),"",(ChemData!Q182))</f>
        <v>14.041270913790193</v>
      </c>
      <c r="H182" s="291">
        <f>IF(TRUE=ISBLANK(ChemData!S182),"",(ChemData!S182))</f>
        <v>1</v>
      </c>
      <c r="I182" s="375" t="str">
        <f>IF(Start!$C$15="x",(IF(OR(C182="NA",C182=""), "NA", (IF($H182 = "NA", "NA", ((C182*$H182)))))),"---")</f>
        <v>---</v>
      </c>
      <c r="J182" s="376" t="str">
        <f>IF(Start!$C$15="x",(IF(I182 = "NA", "NA", IF(OR(D182="NA",D182=""),"NA",(I182 +((Data!$D$19-Data!$D$22)/(Data!$D$19*Data!$D$22)*$D182))))),"---")</f>
        <v>---</v>
      </c>
      <c r="K182" s="376" t="str">
        <f>IF(Start!$C$15="x",(IF(J182="NA","NA",IF(OR(G182="NA",G182=""),"NA",(J182*(1-Data!$D$23)*Data!$D$14*1000)/(Data!$D$23+((1-Data!$D$23)*Data!$D$14*$G182))))),"---")</f>
        <v>---</v>
      </c>
      <c r="L182" s="376" t="str">
        <f>IF(Start!$C$15="x",(IF(I182="NA","NA",IF($G182 = "NA", "NA",(IF(OR(ChemData!U182="NA",ChemData!U182=""),I182/((Data!$D$18+((1-Data!$D$18)*Data!$D$14*$G182))/((1-Data!$D$18)*Data!$D$14*1000)),(IF(I182/((Data!$D$18+((1-Data!$D$18)*Data!$D$14*$G182))/((1-Data!$D$18)*Data!$D$14*1000))&gt;ChemData!U182, ChemData!U182, I182/((Data!$D$18+((1-Data!$D$18)*Data!$D$14*$G182))/((1-Data!$D$18)*Data!$D$14*1000))))))))),"---")</f>
        <v>---</v>
      </c>
      <c r="M182" s="376" t="str">
        <f>IF(Start!$C$15="x",(IF(L182="NA","NA",IF(OR(D182="NA",D182=""),"NA",(((Data!$D$22*Data!$D$18)*L182)+(Data!$D$19-Data!$D$22)*$D182)/((Data!$D$22*Data!$D$18)+Data!$D$19-Data!$D$22)))),"---")</f>
        <v>---</v>
      </c>
      <c r="N182" s="376" t="str">
        <f>IF(Start!$C$15="x",IF(K182 = "NA", "NA", (IF(M182 = "NA", "NA",(IF(OR(ChemData!U182="NA",ChemData!U182=""),(IF(K182&gt;M182,K182,M182)),(IF(K182&gt;M182,(IF(K182&gt;ChemData!U182, ChemData!U182, K182)),(IF(M182&gt;ChemData!U182,ChemData!U182,M182))))))))),"---")</f>
        <v>---</v>
      </c>
      <c r="O182" s="377" t="str">
        <f>IF(Start!$C$15="x",IF(N182 = "NA","NA", IF(OR(E182="NA",E182=""),"NA",(N182+(Data!$D$26*$E182))/(Data!$D$26+1))),"---")</f>
        <v>---</v>
      </c>
      <c r="P182" s="730">
        <f>IF(E182="",F182,IF($F182&lt;(1+(Data!$D$27/100))*$E182,(1+(Data!$D$27/100))*$E182,$F182))</f>
        <v>830</v>
      </c>
      <c r="Q182" s="343" t="str">
        <f>IF(Start!$C$15="x",(IF(C182="","",(IF(O182="NA","NA",IF(P182="NA","NA",IF(P182=0,"NA",(O182/P182))))))),"Not Req.")</f>
        <v>Not Req.</v>
      </c>
      <c r="R182" s="163"/>
      <c r="S182" s="18"/>
      <c r="T182" s="18"/>
      <c r="U182" s="163"/>
      <c r="V182" s="163"/>
      <c r="W182" s="18"/>
      <c r="X182" s="163"/>
      <c r="Y182" s="163"/>
      <c r="Z182" s="18"/>
    </row>
    <row r="183" spans="1:26" s="10" customFormat="1" x14ac:dyDescent="0.25">
      <c r="A183" s="405" t="s">
        <v>501</v>
      </c>
      <c r="B183" s="371" t="str">
        <f>IF(Start!$C$15="x",IF(C183="NA","NA",(IF(C183="","",(IF(OR(F183="NA",F183=""),"No Criteria",(IF(AND(O183="NA",F183&lt;&gt;"NA",C183&lt;&gt;"NA"),                  "Missing Data",(IF(O183&lt;F183,"No",(IF(D183&gt;F183,"Caution",(IF(O183&gt;=F183,"Needed","No"))))))))))))),"---")</f>
        <v>---</v>
      </c>
      <c r="C183" s="372" t="str">
        <f>IF(TRUE=ISBLANK(ChemData!B183),"",(ChemData!B183))</f>
        <v/>
      </c>
      <c r="D183" s="373" t="str">
        <f>IF(TRUE=ISBLANK(ChemData!C183),"",(ChemData!C183))</f>
        <v/>
      </c>
      <c r="E183" s="374" t="str">
        <f>IF(TRUE=ISBLANK(ChemData!D183),"",(ChemData!D183))</f>
        <v/>
      </c>
      <c r="F183" s="289">
        <f>IF(TRUE=ISBLANK(ChemData!H183),"",(ChemData!H183))</f>
        <v>120</v>
      </c>
      <c r="G183" s="290">
        <f>IF(TRUE=ISBLANK(ChemData!Q183),"",(ChemData!Q183))</f>
        <v>11.413173484456046</v>
      </c>
      <c r="H183" s="291">
        <f>IF(TRUE=ISBLANK(ChemData!S183),"",(ChemData!S183))</f>
        <v>1</v>
      </c>
      <c r="I183" s="375" t="str">
        <f>IF(Start!$C$15="x",(IF(OR(C183="NA",C183=""), "NA", (IF($H183 = "NA", "NA", ((C183*$H183)))))),"---")</f>
        <v>---</v>
      </c>
      <c r="J183" s="376" t="str">
        <f>IF(Start!$C$15="x",(IF(I183 = "NA", "NA", IF(OR(D183="NA",D183=""),"NA",(I183 +((Data!$D$19-Data!$D$22)/(Data!$D$19*Data!$D$22)*$D183))))),"---")</f>
        <v>---</v>
      </c>
      <c r="K183" s="376" t="str">
        <f>IF(Start!$C$15="x",(IF(J183="NA","NA",IF(OR(G183="NA",G183=""),"NA",(J183*(1-Data!$D$23)*Data!$D$14*1000)/(Data!$D$23+((1-Data!$D$23)*Data!$D$14*$G183))))),"---")</f>
        <v>---</v>
      </c>
      <c r="L183" s="376" t="str">
        <f>IF(Start!$C$15="x",(IF(I183="NA","NA",IF($G183 = "NA", "NA",(IF(OR(ChemData!U183="NA",ChemData!U183=""),I183/((Data!$D$18+((1-Data!$D$18)*Data!$D$14*$G183))/((1-Data!$D$18)*Data!$D$14*1000)),(IF(I183/((Data!$D$18+((1-Data!$D$18)*Data!$D$14*$G183))/((1-Data!$D$18)*Data!$D$14*1000))&gt;ChemData!U183, ChemData!U183, I183/((Data!$D$18+((1-Data!$D$18)*Data!$D$14*$G183))/((1-Data!$D$18)*Data!$D$14*1000))))))))),"---")</f>
        <v>---</v>
      </c>
      <c r="M183" s="376" t="str">
        <f>IF(Start!$C$15="x",(IF(L183="NA","NA",IF(OR(D183="NA",D183=""),"NA",(((Data!$D$22*Data!$D$18)*L183)+(Data!$D$19-Data!$D$22)*$D183)/((Data!$D$22*Data!$D$18)+Data!$D$19-Data!$D$22)))),"---")</f>
        <v>---</v>
      </c>
      <c r="N183" s="376" t="str">
        <f>IF(Start!$C$15="x",IF(K183 = "NA", "NA", (IF(M183 = "NA", "NA",(IF(OR(ChemData!U183="NA",ChemData!U183=""),(IF(K183&gt;M183,K183,M183)),(IF(K183&gt;M183,(IF(K183&gt;ChemData!U183, ChemData!U183, K183)),(IF(M183&gt;ChemData!U183,ChemData!U183,M183))))))))),"---")</f>
        <v>---</v>
      </c>
      <c r="O183" s="377" t="str">
        <f>IF(Start!$C$15="x",IF(N183 = "NA","NA", IF(OR(E183="NA",E183=""),"NA",(N183+(Data!$D$26*$E183))/(Data!$D$26+1))),"---")</f>
        <v>---</v>
      </c>
      <c r="P183" s="730">
        <f>IF(E183="",F183,IF($F183&lt;(1+(Data!$D$27/100))*$E183,(1+(Data!$D$27/100))*$E183,$F183))</f>
        <v>120</v>
      </c>
      <c r="Q183" s="343" t="str">
        <f>IF(Start!$C$15="x",(IF(C183="","",(IF(O183="NA","NA",IF(P183="NA","NA",IF(P183=0,"NA",(O183/P183))))))),"Not Req.")</f>
        <v>Not Req.</v>
      </c>
      <c r="R183" s="163"/>
      <c r="S183" s="18"/>
      <c r="T183" s="18"/>
      <c r="U183" s="163"/>
      <c r="V183" s="163"/>
      <c r="W183" s="18"/>
      <c r="X183" s="163"/>
      <c r="Y183" s="163"/>
      <c r="Z183" s="18"/>
    </row>
    <row r="184" spans="1:26" s="10" customFormat="1" x14ac:dyDescent="0.25">
      <c r="A184" s="405" t="s">
        <v>502</v>
      </c>
      <c r="B184" s="371" t="str">
        <f>IF(Start!$C$15="x",IF(C184="NA","NA",(IF(C184="","",(IF(OR(F184="NA",F184=""),"No Criteria",(IF(AND(O184="NA",F184&lt;&gt;"NA",C184&lt;&gt;"NA"),                  "Missing Data",(IF(O184&lt;F184,"No",(IF(D184&gt;F184,"Caution",(IF(O184&gt;=F184,"Needed","No"))))))))))))),"---")</f>
        <v>---</v>
      </c>
      <c r="C184" s="372" t="str">
        <f>IF(TRUE=ISBLANK(ChemData!B184),"",(ChemData!B184))</f>
        <v/>
      </c>
      <c r="D184" s="373" t="str">
        <f>IF(TRUE=ISBLANK(ChemData!C184),"",(ChemData!C184))</f>
        <v/>
      </c>
      <c r="E184" s="374" t="str">
        <f>IF(TRUE=ISBLANK(ChemData!D184),"",(ChemData!D184))</f>
        <v/>
      </c>
      <c r="F184" s="289">
        <f>IF(TRUE=ISBLANK(ChemData!H184),"",(ChemData!H184))</f>
        <v>200</v>
      </c>
      <c r="G184" s="290">
        <f>IF(TRUE=ISBLANK(ChemData!Q184),"",(ChemData!Q184))</f>
        <v>5.7201368455826618</v>
      </c>
      <c r="H184" s="291">
        <f>IF(TRUE=ISBLANK(ChemData!S184),"",(ChemData!S184))</f>
        <v>1</v>
      </c>
      <c r="I184" s="375" t="str">
        <f>IF(Start!$C$15="x",(IF(OR(C184="NA",C184=""), "NA", (IF($H184 = "NA", "NA", ((C184*$H184)))))),"---")</f>
        <v>---</v>
      </c>
      <c r="J184" s="376" t="str">
        <f>IF(Start!$C$15="x",(IF(I184 = "NA", "NA", IF(OR(D184="NA",D184=""),"NA",(I184 +((Data!$D$19-Data!$D$22)/(Data!$D$19*Data!$D$22)*$D184))))),"---")</f>
        <v>---</v>
      </c>
      <c r="K184" s="376" t="str">
        <f>IF(Start!$C$15="x",(IF(J184="NA","NA",IF(OR(G184="NA",G184=""),"NA",(J184*(1-Data!$D$23)*Data!$D$14*1000)/(Data!$D$23+((1-Data!$D$23)*Data!$D$14*$G184))))),"---")</f>
        <v>---</v>
      </c>
      <c r="L184" s="376" t="str">
        <f>IF(Start!$C$15="x",(IF(I184="NA","NA",IF($G184 = "NA", "NA",(IF(OR(ChemData!U184="NA",ChemData!U184=""),I184/((Data!$D$18+((1-Data!$D$18)*Data!$D$14*$G184))/((1-Data!$D$18)*Data!$D$14*1000)),(IF(I184/((Data!$D$18+((1-Data!$D$18)*Data!$D$14*$G184))/((1-Data!$D$18)*Data!$D$14*1000))&gt;ChemData!U184, ChemData!U184, I184/((Data!$D$18+((1-Data!$D$18)*Data!$D$14*$G184))/((1-Data!$D$18)*Data!$D$14*1000))))))))),"---")</f>
        <v>---</v>
      </c>
      <c r="M184" s="376" t="str">
        <f>IF(Start!$C$15="x",(IF(L184="NA","NA",IF(OR(D184="NA",D184=""),"NA",(((Data!$D$22*Data!$D$18)*L184)+(Data!$D$19-Data!$D$22)*$D184)/((Data!$D$22*Data!$D$18)+Data!$D$19-Data!$D$22)))),"---")</f>
        <v>---</v>
      </c>
      <c r="N184" s="376" t="str">
        <f>IF(Start!$C$15="x",IF(K184 = "NA", "NA", (IF(M184 = "NA", "NA",(IF(OR(ChemData!U184="NA",ChemData!U184=""),(IF(K184&gt;M184,K184,M184)),(IF(K184&gt;M184,(IF(K184&gt;ChemData!U184, ChemData!U184, K184)),(IF(M184&gt;ChemData!U184,ChemData!U184,M184))))))))),"---")</f>
        <v>---</v>
      </c>
      <c r="O184" s="377" t="str">
        <f>IF(Start!$C$15="x",IF(N184 = "NA","NA", IF(OR(E184="NA",E184=""),"NA",(N184+(Data!$D$26*$E184))/(Data!$D$26+1))),"---")</f>
        <v>---</v>
      </c>
      <c r="P184" s="730">
        <f>IF(E184="",F184,IF($F184&lt;(1+(Data!$D$27/100))*$E184,(1+(Data!$D$27/100))*$E184,$F184))</f>
        <v>200</v>
      </c>
      <c r="Q184" s="343" t="str">
        <f>IF(Start!$C$15="x",(IF(C184="","",(IF(O184="NA","NA",IF(P184="NA","NA",IF(P184=0,"NA",(O184/P184))))))),"Not Req.")</f>
        <v>Not Req.</v>
      </c>
      <c r="R184" s="163"/>
      <c r="S184" s="18"/>
      <c r="T184" s="18"/>
      <c r="U184" s="163"/>
      <c r="V184" s="163"/>
      <c r="W184" s="18"/>
      <c r="X184" s="163"/>
      <c r="Y184" s="163"/>
      <c r="Z184" s="18"/>
    </row>
    <row r="185" spans="1:26" s="10" customFormat="1" x14ac:dyDescent="0.25">
      <c r="A185" s="405" t="s">
        <v>503</v>
      </c>
      <c r="B185" s="371" t="str">
        <f>IF(Start!$C$15="x",IF(C185="NA","NA",(IF(C185="","",(IF(OR(F185="NA",F185=""),"No Criteria",(IF(AND(O185="NA",F185&lt;&gt;"NA",C185&lt;&gt;"NA"),                  "Missing Data",(IF(O185&lt;F185,"No",(IF(D185&gt;F185,"Caution",(IF(O185&gt;=F185,"Needed","No"))))))))))))),"---")</f>
        <v>---</v>
      </c>
      <c r="C185" s="372" t="str">
        <f>IF(TRUE=ISBLANK(ChemData!B185),"",(ChemData!B185))</f>
        <v/>
      </c>
      <c r="D185" s="373" t="str">
        <f>IF(TRUE=ISBLANK(ChemData!C185),"",(ChemData!C185))</f>
        <v/>
      </c>
      <c r="E185" s="374" t="str">
        <f>IF(TRUE=ISBLANK(ChemData!D185),"",(ChemData!D185))</f>
        <v/>
      </c>
      <c r="F185" s="289">
        <f>IF(TRUE=ISBLANK(ChemData!H185),"",(ChemData!H185))</f>
        <v>5200</v>
      </c>
      <c r="G185" s="290">
        <f>IF(TRUE=ISBLANK(ChemData!Q185),"",(ChemData!Q185))</f>
        <v>2.1747353741930686</v>
      </c>
      <c r="H185" s="291">
        <f>IF(TRUE=ISBLANK(ChemData!S185),"",(ChemData!S185))</f>
        <v>1</v>
      </c>
      <c r="I185" s="375" t="str">
        <f>IF(Start!$C$15="x",(IF(OR(C185="NA",C185=""), "NA", (IF($H185 = "NA", "NA", ((C185*$H185)))))),"---")</f>
        <v>---</v>
      </c>
      <c r="J185" s="376" t="str">
        <f>IF(Start!$C$15="x",(IF(I185 = "NA", "NA", IF(OR(D185="NA",D185=""),"NA",(I185 +((Data!$D$19-Data!$D$22)/(Data!$D$19*Data!$D$22)*$D185))))),"---")</f>
        <v>---</v>
      </c>
      <c r="K185" s="376" t="str">
        <f>IF(Start!$C$15="x",(IF(J185="NA","NA",IF(OR(G185="NA",G185=""),"NA",(J185*(1-Data!$D$23)*Data!$D$14*1000)/(Data!$D$23+((1-Data!$D$23)*Data!$D$14*$G185))))),"---")</f>
        <v>---</v>
      </c>
      <c r="L185" s="376" t="str">
        <f>IF(Start!$C$15="x",(IF(I185="NA","NA",IF($G185 = "NA", "NA",(IF(OR(ChemData!U185="NA",ChemData!U185=""),I185/((Data!$D$18+((1-Data!$D$18)*Data!$D$14*$G185))/((1-Data!$D$18)*Data!$D$14*1000)),(IF(I185/((Data!$D$18+((1-Data!$D$18)*Data!$D$14*$G185))/((1-Data!$D$18)*Data!$D$14*1000))&gt;ChemData!U185, ChemData!U185, I185/((Data!$D$18+((1-Data!$D$18)*Data!$D$14*$G185))/((1-Data!$D$18)*Data!$D$14*1000))))))))),"---")</f>
        <v>---</v>
      </c>
      <c r="M185" s="376" t="str">
        <f>IF(Start!$C$15="x",(IF(L185="NA","NA",IF(OR(D185="NA",D185=""),"NA",(((Data!$D$22*Data!$D$18)*L185)+(Data!$D$19-Data!$D$22)*$D185)/((Data!$D$22*Data!$D$18)+Data!$D$19-Data!$D$22)))),"---")</f>
        <v>---</v>
      </c>
      <c r="N185" s="376" t="str">
        <f>IF(Start!$C$15="x",IF(K185 = "NA", "NA", (IF(M185 = "NA", "NA",(IF(OR(ChemData!U185="NA",ChemData!U185=""),(IF(K185&gt;M185,K185,M185)),(IF(K185&gt;M185,(IF(K185&gt;ChemData!U185, ChemData!U185, K185)),(IF(M185&gt;ChemData!U185,ChemData!U185,M185))))))))),"---")</f>
        <v>---</v>
      </c>
      <c r="O185" s="377" t="str">
        <f>IF(Start!$C$15="x",IF(N185 = "NA","NA", IF(OR(E185="NA",E185=""),"NA",(N185+(Data!$D$26*$E185))/(Data!$D$26+1))),"---")</f>
        <v>---</v>
      </c>
      <c r="P185" s="730">
        <f>IF(E185="",F185,IF($F185&lt;(1+(Data!$D$27/100))*$E185,(1+(Data!$D$27/100))*$E185,$F185))</f>
        <v>5200</v>
      </c>
      <c r="Q185" s="343" t="str">
        <f>IF(Start!$C$15="x",(IF(C185="","",(IF(O185="NA","NA",IF(P185="NA","NA",IF(P185=0,"NA",(O185/P185))))))),"Not Req.")</f>
        <v>Not Req.</v>
      </c>
      <c r="R185" s="163"/>
      <c r="S185" s="18"/>
      <c r="T185" s="18"/>
      <c r="U185" s="163"/>
      <c r="V185" s="163"/>
      <c r="W185" s="18"/>
      <c r="X185" s="163"/>
      <c r="Y185" s="163"/>
      <c r="Z185" s="18"/>
    </row>
    <row r="186" spans="1:26" s="10" customFormat="1" x14ac:dyDescent="0.25">
      <c r="A186" s="405" t="s">
        <v>504</v>
      </c>
      <c r="B186" s="371" t="str">
        <f>IF(Start!$C$15="x",IF(C186="NA","NA",(IF(C186="","",(IF(OR(F186="NA",F186=""),"No Criteria",(IF(AND(O186="NA",F186&lt;&gt;"NA",C186&lt;&gt;"NA"),                  "Missing Data",(IF(O186&lt;F186,"No",(IF(D186&gt;F186,"Caution",(IF(O186&gt;=F186,"Needed","No"))))))))))))),"---")</f>
        <v>---</v>
      </c>
      <c r="C186" s="372" t="str">
        <f>IF(TRUE=ISBLANK(ChemData!B186),"",(ChemData!B186))</f>
        <v/>
      </c>
      <c r="D186" s="373" t="str">
        <f>IF(TRUE=ISBLANK(ChemData!C186),"",(ChemData!C186))</f>
        <v/>
      </c>
      <c r="E186" s="374" t="str">
        <f>IF(TRUE=ISBLANK(ChemData!D186),"",(ChemData!D186))</f>
        <v/>
      </c>
      <c r="F186" s="289" t="str">
        <f>IF(TRUE=ISBLANK(ChemData!H186),"",(ChemData!H186))</f>
        <v>NA</v>
      </c>
      <c r="G186" s="290">
        <f>IF(TRUE=ISBLANK(ChemData!Q186),"",(ChemData!Q186))</f>
        <v>26.755090156507144</v>
      </c>
      <c r="H186" s="291">
        <f>IF(TRUE=ISBLANK(ChemData!S186),"",(ChemData!S186))</f>
        <v>1</v>
      </c>
      <c r="I186" s="375" t="str">
        <f>IF(Start!$C$15="x",(IF(OR(C186="NA",C186=""), "NA", (IF($H186 = "NA", "NA", ((C186*$H186)))))),"---")</f>
        <v>---</v>
      </c>
      <c r="J186" s="376" t="str">
        <f>IF(Start!$C$15="x",(IF(I186 = "NA", "NA", IF(OR(D186="NA",D186=""),"NA",(I186 +((Data!$D$19-Data!$D$22)/(Data!$D$19*Data!$D$22)*$D186))))),"---")</f>
        <v>---</v>
      </c>
      <c r="K186" s="376" t="str">
        <f>IF(Start!$C$15="x",(IF(J186="NA","NA",IF(OR(G186="NA",G186=""),"NA",(J186*(1-Data!$D$23)*Data!$D$14*1000)/(Data!$D$23+((1-Data!$D$23)*Data!$D$14*$G186))))),"---")</f>
        <v>---</v>
      </c>
      <c r="L186" s="376" t="str">
        <f>IF(Start!$C$15="x",(IF(I186="NA","NA",IF($G186 = "NA", "NA",(IF(OR(ChemData!U186="NA",ChemData!U186=""),I186/((Data!$D$18+((1-Data!$D$18)*Data!$D$14*$G186))/((1-Data!$D$18)*Data!$D$14*1000)),(IF(I186/((Data!$D$18+((1-Data!$D$18)*Data!$D$14*$G186))/((1-Data!$D$18)*Data!$D$14*1000))&gt;ChemData!U186, ChemData!U186, I186/((Data!$D$18+((1-Data!$D$18)*Data!$D$14*$G186))/((1-Data!$D$18)*Data!$D$14*1000))))))))),"---")</f>
        <v>---</v>
      </c>
      <c r="M186" s="376" t="str">
        <f>IF(Start!$C$15="x",(IF(L186="NA","NA",IF(OR(D186="NA",D186=""),"NA",(((Data!$D$22*Data!$D$18)*L186)+(Data!$D$19-Data!$D$22)*$D186)/((Data!$D$22*Data!$D$18)+Data!$D$19-Data!$D$22)))),"---")</f>
        <v>---</v>
      </c>
      <c r="N186" s="376" t="str">
        <f>IF(Start!$C$15="x",IF(K186 = "NA", "NA", (IF(M186 = "NA", "NA",(IF(OR(ChemData!U186="NA",ChemData!U186=""),(IF(K186&gt;M186,K186,M186)),(IF(K186&gt;M186,(IF(K186&gt;ChemData!U186, ChemData!U186, K186)),(IF(M186&gt;ChemData!U186,ChemData!U186,M186))))))))),"---")</f>
        <v>---</v>
      </c>
      <c r="O186" s="377" t="str">
        <f>IF(Start!$C$15="x",IF(N186 = "NA","NA", IF(OR(E186="NA",E186=""),"NA",(N186+(Data!$D$26*$E186))/(Data!$D$26+1))),"---")</f>
        <v>---</v>
      </c>
      <c r="P186" s="730" t="str">
        <f>IF(E186="",F186,IF($F186&lt;(1+(Data!$D$27/100))*$E186,(1+(Data!$D$27/100))*$E186,$F186))</f>
        <v>NA</v>
      </c>
      <c r="Q186" s="343" t="str">
        <f>IF(Start!$C$15="x",(IF(C186="","",(IF(O186="NA","NA",IF(P186="NA","NA",IF(P186=0,"NA",(O186/P186))))))),"Not Req.")</f>
        <v>Not Req.</v>
      </c>
      <c r="R186" s="163"/>
      <c r="S186" s="18"/>
      <c r="T186" s="18"/>
      <c r="U186" s="163"/>
      <c r="V186" s="163"/>
      <c r="W186" s="18"/>
      <c r="X186" s="163"/>
      <c r="Y186" s="163"/>
      <c r="Z186" s="18"/>
    </row>
    <row r="187" spans="1:26" s="10" customFormat="1" x14ac:dyDescent="0.25">
      <c r="A187" s="405" t="s">
        <v>681</v>
      </c>
      <c r="B187" s="371" t="str">
        <f>IF(Start!$C$15="x",IF(C187="NA","NA",(IF(C187="","",(IF(OR(F187="NA",F187=""),"No Criteria",(IF(AND(O187="NA",F187&lt;&gt;"NA",C187&lt;&gt;"NA"),                  "Missing Data",(IF(O187&lt;F187,"No",(IF(D187&gt;F187,"Caution",(IF(O187&gt;=F187,"Needed","No"))))))))))))),"---")</f>
        <v>---</v>
      </c>
      <c r="C187" s="372" t="str">
        <f>IF(TRUE=ISBLANK(ChemData!B187),"",(ChemData!B187))</f>
        <v/>
      </c>
      <c r="D187" s="373" t="str">
        <f>IF(TRUE=ISBLANK(ChemData!C187),"",(ChemData!C187))</f>
        <v/>
      </c>
      <c r="E187" s="374" t="str">
        <f>IF(TRUE=ISBLANK(ChemData!D187),"",(ChemData!D187))</f>
        <v/>
      </c>
      <c r="F187" s="289">
        <f>IF(TRUE=ISBLANK(ChemData!H187),"",(ChemData!H187))</f>
        <v>440</v>
      </c>
      <c r="G187" s="290">
        <f>IF(TRUE=ISBLANK(ChemData!Q187),"",(ChemData!Q187))</f>
        <v>6.2720053301366372</v>
      </c>
      <c r="H187" s="291">
        <f>IF(TRUE=ISBLANK(ChemData!S187),"",(ChemData!S187))</f>
        <v>1</v>
      </c>
      <c r="I187" s="375" t="str">
        <f>IF(Start!$C$15="x",(IF(OR(C187="NA",C187=""), "NA", (IF($H187 = "NA", "NA", ((C187*$H187)))))),"---")</f>
        <v>---</v>
      </c>
      <c r="J187" s="376" t="str">
        <f>IF(Start!$C$15="x",(IF(I187 = "NA", "NA", IF(OR(D187="NA",D187=""),"NA",(I187 +((Data!$D$19-Data!$D$22)/(Data!$D$19*Data!$D$22)*$D187))))),"---")</f>
        <v>---</v>
      </c>
      <c r="K187" s="376" t="str">
        <f>IF(Start!$C$15="x",(IF(J187="NA","NA",IF(OR(G187="NA",G187=""),"NA",(J187*(1-Data!$D$23)*Data!$D$14*1000)/(Data!$D$23+((1-Data!$D$23)*Data!$D$14*$G187))))),"---")</f>
        <v>---</v>
      </c>
      <c r="L187" s="376" t="str">
        <f>IF(Start!$C$15="x",(IF(I187="NA","NA",IF($G187 = "NA", "NA",(IF(OR(ChemData!U187="NA",ChemData!U187=""),I187/((Data!$D$18+((1-Data!$D$18)*Data!$D$14*$G187))/((1-Data!$D$18)*Data!$D$14*1000)),(IF(I187/((Data!$D$18+((1-Data!$D$18)*Data!$D$14*$G187))/((1-Data!$D$18)*Data!$D$14*1000))&gt;ChemData!U187, ChemData!U187, I187/((Data!$D$18+((1-Data!$D$18)*Data!$D$14*$G187))/((1-Data!$D$18)*Data!$D$14*1000))))))))),"---")</f>
        <v>---</v>
      </c>
      <c r="M187" s="376" t="str">
        <f>IF(Start!$C$15="x",(IF(L187="NA","NA",IF(OR(D187="NA",D187=""),"NA",(((Data!$D$22*Data!$D$18)*L187)+(Data!$D$19-Data!$D$22)*$D187)/((Data!$D$22*Data!$D$18)+Data!$D$19-Data!$D$22)))),"---")</f>
        <v>---</v>
      </c>
      <c r="N187" s="376" t="str">
        <f>IF(Start!$C$15="x",IF(K187 = "NA", "NA", (IF(M187 = "NA", "NA",(IF(OR(ChemData!U187="NA",ChemData!U187=""),(IF(K187&gt;M187,K187,M187)),(IF(K187&gt;M187,(IF(K187&gt;ChemData!U187, ChemData!U187, K187)),(IF(M187&gt;ChemData!U187,ChemData!U187,M187))))))))),"---")</f>
        <v>---</v>
      </c>
      <c r="O187" s="377" t="str">
        <f>IF(Start!$C$15="x",IF(N187 = "NA","NA", IF(OR(E187="NA",E187=""),"NA",(N187+(Data!$D$26*$E187))/(Data!$D$26+1))),"---")</f>
        <v>---</v>
      </c>
      <c r="P187" s="730">
        <f>IF(E187="",F187,IF($F187&lt;(1+(Data!$D$27/100))*$E187,(1+(Data!$D$27/100))*$E187,$F187))</f>
        <v>440</v>
      </c>
      <c r="Q187" s="343" t="str">
        <f>IF(Start!$C$15="x",(IF(C187="","",(IF(O187="NA","NA",IF(P187="NA","NA",IF(P187=0,"NA",(O187/P187))))))),"Not Req.")</f>
        <v>Not Req.</v>
      </c>
      <c r="R187" s="163"/>
      <c r="S187" s="18"/>
      <c r="T187" s="18"/>
      <c r="U187" s="163"/>
      <c r="V187" s="163"/>
      <c r="W187" s="18"/>
      <c r="X187" s="163"/>
      <c r="Y187" s="163"/>
      <c r="Z187" s="18"/>
    </row>
    <row r="188" spans="1:26" s="10" customFormat="1" x14ac:dyDescent="0.25">
      <c r="A188" s="405" t="s">
        <v>682</v>
      </c>
      <c r="B188" s="371" t="str">
        <f>IF(Start!$C$15="x",IF(C188="NA","NA",(IF(C188="","",(IF(OR(F188="NA",F188=""),"No Criteria",(IF(AND(O188="NA",F188&lt;&gt;"NA",C188&lt;&gt;"NA"),                  "Missing Data",(IF(O188&lt;F188,"No",(IF(D188&gt;F188,"Caution",(IF(O188&gt;=F188,"Needed","No"))))))))))))),"---")</f>
        <v>---</v>
      </c>
      <c r="C188" s="372" t="str">
        <f>IF(TRUE=ISBLANK(ChemData!B188),"",(ChemData!B188))</f>
        <v/>
      </c>
      <c r="D188" s="373" t="str">
        <f>IF(TRUE=ISBLANK(ChemData!C188),"",(ChemData!C188))</f>
        <v/>
      </c>
      <c r="E188" s="374" t="str">
        <f>IF(TRUE=ISBLANK(ChemData!D188),"",(ChemData!D188))</f>
        <v/>
      </c>
      <c r="F188" s="289" t="str">
        <f>IF(TRUE=ISBLANK(ChemData!H188),"",(ChemData!H188))</f>
        <v>NA</v>
      </c>
      <c r="G188" s="290">
        <f>IF(TRUE=ISBLANK(ChemData!Q188),"",(ChemData!Q188))</f>
        <v>6.129237058642766</v>
      </c>
      <c r="H188" s="291">
        <f>IF(TRUE=ISBLANK(ChemData!S188),"",(ChemData!S188))</f>
        <v>1</v>
      </c>
      <c r="I188" s="375" t="str">
        <f>IF(Start!$C$15="x",(IF(OR(C188="NA",C188=""), "NA", (IF($H188 = "NA", "NA", ((C188*$H188)))))),"---")</f>
        <v>---</v>
      </c>
      <c r="J188" s="376" t="str">
        <f>IF(Start!$C$15="x",(IF(I188 = "NA", "NA", IF(OR(D188="NA",D188=""),"NA",(I188 +((Data!$D$19-Data!$D$22)/(Data!$D$19*Data!$D$22)*$D188))))),"---")</f>
        <v>---</v>
      </c>
      <c r="K188" s="376" t="str">
        <f>IF(Start!$C$15="x",(IF(J188="NA","NA",IF(OR(G188="NA",G188=""),"NA",(J188*(1-Data!$D$23)*Data!$D$14*1000)/(Data!$D$23+((1-Data!$D$23)*Data!$D$14*$G188))))),"---")</f>
        <v>---</v>
      </c>
      <c r="L188" s="376" t="str">
        <f>IF(Start!$C$15="x",(IF(I188="NA","NA",IF($G188 = "NA", "NA",(IF(OR(ChemData!U188="NA",ChemData!U188=""),I188/((Data!$D$18+((1-Data!$D$18)*Data!$D$14*$G188))/((1-Data!$D$18)*Data!$D$14*1000)),(IF(I188/((Data!$D$18+((1-Data!$D$18)*Data!$D$14*$G188))/((1-Data!$D$18)*Data!$D$14*1000))&gt;ChemData!U188, ChemData!U188, I188/((Data!$D$18+((1-Data!$D$18)*Data!$D$14*$G188))/((1-Data!$D$18)*Data!$D$14*1000))))))))),"---")</f>
        <v>---</v>
      </c>
      <c r="M188" s="376" t="str">
        <f>IF(Start!$C$15="x",(IF(L188="NA","NA",IF(OR(D188="NA",D188=""),"NA",(((Data!$D$22*Data!$D$18)*L188)+(Data!$D$19-Data!$D$22)*$D188)/((Data!$D$22*Data!$D$18)+Data!$D$19-Data!$D$22)))),"---")</f>
        <v>---</v>
      </c>
      <c r="N188" s="376" t="str">
        <f>IF(Start!$C$15="x",IF(K188 = "NA", "NA", (IF(M188 = "NA", "NA",(IF(OR(ChemData!U188="NA",ChemData!U188=""),(IF(K188&gt;M188,K188,M188)),(IF(K188&gt;M188,(IF(K188&gt;ChemData!U188, ChemData!U188, K188)),(IF(M188&gt;ChemData!U188,ChemData!U188,M188))))))))),"---")</f>
        <v>---</v>
      </c>
      <c r="O188" s="377" t="str">
        <f>IF(Start!$C$15="x",IF(N188 = "NA","NA", IF(OR(E188="NA",E188=""),"NA",(N188+(Data!$D$26*$E188))/(Data!$D$26+1))),"---")</f>
        <v>---</v>
      </c>
      <c r="P188" s="730" t="str">
        <f>IF(E188="",F188,IF($F188&lt;(1+(Data!$D$27/100))*$E188,(1+(Data!$D$27/100))*$E188,$F188))</f>
        <v>NA</v>
      </c>
      <c r="Q188" s="343" t="str">
        <f>IF(Start!$C$15="x",(IF(C188="","",(IF(O188="NA","NA",IF(P188="NA","NA",IF(P188=0,"NA",(O188/P188))))))),"Not Req.")</f>
        <v>Not Req.</v>
      </c>
      <c r="R188" s="163"/>
      <c r="S188" s="18"/>
      <c r="T188" s="18"/>
      <c r="U188" s="163"/>
      <c r="V188" s="163"/>
      <c r="W188" s="18"/>
      <c r="X188" s="163"/>
      <c r="Y188" s="163"/>
      <c r="Z188" s="18"/>
    </row>
    <row r="189" spans="1:26" s="10" customFormat="1" x14ac:dyDescent="0.25">
      <c r="A189" s="308" t="s">
        <v>507</v>
      </c>
      <c r="B189" s="371" t="str">
        <f>IF(Start!$C$15="x",IF(C189="NA","NA",(IF(C189="","",(IF(OR(F189="NA",F189=""),"No Criteria",(IF(AND(O189="NA",F189&lt;&gt;"NA",C189&lt;&gt;"NA"),                  "Missing Data",(IF(O189&lt;F189,"No",(IF(D189&gt;F189,"Caution",(IF(O189&gt;=F189,"Needed","No"))))))))))))),"---")</f>
        <v>---</v>
      </c>
      <c r="C189" s="372" t="str">
        <f>IF(TRUE=ISBLANK(ChemData!B189),"",(ChemData!B189))</f>
        <v/>
      </c>
      <c r="D189" s="373" t="str">
        <f>IF(TRUE=ISBLANK(ChemData!C189),"",(ChemData!C189))</f>
        <v/>
      </c>
      <c r="E189" s="374" t="str">
        <f>IF(TRUE=ISBLANK(ChemData!D189),"",(ChemData!D189))</f>
        <v/>
      </c>
      <c r="F189" s="289">
        <f>IF(TRUE=ISBLANK(ChemData!H189),"",(ChemData!H189))</f>
        <v>280</v>
      </c>
      <c r="G189" s="290">
        <f>IF(TRUE=ISBLANK(ChemData!Q189),"",(ChemData!Q189))</f>
        <v>9.9404585508133803E-2</v>
      </c>
      <c r="H189" s="291">
        <f>IF(TRUE=ISBLANK(ChemData!S189),"",(ChemData!S189))</f>
        <v>1</v>
      </c>
      <c r="I189" s="375" t="str">
        <f>IF(Start!$C$15="x",(IF(OR(C189="NA",C189=""), "NA", (IF($H189 = "NA", "NA", ((C189*$H189)))))),"---")</f>
        <v>---</v>
      </c>
      <c r="J189" s="376" t="str">
        <f>IF(Start!$C$15="x",(IF(I189 = "NA", "NA", IF(OR(D189="NA",D189=""),"NA",(I189 +((Data!$D$19-Data!$D$22)/(Data!$D$19*Data!$D$22)*$D189))))),"---")</f>
        <v>---</v>
      </c>
      <c r="K189" s="376" t="str">
        <f>IF(Start!$C$15="x",(IF(J189="NA","NA",IF(OR(G189="NA",G189=""),"NA",(J189*(1-Data!$D$23)*Data!$D$14*1000)/(Data!$D$23+((1-Data!$D$23)*Data!$D$14*$G189))))),"---")</f>
        <v>---</v>
      </c>
      <c r="L189" s="376" t="str">
        <f>IF(Start!$C$15="x",(IF(I189="NA","NA",IF($G189 = "NA", "NA",(IF(OR(ChemData!U189="NA",ChemData!U189=""),I189/((Data!$D$18+((1-Data!$D$18)*Data!$D$14*$G189))/((1-Data!$D$18)*Data!$D$14*1000)),(IF(I189/((Data!$D$18+((1-Data!$D$18)*Data!$D$14*$G189))/((1-Data!$D$18)*Data!$D$14*1000))&gt;ChemData!U189, ChemData!U189, I189/((Data!$D$18+((1-Data!$D$18)*Data!$D$14*$G189))/((1-Data!$D$18)*Data!$D$14*1000))))))))),"---")</f>
        <v>---</v>
      </c>
      <c r="M189" s="376" t="str">
        <f>IF(Start!$C$15="x",(IF(L189="NA","NA",IF(OR(D189="NA",D189=""),"NA",(((Data!$D$22*Data!$D$18)*L189)+(Data!$D$19-Data!$D$22)*$D189)/((Data!$D$22*Data!$D$18)+Data!$D$19-Data!$D$22)))),"---")</f>
        <v>---</v>
      </c>
      <c r="N189" s="376" t="str">
        <f>IF(Start!$C$15="x",IF(K189 = "NA", "NA", (IF(M189 = "NA", "NA",(IF(OR(ChemData!U189="NA",ChemData!U189=""),(IF(K189&gt;M189,K189,M189)),(IF(K189&gt;M189,(IF(K189&gt;ChemData!U189, ChemData!U189, K189)),(IF(M189&gt;ChemData!U189,ChemData!U189,M189))))))))),"---")</f>
        <v>---</v>
      </c>
      <c r="O189" s="377" t="str">
        <f>IF(Start!$C$15="x",IF(N189 = "NA","NA", IF(OR(E189="NA",E189=""),"NA",(N189+(Data!$D$26*$E189))/(Data!$D$26+1))),"---")</f>
        <v>---</v>
      </c>
      <c r="P189" s="730">
        <f>IF(E189="",F189,IF($F189&lt;(1+(Data!$D$27/100))*$E189,(1+(Data!$D$27/100))*$E189,$F189))</f>
        <v>280</v>
      </c>
      <c r="Q189" s="343" t="str">
        <f>IF(Start!$C$15="x",(IF(C189="","",(IF(O189="NA","NA",IF(P189="NA","NA",IF(P189=0,"NA",(O189/P189))))))),"Not Req.")</f>
        <v>Not Req.</v>
      </c>
      <c r="R189" s="163"/>
      <c r="S189" s="18"/>
      <c r="T189" s="18"/>
      <c r="U189" s="163"/>
      <c r="V189" s="163"/>
      <c r="W189" s="18"/>
      <c r="X189" s="163"/>
      <c r="Y189" s="163"/>
      <c r="Z189" s="18"/>
    </row>
    <row r="190" spans="1:26" s="10" customFormat="1" x14ac:dyDescent="0.25">
      <c r="A190" s="405" t="s">
        <v>508</v>
      </c>
      <c r="B190" s="371" t="str">
        <f>IF(Start!$C$15="x",IF(C190="NA","NA",(IF(C190="","",(IF(OR(F190="NA",F190=""),"No Criteria",(IF(AND(O190="NA",F190&lt;&gt;"NA",C190&lt;&gt;"NA"),                  "Missing Data",(IF(O190&lt;F190,"No",(IF(D190&gt;F190,"Caution",(IF(O190&gt;=F190,"Needed","No"))))))))))))),"---")</f>
        <v>---</v>
      </c>
      <c r="C190" s="372" t="str">
        <f>IF(TRUE=ISBLANK(ChemData!B190),"",(ChemData!B190))</f>
        <v/>
      </c>
      <c r="D190" s="373" t="str">
        <f>IF(TRUE=ISBLANK(ChemData!C190),"",(ChemData!C190))</f>
        <v/>
      </c>
      <c r="E190" s="374" t="str">
        <f>IF(TRUE=ISBLANK(ChemData!D190),"",(ChemData!D190))</f>
        <v/>
      </c>
      <c r="F190" s="289" t="str">
        <f>IF(TRUE=ISBLANK(ChemData!H190),"",(ChemData!H190))</f>
        <v>NA</v>
      </c>
      <c r="G190" s="290">
        <f>IF(TRUE=ISBLANK(ChemData!Q190),"",(ChemData!Q190))</f>
        <v>0.31434490007066895</v>
      </c>
      <c r="H190" s="291">
        <f>IF(TRUE=ISBLANK(ChemData!S190),"",(ChemData!S190))</f>
        <v>1</v>
      </c>
      <c r="I190" s="375" t="str">
        <f>IF(Start!$C$15="x",(IF(OR(C190="NA",C190=""), "NA", (IF($H190 = "NA", "NA", ((C190*$H190)))))),"---")</f>
        <v>---</v>
      </c>
      <c r="J190" s="376" t="str">
        <f>IF(Start!$C$15="x",(IF(I190 = "NA", "NA", IF(OR(D190="NA",D190=""),"NA",(I190 +((Data!$D$19-Data!$D$22)/(Data!$D$19*Data!$D$22)*$D190))))),"---")</f>
        <v>---</v>
      </c>
      <c r="K190" s="376" t="str">
        <f>IF(Start!$C$15="x",(IF(J190="NA","NA",IF(OR(G190="NA",G190=""),"NA",(J190*(1-Data!$D$23)*Data!$D$14*1000)/(Data!$D$23+((1-Data!$D$23)*Data!$D$14*$G190))))),"---")</f>
        <v>---</v>
      </c>
      <c r="L190" s="376" t="str">
        <f>IF(Start!$C$15="x",(IF(I190="NA","NA",IF($G190 = "NA", "NA",(IF(OR(ChemData!U190="NA",ChemData!U190=""),I190/((Data!$D$18+((1-Data!$D$18)*Data!$D$14*$G190))/((1-Data!$D$18)*Data!$D$14*1000)),(IF(I190/((Data!$D$18+((1-Data!$D$18)*Data!$D$14*$G190))/((1-Data!$D$18)*Data!$D$14*1000))&gt;ChemData!U190, ChemData!U190, I190/((Data!$D$18+((1-Data!$D$18)*Data!$D$14*$G190))/((1-Data!$D$18)*Data!$D$14*1000))))))))),"---")</f>
        <v>---</v>
      </c>
      <c r="M190" s="376" t="str">
        <f>IF(Start!$C$15="x",(IF(L190="NA","NA",IF(OR(D190="NA",D190=""),"NA",(((Data!$D$22*Data!$D$18)*L190)+(Data!$D$19-Data!$D$22)*$D190)/((Data!$D$22*Data!$D$18)+Data!$D$19-Data!$D$22)))),"---")</f>
        <v>---</v>
      </c>
      <c r="N190" s="376" t="str">
        <f>IF(Start!$C$15="x",IF(K190 = "NA", "NA", (IF(M190 = "NA", "NA",(IF(OR(ChemData!U190="NA",ChemData!U190=""),(IF(K190&gt;M190,K190,M190)),(IF(K190&gt;M190,(IF(K190&gt;ChemData!U190, ChemData!U190, K190)),(IF(M190&gt;ChemData!U190,ChemData!U190,M190))))))))),"---")</f>
        <v>---</v>
      </c>
      <c r="O190" s="377" t="str">
        <f>IF(Start!$C$15="x",IF(N190 = "NA","NA", IF(OR(E190="NA",E190=""),"NA",(N190+(Data!$D$26*$E190))/(Data!$D$26+1))),"---")</f>
        <v>---</v>
      </c>
      <c r="P190" s="730" t="str">
        <f>IF(E190="",F190,IF($F190&lt;(1+(Data!$D$27/100))*$E190,(1+(Data!$D$27/100))*$E190,$F190))</f>
        <v>NA</v>
      </c>
      <c r="Q190" s="343" t="str">
        <f>IF(Start!$C$15="x",(IF(C190="","",(IF(O190="NA","NA",IF(P190="NA","NA",IF(P190=0,"NA",(O190/P190))))))),"Not Req.")</f>
        <v>Not Req.</v>
      </c>
      <c r="R190" s="163"/>
      <c r="S190" s="18"/>
      <c r="T190" s="18"/>
      <c r="U190" s="163"/>
      <c r="V190" s="163"/>
      <c r="W190" s="18"/>
      <c r="X190" s="163"/>
      <c r="Y190" s="163"/>
      <c r="Z190" s="18"/>
    </row>
    <row r="191" spans="1:26" s="10" customFormat="1" x14ac:dyDescent="0.25">
      <c r="A191" s="405" t="s">
        <v>509</v>
      </c>
      <c r="B191" s="371" t="str">
        <f>IF(Start!$C$15="x",IF(C191="NA","NA",(IF(C191="","",(IF(OR(F191="NA",F191=""),"No Criteria",(IF(AND(O191="NA",F191&lt;&gt;"NA",C191&lt;&gt;"NA"),                  "Missing Data",(IF(O191&lt;F191,"No",(IF(D191&gt;F191,"Caution",(IF(O191&gt;=F191,"Needed","No"))))))))))))),"---")</f>
        <v>---</v>
      </c>
      <c r="C191" s="372" t="str">
        <f>IF(TRUE=ISBLANK(ChemData!B191),"",(ChemData!B191))</f>
        <v/>
      </c>
      <c r="D191" s="373" t="str">
        <f>IF(TRUE=ISBLANK(ChemData!C191),"",(ChemData!C191))</f>
        <v/>
      </c>
      <c r="E191" s="374" t="str">
        <f>IF(TRUE=ISBLANK(ChemData!D191),"",(ChemData!D191))</f>
        <v/>
      </c>
      <c r="F191" s="289">
        <f>IF(TRUE=ISBLANK(ChemData!H191),"",(ChemData!H191))</f>
        <v>32</v>
      </c>
      <c r="G191" s="290">
        <f>IF(TRUE=ISBLANK(ChemData!Q191),"",(ChemData!Q191))</f>
        <v>27.378296264993541</v>
      </c>
      <c r="H191" s="291">
        <f>IF(TRUE=ISBLANK(ChemData!S191),"",(ChemData!S191))</f>
        <v>1</v>
      </c>
      <c r="I191" s="375" t="str">
        <f>IF(Start!$C$15="x",(IF(OR(C191="NA",C191=""), "NA", (IF($H191 = "NA", "NA", ((C191*$H191)))))),"---")</f>
        <v>---</v>
      </c>
      <c r="J191" s="376" t="str">
        <f>IF(Start!$C$15="x",(IF(I191 = "NA", "NA", IF(OR(D191="NA",D191=""),"NA",(I191 +((Data!$D$19-Data!$D$22)/(Data!$D$19*Data!$D$22)*$D191))))),"---")</f>
        <v>---</v>
      </c>
      <c r="K191" s="376" t="str">
        <f>IF(Start!$C$15="x",(IF(J191="NA","NA",IF(OR(G191="NA",G191=""),"NA",(J191*(1-Data!$D$23)*Data!$D$14*1000)/(Data!$D$23+((1-Data!$D$23)*Data!$D$14*$G191))))),"---")</f>
        <v>---</v>
      </c>
      <c r="L191" s="376" t="str">
        <f>IF(Start!$C$15="x",(IF(I191="NA","NA",IF($G191 = "NA", "NA",(IF(OR(ChemData!U191="NA",ChemData!U191=""),I191/((Data!$D$18+((1-Data!$D$18)*Data!$D$14*$G191))/((1-Data!$D$18)*Data!$D$14*1000)),(IF(I191/((Data!$D$18+((1-Data!$D$18)*Data!$D$14*$G191))/((1-Data!$D$18)*Data!$D$14*1000))&gt;ChemData!U191, ChemData!U191, I191/((Data!$D$18+((1-Data!$D$18)*Data!$D$14*$G191))/((1-Data!$D$18)*Data!$D$14*1000))))))))),"---")</f>
        <v>---</v>
      </c>
      <c r="M191" s="376" t="str">
        <f>IF(Start!$C$15="x",(IF(L191="NA","NA",IF(OR(D191="NA",D191=""),"NA",(((Data!$D$22*Data!$D$18)*L191)+(Data!$D$19-Data!$D$22)*$D191)/((Data!$D$22*Data!$D$18)+Data!$D$19-Data!$D$22)))),"---")</f>
        <v>---</v>
      </c>
      <c r="N191" s="376" t="str">
        <f>IF(Start!$C$15="x",IF(K191 = "NA", "NA", (IF(M191 = "NA", "NA",(IF(OR(ChemData!U191="NA",ChemData!U191=""),(IF(K191&gt;M191,K191,M191)),(IF(K191&gt;M191,(IF(K191&gt;ChemData!U191, ChemData!U191, K191)),(IF(M191&gt;ChemData!U191,ChemData!U191,M191))))))))),"---")</f>
        <v>---</v>
      </c>
      <c r="O191" s="377" t="str">
        <f>IF(Start!$C$15="x",IF(N191 = "NA","NA", IF(OR(E191="NA",E191=""),"NA",(N191+(Data!$D$26*$E191))/(Data!$D$26+1))),"---")</f>
        <v>---</v>
      </c>
      <c r="P191" s="730">
        <f>IF(E191="",F191,IF($F191&lt;(1+(Data!$D$27/100))*$E191,(1+(Data!$D$27/100))*$E191,$F191))</f>
        <v>32</v>
      </c>
      <c r="Q191" s="343" t="str">
        <f>IF(Start!$C$15="x",(IF(C191="","",(IF(O191="NA","NA",IF(P191="NA","NA",IF(P191=0,"NA",(O191/P191))))))),"Not Req.")</f>
        <v>Not Req.</v>
      </c>
      <c r="R191" s="163"/>
      <c r="S191" s="18"/>
      <c r="T191" s="18"/>
      <c r="U191" s="163"/>
      <c r="V191" s="163"/>
      <c r="W191" s="18"/>
      <c r="X191" s="163"/>
      <c r="Y191" s="163"/>
      <c r="Z191" s="18"/>
    </row>
    <row r="192" spans="1:26" s="10" customFormat="1" x14ac:dyDescent="0.25">
      <c r="A192" s="405" t="s">
        <v>510</v>
      </c>
      <c r="B192" s="371" t="str">
        <f>IF(Start!$C$15="x",IF(C192="NA","NA",(IF(C192="","",(IF(OR(F192="NA",F192=""),"No Criteria",(IF(AND(O192="NA",F192&lt;&gt;"NA",C192&lt;&gt;"NA"),                  "Missing Data",(IF(O192&lt;F192,"No",(IF(D192&gt;F192,"Caution",(IF(O192&gt;=F192,"Needed","No"))))))))))))),"---")</f>
        <v>---</v>
      </c>
      <c r="C192" s="372" t="str">
        <f>IF(TRUE=ISBLANK(ChemData!B192),"",(ChemData!B192))</f>
        <v/>
      </c>
      <c r="D192" s="373" t="str">
        <f>IF(TRUE=ISBLANK(ChemData!C192),"",(ChemData!C192))</f>
        <v/>
      </c>
      <c r="E192" s="374" t="str">
        <f>IF(TRUE=ISBLANK(ChemData!D192),"",(ChemData!D192))</f>
        <v/>
      </c>
      <c r="F192" s="289" t="str">
        <f>IF(TRUE=ISBLANK(ChemData!H192),"",(ChemData!H192))</f>
        <v>NA</v>
      </c>
      <c r="G192" s="290">
        <f>IF(TRUE=ISBLANK(ChemData!Q192),"",(ChemData!Q192))</f>
        <v>26.146069950967185</v>
      </c>
      <c r="H192" s="291">
        <f>IF(TRUE=ISBLANK(ChemData!S192),"",(ChemData!S192))</f>
        <v>1</v>
      </c>
      <c r="I192" s="375" t="str">
        <f>IF(Start!$C$15="x",(IF(OR(C192="NA",C192=""), "NA", (IF($H192 = "NA", "NA", ((C192*$H192)))))),"---")</f>
        <v>---</v>
      </c>
      <c r="J192" s="376" t="str">
        <f>IF(Start!$C$15="x",(IF(I192 = "NA", "NA", IF(OR(D192="NA",D192=""),"NA",(I192 +((Data!$D$19-Data!$D$22)/(Data!$D$19*Data!$D$22)*$D192))))),"---")</f>
        <v>---</v>
      </c>
      <c r="K192" s="376" t="str">
        <f>IF(Start!$C$15="x",(IF(J192="NA","NA",IF(OR(G192="NA",G192=""),"NA",(J192*(1-Data!$D$23)*Data!$D$14*1000)/(Data!$D$23+((1-Data!$D$23)*Data!$D$14*$G192))))),"---")</f>
        <v>---</v>
      </c>
      <c r="L192" s="376" t="str">
        <f>IF(Start!$C$15="x",(IF(I192="NA","NA",IF($G192 = "NA", "NA",(IF(OR(ChemData!U192="NA",ChemData!U192=""),I192/((Data!$D$18+((1-Data!$D$18)*Data!$D$14*$G192))/((1-Data!$D$18)*Data!$D$14*1000)),(IF(I192/((Data!$D$18+((1-Data!$D$18)*Data!$D$14*$G192))/((1-Data!$D$18)*Data!$D$14*1000))&gt;ChemData!U192, ChemData!U192, I192/((Data!$D$18+((1-Data!$D$18)*Data!$D$14*$G192))/((1-Data!$D$18)*Data!$D$14*1000))))))))),"---")</f>
        <v>---</v>
      </c>
      <c r="M192" s="376" t="str">
        <f>IF(Start!$C$15="x",(IF(L192="NA","NA",IF(OR(D192="NA",D192=""),"NA",(((Data!$D$22*Data!$D$18)*L192)+(Data!$D$19-Data!$D$22)*$D192)/((Data!$D$22*Data!$D$18)+Data!$D$19-Data!$D$22)))),"---")</f>
        <v>---</v>
      </c>
      <c r="N192" s="376" t="str">
        <f>IF(Start!$C$15="x",IF(K192 = "NA", "NA", (IF(M192 = "NA", "NA",(IF(OR(ChemData!U192="NA",ChemData!U192=""),(IF(K192&gt;M192,K192,M192)),(IF(K192&gt;M192,(IF(K192&gt;ChemData!U192, ChemData!U192, K192)),(IF(M192&gt;ChemData!U192,ChemData!U192,M192))))))))),"---")</f>
        <v>---</v>
      </c>
      <c r="O192" s="377" t="str">
        <f>IF(Start!$C$15="x",IF(N192 = "NA","NA", IF(OR(E192="NA",E192=""),"NA",(N192+(Data!$D$26*$E192))/(Data!$D$26+1))),"---")</f>
        <v>---</v>
      </c>
      <c r="P192" s="730" t="str">
        <f>IF(E192="",F192,IF($F192&lt;(1+(Data!$D$27/100))*$E192,(1+(Data!$D$27/100))*$E192,$F192))</f>
        <v>NA</v>
      </c>
      <c r="Q192" s="343" t="str">
        <f>IF(Start!$C$15="x",(IF(C192="","",(IF(O192="NA","NA",IF(P192="NA","NA",IF(P192=0,"NA",(O192/P192))))))),"Not Req.")</f>
        <v>Not Req.</v>
      </c>
      <c r="R192" s="163"/>
      <c r="S192" s="18"/>
      <c r="T192" s="18"/>
      <c r="U192" s="163"/>
      <c r="V192" s="163"/>
      <c r="W192" s="18"/>
      <c r="X192" s="163"/>
      <c r="Y192" s="163"/>
      <c r="Z192" s="18"/>
    </row>
    <row r="193" spans="1:26" s="10" customFormat="1" ht="13.8" thickBot="1" x14ac:dyDescent="0.3">
      <c r="A193" s="405" t="s">
        <v>511</v>
      </c>
      <c r="B193" s="371" t="str">
        <f>IF(Start!$C$15="x",IF(C193="NA","NA",(IF(C193="","",(IF(OR(F193="NA",F193=""),"No Criteria",(IF(AND(O193="NA",F193&lt;&gt;"NA",C193&lt;&gt;"NA"),                  "Missing Data",(IF(O193&lt;F193,"No",(IF(D193&gt;F193,"Caution",(IF(O193&gt;=F193,"Needed","No"))))))))))))),"---")</f>
        <v>---</v>
      </c>
      <c r="C193" s="372" t="str">
        <f>IF(TRUE=ISBLANK(ChemData!B193),"",(ChemData!B193))</f>
        <v/>
      </c>
      <c r="D193" s="373" t="str">
        <f>IF(TRUE=ISBLANK(ChemData!C193),"",(ChemData!C193))</f>
        <v/>
      </c>
      <c r="E193" s="374" t="str">
        <f>IF(TRUE=ISBLANK(ChemData!D193),"",(ChemData!D193))</f>
        <v/>
      </c>
      <c r="F193" s="289">
        <f>IF(TRUE=ISBLANK(ChemData!H193),"",(ChemData!H193))</f>
        <v>230</v>
      </c>
      <c r="G193" s="290">
        <f>IF(TRUE=ISBLANK(ChemData!Q193),"",(ChemData!Q193))</f>
        <v>24.400932230679128</v>
      </c>
      <c r="H193" s="291">
        <f>IF(TRUE=ISBLANK(ChemData!S193),"",(ChemData!S193))</f>
        <v>1</v>
      </c>
      <c r="I193" s="375" t="str">
        <f>IF(Start!$C$15="x",(IF(OR(C193="NA",C193=""), "NA", (IF($H193 = "NA", "NA", ((C193*$H193)))))),"---")</f>
        <v>---</v>
      </c>
      <c r="J193" s="376" t="str">
        <f>IF(Start!$C$15="x",(IF(I193 = "NA", "NA", IF(OR(D193="NA",D193=""),"NA",(I193 +((Data!$D$19-Data!$D$22)/(Data!$D$19*Data!$D$22)*$D193))))),"---")</f>
        <v>---</v>
      </c>
      <c r="K193" s="376" t="str">
        <f>IF(Start!$C$15="x",(IF(J193="NA","NA",IF(OR(G193="NA",G193=""),"NA",(J193*(1-Data!$D$23)*Data!$D$14*1000)/(Data!$D$23+((1-Data!$D$23)*Data!$D$14*$G193))))),"---")</f>
        <v>---</v>
      </c>
      <c r="L193" s="376" t="str">
        <f>IF(Start!$C$15="x",(IF(I193="NA","NA",IF($G193 = "NA", "NA",(IF(OR(ChemData!U193="NA",ChemData!U193=""),I193/((Data!$D$18+((1-Data!$D$18)*Data!$D$14*$G193))/((1-Data!$D$18)*Data!$D$14*1000)),(IF(I193/((Data!$D$18+((1-Data!$D$18)*Data!$D$14*$G193))/((1-Data!$D$18)*Data!$D$14*1000))&gt;ChemData!U193, ChemData!U193, I193/((Data!$D$18+((1-Data!$D$18)*Data!$D$14*$G193))/((1-Data!$D$18)*Data!$D$14*1000))))))))),"---")</f>
        <v>---</v>
      </c>
      <c r="M193" s="376" t="str">
        <f>IF(Start!$C$15="x",(IF(L193="NA","NA",IF(OR(D193="NA",D193=""),"NA",(((Data!$D$22*Data!$D$18)*L193)+(Data!$D$19-Data!$D$22)*$D193)/((Data!$D$22*Data!$D$18)+Data!$D$19-Data!$D$22)))),"---")</f>
        <v>---</v>
      </c>
      <c r="N193" s="376" t="str">
        <f>IF(Start!$C$15="x",IF(K193 = "NA", "NA", (IF(M193 = "NA", "NA",(IF(OR(ChemData!U193="NA",ChemData!U193=""),(IF(K193&gt;M193,K193,M193)),(IF(K193&gt;M193,(IF(K193&gt;ChemData!U193, ChemData!U193, K193)),(IF(M193&gt;ChemData!U193,ChemData!U193,M193))))))))),"---")</f>
        <v>---</v>
      </c>
      <c r="O193" s="377" t="str">
        <f>IF(Start!$C$15="x",IF(N193 = "NA","NA", IF(OR(E193="NA",E193=""),"NA",(N193+(Data!$D$26*$E193))/(Data!$D$26+1))),"---")</f>
        <v>---</v>
      </c>
      <c r="P193" s="731">
        <f>IF(E193="",F193,IF($F193&lt;(1+(Data!$D$27/100))*$E193,(1+(Data!$D$27/100))*$E193,$F193))</f>
        <v>230</v>
      </c>
      <c r="Q193" s="343" t="str">
        <f>IF(Start!$C$15="x",(IF(C193="","",(IF(O193="NA","NA",IF(P193="NA","NA",IF(P193=0,"NA",(O193/P193))))))),"Not Req.")</f>
        <v>Not Req.</v>
      </c>
      <c r="R193" s="163"/>
      <c r="S193" s="18"/>
      <c r="T193" s="18"/>
      <c r="U193" s="163"/>
      <c r="V193" s="163"/>
      <c r="W193" s="18"/>
      <c r="X193" s="163"/>
      <c r="Y193" s="163"/>
      <c r="Z193" s="18"/>
    </row>
    <row r="194" spans="1:26" s="10" customFormat="1" x14ac:dyDescent="0.25">
      <c r="A194" s="505" t="s">
        <v>512</v>
      </c>
      <c r="B194" s="514"/>
      <c r="C194" s="508"/>
      <c r="D194" s="509"/>
      <c r="E194" s="510"/>
      <c r="F194" s="511"/>
      <c r="G194" s="512"/>
      <c r="H194" s="513"/>
      <c r="I194" s="511"/>
      <c r="J194" s="512"/>
      <c r="K194" s="512"/>
      <c r="L194" s="512"/>
      <c r="M194" s="512"/>
      <c r="N194" s="512"/>
      <c r="O194" s="513"/>
      <c r="P194" s="672"/>
      <c r="Q194" s="507"/>
      <c r="R194" s="163"/>
      <c r="S194" s="18"/>
      <c r="T194" s="18"/>
      <c r="U194" s="163"/>
      <c r="V194" s="163"/>
      <c r="W194" s="18"/>
      <c r="X194" s="163"/>
      <c r="Y194" s="163"/>
      <c r="Z194" s="18"/>
    </row>
    <row r="195" spans="1:26" s="10" customFormat="1" x14ac:dyDescent="0.25">
      <c r="A195" s="307" t="s">
        <v>513</v>
      </c>
      <c r="B195" s="371" t="str">
        <f>IF(Start!$C$15="x",IF(C195="NA","NA",(IF(C195="","",(IF(OR(F195="NA",F195=""),"No Criteria",(IF(AND(O195="NA",F195&lt;&gt;"NA",C195&lt;&gt;"NA"),                  "Missing Data",(IF(O195&lt;F195,"No",(IF(D195&gt;F195,"Caution",(IF(O195&gt;=F195,"Needed","No"))))))))))))),"---")</f>
        <v>---</v>
      </c>
      <c r="C195" s="372" t="str">
        <f>IF(TRUE=ISBLANK(ChemData!B195),"",(ChemData!B195))</f>
        <v/>
      </c>
      <c r="D195" s="373" t="str">
        <f>IF(TRUE=ISBLANK(ChemData!C195),"",(ChemData!C195))</f>
        <v/>
      </c>
      <c r="E195" s="374" t="str">
        <f>IF(TRUE=ISBLANK(ChemData!D195),"",(ChemData!D195))</f>
        <v/>
      </c>
      <c r="F195" s="289" t="str">
        <f>IF(TRUE=ISBLANK(ChemData!H195),"",(ChemData!H195))</f>
        <v>NA</v>
      </c>
      <c r="G195" s="290">
        <f>IF(TRUE=ISBLANK(ChemData!Q195),"",(ChemData!Q195))</f>
        <v>9.2769756944408179</v>
      </c>
      <c r="H195" s="291">
        <f>IF(TRUE=ISBLANK(ChemData!S195),"",(ChemData!S195))</f>
        <v>1</v>
      </c>
      <c r="I195" s="375" t="str">
        <f>IF(Start!$C$15="x",(IF(OR(C195="NA",C195=""), "NA", (IF($H195 = "NA", "NA", ((C195*$H195)))))),"---")</f>
        <v>---</v>
      </c>
      <c r="J195" s="376" t="str">
        <f>IF(Start!$C$15="x",(IF(I195 = "NA", "NA", IF(OR(D195="NA",D195=""),"NA",(I195 +((Data!$D$19-Data!$D$22)/(Data!$D$19*Data!$D$22)*$D195))))),"---")</f>
        <v>---</v>
      </c>
      <c r="K195" s="376" t="str">
        <f>IF(Start!$C$15="x",(IF(J195="NA","NA",IF(OR(G195="NA",G195=""),"NA",(J195*(1-Data!$D$23)*Data!$D$14*1000)/(Data!$D$23+((1-Data!$D$23)*Data!$D$14*$G195))))),"---")</f>
        <v>---</v>
      </c>
      <c r="L195" s="376" t="str">
        <f>IF(Start!$C$15="x",(IF(I195="NA","NA",IF($G195 = "NA", "NA",(IF(OR(ChemData!U195="NA",ChemData!U195=""),I195/((Data!$D$18+((1-Data!$D$18)*Data!$D$14*$G195))/((1-Data!$D$18)*Data!$D$14*1000)),(IF(I195/((Data!$D$18+((1-Data!$D$18)*Data!$D$14*$G195))/((1-Data!$D$18)*Data!$D$14*1000))&gt;ChemData!U195, ChemData!U195, I195/((Data!$D$18+((1-Data!$D$18)*Data!$D$14*$G195))/((1-Data!$D$18)*Data!$D$14*1000))))))))),"---")</f>
        <v>---</v>
      </c>
      <c r="M195" s="376" t="str">
        <f>IF(Start!$C$15="x",(IF(L195="NA","NA",IF(OR(D195="NA",D195=""),"NA",(((Data!$D$22*Data!$D$18)*L195)+(Data!$D$19-Data!$D$22)*$D195)/((Data!$D$22*Data!$D$18)+Data!$D$19-Data!$D$22)))),"---")</f>
        <v>---</v>
      </c>
      <c r="N195" s="376" t="str">
        <f>IF(Start!$C$15="x",IF(K195 = "NA", "NA", (IF(M195 = "NA", "NA",(IF(OR(ChemData!U195="NA",ChemData!U195=""),(IF(K195&gt;M195,K195,M195)),(IF(K195&gt;M195,(IF(K195&gt;ChemData!U195, ChemData!U195, K195)),(IF(M195&gt;ChemData!U195,ChemData!U195,M195))))))))),"---")</f>
        <v>---</v>
      </c>
      <c r="O195" s="377" t="str">
        <f>IF(Start!$C$15="x",IF(N195 = "NA","NA", IF(OR(E195="NA",E195=""),"NA",(N195+(Data!$D$26*$E195))/(Data!$D$26+1))),"---")</f>
        <v>---</v>
      </c>
      <c r="P195" s="730" t="str">
        <f>IF(E195="",F195,IF($F195&lt;(1+(Data!$D$27/100))*$E195,(1+(Data!$D$27/100))*$E195,$F195))</f>
        <v>NA</v>
      </c>
      <c r="Q195" s="343" t="str">
        <f>IF(Start!$C$15="x",(IF(C195="","",(IF(O195="NA","NA",IF(P195="NA","NA",IF(P195=0,"NA",(O195/P195))))))),"Not Req.")</f>
        <v>Not Req.</v>
      </c>
      <c r="R195" s="163"/>
      <c r="S195" s="18"/>
      <c r="T195" s="18"/>
      <c r="U195" s="163"/>
      <c r="V195" s="163"/>
      <c r="W195" s="18"/>
      <c r="X195" s="163"/>
      <c r="Y195" s="163"/>
      <c r="Z195" s="18"/>
    </row>
    <row r="196" spans="1:26" s="10" customFormat="1" x14ac:dyDescent="0.25">
      <c r="A196" s="405" t="s">
        <v>683</v>
      </c>
      <c r="B196" s="371" t="str">
        <f>IF(Start!$C$15="x",IF(C196="NA","NA",(IF(C196="","",(IF(OR(F196="NA",F196=""),"No Criteria",(IF(AND(O196="NA",F196&lt;&gt;"NA",C196&lt;&gt;"NA"),                  "Missing Data",(IF(O196&lt;F196,"No",(IF(D196&gt;F196,"Caution",(IF(O196&gt;=F196,"Needed","No"))))))))))))),"---")</f>
        <v>---</v>
      </c>
      <c r="C196" s="372" t="str">
        <f>IF(TRUE=ISBLANK(ChemData!B196),"",(ChemData!B196))</f>
        <v/>
      </c>
      <c r="D196" s="373" t="str">
        <f>IF(TRUE=ISBLANK(ChemData!C196),"",(ChemData!C196))</f>
        <v/>
      </c>
      <c r="E196" s="374" t="str">
        <f>IF(TRUE=ISBLANK(ChemData!D196),"",(ChemData!D196))</f>
        <v/>
      </c>
      <c r="F196" s="289">
        <f>IF(TRUE=ISBLANK(ChemData!H196),"",(ChemData!H196))</f>
        <v>8.3000000000000004E-2</v>
      </c>
      <c r="G196" s="290">
        <f>IF(TRUE=ISBLANK(ChemData!Q196),"",(ChemData!Q196))</f>
        <v>1808.8527299999998</v>
      </c>
      <c r="H196" s="291">
        <f>IF(TRUE=ISBLANK(ChemData!S196),"",(ChemData!S196))</f>
        <v>1</v>
      </c>
      <c r="I196" s="375" t="str">
        <f>IF(Start!$C$15="x",(IF(OR(C196="NA",C196=""), "NA", (IF($H196 = "NA", "NA", ((C196*$H196)))))),"---")</f>
        <v>---</v>
      </c>
      <c r="J196" s="376" t="str">
        <f>IF(Start!$C$15="x",(IF(I196 = "NA", "NA", IF(OR(D196="NA",D196=""),"NA",(I196 +((Data!$D$19-Data!$D$22)/(Data!$D$19*Data!$D$22)*$D196))))),"---")</f>
        <v>---</v>
      </c>
      <c r="K196" s="376" t="str">
        <f>IF(Start!$C$15="x",(IF(J196="NA","NA",IF(OR(G196="NA",G196=""),"NA",(J196*(1-Data!$D$23)*Data!$D$14*1000)/(Data!$D$23+((1-Data!$D$23)*Data!$D$14*$G196))))),"---")</f>
        <v>---</v>
      </c>
      <c r="L196" s="376" t="str">
        <f>IF(Start!$C$15="x",(IF(I196="NA","NA",IF($G196 = "NA", "NA",(IF(OR(ChemData!U196="NA",ChemData!U196=""),I196/((Data!$D$18+((1-Data!$D$18)*Data!$D$14*$G196))/((1-Data!$D$18)*Data!$D$14*1000)),(IF(I196/((Data!$D$18+((1-Data!$D$18)*Data!$D$14*$G196))/((1-Data!$D$18)*Data!$D$14*1000))&gt;ChemData!U196, ChemData!U196, I196/((Data!$D$18+((1-Data!$D$18)*Data!$D$14*$G196))/((1-Data!$D$18)*Data!$D$14*1000))))))))),"---")</f>
        <v>---</v>
      </c>
      <c r="M196" s="376" t="str">
        <f>IF(Start!$C$15="x",(IF(L196="NA","NA",IF(OR(D196="NA",D196=""),"NA",(((Data!$D$22*Data!$D$18)*L196)+(Data!$D$19-Data!$D$22)*$D196)/((Data!$D$22*Data!$D$18)+Data!$D$19-Data!$D$22)))),"---")</f>
        <v>---</v>
      </c>
      <c r="N196" s="376" t="str">
        <f>IF(Start!$C$15="x",IF(K196 = "NA", "NA", (IF(M196 = "NA", "NA",(IF(OR(ChemData!U196="NA",ChemData!U196=""),(IF(K196&gt;M196,K196,M196)),(IF(K196&gt;M196,(IF(K196&gt;ChemData!U196, ChemData!U196, K196)),(IF(M196&gt;ChemData!U196,ChemData!U196,M196))))))))),"---")</f>
        <v>---</v>
      </c>
      <c r="O196" s="377" t="str">
        <f>IF(Start!$C$15="x",IF(N196 = "NA","NA", IF(OR(E196="NA",E196=""),"NA",(N196+(Data!$D$26*$E196))/(Data!$D$26+1))),"---")</f>
        <v>---</v>
      </c>
      <c r="P196" s="730">
        <f>IF(E196="",F196,IF($F196&lt;(1+(Data!$D$27/100))*$E196,(1+(Data!$D$27/100))*$E196,$F196))</f>
        <v>8.3000000000000004E-2</v>
      </c>
      <c r="Q196" s="343" t="str">
        <f>IF(Start!$C$15="x",(IF(C196="","",(IF(O196="NA","NA",IF(P196="NA","NA",IF(P196=0,"NA",(O196/P196))))))),"Not Req.")</f>
        <v>Not Req.</v>
      </c>
      <c r="R196" s="163"/>
      <c r="S196" s="18"/>
      <c r="T196" s="18"/>
      <c r="U196" s="163"/>
      <c r="V196" s="163"/>
      <c r="W196" s="18"/>
      <c r="X196" s="163"/>
      <c r="Y196" s="163"/>
      <c r="Z196" s="18"/>
    </row>
    <row r="197" spans="1:26" s="10" customFormat="1" x14ac:dyDescent="0.25">
      <c r="A197" s="405" t="s">
        <v>515</v>
      </c>
      <c r="B197" s="371" t="str">
        <f>IF(Start!$C$15="x",IF(C197="NA","NA",(IF(C197="","",(IF(OR(F197="NA",F197=""),"No Criteria",(IF(AND(O197="NA",F197&lt;&gt;"NA",C197&lt;&gt;"NA"),                  "Missing Data",(IF(O197&lt;F197,"No",(IF(D197&gt;F197,"Caution",(IF(O197&gt;=F197,"Needed","No"))))))))))))),"---")</f>
        <v>---</v>
      </c>
      <c r="C197" s="372" t="str">
        <f>IF(TRUE=ISBLANK(ChemData!B197),"",(ChemData!B197))</f>
        <v/>
      </c>
      <c r="D197" s="373" t="str">
        <f>IF(TRUE=ISBLANK(ChemData!C197),"",(ChemData!C197))</f>
        <v/>
      </c>
      <c r="E197" s="374" t="str">
        <f>IF(TRUE=ISBLANK(ChemData!D197),"",(ChemData!D197))</f>
        <v/>
      </c>
      <c r="F197" s="289" t="str">
        <f>IF(TRUE=ISBLANK(ChemData!H197),"",(ChemData!H197))</f>
        <v>NA</v>
      </c>
      <c r="G197" s="290">
        <f>IF(TRUE=ISBLANK(ChemData!Q197),"",(ChemData!Q197))</f>
        <v>2.2772274947737192</v>
      </c>
      <c r="H197" s="291">
        <f>IF(TRUE=ISBLANK(ChemData!S197),"",(ChemData!S197))</f>
        <v>1</v>
      </c>
      <c r="I197" s="375" t="str">
        <f>IF(Start!$C$15="x",(IF(OR(C197="NA",C197=""), "NA", (IF($H197 = "NA", "NA", ((C197*$H197)))))),"---")</f>
        <v>---</v>
      </c>
      <c r="J197" s="376" t="str">
        <f>IF(Start!$C$15="x",(IF(I197 = "NA", "NA", IF(OR(D197="NA",D197=""),"NA",(I197 +((Data!$D$19-Data!$D$22)/(Data!$D$19*Data!$D$22)*$D197))))),"---")</f>
        <v>---</v>
      </c>
      <c r="K197" s="376" t="str">
        <f>IF(Start!$C$15="x",(IF(J197="NA","NA",IF(OR(G197="NA",G197=""),"NA",(J197*(1-Data!$D$23)*Data!$D$14*1000)/(Data!$D$23+((1-Data!$D$23)*Data!$D$14*$G197))))),"---")</f>
        <v>---</v>
      </c>
      <c r="L197" s="376" t="str">
        <f>IF(Start!$C$15="x",(IF(I197="NA","NA",IF($G197 = "NA", "NA",(IF(OR(ChemData!U197="NA",ChemData!U197=""),I197/((Data!$D$18+((1-Data!$D$18)*Data!$D$14*$G197))/((1-Data!$D$18)*Data!$D$14*1000)),(IF(I197/((Data!$D$18+((1-Data!$D$18)*Data!$D$14*$G197))/((1-Data!$D$18)*Data!$D$14*1000))&gt;ChemData!U197, ChemData!U197, I197/((Data!$D$18+((1-Data!$D$18)*Data!$D$14*$G197))/((1-Data!$D$18)*Data!$D$14*1000))))))))),"---")</f>
        <v>---</v>
      </c>
      <c r="M197" s="376" t="str">
        <f>IF(Start!$C$15="x",(IF(L197="NA","NA",IF(OR(D197="NA",D197=""),"NA",(((Data!$D$22*Data!$D$18)*L197)+(Data!$D$19-Data!$D$22)*$D197)/((Data!$D$22*Data!$D$18)+Data!$D$19-Data!$D$22)))),"---")</f>
        <v>---</v>
      </c>
      <c r="N197" s="376" t="str">
        <f>IF(Start!$C$15="x",IF(K197 = "NA", "NA", (IF(M197 = "NA", "NA",(IF(OR(ChemData!U197="NA",ChemData!U197=""),(IF(K197&gt;M197,K197,M197)),(IF(K197&gt;M197,(IF(K197&gt;ChemData!U197, ChemData!U197, K197)),(IF(M197&gt;ChemData!U197,ChemData!U197,M197))))))))),"---")</f>
        <v>---</v>
      </c>
      <c r="O197" s="377" t="str">
        <f>IF(Start!$C$15="x",IF(N197 = "NA","NA", IF(OR(E197="NA",E197=""),"NA",(N197+(Data!$D$26*$E197))/(Data!$D$26+1))),"---")</f>
        <v>---</v>
      </c>
      <c r="P197" s="730" t="str">
        <f>IF(E197="",F197,IF($F197&lt;(1+(Data!$D$27/100))*$E197,(1+(Data!$D$27/100))*$E197,$F197))</f>
        <v>NA</v>
      </c>
      <c r="Q197" s="343" t="str">
        <f>IF(Start!$C$15="x",(IF(C197="","",(IF(O197="NA","NA",IF(P197="NA","NA",IF(P197=0,"NA",(O197/P197))))))),"Not Req.")</f>
        <v>Not Req.</v>
      </c>
      <c r="R197" s="163"/>
      <c r="S197" s="18"/>
      <c r="T197" s="18"/>
      <c r="U197" s="163"/>
      <c r="V197" s="163"/>
      <c r="W197" s="18"/>
      <c r="X197" s="163"/>
      <c r="Y197" s="163"/>
      <c r="Z197" s="18"/>
    </row>
    <row r="198" spans="1:26" s="10" customFormat="1" x14ac:dyDescent="0.25">
      <c r="A198" s="405" t="s">
        <v>516</v>
      </c>
      <c r="B198" s="371" t="str">
        <f>IF(Start!$C$15="x",IF(C198="NA","NA",(IF(C198="","",(IF(OR(F198="NA",F198=""),"No Criteria",(IF(AND(O198="NA",F198&lt;&gt;"NA",C198&lt;&gt;"NA"),                  "Missing Data",(IF(O198&lt;F198,"No",(IF(D198&gt;F198,"Caution",(IF(O198&gt;=F198,"Needed","No"))))))))))))),"---")</f>
        <v>---</v>
      </c>
      <c r="C198" s="372" t="str">
        <f>IF(TRUE=ISBLANK(ChemData!B198),"",(ChemData!B198))</f>
        <v/>
      </c>
      <c r="D198" s="373" t="str">
        <f>IF(TRUE=ISBLANK(ChemData!C198),"",(ChemData!C198))</f>
        <v/>
      </c>
      <c r="E198" s="374" t="str">
        <f>IF(TRUE=ISBLANK(ChemData!D198),"",(ChemData!D198))</f>
        <v/>
      </c>
      <c r="F198" s="289">
        <f>IF(TRUE=ISBLANK(ChemData!H198),"",(ChemData!H198))</f>
        <v>0.17</v>
      </c>
      <c r="G198" s="290">
        <f>IF(TRUE=ISBLANK(ChemData!Q198),"",(ChemData!Q198))</f>
        <v>41.443890000000003</v>
      </c>
      <c r="H198" s="291">
        <f>IF(TRUE=ISBLANK(ChemData!S198),"",(ChemData!S198))</f>
        <v>1</v>
      </c>
      <c r="I198" s="375" t="str">
        <f>IF(Start!$C$15="x",(IF(OR(C198="NA",C198=""), "NA", (IF($H198 = "NA", "NA", ((C198*$H198)))))),"---")</f>
        <v>---</v>
      </c>
      <c r="J198" s="376" t="str">
        <f>IF(Start!$C$15="x",(IF(I198 = "NA", "NA", IF(OR(D198="NA",D198=""),"NA",(I198 +((Data!$D$19-Data!$D$22)/(Data!$D$19*Data!$D$22)*$D198))))),"---")</f>
        <v>---</v>
      </c>
      <c r="K198" s="376" t="str">
        <f>IF(Start!$C$15="x",(IF(J198="NA","NA",IF(OR(G198="NA",G198=""),"NA",(J198*(1-Data!$D$23)*Data!$D$14*1000)/(Data!$D$23+((1-Data!$D$23)*Data!$D$14*$G198))))),"---")</f>
        <v>---</v>
      </c>
      <c r="L198" s="376" t="str">
        <f>IF(Start!$C$15="x",(IF(I198="NA","NA",IF($G198 = "NA", "NA",(IF(OR(ChemData!U198="NA",ChemData!U198=""),I198/((Data!$D$18+((1-Data!$D$18)*Data!$D$14*$G198))/((1-Data!$D$18)*Data!$D$14*1000)),(IF(I198/((Data!$D$18+((1-Data!$D$18)*Data!$D$14*$G198))/((1-Data!$D$18)*Data!$D$14*1000))&gt;ChemData!U198, ChemData!U198, I198/((Data!$D$18+((1-Data!$D$18)*Data!$D$14*$G198))/((1-Data!$D$18)*Data!$D$14*1000))))))))),"---")</f>
        <v>---</v>
      </c>
      <c r="M198" s="376" t="str">
        <f>IF(Start!$C$15="x",(IF(L198="NA","NA",IF(OR(D198="NA",D198=""),"NA",(((Data!$D$22*Data!$D$18)*L198)+(Data!$D$19-Data!$D$22)*$D198)/((Data!$D$22*Data!$D$18)+Data!$D$19-Data!$D$22)))),"---")</f>
        <v>---</v>
      </c>
      <c r="N198" s="376" t="str">
        <f>IF(Start!$C$15="x",IF(K198 = "NA", "NA", (IF(M198 = "NA", "NA",(IF(OR(ChemData!U198="NA",ChemData!U198=""),(IF(K198&gt;M198,K198,M198)),(IF(K198&gt;M198,(IF(K198&gt;ChemData!U198, ChemData!U198, K198)),(IF(M198&gt;ChemData!U198,ChemData!U198,M198))))))))),"---")</f>
        <v>---</v>
      </c>
      <c r="O198" s="377" t="str">
        <f>IF(Start!$C$15="x",IF(N198 = "NA","NA", IF(OR(E198="NA",E198=""),"NA",(N198+(Data!$D$26*$E198))/(Data!$D$26+1))),"---")</f>
        <v>---</v>
      </c>
      <c r="P198" s="730">
        <f>IF(E198="",F198,IF($F198&lt;(1+(Data!$D$27/100))*$E198,(1+(Data!$D$27/100))*$E198,$F198))</f>
        <v>0.17</v>
      </c>
      <c r="Q198" s="343" t="str">
        <f>IF(Start!$C$15="x",(IF(C198="","",(IF(O198="NA","NA",IF(P198="NA","NA",IF(P198=0,"NA",(O198/P198))))))),"Not Req.")</f>
        <v>Not Req.</v>
      </c>
      <c r="R198" s="163"/>
      <c r="S198" s="18"/>
      <c r="T198" s="18"/>
      <c r="U198" s="163"/>
      <c r="V198" s="163"/>
      <c r="W198" s="18"/>
      <c r="X198" s="163"/>
      <c r="Y198" s="163"/>
      <c r="Z198" s="18"/>
    </row>
    <row r="199" spans="1:26" s="10" customFormat="1" x14ac:dyDescent="0.25">
      <c r="A199" s="405" t="s">
        <v>684</v>
      </c>
      <c r="B199" s="371" t="str">
        <f>IF(Start!$C$15="x",IF(C199="NA","NA",(IF(C199="","",(IF(OR(F199="NA",F199=""),"No Criteria",(IF(AND(O199="NA",F199&lt;&gt;"NA",C199&lt;&gt;"NA"),                  "Missing Data",(IF(O199&lt;F199,"No",(IF(D199&gt;F199,"Caution",(IF(O199&gt;=F199,"Needed","No"))))))))))))),"---")</f>
        <v>---</v>
      </c>
      <c r="C199" s="372" t="str">
        <f>IF(TRUE=ISBLANK(ChemData!B199),"",(ChemData!B199))</f>
        <v/>
      </c>
      <c r="D199" s="373" t="str">
        <f>IF(TRUE=ISBLANK(ChemData!C199),"",(ChemData!C199))</f>
        <v/>
      </c>
      <c r="E199" s="374" t="str">
        <f>IF(TRUE=ISBLANK(ChemData!D199),"",(ChemData!D199))</f>
        <v/>
      </c>
      <c r="F199" s="289" t="str">
        <f>IF(TRUE=ISBLANK(ChemData!H199),"",(ChemData!H199))</f>
        <v>NA</v>
      </c>
      <c r="G199" s="290">
        <f>IF(TRUE=ISBLANK(ChemData!Q199),"",(ChemData!Q199))</f>
        <v>0.11153377938236365</v>
      </c>
      <c r="H199" s="291">
        <f>IF(TRUE=ISBLANK(ChemData!S199),"",(ChemData!S199))</f>
        <v>1</v>
      </c>
      <c r="I199" s="375" t="str">
        <f>IF(Start!$C$15="x",(IF(OR(C199="NA",C199=""), "NA", (IF($H199 = "NA", "NA", ((C199*$H199)))))),"---")</f>
        <v>---</v>
      </c>
      <c r="J199" s="376" t="str">
        <f>IF(Start!$C$15="x",(IF(I199 = "NA", "NA", IF(OR(D199="NA",D199=""),"NA",(I199 +((Data!$D$19-Data!$D$22)/(Data!$D$19*Data!$D$22)*$D199))))),"---")</f>
        <v>---</v>
      </c>
      <c r="K199" s="376" t="str">
        <f>IF(Start!$C$15="x",(IF(J199="NA","NA",IF(OR(G199="NA",G199=""),"NA",(J199*(1-Data!$D$23)*Data!$D$14*1000)/(Data!$D$23+((1-Data!$D$23)*Data!$D$14*$G199))))),"---")</f>
        <v>---</v>
      </c>
      <c r="L199" s="376" t="str">
        <f>IF(Start!$C$15="x",(IF(I199="NA","NA",IF($G199 = "NA", "NA",(IF(OR(ChemData!U199="NA",ChemData!U199=""),I199/((Data!$D$18+((1-Data!$D$18)*Data!$D$14*$G199))/((1-Data!$D$18)*Data!$D$14*1000)),(IF(I199/((Data!$D$18+((1-Data!$D$18)*Data!$D$14*$G199))/((1-Data!$D$18)*Data!$D$14*1000))&gt;ChemData!U199, ChemData!U199, I199/((Data!$D$18+((1-Data!$D$18)*Data!$D$14*$G199))/((1-Data!$D$18)*Data!$D$14*1000))))))))),"---")</f>
        <v>---</v>
      </c>
      <c r="M199" s="376" t="str">
        <f>IF(Start!$C$15="x",(IF(L199="NA","NA",IF(OR(D199="NA",D199=""),"NA",(((Data!$D$22*Data!$D$18)*L199)+(Data!$D$19-Data!$D$22)*$D199)/((Data!$D$22*Data!$D$18)+Data!$D$19-Data!$D$22)))),"---")</f>
        <v>---</v>
      </c>
      <c r="N199" s="376" t="str">
        <f>IF(Start!$C$15="x",IF(K199 = "NA", "NA", (IF(M199 = "NA", "NA",(IF(OR(ChemData!U199="NA",ChemData!U199=""),(IF(K199&gt;M199,K199,M199)),(IF(K199&gt;M199,(IF(K199&gt;ChemData!U199, ChemData!U199, K199)),(IF(M199&gt;ChemData!U199,ChemData!U199,M199))))))))),"---")</f>
        <v>---</v>
      </c>
      <c r="O199" s="377" t="str">
        <f>IF(Start!$C$15="x",IF(N199 = "NA","NA", IF(OR(E199="NA",E199=""),"NA",(N199+(Data!$D$26*$E199))/(Data!$D$26+1))),"---")</f>
        <v>---</v>
      </c>
      <c r="P199" s="730" t="str">
        <f>IF(E199="",F199,IF($F199&lt;(1+(Data!$D$27/100))*$E199,(1+(Data!$D$27/100))*$E199,$F199))</f>
        <v>NA</v>
      </c>
      <c r="Q199" s="343" t="str">
        <f>IF(Start!$C$15="x",(IF(C199="","",(IF(O199="NA","NA",IF(P199="NA","NA",IF(P199=0,"NA",(O199/P199))))))),"Not Req.")</f>
        <v>Not Req.</v>
      </c>
      <c r="R199" s="163"/>
      <c r="S199" s="18"/>
      <c r="T199" s="18"/>
      <c r="U199" s="163"/>
      <c r="V199" s="163"/>
      <c r="W199" s="18"/>
      <c r="X199" s="163"/>
      <c r="Y199" s="163"/>
      <c r="Z199" s="18"/>
    </row>
    <row r="200" spans="1:26" s="10" customFormat="1" x14ac:dyDescent="0.25">
      <c r="A200" s="405" t="s">
        <v>685</v>
      </c>
      <c r="B200" s="371" t="str">
        <f>IF(Start!$C$15="x",IF(C200="NA","NA",(IF(C200="","",(IF(OR(F200="NA",F200=""),"No Criteria",(IF(AND(O200="NA",F200&lt;&gt;"NA",C200&lt;&gt;"NA"),                  "Missing Data",(IF(O200&lt;F200,"No",(IF(D200&gt;F200,"Caution",(IF(O200&gt;=F200,"Needed","No"))))))))))))),"---")</f>
        <v>---</v>
      </c>
      <c r="C200" s="372" t="str">
        <f>IF(TRUE=ISBLANK(ChemData!B200),"",(ChemData!B200))</f>
        <v/>
      </c>
      <c r="D200" s="373" t="str">
        <f>IF(TRUE=ISBLANK(ChemData!C200),"",(ChemData!C200))</f>
        <v/>
      </c>
      <c r="E200" s="374" t="str">
        <f>IF(TRUE=ISBLANK(ChemData!D200),"",(ChemData!D200))</f>
        <v/>
      </c>
      <c r="F200" s="289">
        <f>IF(TRUE=ISBLANK(ChemData!H200),"",(ChemData!H200))</f>
        <v>6.5000000000000002E-2</v>
      </c>
      <c r="G200" s="290">
        <f>IF(TRUE=ISBLANK(ChemData!Q200),"",(ChemData!Q200))</f>
        <v>99.404585508133763</v>
      </c>
      <c r="H200" s="291">
        <f>IF(TRUE=ISBLANK(ChemData!S200),"",(ChemData!S200))</f>
        <v>1</v>
      </c>
      <c r="I200" s="375" t="str">
        <f>IF(Start!$C$15="x",(IF(OR(C200="NA",C200=""), "NA", (IF($H200 = "NA", "NA", ((C200*$H200)))))),"---")</f>
        <v>---</v>
      </c>
      <c r="J200" s="376" t="str">
        <f>IF(Start!$C$15="x",(IF(I200 = "NA", "NA", IF(OR(D200="NA",D200=""),"NA",(I200 +((Data!$D$19-Data!$D$22)/(Data!$D$19*Data!$D$22)*$D200))))),"---")</f>
        <v>---</v>
      </c>
      <c r="K200" s="376" t="str">
        <f>IF(Start!$C$15="x",(IF(J200="NA","NA",IF(OR(G200="NA",G200=""),"NA",(J200*(1-Data!$D$23)*Data!$D$14*1000)/(Data!$D$23+((1-Data!$D$23)*Data!$D$14*$G200))))),"---")</f>
        <v>---</v>
      </c>
      <c r="L200" s="376" t="str">
        <f>IF(Start!$C$15="x",(IF(I200="NA","NA",IF($G200 = "NA", "NA",(IF(OR(ChemData!U200="NA",ChemData!U200=""),I200/((Data!$D$18+((1-Data!$D$18)*Data!$D$14*$G200))/((1-Data!$D$18)*Data!$D$14*1000)),(IF(I200/((Data!$D$18+((1-Data!$D$18)*Data!$D$14*$G200))/((1-Data!$D$18)*Data!$D$14*1000))&gt;ChemData!U200, ChemData!U200, I200/((Data!$D$18+((1-Data!$D$18)*Data!$D$14*$G200))/((1-Data!$D$18)*Data!$D$14*1000))))))))),"---")</f>
        <v>---</v>
      </c>
      <c r="M200" s="376" t="str">
        <f>IF(Start!$C$15="x",(IF(L200="NA","NA",IF(OR(D200="NA",D200=""),"NA",(((Data!$D$22*Data!$D$18)*L200)+(Data!$D$19-Data!$D$22)*$D200)/((Data!$D$22*Data!$D$18)+Data!$D$19-Data!$D$22)))),"---")</f>
        <v>---</v>
      </c>
      <c r="N200" s="376" t="str">
        <f>IF(Start!$C$15="x",IF(K200 = "NA", "NA", (IF(M200 = "NA", "NA",(IF(OR(ChemData!U200="NA",ChemData!U200=""),(IF(K200&gt;M200,K200,M200)),(IF(K200&gt;M200,(IF(K200&gt;ChemData!U200, ChemData!U200, K200)),(IF(M200&gt;ChemData!U200,ChemData!U200,M200))))))))),"---")</f>
        <v>---</v>
      </c>
      <c r="O200" s="377" t="str">
        <f>IF(Start!$C$15="x",IF(N200 = "NA","NA", IF(OR(E200="NA",E200=""),"NA",(N200+(Data!$D$26*$E200))/(Data!$D$26+1))),"---")</f>
        <v>---</v>
      </c>
      <c r="P200" s="730">
        <f>IF(E200="",F200,IF($F200&lt;(1+(Data!$D$27/100))*$E200,(1+(Data!$D$27/100))*$E200,$F200))</f>
        <v>6.5000000000000002E-2</v>
      </c>
      <c r="Q200" s="343" t="str">
        <f>IF(Start!$C$15="x",(IF(C200="","",(IF(O200="NA","NA",IF(P200="NA","NA",IF(P200=0,"NA",(O200/P200))))))),"Not Req.")</f>
        <v>Not Req.</v>
      </c>
      <c r="R200" s="163"/>
      <c r="S200" s="18"/>
      <c r="T200" s="18"/>
      <c r="U200" s="163"/>
      <c r="V200" s="163"/>
      <c r="W200" s="18"/>
      <c r="X200" s="163"/>
      <c r="Y200" s="163"/>
      <c r="Z200" s="18"/>
    </row>
    <row r="201" spans="1:26" s="10" customFormat="1" x14ac:dyDescent="0.25">
      <c r="A201" s="405" t="s">
        <v>519</v>
      </c>
      <c r="B201" s="371" t="str">
        <f>IF(Start!$C$15="x",IF(C201="NA","NA",(IF(C201="","",(IF(OR(F201="NA",F201=""),"No Criteria",(IF(AND(O201="NA",F201&lt;&gt;"NA",C201&lt;&gt;"NA"),                  "Missing Data",(IF(O201&lt;F201,"No",(IF(D201&gt;F201,"Caution",(IF(O201&gt;=F201,"Needed","No"))))))))))))),"---")</f>
        <v>---</v>
      </c>
      <c r="C201" s="372" t="str">
        <f>IF(TRUE=ISBLANK(ChemData!B201),"",(ChemData!B201))</f>
        <v/>
      </c>
      <c r="D201" s="373" t="str">
        <f>IF(TRUE=ISBLANK(ChemData!C201),"",(ChemData!C201))</f>
        <v/>
      </c>
      <c r="E201" s="374" t="str">
        <f>IF(TRUE=ISBLANK(ChemData!D201),"",(ChemData!D201))</f>
        <v/>
      </c>
      <c r="F201" s="289" t="str">
        <f>IF(TRUE=ISBLANK(ChemData!H201),"",(ChemData!H201))</f>
        <v>NA</v>
      </c>
      <c r="G201" s="290">
        <f>IF(TRUE=ISBLANK(ChemData!Q201),"",(ChemData!Q201))</f>
        <v>13.40930962098807</v>
      </c>
      <c r="H201" s="291">
        <f>IF(TRUE=ISBLANK(ChemData!S201),"",(ChemData!S201))</f>
        <v>1</v>
      </c>
      <c r="I201" s="375" t="str">
        <f>IF(Start!$C$15="x",(IF(OR(C201="NA",C201=""), "NA", (IF($H201 = "NA", "NA", ((C201*$H201)))))),"---")</f>
        <v>---</v>
      </c>
      <c r="J201" s="376" t="str">
        <f>IF(Start!$C$15="x",(IF(I201 = "NA", "NA", IF(OR(D201="NA",D201=""),"NA",(I201 +((Data!$D$19-Data!$D$22)/(Data!$D$19*Data!$D$22)*$D201))))),"---")</f>
        <v>---</v>
      </c>
      <c r="K201" s="376" t="str">
        <f>IF(Start!$C$15="x",(IF(J201="NA","NA",IF(OR(G201="NA",G201=""),"NA",(J201*(1-Data!$D$23)*Data!$D$14*1000)/(Data!$D$23+((1-Data!$D$23)*Data!$D$14*$G201))))),"---")</f>
        <v>---</v>
      </c>
      <c r="L201" s="376" t="str">
        <f>IF(Start!$C$15="x",(IF(I201="NA","NA",IF($G201 = "NA", "NA",(IF(OR(ChemData!U201="NA",ChemData!U201=""),I201/((Data!$D$18+((1-Data!$D$18)*Data!$D$14*$G201))/((1-Data!$D$18)*Data!$D$14*1000)),(IF(I201/((Data!$D$18+((1-Data!$D$18)*Data!$D$14*$G201))/((1-Data!$D$18)*Data!$D$14*1000))&gt;ChemData!U201, ChemData!U201, I201/((Data!$D$18+((1-Data!$D$18)*Data!$D$14*$G201))/((1-Data!$D$18)*Data!$D$14*1000))))))))),"---")</f>
        <v>---</v>
      </c>
      <c r="M201" s="376" t="str">
        <f>IF(Start!$C$15="x",(IF(L201="NA","NA",IF(OR(D201="NA",D201=""),"NA",(((Data!$D$22*Data!$D$18)*L201)+(Data!$D$19-Data!$D$22)*$D201)/((Data!$D$22*Data!$D$18)+Data!$D$19-Data!$D$22)))),"---")</f>
        <v>---</v>
      </c>
      <c r="N201" s="376" t="str">
        <f>IF(Start!$C$15="x",IF(K201 = "NA", "NA", (IF(M201 = "NA", "NA",(IF(OR(ChemData!U201="NA",ChemData!U201=""),(IF(K201&gt;M201,K201,M201)),(IF(K201&gt;M201,(IF(K201&gt;ChemData!U201, ChemData!U201, K201)),(IF(M201&gt;ChemData!U201,ChemData!U201,M201))))))))),"---")</f>
        <v>---</v>
      </c>
      <c r="O201" s="377" t="str">
        <f>IF(Start!$C$15="x",IF(N201 = "NA","NA", IF(OR(E201="NA",E201=""),"NA",(N201+(Data!$D$26*$E201))/(Data!$D$26+1))),"---")</f>
        <v>---</v>
      </c>
      <c r="P201" s="730" t="str">
        <f>IF(E201="",F201,IF($F201&lt;(1+(Data!$D$27/100))*$E201,(1+(Data!$D$27/100))*$E201,$F201))</f>
        <v>NA</v>
      </c>
      <c r="Q201" s="343" t="str">
        <f>IF(Start!$C$15="x",(IF(C201="","",(IF(O201="NA","NA",IF(P201="NA","NA",IF(P201=0,"NA",(O201/P201))))))),"Not Req.")</f>
        <v>Not Req.</v>
      </c>
      <c r="R201" s="163"/>
      <c r="S201" s="18"/>
      <c r="T201" s="18"/>
      <c r="U201" s="163"/>
      <c r="V201" s="163"/>
      <c r="W201" s="18"/>
      <c r="X201" s="163"/>
      <c r="Y201" s="163"/>
      <c r="Z201" s="18"/>
    </row>
    <row r="202" spans="1:26" s="10" customFormat="1" x14ac:dyDescent="0.25">
      <c r="A202" s="405" t="s">
        <v>520</v>
      </c>
      <c r="B202" s="371" t="str">
        <f>IF(Start!$C$15="x",IF(C202="NA","NA",(IF(C202="","",(IF(OR(F202="NA",F202=""),"No Criteria",(IF(AND(O202="NA",F202&lt;&gt;"NA",C202&lt;&gt;"NA"),                  "Missing Data",(IF(O202&lt;F202,"No",(IF(D202&gt;F202,"Caution",(IF(O202&gt;=F202,"Needed","No"))))))))))))),"---")</f>
        <v>---</v>
      </c>
      <c r="C202" s="372" t="str">
        <f>IF(TRUE=ISBLANK(ChemData!B202),"",(ChemData!B202))</f>
        <v/>
      </c>
      <c r="D202" s="373" t="str">
        <f>IF(TRUE=ISBLANK(ChemData!C202),"",(ChemData!C202))</f>
        <v/>
      </c>
      <c r="E202" s="374" t="str">
        <f>IF(TRUE=ISBLANK(ChemData!D202),"",(ChemData!D202))</f>
        <v/>
      </c>
      <c r="F202" s="289" t="str">
        <f>IF(TRUE=ISBLANK(ChemData!H202),"",(ChemData!H202))</f>
        <v>NA</v>
      </c>
      <c r="G202" s="290">
        <f>IF(TRUE=ISBLANK(ChemData!Q202),"",(ChemData!Q202))</f>
        <v>11.679020446328376</v>
      </c>
      <c r="H202" s="291">
        <f>IF(TRUE=ISBLANK(ChemData!S202),"",(ChemData!S202))</f>
        <v>1</v>
      </c>
      <c r="I202" s="375" t="str">
        <f>IF(Start!$C$15="x",(IF(OR(C202="NA",C202=""), "NA", (IF($H202 = "NA", "NA", ((C202*$H202)))))),"---")</f>
        <v>---</v>
      </c>
      <c r="J202" s="376" t="str">
        <f>IF(Start!$C$15="x",(IF(I202 = "NA", "NA", IF(OR(D202="NA",D202=""),"NA",(I202 +((Data!$D$19-Data!$D$22)/(Data!$D$19*Data!$D$22)*$D202))))),"---")</f>
        <v>---</v>
      </c>
      <c r="K202" s="376" t="str">
        <f>IF(Start!$C$15="x",(IF(J202="NA","NA",IF(OR(G202="NA",G202=""),"NA",(J202*(1-Data!$D$23)*Data!$D$14*1000)/(Data!$D$23+((1-Data!$D$23)*Data!$D$14*$G202))))),"---")</f>
        <v>---</v>
      </c>
      <c r="L202" s="376" t="str">
        <f>IF(Start!$C$15="x",(IF(I202="NA","NA",IF($G202 = "NA", "NA",(IF(OR(ChemData!U202="NA",ChemData!U202=""),I202/((Data!$D$18+((1-Data!$D$18)*Data!$D$14*$G202))/((1-Data!$D$18)*Data!$D$14*1000)),(IF(I202/((Data!$D$18+((1-Data!$D$18)*Data!$D$14*$G202))/((1-Data!$D$18)*Data!$D$14*1000))&gt;ChemData!U202, ChemData!U202, I202/((Data!$D$18+((1-Data!$D$18)*Data!$D$14*$G202))/((1-Data!$D$18)*Data!$D$14*1000))))))))),"---")</f>
        <v>---</v>
      </c>
      <c r="M202" s="376" t="str">
        <f>IF(Start!$C$15="x",(IF(L202="NA","NA",IF(OR(D202="NA",D202=""),"NA",(((Data!$D$22*Data!$D$18)*L202)+(Data!$D$19-Data!$D$22)*$D202)/((Data!$D$22*Data!$D$18)+Data!$D$19-Data!$D$22)))),"---")</f>
        <v>---</v>
      </c>
      <c r="N202" s="376" t="str">
        <f>IF(Start!$C$15="x",IF(K202 = "NA", "NA", (IF(M202 = "NA", "NA",(IF(OR(ChemData!U202="NA",ChemData!U202=""),(IF(K202&gt;M202,K202,M202)),(IF(K202&gt;M202,(IF(K202&gt;ChemData!U202, ChemData!U202, K202)),(IF(M202&gt;ChemData!U202,ChemData!U202,M202))))))))),"---")</f>
        <v>---</v>
      </c>
      <c r="O202" s="377" t="str">
        <f>IF(Start!$C$15="x",IF(N202 = "NA","NA", IF(OR(E202="NA",E202=""),"NA",(N202+(Data!$D$26*$E202))/(Data!$D$26+1))),"---")</f>
        <v>---</v>
      </c>
      <c r="P202" s="730" t="str">
        <f>IF(E202="",F202,IF($F202&lt;(1+(Data!$D$27/100))*$E202,(1+(Data!$D$27/100))*$E202,$F202))</f>
        <v>NA</v>
      </c>
      <c r="Q202" s="343" t="str">
        <f>IF(Start!$C$15="x",(IF(C202="","",(IF(O202="NA","NA",IF(P202="NA","NA",IF(P202=0,"NA",(O202/P202))))))),"Not Req.")</f>
        <v>Not Req.</v>
      </c>
      <c r="R202" s="163"/>
      <c r="S202" s="18"/>
      <c r="T202" s="18"/>
      <c r="U202" s="163"/>
      <c r="V202" s="163"/>
      <c r="W202" s="18"/>
      <c r="X202" s="163"/>
      <c r="Y202" s="163"/>
      <c r="Z202" s="18"/>
    </row>
    <row r="203" spans="1:26" s="10" customFormat="1" ht="13.8" thickBot="1" x14ac:dyDescent="0.3">
      <c r="A203" s="405" t="s">
        <v>521</v>
      </c>
      <c r="B203" s="371" t="str">
        <f>IF(Start!$C$15="x",IF(C203="NA","NA",(IF(C203="","",(IF(OR(F203="NA",F203=""),"No Criteria",(IF(AND(O203="NA",F203&lt;&gt;"NA",C203&lt;&gt;"NA"),                  "Missing Data",(IF(O203&lt;F203,"No",(IF(D203&gt;F203,"Caution",(IF(O203&gt;=F203,"Needed","No"))))))))))))),"---")</f>
        <v>---</v>
      </c>
      <c r="C203" s="372" t="str">
        <f>IF(TRUE=ISBLANK(ChemData!B203),"",(ChemData!B203))</f>
        <v/>
      </c>
      <c r="D203" s="373" t="str">
        <f>IF(TRUE=ISBLANK(ChemData!C203),"",(ChemData!C203))</f>
        <v/>
      </c>
      <c r="E203" s="374" t="str">
        <f>IF(TRUE=ISBLANK(ChemData!D203),"",(ChemData!D203))</f>
        <v/>
      </c>
      <c r="F203" s="289" t="str">
        <f>IF(TRUE=ISBLANK(ChemData!H203),"",(ChemData!H203))</f>
        <v>NA</v>
      </c>
      <c r="G203" s="290">
        <f>IF(TRUE=ISBLANK(ChemData!Q203),"",(ChemData!Q203))</f>
        <v>119.51907</v>
      </c>
      <c r="H203" s="291">
        <f>IF(TRUE=ISBLANK(ChemData!S203),"",(ChemData!S203))</f>
        <v>1</v>
      </c>
      <c r="I203" s="375" t="str">
        <f>IF(Start!$C$15="x",(IF(OR(C203="NA",C203=""), "NA", (IF($H203 = "NA", "NA", ((C203*$H203)))))),"---")</f>
        <v>---</v>
      </c>
      <c r="J203" s="376" t="str">
        <f>IF(Start!$C$15="x",(IF(I203 = "NA", "NA", IF(OR(D203="NA",D203=""),"NA",(I203 +((Data!$D$19-Data!$D$22)/(Data!$D$19*Data!$D$22)*$D203))))),"---")</f>
        <v>---</v>
      </c>
      <c r="K203" s="376" t="str">
        <f>IF(Start!$C$15="x",(IF(J203="NA","NA",IF(OR(G203="NA",G203=""),"NA",(J203*(1-Data!$D$23)*Data!$D$14*1000)/(Data!$D$23+((1-Data!$D$23)*Data!$D$14*$G203))))),"---")</f>
        <v>---</v>
      </c>
      <c r="L203" s="376" t="str">
        <f>IF(Start!$C$15="x",(IF(I203="NA","NA",IF($G203 = "NA", "NA",(IF(OR(ChemData!U203="NA",ChemData!U203=""),I203/((Data!$D$18+((1-Data!$D$18)*Data!$D$14*$G203))/((1-Data!$D$18)*Data!$D$14*1000)),(IF(I203/((Data!$D$18+((1-Data!$D$18)*Data!$D$14*$G203))/((1-Data!$D$18)*Data!$D$14*1000))&gt;ChemData!U203, ChemData!U203, I203/((Data!$D$18+((1-Data!$D$18)*Data!$D$14*$G203))/((1-Data!$D$18)*Data!$D$14*1000))))))))),"---")</f>
        <v>---</v>
      </c>
      <c r="M203" s="376" t="str">
        <f>IF(Start!$C$15="x",(IF(L203="NA","NA",IF(OR(D203="NA",D203=""),"NA",(((Data!$D$22*Data!$D$18)*L203)+(Data!$D$19-Data!$D$22)*$D203)/((Data!$D$22*Data!$D$18)+Data!$D$19-Data!$D$22)))),"---")</f>
        <v>---</v>
      </c>
      <c r="N203" s="376" t="str">
        <f>IF(Start!$C$15="x",IF(K203 = "NA", "NA", (IF(M203 = "NA", "NA",(IF(OR(ChemData!U203="NA",ChemData!U203=""),(IF(K203&gt;M203,K203,M203)),(IF(K203&gt;M203,(IF(K203&gt;ChemData!U203, ChemData!U203, K203)),(IF(M203&gt;ChemData!U203,ChemData!U203,M203))))))))),"---")</f>
        <v>---</v>
      </c>
      <c r="O203" s="377" t="str">
        <f>IF(Start!$C$15="x",IF(N203 = "NA","NA", IF(OR(E203="NA",E203=""),"NA",(N203+(Data!$D$26*$E203))/(Data!$D$26+1))),"---")</f>
        <v>---</v>
      </c>
      <c r="P203" s="731" t="str">
        <f>IF(E203="",F203,IF($F203&lt;(1+(Data!$D$27/100))*$E203,(1+(Data!$D$27/100))*$E203,$F203))</f>
        <v>NA</v>
      </c>
      <c r="Q203" s="343" t="str">
        <f>IF(Start!$C$15="x",(IF(C203="","",(IF(O203="NA","NA",IF(P203="NA","NA",IF(P203=0,"NA",(O203/P203))))))),"Not Req.")</f>
        <v>Not Req.</v>
      </c>
      <c r="R203" s="163"/>
      <c r="S203" s="18"/>
      <c r="T203" s="18"/>
      <c r="U203" s="163"/>
      <c r="V203" s="163"/>
      <c r="W203" s="18"/>
      <c r="X203" s="163"/>
      <c r="Y203" s="163"/>
      <c r="Z203" s="18"/>
    </row>
    <row r="204" spans="1:26" s="10" customFormat="1" x14ac:dyDescent="0.25">
      <c r="A204" s="554" t="s">
        <v>522</v>
      </c>
      <c r="B204" s="514"/>
      <c r="C204" s="508"/>
      <c r="D204" s="509"/>
      <c r="E204" s="510"/>
      <c r="F204" s="511"/>
      <c r="G204" s="512"/>
      <c r="H204" s="513"/>
      <c r="I204" s="511"/>
      <c r="J204" s="512"/>
      <c r="K204" s="512"/>
      <c r="L204" s="512"/>
      <c r="M204" s="512"/>
      <c r="N204" s="512"/>
      <c r="O204" s="513"/>
      <c r="P204" s="672"/>
      <c r="Q204" s="507"/>
      <c r="R204" s="163"/>
      <c r="S204" s="18"/>
      <c r="T204" s="18"/>
      <c r="U204" s="163"/>
      <c r="V204" s="163"/>
      <c r="W204" s="18"/>
      <c r="X204" s="163"/>
      <c r="Y204" s="163"/>
      <c r="Z204" s="18"/>
    </row>
    <row r="205" spans="1:26" s="10" customFormat="1" x14ac:dyDescent="0.25">
      <c r="A205" s="405" t="s">
        <v>523</v>
      </c>
      <c r="B205" s="371" t="str">
        <f>IF(Start!$C$15="x",IF(C205="NA","NA",(IF(C205="","",(IF(OR(F205="NA",F205=""),"No Criteria",(IF(AND(O205="NA",F205&lt;&gt;"NA",C205&lt;&gt;"NA"),                  "Missing Data",(IF(O205&lt;F205,"No",(IF(D205&gt;F205,"Caution",(IF(O205&gt;=F205,"Needed","No"))))))))))))),"---")</f>
        <v>---</v>
      </c>
      <c r="C205" s="372" t="str">
        <f>IF(TRUE=ISBLANK(ChemData!B205),"",(ChemData!B205))</f>
        <v/>
      </c>
      <c r="D205" s="373" t="str">
        <f>IF(TRUE=ISBLANK(ChemData!C205),"",(ChemData!C205))</f>
        <v/>
      </c>
      <c r="E205" s="374" t="str">
        <f>IF(TRUE=ISBLANK(ChemData!D205),"",(ChemData!D205))</f>
        <v/>
      </c>
      <c r="F205" s="289">
        <f>IF(TRUE=ISBLANK(ChemData!H205),"",(ChemData!H205))</f>
        <v>3</v>
      </c>
      <c r="G205" s="290">
        <f>IF(TRUE=ISBLANK(ChemData!Q205),"",(ChemData!Q205))</f>
        <v>3693.2305450073991</v>
      </c>
      <c r="H205" s="291">
        <f>IF(TRUE=ISBLANK(ChemData!S205),"",(ChemData!S205))</f>
        <v>1</v>
      </c>
      <c r="I205" s="375" t="str">
        <f>IF(Start!$C$15="x",(IF(OR(C205="NA",C205=""), "NA", (IF($H205 = "NA", "NA", ((C205*$H205)))))),"---")</f>
        <v>---</v>
      </c>
      <c r="J205" s="376" t="str">
        <f>IF(Start!$C$15="x",(IF(I205 = "NA", "NA", IF(OR(D205="NA",D205=""),"NA",(I205 +((Data!$D$19-Data!$D$22)/(Data!$D$19*Data!$D$22)*$D205))))),"---")</f>
        <v>---</v>
      </c>
      <c r="K205" s="376" t="str">
        <f>IF(Start!$C$15="x",(IF(J205="NA","NA",IF(OR(G205="NA",G205=""),"NA",(J205*(1-Data!$D$23)*Data!$D$14*1000)/(Data!$D$23+((1-Data!$D$23)*Data!$D$14*$G205))))),"---")</f>
        <v>---</v>
      </c>
      <c r="L205" s="376" t="str">
        <f>IF(Start!$C$15="x",(IF(I205="NA","NA",IF($G205 = "NA", "NA",(IF(OR(ChemData!U205="NA",ChemData!U205=""),I205/((Data!$D$18+((1-Data!$D$18)*Data!$D$14*$G205))/((1-Data!$D$18)*Data!$D$14*1000)),(IF(I205/((Data!$D$18+((1-Data!$D$18)*Data!$D$14*$G205))/((1-Data!$D$18)*Data!$D$14*1000))&gt;ChemData!U205, ChemData!U205, I205/((Data!$D$18+((1-Data!$D$18)*Data!$D$14*$G205))/((1-Data!$D$18)*Data!$D$14*1000))))))))),"---")</f>
        <v>---</v>
      </c>
      <c r="M205" s="376" t="str">
        <f>IF(Start!$C$15="x",(IF(L205="NA","NA",IF(OR(D205="NA",D205=""),"NA",(((Data!$D$22*Data!$D$18)*L205)+(Data!$D$19-Data!$D$22)*$D205)/((Data!$D$22*Data!$D$18)+Data!$D$19-Data!$D$22)))),"---")</f>
        <v>---</v>
      </c>
      <c r="N205" s="376" t="str">
        <f>IF(Start!$C$15="x",IF(K205 = "NA", "NA", (IF(M205 = "NA", "NA",(IF(OR(ChemData!U205="NA",ChemData!U205=""),(IF(K205&gt;M205,K205,M205)),(IF(K205&gt;M205,(IF(K205&gt;ChemData!U205, ChemData!U205, K205)),(IF(M205&gt;ChemData!U205,ChemData!U205,M205))))))))),"---")</f>
        <v>---</v>
      </c>
      <c r="O205" s="377" t="str">
        <f>IF(Start!$C$15="x",IF(N205 = "NA","NA", IF(OR(E205="NA",E205=""),"NA",(N205+(Data!$D$26*$E205))/(Data!$D$26+1))),"---")</f>
        <v>---</v>
      </c>
      <c r="P205" s="730">
        <f>IF(E205="",F205,IF($F205&lt;(1+(Data!$D$27/100))*$E205,(1+(Data!$D$27/100))*$E205,$F205))</f>
        <v>3</v>
      </c>
      <c r="Q205" s="343" t="str">
        <f>IF(Start!$C$15="x",(IF(C205="","",(IF(O205="NA","NA",IF(P205="NA","NA",IF(P205=0,"NA",(O205/P205))))))),"Not Req.")</f>
        <v>Not Req.</v>
      </c>
      <c r="R205" s="163"/>
      <c r="S205" s="18"/>
      <c r="T205" s="18"/>
      <c r="U205" s="163"/>
      <c r="V205" s="163"/>
      <c r="W205" s="18"/>
      <c r="X205" s="163"/>
      <c r="Y205" s="163"/>
      <c r="Z205" s="18"/>
    </row>
    <row r="206" spans="1:26" s="10" customFormat="1" x14ac:dyDescent="0.25">
      <c r="A206" s="405" t="s">
        <v>524</v>
      </c>
      <c r="B206" s="371" t="str">
        <f>IF(Start!$C$15="x",IF(C206="NA","NA",(IF(C206="","",(IF(OR(F206="NA",F206=""),"No Criteria",(IF(AND(O206="NA",F206&lt;&gt;"NA",C206&lt;&gt;"NA"),                  "Missing Data",(IF(O206&lt;F206,"No",(IF(D206&gt;F206,"Caution",(IF(O206&gt;=F206,"Needed","No"))))))))))))),"---")</f>
        <v>---</v>
      </c>
      <c r="C206" s="372" t="str">
        <f>IF(TRUE=ISBLANK(ChemData!B206),"",(ChemData!B206))</f>
        <v/>
      </c>
      <c r="D206" s="373" t="str">
        <f>IF(TRUE=ISBLANK(ChemData!C206),"",(ChemData!C206))</f>
        <v/>
      </c>
      <c r="E206" s="374" t="str">
        <f>IF(TRUE=ISBLANK(ChemData!D206),"",(ChemData!D206))</f>
        <v/>
      </c>
      <c r="F206" s="289" t="str">
        <f>IF(TRUE=ISBLANK(ChemData!H206),"",(ChemData!H206))</f>
        <v>NA</v>
      </c>
      <c r="G206" s="290">
        <f>IF(TRUE=ISBLANK(ChemData!Q206),"",(ChemData!Q206))</f>
        <v>10.408937929273366</v>
      </c>
      <c r="H206" s="291">
        <f>IF(TRUE=ISBLANK(ChemData!S206),"",(ChemData!S206))</f>
        <v>1</v>
      </c>
      <c r="I206" s="375" t="str">
        <f>IF(Start!$C$15="x",(IF(OR(C206="NA",C206=""), "NA", (IF($H206 = "NA", "NA", ((C206*$H206)))))),"---")</f>
        <v>---</v>
      </c>
      <c r="J206" s="376" t="str">
        <f>IF(Start!$C$15="x",(IF(I206 = "NA", "NA", IF(OR(D206="NA",D206=""),"NA",(I206 +((Data!$D$19-Data!$D$22)/(Data!$D$19*Data!$D$22)*$D206))))),"---")</f>
        <v>---</v>
      </c>
      <c r="K206" s="376" t="str">
        <f>IF(Start!$C$15="x",(IF(J206="NA","NA",IF(OR(G206="NA",G206=""),"NA",(J206*(1-Data!$D$23)*Data!$D$14*1000)/(Data!$D$23+((1-Data!$D$23)*Data!$D$14*$G206))))),"---")</f>
        <v>---</v>
      </c>
      <c r="L206" s="376" t="str">
        <f>IF(Start!$C$15="x",(IF(I206="NA","NA",IF($G206 = "NA", "NA",(IF(OR(ChemData!U206="NA",ChemData!U206=""),I206/((Data!$D$18+((1-Data!$D$18)*Data!$D$14*$G206))/((1-Data!$D$18)*Data!$D$14*1000)),(IF(I206/((Data!$D$18+((1-Data!$D$18)*Data!$D$14*$G206))/((1-Data!$D$18)*Data!$D$14*1000))&gt;ChemData!U206, ChemData!U206, I206/((Data!$D$18+((1-Data!$D$18)*Data!$D$14*$G206))/((1-Data!$D$18)*Data!$D$14*1000))))))))),"---")</f>
        <v>---</v>
      </c>
      <c r="M206" s="376" t="str">
        <f>IF(Start!$C$15="x",(IF(L206="NA","NA",IF(OR(D206="NA",D206=""),"NA",(((Data!$D$22*Data!$D$18)*L206)+(Data!$D$19-Data!$D$22)*$D206)/((Data!$D$22*Data!$D$18)+Data!$D$19-Data!$D$22)))),"---")</f>
        <v>---</v>
      </c>
      <c r="N206" s="376" t="str">
        <f>IF(Start!$C$15="x",IF(K206 = "NA", "NA", (IF(M206 = "NA", "NA",(IF(OR(ChemData!U206="NA",ChemData!U206=""),(IF(K206&gt;M206,K206,M206)),(IF(K206&gt;M206,(IF(K206&gt;ChemData!U206, ChemData!U206, K206)),(IF(M206&gt;ChemData!U206,ChemData!U206,M206))))))))),"---")</f>
        <v>---</v>
      </c>
      <c r="O206" s="377" t="str">
        <f>IF(Start!$C$15="x",IF(N206 = "NA","NA", IF(OR(E206="NA",E206=""),"NA",(N206+(Data!$D$26*$E206))/(Data!$D$26+1))),"---")</f>
        <v>---</v>
      </c>
      <c r="P206" s="730" t="str">
        <f>IF(E206="",F206,IF($F206&lt;(1+(Data!$D$27/100))*$E206,(1+(Data!$D$27/100))*$E206,$F206))</f>
        <v>NA</v>
      </c>
      <c r="Q206" s="343" t="str">
        <f>IF(Start!$C$15="x",(IF(C206="","",(IF(O206="NA","NA",IF(P206="NA","NA",IF(P206=0,"NA",(O206/P206))))))),"Not Req.")</f>
        <v>Not Req.</v>
      </c>
      <c r="R206" s="163"/>
      <c r="S206" s="18"/>
      <c r="T206" s="18"/>
      <c r="U206" s="163"/>
      <c r="V206" s="163"/>
      <c r="W206" s="18"/>
      <c r="X206" s="163"/>
      <c r="Y206" s="163"/>
      <c r="Z206" s="18"/>
    </row>
    <row r="207" spans="1:26" s="10" customFormat="1" x14ac:dyDescent="0.25">
      <c r="A207" s="405" t="s">
        <v>525</v>
      </c>
      <c r="B207" s="371" t="str">
        <f>IF(Start!$C$15="x",IF(C207="NA","NA",(IF(C207="","",(IF(OR(F207="NA",F207=""),"No Criteria",(IF(AND(O207="NA",F207&lt;&gt;"NA",C207&lt;&gt;"NA"),                  "Missing Data",(IF(O207&lt;F207,"No",(IF(D207&gt;F207,"Caution",(IF(O207&gt;=F207,"Needed","No"))))))))))))),"---")</f>
        <v>---</v>
      </c>
      <c r="C207" s="372" t="str">
        <f>IF(TRUE=ISBLANK(ChemData!B207),"",(ChemData!B207))</f>
        <v/>
      </c>
      <c r="D207" s="373" t="str">
        <f>IF(TRUE=ISBLANK(ChemData!C207),"",(ChemData!C207))</f>
        <v/>
      </c>
      <c r="E207" s="374" t="str">
        <f>IF(TRUE=ISBLANK(ChemData!D207),"",(ChemData!D207))</f>
        <v/>
      </c>
      <c r="F207" s="289">
        <f>IF(TRUE=ISBLANK(ChemData!H207),"",(ChemData!H207))</f>
        <v>39</v>
      </c>
      <c r="G207" s="290">
        <f>IF(TRUE=ISBLANK(ChemData!Q207),"",(ChemData!Q207))</f>
        <v>116.79020446328389</v>
      </c>
      <c r="H207" s="291">
        <f>IF(TRUE=ISBLANK(ChemData!S207),"",(ChemData!S207))</f>
        <v>1</v>
      </c>
      <c r="I207" s="375" t="str">
        <f>IF(Start!$C$15="x",(IF(OR(C207="NA",C207=""), "NA", (IF($H207 = "NA", "NA", ((C207*$H207)))))),"---")</f>
        <v>---</v>
      </c>
      <c r="J207" s="376" t="str">
        <f>IF(Start!$C$15="x",(IF(I207 = "NA", "NA", IF(OR(D207="NA",D207=""),"NA",(I207 +((Data!$D$19-Data!$D$22)/(Data!$D$19*Data!$D$22)*$D207))))),"---")</f>
        <v>---</v>
      </c>
      <c r="K207" s="376" t="str">
        <f>IF(Start!$C$15="x",(IF(J207="NA","NA",IF(OR(G207="NA",G207=""),"NA",(J207*(1-Data!$D$23)*Data!$D$14*1000)/(Data!$D$23+((1-Data!$D$23)*Data!$D$14*$G207))))),"---")</f>
        <v>---</v>
      </c>
      <c r="L207" s="376" t="str">
        <f>IF(Start!$C$15="x",(IF(I207="NA","NA",IF($G207 = "NA", "NA",(IF(OR(ChemData!U207="NA",ChemData!U207=""),I207/((Data!$D$18+((1-Data!$D$18)*Data!$D$14*$G207))/((1-Data!$D$18)*Data!$D$14*1000)),(IF(I207/((Data!$D$18+((1-Data!$D$18)*Data!$D$14*$G207))/((1-Data!$D$18)*Data!$D$14*1000))&gt;ChemData!U207, ChemData!U207, I207/((Data!$D$18+((1-Data!$D$18)*Data!$D$14*$G207))/((1-Data!$D$18)*Data!$D$14*1000))))))))),"---")</f>
        <v>---</v>
      </c>
      <c r="M207" s="376" t="str">
        <f>IF(Start!$C$15="x",(IF(L207="NA","NA",IF(OR(D207="NA",D207=""),"NA",(((Data!$D$22*Data!$D$18)*L207)+(Data!$D$19-Data!$D$22)*$D207)/((Data!$D$22*Data!$D$18)+Data!$D$19-Data!$D$22)))),"---")</f>
        <v>---</v>
      </c>
      <c r="N207" s="376" t="str">
        <f>IF(Start!$C$15="x",IF(K207 = "NA", "NA", (IF(M207 = "NA", "NA",(IF(OR(ChemData!U207="NA",ChemData!U207=""),(IF(K207&gt;M207,K207,M207)),(IF(K207&gt;M207,(IF(K207&gt;ChemData!U207, ChemData!U207, K207)),(IF(M207&gt;ChemData!U207,ChemData!U207,M207))))))))),"---")</f>
        <v>---</v>
      </c>
      <c r="O207" s="377" t="str">
        <f>IF(Start!$C$15="x",IF(N207 = "NA","NA", IF(OR(E207="NA",E207=""),"NA",(N207+(Data!$D$26*$E207))/(Data!$D$26+1))),"---")</f>
        <v>---</v>
      </c>
      <c r="P207" s="730">
        <f>IF(E207="",F207,IF($F207&lt;(1+(Data!$D$27/100))*$E207,(1+(Data!$D$27/100))*$E207,$F207))</f>
        <v>39</v>
      </c>
      <c r="Q207" s="343" t="str">
        <f>IF(Start!$C$15="x",(IF(C207="","",(IF(O207="NA","NA",IF(P207="NA","NA",IF(P207=0,"NA",(O207/P207))))))),"Not Req.")</f>
        <v>Not Req.</v>
      </c>
      <c r="R207" s="163"/>
      <c r="S207" s="18"/>
      <c r="T207" s="18"/>
      <c r="U207" s="163"/>
      <c r="V207" s="163"/>
      <c r="W207" s="18"/>
      <c r="X207" s="163"/>
      <c r="Y207" s="163"/>
      <c r="Z207" s="18"/>
    </row>
    <row r="208" spans="1:26" s="10" customFormat="1" x14ac:dyDescent="0.25">
      <c r="A208" s="405" t="s">
        <v>526</v>
      </c>
      <c r="B208" s="371" t="str">
        <f>IF(Start!$C$15="x",IF(C208="NA","NA",(IF(C208="","",(IF(OR(F208="NA",F208=""),"No Criteria",(IF(AND(O208="NA",F208&lt;&gt;"NA",C208&lt;&gt;"NA"),                  "Missing Data",(IF(O208&lt;F208,"No",(IF(D208&gt;F208,"Caution",(IF(O208&gt;=F208,"Needed","No"))))))))))))),"---")</f>
        <v>---</v>
      </c>
      <c r="C208" s="372" t="str">
        <f>IF(TRUE=ISBLANK(ChemData!B208),"",(ChemData!B208))</f>
        <v/>
      </c>
      <c r="D208" s="373" t="str">
        <f>IF(TRUE=ISBLANK(ChemData!C208),"",(ChemData!C208))</f>
        <v/>
      </c>
      <c r="E208" s="374" t="str">
        <f>IF(TRUE=ISBLANK(ChemData!D208),"",(ChemData!D208))</f>
        <v/>
      </c>
      <c r="F208" s="289">
        <f>IF(TRUE=ISBLANK(ChemData!H208),"",(ChemData!H208))</f>
        <v>39</v>
      </c>
      <c r="G208" s="290">
        <f>IF(TRUE=ISBLANK(ChemData!Q208),"",(ChemData!Q208))</f>
        <v>116.79020446328389</v>
      </c>
      <c r="H208" s="291">
        <f>IF(TRUE=ISBLANK(ChemData!S208),"",(ChemData!S208))</f>
        <v>1</v>
      </c>
      <c r="I208" s="375" t="str">
        <f>IF(Start!$C$15="x",(IF(OR(C208="NA",C208=""), "NA", (IF($H208 = "NA", "NA", ((C208*$H208)))))),"---")</f>
        <v>---</v>
      </c>
      <c r="J208" s="376" t="str">
        <f>IF(Start!$C$15="x",(IF(I208 = "NA", "NA", IF(OR(D208="NA",D208=""),"NA",(I208 +((Data!$D$19-Data!$D$22)/(Data!$D$19*Data!$D$22)*$D208))))),"---")</f>
        <v>---</v>
      </c>
      <c r="K208" s="376" t="str">
        <f>IF(Start!$C$15="x",(IF(J208="NA","NA",IF(OR(G208="NA",G208=""),"NA",(J208*(1-Data!$D$23)*Data!$D$14*1000)/(Data!$D$23+((1-Data!$D$23)*Data!$D$14*$G208))))),"---")</f>
        <v>---</v>
      </c>
      <c r="L208" s="376" t="str">
        <f>IF(Start!$C$15="x",(IF(I208="NA","NA",IF($G208 = "NA", "NA",(IF(OR(ChemData!U208="NA",ChemData!U208=""),I208/((Data!$D$18+((1-Data!$D$18)*Data!$D$14*$G208))/((1-Data!$D$18)*Data!$D$14*1000)),(IF(I208/((Data!$D$18+((1-Data!$D$18)*Data!$D$14*$G208))/((1-Data!$D$18)*Data!$D$14*1000))&gt;ChemData!U208, ChemData!U208, I208/((Data!$D$18+((1-Data!$D$18)*Data!$D$14*$G208))/((1-Data!$D$18)*Data!$D$14*1000))))))))),"---")</f>
        <v>---</v>
      </c>
      <c r="M208" s="376" t="str">
        <f>IF(Start!$C$15="x",(IF(L208="NA","NA",IF(OR(D208="NA",D208=""),"NA",(((Data!$D$22*Data!$D$18)*L208)+(Data!$D$19-Data!$D$22)*$D208)/((Data!$D$22*Data!$D$18)+Data!$D$19-Data!$D$22)))),"---")</f>
        <v>---</v>
      </c>
      <c r="N208" s="376" t="str">
        <f>IF(Start!$C$15="x",IF(K208 = "NA", "NA", (IF(M208 = "NA", "NA",(IF(OR(ChemData!U208="NA",ChemData!U208=""),(IF(K208&gt;M208,K208,M208)),(IF(K208&gt;M208,(IF(K208&gt;ChemData!U208, ChemData!U208, K208)),(IF(M208&gt;ChemData!U208,ChemData!U208,M208))))))))),"---")</f>
        <v>---</v>
      </c>
      <c r="O208" s="377" t="str">
        <f>IF(Start!$C$15="x",IF(N208 = "NA","NA", IF(OR(E208="NA",E208=""),"NA",(N208+(Data!$D$26*$E208))/(Data!$D$26+1))),"---")</f>
        <v>---</v>
      </c>
      <c r="P208" s="730">
        <f>IF(E208="",F208,IF($F208&lt;(1+(Data!$D$27/100))*$E208,(1+(Data!$D$27/100))*$E208,$F208))</f>
        <v>39</v>
      </c>
      <c r="Q208" s="343" t="str">
        <f>IF(Start!$C$15="x",(IF(C208="","",(IF(O208="NA","NA",IF(P208="NA","NA",IF(P208=0,"NA",(O208/P208))))))),"Not Req.")</f>
        <v>Not Req.</v>
      </c>
      <c r="R208" s="163"/>
      <c r="S208" s="18"/>
      <c r="T208" s="18"/>
      <c r="U208" s="163"/>
      <c r="V208" s="163"/>
      <c r="W208" s="18"/>
      <c r="X208" s="163"/>
      <c r="Y208" s="163"/>
      <c r="Z208" s="18"/>
    </row>
    <row r="209" spans="1:26" s="10" customFormat="1" x14ac:dyDescent="0.25">
      <c r="A209" s="405" t="s">
        <v>527</v>
      </c>
      <c r="B209" s="371" t="str">
        <f>IF(Start!$C$15="x",IF(C209="NA","NA",(IF(C209="","",(IF(OR(F209="NA",F209=""),"No Criteria",(IF(AND(O209="NA",F209&lt;&gt;"NA",C209&lt;&gt;"NA"),                  "Missing Data",(IF(O209&lt;F209,"No",(IF(D209&gt;F209,"Caution",(IF(O209&gt;=F209,"Needed","No"))))))))))))),"---")</f>
        <v>---</v>
      </c>
      <c r="C209" s="372" t="str">
        <f>IF(TRUE=ISBLANK(ChemData!B209),"",(ChemData!B209))</f>
        <v/>
      </c>
      <c r="D209" s="373" t="str">
        <f>IF(TRUE=ISBLANK(ChemData!C209),"",(ChemData!C209))</f>
        <v/>
      </c>
      <c r="E209" s="374" t="str">
        <f>IF(TRUE=ISBLANK(ChemData!D209),"",(ChemData!D209))</f>
        <v/>
      </c>
      <c r="F209" s="289">
        <f>IF(TRUE=ISBLANK(ChemData!H209),"",(ChemData!H209))</f>
        <v>39</v>
      </c>
      <c r="G209" s="290">
        <f>IF(TRUE=ISBLANK(ChemData!Q209),"",(ChemData!Q209))</f>
        <v>255.50912737799382</v>
      </c>
      <c r="H209" s="291">
        <f>IF(TRUE=ISBLANK(ChemData!S209),"",(ChemData!S209))</f>
        <v>1</v>
      </c>
      <c r="I209" s="375" t="str">
        <f>IF(Start!$C$15="x",(IF(OR(C209="NA",C209=""), "NA", (IF($H209 = "NA", "NA", ((C209*$H209)))))),"---")</f>
        <v>---</v>
      </c>
      <c r="J209" s="376" t="str">
        <f>IF(Start!$C$15="x",(IF(I209 = "NA", "NA", IF(OR(D209="NA",D209=""),"NA",(I209 +((Data!$D$19-Data!$D$22)/(Data!$D$19*Data!$D$22)*$D209))))),"---")</f>
        <v>---</v>
      </c>
      <c r="K209" s="376" t="str">
        <f>IF(Start!$C$15="x",(IF(J209="NA","NA",IF(OR(G209="NA",G209=""),"NA",(J209*(1-Data!$D$23)*Data!$D$14*1000)/(Data!$D$23+((1-Data!$D$23)*Data!$D$14*$G209))))),"---")</f>
        <v>---</v>
      </c>
      <c r="L209" s="376" t="str">
        <f>IF(Start!$C$15="x",(IF(I209="NA","NA",IF($G209 = "NA", "NA",(IF(OR(ChemData!U209="NA",ChemData!U209=""),I209/((Data!$D$18+((1-Data!$D$18)*Data!$D$14*$G209))/((1-Data!$D$18)*Data!$D$14*1000)),(IF(I209/((Data!$D$18+((1-Data!$D$18)*Data!$D$14*$G209))/((1-Data!$D$18)*Data!$D$14*1000))&gt;ChemData!U209, ChemData!U209, I209/((Data!$D$18+((1-Data!$D$18)*Data!$D$14*$G209))/((1-Data!$D$18)*Data!$D$14*1000))))))))),"---")</f>
        <v>---</v>
      </c>
      <c r="M209" s="376" t="str">
        <f>IF(Start!$C$15="x",(IF(L209="NA","NA",IF(OR(D209="NA",D209=""),"NA",(((Data!$D$22*Data!$D$18)*L209)+(Data!$D$19-Data!$D$22)*$D209)/((Data!$D$22*Data!$D$18)+Data!$D$19-Data!$D$22)))),"---")</f>
        <v>---</v>
      </c>
      <c r="N209" s="376" t="str">
        <f>IF(Start!$C$15="x",IF(K209 = "NA", "NA", (IF(M209 = "NA", "NA",(IF(OR(ChemData!U209="NA",ChemData!U209=""),(IF(K209&gt;M209,K209,M209)),(IF(K209&gt;M209,(IF(K209&gt;ChemData!U209, ChemData!U209, K209)),(IF(M209&gt;ChemData!U209,ChemData!U209,M209))))))))),"---")</f>
        <v>---</v>
      </c>
      <c r="O209" s="377" t="str">
        <f>IF(Start!$C$15="x",IF(N209 = "NA","NA", IF(OR(E209="NA",E209=""),"NA",(N209+(Data!$D$26*$E209))/(Data!$D$26+1))),"---")</f>
        <v>---</v>
      </c>
      <c r="P209" s="730">
        <f>IF(E209="",F209,IF($F209&lt;(1+(Data!$D$27/100))*$E209,(1+(Data!$D$27/100))*$E209,$F209))</f>
        <v>39</v>
      </c>
      <c r="Q209" s="343" t="str">
        <f>IF(Start!$C$15="x",(IF(C209="","",(IF(O209="NA","NA",IF(P209="NA","NA",IF(P209=0,"NA",(O209/P209))))))),"Not Req.")</f>
        <v>Not Req.</v>
      </c>
      <c r="R209" s="163"/>
      <c r="S209" s="18"/>
      <c r="T209" s="18"/>
      <c r="U209" s="163"/>
      <c r="V209" s="163"/>
      <c r="W209" s="18"/>
      <c r="X209" s="163"/>
      <c r="Y209" s="163"/>
      <c r="Z209" s="18"/>
    </row>
    <row r="210" spans="1:26" s="10" customFormat="1" x14ac:dyDescent="0.25">
      <c r="A210" s="405" t="s">
        <v>528</v>
      </c>
      <c r="B210" s="371" t="str">
        <f>IF(Start!$C$15="x",IF(C210="NA","NA",(IF(C210="","",(IF(OR(F210="NA",F210=""),"No Criteria",(IF(AND(O210="NA",F210&lt;&gt;"NA",C210&lt;&gt;"NA"),                  "Missing Data",(IF(O210&lt;F210,"No",(IF(D210&gt;F210,"Caution",(IF(O210&gt;=F210,"Needed","No"))))))))))))),"---")</f>
        <v>---</v>
      </c>
      <c r="C210" s="372" t="str">
        <f>IF(TRUE=ISBLANK(ChemData!B210),"",(ChemData!B210))</f>
        <v/>
      </c>
      <c r="D210" s="373" t="str">
        <f>IF(TRUE=ISBLANK(ChemData!C210),"",(ChemData!C210))</f>
        <v/>
      </c>
      <c r="E210" s="374" t="str">
        <f>IF(TRUE=ISBLANK(ChemData!D210),"",(ChemData!D210))</f>
        <v/>
      </c>
      <c r="F210" s="289">
        <f>IF(TRUE=ISBLANK(ChemData!H210),"",(ChemData!H210))</f>
        <v>0.95</v>
      </c>
      <c r="G210" s="290">
        <f>IF(TRUE=ISBLANK(ChemData!Q210),"",(ChemData!Q210))</f>
        <v>92.769756944408272</v>
      </c>
      <c r="H210" s="291">
        <f>IF(TRUE=ISBLANK(ChemData!S210),"",(ChemData!S210))</f>
        <v>1</v>
      </c>
      <c r="I210" s="375" t="str">
        <f>IF(Start!$C$15="x",(IF(OR(C210="NA",C210=""), "NA", (IF($H210 = "NA", "NA", ((C210*$H210)))))),"---")</f>
        <v>---</v>
      </c>
      <c r="J210" s="376" t="str">
        <f>IF(Start!$C$15="x",(IF(I210 = "NA", "NA", IF(OR(D210="NA",D210=""),"NA",(I210 +((Data!$D$19-Data!$D$22)/(Data!$D$19*Data!$D$22)*$D210))))),"---")</f>
        <v>---</v>
      </c>
      <c r="K210" s="376" t="str">
        <f>IF(Start!$C$15="x",(IF(J210="NA","NA",IF(OR(G210="NA",G210=""),"NA",(J210*(1-Data!$D$23)*Data!$D$14*1000)/(Data!$D$23+((1-Data!$D$23)*Data!$D$14*$G210))))),"---")</f>
        <v>---</v>
      </c>
      <c r="L210" s="376" t="str">
        <f>IF(Start!$C$15="x",(IF(I210="NA","NA",IF($G210 = "NA", "NA",(IF(OR(ChemData!U210="NA",ChemData!U210=""),I210/((Data!$D$18+((1-Data!$D$18)*Data!$D$14*$G210))/((1-Data!$D$18)*Data!$D$14*1000)),(IF(I210/((Data!$D$18+((1-Data!$D$18)*Data!$D$14*$G210))/((1-Data!$D$18)*Data!$D$14*1000))&gt;ChemData!U210, ChemData!U210, I210/((Data!$D$18+((1-Data!$D$18)*Data!$D$14*$G210))/((1-Data!$D$18)*Data!$D$14*1000))))))))),"---")</f>
        <v>---</v>
      </c>
      <c r="M210" s="376" t="str">
        <f>IF(Start!$C$15="x",(IF(L210="NA","NA",IF(OR(D210="NA",D210=""),"NA",(((Data!$D$22*Data!$D$18)*L210)+(Data!$D$19-Data!$D$22)*$D210)/((Data!$D$22*Data!$D$18)+Data!$D$19-Data!$D$22)))),"---")</f>
        <v>---</v>
      </c>
      <c r="N210" s="376" t="str">
        <f>IF(Start!$C$15="x",IF(K210 = "NA", "NA", (IF(M210 = "NA", "NA",(IF(OR(ChemData!U210="NA",ChemData!U210=""),(IF(K210&gt;M210,K210,M210)),(IF(K210&gt;M210,(IF(K210&gt;ChemData!U210, ChemData!U210, K210)),(IF(M210&gt;ChemData!U210,ChemData!U210,M210))))))))),"---")</f>
        <v>---</v>
      </c>
      <c r="O210" s="377" t="str">
        <f>IF(Start!$C$15="x",IF(N210 = "NA","NA", IF(OR(E210="NA",E210=""),"NA",(N210+(Data!$D$26*$E210))/(Data!$D$26+1))),"---")</f>
        <v>---</v>
      </c>
      <c r="P210" s="730">
        <f>IF(E210="",F210,IF($F210&lt;(1+(Data!$D$27/100))*$E210,(1+(Data!$D$27/100))*$E210,$F210))</f>
        <v>0.95</v>
      </c>
      <c r="Q210" s="343" t="str">
        <f>IF(Start!$C$15="x",(IF(C210="","",(IF(O210="NA","NA",IF(P210="NA","NA",IF(P210=0,"NA",(O210/P210))))))),"Not Req.")</f>
        <v>Not Req.</v>
      </c>
      <c r="R210" s="163"/>
      <c r="S210" s="18"/>
      <c r="T210" s="18"/>
      <c r="U210" s="163"/>
      <c r="V210" s="163"/>
      <c r="W210" s="18"/>
      <c r="X210" s="163"/>
      <c r="Y210" s="163"/>
      <c r="Z210" s="18"/>
    </row>
    <row r="211" spans="1:26" s="10" customFormat="1" x14ac:dyDescent="0.25">
      <c r="A211" s="405" t="s">
        <v>529</v>
      </c>
      <c r="B211" s="371" t="str">
        <f>IF(Start!$C$15="x",IF(C211="NA","NA",(IF(C211="","",(IF(OR(F211="NA",F211=""),"No Criteria",(IF(AND(O211="NA",F211&lt;&gt;"NA",C211&lt;&gt;"NA"),                  "Missing Data",(IF(O211&lt;F211,"No",(IF(D211&gt;F211,"Caution",(IF(O211&gt;=F211,"Needed","No"))))))))))))),"---")</f>
        <v>---</v>
      </c>
      <c r="C211" s="372" t="str">
        <f>IF(TRUE=ISBLANK(ChemData!B211),"",(ChemData!B211))</f>
        <v/>
      </c>
      <c r="D211" s="373" t="str">
        <f>IF(TRUE=ISBLANK(ChemData!C211),"",(ChemData!C211))</f>
        <v/>
      </c>
      <c r="E211" s="374" t="str">
        <f>IF(TRUE=ISBLANK(ChemData!D211),"",(ChemData!D211))</f>
        <v/>
      </c>
      <c r="F211" s="289">
        <f>IF(TRUE=ISBLANK(ChemData!H211),"",(ChemData!H211))</f>
        <v>2.4</v>
      </c>
      <c r="G211" s="290">
        <f>IF(TRUE=ISBLANK(ChemData!Q211),"",(ChemData!Q211))</f>
        <v>18510</v>
      </c>
      <c r="H211" s="291">
        <f>IF(TRUE=ISBLANK(ChemData!S211),"",(ChemData!S211))</f>
        <v>1</v>
      </c>
      <c r="I211" s="375" t="str">
        <f>IF(Start!$C$15="x",(IF(OR(C211="NA",C211=""), "NA", (IF($H211 = "NA", "NA", ((C211*$H211)))))),"---")</f>
        <v>---</v>
      </c>
      <c r="J211" s="376" t="str">
        <f>IF(Start!$C$15="x",(IF(I211 = "NA", "NA", IF(OR(D211="NA",D211=""),"NA",(I211 +((Data!$D$19-Data!$D$22)/(Data!$D$19*Data!$D$22)*$D211))))),"---")</f>
        <v>---</v>
      </c>
      <c r="K211" s="376" t="str">
        <f>IF(Start!$C$15="x",(IF(J211="NA","NA",IF(OR(G211="NA",G211=""),"NA",(J211*(1-Data!$D$23)*Data!$D$14*1000)/(Data!$D$23+((1-Data!$D$23)*Data!$D$14*$G211))))),"---")</f>
        <v>---</v>
      </c>
      <c r="L211" s="376" t="str">
        <f>IF(Start!$C$15="x",(IF(I211="NA","NA",IF($G211 = "NA", "NA",(IF(OR(ChemData!U211="NA",ChemData!U211=""),I211/((Data!$D$18+((1-Data!$D$18)*Data!$D$14*$G211))/((1-Data!$D$18)*Data!$D$14*1000)),(IF(I211/((Data!$D$18+((1-Data!$D$18)*Data!$D$14*$G211))/((1-Data!$D$18)*Data!$D$14*1000))&gt;ChemData!U211, ChemData!U211, I211/((Data!$D$18+((1-Data!$D$18)*Data!$D$14*$G211))/((1-Data!$D$18)*Data!$D$14*1000))))))))),"---")</f>
        <v>---</v>
      </c>
      <c r="M211" s="376" t="str">
        <f>IF(Start!$C$15="x",(IF(L211="NA","NA",IF(OR(D211="NA",D211=""),"NA",(((Data!$D$22*Data!$D$18)*L211)+(Data!$D$19-Data!$D$22)*$D211)/((Data!$D$22*Data!$D$18)+Data!$D$19-Data!$D$22)))),"---")</f>
        <v>---</v>
      </c>
      <c r="N211" s="376" t="str">
        <f>IF(Start!$C$15="x",IF(K211 = "NA", "NA", (IF(M211 = "NA", "NA",(IF(OR(ChemData!U211="NA",ChemData!U211=""),(IF(K211&gt;M211,K211,M211)),(IF(K211&gt;M211,(IF(K211&gt;ChemData!U211, ChemData!U211, K211)),(IF(M211&gt;ChemData!U211,ChemData!U211,M211))))))))),"---")</f>
        <v>---</v>
      </c>
      <c r="O211" s="377" t="str">
        <f>IF(Start!$C$15="x",IF(N211 = "NA","NA", IF(OR(E211="NA",E211=""),"NA",(N211+(Data!$D$26*$E211))/(Data!$D$26+1))),"---")</f>
        <v>---</v>
      </c>
      <c r="P211" s="730">
        <f>IF(E211="",F211,IF($F211&lt;(1+(Data!$D$27/100))*$E211,(1+(Data!$D$27/100))*$E211,$F211))</f>
        <v>2.4</v>
      </c>
      <c r="Q211" s="343" t="str">
        <f>IF(Start!$C$15="x",(IF(C211="","",(IF(O211="NA","NA",IF(P211="NA","NA",IF(P211=0,"NA",(O211/P211))))))),"Not Req.")</f>
        <v>Not Req.</v>
      </c>
      <c r="R211" s="163"/>
      <c r="S211" s="18"/>
      <c r="T211" s="18"/>
      <c r="U211" s="163"/>
      <c r="V211" s="163"/>
      <c r="W211" s="18"/>
      <c r="X211" s="163"/>
      <c r="Y211" s="163"/>
      <c r="Z211" s="18"/>
    </row>
    <row r="212" spans="1:26" s="10" customFormat="1" x14ac:dyDescent="0.25">
      <c r="A212" s="405" t="s">
        <v>530</v>
      </c>
      <c r="B212" s="371" t="str">
        <f>IF(Start!$C$15="x",IF(C212="NA","NA",(IF(C212="","",(IF(OR(F212="NA",F212=""),"No Criteria",(IF(AND(O212="NA",F212&lt;&gt;"NA",C212&lt;&gt;"NA"),                  "Missing Data",(IF(O212&lt;F212,"No",(IF(D212&gt;F212,"Caution",(IF(O212&gt;=F212,"Needed","No"))))))))))))),"---")</f>
        <v>---</v>
      </c>
      <c r="C212" s="372" t="str">
        <f>IF(TRUE=ISBLANK(ChemData!B212),"",(ChemData!B212))</f>
        <v/>
      </c>
      <c r="D212" s="373" t="str">
        <f>IF(TRUE=ISBLANK(ChemData!C212),"",(ChemData!C212))</f>
        <v/>
      </c>
      <c r="E212" s="374" t="str">
        <f>IF(TRUE=ISBLANK(ChemData!D212),"",(ChemData!D212))</f>
        <v/>
      </c>
      <c r="F212" s="289">
        <f>IF(TRUE=ISBLANK(ChemData!H212),"",(ChemData!H212))</f>
        <v>2.4</v>
      </c>
      <c r="G212" s="290">
        <f>IF(TRUE=ISBLANK(ChemData!Q212),"",(ChemData!Q212))</f>
        <v>47578.025939051717</v>
      </c>
      <c r="H212" s="291">
        <f>IF(TRUE=ISBLANK(ChemData!S212),"",(ChemData!S212))</f>
        <v>1</v>
      </c>
      <c r="I212" s="375" t="str">
        <f>IF(Start!$C$15="x",(IF(OR(C212="NA",C212=""), "NA", (IF($H212 = "NA", "NA", ((C212*$H212)))))),"---")</f>
        <v>---</v>
      </c>
      <c r="J212" s="376" t="str">
        <f>IF(Start!$C$15="x",(IF(I212 = "NA", "NA", IF(OR(D212="NA",D212=""),"NA",(I212 +((Data!$D$19-Data!$D$22)/(Data!$D$19*Data!$D$22)*$D212))))),"---")</f>
        <v>---</v>
      </c>
      <c r="K212" s="376" t="str">
        <f>IF(Start!$C$15="x",(IF(J212="NA","NA",IF(OR(G212="NA",G212=""),"NA",(J212*(1-Data!$D$23)*Data!$D$14*1000)/(Data!$D$23+((1-Data!$D$23)*Data!$D$14*$G212))))),"---")</f>
        <v>---</v>
      </c>
      <c r="L212" s="376" t="str">
        <f>IF(Start!$C$15="x",(IF(I212="NA","NA",IF($G212 = "NA", "NA",(IF(OR(ChemData!U212="NA",ChemData!U212=""),I212/((Data!$D$18+((1-Data!$D$18)*Data!$D$14*$G212))/((1-Data!$D$18)*Data!$D$14*1000)),(IF(I212/((Data!$D$18+((1-Data!$D$18)*Data!$D$14*$G212))/((1-Data!$D$18)*Data!$D$14*1000))&gt;ChemData!U212, ChemData!U212, I212/((Data!$D$18+((1-Data!$D$18)*Data!$D$14*$G212))/((1-Data!$D$18)*Data!$D$14*1000))))))))),"---")</f>
        <v>---</v>
      </c>
      <c r="M212" s="376" t="str">
        <f>IF(Start!$C$15="x",(IF(L212="NA","NA",IF(OR(D212="NA",D212=""),"NA",(((Data!$D$22*Data!$D$18)*L212)+(Data!$D$19-Data!$D$22)*$D212)/((Data!$D$22*Data!$D$18)+Data!$D$19-Data!$D$22)))),"---")</f>
        <v>---</v>
      </c>
      <c r="N212" s="376" t="str">
        <f>IF(Start!$C$15="x",IF(K212 = "NA", "NA", (IF(M212 = "NA", "NA",(IF(OR(ChemData!U212="NA",ChemData!U212=""),(IF(K212&gt;M212,K212,M212)),(IF(K212&gt;M212,(IF(K212&gt;ChemData!U212, ChemData!U212, K212)),(IF(M212&gt;ChemData!U212,ChemData!U212,M212))))))))),"---")</f>
        <v>---</v>
      </c>
      <c r="O212" s="377" t="str">
        <f>IF(Start!$C$15="x",IF(N212 = "NA","NA", IF(OR(E212="NA",E212=""),"NA",(N212+(Data!$D$26*$E212))/(Data!$D$26+1))),"---")</f>
        <v>---</v>
      </c>
      <c r="P212" s="730">
        <f>IF(E212="",F212,IF($F212&lt;(1+(Data!$D$27/100))*$E212,(1+(Data!$D$27/100))*$E212,$F212))</f>
        <v>2.4</v>
      </c>
      <c r="Q212" s="343" t="str">
        <f>IF(Start!$C$15="x",(IF(C212="","",(IF(O212="NA","NA",IF(P212="NA","NA",IF(P212=0,"NA",(O212/P212))))))),"Not Req.")</f>
        <v>Not Req.</v>
      </c>
      <c r="R212" s="163"/>
      <c r="S212" s="18"/>
      <c r="T212" s="18"/>
      <c r="U212" s="163"/>
      <c r="V212" s="163"/>
      <c r="W212" s="18"/>
      <c r="X212" s="163"/>
      <c r="Y212" s="163"/>
      <c r="Z212" s="18"/>
    </row>
    <row r="213" spans="1:26" s="10" customFormat="1" x14ac:dyDescent="0.25">
      <c r="A213" s="405" t="s">
        <v>531</v>
      </c>
      <c r="B213" s="371" t="str">
        <f>IF(Start!$C$15="x",IF(C213="NA","NA",(IF(C213="","",(IF(OR(F213="NA",F213=""),"No Criteria",(IF(AND(O213="NA",F213&lt;&gt;"NA",C213&lt;&gt;"NA"),                  "Missing Data",(IF(O213&lt;F213,"No",(IF(D213&gt;F213,"Caution",(IF(O213&gt;=F213,"Needed","No"))))))))))))),"---")</f>
        <v>---</v>
      </c>
      <c r="C213" s="372" t="str">
        <f>IF(TRUE=ISBLANK(ChemData!B213),"",(ChemData!B213))</f>
        <v/>
      </c>
      <c r="D213" s="373" t="str">
        <f>IF(TRUE=ISBLANK(ChemData!C213),"",(ChemData!C213))</f>
        <v/>
      </c>
      <c r="E213" s="374" t="str">
        <f>IF(TRUE=ISBLANK(ChemData!D213),"",(ChemData!D213))</f>
        <v/>
      </c>
      <c r="F213" s="289">
        <f>IF(TRUE=ISBLANK(ChemData!H213),"",(ChemData!H213))</f>
        <v>2.4</v>
      </c>
      <c r="G213" s="290">
        <f>IF(TRUE=ISBLANK(ChemData!Q213),"",(ChemData!Q213))</f>
        <v>1116.153</v>
      </c>
      <c r="H213" s="291">
        <f>IF(TRUE=ISBLANK(ChemData!S213),"",(ChemData!S213))</f>
        <v>1</v>
      </c>
      <c r="I213" s="375" t="str">
        <f>IF(Start!$C$15="x",(IF(OR(C213="NA",C213=""), "NA", (IF($H213 = "NA", "NA", ((C213*$H213)))))),"---")</f>
        <v>---</v>
      </c>
      <c r="J213" s="376" t="str">
        <f>IF(Start!$C$15="x",(IF(I213 = "NA", "NA", IF(OR(D213="NA",D213=""),"NA",(I213 +((Data!$D$19-Data!$D$22)/(Data!$D$19*Data!$D$22)*$D213))))),"---")</f>
        <v>---</v>
      </c>
      <c r="K213" s="376" t="str">
        <f>IF(Start!$C$15="x",(IF(J213="NA","NA",IF(OR(G213="NA",G213=""),"NA",(J213*(1-Data!$D$23)*Data!$D$14*1000)/(Data!$D$23+((1-Data!$D$23)*Data!$D$14*$G213))))),"---")</f>
        <v>---</v>
      </c>
      <c r="L213" s="376" t="str">
        <f>IF(Start!$C$15="x",(IF(I213="NA","NA",IF($G213 = "NA", "NA",(IF(OR(ChemData!U213="NA",ChemData!U213=""),I213/((Data!$D$18+((1-Data!$D$18)*Data!$D$14*$G213))/((1-Data!$D$18)*Data!$D$14*1000)),(IF(I213/((Data!$D$18+((1-Data!$D$18)*Data!$D$14*$G213))/((1-Data!$D$18)*Data!$D$14*1000))&gt;ChemData!U213, ChemData!U213, I213/((Data!$D$18+((1-Data!$D$18)*Data!$D$14*$G213))/((1-Data!$D$18)*Data!$D$14*1000))))))))),"---")</f>
        <v>---</v>
      </c>
      <c r="M213" s="376" t="str">
        <f>IF(Start!$C$15="x",(IF(L213="NA","NA",IF(OR(D213="NA",D213=""),"NA",(((Data!$D$22*Data!$D$18)*L213)+(Data!$D$19-Data!$D$22)*$D213)/((Data!$D$22*Data!$D$18)+Data!$D$19-Data!$D$22)))),"---")</f>
        <v>---</v>
      </c>
      <c r="N213" s="376" t="str">
        <f>IF(Start!$C$15="x",IF(K213 = "NA", "NA", (IF(M213 = "NA", "NA",(IF(OR(ChemData!U213="NA",ChemData!U213=""),(IF(K213&gt;M213,K213,M213)),(IF(K213&gt;M213,(IF(K213&gt;ChemData!U213, ChemData!U213, K213)),(IF(M213&gt;ChemData!U213,ChemData!U213,M213))))))))),"---")</f>
        <v>---</v>
      </c>
      <c r="O213" s="377" t="str">
        <f>IF(Start!$C$15="x",IF(N213 = "NA","NA", IF(OR(E213="NA",E213=""),"NA",(N213+(Data!$D$26*$E213))/(Data!$D$26+1))),"---")</f>
        <v>---</v>
      </c>
      <c r="P213" s="730">
        <f>IF(E213="",F213,IF($F213&lt;(1+(Data!$D$27/100))*$E213,(1+(Data!$D$27/100))*$E213,$F213))</f>
        <v>2.4</v>
      </c>
      <c r="Q213" s="343" t="str">
        <f>IF(Start!$C$15="x",(IF(C213="","",(IF(O213="NA","NA",IF(P213="NA","NA",IF(P213=0,"NA",(O213/P213))))))),"Not Req.")</f>
        <v>Not Req.</v>
      </c>
      <c r="R213" s="163"/>
      <c r="S213" s="18"/>
      <c r="T213" s="18"/>
      <c r="U213" s="163"/>
      <c r="V213" s="163"/>
      <c r="W213" s="18"/>
      <c r="X213" s="163"/>
      <c r="Y213" s="163"/>
      <c r="Z213" s="18"/>
    </row>
    <row r="214" spans="1:26" s="10" customFormat="1" x14ac:dyDescent="0.25">
      <c r="A214" s="307" t="s">
        <v>532</v>
      </c>
      <c r="B214" s="371" t="str">
        <f>IF(Start!$C$15="x",IF(C214="NA","NA",(IF(C214="","",(IF(OR(F214="NA",F214=""),"No Criteria",(IF(AND(O214="NA",F214&lt;&gt;"NA",C214&lt;&gt;"NA"),                  "Missing Data",(IF(O214&lt;F214,"No",(IF(D214&gt;F214,"Caution",(IF(O214&gt;=F214,"Needed","No"))))))))))))),"---")</f>
        <v>---</v>
      </c>
      <c r="C214" s="372" t="str">
        <f>IF(TRUE=ISBLANK(ChemData!B214),"",(ChemData!B214))</f>
        <v/>
      </c>
      <c r="D214" s="373" t="str">
        <f>IF(TRUE=ISBLANK(ChemData!C214),"",(ChemData!C214))</f>
        <v/>
      </c>
      <c r="E214" s="374" t="str">
        <f>IF(TRUE=ISBLANK(ChemData!D214),"",(ChemData!D214))</f>
        <v/>
      </c>
      <c r="F214" s="289" t="str">
        <f>IF(TRUE=ISBLANK(ChemData!H214),"",(ChemData!H214))</f>
        <v>NA</v>
      </c>
      <c r="G214" s="290">
        <f>IF(TRUE=ISBLANK(ChemData!Q214),"",(ChemData!Q214))</f>
        <v>7201.2256338441457</v>
      </c>
      <c r="H214" s="291">
        <f>IF(TRUE=ISBLANK(ChemData!S214),"",(ChemData!S214))</f>
        <v>1</v>
      </c>
      <c r="I214" s="375" t="str">
        <f>IF(Start!$C$15="x",(IF(OR(C214="NA",C214=""), "NA", (IF($H214 = "NA", "NA", ((C214*$H214)))))),"---")</f>
        <v>---</v>
      </c>
      <c r="J214" s="376" t="str">
        <f>IF(Start!$C$15="x",(IF(I214 = "NA", "NA", IF(OR(D214="NA",D214=""),"NA",(I214 +((Data!$D$19-Data!$D$22)/(Data!$D$19*Data!$D$22)*$D214))))),"---")</f>
        <v>---</v>
      </c>
      <c r="K214" s="376" t="str">
        <f>IF(Start!$C$15="x",(IF(J214="NA","NA",IF(OR(G214="NA",G214=""),"NA",(J214*(1-Data!$D$23)*Data!$D$14*1000)/(Data!$D$23+((1-Data!$D$23)*Data!$D$14*$G214))))),"---")</f>
        <v>---</v>
      </c>
      <c r="L214" s="376" t="str">
        <f>IF(Start!$C$15="x",(IF(I214="NA","NA",IF($G214 = "NA", "NA",(IF(OR(ChemData!U214="NA",ChemData!U214=""),I214/((Data!$D$18+((1-Data!$D$18)*Data!$D$14*$G214))/((1-Data!$D$18)*Data!$D$14*1000)),(IF(I214/((Data!$D$18+((1-Data!$D$18)*Data!$D$14*$G214))/((1-Data!$D$18)*Data!$D$14*1000))&gt;ChemData!U214, ChemData!U214, I214/((Data!$D$18+((1-Data!$D$18)*Data!$D$14*$G214))/((1-Data!$D$18)*Data!$D$14*1000))))))))),"---")</f>
        <v>---</v>
      </c>
      <c r="M214" s="376" t="str">
        <f>IF(Start!$C$15="x",(IF(L214="NA","NA",IF(OR(D214="NA",D214=""),"NA",(((Data!$D$22*Data!$D$18)*L214)+(Data!$D$19-Data!$D$22)*$D214)/((Data!$D$22*Data!$D$18)+Data!$D$19-Data!$D$22)))),"---")</f>
        <v>---</v>
      </c>
      <c r="N214" s="376" t="str">
        <f>IF(Start!$C$15="x",IF(K214 = "NA", "NA", (IF(M214 = "NA", "NA",(IF(OR(ChemData!U214="NA",ChemData!U214=""),(IF(K214&gt;M214,K214,M214)),(IF(K214&gt;M214,(IF(K214&gt;ChemData!U214, ChemData!U214, K214)),(IF(M214&gt;ChemData!U214,ChemData!U214,M214))))))))),"---")</f>
        <v>---</v>
      </c>
      <c r="O214" s="377" t="str">
        <f>IF(Start!$C$15="x",IF(N214 = "NA","NA", IF(OR(E214="NA",E214=""),"NA",(N214+(Data!$D$26*$E214))/(Data!$D$26+1))),"---")</f>
        <v>---</v>
      </c>
      <c r="P214" s="730" t="str">
        <f>IF(E214="",F214,IF($F214&lt;(1+(Data!$D$27/100))*$E214,(1+(Data!$D$27/100))*$E214,$F214))</f>
        <v>NA</v>
      </c>
      <c r="Q214" s="343" t="str">
        <f>IF(Start!$C$15="x",(IF(C214="","",(IF(O214="NA","NA",IF(P214="NA","NA",IF(P214=0,"NA",(O214/P214))))))),"Not Req.")</f>
        <v>Not Req.</v>
      </c>
      <c r="R214" s="163"/>
      <c r="S214" s="18"/>
      <c r="T214" s="18"/>
      <c r="U214" s="163"/>
      <c r="V214" s="163"/>
      <c r="W214" s="18"/>
      <c r="X214" s="163"/>
      <c r="Y214" s="163"/>
      <c r="Z214" s="18"/>
    </row>
    <row r="215" spans="1:26" s="10" customFormat="1" x14ac:dyDescent="0.25">
      <c r="A215" s="405" t="s">
        <v>533</v>
      </c>
      <c r="B215" s="371" t="str">
        <f>IF(Start!$C$15="x",IF(C215="NA","NA",(IF(C215="","",(IF(OR(F215="NA",F215=""),"No Criteria",(IF(AND(O215="NA",F215&lt;&gt;"NA",C215&lt;&gt;"NA"),                  "Missing Data",(IF(O215&lt;F215,"No",(IF(D215&gt;F215,"Caution",(IF(O215&gt;=F215,"Needed","No"))))))))))))),"---")</f>
        <v>---</v>
      </c>
      <c r="C215" s="372" t="str">
        <f>IF(TRUE=ISBLANK(ChemData!B215),"",(ChemData!B215))</f>
        <v/>
      </c>
      <c r="D215" s="373" t="str">
        <f>IF(TRUE=ISBLANK(ChemData!C215),"",(ChemData!C215))</f>
        <v/>
      </c>
      <c r="E215" s="374" t="str">
        <f>IF(TRUE=ISBLANK(ChemData!D215),"",(ChemData!D215))</f>
        <v/>
      </c>
      <c r="F215" s="289" t="str">
        <f>IF(TRUE=ISBLANK(ChemData!H215),"",(ChemData!H215))</f>
        <v>NA</v>
      </c>
      <c r="G215" s="290">
        <f>IF(TRUE=ISBLANK(ChemData!Q215),"",(ChemData!Q215))</f>
        <v>8.0799080547654754</v>
      </c>
      <c r="H215" s="291">
        <f>IF(TRUE=ISBLANK(ChemData!S215),"",(ChemData!S215))</f>
        <v>1</v>
      </c>
      <c r="I215" s="375" t="str">
        <f>IF(Start!$C$15="x",(IF(OR(C215="NA",C215=""), "NA", (IF($H215 = "NA", "NA", ((C215*$H215)))))),"---")</f>
        <v>---</v>
      </c>
      <c r="J215" s="376" t="str">
        <f>IF(Start!$C$15="x",(IF(I215 = "NA", "NA", IF(OR(D215="NA",D215=""),"NA",(I215 +((Data!$D$19-Data!$D$22)/(Data!$D$19*Data!$D$22)*$D215))))),"---")</f>
        <v>---</v>
      </c>
      <c r="K215" s="376" t="str">
        <f>IF(Start!$C$15="x",(IF(J215="NA","NA",IF(OR(G215="NA",G215=""),"NA",(J215*(1-Data!$D$23)*Data!$D$14*1000)/(Data!$D$23+((1-Data!$D$23)*Data!$D$14*$G215))))),"---")</f>
        <v>---</v>
      </c>
      <c r="L215" s="376" t="str">
        <f>IF(Start!$C$15="x",(IF(I215="NA","NA",IF($G215 = "NA", "NA",(IF(OR(ChemData!U215="NA",ChemData!U215=""),I215/((Data!$D$18+((1-Data!$D$18)*Data!$D$14*$G215))/((1-Data!$D$18)*Data!$D$14*1000)),(IF(I215/((Data!$D$18+((1-Data!$D$18)*Data!$D$14*$G215))/((1-Data!$D$18)*Data!$D$14*1000))&gt;ChemData!U215, ChemData!U215, I215/((Data!$D$18+((1-Data!$D$18)*Data!$D$14*$G215))/((1-Data!$D$18)*Data!$D$14*1000))))))))),"---")</f>
        <v>---</v>
      </c>
      <c r="M215" s="376" t="str">
        <f>IF(Start!$C$15="x",(IF(L215="NA","NA",IF(OR(D215="NA",D215=""),"NA",(((Data!$D$22*Data!$D$18)*L215)+(Data!$D$19-Data!$D$22)*$D215)/((Data!$D$22*Data!$D$18)+Data!$D$19-Data!$D$22)))),"---")</f>
        <v>---</v>
      </c>
      <c r="N215" s="376" t="str">
        <f>IF(Start!$C$15="x",IF(K215 = "NA", "NA", (IF(M215 = "NA", "NA",(IF(OR(ChemData!U215="NA",ChemData!U215=""),(IF(K215&gt;M215,K215,M215)),(IF(K215&gt;M215,(IF(K215&gt;ChemData!U215, ChemData!U215, K215)),(IF(M215&gt;ChemData!U215,ChemData!U215,M215))))))))),"---")</f>
        <v>---</v>
      </c>
      <c r="O215" s="377" t="str">
        <f>IF(Start!$C$15="x",IF(N215 = "NA","NA", IF(OR(E215="NA",E215=""),"NA",(N215+(Data!$D$26*$E215))/(Data!$D$26+1))),"---")</f>
        <v>---</v>
      </c>
      <c r="P215" s="730" t="str">
        <f>IF(E215="",F215,IF($F215&lt;(1+(Data!$D$27/100))*$E215,(1+(Data!$D$27/100))*$E215,$F215))</f>
        <v>NA</v>
      </c>
      <c r="Q215" s="343" t="str">
        <f>IF(Start!$C$15="x",(IF(C215="","",(IF(O215="NA","NA",IF(P215="NA","NA",IF(P215=0,"NA",(O215/P215))))))),"Not Req.")</f>
        <v>Not Req.</v>
      </c>
      <c r="R215" s="163"/>
      <c r="S215" s="18"/>
      <c r="T215" s="18"/>
      <c r="U215" s="163"/>
      <c r="V215" s="163"/>
      <c r="W215" s="18"/>
      <c r="X215" s="163"/>
      <c r="Y215" s="163"/>
      <c r="Z215" s="18"/>
    </row>
    <row r="216" spans="1:26" s="10" customFormat="1" x14ac:dyDescent="0.25">
      <c r="A216" s="405" t="s">
        <v>534</v>
      </c>
      <c r="B216" s="371" t="str">
        <f>IF(Start!$C$15="x",IF(C216="NA","NA",(IF(C216="","",(IF(OR(F216="NA",F216=""),"No Criteria",(IF(AND(O216="NA",F216&lt;&gt;"NA",C216&lt;&gt;"NA"),                  "Missing Data",(IF(O216&lt;F216,"No",(IF(D216&gt;F216,"Caution",(IF(O216&gt;=F216,"Needed","No"))))))))))))),"---")</f>
        <v>---</v>
      </c>
      <c r="C216" s="372" t="str">
        <f>IF(TRUE=ISBLANK(ChemData!B216),"",(ChemData!B216))</f>
        <v/>
      </c>
      <c r="D216" s="373" t="str">
        <f>IF(TRUE=ISBLANK(ChemData!C216),"",(ChemData!C216))</f>
        <v/>
      </c>
      <c r="E216" s="374" t="str">
        <f>IF(TRUE=ISBLANK(ChemData!D216),"",(ChemData!D216))</f>
        <v/>
      </c>
      <c r="F216" s="289" t="str">
        <f>IF(TRUE=ISBLANK(ChemData!H216),"",(ChemData!H216))</f>
        <v>NA</v>
      </c>
      <c r="G216" s="290">
        <f>IF(TRUE=ISBLANK(ChemData!Q216),"",(ChemData!Q216))</f>
        <v>13721.652566479994</v>
      </c>
      <c r="H216" s="291">
        <f>IF(TRUE=ISBLANK(ChemData!S216),"",(ChemData!S216))</f>
        <v>1</v>
      </c>
      <c r="I216" s="375" t="str">
        <f>IF(Start!$C$15="x",(IF(OR(C216="NA",C216=""), "NA", (IF($H216 = "NA", "NA", ((C216*$H216)))))),"---")</f>
        <v>---</v>
      </c>
      <c r="J216" s="376" t="str">
        <f>IF(Start!$C$15="x",(IF(I216 = "NA", "NA", IF(OR(D216="NA",D216=""),"NA",(I216 +((Data!$D$19-Data!$D$22)/(Data!$D$19*Data!$D$22)*$D216))))),"---")</f>
        <v>---</v>
      </c>
      <c r="K216" s="376" t="str">
        <f>IF(Start!$C$15="x",(IF(J216="NA","NA",IF(OR(G216="NA",G216=""),"NA",(J216*(1-Data!$D$23)*Data!$D$14*1000)/(Data!$D$23+((1-Data!$D$23)*Data!$D$14*$G216))))),"---")</f>
        <v>---</v>
      </c>
      <c r="L216" s="376" t="str">
        <f>IF(Start!$C$15="x",(IF(I216="NA","NA",IF($G216 = "NA", "NA",(IF(OR(ChemData!U216="NA",ChemData!U216=""),I216/((Data!$D$18+((1-Data!$D$18)*Data!$D$14*$G216))/((1-Data!$D$18)*Data!$D$14*1000)),(IF(I216/((Data!$D$18+((1-Data!$D$18)*Data!$D$14*$G216))/((1-Data!$D$18)*Data!$D$14*1000))&gt;ChemData!U216, ChemData!U216, I216/((Data!$D$18+((1-Data!$D$18)*Data!$D$14*$G216))/((1-Data!$D$18)*Data!$D$14*1000))))))))),"---")</f>
        <v>---</v>
      </c>
      <c r="M216" s="376" t="str">
        <f>IF(Start!$C$15="x",(IF(L216="NA","NA",IF(OR(D216="NA",D216=""),"NA",(((Data!$D$22*Data!$D$18)*L216)+(Data!$D$19-Data!$D$22)*$D216)/((Data!$D$22*Data!$D$18)+Data!$D$19-Data!$D$22)))),"---")</f>
        <v>---</v>
      </c>
      <c r="N216" s="376" t="str">
        <f>IF(Start!$C$15="x",IF(K216 = "NA", "NA", (IF(M216 = "NA", "NA",(IF(OR(ChemData!U216="NA",ChemData!U216=""),(IF(K216&gt;M216,K216,M216)),(IF(K216&gt;M216,(IF(K216&gt;ChemData!U216, ChemData!U216, K216)),(IF(M216&gt;ChemData!U216,ChemData!U216,M216))))))))),"---")</f>
        <v>---</v>
      </c>
      <c r="O216" s="377" t="str">
        <f>IF(Start!$C$15="x",IF(N216 = "NA","NA", IF(OR(E216="NA",E216=""),"NA",(N216+(Data!$D$26*$E216))/(Data!$D$26+1))),"---")</f>
        <v>---</v>
      </c>
      <c r="P216" s="730" t="str">
        <f>IF(E216="",F216,IF($F216&lt;(1+(Data!$D$27/100))*$E216,(1+(Data!$D$27/100))*$E216,$F216))</f>
        <v>NA</v>
      </c>
      <c r="Q216" s="343" t="str">
        <f>IF(Start!$C$15="x",(IF(C216="","",(IF(O216="NA","NA",IF(P216="NA","NA",IF(P216=0,"NA",(O216/P216))))))),"Not Req.")</f>
        <v>Not Req.</v>
      </c>
      <c r="R216" s="163"/>
      <c r="S216" s="18"/>
      <c r="T216" s="18"/>
      <c r="U216" s="163"/>
      <c r="V216" s="163"/>
      <c r="W216" s="18"/>
      <c r="X216" s="163"/>
      <c r="Y216" s="163"/>
      <c r="Z216" s="18"/>
    </row>
    <row r="217" spans="1:26" s="10" customFormat="1" x14ac:dyDescent="0.25">
      <c r="A217" s="405" t="s">
        <v>535</v>
      </c>
      <c r="B217" s="371" t="str">
        <f>IF(Start!$C$15="x",IF(C217="NA","NA",(IF(C217="","",(IF(OR(F217="NA",F217=""),"No Criteria",(IF(AND(O217="NA",F217&lt;&gt;"NA",C217&lt;&gt;"NA"),                  "Missing Data",(IF(O217&lt;F217,"No",(IF(D217&gt;F217,"Caution",(IF(O217&gt;=F217,"Needed","No"))))))))))))),"---")</f>
        <v>---</v>
      </c>
      <c r="C217" s="372" t="str">
        <f>IF(TRUE=ISBLANK(ChemData!B217),"",(ChemData!B217))</f>
        <v/>
      </c>
      <c r="D217" s="373" t="str">
        <f>IF(TRUE=ISBLANK(ChemData!C217),"",(ChemData!C217))</f>
        <v/>
      </c>
      <c r="E217" s="374" t="str">
        <f>IF(TRUE=ISBLANK(ChemData!D217),"",(ChemData!D217))</f>
        <v/>
      </c>
      <c r="F217" s="289">
        <f>IF(TRUE=ISBLANK(ChemData!H217),"",(ChemData!H217))</f>
        <v>0.19</v>
      </c>
      <c r="G217" s="290">
        <f>IF(TRUE=ISBLANK(ChemData!Q217),"",(ChemData!Q217))</f>
        <v>18510</v>
      </c>
      <c r="H217" s="291">
        <f>IF(TRUE=ISBLANK(ChemData!S217),"",(ChemData!S217))</f>
        <v>1</v>
      </c>
      <c r="I217" s="375" t="str">
        <f>IF(Start!$C$15="x",(IF(OR(C217="NA",C217=""), "NA", (IF($H217 = "NA", "NA", ((C217*$H217)))))),"---")</f>
        <v>---</v>
      </c>
      <c r="J217" s="376" t="str">
        <f>IF(Start!$C$15="x",(IF(I217 = "NA", "NA", IF(OR(D217="NA",D217=""),"NA",(I217 +((Data!$D$19-Data!$D$22)/(Data!$D$19*Data!$D$22)*$D217))))),"---")</f>
        <v>---</v>
      </c>
      <c r="K217" s="376" t="str">
        <f>IF(Start!$C$15="x",(IF(J217="NA","NA",IF(OR(G217="NA",G217=""),"NA",(J217*(1-Data!$D$23)*Data!$D$14*1000)/(Data!$D$23+((1-Data!$D$23)*Data!$D$14*$G217))))),"---")</f>
        <v>---</v>
      </c>
      <c r="L217" s="376" t="str">
        <f>IF(Start!$C$15="x",(IF(I217="NA","NA",IF($G217 = "NA", "NA",(IF(OR(ChemData!U217="NA",ChemData!U217=""),I217/((Data!$D$18+((1-Data!$D$18)*Data!$D$14*$G217))/((1-Data!$D$18)*Data!$D$14*1000)),(IF(I217/((Data!$D$18+((1-Data!$D$18)*Data!$D$14*$G217))/((1-Data!$D$18)*Data!$D$14*1000))&gt;ChemData!U217, ChemData!U217, I217/((Data!$D$18+((1-Data!$D$18)*Data!$D$14*$G217))/((1-Data!$D$18)*Data!$D$14*1000))))))))),"---")</f>
        <v>---</v>
      </c>
      <c r="M217" s="376" t="str">
        <f>IF(Start!$C$15="x",(IF(L217="NA","NA",IF(OR(D217="NA",D217=""),"NA",(((Data!$D$22*Data!$D$18)*L217)+(Data!$D$19-Data!$D$22)*$D217)/((Data!$D$22*Data!$D$18)+Data!$D$19-Data!$D$22)))),"---")</f>
        <v>---</v>
      </c>
      <c r="N217" s="376" t="str">
        <f>IF(Start!$C$15="x",IF(K217 = "NA", "NA", (IF(M217 = "NA", "NA",(IF(OR(ChemData!U217="NA",ChemData!U217=""),(IF(K217&gt;M217,K217,M217)),(IF(K217&gt;M217,(IF(K217&gt;ChemData!U217, ChemData!U217, K217)),(IF(M217&gt;ChemData!U217,ChemData!U217,M217))))))))),"---")</f>
        <v>---</v>
      </c>
      <c r="O217" s="377" t="str">
        <f>IF(Start!$C$15="x",IF(N217 = "NA","NA", IF(OR(E217="NA",E217=""),"NA",(N217+(Data!$D$26*$E217))/(Data!$D$26+1))),"---")</f>
        <v>---</v>
      </c>
      <c r="P217" s="730">
        <f>IF(E217="",F217,IF($F217&lt;(1+(Data!$D$27/100))*$E217,(1+(Data!$D$27/100))*$E217,$F217))</f>
        <v>0.19</v>
      </c>
      <c r="Q217" s="343" t="str">
        <f>IF(Start!$C$15="x",(IF(C217="","",(IF(O217="NA","NA",IF(P217="NA","NA",IF(P217=0,"NA",(O217/P217))))))),"Not Req.")</f>
        <v>Not Req.</v>
      </c>
      <c r="R217" s="163"/>
      <c r="S217" s="18"/>
      <c r="T217" s="18"/>
      <c r="U217" s="163"/>
      <c r="V217" s="163"/>
      <c r="W217" s="18"/>
      <c r="X217" s="163"/>
      <c r="Y217" s="163"/>
      <c r="Z217" s="18"/>
    </row>
    <row r="218" spans="1:26" s="10" customFormat="1" x14ac:dyDescent="0.25">
      <c r="A218" s="405" t="s">
        <v>686</v>
      </c>
      <c r="B218" s="371" t="str">
        <f>IF(Start!$C$15="x",IF(C218="NA","NA",(IF(C218="","",(IF(OR(F218="NA",F218=""),"No Criteria",(IF(AND(O218="NA",F218&lt;&gt;"NA",C218&lt;&gt;"NA"),                  "Missing Data",(IF(O218&lt;F218,"No",(IF(D218&gt;F218,"Caution",(IF(O218&gt;=F218,"Needed","No"))))))))))))),"---")</f>
        <v>---</v>
      </c>
      <c r="C218" s="372" t="str">
        <f>IF(TRUE=ISBLANK(ChemData!B218),"",(ChemData!B218))</f>
        <v/>
      </c>
      <c r="D218" s="373" t="str">
        <f>IF(TRUE=ISBLANK(ChemData!C218),"",(ChemData!C218))</f>
        <v/>
      </c>
      <c r="E218" s="374" t="str">
        <f>IF(TRUE=ISBLANK(ChemData!D218),"",(ChemData!D218))</f>
        <v/>
      </c>
      <c r="F218" s="289" t="str">
        <f>IF(TRUE=ISBLANK(ChemData!H218),"",(ChemData!H218))</f>
        <v>NA</v>
      </c>
      <c r="G218" s="290">
        <f>IF(TRUE=ISBLANK(ChemData!Q218),"",(ChemData!Q218))</f>
        <v>185100</v>
      </c>
      <c r="H218" s="291">
        <f>IF(TRUE=ISBLANK(ChemData!S218),"",(ChemData!S218))</f>
        <v>1</v>
      </c>
      <c r="I218" s="375" t="str">
        <f>IF(Start!$C$15="x",(IF(OR(C218="NA",C218=""), "NA", (IF($H218 = "NA", "NA", ((C218*$H218)))))),"---")</f>
        <v>---</v>
      </c>
      <c r="J218" s="376" t="str">
        <f>IF(Start!$C$15="x",(IF(I218 = "NA", "NA", IF(OR(D218="NA",D218=""),"NA",(I218 +((Data!$D$19-Data!$D$22)/(Data!$D$19*Data!$D$22)*$D218))))),"---")</f>
        <v>---</v>
      </c>
      <c r="K218" s="376" t="str">
        <f>IF(Start!$C$15="x",(IF(J218="NA","NA",IF(OR(G218="NA",G218=""),"NA",(J218*(1-Data!$D$23)*Data!$D$14*1000)/(Data!$D$23+((1-Data!$D$23)*Data!$D$14*$G218))))),"---")</f>
        <v>---</v>
      </c>
      <c r="L218" s="376" t="str">
        <f>IF(Start!$C$15="x",(IF(I218="NA","NA",IF($G218 = "NA", "NA",(IF(OR(ChemData!U218="NA",ChemData!U218=""),I218/((Data!$D$18+((1-Data!$D$18)*Data!$D$14*$G218))/((1-Data!$D$18)*Data!$D$14*1000)),(IF(I218/((Data!$D$18+((1-Data!$D$18)*Data!$D$14*$G218))/((1-Data!$D$18)*Data!$D$14*1000))&gt;ChemData!U218, ChemData!U218, I218/((Data!$D$18+((1-Data!$D$18)*Data!$D$14*$G218))/((1-Data!$D$18)*Data!$D$14*1000))))))))),"---")</f>
        <v>---</v>
      </c>
      <c r="M218" s="376" t="str">
        <f>IF(Start!$C$15="x",(IF(L218="NA","NA",IF(OR(D218="NA",D218=""),"NA",(((Data!$D$22*Data!$D$18)*L218)+(Data!$D$19-Data!$D$22)*$D218)/((Data!$D$22*Data!$D$18)+Data!$D$19-Data!$D$22)))),"---")</f>
        <v>---</v>
      </c>
      <c r="N218" s="376" t="str">
        <f>IF(Start!$C$15="x",IF(K218 = "NA", "NA", (IF(M218 = "NA", "NA",(IF(OR(ChemData!U218="NA",ChemData!U218=""),(IF(K218&gt;M218,K218,M218)),(IF(K218&gt;M218,(IF(K218&gt;ChemData!U218, ChemData!U218, K218)),(IF(M218&gt;ChemData!U218,ChemData!U218,M218))))))))),"---")</f>
        <v>---</v>
      </c>
      <c r="O218" s="377" t="str">
        <f>IF(Start!$C$15="x",IF(N218 = "NA","NA", IF(OR(E218="NA",E218=""),"NA",(N218+(Data!$D$26*$E218))/(Data!$D$26+1))),"---")</f>
        <v>---</v>
      </c>
      <c r="P218" s="730" t="str">
        <f>IF(E218="",F218,IF($F218&lt;(1+(Data!$D$27/100))*$E218,(1+(Data!$D$27/100))*$E218,$F218))</f>
        <v>NA</v>
      </c>
      <c r="Q218" s="343" t="str">
        <f>IF(Start!$C$15="x",(IF(C218="","",(IF(O218="NA","NA",IF(P218="NA","NA",IF(P218=0,"NA",(O218/P218))))))),"Not Req.")</f>
        <v>Not Req.</v>
      </c>
      <c r="R218" s="163"/>
      <c r="S218" s="18"/>
      <c r="T218" s="18"/>
      <c r="U218" s="163"/>
      <c r="V218" s="163"/>
      <c r="W218" s="18"/>
      <c r="X218" s="163"/>
      <c r="Y218" s="163"/>
      <c r="Z218" s="18"/>
    </row>
    <row r="219" spans="1:26" s="10" customFormat="1" x14ac:dyDescent="0.25">
      <c r="A219" s="405" t="s">
        <v>687</v>
      </c>
      <c r="B219" s="371" t="str">
        <f>IF(Start!$C$15="x",IF(C219="NA","NA",(IF(C219="","",(IF(OR(F219="NA",F219=""),"No Criteria",(IF(AND(O219="NA",F219&lt;&gt;"NA",C219&lt;&gt;"NA"),                  "Missing Data",(IF(O219&lt;F219,"No",(IF(D219&gt;F219,"Caution",(IF(O219&gt;=F219,"Needed","No"))))))))))))),"---")</f>
        <v>---</v>
      </c>
      <c r="C219" s="372" t="str">
        <f>IF(TRUE=ISBLANK(ChemData!B219),"",(ChemData!B219))</f>
        <v/>
      </c>
      <c r="D219" s="373" t="str">
        <f>IF(TRUE=ISBLANK(ChemData!C219),"",(ChemData!C219))</f>
        <v/>
      </c>
      <c r="E219" s="374" t="str">
        <f>IF(TRUE=ISBLANK(ChemData!D219),"",(ChemData!D219))</f>
        <v/>
      </c>
      <c r="F219" s="289" t="str">
        <f>IF(TRUE=ISBLANK(ChemData!H219),"",(ChemData!H219))</f>
        <v>NA</v>
      </c>
      <c r="G219" s="290">
        <f>IF(TRUE=ISBLANK(ChemData!Q219),"",(ChemData!Q219))</f>
        <v>5098.0773298789536</v>
      </c>
      <c r="H219" s="291">
        <f>IF(TRUE=ISBLANK(ChemData!S219),"",(ChemData!S219))</f>
        <v>1</v>
      </c>
      <c r="I219" s="375" t="str">
        <f>IF(Start!$C$15="x",(IF(OR(C219="NA",C219=""), "NA", (IF($H219 = "NA", "NA", ((C219*$H219)))))),"---")</f>
        <v>---</v>
      </c>
      <c r="J219" s="376" t="str">
        <f>IF(Start!$C$15="x",(IF(I219 = "NA", "NA", IF(OR(D219="NA",D219=""),"NA",(I219 +((Data!$D$19-Data!$D$22)/(Data!$D$19*Data!$D$22)*$D219))))),"---")</f>
        <v>---</v>
      </c>
      <c r="K219" s="376" t="str">
        <f>IF(Start!$C$15="x",(IF(J219="NA","NA",IF(OR(G219="NA",G219=""),"NA",(J219*(1-Data!$D$23)*Data!$D$14*1000)/(Data!$D$23+((1-Data!$D$23)*Data!$D$14*$G219))))),"---")</f>
        <v>---</v>
      </c>
      <c r="L219" s="376" t="str">
        <f>IF(Start!$C$15="x",(IF(I219="NA","NA",IF($G219 = "NA", "NA",(IF(OR(ChemData!U219="NA",ChemData!U219=""),I219/((Data!$D$18+((1-Data!$D$18)*Data!$D$14*$G219))/((1-Data!$D$18)*Data!$D$14*1000)),(IF(I219/((Data!$D$18+((1-Data!$D$18)*Data!$D$14*$G219))/((1-Data!$D$18)*Data!$D$14*1000))&gt;ChemData!U219, ChemData!U219, I219/((Data!$D$18+((1-Data!$D$18)*Data!$D$14*$G219))/((1-Data!$D$18)*Data!$D$14*1000))))))))),"---")</f>
        <v>---</v>
      </c>
      <c r="M219" s="376" t="str">
        <f>IF(Start!$C$15="x",(IF(L219="NA","NA",IF(OR(D219="NA",D219=""),"NA",(((Data!$D$22*Data!$D$18)*L219)+(Data!$D$19-Data!$D$22)*$D219)/((Data!$D$22*Data!$D$18)+Data!$D$19-Data!$D$22)))),"---")</f>
        <v>---</v>
      </c>
      <c r="N219" s="376" t="str">
        <f>IF(Start!$C$15="x",IF(K219 = "NA", "NA", (IF(M219 = "NA", "NA",(IF(OR(ChemData!U219="NA",ChemData!U219=""),(IF(K219&gt;M219,K219,M219)),(IF(K219&gt;M219,(IF(K219&gt;ChemData!U219, ChemData!U219, K219)),(IF(M219&gt;ChemData!U219,ChemData!U219,M219))))))))),"---")</f>
        <v>---</v>
      </c>
      <c r="O219" s="377" t="str">
        <f>IF(Start!$C$15="x",IF(N219 = "NA","NA", IF(OR(E219="NA",E219=""),"NA",(N219+(Data!$D$26*$E219))/(Data!$D$26+1))),"---")</f>
        <v>---</v>
      </c>
      <c r="P219" s="730" t="str">
        <f>IF(E219="",F219,IF($F219&lt;(1+(Data!$D$27/100))*$E219,(1+(Data!$D$27/100))*$E219,$F219))</f>
        <v>NA</v>
      </c>
      <c r="Q219" s="343" t="str">
        <f>IF(Start!$C$15="x",(IF(C219="","",(IF(O219="NA","NA",IF(P219="NA","NA",IF(P219=0,"NA",(O219/P219))))))),"Not Req.")</f>
        <v>Not Req.</v>
      </c>
      <c r="R219" s="163"/>
      <c r="S219" s="18"/>
      <c r="T219" s="18"/>
      <c r="U219" s="163"/>
      <c r="V219" s="163"/>
      <c r="W219" s="18"/>
      <c r="X219" s="163"/>
      <c r="Y219" s="163"/>
      <c r="Z219" s="18"/>
    </row>
    <row r="220" spans="1:26" s="10" customFormat="1" x14ac:dyDescent="0.25">
      <c r="A220" s="405" t="s">
        <v>538</v>
      </c>
      <c r="B220" s="371" t="str">
        <f>IF(Start!$C$15="x",IF(C220="NA","NA",(IF(C220="","",(IF(OR(F220="NA",F220=""),"No Criteria",(IF(AND(O220="NA",F220&lt;&gt;"NA",C220&lt;&gt;"NA"),                  "Missing Data",(IF(O220&lt;F220,"No",(IF(D220&gt;F220,"Caution",(IF(O220&gt;=F220,"Needed","No"))))))))))))),"---")</f>
        <v>---</v>
      </c>
      <c r="C220" s="372" t="str">
        <f>IF(TRUE=ISBLANK(ChemData!B220),"",(ChemData!B220))</f>
        <v/>
      </c>
      <c r="D220" s="373" t="str">
        <f>IF(TRUE=ISBLANK(ChemData!C220),"",(ChemData!C220))</f>
        <v/>
      </c>
      <c r="E220" s="374" t="str">
        <f>IF(TRUE=ISBLANK(ChemData!D220),"",(ChemData!D220))</f>
        <v/>
      </c>
      <c r="F220" s="289" t="str">
        <f>IF(TRUE=ISBLANK(ChemData!H220),"",(ChemData!H220))</f>
        <v>NA</v>
      </c>
      <c r="G220" s="290">
        <f>IF(TRUE=ISBLANK(ChemData!Q220),"",(ChemData!Q220))</f>
        <v>114131.73484456044</v>
      </c>
      <c r="H220" s="291">
        <f>IF(TRUE=ISBLANK(ChemData!S220),"",(ChemData!S220))</f>
        <v>1</v>
      </c>
      <c r="I220" s="375" t="str">
        <f>IF(Start!$C$15="x",(IF(OR(C220="NA",C220=""), "NA", (IF($H220 = "NA", "NA", ((C220*$H220)))))),"---")</f>
        <v>---</v>
      </c>
      <c r="J220" s="376" t="str">
        <f>IF(Start!$C$15="x",(IF(I220 = "NA", "NA", IF(OR(D220="NA",D220=""),"NA",(I220 +((Data!$D$19-Data!$D$22)/(Data!$D$19*Data!$D$22)*$D220))))),"---")</f>
        <v>---</v>
      </c>
      <c r="K220" s="376" t="str">
        <f>IF(Start!$C$15="x",(IF(J220="NA","NA",IF(OR(G220="NA",G220=""),"NA",(J220*(1-Data!$D$23)*Data!$D$14*1000)/(Data!$D$23+((1-Data!$D$23)*Data!$D$14*$G220))))),"---")</f>
        <v>---</v>
      </c>
      <c r="L220" s="376" t="str">
        <f>IF(Start!$C$15="x",(IF(I220="NA","NA",IF($G220 = "NA", "NA",(IF(OR(ChemData!U220="NA",ChemData!U220=""),I220/((Data!$D$18+((1-Data!$D$18)*Data!$D$14*$G220))/((1-Data!$D$18)*Data!$D$14*1000)),(IF(I220/((Data!$D$18+((1-Data!$D$18)*Data!$D$14*$G220))/((1-Data!$D$18)*Data!$D$14*1000))&gt;ChemData!U220, ChemData!U220, I220/((Data!$D$18+((1-Data!$D$18)*Data!$D$14*$G220))/((1-Data!$D$18)*Data!$D$14*1000))))))))),"---")</f>
        <v>---</v>
      </c>
      <c r="M220" s="376" t="str">
        <f>IF(Start!$C$15="x",(IF(L220="NA","NA",IF(OR(D220="NA",D220=""),"NA",(((Data!$D$22*Data!$D$18)*L220)+(Data!$D$19-Data!$D$22)*$D220)/((Data!$D$22*Data!$D$18)+Data!$D$19-Data!$D$22)))),"---")</f>
        <v>---</v>
      </c>
      <c r="N220" s="376" t="str">
        <f>IF(Start!$C$15="x",IF(K220 = "NA", "NA", (IF(M220 = "NA", "NA",(IF(OR(ChemData!U220="NA",ChemData!U220=""),(IF(K220&gt;M220,K220,M220)),(IF(K220&gt;M220,(IF(K220&gt;ChemData!U220, ChemData!U220, K220)),(IF(M220&gt;ChemData!U220,ChemData!U220,M220))))))))),"---")</f>
        <v>---</v>
      </c>
      <c r="O220" s="377" t="str">
        <f>IF(Start!$C$15="x",IF(N220 = "NA","NA", IF(OR(E220="NA",E220=""),"NA",(N220+(Data!$D$26*$E220))/(Data!$D$26+1))),"---")</f>
        <v>---</v>
      </c>
      <c r="P220" s="730" t="str">
        <f>IF(E220="",F220,IF($F220&lt;(1+(Data!$D$27/100))*$E220,(1+(Data!$D$27/100))*$E220,$F220))</f>
        <v>NA</v>
      </c>
      <c r="Q220" s="343" t="str">
        <f>IF(Start!$C$15="x",(IF(C220="","",(IF(O220="NA","NA",IF(P220="NA","NA",IF(P220=0,"NA",(O220/P220))))))),"Not Req.")</f>
        <v>Not Req.</v>
      </c>
      <c r="R220" s="163"/>
      <c r="S220" s="18"/>
      <c r="T220" s="18"/>
      <c r="U220" s="163"/>
      <c r="V220" s="163"/>
      <c r="W220" s="18"/>
      <c r="X220" s="163"/>
      <c r="Y220" s="163"/>
      <c r="Z220" s="18"/>
    </row>
    <row r="221" spans="1:26" s="10" customFormat="1" x14ac:dyDescent="0.25">
      <c r="A221" s="405" t="s">
        <v>688</v>
      </c>
      <c r="B221" s="371" t="str">
        <f>IF(Start!$C$15="x",IF(C221="NA","NA",(IF(C221="","",(IF(OR(F221="NA",F221=""),"No Criteria",(IF(AND(O221="NA",F221&lt;&gt;"NA",C221&lt;&gt;"NA"),                  "Missing Data",(IF(O221&lt;F221,"No",(IF(D221&gt;F221,"Caution",(IF(O221&gt;=F221,"Needed","No"))))))))))))),"---")</f>
        <v>---</v>
      </c>
      <c r="C221" s="372" t="str">
        <f>IF(TRUE=ISBLANK(ChemData!B221),"",(ChemData!B221))</f>
        <v/>
      </c>
      <c r="D221" s="373" t="str">
        <f>IF(TRUE=ISBLANK(ChemData!C221),"",(ChemData!C221))</f>
        <v/>
      </c>
      <c r="E221" s="374" t="str">
        <f>IF(TRUE=ISBLANK(ChemData!D221),"",(ChemData!D221))</f>
        <v/>
      </c>
      <c r="F221" s="289">
        <f>IF(TRUE=ISBLANK(ChemData!H221),"",(ChemData!H221))</f>
        <v>1.1000000000000001</v>
      </c>
      <c r="G221" s="290">
        <f>IF(TRUE=ISBLANK(ChemData!Q221),"",(ChemData!Q221))</f>
        <v>28690.5</v>
      </c>
      <c r="H221" s="291">
        <f>IF(TRUE=ISBLANK(ChemData!S221),"",(ChemData!S221))</f>
        <v>1</v>
      </c>
      <c r="I221" s="375" t="str">
        <f>IF(Start!$C$15="x",(IF(OR(C221="NA",C221=""), "NA", (IF($H221 = "NA", "NA", ((C221*$H221)))))),"---")</f>
        <v>---</v>
      </c>
      <c r="J221" s="376" t="str">
        <f>IF(Start!$C$15="x",(IF(I221 = "NA", "NA", IF(OR(D221="NA",D221=""),"NA",(I221 +((Data!$D$19-Data!$D$22)/(Data!$D$19*Data!$D$22)*$D221))))),"---")</f>
        <v>---</v>
      </c>
      <c r="K221" s="376" t="str">
        <f>IF(Start!$C$15="x",(IF(J221="NA","NA",IF(OR(G221="NA",G221=""),"NA",(J221*(1-Data!$D$23)*Data!$D$14*1000)/(Data!$D$23+((1-Data!$D$23)*Data!$D$14*$G221))))),"---")</f>
        <v>---</v>
      </c>
      <c r="L221" s="376" t="str">
        <f>IF(Start!$C$15="x",(IF(I221="NA","NA",IF($G221 = "NA", "NA",(IF(OR(ChemData!U221="NA",ChemData!U221=""),I221/((Data!$D$18+((1-Data!$D$18)*Data!$D$14*$G221))/((1-Data!$D$18)*Data!$D$14*1000)),(IF(I221/((Data!$D$18+((1-Data!$D$18)*Data!$D$14*$G221))/((1-Data!$D$18)*Data!$D$14*1000))&gt;ChemData!U221, ChemData!U221, I221/((Data!$D$18+((1-Data!$D$18)*Data!$D$14*$G221))/((1-Data!$D$18)*Data!$D$14*1000))))))))),"---")</f>
        <v>---</v>
      </c>
      <c r="M221" s="376" t="str">
        <f>IF(Start!$C$15="x",(IF(L221="NA","NA",IF(OR(D221="NA",D221=""),"NA",(((Data!$D$22*Data!$D$18)*L221)+(Data!$D$19-Data!$D$22)*$D221)/((Data!$D$22*Data!$D$18)+Data!$D$19-Data!$D$22)))),"---")</f>
        <v>---</v>
      </c>
      <c r="N221" s="376" t="str">
        <f>IF(Start!$C$15="x",IF(K221 = "NA", "NA", (IF(M221 = "NA", "NA",(IF(OR(ChemData!U221="NA",ChemData!U221=""),(IF(K221&gt;M221,K221,M221)),(IF(K221&gt;M221,(IF(K221&gt;ChemData!U221, ChemData!U221, K221)),(IF(M221&gt;ChemData!U221,ChemData!U221,M221))))))))),"---")</f>
        <v>---</v>
      </c>
      <c r="O221" s="377" t="str">
        <f>IF(Start!$C$15="x",IF(N221 = "NA","NA", IF(OR(E221="NA",E221=""),"NA",(N221+(Data!$D$26*$E221))/(Data!$D$26+1))),"---")</f>
        <v>---</v>
      </c>
      <c r="P221" s="730">
        <f>IF(E221="",F221,IF($F221&lt;(1+(Data!$D$27/100))*$E221,(1+(Data!$D$27/100))*$E221,$F221))</f>
        <v>1.1000000000000001</v>
      </c>
      <c r="Q221" s="343" t="str">
        <f>IF(Start!$C$15="x",(IF(C221="","",(IF(O221="NA","NA",IF(P221="NA","NA",IF(P221=0,"NA",(O221/P221))))))),"Not Req.")</f>
        <v>Not Req.</v>
      </c>
      <c r="R221" s="163"/>
      <c r="S221" s="18"/>
      <c r="T221" s="18"/>
      <c r="U221" s="163"/>
      <c r="V221" s="163"/>
      <c r="W221" s="18"/>
      <c r="X221" s="163"/>
      <c r="Y221" s="163"/>
      <c r="Z221" s="18"/>
    </row>
    <row r="222" spans="1:26" s="10" customFormat="1" x14ac:dyDescent="0.25">
      <c r="A222" s="405" t="s">
        <v>689</v>
      </c>
      <c r="B222" s="371" t="str">
        <f>IF(Start!$C$15="x",IF(C222="NA","NA",(IF(C222="","",(IF(OR(F222="NA",F222=""),"No Criteria",(IF(AND(O222="NA",F222&lt;&gt;"NA",C222&lt;&gt;"NA"),                  "Missing Data",(IF(O222&lt;F222,"No",(IF(D222&gt;F222,"Caution",(IF(O222&gt;=F222,"Needed","No"))))))))))))),"---")</f>
        <v>---</v>
      </c>
      <c r="C222" s="372" t="str">
        <f>IF(TRUE=ISBLANK(ChemData!B222),"",(ChemData!B222))</f>
        <v/>
      </c>
      <c r="D222" s="373" t="str">
        <f>IF(TRUE=ISBLANK(ChemData!C222),"",(ChemData!C222))</f>
        <v/>
      </c>
      <c r="E222" s="374" t="str">
        <f>IF(TRUE=ISBLANK(ChemData!D222),"",(ChemData!D222))</f>
        <v/>
      </c>
      <c r="F222" s="289" t="str">
        <f>IF(TRUE=ISBLANK(ChemData!H222),"",(ChemData!H222))</f>
        <v>NA</v>
      </c>
      <c r="G222" s="290">
        <f>IF(TRUE=ISBLANK(ChemData!Q222),"",(ChemData!Q222))</f>
        <v>464.9501784724244</v>
      </c>
      <c r="H222" s="291">
        <f>IF(TRUE=ISBLANK(ChemData!S222),"",(ChemData!S222))</f>
        <v>1</v>
      </c>
      <c r="I222" s="375" t="str">
        <f>IF(Start!$C$15="x",(IF(OR(C222="NA",C222=""), "NA", (IF($H222 = "NA", "NA", ((C222*$H222)))))),"---")</f>
        <v>---</v>
      </c>
      <c r="J222" s="376" t="str">
        <f>IF(Start!$C$15="x",(IF(I222 = "NA", "NA", IF(OR(D222="NA",D222=""),"NA",(I222 +((Data!$D$19-Data!$D$22)/(Data!$D$19*Data!$D$22)*$D222))))),"---")</f>
        <v>---</v>
      </c>
      <c r="K222" s="376" t="str">
        <f>IF(Start!$C$15="x",(IF(J222="NA","NA",IF(OR(G222="NA",G222=""),"NA",(J222*(1-Data!$D$23)*Data!$D$14*1000)/(Data!$D$23+((1-Data!$D$23)*Data!$D$14*$G222))))),"---")</f>
        <v>---</v>
      </c>
      <c r="L222" s="376" t="str">
        <f>IF(Start!$C$15="x",(IF(I222="NA","NA",IF($G222 = "NA", "NA",(IF(OR(ChemData!U222="NA",ChemData!U222=""),I222/((Data!$D$18+((1-Data!$D$18)*Data!$D$14*$G222))/((1-Data!$D$18)*Data!$D$14*1000)),(IF(I222/((Data!$D$18+((1-Data!$D$18)*Data!$D$14*$G222))/((1-Data!$D$18)*Data!$D$14*1000))&gt;ChemData!U222, ChemData!U222, I222/((Data!$D$18+((1-Data!$D$18)*Data!$D$14*$G222))/((1-Data!$D$18)*Data!$D$14*1000))))))))),"---")</f>
        <v>---</v>
      </c>
      <c r="M222" s="376" t="str">
        <f>IF(Start!$C$15="x",(IF(L222="NA","NA",IF(OR(D222="NA",D222=""),"NA",(((Data!$D$22*Data!$D$18)*L222)+(Data!$D$19-Data!$D$22)*$D222)/((Data!$D$22*Data!$D$18)+Data!$D$19-Data!$D$22)))),"---")</f>
        <v>---</v>
      </c>
      <c r="N222" s="376" t="str">
        <f>IF(Start!$C$15="x",IF(K222 = "NA", "NA", (IF(M222 = "NA", "NA",(IF(OR(ChemData!U222="NA",ChemData!U222=""),(IF(K222&gt;M222,K222,M222)),(IF(K222&gt;M222,(IF(K222&gt;ChemData!U222, ChemData!U222, K222)),(IF(M222&gt;ChemData!U222,ChemData!U222,M222))))))))),"---")</f>
        <v>---</v>
      </c>
      <c r="O222" s="377" t="str">
        <f>IF(Start!$C$15="x",IF(N222 = "NA","NA", IF(OR(E222="NA",E222=""),"NA",(N222+(Data!$D$26*$E222))/(Data!$D$26+1))),"---")</f>
        <v>---</v>
      </c>
      <c r="P222" s="730" t="str">
        <f>IF(E222="",F222,IF($F222&lt;(1+(Data!$D$27/100))*$E222,(1+(Data!$D$27/100))*$E222,$F222))</f>
        <v>NA</v>
      </c>
      <c r="Q222" s="343" t="str">
        <f>IF(Start!$C$15="x",(IF(C222="","",(IF(O222="NA","NA",IF(P222="NA","NA",IF(P222=0,"NA",(O222/P222))))))),"Not Req.")</f>
        <v>Not Req.</v>
      </c>
      <c r="R222" s="163"/>
      <c r="S222" s="18"/>
      <c r="T222" s="18"/>
      <c r="U222" s="163"/>
      <c r="V222" s="163"/>
      <c r="W222" s="18"/>
      <c r="X222" s="163"/>
      <c r="Y222" s="163"/>
      <c r="Z222" s="18"/>
    </row>
    <row r="223" spans="1:26" s="10" customFormat="1" x14ac:dyDescent="0.25">
      <c r="A223" s="405" t="s">
        <v>541</v>
      </c>
      <c r="B223" s="371" t="str">
        <f>IF(Start!$C$15="x",IF(C223="NA","NA",(IF(C223="","",(IF(OR(F223="NA",F223=""),"No Criteria",(IF(AND(O223="NA",F223&lt;&gt;"NA",C223&lt;&gt;"NA"),                  "Missing Data",(IF(O223&lt;F223,"No",(IF(D223&gt;F223,"Caution",(IF(O223&gt;=F223,"Needed","No"))))))))))))),"---")</f>
        <v>---</v>
      </c>
      <c r="C223" s="372" t="str">
        <f>IF(TRUE=ISBLANK(ChemData!B223),"",(ChemData!B223))</f>
        <v/>
      </c>
      <c r="D223" s="373" t="str">
        <f>IF(TRUE=ISBLANK(ChemData!C223),"",(ChemData!C223))</f>
        <v/>
      </c>
      <c r="E223" s="374" t="str">
        <f>IF(TRUE=ISBLANK(ChemData!D223),"",(ChemData!D223))</f>
        <v/>
      </c>
      <c r="F223" s="289" t="str">
        <f>IF(TRUE=ISBLANK(ChemData!H223),"",(ChemData!H223))</f>
        <v>NA</v>
      </c>
      <c r="G223" s="290">
        <f>IF(TRUE=ISBLANK(ChemData!Q223),"",(ChemData!Q223))</f>
        <v>11.950056</v>
      </c>
      <c r="H223" s="291">
        <f>IF(TRUE=ISBLANK(ChemData!S223),"",(ChemData!S223))</f>
        <v>1</v>
      </c>
      <c r="I223" s="375" t="str">
        <f>IF(Start!$C$15="x",(IF(OR(C223="NA",C223=""), "NA", (IF($H223 = "NA", "NA", ((C223*$H223)))))),"---")</f>
        <v>---</v>
      </c>
      <c r="J223" s="376" t="str">
        <f>IF(Start!$C$15="x",(IF(I223 = "NA", "NA", IF(OR(D223="NA",D223=""),"NA",(I223 +((Data!$D$19-Data!$D$22)/(Data!$D$19*Data!$D$22)*$D223))))),"---")</f>
        <v>---</v>
      </c>
      <c r="K223" s="376" t="str">
        <f>IF(Start!$C$15="x",(IF(J223="NA","NA",IF(OR(G223="NA",G223=""),"NA",(J223*(1-Data!$D$23)*Data!$D$14*1000)/(Data!$D$23+((1-Data!$D$23)*Data!$D$14*$G223))))),"---")</f>
        <v>---</v>
      </c>
      <c r="L223" s="376" t="str">
        <f>IF(Start!$C$15="x",(IF(I223="NA","NA",IF($G223 = "NA", "NA",(IF(OR(ChemData!U223="NA",ChemData!U223=""),I223/((Data!$D$18+((1-Data!$D$18)*Data!$D$14*$G223))/((1-Data!$D$18)*Data!$D$14*1000)),(IF(I223/((Data!$D$18+((1-Data!$D$18)*Data!$D$14*$G223))/((1-Data!$D$18)*Data!$D$14*1000))&gt;ChemData!U223, ChemData!U223, I223/((Data!$D$18+((1-Data!$D$18)*Data!$D$14*$G223))/((1-Data!$D$18)*Data!$D$14*1000))))))))),"---")</f>
        <v>---</v>
      </c>
      <c r="M223" s="376" t="str">
        <f>IF(Start!$C$15="x",(IF(L223="NA","NA",IF(OR(D223="NA",D223=""),"NA",(((Data!$D$22*Data!$D$18)*L223)+(Data!$D$19-Data!$D$22)*$D223)/((Data!$D$22*Data!$D$18)+Data!$D$19-Data!$D$22)))),"---")</f>
        <v>---</v>
      </c>
      <c r="N223" s="376" t="str">
        <f>IF(Start!$C$15="x",IF(K223 = "NA", "NA", (IF(M223 = "NA", "NA",(IF(OR(ChemData!U223="NA",ChemData!U223=""),(IF(K223&gt;M223,K223,M223)),(IF(K223&gt;M223,(IF(K223&gt;ChemData!U223, ChemData!U223, K223)),(IF(M223&gt;ChemData!U223,ChemData!U223,M223))))))))),"---")</f>
        <v>---</v>
      </c>
      <c r="O223" s="377" t="str">
        <f>IF(Start!$C$15="x",IF(N223 = "NA","NA", IF(OR(E223="NA",E223=""),"NA",(N223+(Data!$D$26*$E223))/(Data!$D$26+1))),"---")</f>
        <v>---</v>
      </c>
      <c r="P223" s="730" t="str">
        <f>IF(E223="",F223,IF($F223&lt;(1+(Data!$D$27/100))*$E223,(1+(Data!$D$27/100))*$E223,$F223))</f>
        <v>NA</v>
      </c>
      <c r="Q223" s="343" t="str">
        <f>IF(Start!$C$15="x",(IF(C223="","",(IF(O223="NA","NA",IF(P223="NA","NA",IF(P223=0,"NA",(O223/P223))))))),"Not Req.")</f>
        <v>Not Req.</v>
      </c>
      <c r="R223" s="163"/>
      <c r="S223" s="18"/>
      <c r="T223" s="18"/>
      <c r="U223" s="163"/>
      <c r="V223" s="163"/>
      <c r="W223" s="18"/>
      <c r="X223" s="163"/>
      <c r="Y223" s="163"/>
      <c r="Z223" s="18"/>
    </row>
    <row r="224" spans="1:26" s="10" customFormat="1" x14ac:dyDescent="0.25">
      <c r="A224" s="405" t="s">
        <v>542</v>
      </c>
      <c r="B224" s="371" t="str">
        <f>IF(Start!$C$15="x",IF(C224="NA","NA",(IF(C224="","",(IF(OR(F224="NA",F224=""),"No Criteria",(IF(AND(O224="NA",F224&lt;&gt;"NA",C224&lt;&gt;"NA"),                  "Missing Data",(IF(O224&lt;F224,"No",(IF(D224&gt;F224,"Caution",(IF(O224&gt;=F224,"Needed","No"))))))))))))),"---")</f>
        <v>---</v>
      </c>
      <c r="C224" s="372" t="str">
        <f>IF(TRUE=ISBLANK(ChemData!B224),"",(ChemData!B224))</f>
        <v/>
      </c>
      <c r="D224" s="373" t="str">
        <f>IF(TRUE=ISBLANK(ChemData!C224),"",(ChemData!C224))</f>
        <v/>
      </c>
      <c r="E224" s="374" t="str">
        <f>IF(TRUE=ISBLANK(ChemData!D224),"",(ChemData!D224))</f>
        <v/>
      </c>
      <c r="F224" s="289" t="str">
        <f>IF(TRUE=ISBLANK(ChemData!H224),"",(ChemData!H224))</f>
        <v>NA</v>
      </c>
      <c r="G224" s="290">
        <f>IF(TRUE=ISBLANK(ChemData!Q224),"",(ChemData!Q224))</f>
        <v>1938.234942442215</v>
      </c>
      <c r="H224" s="291">
        <f>IF(TRUE=ISBLANK(ChemData!S224),"",(ChemData!S224))</f>
        <v>1</v>
      </c>
      <c r="I224" s="375" t="str">
        <f>IF(Start!$C$15="x",(IF(OR(C224="NA",C224=""), "NA", (IF($H224 = "NA", "NA", ((C224*$H224)))))),"---")</f>
        <v>---</v>
      </c>
      <c r="J224" s="376" t="str">
        <f>IF(Start!$C$15="x",(IF(I224 = "NA", "NA", IF(OR(D224="NA",D224=""),"NA",(I224 +((Data!$D$19-Data!$D$22)/(Data!$D$19*Data!$D$22)*$D224))))),"---")</f>
        <v>---</v>
      </c>
      <c r="K224" s="376" t="str">
        <f>IF(Start!$C$15="x",(IF(J224="NA","NA",IF(OR(G224="NA",G224=""),"NA",(J224*(1-Data!$D$23)*Data!$D$14*1000)/(Data!$D$23+((1-Data!$D$23)*Data!$D$14*$G224))))),"---")</f>
        <v>---</v>
      </c>
      <c r="L224" s="376" t="str">
        <f>IF(Start!$C$15="x",(IF(I224="NA","NA",IF($G224 = "NA", "NA",(IF(OR(ChemData!U224="NA",ChemData!U224=""),I224/((Data!$D$18+((1-Data!$D$18)*Data!$D$14*$G224))/((1-Data!$D$18)*Data!$D$14*1000)),(IF(I224/((Data!$D$18+((1-Data!$D$18)*Data!$D$14*$G224))/((1-Data!$D$18)*Data!$D$14*1000))&gt;ChemData!U224, ChemData!U224, I224/((Data!$D$18+((1-Data!$D$18)*Data!$D$14*$G224))/((1-Data!$D$18)*Data!$D$14*1000))))))))),"---")</f>
        <v>---</v>
      </c>
      <c r="M224" s="376" t="str">
        <f>IF(Start!$C$15="x",(IF(L224="NA","NA",IF(OR(D224="NA",D224=""),"NA",(((Data!$D$22*Data!$D$18)*L224)+(Data!$D$19-Data!$D$22)*$D224)/((Data!$D$22*Data!$D$18)+Data!$D$19-Data!$D$22)))),"---")</f>
        <v>---</v>
      </c>
      <c r="N224" s="376" t="str">
        <f>IF(Start!$C$15="x",IF(K224 = "NA", "NA", (IF(M224 = "NA", "NA",(IF(OR(ChemData!U224="NA",ChemData!U224=""),(IF(K224&gt;M224,K224,M224)),(IF(K224&gt;M224,(IF(K224&gt;ChemData!U224, ChemData!U224, K224)),(IF(M224&gt;ChemData!U224,ChemData!U224,M224))))))))),"---")</f>
        <v>---</v>
      </c>
      <c r="O224" s="377" t="str">
        <f>IF(Start!$C$15="x",IF(N224 = "NA","NA", IF(OR(E224="NA",E224=""),"NA",(N224+(Data!$D$26*$E224))/(Data!$D$26+1))),"---")</f>
        <v>---</v>
      </c>
      <c r="P224" s="730" t="str">
        <f>IF(E224="",F224,IF($F224&lt;(1+(Data!$D$27/100))*$E224,(1+(Data!$D$27/100))*$E224,$F224))</f>
        <v>NA</v>
      </c>
      <c r="Q224" s="343" t="str">
        <f>IF(Start!$C$15="x",(IF(C224="","",(IF(O224="NA","NA",IF(P224="NA","NA",IF(P224=0,"NA",(O224/P224))))))),"Not Req.")</f>
        <v>Not Req.</v>
      </c>
      <c r="R224" s="163"/>
      <c r="S224" s="18"/>
      <c r="T224" s="18"/>
      <c r="U224" s="163"/>
      <c r="V224" s="163"/>
      <c r="W224" s="18"/>
      <c r="X224" s="163"/>
      <c r="Y224" s="163"/>
      <c r="Z224" s="18"/>
    </row>
    <row r="225" spans="1:26" s="10" customFormat="1" x14ac:dyDescent="0.25">
      <c r="A225" s="405" t="s">
        <v>543</v>
      </c>
      <c r="B225" s="371" t="str">
        <f>IF(Start!$C$15="x",IF(C225="NA","NA",(IF(C225="","",(IF(OR(F225="NA",F225=""),"No Criteria",(IF(AND(O225="NA",F225&lt;&gt;"NA",C225&lt;&gt;"NA"),                  "Missing Data",(IF(O225&lt;F225,"No",(IF(D225&gt;F225,"Caution",(IF(O225&gt;=F225,"Needed","No"))))))))))))),"---")</f>
        <v>---</v>
      </c>
      <c r="C225" s="372" t="str">
        <f>IF(TRUE=ISBLANK(ChemData!B225),"",(ChemData!B225))</f>
        <v/>
      </c>
      <c r="D225" s="373" t="str">
        <f>IF(TRUE=ISBLANK(ChemData!C225),"",(ChemData!C225))</f>
        <v/>
      </c>
      <c r="E225" s="374" t="str">
        <f>IF(TRUE=ISBLANK(ChemData!D225),"",(ChemData!D225))</f>
        <v/>
      </c>
      <c r="F225" s="289">
        <f>IF(TRUE=ISBLANK(ChemData!H225),"",(ChemData!H225))</f>
        <v>0.24</v>
      </c>
      <c r="G225" s="290">
        <f>IF(TRUE=ISBLANK(ChemData!Q225),"",(ChemData!Q225))</f>
        <v>4339.1675371571837</v>
      </c>
      <c r="H225" s="291">
        <f>IF(TRUE=ISBLANK(ChemData!S225),"",(ChemData!S225))</f>
        <v>1</v>
      </c>
      <c r="I225" s="375" t="str">
        <f>IF(Start!$C$15="x",(IF(OR(C225="NA",C225=""), "NA", (IF($H225 = "NA", "NA", ((C225*$H225)))))),"---")</f>
        <v>---</v>
      </c>
      <c r="J225" s="376" t="str">
        <f>IF(Start!$C$15="x",(IF(I225 = "NA", "NA", IF(OR(D225="NA",D225=""),"NA",(I225 +((Data!$D$19-Data!$D$22)/(Data!$D$19*Data!$D$22)*$D225))))),"---")</f>
        <v>---</v>
      </c>
      <c r="K225" s="376" t="str">
        <f>IF(Start!$C$15="x",(IF(J225="NA","NA",IF(OR(G225="NA",G225=""),"NA",(J225*(1-Data!$D$23)*Data!$D$14*1000)/(Data!$D$23+((1-Data!$D$23)*Data!$D$14*$G225))))),"---")</f>
        <v>---</v>
      </c>
      <c r="L225" s="376" t="str">
        <f>IF(Start!$C$15="x",(IF(I225="NA","NA",IF($G225 = "NA", "NA",(IF(OR(ChemData!U225="NA",ChemData!U225=""),I225/((Data!$D$18+((1-Data!$D$18)*Data!$D$14*$G225))/((1-Data!$D$18)*Data!$D$14*1000)),(IF(I225/((Data!$D$18+((1-Data!$D$18)*Data!$D$14*$G225))/((1-Data!$D$18)*Data!$D$14*1000))&gt;ChemData!U225, ChemData!U225, I225/((Data!$D$18+((1-Data!$D$18)*Data!$D$14*$G225))/((1-Data!$D$18)*Data!$D$14*1000))))))))),"---")</f>
        <v>---</v>
      </c>
      <c r="M225" s="376" t="str">
        <f>IF(Start!$C$15="x",(IF(L225="NA","NA",IF(OR(D225="NA",D225=""),"NA",(((Data!$D$22*Data!$D$18)*L225)+(Data!$D$19-Data!$D$22)*$D225)/((Data!$D$22*Data!$D$18)+Data!$D$19-Data!$D$22)))),"---")</f>
        <v>---</v>
      </c>
      <c r="N225" s="376" t="str">
        <f>IF(Start!$C$15="x",IF(K225 = "NA", "NA", (IF(M225 = "NA", "NA",(IF(OR(ChemData!U225="NA",ChemData!U225=""),(IF(K225&gt;M225,K225,M225)),(IF(K225&gt;M225,(IF(K225&gt;ChemData!U225, ChemData!U225, K225)),(IF(M225&gt;ChemData!U225,ChemData!U225,M225))))))))),"---")</f>
        <v>---</v>
      </c>
      <c r="O225" s="377" t="str">
        <f>IF(Start!$C$15="x",IF(N225 = "NA","NA", IF(OR(E225="NA",E225=""),"NA",(N225+(Data!$D$26*$E225))/(Data!$D$26+1))),"---")</f>
        <v>---</v>
      </c>
      <c r="P225" s="730">
        <f>IF(E225="",F225,IF($F225&lt;(1+(Data!$D$27/100))*$E225,(1+(Data!$D$27/100))*$E225,$F225))</f>
        <v>0.24</v>
      </c>
      <c r="Q225" s="343" t="str">
        <f>IF(Start!$C$15="x",(IF(C225="","",(IF(O225="NA","NA",IF(P225="NA","NA",IF(P225=0,"NA",(O225/P225))))))),"Not Req.")</f>
        <v>Not Req.</v>
      </c>
      <c r="R225" s="163"/>
      <c r="S225" s="18"/>
      <c r="T225" s="18"/>
      <c r="U225" s="163"/>
      <c r="V225" s="163"/>
      <c r="W225" s="18"/>
      <c r="X225" s="163"/>
      <c r="Y225" s="163"/>
      <c r="Z225" s="18"/>
    </row>
    <row r="226" spans="1:26" s="10" customFormat="1" x14ac:dyDescent="0.25">
      <c r="A226" s="405" t="s">
        <v>544</v>
      </c>
      <c r="B226" s="371" t="str">
        <f>IF(Start!$C$15="x",IF(C226="NA","NA",(IF(C226="","",(IF(OR(F226="NA",F226=""),"No Criteria",(IF(AND(O226="NA",F226&lt;&gt;"NA",C226&lt;&gt;"NA"),                  "Missing Data",(IF(O226&lt;F226,"No",(IF(D226&gt;F226,"Caution",(IF(O226&gt;=F226,"Needed","No"))))))))))))),"---")</f>
        <v>---</v>
      </c>
      <c r="C226" s="372" t="str">
        <f>IF(TRUE=ISBLANK(ChemData!B226),"",(ChemData!B226))</f>
        <v/>
      </c>
      <c r="D226" s="373" t="str">
        <f>IF(TRUE=ISBLANK(ChemData!C226),"",(ChemData!C226))</f>
        <v/>
      </c>
      <c r="E226" s="374" t="str">
        <f>IF(TRUE=ISBLANK(ChemData!D226),"",(ChemData!D226))</f>
        <v/>
      </c>
      <c r="F226" s="289">
        <f>IF(TRUE=ISBLANK(ChemData!H226),"",(ChemData!H226))</f>
        <v>0.22</v>
      </c>
      <c r="G226" s="290">
        <f>IF(TRUE=ISBLANK(ChemData!Q226),"",(ChemData!Q226))</f>
        <v>77.162522880359163</v>
      </c>
      <c r="H226" s="291">
        <f>IF(TRUE=ISBLANK(ChemData!S226),"",(ChemData!S226))</f>
        <v>1</v>
      </c>
      <c r="I226" s="375" t="str">
        <f>IF(Start!$C$15="x",(IF(OR(C226="NA",C226=""), "NA", (IF($H226 = "NA", "NA", ((C226*$H226)))))),"---")</f>
        <v>---</v>
      </c>
      <c r="J226" s="376" t="str">
        <f>IF(Start!$C$15="x",(IF(I226 = "NA", "NA", IF(OR(D226="NA",D226=""),"NA",(I226 +((Data!$D$19-Data!$D$22)/(Data!$D$19*Data!$D$22)*$D226))))),"---")</f>
        <v>---</v>
      </c>
      <c r="K226" s="376" t="str">
        <f>IF(Start!$C$15="x",(IF(J226="NA","NA",IF(OR(G226="NA",G226=""),"NA",(J226*(1-Data!$D$23)*Data!$D$14*1000)/(Data!$D$23+((1-Data!$D$23)*Data!$D$14*$G226))))),"---")</f>
        <v>---</v>
      </c>
      <c r="L226" s="376" t="str">
        <f>IF(Start!$C$15="x",(IF(I226="NA","NA",IF($G226 = "NA", "NA",(IF(OR(ChemData!U226="NA",ChemData!U226=""),I226/((Data!$D$18+((1-Data!$D$18)*Data!$D$14*$G226))/((1-Data!$D$18)*Data!$D$14*1000)),(IF(I226/((Data!$D$18+((1-Data!$D$18)*Data!$D$14*$G226))/((1-Data!$D$18)*Data!$D$14*1000))&gt;ChemData!U226, ChemData!U226, I226/((Data!$D$18+((1-Data!$D$18)*Data!$D$14*$G226))/((1-Data!$D$18)*Data!$D$14*1000))))))))),"---")</f>
        <v>---</v>
      </c>
      <c r="M226" s="376" t="str">
        <f>IF(Start!$C$15="x",(IF(L226="NA","NA",IF(OR(D226="NA",D226=""),"NA",(((Data!$D$22*Data!$D$18)*L226)+(Data!$D$19-Data!$D$22)*$D226)/((Data!$D$22*Data!$D$18)+Data!$D$19-Data!$D$22)))),"---")</f>
        <v>---</v>
      </c>
      <c r="N226" s="376" t="str">
        <f>IF(Start!$C$15="x",IF(K226 = "NA", "NA", (IF(M226 = "NA", "NA",(IF(OR(ChemData!U226="NA",ChemData!U226=""),(IF(K226&gt;M226,K226,M226)),(IF(K226&gt;M226,(IF(K226&gt;ChemData!U226, ChemData!U226, K226)),(IF(M226&gt;ChemData!U226,ChemData!U226,M226))))))))),"---")</f>
        <v>---</v>
      </c>
      <c r="O226" s="377" t="str">
        <f>IF(Start!$C$15="x",IF(N226 = "NA","NA", IF(OR(E226="NA",E226=""),"NA",(N226+(Data!$D$26*$E226))/(Data!$D$26+1))),"---")</f>
        <v>---</v>
      </c>
      <c r="P226" s="730">
        <f>IF(E226="",F226,IF($F226&lt;(1+(Data!$D$27/100))*$E226,(1+(Data!$D$27/100))*$E226,$F226))</f>
        <v>0.22</v>
      </c>
      <c r="Q226" s="343" t="str">
        <f>IF(Start!$C$15="x",(IF(C226="","",(IF(O226="NA","NA",IF(P226="NA","NA",IF(P226=0,"NA",(O226/P226))))))),"Not Req.")</f>
        <v>Not Req.</v>
      </c>
      <c r="R226" s="163"/>
      <c r="S226" s="18"/>
      <c r="T226" s="18"/>
      <c r="U226" s="163"/>
      <c r="V226" s="163"/>
      <c r="W226" s="18"/>
      <c r="X226" s="163"/>
      <c r="Y226" s="163"/>
      <c r="Z226" s="18"/>
    </row>
    <row r="227" spans="1:26" s="10" customFormat="1" x14ac:dyDescent="0.25">
      <c r="A227" s="405" t="s">
        <v>545</v>
      </c>
      <c r="B227" s="371" t="str">
        <f>IF(Start!$C$15="x",IF(C227="NA","NA",(IF(C227="","",(IF(OR(F227="NA",F227=""),"No Criteria",(IF(AND(O227="NA",F227&lt;&gt;"NA",C227&lt;&gt;"NA"),                  "Missing Data",(IF(O227&lt;F227,"No",(IF(D227&gt;F227,"Caution",(IF(O227&gt;=F227,"Needed","No"))))))))))))),"---")</f>
        <v>---</v>
      </c>
      <c r="C227" s="372" t="str">
        <f>IF(TRUE=ISBLANK(ChemData!B227),"",(ChemData!B227))</f>
        <v/>
      </c>
      <c r="D227" s="373" t="str">
        <f>IF(TRUE=ISBLANK(ChemData!C227),"",(ChemData!C227))</f>
        <v/>
      </c>
      <c r="E227" s="374" t="str">
        <f>IF(TRUE=ISBLANK(ChemData!D227),"",(ChemData!D227))</f>
        <v/>
      </c>
      <c r="F227" s="289">
        <f>IF(TRUE=ISBLANK(ChemData!H227),"",(ChemData!H227))</f>
        <v>0.22</v>
      </c>
      <c r="G227" s="290">
        <f>IF(TRUE=ISBLANK(ChemData!Q227),"",(ChemData!Q227))</f>
        <v>125.14295874505591</v>
      </c>
      <c r="H227" s="291">
        <f>IF(TRUE=ISBLANK(ChemData!S227),"",(ChemData!S227))</f>
        <v>1</v>
      </c>
      <c r="I227" s="375" t="str">
        <f>IF(Start!$C$15="x",(IF(OR(C227="NA",C227=""), "NA", (IF($H227 = "NA", "NA", ((C227*$H227)))))),"---")</f>
        <v>---</v>
      </c>
      <c r="J227" s="376" t="str">
        <f>IF(Start!$C$15="x",(IF(I227 = "NA", "NA", IF(OR(D227="NA",D227=""),"NA",(I227 +((Data!$D$19-Data!$D$22)/(Data!$D$19*Data!$D$22)*$D227))))),"---")</f>
        <v>---</v>
      </c>
      <c r="K227" s="376" t="str">
        <f>IF(Start!$C$15="x",(IF(J227="NA","NA",IF(OR(G227="NA",G227=""),"NA",(J227*(1-Data!$D$23)*Data!$D$14*1000)/(Data!$D$23+((1-Data!$D$23)*Data!$D$14*$G227))))),"---")</f>
        <v>---</v>
      </c>
      <c r="L227" s="376" t="str">
        <f>IF(Start!$C$15="x",(IF(I227="NA","NA",IF($G227 = "NA", "NA",(IF(OR(ChemData!U227="NA",ChemData!U227=""),I227/((Data!$D$18+((1-Data!$D$18)*Data!$D$14*$G227))/((1-Data!$D$18)*Data!$D$14*1000)),(IF(I227/((Data!$D$18+((1-Data!$D$18)*Data!$D$14*$G227))/((1-Data!$D$18)*Data!$D$14*1000))&gt;ChemData!U227, ChemData!U227, I227/((Data!$D$18+((1-Data!$D$18)*Data!$D$14*$G227))/((1-Data!$D$18)*Data!$D$14*1000))))))))),"---")</f>
        <v>---</v>
      </c>
      <c r="M227" s="376" t="str">
        <f>IF(Start!$C$15="x",(IF(L227="NA","NA",IF(OR(D227="NA",D227=""),"NA",(((Data!$D$22*Data!$D$18)*L227)+(Data!$D$19-Data!$D$22)*$D227)/((Data!$D$22*Data!$D$18)+Data!$D$19-Data!$D$22)))),"---")</f>
        <v>---</v>
      </c>
      <c r="N227" s="376" t="str">
        <f>IF(Start!$C$15="x",IF(K227 = "NA", "NA", (IF(M227 = "NA", "NA",(IF(OR(ChemData!U227="NA",ChemData!U227=""),(IF(K227&gt;M227,K227,M227)),(IF(K227&gt;M227,(IF(K227&gt;ChemData!U227, ChemData!U227, K227)),(IF(M227&gt;ChemData!U227,ChemData!U227,M227))))))))),"---")</f>
        <v>---</v>
      </c>
      <c r="O227" s="377" t="str">
        <f>IF(Start!$C$15="x",IF(N227 = "NA","NA", IF(OR(E227="NA",E227=""),"NA",(N227+(Data!$D$26*$E227))/(Data!$D$26+1))),"---")</f>
        <v>---</v>
      </c>
      <c r="P227" s="730">
        <f>IF(E227="",F227,IF($F227&lt;(1+(Data!$D$27/100))*$E227,(1+(Data!$D$27/100))*$E227,$F227))</f>
        <v>0.22</v>
      </c>
      <c r="Q227" s="343" t="str">
        <f>IF(Start!$C$15="x",(IF(C227="","",(IF(O227="NA","NA",IF(P227="NA","NA",IF(P227=0,"NA",(O227/P227))))))),"Not Req.")</f>
        <v>Not Req.</v>
      </c>
      <c r="R227" s="163"/>
      <c r="S227" s="18"/>
      <c r="T227" s="18"/>
      <c r="U227" s="163"/>
      <c r="V227" s="163"/>
      <c r="W227" s="18"/>
      <c r="X227" s="163"/>
      <c r="Y227" s="163"/>
      <c r="Z227" s="18"/>
    </row>
    <row r="228" spans="1:26" s="10" customFormat="1" x14ac:dyDescent="0.25">
      <c r="A228" s="405" t="s">
        <v>546</v>
      </c>
      <c r="B228" s="371" t="str">
        <f>IF(Start!$C$15="x",IF(C228="NA","NA",(IF(C228="","",(IF(OR(F228="NA",F228=""),"No Criteria",(IF(AND(O228="NA",F228&lt;&gt;"NA",C228&lt;&gt;"NA"),                  "Missing Data",(IF(O228&lt;F228,"No",(IF(D228&gt;F228,"Caution",(IF(O228&gt;=F228,"Needed","No"))))))))))))),"---")</f>
        <v>---</v>
      </c>
      <c r="C228" s="372" t="str">
        <f>IF(TRUE=ISBLANK(ChemData!B228),"",(ChemData!B228))</f>
        <v/>
      </c>
      <c r="D228" s="373" t="str">
        <f>IF(TRUE=ISBLANK(ChemData!C228),"",(ChemData!C228))</f>
        <v/>
      </c>
      <c r="E228" s="374" t="str">
        <f>IF(TRUE=ISBLANK(ChemData!D228),"",(ChemData!D228))</f>
        <v/>
      </c>
      <c r="F228" s="289" t="str">
        <f>IF(TRUE=ISBLANK(ChemData!H228),"",(ChemData!H228))</f>
        <v>NA</v>
      </c>
      <c r="G228" s="290">
        <f>IF(TRUE=ISBLANK(ChemData!Q228),"",(ChemData!Q228))</f>
        <v>84.607023897713418</v>
      </c>
      <c r="H228" s="291">
        <f>IF(TRUE=ISBLANK(ChemData!S228),"",(ChemData!S228))</f>
        <v>1</v>
      </c>
      <c r="I228" s="375" t="str">
        <f>IF(Start!$C$15="x",(IF(OR(C228="NA",C228=""), "NA", (IF($H228 = "NA", "NA", ((C228*$H228)))))),"---")</f>
        <v>---</v>
      </c>
      <c r="J228" s="376" t="str">
        <f>IF(Start!$C$15="x",(IF(I228 = "NA", "NA", IF(OR(D228="NA",D228=""),"NA",(I228 +((Data!$D$19-Data!$D$22)/(Data!$D$19*Data!$D$22)*$D228))))),"---")</f>
        <v>---</v>
      </c>
      <c r="K228" s="376" t="str">
        <f>IF(Start!$C$15="x",(IF(J228="NA","NA",IF(OR(G228="NA",G228=""),"NA",(J228*(1-Data!$D$23)*Data!$D$14*1000)/(Data!$D$23+((1-Data!$D$23)*Data!$D$14*$G228))))),"---")</f>
        <v>---</v>
      </c>
      <c r="L228" s="376" t="str">
        <f>IF(Start!$C$15="x",(IF(I228="NA","NA",IF($G228 = "NA", "NA",(IF(OR(ChemData!U228="NA",ChemData!U228=""),I228/((Data!$D$18+((1-Data!$D$18)*Data!$D$14*$G228))/((1-Data!$D$18)*Data!$D$14*1000)),(IF(I228/((Data!$D$18+((1-Data!$D$18)*Data!$D$14*$G228))/((1-Data!$D$18)*Data!$D$14*1000))&gt;ChemData!U228, ChemData!U228, I228/((Data!$D$18+((1-Data!$D$18)*Data!$D$14*$G228))/((1-Data!$D$18)*Data!$D$14*1000))))))))),"---")</f>
        <v>---</v>
      </c>
      <c r="M228" s="376" t="str">
        <f>IF(Start!$C$15="x",(IF(L228="NA","NA",IF(OR(D228="NA",D228=""),"NA",(((Data!$D$22*Data!$D$18)*L228)+(Data!$D$19-Data!$D$22)*$D228)/((Data!$D$22*Data!$D$18)+Data!$D$19-Data!$D$22)))),"---")</f>
        <v>---</v>
      </c>
      <c r="N228" s="376" t="str">
        <f>IF(Start!$C$15="x",IF(K228 = "NA", "NA", (IF(M228 = "NA", "NA",(IF(OR(ChemData!U228="NA",ChemData!U228=""),(IF(K228&gt;M228,K228,M228)),(IF(K228&gt;M228,(IF(K228&gt;ChemData!U228, ChemData!U228, K228)),(IF(M228&gt;ChemData!U228,ChemData!U228,M228))))))))),"---")</f>
        <v>---</v>
      </c>
      <c r="O228" s="377" t="str">
        <f>IF(Start!$C$15="x",IF(N228 = "NA","NA", IF(OR(E228="NA",E228=""),"NA",(N228+(Data!$D$26*$E228))/(Data!$D$26+1))),"---")</f>
        <v>---</v>
      </c>
      <c r="P228" s="730" t="str">
        <f>IF(E228="",F228,IF($F228&lt;(1+(Data!$D$27/100))*$E228,(1+(Data!$D$27/100))*$E228,$F228))</f>
        <v>NA</v>
      </c>
      <c r="Q228" s="343" t="str">
        <f>IF(Start!$C$15="x",(IF(C228="","",(IF(O228="NA","NA",IF(P228="NA","NA",IF(P228=0,"NA",(O228/P228))))))),"Not Req.")</f>
        <v>Not Req.</v>
      </c>
      <c r="R228" s="163"/>
      <c r="S228" s="18"/>
      <c r="T228" s="18"/>
      <c r="U228" s="163"/>
      <c r="V228" s="163"/>
      <c r="W228" s="18"/>
      <c r="X228" s="163"/>
      <c r="Y228" s="163"/>
      <c r="Z228" s="18"/>
    </row>
    <row r="229" spans="1:26" s="10" customFormat="1" x14ac:dyDescent="0.25">
      <c r="A229" s="405" t="s">
        <v>547</v>
      </c>
      <c r="B229" s="371" t="str">
        <f>IF(Start!$C$15="x",IF(C229="NA","NA",(IF(C229="","",(IF(OR(F229="NA",F229=""),"No Criteria",(IF(AND(O229="NA",F229&lt;&gt;"NA",C229&lt;&gt;"NA"),                  "Missing Data",(IF(O229&lt;F229,"No",(IF(D229&gt;F229,"Caution",(IF(O229&gt;=F229,"Needed","No"))))))))))))),"---")</f>
        <v>---</v>
      </c>
      <c r="C229" s="372" t="str">
        <f>IF(TRUE=ISBLANK(ChemData!B229),"",(ChemData!B229))</f>
        <v/>
      </c>
      <c r="D229" s="373" t="str">
        <f>IF(TRUE=ISBLANK(ChemData!C229),"",(ChemData!C229))</f>
        <v/>
      </c>
      <c r="E229" s="374" t="str">
        <f>IF(TRUE=ISBLANK(ChemData!D229),"",(ChemData!D229))</f>
        <v/>
      </c>
      <c r="F229" s="289">
        <f>IF(TRUE=ISBLANK(ChemData!H229),"",(ChemData!H229))</f>
        <v>8.5999999999999993E-2</v>
      </c>
      <c r="G229" s="290">
        <f>IF(TRUE=ISBLANK(ChemData!Q229),"",(ChemData!Q229))</f>
        <v>2933.6372992455267</v>
      </c>
      <c r="H229" s="291">
        <f>IF(TRUE=ISBLANK(ChemData!S229),"",(ChemData!S229))</f>
        <v>1</v>
      </c>
      <c r="I229" s="375" t="str">
        <f>IF(Start!$C$15="x",(IF(OR(C229="NA",C229=""), "NA", (IF($H229 = "NA", "NA", ((C229*$H229)))))),"---")</f>
        <v>---</v>
      </c>
      <c r="J229" s="376" t="str">
        <f>IF(Start!$C$15="x",(IF(I229 = "NA", "NA", IF(OR(D229="NA",D229=""),"NA",(I229 +((Data!$D$19-Data!$D$22)/(Data!$D$19*Data!$D$22)*$D229))))),"---")</f>
        <v>---</v>
      </c>
      <c r="K229" s="376" t="str">
        <f>IF(Start!$C$15="x",(IF(J229="NA","NA",IF(OR(G229="NA",G229=""),"NA",(J229*(1-Data!$D$23)*Data!$D$14*1000)/(Data!$D$23+((1-Data!$D$23)*Data!$D$14*$G229))))),"---")</f>
        <v>---</v>
      </c>
      <c r="L229" s="376" t="str">
        <f>IF(Start!$C$15="x",(IF(I229="NA","NA",IF($G229 = "NA", "NA",(IF(OR(ChemData!U229="NA",ChemData!U229=""),I229/((Data!$D$18+((1-Data!$D$18)*Data!$D$14*$G229))/((1-Data!$D$18)*Data!$D$14*1000)),(IF(I229/((Data!$D$18+((1-Data!$D$18)*Data!$D$14*$G229))/((1-Data!$D$18)*Data!$D$14*1000))&gt;ChemData!U229, ChemData!U229, I229/((Data!$D$18+((1-Data!$D$18)*Data!$D$14*$G229))/((1-Data!$D$18)*Data!$D$14*1000))))))))),"---")</f>
        <v>---</v>
      </c>
      <c r="M229" s="376" t="str">
        <f>IF(Start!$C$15="x",(IF(L229="NA","NA",IF(OR(D229="NA",D229=""),"NA",(((Data!$D$22*Data!$D$18)*L229)+(Data!$D$19-Data!$D$22)*$D229)/((Data!$D$22*Data!$D$18)+Data!$D$19-Data!$D$22)))),"---")</f>
        <v>---</v>
      </c>
      <c r="N229" s="376" t="str">
        <f>IF(Start!$C$15="x",IF(K229 = "NA", "NA", (IF(M229 = "NA", "NA",(IF(OR(ChemData!U229="NA",ChemData!U229=""),(IF(K229&gt;M229,K229,M229)),(IF(K229&gt;M229,(IF(K229&gt;ChemData!U229, ChemData!U229, K229)),(IF(M229&gt;ChemData!U229,ChemData!U229,M229))))))))),"---")</f>
        <v>---</v>
      </c>
      <c r="O229" s="377" t="str">
        <f>IF(Start!$C$15="x",IF(N229 = "NA","NA", IF(OR(E229="NA",E229=""),"NA",(N229+(Data!$D$26*$E229))/(Data!$D$26+1))),"---")</f>
        <v>---</v>
      </c>
      <c r="P229" s="730">
        <f>IF(E229="",F229,IF($F229&lt;(1+(Data!$D$27/100))*$E229,(1+(Data!$D$27/100))*$E229,$F229))</f>
        <v>8.5999999999999993E-2</v>
      </c>
      <c r="Q229" s="343" t="str">
        <f>IF(Start!$C$15="x",(IF(C229="","",(IF(O229="NA","NA",IF(P229="NA","NA",IF(P229=0,"NA",(O229/P229))))))),"Not Req.")</f>
        <v>Not Req.</v>
      </c>
      <c r="R229" s="163"/>
      <c r="S229" s="18"/>
      <c r="T229" s="18"/>
      <c r="U229" s="163"/>
      <c r="V229" s="163"/>
      <c r="W229" s="18"/>
      <c r="X229" s="163"/>
      <c r="Y229" s="163"/>
      <c r="Z229" s="18"/>
    </row>
    <row r="230" spans="1:26" s="10" customFormat="1" x14ac:dyDescent="0.25">
      <c r="A230" s="405" t="s">
        <v>548</v>
      </c>
      <c r="B230" s="371" t="str">
        <f>IF(Start!$C$15="x",IF(C230="NA","NA",(IF(C230="","",(IF(OR(F230="NA",F230=""),"No Criteria",(IF(AND(O230="NA",F230&lt;&gt;"NA",C230&lt;&gt;"NA"),                  "Missing Data",(IF(O230&lt;F230,"No",(IF(D230&gt;F230,"Caution",(IF(O230&gt;=F230,"Needed","No"))))))))))))),"---")</f>
        <v>---</v>
      </c>
      <c r="C230" s="372" t="str">
        <f>IF(TRUE=ISBLANK(ChemData!B230),"",(ChemData!B230))</f>
        <v/>
      </c>
      <c r="D230" s="373" t="str">
        <f>IF(TRUE=ISBLANK(ChemData!C230),"",(ChemData!C230))</f>
        <v/>
      </c>
      <c r="E230" s="374" t="str">
        <f>IF(TRUE=ISBLANK(ChemData!D230),"",(ChemData!D230))</f>
        <v/>
      </c>
      <c r="F230" s="289" t="str">
        <f>IF(TRUE=ISBLANK(ChemData!H230),"",(ChemData!H230))</f>
        <v>NA</v>
      </c>
      <c r="G230" s="290">
        <f>IF(TRUE=ISBLANK(ChemData!Q230),"",(ChemData!Q230))</f>
        <v>185.1</v>
      </c>
      <c r="H230" s="291">
        <f>IF(TRUE=ISBLANK(ChemData!S230),"",(ChemData!S230))</f>
        <v>1</v>
      </c>
      <c r="I230" s="375" t="str">
        <f>IF(Start!$C$15="x",(IF(OR(C230="NA",C230=""), "NA", (IF($H230 = "NA", "NA", ((C230*$H230)))))),"---")</f>
        <v>---</v>
      </c>
      <c r="J230" s="376" t="str">
        <f>IF(Start!$C$15="x",(IF(I230 = "NA", "NA", IF(OR(D230="NA",D230=""),"NA",(I230 +((Data!$D$19-Data!$D$22)/(Data!$D$19*Data!$D$22)*$D230))))),"---")</f>
        <v>---</v>
      </c>
      <c r="K230" s="376" t="str">
        <f>IF(Start!$C$15="x",(IF(J230="NA","NA",IF(OR(G230="NA",G230=""),"NA",(J230*(1-Data!$D$23)*Data!$D$14*1000)/(Data!$D$23+((1-Data!$D$23)*Data!$D$14*$G230))))),"---")</f>
        <v>---</v>
      </c>
      <c r="L230" s="376" t="str">
        <f>IF(Start!$C$15="x",(IF(I230="NA","NA",IF($G230 = "NA", "NA",(IF(OR(ChemData!U230="NA",ChemData!U230=""),I230/((Data!$D$18+((1-Data!$D$18)*Data!$D$14*$G230))/((1-Data!$D$18)*Data!$D$14*1000)),(IF(I230/((Data!$D$18+((1-Data!$D$18)*Data!$D$14*$G230))/((1-Data!$D$18)*Data!$D$14*1000))&gt;ChemData!U230, ChemData!U230, I230/((Data!$D$18+((1-Data!$D$18)*Data!$D$14*$G230))/((1-Data!$D$18)*Data!$D$14*1000))))))))),"---")</f>
        <v>---</v>
      </c>
      <c r="M230" s="376" t="str">
        <f>IF(Start!$C$15="x",(IF(L230="NA","NA",IF(OR(D230="NA",D230=""),"NA",(((Data!$D$22*Data!$D$18)*L230)+(Data!$D$19-Data!$D$22)*$D230)/((Data!$D$22*Data!$D$18)+Data!$D$19-Data!$D$22)))),"---")</f>
        <v>---</v>
      </c>
      <c r="N230" s="376" t="str">
        <f>IF(Start!$C$15="x",IF(K230 = "NA", "NA", (IF(M230 = "NA", "NA",(IF(OR(ChemData!U230="NA",ChemData!U230=""),(IF(K230&gt;M230,K230,M230)),(IF(K230&gt;M230,(IF(K230&gt;ChemData!U230, ChemData!U230, K230)),(IF(M230&gt;ChemData!U230,ChemData!U230,M230))))))))),"---")</f>
        <v>---</v>
      </c>
      <c r="O230" s="377" t="str">
        <f>IF(Start!$C$15="x",IF(N230 = "NA","NA", IF(OR(E230="NA",E230=""),"NA",(N230+(Data!$D$26*$E230))/(Data!$D$26+1))),"---")</f>
        <v>---</v>
      </c>
      <c r="P230" s="730" t="str">
        <f>IF(E230="",F230,IF($F230&lt;(1+(Data!$D$27/100))*$E230,(1+(Data!$D$27/100))*$E230,$F230))</f>
        <v>NA</v>
      </c>
      <c r="Q230" s="343" t="str">
        <f>IF(Start!$C$15="x",(IF(C230="","",(IF(O230="NA","NA",IF(P230="NA","NA",IF(P230=0,"NA",(O230/P230))))))),"Not Req.")</f>
        <v>Not Req.</v>
      </c>
      <c r="R230" s="163"/>
      <c r="S230" s="18"/>
      <c r="T230" s="18"/>
      <c r="U230" s="163"/>
      <c r="V230" s="163"/>
      <c r="W230" s="18"/>
      <c r="X230" s="163"/>
      <c r="Y230" s="163"/>
      <c r="Z230" s="18"/>
    </row>
    <row r="231" spans="1:26" s="10" customFormat="1" x14ac:dyDescent="0.25">
      <c r="A231" s="405" t="s">
        <v>549</v>
      </c>
      <c r="B231" s="371" t="str">
        <f>IF(Start!$C$15="x",IF(C231="NA","NA",(IF(C231="","",(IF(OR(F231="NA",F231=""),"No Criteria",(IF(AND(O231="NA",F231&lt;&gt;"NA",C231&lt;&gt;"NA"),                  "Missing Data",(IF(O231&lt;F231,"No",(IF(D231&gt;F231,"Caution",(IF(O231&gt;=F231,"Needed","No"))))))))))))),"---")</f>
        <v>---</v>
      </c>
      <c r="C231" s="372" t="str">
        <f>IF(TRUE=ISBLANK(ChemData!B231),"",(ChemData!B231))</f>
        <v/>
      </c>
      <c r="D231" s="373" t="str">
        <f>IF(TRUE=ISBLANK(ChemData!C231),"",(ChemData!C231))</f>
        <v/>
      </c>
      <c r="E231" s="374" t="str">
        <f>IF(TRUE=ISBLANK(ChemData!D231),"",(ChemData!D231))</f>
        <v/>
      </c>
      <c r="F231" s="289" t="str">
        <f>IF(TRUE=ISBLANK(ChemData!H231),"",(ChemData!H231))</f>
        <v>NA</v>
      </c>
      <c r="G231" s="290">
        <f>IF(TRUE=ISBLANK(ChemData!Q231),"",(ChemData!Q231))</f>
        <v>1808.866095989209</v>
      </c>
      <c r="H231" s="291">
        <f>IF(TRUE=ISBLANK(ChemData!S231),"",(ChemData!S231))</f>
        <v>1</v>
      </c>
      <c r="I231" s="375" t="str">
        <f>IF(Start!$C$15="x",(IF(OR(C231="NA",C231=""), "NA", (IF($H231 = "NA", "NA", ((C231*$H231)))))),"---")</f>
        <v>---</v>
      </c>
      <c r="J231" s="376" t="str">
        <f>IF(Start!$C$15="x",(IF(I231 = "NA", "NA", IF(OR(D231="NA",D231=""),"NA",(I231 +((Data!$D$19-Data!$D$22)/(Data!$D$19*Data!$D$22)*$D231))))),"---")</f>
        <v>---</v>
      </c>
      <c r="K231" s="376" t="str">
        <f>IF(Start!$C$15="x",(IF(J231="NA","NA",IF(OR(G231="NA",G231=""),"NA",(J231*(1-Data!$D$23)*Data!$D$14*1000)/(Data!$D$23+((1-Data!$D$23)*Data!$D$14*$G231))))),"---")</f>
        <v>---</v>
      </c>
      <c r="L231" s="376" t="str">
        <f>IF(Start!$C$15="x",(IF(I231="NA","NA",IF($G231 = "NA", "NA",(IF(OR(ChemData!U231="NA",ChemData!U231=""),I231/((Data!$D$18+((1-Data!$D$18)*Data!$D$14*$G231))/((1-Data!$D$18)*Data!$D$14*1000)),(IF(I231/((Data!$D$18+((1-Data!$D$18)*Data!$D$14*$G231))/((1-Data!$D$18)*Data!$D$14*1000))&gt;ChemData!U231, ChemData!U231, I231/((Data!$D$18+((1-Data!$D$18)*Data!$D$14*$G231))/((1-Data!$D$18)*Data!$D$14*1000))))))))),"---")</f>
        <v>---</v>
      </c>
      <c r="M231" s="376" t="str">
        <f>IF(Start!$C$15="x",(IF(L231="NA","NA",IF(OR(D231="NA",D231=""),"NA",(((Data!$D$22*Data!$D$18)*L231)+(Data!$D$19-Data!$D$22)*$D231)/((Data!$D$22*Data!$D$18)+Data!$D$19-Data!$D$22)))),"---")</f>
        <v>---</v>
      </c>
      <c r="N231" s="376" t="str">
        <f>IF(Start!$C$15="x",IF(K231 = "NA", "NA", (IF(M231 = "NA", "NA",(IF(OR(ChemData!U231="NA",ChemData!U231=""),(IF(K231&gt;M231,K231,M231)),(IF(K231&gt;M231,(IF(K231&gt;ChemData!U231, ChemData!U231, K231)),(IF(M231&gt;ChemData!U231,ChemData!U231,M231))))))))),"---")</f>
        <v>---</v>
      </c>
      <c r="O231" s="377" t="str">
        <f>IF(Start!$C$15="x",IF(N231 = "NA","NA", IF(OR(E231="NA",E231=""),"NA",(N231+(Data!$D$26*$E231))/(Data!$D$26+1))),"---")</f>
        <v>---</v>
      </c>
      <c r="P231" s="730" t="str">
        <f>IF(E231="",F231,IF($F231&lt;(1+(Data!$D$27/100))*$E231,(1+(Data!$D$27/100))*$E231,$F231))</f>
        <v>NA</v>
      </c>
      <c r="Q231" s="343" t="str">
        <f>IF(Start!$C$15="x",(IF(C231="","",(IF(O231="NA","NA",IF(P231="NA","NA",IF(P231=0,"NA",(O231/P231))))))),"Not Req.")</f>
        <v>Not Req.</v>
      </c>
      <c r="R231" s="163"/>
      <c r="S231" s="18"/>
      <c r="T231" s="18"/>
      <c r="U231" s="163"/>
      <c r="V231" s="163"/>
      <c r="W231" s="18"/>
      <c r="X231" s="163"/>
      <c r="Y231" s="163"/>
      <c r="Z231" s="18"/>
    </row>
    <row r="232" spans="1:26" s="10" customFormat="1" x14ac:dyDescent="0.25">
      <c r="A232" s="405" t="s">
        <v>550</v>
      </c>
      <c r="B232" s="371" t="str">
        <f>IF(Start!$C$15="x",IF(C232="NA","NA",(IF(C232="","",(IF(OR(F232="NA",F232=""),"No Criteria",(IF(AND(O232="NA",F232&lt;&gt;"NA",C232&lt;&gt;"NA"),                  "Missing Data",(IF(O232&lt;F232,"No",(IF(D232&gt;F232,"Caution",(IF(O232&gt;=F232,"Needed","No"))))))))))))),"---")</f>
        <v>---</v>
      </c>
      <c r="C232" s="372" t="str">
        <f>IF(TRUE=ISBLANK(ChemData!B232),"",(ChemData!B232))</f>
        <v/>
      </c>
      <c r="D232" s="373" t="str">
        <f>IF(TRUE=ISBLANK(ChemData!C232),"",(ChemData!C232))</f>
        <v/>
      </c>
      <c r="E232" s="374" t="str">
        <f>IF(TRUE=ISBLANK(ChemData!D232),"",(ChemData!D232))</f>
        <v/>
      </c>
      <c r="F232" s="289">
        <f>IF(TRUE=ISBLANK(ChemData!H232),"",(ChemData!H232))</f>
        <v>0.52</v>
      </c>
      <c r="G232" s="290">
        <f>IF(TRUE=ISBLANK(ChemData!Q232),"",(ChemData!Q232))</f>
        <v>3446.7232899629657</v>
      </c>
      <c r="H232" s="291">
        <f>IF(TRUE=ISBLANK(ChemData!S232),"",(ChemData!S232))</f>
        <v>1</v>
      </c>
      <c r="I232" s="375" t="str">
        <f>IF(Start!$C$15="x",(IF(OR(C232="NA",C232=""), "NA", (IF($H232 = "NA", "NA", ((C232*$H232)))))),"---")</f>
        <v>---</v>
      </c>
      <c r="J232" s="376" t="str">
        <f>IF(Start!$C$15="x",(IF(I232 = "NA", "NA", IF(OR(D232="NA",D232=""),"NA",(I232 +((Data!$D$19-Data!$D$22)/(Data!$D$19*Data!$D$22)*$D232))))),"---")</f>
        <v>---</v>
      </c>
      <c r="K232" s="376" t="str">
        <f>IF(Start!$C$15="x",(IF(J232="NA","NA",IF(OR(G232="NA",G232=""),"NA",(J232*(1-Data!$D$23)*Data!$D$14*1000)/(Data!$D$23+((1-Data!$D$23)*Data!$D$14*$G232))))),"---")</f>
        <v>---</v>
      </c>
      <c r="L232" s="376" t="str">
        <f>IF(Start!$C$15="x",(IF(I232="NA","NA",IF($G232 = "NA", "NA",(IF(OR(ChemData!U232="NA",ChemData!U232=""),I232/((Data!$D$18+((1-Data!$D$18)*Data!$D$14*$G232))/((1-Data!$D$18)*Data!$D$14*1000)),(IF(I232/((Data!$D$18+((1-Data!$D$18)*Data!$D$14*$G232))/((1-Data!$D$18)*Data!$D$14*1000))&gt;ChemData!U232, ChemData!U232, I232/((Data!$D$18+((1-Data!$D$18)*Data!$D$14*$G232))/((1-Data!$D$18)*Data!$D$14*1000))))))))),"---")</f>
        <v>---</v>
      </c>
      <c r="M232" s="376" t="str">
        <f>IF(Start!$C$15="x",(IF(L232="NA","NA",IF(OR(D232="NA",D232=""),"NA",(((Data!$D$22*Data!$D$18)*L232)+(Data!$D$19-Data!$D$22)*$D232)/((Data!$D$22*Data!$D$18)+Data!$D$19-Data!$D$22)))),"---")</f>
        <v>---</v>
      </c>
      <c r="N232" s="376" t="str">
        <f>IF(Start!$C$15="x",IF(K232 = "NA", "NA", (IF(M232 = "NA", "NA",(IF(OR(ChemData!U232="NA",ChemData!U232=""),(IF(K232&gt;M232,K232,M232)),(IF(K232&gt;M232,(IF(K232&gt;ChemData!U232, ChemData!U232, K232)),(IF(M232&gt;ChemData!U232,ChemData!U232,M232))))))))),"---")</f>
        <v>---</v>
      </c>
      <c r="O232" s="377" t="str">
        <f>IF(Start!$C$15="x",IF(N232 = "NA","NA", IF(OR(E232="NA",E232=""),"NA",(N232+(Data!$D$26*$E232))/(Data!$D$26+1))),"---")</f>
        <v>---</v>
      </c>
      <c r="P232" s="730">
        <f>IF(E232="",F232,IF($F232&lt;(1+(Data!$D$27/100))*$E232,(1+(Data!$D$27/100))*$E232,$F232))</f>
        <v>0.52</v>
      </c>
      <c r="Q232" s="343" t="str">
        <f>IF(Start!$C$15="x",(IF(C232="","",(IF(O232="NA","NA",IF(P232="NA","NA",IF(P232=0,"NA",(O232/P232))))))),"Not Req.")</f>
        <v>Not Req.</v>
      </c>
      <c r="R232" s="163"/>
      <c r="S232" s="18"/>
      <c r="T232" s="18"/>
      <c r="U232" s="163"/>
      <c r="V232" s="163"/>
      <c r="W232" s="18"/>
      <c r="X232" s="163"/>
      <c r="Y232" s="163"/>
      <c r="Z232" s="18"/>
    </row>
    <row r="233" spans="1:26" s="10" customFormat="1" x14ac:dyDescent="0.25">
      <c r="A233" s="405" t="s">
        <v>551</v>
      </c>
      <c r="B233" s="371" t="str">
        <f>IF(Start!$C$15="x",IF(C233="NA","NA",(IF(C233="","",(IF(OR(F233="NA",F233=""),"No Criteria",(IF(AND(O233="NA",F233&lt;&gt;"NA",C233&lt;&gt;"NA"),                  "Missing Data",(IF(O233&lt;F233,"No",(IF(D233&gt;F233,"Caution",(IF(O233&gt;=F233,"Needed","No"))))))))))))),"---")</f>
        <v>---</v>
      </c>
      <c r="C233" s="372" t="str">
        <f>IF(TRUE=ISBLANK(ChemData!B233),"",(ChemData!B233))</f>
        <v/>
      </c>
      <c r="D233" s="373" t="str">
        <f>IF(TRUE=ISBLANK(ChemData!C233),"",(ChemData!C233))</f>
        <v/>
      </c>
      <c r="E233" s="374" t="str">
        <f>IF(TRUE=ISBLANK(ChemData!D233),"",(ChemData!D233))</f>
        <v/>
      </c>
      <c r="F233" s="289">
        <f>IF(TRUE=ISBLANK(ChemData!H233),"",(ChemData!H233))</f>
        <v>0.52</v>
      </c>
      <c r="G233" s="290">
        <f>IF(TRUE=ISBLANK(ChemData!Q233),"",(ChemData!Q233))</f>
        <v>1851</v>
      </c>
      <c r="H233" s="291">
        <f>IF(TRUE=ISBLANK(ChemData!S233),"",(ChemData!S233))</f>
        <v>1</v>
      </c>
      <c r="I233" s="375" t="str">
        <f>IF(Start!$C$15="x",(IF(OR(C233="NA",C233=""), "NA", (IF($H233 = "NA", "NA", ((C233*$H233)))))),"---")</f>
        <v>---</v>
      </c>
      <c r="J233" s="376" t="str">
        <f>IF(Start!$C$15="x",(IF(I233 = "NA", "NA", IF(OR(D233="NA",D233=""),"NA",(I233 +((Data!$D$19-Data!$D$22)/(Data!$D$19*Data!$D$22)*$D233))))),"---")</f>
        <v>---</v>
      </c>
      <c r="K233" s="376" t="str">
        <f>IF(Start!$C$15="x",(IF(J233="NA","NA",IF(OR(G233="NA",G233=""),"NA",(J233*(1-Data!$D$23)*Data!$D$14*1000)/(Data!$D$23+((1-Data!$D$23)*Data!$D$14*$G233))))),"---")</f>
        <v>---</v>
      </c>
      <c r="L233" s="376" t="str">
        <f>IF(Start!$C$15="x",(IF(I233="NA","NA",IF($G233 = "NA", "NA",(IF(OR(ChemData!U233="NA",ChemData!U233=""),I233/((Data!$D$18+((1-Data!$D$18)*Data!$D$14*$G233))/((1-Data!$D$18)*Data!$D$14*1000)),(IF(I233/((Data!$D$18+((1-Data!$D$18)*Data!$D$14*$G233))/((1-Data!$D$18)*Data!$D$14*1000))&gt;ChemData!U233, ChemData!U233, I233/((Data!$D$18+((1-Data!$D$18)*Data!$D$14*$G233))/((1-Data!$D$18)*Data!$D$14*1000))))))))),"---")</f>
        <v>---</v>
      </c>
      <c r="M233" s="376" t="str">
        <f>IF(Start!$C$15="x",(IF(L233="NA","NA",IF(OR(D233="NA",D233=""),"NA",(((Data!$D$22*Data!$D$18)*L233)+(Data!$D$19-Data!$D$22)*$D233)/((Data!$D$22*Data!$D$18)+Data!$D$19-Data!$D$22)))),"---")</f>
        <v>---</v>
      </c>
      <c r="N233" s="376" t="str">
        <f>IF(Start!$C$15="x",IF(K233 = "NA", "NA", (IF(M233 = "NA", "NA",(IF(OR(ChemData!U233="NA",ChemData!U233=""),(IF(K233&gt;M233,K233,M233)),(IF(K233&gt;M233,(IF(K233&gt;ChemData!U233, ChemData!U233, K233)),(IF(M233&gt;ChemData!U233,ChemData!U233,M233))))))))),"---")</f>
        <v>---</v>
      </c>
      <c r="O233" s="377" t="str">
        <f>IF(Start!$C$15="x",IF(N233 = "NA","NA", IF(OR(E233="NA",E233=""),"NA",(N233+(Data!$D$26*$E233))/(Data!$D$26+1))),"---")</f>
        <v>---</v>
      </c>
      <c r="P233" s="730">
        <f>IF(E233="",F233,IF($F233&lt;(1+(Data!$D$27/100))*$E233,(1+(Data!$D$27/100))*$E233,$F233))</f>
        <v>0.52</v>
      </c>
      <c r="Q233" s="343" t="str">
        <f>IF(Start!$C$15="x",(IF(C233="","",(IF(O233="NA","NA",IF(P233="NA","NA",IF(P233=0,"NA",(O233/P233))))))),"Not Req.")</f>
        <v>Not Req.</v>
      </c>
      <c r="R233" s="163"/>
      <c r="S233" s="18"/>
      <c r="T233" s="18"/>
      <c r="U233" s="163"/>
      <c r="V233" s="163"/>
      <c r="W233" s="18"/>
      <c r="X233" s="163"/>
      <c r="Y233" s="163"/>
      <c r="Z233" s="18"/>
    </row>
    <row r="234" spans="1:26" s="10" customFormat="1" x14ac:dyDescent="0.25">
      <c r="A234" s="405" t="s">
        <v>552</v>
      </c>
      <c r="B234" s="371" t="str">
        <f>IF(Start!$C$15="x",IF(C234="NA","NA",(IF(C234="","",(IF(OR(F234="NA",F234=""),"No Criteria",(IF(AND(O234="NA",F234&lt;&gt;"NA",C234&lt;&gt;"NA"),                  "Missing Data",(IF(O234&lt;F234,"No",(IF(D234&gt;F234,"Caution",(IF(O234&gt;=F234,"Needed","No"))))))))))))),"---")</f>
        <v>---</v>
      </c>
      <c r="C234" s="372" t="str">
        <f>IF(TRUE=ISBLANK(ChemData!B234),"",(ChemData!B234))</f>
        <v/>
      </c>
      <c r="D234" s="373" t="str">
        <f>IF(TRUE=ISBLANK(ChemData!C234),"",(ChemData!C234))</f>
        <v/>
      </c>
      <c r="E234" s="374" t="str">
        <f>IF(TRUE=ISBLANK(ChemData!D234),"",(ChemData!D234))</f>
        <v/>
      </c>
      <c r="F234" s="289" t="str">
        <f>IF(TRUE=ISBLANK(ChemData!H234),"",(ChemData!H234))</f>
        <v>NA</v>
      </c>
      <c r="G234" s="290">
        <f>IF(TRUE=ISBLANK(ChemData!Q234),"",(ChemData!Q234))</f>
        <v>7.5406089421541254E-3</v>
      </c>
      <c r="H234" s="291">
        <f>IF(TRUE=ISBLANK(ChemData!S234),"",(ChemData!S234))</f>
        <v>1</v>
      </c>
      <c r="I234" s="375" t="str">
        <f>IF(Start!$C$15="x",(IF(OR(C234="NA",C234=""), "NA", (IF($H234 = "NA", "NA", ((C234*$H234)))))),"---")</f>
        <v>---</v>
      </c>
      <c r="J234" s="376" t="str">
        <f>IF(Start!$C$15="x",(IF(I234 = "NA", "NA", IF(OR(D234="NA",D234=""),"NA",(I234 +((Data!$D$19-Data!$D$22)/(Data!$D$19*Data!$D$22)*$D234))))),"---")</f>
        <v>---</v>
      </c>
      <c r="K234" s="376" t="str">
        <f>IF(Start!$C$15="x",(IF(J234="NA","NA",IF(OR(G234="NA",G234=""),"NA",(J234*(1-Data!$D$23)*Data!$D$14*1000)/(Data!$D$23+((1-Data!$D$23)*Data!$D$14*$G234))))),"---")</f>
        <v>---</v>
      </c>
      <c r="L234" s="376" t="str">
        <f>IF(Start!$C$15="x",(IF(I234="NA","NA",IF($G234 = "NA", "NA",(IF(OR(ChemData!U234="NA",ChemData!U234=""),I234/((Data!$D$18+((1-Data!$D$18)*Data!$D$14*$G234))/((1-Data!$D$18)*Data!$D$14*1000)),(IF(I234/((Data!$D$18+((1-Data!$D$18)*Data!$D$14*$G234))/((1-Data!$D$18)*Data!$D$14*1000))&gt;ChemData!U234, ChemData!U234, I234/((Data!$D$18+((1-Data!$D$18)*Data!$D$14*$G234))/((1-Data!$D$18)*Data!$D$14*1000))))))))),"---")</f>
        <v>---</v>
      </c>
      <c r="M234" s="376" t="str">
        <f>IF(Start!$C$15="x",(IF(L234="NA","NA",IF(OR(D234="NA",D234=""),"NA",(((Data!$D$22*Data!$D$18)*L234)+(Data!$D$19-Data!$D$22)*$D234)/((Data!$D$22*Data!$D$18)+Data!$D$19-Data!$D$22)))),"---")</f>
        <v>---</v>
      </c>
      <c r="N234" s="376" t="str">
        <f>IF(Start!$C$15="x",IF(K234 = "NA", "NA", (IF(M234 = "NA", "NA",(IF(OR(ChemData!U234="NA",ChemData!U234=""),(IF(K234&gt;M234,K234,M234)),(IF(K234&gt;M234,(IF(K234&gt;ChemData!U234, ChemData!U234, K234)),(IF(M234&gt;ChemData!U234,ChemData!U234,M234))))))))),"---")</f>
        <v>---</v>
      </c>
      <c r="O234" s="377" t="str">
        <f>IF(Start!$C$15="x",IF(N234 = "NA","NA", IF(OR(E234="NA",E234=""),"NA",(N234+(Data!$D$26*$E234))/(Data!$D$26+1))),"---")</f>
        <v>---</v>
      </c>
      <c r="P234" s="730" t="str">
        <f>IF(E234="",F234,IF($F234&lt;(1+(Data!$D$27/100))*$E234,(1+(Data!$D$27/100))*$E234,$F234))</f>
        <v>NA</v>
      </c>
      <c r="Q234" s="343" t="str">
        <f>IF(Start!$C$15="x",(IF(C234="","",(IF(O234="NA","NA",IF(P234="NA","NA",IF(P234=0,"NA",(O234/P234))))))),"Not Req.")</f>
        <v>Not Req.</v>
      </c>
      <c r="R234" s="163"/>
      <c r="S234" s="18"/>
      <c r="T234" s="18"/>
      <c r="U234" s="163"/>
      <c r="V234" s="163"/>
      <c r="W234" s="18"/>
      <c r="X234" s="163"/>
      <c r="Y234" s="163"/>
      <c r="Z234" s="18"/>
    </row>
    <row r="235" spans="1:26" s="10" customFormat="1" x14ac:dyDescent="0.25">
      <c r="A235" s="405" t="s">
        <v>553</v>
      </c>
      <c r="B235" s="371" t="str">
        <f>IF(Start!$C$15="x",IF(C235="NA","NA",(IF(C235="","",(IF(OR(F235="NA",F235=""),"No Criteria",(IF(AND(O235="NA",F235&lt;&gt;"NA",C235&lt;&gt;"NA"),                  "Missing Data",(IF(O235&lt;F235,"No",(IF(D235&gt;F235,"Caution",(IF(O235&gt;=F235,"Needed","No"))))))))))))),"---")</f>
        <v>---</v>
      </c>
      <c r="C235" s="372" t="str">
        <f>IF(TRUE=ISBLANK(ChemData!B235),"",(ChemData!B235))</f>
        <v/>
      </c>
      <c r="D235" s="373" t="str">
        <f>IF(TRUE=ISBLANK(ChemData!C235),"",(ChemData!C235))</f>
        <v/>
      </c>
      <c r="E235" s="374" t="str">
        <f>IF(TRUE=ISBLANK(ChemData!D235),"",(ChemData!D235))</f>
        <v/>
      </c>
      <c r="F235" s="289" t="str">
        <f>IF(TRUE=ISBLANK(ChemData!H235),"",(ChemData!H235))</f>
        <v>NA</v>
      </c>
      <c r="G235" s="290">
        <f>IF(TRUE=ISBLANK(ChemData!Q235),"",(ChemData!Q235))</f>
        <v>8.3294999999999994E-2</v>
      </c>
      <c r="H235" s="291">
        <f>IF(TRUE=ISBLANK(ChemData!S235),"",(ChemData!S235))</f>
        <v>1</v>
      </c>
      <c r="I235" s="375" t="str">
        <f>IF(Start!$C$15="x",(IF(OR(C235="NA",C235=""), "NA", (IF($H235 = "NA", "NA", ((C235*$H235)))))),"---")</f>
        <v>---</v>
      </c>
      <c r="J235" s="376" t="str">
        <f>IF(Start!$C$15="x",(IF(I235 = "NA", "NA", IF(OR(D235="NA",D235=""),"NA",(I235 +((Data!$D$19-Data!$D$22)/(Data!$D$19*Data!$D$22)*$D235))))),"---")</f>
        <v>---</v>
      </c>
      <c r="K235" s="376" t="str">
        <f>IF(Start!$C$15="x",(IF(J235="NA","NA",IF(OR(G235="NA",G235=""),"NA",(J235*(1-Data!$D$23)*Data!$D$14*1000)/(Data!$D$23+((1-Data!$D$23)*Data!$D$14*$G235))))),"---")</f>
        <v>---</v>
      </c>
      <c r="L235" s="376" t="str">
        <f>IF(Start!$C$15="x",(IF(I235="NA","NA",IF($G235 = "NA", "NA",(IF(OR(ChemData!U235="NA",ChemData!U235=""),I235/((Data!$D$18+((1-Data!$D$18)*Data!$D$14*$G235))/((1-Data!$D$18)*Data!$D$14*1000)),(IF(I235/((Data!$D$18+((1-Data!$D$18)*Data!$D$14*$G235))/((1-Data!$D$18)*Data!$D$14*1000))&gt;ChemData!U235, ChemData!U235, I235/((Data!$D$18+((1-Data!$D$18)*Data!$D$14*$G235))/((1-Data!$D$18)*Data!$D$14*1000))))))))),"---")</f>
        <v>---</v>
      </c>
      <c r="M235" s="376" t="str">
        <f>IF(Start!$C$15="x",(IF(L235="NA","NA",IF(OR(D235="NA",D235=""),"NA",(((Data!$D$22*Data!$D$18)*L235)+(Data!$D$19-Data!$D$22)*$D235)/((Data!$D$22*Data!$D$18)+Data!$D$19-Data!$D$22)))),"---")</f>
        <v>---</v>
      </c>
      <c r="N235" s="376" t="str">
        <f>IF(Start!$C$15="x",IF(K235 = "NA", "NA", (IF(M235 = "NA", "NA",(IF(OR(ChemData!U235="NA",ChemData!U235=""),(IF(K235&gt;M235,K235,M235)),(IF(K235&gt;M235,(IF(K235&gt;ChemData!U235, ChemData!U235, K235)),(IF(M235&gt;ChemData!U235,ChemData!U235,M235))))))))),"---")</f>
        <v>---</v>
      </c>
      <c r="O235" s="377" t="str">
        <f>IF(Start!$C$15="x",IF(N235 = "NA","NA", IF(OR(E235="NA",E235=""),"NA",(N235+(Data!$D$26*$E235))/(Data!$D$26+1))),"---")</f>
        <v>---</v>
      </c>
      <c r="P235" s="730" t="str">
        <f>IF(E235="",F235,IF($F235&lt;(1+(Data!$D$27/100))*$E235,(1+(Data!$D$27/100))*$E235,$F235))</f>
        <v>NA</v>
      </c>
      <c r="Q235" s="343" t="str">
        <f>IF(Start!$C$15="x",(IF(C235="","",(IF(O235="NA","NA",IF(P235="NA","NA",IF(P235=0,"NA",(O235/P235))))))),"Not Req.")</f>
        <v>Not Req.</v>
      </c>
      <c r="R235" s="163"/>
      <c r="S235" s="18"/>
      <c r="T235" s="18"/>
      <c r="U235" s="163"/>
      <c r="V235" s="163"/>
      <c r="W235" s="18"/>
      <c r="X235" s="163"/>
      <c r="Y235" s="163"/>
      <c r="Z235" s="18"/>
    </row>
    <row r="236" spans="1:26" s="10" customFormat="1" x14ac:dyDescent="0.25">
      <c r="A236" s="405" t="s">
        <v>554</v>
      </c>
      <c r="B236" s="371" t="str">
        <f>IF(Start!$C$15="x",IF(C236="NA","NA",(IF(C236="","",(IF(OR(F236="NA",F236=""),"No Criteria",(IF(AND(O236="NA",F236&lt;&gt;"NA",C236&lt;&gt;"NA"),                  "Missing Data",(IF(O236&lt;F236,"No",(IF(D236&gt;F236,"Caution",(IF(O236&gt;=F236,"Needed","No"))))))))))))),"---")</f>
        <v>---</v>
      </c>
      <c r="C236" s="372" t="str">
        <f>IF(TRUE=ISBLANK(ChemData!B236),"",(ChemData!B236))</f>
        <v/>
      </c>
      <c r="D236" s="373" t="str">
        <f>IF(TRUE=ISBLANK(ChemData!C236),"",(ChemData!C236))</f>
        <v/>
      </c>
      <c r="E236" s="374" t="str">
        <f>IF(TRUE=ISBLANK(ChemData!D236),"",(ChemData!D236))</f>
        <v/>
      </c>
      <c r="F236" s="289" t="str">
        <f>IF(TRUE=ISBLANK(ChemData!H236),"",(ChemData!H236))</f>
        <v>NA</v>
      </c>
      <c r="G236" s="290">
        <f>IF(TRUE=ISBLANK(ChemData!Q236),"",(ChemData!Q236))</f>
        <v>2225.3914684768338</v>
      </c>
      <c r="H236" s="291">
        <f>IF(TRUE=ISBLANK(ChemData!S236),"",(ChemData!S236))</f>
        <v>1</v>
      </c>
      <c r="I236" s="375" t="str">
        <f>IF(Start!$C$15="x",(IF(OR(C236="NA",C236=""), "NA", (IF($H236 = "NA", "NA", ((C236*$H236)))))),"---")</f>
        <v>---</v>
      </c>
      <c r="J236" s="376" t="str">
        <f>IF(Start!$C$15="x",(IF(I236 = "NA", "NA", IF(OR(D236="NA",D236=""),"NA",(I236 +((Data!$D$19-Data!$D$22)/(Data!$D$19*Data!$D$22)*$D236))))),"---")</f>
        <v>---</v>
      </c>
      <c r="K236" s="376" t="str">
        <f>IF(Start!$C$15="x",(IF(J236="NA","NA",IF(OR(G236="NA",G236=""),"NA",(J236*(1-Data!$D$23)*Data!$D$14*1000)/(Data!$D$23+((1-Data!$D$23)*Data!$D$14*$G236))))),"---")</f>
        <v>---</v>
      </c>
      <c r="L236" s="376" t="str">
        <f>IF(Start!$C$15="x",(IF(I236="NA","NA",IF($G236 = "NA", "NA",(IF(OR(ChemData!U236="NA",ChemData!U236=""),I236/((Data!$D$18+((1-Data!$D$18)*Data!$D$14*$G236))/((1-Data!$D$18)*Data!$D$14*1000)),(IF(I236/((Data!$D$18+((1-Data!$D$18)*Data!$D$14*$G236))/((1-Data!$D$18)*Data!$D$14*1000))&gt;ChemData!U236, ChemData!U236, I236/((Data!$D$18+((1-Data!$D$18)*Data!$D$14*$G236))/((1-Data!$D$18)*Data!$D$14*1000))))))))),"---")</f>
        <v>---</v>
      </c>
      <c r="M236" s="376" t="str">
        <f>IF(Start!$C$15="x",(IF(L236="NA","NA",IF(OR(D236="NA",D236=""),"NA",(((Data!$D$22*Data!$D$18)*L236)+(Data!$D$19-Data!$D$22)*$D236)/((Data!$D$22*Data!$D$18)+Data!$D$19-Data!$D$22)))),"---")</f>
        <v>---</v>
      </c>
      <c r="N236" s="376" t="str">
        <f>IF(Start!$C$15="x",IF(K236 = "NA", "NA", (IF(M236 = "NA", "NA",(IF(OR(ChemData!U236="NA",ChemData!U236=""),(IF(K236&gt;M236,K236,M236)),(IF(K236&gt;M236,(IF(K236&gt;ChemData!U236, ChemData!U236, K236)),(IF(M236&gt;ChemData!U236,ChemData!U236,M236))))))))),"---")</f>
        <v>---</v>
      </c>
      <c r="O236" s="377" t="str">
        <f>IF(Start!$C$15="x",IF(N236 = "NA","NA", IF(OR(E236="NA",E236=""),"NA",(N236+(Data!$D$26*$E236))/(Data!$D$26+1))),"---")</f>
        <v>---</v>
      </c>
      <c r="P236" s="730" t="str">
        <f>IF(E236="",F236,IF($F236&lt;(1+(Data!$D$27/100))*$E236,(1+(Data!$D$27/100))*$E236,$F236))</f>
        <v>NA</v>
      </c>
      <c r="Q236" s="343" t="str">
        <f>IF(Start!$C$15="x",(IF(C236="","",(IF(O236="NA","NA",IF(P236="NA","NA",IF(P236=0,"NA",(O236/P236))))))),"Not Req.")</f>
        <v>Not Req.</v>
      </c>
      <c r="R236" s="163"/>
      <c r="S236" s="18"/>
      <c r="T236" s="18"/>
      <c r="U236" s="163"/>
      <c r="V236" s="163"/>
      <c r="W236" s="18"/>
      <c r="X236" s="163"/>
      <c r="Y236" s="163"/>
      <c r="Z236" s="18"/>
    </row>
    <row r="237" spans="1:26" s="10" customFormat="1" x14ac:dyDescent="0.25">
      <c r="A237" s="405" t="s">
        <v>555</v>
      </c>
      <c r="B237" s="371" t="str">
        <f>IF(Start!$C$15="x",IF(C237="NA","NA",(IF(C237="","",(IF(OR(F237="NA",F237=""),"No Criteria",(IF(AND(O237="NA",F237&lt;&gt;"NA",C237&lt;&gt;"NA"),                  "Missing Data",(IF(O237&lt;F237,"No",(IF(D237&gt;F237,"Caution",(IF(O237&gt;=F237,"Needed","No"))))))))))))),"---")</f>
        <v>---</v>
      </c>
      <c r="C237" s="372" t="str">
        <f>IF(TRUE=ISBLANK(ChemData!B237),"",(ChemData!B237))</f>
        <v/>
      </c>
      <c r="D237" s="373" t="str">
        <f>IF(TRUE=ISBLANK(ChemData!C237),"",(ChemData!C237))</f>
        <v/>
      </c>
      <c r="E237" s="374" t="str">
        <f>IF(TRUE=ISBLANK(ChemData!D237),"",(ChemData!D237))</f>
        <v/>
      </c>
      <c r="F237" s="289" t="str">
        <f>IF(TRUE=ISBLANK(ChemData!H237),"",(ChemData!H237))</f>
        <v>NA</v>
      </c>
      <c r="G237" s="290">
        <f>IF(TRUE=ISBLANK(ChemData!Q237),"",(ChemData!Q237))</f>
        <v>147030.15624746474</v>
      </c>
      <c r="H237" s="291">
        <f>IF(TRUE=ISBLANK(ChemData!S237),"",(ChemData!S237))</f>
        <v>1</v>
      </c>
      <c r="I237" s="375" t="str">
        <f>IF(Start!$C$15="x",(IF(OR(C237="NA",C237=""), "NA", (IF($H237 = "NA", "NA", ((C237*$H237)))))),"---")</f>
        <v>---</v>
      </c>
      <c r="J237" s="376" t="str">
        <f>IF(Start!$C$15="x",(IF(I237 = "NA", "NA", IF(OR(D237="NA",D237=""),"NA",(I237 +((Data!$D$19-Data!$D$22)/(Data!$D$19*Data!$D$22)*$D237))))),"---")</f>
        <v>---</v>
      </c>
      <c r="K237" s="376" t="str">
        <f>IF(Start!$C$15="x",(IF(J237="NA","NA",IF(OR(G237="NA",G237=""),"NA",(J237*(1-Data!$D$23)*Data!$D$14*1000)/(Data!$D$23+((1-Data!$D$23)*Data!$D$14*$G237))))),"---")</f>
        <v>---</v>
      </c>
      <c r="L237" s="376" t="str">
        <f>IF(Start!$C$15="x",(IF(I237="NA","NA",IF($G237 = "NA", "NA",(IF(OR(ChemData!U237="NA",ChemData!U237=""),I237/((Data!$D$18+((1-Data!$D$18)*Data!$D$14*$G237))/((1-Data!$D$18)*Data!$D$14*1000)),(IF(I237/((Data!$D$18+((1-Data!$D$18)*Data!$D$14*$G237))/((1-Data!$D$18)*Data!$D$14*1000))&gt;ChemData!U237, ChemData!U237, I237/((Data!$D$18+((1-Data!$D$18)*Data!$D$14*$G237))/((1-Data!$D$18)*Data!$D$14*1000))))))))),"---")</f>
        <v>---</v>
      </c>
      <c r="M237" s="376" t="str">
        <f>IF(Start!$C$15="x",(IF(L237="NA","NA",IF(OR(D237="NA",D237=""),"NA",(((Data!$D$22*Data!$D$18)*L237)+(Data!$D$19-Data!$D$22)*$D237)/((Data!$D$22*Data!$D$18)+Data!$D$19-Data!$D$22)))),"---")</f>
        <v>---</v>
      </c>
      <c r="N237" s="376" t="str">
        <f>IF(Start!$C$15="x",IF(K237 = "NA", "NA", (IF(M237 = "NA", "NA",(IF(OR(ChemData!U237="NA",ChemData!U237=""),(IF(K237&gt;M237,K237,M237)),(IF(K237&gt;M237,(IF(K237&gt;ChemData!U237, ChemData!U237, K237)),(IF(M237&gt;ChemData!U237,ChemData!U237,M237))))))))),"---")</f>
        <v>---</v>
      </c>
      <c r="O237" s="377" t="str">
        <f>IF(Start!$C$15="x",IF(N237 = "NA","NA", IF(OR(E237="NA",E237=""),"NA",(N237+(Data!$D$26*$E237))/(Data!$D$26+1))),"---")</f>
        <v>---</v>
      </c>
      <c r="P237" s="730" t="str">
        <f>IF(E237="",F237,IF($F237&lt;(1+(Data!$D$27/100))*$E237,(1+(Data!$D$27/100))*$E237,$F237))</f>
        <v>NA</v>
      </c>
      <c r="Q237" s="343" t="str">
        <f>IF(Start!$C$15="x",(IF(C237="","",(IF(O237="NA","NA",IF(P237="NA","NA",IF(P237=0,"NA",(O237/P237))))))),"Not Req.")</f>
        <v>Not Req.</v>
      </c>
      <c r="R237" s="163"/>
      <c r="S237" s="18"/>
      <c r="T237" s="18"/>
      <c r="U237" s="163"/>
      <c r="V237" s="163"/>
      <c r="W237" s="18"/>
      <c r="X237" s="163"/>
      <c r="Y237" s="163"/>
      <c r="Z237" s="18"/>
    </row>
    <row r="238" spans="1:26" s="10" customFormat="1" x14ac:dyDescent="0.25">
      <c r="A238" s="487" t="s">
        <v>556</v>
      </c>
      <c r="B238" s="371" t="str">
        <f>IF(Start!$C$15="x",IF(C238="NA","NA",(IF(C238="","",(IF(OR(F238="NA",F238=""),"No Criteria",(IF(AND(O238="NA",F238&lt;&gt;"NA",C238&lt;&gt;"NA"),                  "Missing Data",(IF(O238&lt;F238,"No",(IF(D238&gt;F238,"Caution",(IF(O238&gt;=F238,"Needed","No"))))))))))))),"---")</f>
        <v>---</v>
      </c>
      <c r="C238" s="372" t="str">
        <f>IF(TRUE=ISBLANK(ChemData!B238),"",(ChemData!B238))</f>
        <v/>
      </c>
      <c r="D238" s="373" t="str">
        <f>IF(TRUE=ISBLANK(ChemData!C238),"",(ChemData!C238))</f>
        <v/>
      </c>
      <c r="E238" s="374" t="str">
        <f>IF(TRUE=ISBLANK(ChemData!D238),"",(ChemData!D238))</f>
        <v/>
      </c>
      <c r="F238" s="289" t="str">
        <f>IF(TRUE=ISBLANK(ChemData!H238),"",(ChemData!H238))</f>
        <v>NA</v>
      </c>
      <c r="G238" s="290">
        <f>IF(TRUE=ISBLANK(ChemData!Q238),"",(ChemData!Q238))</f>
        <v>22253.914684768366</v>
      </c>
      <c r="H238" s="291">
        <f>IF(TRUE=ISBLANK(ChemData!S238),"",(ChemData!S238))</f>
        <v>1</v>
      </c>
      <c r="I238" s="375" t="str">
        <f>IF(Start!$C$15="x",(IF(OR(C238="NA",C238=""), "NA", (IF($H238 = "NA", "NA", ((C238*$H238)))))),"---")</f>
        <v>---</v>
      </c>
      <c r="J238" s="376" t="str">
        <f>IF(Start!$C$15="x",(IF(I238 = "NA", "NA", IF(OR(D238="NA",D238=""),"NA",(I238 +((Data!$D$19-Data!$D$22)/(Data!$D$19*Data!$D$22)*$D238))))),"---")</f>
        <v>---</v>
      </c>
      <c r="K238" s="376" t="str">
        <f>IF(Start!$C$15="x",(IF(J238="NA","NA",IF(OR(G238="NA",G238=""),"NA",(J238*(1-Data!$D$23)*Data!$D$14*1000)/(Data!$D$23+((1-Data!$D$23)*Data!$D$14*$G238))))),"---")</f>
        <v>---</v>
      </c>
      <c r="L238" s="376" t="str">
        <f>IF(Start!$C$15="x",(IF(I238="NA","NA",IF($G238 = "NA", "NA",(IF(OR(ChemData!U238="NA",ChemData!U238=""),I238/((Data!$D$18+((1-Data!$D$18)*Data!$D$14*$G238))/((1-Data!$D$18)*Data!$D$14*1000)),(IF(I238/((Data!$D$18+((1-Data!$D$18)*Data!$D$14*$G238))/((1-Data!$D$18)*Data!$D$14*1000))&gt;ChemData!U238, ChemData!U238, I238/((Data!$D$18+((1-Data!$D$18)*Data!$D$14*$G238))/((1-Data!$D$18)*Data!$D$14*1000))))))))),"---")</f>
        <v>---</v>
      </c>
      <c r="M238" s="376" t="str">
        <f>IF(Start!$C$15="x",(IF(L238="NA","NA",IF(OR(D238="NA",D238=""),"NA",(((Data!$D$22*Data!$D$18)*L238)+(Data!$D$19-Data!$D$22)*$D238)/((Data!$D$22*Data!$D$18)+Data!$D$19-Data!$D$22)))),"---")</f>
        <v>---</v>
      </c>
      <c r="N238" s="376" t="str">
        <f>IF(Start!$C$15="x",IF(K238 = "NA", "NA", (IF(M238 = "NA", "NA",(IF(OR(ChemData!U238="NA",ChemData!U238=""),(IF(K238&gt;M238,K238,M238)),(IF(K238&gt;M238,(IF(K238&gt;ChemData!U238, ChemData!U238, K238)),(IF(M238&gt;ChemData!U238,ChemData!U238,M238))))))))),"---")</f>
        <v>---</v>
      </c>
      <c r="O238" s="377" t="str">
        <f>IF(Start!$C$15="x",IF(N238 = "NA","NA", IF(OR(E238="NA",E238=""),"NA",(N238+(Data!$D$26*$E238))/(Data!$D$26+1))),"---")</f>
        <v>---</v>
      </c>
      <c r="P238" s="730" t="str">
        <f>IF(E238="",F238,IF($F238&lt;(1+(Data!$D$27/100))*$E238,(1+(Data!$D$27/100))*$E238,$F238))</f>
        <v>NA</v>
      </c>
      <c r="Q238" s="343" t="str">
        <f>IF(Start!$C$15="x",(IF(C238="","",(IF(O238="NA","NA",IF(P238="NA","NA",IF(P238=0,"NA",(O238/P238))))))),"Not Req.")</f>
        <v>Not Req.</v>
      </c>
      <c r="R238" s="163"/>
      <c r="S238" s="18"/>
      <c r="T238" s="18"/>
      <c r="U238" s="163"/>
      <c r="V238" s="163"/>
      <c r="W238" s="18"/>
      <c r="X238" s="163"/>
      <c r="Y238" s="163"/>
      <c r="Z238" s="18"/>
    </row>
    <row r="239" spans="1:26" s="10" customFormat="1" x14ac:dyDescent="0.25">
      <c r="A239" s="487" t="s">
        <v>557</v>
      </c>
      <c r="B239" s="371" t="str">
        <f>IF(Start!$C$15="x",IF(C239="NA","NA",(IF(C239="","",(IF(OR(F239="NA",F239=""),"No Criteria",(IF(AND(O239="NA",F239&lt;&gt;"NA",C239&lt;&gt;"NA"),                  "Missing Data",(IF(O239&lt;F239,"No",(IF(D239&gt;F239,"Caution",(IF(O239&gt;=F239,"Needed","No"))))))))))))),"---")</f>
        <v>---</v>
      </c>
      <c r="C239" s="372" t="str">
        <f>IF(TRUE=ISBLANK(ChemData!B239),"",(ChemData!B239))</f>
        <v/>
      </c>
      <c r="D239" s="373" t="str">
        <f>IF(TRUE=ISBLANK(ChemData!C239),"",(ChemData!C239))</f>
        <v/>
      </c>
      <c r="E239" s="374" t="str">
        <f>IF(TRUE=ISBLANK(ChemData!D239),"",(ChemData!D239))</f>
        <v/>
      </c>
      <c r="F239" s="289" t="str">
        <f>IF(TRUE=ISBLANK(ChemData!H239),"",(ChemData!H239))</f>
        <v>NA</v>
      </c>
      <c r="G239" s="290">
        <f>IF(TRUE=ISBLANK(ChemData!Q239),"",(ChemData!Q239))</f>
        <v>41438.728274899957</v>
      </c>
      <c r="H239" s="291">
        <f>IF(TRUE=ISBLANK(ChemData!S239),"",(ChemData!S239))</f>
        <v>1</v>
      </c>
      <c r="I239" s="375" t="str">
        <f>IF(Start!$C$15="x",(IF(OR(C239="NA",C239=""), "NA", (IF($H239 = "NA", "NA", ((C239*$H239)))))),"---")</f>
        <v>---</v>
      </c>
      <c r="J239" s="376" t="str">
        <f>IF(Start!$C$15="x",(IF(I239 = "NA", "NA", IF(OR(D239="NA",D239=""),"NA",(I239 +((Data!$D$19-Data!$D$22)/(Data!$D$19*Data!$D$22)*$D239))))),"---")</f>
        <v>---</v>
      </c>
      <c r="K239" s="376" t="str">
        <f>IF(Start!$C$15="x",(IF(J239="NA","NA",IF(OR(G239="NA",G239=""),"NA",(J239*(1-Data!$D$23)*Data!$D$14*1000)/(Data!$D$23+((1-Data!$D$23)*Data!$D$14*$G239))))),"---")</f>
        <v>---</v>
      </c>
      <c r="L239" s="376" t="str">
        <f>IF(Start!$C$15="x",(IF(I239="NA","NA",IF($G239 = "NA", "NA",(IF(OR(ChemData!U239="NA",ChemData!U239=""),I239/((Data!$D$18+((1-Data!$D$18)*Data!$D$14*$G239))/((1-Data!$D$18)*Data!$D$14*1000)),(IF(I239/((Data!$D$18+((1-Data!$D$18)*Data!$D$14*$G239))/((1-Data!$D$18)*Data!$D$14*1000))&gt;ChemData!U239, ChemData!U239, I239/((Data!$D$18+((1-Data!$D$18)*Data!$D$14*$G239))/((1-Data!$D$18)*Data!$D$14*1000))))))))),"---")</f>
        <v>---</v>
      </c>
      <c r="M239" s="376" t="str">
        <f>IF(Start!$C$15="x",(IF(L239="NA","NA",IF(OR(D239="NA",D239=""),"NA",(((Data!$D$22*Data!$D$18)*L239)+(Data!$D$19-Data!$D$22)*$D239)/((Data!$D$22*Data!$D$18)+Data!$D$19-Data!$D$22)))),"---")</f>
        <v>---</v>
      </c>
      <c r="N239" s="376" t="str">
        <f>IF(Start!$C$15="x",IF(K239 = "NA", "NA", (IF(M239 = "NA", "NA",(IF(OR(ChemData!U239="NA",ChemData!U239=""),(IF(K239&gt;M239,K239,M239)),(IF(K239&gt;M239,(IF(K239&gt;ChemData!U239, ChemData!U239, K239)),(IF(M239&gt;ChemData!U239,ChemData!U239,M239))))))))),"---")</f>
        <v>---</v>
      </c>
      <c r="O239" s="377" t="str">
        <f>IF(Start!$C$15="x",IF(N239 = "NA","NA", IF(OR(E239="NA",E239=""),"NA",(N239+(Data!$D$26*$E239))/(Data!$D$26+1))),"---")</f>
        <v>---</v>
      </c>
      <c r="P239" s="730" t="str">
        <f>IF(E239="",F239,IF($F239&lt;(1+(Data!$D$27/100))*$E239,(1+(Data!$D$27/100))*$E239,$F239))</f>
        <v>NA</v>
      </c>
      <c r="Q239" s="343" t="str">
        <f>IF(Start!$C$15="x",(IF(C239="","",(IF(O239="NA","NA",IF(P239="NA","NA",IF(P239=0,"NA",(O239/P239))))))),"Not Req.")</f>
        <v>Not Req.</v>
      </c>
      <c r="R239" s="163"/>
      <c r="S239" s="18"/>
      <c r="T239" s="18"/>
      <c r="U239" s="163"/>
      <c r="V239" s="163"/>
      <c r="W239" s="18"/>
      <c r="X239" s="163"/>
      <c r="Y239" s="163"/>
      <c r="Z239" s="18"/>
    </row>
    <row r="240" spans="1:26" s="10" customFormat="1" x14ac:dyDescent="0.25">
      <c r="A240" s="487" t="s">
        <v>558</v>
      </c>
      <c r="B240" s="371" t="str">
        <f>IF(Start!$C$15="x",IF(C240="NA","NA",(IF(C240="","",(IF(OR(F240="NA",F240=""),"No Criteria",(IF(AND(O240="NA",F240&lt;&gt;"NA",C240&lt;&gt;"NA"),                  "Missing Data",(IF(O240&lt;F240,"No",(IF(D240&gt;F240,"Caution",(IF(O240&gt;=F240,"Needed","No"))))))))))))),"---")</f>
        <v>---</v>
      </c>
      <c r="C240" s="372" t="str">
        <f>IF(TRUE=ISBLANK(ChemData!B240),"",(ChemData!B240))</f>
        <v/>
      </c>
      <c r="D240" s="373" t="str">
        <f>IF(TRUE=ISBLANK(ChemData!C240),"",(ChemData!C240))</f>
        <v/>
      </c>
      <c r="E240" s="374" t="str">
        <f>IF(TRUE=ISBLANK(ChemData!D240),"",(ChemData!D240))</f>
        <v/>
      </c>
      <c r="F240" s="289" t="str">
        <f>IF(TRUE=ISBLANK(ChemData!H240),"",(ChemData!H240))</f>
        <v>NA</v>
      </c>
      <c r="G240" s="290">
        <f>IF(TRUE=ISBLANK(ChemData!Q240),"",(ChemData!Q240))</f>
        <v>12514.295874505597</v>
      </c>
      <c r="H240" s="291">
        <f>IF(TRUE=ISBLANK(ChemData!S240),"",(ChemData!S240))</f>
        <v>1</v>
      </c>
      <c r="I240" s="375" t="str">
        <f>IF(Start!$C$15="x",(IF(OR(C240="NA",C240=""), "NA", (IF($H240 = "NA", "NA", ((C240*$H240)))))),"---")</f>
        <v>---</v>
      </c>
      <c r="J240" s="376" t="str">
        <f>IF(Start!$C$15="x",(IF(I240 = "NA", "NA", IF(OR(D240="NA",D240=""),"NA",(I240 +((Data!$D$19-Data!$D$22)/(Data!$D$19*Data!$D$22)*$D240))))),"---")</f>
        <v>---</v>
      </c>
      <c r="K240" s="376" t="str">
        <f>IF(Start!$C$15="x",(IF(J240="NA","NA",IF(OR(G240="NA",G240=""),"NA",(J240*(1-Data!$D$23)*Data!$D$14*1000)/(Data!$D$23+((1-Data!$D$23)*Data!$D$14*$G240))))),"---")</f>
        <v>---</v>
      </c>
      <c r="L240" s="376" t="str">
        <f>IF(Start!$C$15="x",(IF(I240="NA","NA",IF($G240 = "NA", "NA",(IF(OR(ChemData!U240="NA",ChemData!U240=""),I240/((Data!$D$18+((1-Data!$D$18)*Data!$D$14*$G240))/((1-Data!$D$18)*Data!$D$14*1000)),(IF(I240/((Data!$D$18+((1-Data!$D$18)*Data!$D$14*$G240))/((1-Data!$D$18)*Data!$D$14*1000))&gt;ChemData!U240, ChemData!U240, I240/((Data!$D$18+((1-Data!$D$18)*Data!$D$14*$G240))/((1-Data!$D$18)*Data!$D$14*1000))))))))),"---")</f>
        <v>---</v>
      </c>
      <c r="M240" s="376" t="str">
        <f>IF(Start!$C$15="x",(IF(L240="NA","NA",IF(OR(D240="NA",D240=""),"NA",(((Data!$D$22*Data!$D$18)*L240)+(Data!$D$19-Data!$D$22)*$D240)/((Data!$D$22*Data!$D$18)+Data!$D$19-Data!$D$22)))),"---")</f>
        <v>---</v>
      </c>
      <c r="N240" s="376" t="str">
        <f>IF(Start!$C$15="x",IF(K240 = "NA", "NA", (IF(M240 = "NA", "NA",(IF(OR(ChemData!U240="NA",ChemData!U240=""),(IF(K240&gt;M240,K240,M240)),(IF(K240&gt;M240,(IF(K240&gt;ChemData!U240, ChemData!U240, K240)),(IF(M240&gt;ChemData!U240,ChemData!U240,M240))))))))),"---")</f>
        <v>---</v>
      </c>
      <c r="O240" s="377" t="str">
        <f>IF(Start!$C$15="x",IF(N240 = "NA","NA", IF(OR(E240="NA",E240=""),"NA",(N240+(Data!$D$26*$E240))/(Data!$D$26+1))),"---")</f>
        <v>---</v>
      </c>
      <c r="P240" s="730" t="str">
        <f>IF(E240="",F240,IF($F240&lt;(1+(Data!$D$27/100))*$E240,(1+(Data!$D$27/100))*$E240,$F240))</f>
        <v>NA</v>
      </c>
      <c r="Q240" s="343" t="str">
        <f>IF(Start!$C$15="x",(IF(C240="","",(IF(O240="NA","NA",IF(P240="NA","NA",IF(P240=0,"NA",(O240/P240))))))),"Not Req.")</f>
        <v>Not Req.</v>
      </c>
      <c r="R240" s="163"/>
      <c r="S240" s="18"/>
      <c r="T240" s="18"/>
      <c r="U240" s="163"/>
      <c r="V240" s="163"/>
      <c r="W240" s="18"/>
      <c r="X240" s="163"/>
      <c r="Y240" s="163"/>
      <c r="Z240" s="18"/>
    </row>
    <row r="241" spans="1:26" s="10" customFormat="1" x14ac:dyDescent="0.25">
      <c r="A241" s="487" t="s">
        <v>559</v>
      </c>
      <c r="B241" s="371" t="str">
        <f>IF(Start!$C$15="x",IF(C241="NA","NA",(IF(C241="","",(IF(OR(F241="NA",F241=""),"No Criteria",(IF(AND(O241="NA",F241&lt;&gt;"NA",C241&lt;&gt;"NA"),                  "Missing Data",(IF(O241&lt;F241,"No",(IF(D241&gt;F241,"Caution",(IF(O241&gt;=F241,"Needed","No"))))))))))))),"---")</f>
        <v>---</v>
      </c>
      <c r="C241" s="372" t="str">
        <f>IF(TRUE=ISBLANK(ChemData!B241),"",(ChemData!B241))</f>
        <v/>
      </c>
      <c r="D241" s="373" t="str">
        <f>IF(TRUE=ISBLANK(ChemData!C241),"",(ChemData!C241))</f>
        <v/>
      </c>
      <c r="E241" s="374" t="str">
        <f>IF(TRUE=ISBLANK(ChemData!D241),"",(ChemData!D241))</f>
        <v/>
      </c>
      <c r="F241" s="289" t="str">
        <f>IF(TRUE=ISBLANK(ChemData!H241),"",(ChemData!H241))</f>
        <v>NA</v>
      </c>
      <c r="G241" s="290">
        <f>IF(TRUE=ISBLANK(ChemData!Q241),"",(ChemData!Q241))</f>
        <v>23302.709372310041</v>
      </c>
      <c r="H241" s="291">
        <f>IF(TRUE=ISBLANK(ChemData!S241),"",(ChemData!S241))</f>
        <v>1</v>
      </c>
      <c r="I241" s="375" t="str">
        <f>IF(Start!$C$15="x",(IF(OR(C241="NA",C241=""), "NA", (IF($H241 = "NA", "NA", ((C241*$H241)))))),"---")</f>
        <v>---</v>
      </c>
      <c r="J241" s="376" t="str">
        <f>IF(Start!$C$15="x",(IF(I241 = "NA", "NA", IF(OR(D241="NA",D241=""),"NA",(I241 +((Data!$D$19-Data!$D$22)/(Data!$D$19*Data!$D$22)*$D241))))),"---")</f>
        <v>---</v>
      </c>
      <c r="K241" s="376" t="str">
        <f>IF(Start!$C$15="x",(IF(J241="NA","NA",IF(OR(G241="NA",G241=""),"NA",(J241*(1-Data!$D$23)*Data!$D$14*1000)/(Data!$D$23+((1-Data!$D$23)*Data!$D$14*$G241))))),"---")</f>
        <v>---</v>
      </c>
      <c r="L241" s="376" t="str">
        <f>IF(Start!$C$15="x",(IF(I241="NA","NA",IF($G241 = "NA", "NA",(IF(OR(ChemData!U241="NA",ChemData!U241=""),I241/((Data!$D$18+((1-Data!$D$18)*Data!$D$14*$G241))/((1-Data!$D$18)*Data!$D$14*1000)),(IF(I241/((Data!$D$18+((1-Data!$D$18)*Data!$D$14*$G241))/((1-Data!$D$18)*Data!$D$14*1000))&gt;ChemData!U241, ChemData!U241, I241/((Data!$D$18+((1-Data!$D$18)*Data!$D$14*$G241))/((1-Data!$D$18)*Data!$D$14*1000))))))))),"---")</f>
        <v>---</v>
      </c>
      <c r="M241" s="376" t="str">
        <f>IF(Start!$C$15="x",(IF(L241="NA","NA",IF(OR(D241="NA",D241=""),"NA",(((Data!$D$22*Data!$D$18)*L241)+(Data!$D$19-Data!$D$22)*$D241)/((Data!$D$22*Data!$D$18)+Data!$D$19-Data!$D$22)))),"---")</f>
        <v>---</v>
      </c>
      <c r="N241" s="376" t="str">
        <f>IF(Start!$C$15="x",IF(K241 = "NA", "NA", (IF(M241 = "NA", "NA",(IF(OR(ChemData!U241="NA",ChemData!U241=""),(IF(K241&gt;M241,K241,M241)),(IF(K241&gt;M241,(IF(K241&gt;ChemData!U241, ChemData!U241, K241)),(IF(M241&gt;ChemData!U241,ChemData!U241,M241))))))))),"---")</f>
        <v>---</v>
      </c>
      <c r="O241" s="377" t="str">
        <f>IF(Start!$C$15="x",IF(N241 = "NA","NA", IF(OR(E241="NA",E241=""),"NA",(N241+(Data!$D$26*$E241))/(Data!$D$26+1))),"---")</f>
        <v>---</v>
      </c>
      <c r="P241" s="730" t="str">
        <f>IF(E241="",F241,IF($F241&lt;(1+(Data!$D$27/100))*$E241,(1+(Data!$D$27/100))*$E241,$F241))</f>
        <v>NA</v>
      </c>
      <c r="Q241" s="343" t="str">
        <f>IF(Start!$C$15="x",(IF(C241="","",(IF(O241="NA","NA",IF(P241="NA","NA",IF(P241=0,"NA",(O241/P241))))))),"Not Req.")</f>
        <v>Not Req.</v>
      </c>
      <c r="R241" s="163"/>
      <c r="S241" s="18"/>
      <c r="T241" s="18"/>
      <c r="U241" s="163"/>
      <c r="V241" s="163"/>
      <c r="W241" s="18"/>
      <c r="X241" s="163"/>
      <c r="Y241" s="163"/>
      <c r="Z241" s="18"/>
    </row>
    <row r="242" spans="1:26" s="10" customFormat="1" x14ac:dyDescent="0.25">
      <c r="A242" s="487" t="s">
        <v>560</v>
      </c>
      <c r="B242" s="371" t="str">
        <f>IF(Start!$C$15="x",IF(C242="NA","NA",(IF(C242="","",(IF(OR(F242="NA",F242=""),"No Criteria",(IF(AND(O242="NA",F242&lt;&gt;"NA",C242&lt;&gt;"NA"),                  "Missing Data",(IF(O242&lt;F242,"No",(IF(D242&gt;F242,"Caution",(IF(O242&gt;=F242,"Needed","No"))))))))))))),"---")</f>
        <v>---</v>
      </c>
      <c r="C242" s="372" t="str">
        <f>IF(TRUE=ISBLANK(ChemData!B242),"",(ChemData!B242))</f>
        <v/>
      </c>
      <c r="D242" s="373" t="str">
        <f>IF(TRUE=ISBLANK(ChemData!C242),"",(ChemData!C242))</f>
        <v/>
      </c>
      <c r="E242" s="374" t="str">
        <f>IF(TRUE=ISBLANK(ChemData!D242),"",(ChemData!D242))</f>
        <v/>
      </c>
      <c r="F242" s="289" t="str">
        <f>IF(TRUE=ISBLANK(ChemData!H242),"",(ChemData!H242))</f>
        <v>NA</v>
      </c>
      <c r="G242" s="290">
        <f>IF(TRUE=ISBLANK(ChemData!Q242),"",(ChemData!Q242))</f>
        <v>23302.709372310041</v>
      </c>
      <c r="H242" s="291">
        <f>IF(TRUE=ISBLANK(ChemData!S242),"",(ChemData!S242))</f>
        <v>1</v>
      </c>
      <c r="I242" s="375" t="str">
        <f>IF(Start!$C$15="x",(IF(OR(C242="NA",C242=""), "NA", (IF($H242 = "NA", "NA", ((C242*$H242)))))),"---")</f>
        <v>---</v>
      </c>
      <c r="J242" s="376" t="str">
        <f>IF(Start!$C$15="x",(IF(I242 = "NA", "NA", IF(OR(D242="NA",D242=""),"NA",(I242 +((Data!$D$19-Data!$D$22)/(Data!$D$19*Data!$D$22)*$D242))))),"---")</f>
        <v>---</v>
      </c>
      <c r="K242" s="376" t="str">
        <f>IF(Start!$C$15="x",(IF(J242="NA","NA",IF(OR(G242="NA",G242=""),"NA",(J242*(1-Data!$D$23)*Data!$D$14*1000)/(Data!$D$23+((1-Data!$D$23)*Data!$D$14*$G242))))),"---")</f>
        <v>---</v>
      </c>
      <c r="L242" s="376" t="str">
        <f>IF(Start!$C$15="x",(IF(I242="NA","NA",IF($G242 = "NA", "NA",(IF(OR(ChemData!U242="NA",ChemData!U242=""),I242/((Data!$D$18+((1-Data!$D$18)*Data!$D$14*$G242))/((1-Data!$D$18)*Data!$D$14*1000)),(IF(I242/((Data!$D$18+((1-Data!$D$18)*Data!$D$14*$G242))/((1-Data!$D$18)*Data!$D$14*1000))&gt;ChemData!U242, ChemData!U242, I242/((Data!$D$18+((1-Data!$D$18)*Data!$D$14*$G242))/((1-Data!$D$18)*Data!$D$14*1000))))))))),"---")</f>
        <v>---</v>
      </c>
      <c r="M242" s="376" t="str">
        <f>IF(Start!$C$15="x",(IF(L242="NA","NA",IF(OR(D242="NA",D242=""),"NA",(((Data!$D$22*Data!$D$18)*L242)+(Data!$D$19-Data!$D$22)*$D242)/((Data!$D$22*Data!$D$18)+Data!$D$19-Data!$D$22)))),"---")</f>
        <v>---</v>
      </c>
      <c r="N242" s="376" t="str">
        <f>IF(Start!$C$15="x",IF(K242 = "NA", "NA", (IF(M242 = "NA", "NA",(IF(OR(ChemData!U242="NA",ChemData!U242=""),(IF(K242&gt;M242,K242,M242)),(IF(K242&gt;M242,(IF(K242&gt;ChemData!U242, ChemData!U242, K242)),(IF(M242&gt;ChemData!U242,ChemData!U242,M242))))))))),"---")</f>
        <v>---</v>
      </c>
      <c r="O242" s="377" t="str">
        <f>IF(Start!$C$15="x",IF(N242 = "NA","NA", IF(OR(E242="NA",E242=""),"NA",(N242+(Data!$D$26*$E242))/(Data!$D$26+1))),"---")</f>
        <v>---</v>
      </c>
      <c r="P242" s="730" t="str">
        <f>IF(E242="",F242,IF($F242&lt;(1+(Data!$D$27/100))*$E242,(1+(Data!$D$27/100))*$E242,$F242))</f>
        <v>NA</v>
      </c>
      <c r="Q242" s="343" t="str">
        <f>IF(Start!$C$15="x",(IF(C242="","",(IF(O242="NA","NA",IF(P242="NA","NA",IF(P242=0,"NA",(O242/P242))))))),"Not Req.")</f>
        <v>Not Req.</v>
      </c>
      <c r="R242" s="163"/>
      <c r="S242" s="18"/>
      <c r="T242" s="18"/>
      <c r="U242" s="163"/>
      <c r="V242" s="163"/>
      <c r="W242" s="18"/>
      <c r="X242" s="163"/>
      <c r="Y242" s="163"/>
      <c r="Z242" s="18"/>
    </row>
    <row r="243" spans="1:26" s="10" customFormat="1" x14ac:dyDescent="0.25">
      <c r="A243" s="487" t="s">
        <v>690</v>
      </c>
      <c r="B243" s="371" t="str">
        <f>IF(Start!$C$15="x",IF(C243="NA","NA",(IF(C243="","",(IF(OR(F243="NA",F243=""),"No Criteria",(IF(AND(O243="NA",F243&lt;&gt;"NA",C243&lt;&gt;"NA"),                  "Missing Data",(IF(O243&lt;F243,"No",(IF(D243&gt;F243,"Caution",(IF(O243&gt;=F243,"Needed","No"))))))))))))),"---")</f>
        <v>---</v>
      </c>
      <c r="C243" s="372" t="str">
        <f>IF(TRUE=ISBLANK(ChemData!B243),"",(ChemData!B243))</f>
        <v/>
      </c>
      <c r="D243" s="373" t="str">
        <f>IF(TRUE=ISBLANK(ChemData!C243),"",(ChemData!C243))</f>
        <v/>
      </c>
      <c r="E243" s="374" t="str">
        <f>IF(TRUE=ISBLANK(ChemData!D243),"",(ChemData!D243))</f>
        <v/>
      </c>
      <c r="F243" s="289" t="str">
        <f>IF(TRUE=ISBLANK(ChemData!H243),"",(ChemData!H243))</f>
        <v>NA</v>
      </c>
      <c r="G243" s="290">
        <f>IF(TRUE=ISBLANK(ChemData!Q243),"",(ChemData!Q243))</f>
        <v>47.570699999999995</v>
      </c>
      <c r="H243" s="291">
        <f>IF(TRUE=ISBLANK(ChemData!S243),"",(ChemData!S243))</f>
        <v>1</v>
      </c>
      <c r="I243" s="375" t="str">
        <f>IF(Start!$C$15="x",(IF(OR(C243="NA",C243=""), "NA", (IF($H243 = "NA", "NA", ((C243*$H243)))))),"---")</f>
        <v>---</v>
      </c>
      <c r="J243" s="376" t="str">
        <f>IF(Start!$C$15="x",(IF(I243 = "NA", "NA", IF(OR(D243="NA",D243=""),"NA",(I243 +((Data!$D$19-Data!$D$22)/(Data!$D$19*Data!$D$22)*$D243))))),"---")</f>
        <v>---</v>
      </c>
      <c r="K243" s="376" t="str">
        <f>IF(Start!$C$15="x",(IF(J243="NA","NA",IF(OR(G243="NA",G243=""),"NA",(J243*(1-Data!$D$23)*Data!$D$14*1000)/(Data!$D$23+((1-Data!$D$23)*Data!$D$14*$G243))))),"---")</f>
        <v>---</v>
      </c>
      <c r="L243" s="376" t="str">
        <f>IF(Start!$C$15="x",(IF(I243="NA","NA",IF($G243 = "NA", "NA",(IF(OR(ChemData!U243="NA",ChemData!U243=""),I243/((Data!$D$18+((1-Data!$D$18)*Data!$D$14*$G243))/((1-Data!$D$18)*Data!$D$14*1000)),(IF(I243/((Data!$D$18+((1-Data!$D$18)*Data!$D$14*$G243))/((1-Data!$D$18)*Data!$D$14*1000))&gt;ChemData!U243, ChemData!U243, I243/((Data!$D$18+((1-Data!$D$18)*Data!$D$14*$G243))/((1-Data!$D$18)*Data!$D$14*1000))))))))),"---")</f>
        <v>---</v>
      </c>
      <c r="M243" s="376" t="str">
        <f>IF(Start!$C$15="x",(IF(L243="NA","NA",IF(OR(D243="NA",D243=""),"NA",(((Data!$D$22*Data!$D$18)*L243)+(Data!$D$19-Data!$D$22)*$D243)/((Data!$D$22*Data!$D$18)+Data!$D$19-Data!$D$22)))),"---")</f>
        <v>---</v>
      </c>
      <c r="N243" s="376" t="str">
        <f>IF(Start!$C$15="x",IF(K243 = "NA", "NA", (IF(M243 = "NA", "NA",(IF(OR(ChemData!U243="NA",ChemData!U243=""),(IF(K243&gt;M243,K243,M243)),(IF(K243&gt;M243,(IF(K243&gt;ChemData!U243, ChemData!U243, K243)),(IF(M243&gt;ChemData!U243,ChemData!U243,M243))))))))),"---")</f>
        <v>---</v>
      </c>
      <c r="O243" s="377" t="str">
        <f>IF(Start!$C$15="x",IF(N243 = "NA","NA", IF(OR(E243="NA",E243=""),"NA",(N243+(Data!$D$26*$E243))/(Data!$D$26+1))),"---")</f>
        <v>---</v>
      </c>
      <c r="P243" s="730" t="str">
        <f>IF(E243="",F243,IF($F243&lt;(1+(Data!$D$27/100))*$E243,(1+(Data!$D$27/100))*$E243,$F243))</f>
        <v>NA</v>
      </c>
      <c r="Q243" s="343" t="str">
        <f>IF(Start!$C$15="x",(IF(C243="","",(IF(O243="NA","NA",IF(P243="NA","NA",IF(P243=0,"NA",(O243/P243))))))),"Not Req.")</f>
        <v>Not Req.</v>
      </c>
      <c r="R243" s="163"/>
      <c r="S243" s="18"/>
      <c r="T243" s="18"/>
      <c r="U243" s="163"/>
      <c r="V243" s="163"/>
      <c r="W243" s="18"/>
      <c r="X243" s="163"/>
      <c r="Y243" s="163"/>
      <c r="Z243" s="18"/>
    </row>
    <row r="244" spans="1:26" s="10" customFormat="1" ht="13.8" thickBot="1" x14ac:dyDescent="0.3">
      <c r="A244" s="405" t="s">
        <v>562</v>
      </c>
      <c r="B244" s="371" t="str">
        <f>IF(Start!$C$15="x",IF(C244="NA","NA",(IF(C244="","",(IF(OR(F244="NA",F244=""),"No Criteria",(IF(AND(O244="NA",F244&lt;&gt;"NA",C244&lt;&gt;"NA"),                  "Missing Data",(IF(O244&lt;F244,"No",(IF(D244&gt;F244,"Caution",(IF(O244&gt;=F244,"Needed","No"))))))))))))),"---")</f>
        <v>---</v>
      </c>
      <c r="C244" s="372" t="str">
        <f>IF(TRUE=ISBLANK(ChemData!B244),"",(ChemData!B244))</f>
        <v/>
      </c>
      <c r="D244" s="373" t="str">
        <f>IF(TRUE=ISBLANK(ChemData!C244),"",(ChemData!C244))</f>
        <v/>
      </c>
      <c r="E244" s="374" t="str">
        <f>IF(TRUE=ISBLANK(ChemData!D244),"",(ChemData!D244))</f>
        <v/>
      </c>
      <c r="F244" s="289">
        <f>IF(TRUE=ISBLANK(ChemData!H244),"",(ChemData!H244))</f>
        <v>0.73</v>
      </c>
      <c r="G244" s="290">
        <f>IF(TRUE=ISBLANK(ChemData!Q244),"",(ChemData!Q244))</f>
        <v>5853.3759489716749</v>
      </c>
      <c r="H244" s="291">
        <f>IF(TRUE=ISBLANK(ChemData!S244),"",(ChemData!S244))</f>
        <v>1</v>
      </c>
      <c r="I244" s="375" t="str">
        <f>IF(Start!$C$15="x",(IF(OR(C244="NA",C244=""), "NA", (IF($H244 = "NA", "NA", ((C244*$H244)))))),"---")</f>
        <v>---</v>
      </c>
      <c r="J244" s="376" t="str">
        <f>IF(Start!$C$15="x",(IF(I244 = "NA", "NA", IF(OR(D244="NA",D244=""),"NA",(I244 +((Data!$D$19-Data!$D$22)/(Data!$D$19*Data!$D$22)*$D244))))),"---")</f>
        <v>---</v>
      </c>
      <c r="K244" s="376" t="str">
        <f>IF(Start!$C$15="x",(IF(J244="NA","NA",IF(OR(G244="NA",G244=""),"NA",(J244*(1-Data!$D$23)*Data!$D$14*1000)/(Data!$D$23+((1-Data!$D$23)*Data!$D$14*$G244))))),"---")</f>
        <v>---</v>
      </c>
      <c r="L244" s="376" t="str">
        <f>IF(Start!$C$15="x",(IF(I244="NA","NA",IF($G244 = "NA", "NA",(IF(OR(ChemData!U244="NA",ChemData!U244=""),I244/((Data!$D$18+((1-Data!$D$18)*Data!$D$14*$G244))/((1-Data!$D$18)*Data!$D$14*1000)),(IF(I244/((Data!$D$18+((1-Data!$D$18)*Data!$D$14*$G244))/((1-Data!$D$18)*Data!$D$14*1000))&gt;ChemData!U244, ChemData!U244, I244/((Data!$D$18+((1-Data!$D$18)*Data!$D$14*$G244))/((1-Data!$D$18)*Data!$D$14*1000))))))))),"---")</f>
        <v>---</v>
      </c>
      <c r="M244" s="376" t="str">
        <f>IF(Start!$C$15="x",(IF(L244="NA","NA",IF(OR(D244="NA",D244=""),"NA",(((Data!$D$22*Data!$D$18)*L244)+(Data!$D$19-Data!$D$22)*$D244)/((Data!$D$22*Data!$D$18)+Data!$D$19-Data!$D$22)))),"---")</f>
        <v>---</v>
      </c>
      <c r="N244" s="376" t="str">
        <f>IF(Start!$C$15="x",IF(K244 = "NA", "NA", (IF(M244 = "NA", "NA",(IF(OR(ChemData!U244="NA",ChemData!U244=""),(IF(K244&gt;M244,K244,M244)),(IF(K244&gt;M244,(IF(K244&gt;ChemData!U244, ChemData!U244, K244)),(IF(M244&gt;ChemData!U244,ChemData!U244,M244))))))))),"---")</f>
        <v>---</v>
      </c>
      <c r="O244" s="377" t="str">
        <f>IF(Start!$C$15="x",IF(N244 = "NA","NA", IF(OR(E244="NA",E244=""),"NA",(N244+(Data!$D$26*$E244))/(Data!$D$26+1))),"---")</f>
        <v>---</v>
      </c>
      <c r="P244" s="731">
        <f>IF(E244="",F244,IF($F244&lt;(1+(Data!$D$27/100))*$E244,(1+(Data!$D$27/100))*$E244,$F244))</f>
        <v>0.73</v>
      </c>
      <c r="Q244" s="343" t="str">
        <f>IF(Start!$C$15="x",(IF(C244="","",(IF(O244="NA","NA",IF(P244="NA","NA",IF(P244=0,"NA",(O244/P244))))))),"Not Req.")</f>
        <v>Not Req.</v>
      </c>
      <c r="R244" s="163"/>
      <c r="S244" s="18"/>
      <c r="T244" s="18"/>
      <c r="U244" s="163"/>
      <c r="V244" s="163"/>
      <c r="W244" s="18"/>
      <c r="X244" s="163"/>
      <c r="Y244" s="163"/>
      <c r="Z244" s="18"/>
    </row>
    <row r="245" spans="1:26" s="10" customFormat="1" x14ac:dyDescent="0.25">
      <c r="A245" s="554" t="s">
        <v>563</v>
      </c>
      <c r="B245" s="514"/>
      <c r="C245" s="508"/>
      <c r="D245" s="509"/>
      <c r="E245" s="510"/>
      <c r="F245" s="511"/>
      <c r="G245" s="512"/>
      <c r="H245" s="513"/>
      <c r="I245" s="511"/>
      <c r="J245" s="512"/>
      <c r="K245" s="512"/>
      <c r="L245" s="512"/>
      <c r="M245" s="512"/>
      <c r="N245" s="512"/>
      <c r="O245" s="513"/>
      <c r="P245" s="672"/>
      <c r="Q245" s="507"/>
      <c r="R245" s="163"/>
      <c r="S245" s="18"/>
      <c r="T245" s="18"/>
      <c r="U245" s="163"/>
      <c r="V245" s="163"/>
      <c r="W245" s="18"/>
      <c r="X245" s="163"/>
      <c r="Y245" s="163"/>
      <c r="Z245" s="18"/>
    </row>
    <row r="246" spans="1:26" s="10" customFormat="1" x14ac:dyDescent="0.25">
      <c r="A246" s="405" t="s">
        <v>564</v>
      </c>
      <c r="B246" s="371" t="str">
        <f>IF(Start!$C$15="x",IF(C246="NA","NA",(IF(C246="","",(IF(OR(F246="NA",F246=""),"No Criteria",(IF(AND(O246="NA",F246&lt;&gt;"NA",C246&lt;&gt;"NA"),                  "Missing Data",(IF(O246&lt;F246,"No",(IF(D246&gt;F246,"Caution",(IF(O246&gt;=F246,"Needed","No"))))))))))))),"---")</f>
        <v>---</v>
      </c>
      <c r="C246" s="372" t="str">
        <f>IF(TRUE=ISBLANK(ChemData!B246),"",(ChemData!B246))</f>
        <v/>
      </c>
      <c r="D246" s="373" t="str">
        <f>IF(TRUE=ISBLANK(ChemData!C246),"",(ChemData!C246))</f>
        <v/>
      </c>
      <c r="E246" s="374" t="str">
        <f>IF(TRUE=ISBLANK(ChemData!D246),"",(ChemData!D246))</f>
        <v/>
      </c>
      <c r="F246" s="289" t="str">
        <f>IF(TRUE=ISBLANK(ChemData!H246),"",(ChemData!H246))</f>
        <v>NA</v>
      </c>
      <c r="G246" s="290">
        <f>IF(TRUE=ISBLANK(ChemData!Q246),"",(ChemData!Q246))</f>
        <v>1851000</v>
      </c>
      <c r="H246" s="291">
        <f>IF(TRUE=ISBLANK(ChemData!S246),"",(ChemData!S246))</f>
        <v>1</v>
      </c>
      <c r="I246" s="375" t="str">
        <f>IF(Start!$C$15="x",(IF(OR(C246="NA",C246=""), "NA", (IF($H246 = "NA", "NA", ((C246*$H246)))))),"---")</f>
        <v>---</v>
      </c>
      <c r="J246" s="376" t="str">
        <f>IF(Start!$C$15="x",(IF(I246 = "NA", "NA", IF(OR(D246="NA",D246=""),"NA",(I246 +((Data!$D$19-Data!$D$22)/(Data!$D$19*Data!$D$22)*$D246))))),"---")</f>
        <v>---</v>
      </c>
      <c r="K246" s="376" t="str">
        <f>IF(Start!$C$15="x",(IF(J246="NA","NA",IF(OR(G246="NA",G246=""),"NA",(J246*(1-Data!$D$23)*Data!$D$14*1000)/(Data!$D$23+((1-Data!$D$23)*Data!$D$14*$G246))))),"---")</f>
        <v>---</v>
      </c>
      <c r="L246" s="376" t="str">
        <f>IF(Start!$C$15="x",(IF(I246="NA","NA",IF($G246 = "NA", "NA",(IF(OR(ChemData!U246="NA",ChemData!U246=""),I246/((Data!$D$18+((1-Data!$D$18)*Data!$D$14*$G246))/((1-Data!$D$18)*Data!$D$14*1000)),(IF(I246/((Data!$D$18+((1-Data!$D$18)*Data!$D$14*$G246))/((1-Data!$D$18)*Data!$D$14*1000))&gt;ChemData!U246, ChemData!U246, I246/((Data!$D$18+((1-Data!$D$18)*Data!$D$14*$G246))/((1-Data!$D$18)*Data!$D$14*1000))))))))),"---")</f>
        <v>---</v>
      </c>
      <c r="M246" s="376" t="str">
        <f>IF(Start!$C$15="x",(IF(L246="NA","NA",IF(OR(D246="NA",D246=""),"NA",(((Data!$D$22*Data!$D$18)*L246)+(Data!$D$19-Data!$D$22)*$D246)/((Data!$D$22*Data!$D$18)+Data!$D$19-Data!$D$22)))),"---")</f>
        <v>---</v>
      </c>
      <c r="N246" s="376" t="str">
        <f>IF(Start!$C$15="x",IF(K246 = "NA", "NA", (IF(M246 = "NA", "NA",(IF(OR(ChemData!U246="NA",ChemData!U246=""),(IF(K246&gt;M246,K246,M246)),(IF(K246&gt;M246,(IF(K246&gt;ChemData!U246, ChemData!U246, K246)),(IF(M246&gt;ChemData!U246,ChemData!U246,M246))))))))),"---")</f>
        <v>---</v>
      </c>
      <c r="O246" s="377" t="str">
        <f>IF(Start!$C$15="x",IF(N246 = "NA","NA", IF(OR(E246="NA",E246=""),"NA",(N246+(Data!$D$26*$E246))/(Data!$D$26+1))),"---")</f>
        <v>---</v>
      </c>
      <c r="P246" s="730" t="str">
        <f>IF(E246="",F246,IF($F246&lt;(1+(Data!$D$27/100))*$E246,(1+(Data!$D$27/100))*$E246,$F246))</f>
        <v>NA</v>
      </c>
      <c r="Q246" s="343" t="str">
        <f>IF(Start!$C$15="x",(IF(C246="","",(IF(O246="NA","NA",IF(P246="NA","NA",IF(P246=0,"NA",(O246/P246))))))),"Not Req.")</f>
        <v>Not Req.</v>
      </c>
      <c r="R246" s="163"/>
      <c r="S246" s="18"/>
      <c r="T246" s="18"/>
      <c r="U246" s="163"/>
      <c r="V246" s="163"/>
      <c r="W246" s="18"/>
      <c r="X246" s="163"/>
      <c r="Y246" s="163"/>
      <c r="Z246" s="18"/>
    </row>
    <row r="247" spans="1:26" s="10" customFormat="1" x14ac:dyDescent="0.25">
      <c r="A247" s="405" t="s">
        <v>565</v>
      </c>
      <c r="B247" s="371" t="str">
        <f>IF(Start!$C$15="x",IF(C247="NA","NA",(IF(C247="","",(IF(OR(F247="NA",F247=""),"No Criteria",(IF(AND(O247="NA",F247&lt;&gt;"NA",C247&lt;&gt;"NA"),                  "Missing Data",(IF(O247&lt;F247,"No",(IF(D247&gt;F247,"Caution",(IF(O247&gt;=F247,"Needed","No"))))))))))))),"---")</f>
        <v>---</v>
      </c>
      <c r="C247" s="372" t="str">
        <f>IF(TRUE=ISBLANK(ChemData!B247),"",(ChemData!B247))</f>
        <v/>
      </c>
      <c r="D247" s="373" t="str">
        <f>IF(TRUE=ISBLANK(ChemData!C247),"",(ChemData!C247))</f>
        <v/>
      </c>
      <c r="E247" s="374" t="str">
        <f>IF(TRUE=ISBLANK(ChemData!D247),"",(ChemData!D247))</f>
        <v/>
      </c>
      <c r="F247" s="289" t="str">
        <f>IF(TRUE=ISBLANK(ChemData!H247),"",(ChemData!H247))</f>
        <v>NA</v>
      </c>
      <c r="G247" s="290">
        <f>IF(TRUE=ISBLANK(ChemData!Q247),"",(ChemData!Q247))</f>
        <v>1539594.740311048</v>
      </c>
      <c r="H247" s="291">
        <f>IF(TRUE=ISBLANK(ChemData!S247),"",(ChemData!S247))</f>
        <v>1</v>
      </c>
      <c r="I247" s="375" t="str">
        <f>IF(Start!$C$15="x",(IF(OR(C247="NA",C247=""), "NA", (IF($H247 = "NA", "NA", ((C247*$H247)))))),"---")</f>
        <v>---</v>
      </c>
      <c r="J247" s="376" t="str">
        <f>IF(Start!$C$15="x",(IF(I247 = "NA", "NA", IF(OR(D247="NA",D247=""),"NA",(I247 +((Data!$D$19-Data!$D$22)/(Data!$D$19*Data!$D$22)*$D247))))),"---")</f>
        <v>---</v>
      </c>
      <c r="K247" s="376" t="str">
        <f>IF(Start!$C$15="x",(IF(J247="NA","NA",IF(OR(G247="NA",G247=""),"NA",(J247*(1-Data!$D$23)*Data!$D$14*1000)/(Data!$D$23+((1-Data!$D$23)*Data!$D$14*$G247))))),"---")</f>
        <v>---</v>
      </c>
      <c r="L247" s="376" t="str">
        <f>IF(Start!$C$15="x",(IF(I247="NA","NA",IF($G247 = "NA", "NA",(IF(OR(ChemData!U247="NA",ChemData!U247=""),I247/((Data!$D$18+((1-Data!$D$18)*Data!$D$14*$G247))/((1-Data!$D$18)*Data!$D$14*1000)),(IF(I247/((Data!$D$18+((1-Data!$D$18)*Data!$D$14*$G247))/((1-Data!$D$18)*Data!$D$14*1000))&gt;ChemData!U247, ChemData!U247, I247/((Data!$D$18+((1-Data!$D$18)*Data!$D$14*$G247))/((1-Data!$D$18)*Data!$D$14*1000))))))))),"---")</f>
        <v>---</v>
      </c>
      <c r="M247" s="376" t="str">
        <f>IF(Start!$C$15="x",(IF(L247="NA","NA",IF(OR(D247="NA",D247=""),"NA",(((Data!$D$22*Data!$D$18)*L247)+(Data!$D$19-Data!$D$22)*$D247)/((Data!$D$22*Data!$D$18)+Data!$D$19-Data!$D$22)))),"---")</f>
        <v>---</v>
      </c>
      <c r="N247" s="376" t="str">
        <f>IF(Start!$C$15="x",IF(K247 = "NA", "NA", (IF(M247 = "NA", "NA",(IF(OR(ChemData!U247="NA",ChemData!U247=""),(IF(K247&gt;M247,K247,M247)),(IF(K247&gt;M247,(IF(K247&gt;ChemData!U247, ChemData!U247, K247)),(IF(M247&gt;ChemData!U247,ChemData!U247,M247))))))))),"---")</f>
        <v>---</v>
      </c>
      <c r="O247" s="377" t="str">
        <f>IF(Start!$C$15="x",IF(N247 = "NA","NA", IF(OR(E247="NA",E247=""),"NA",(N247+(Data!$D$26*$E247))/(Data!$D$26+1))),"---")</f>
        <v>---</v>
      </c>
      <c r="P247" s="730" t="str">
        <f>IF(E247="",F247,IF($F247&lt;(1+(Data!$D$27/100))*$E247,(1+(Data!$D$27/100))*$E247,$F247))</f>
        <v>NA</v>
      </c>
      <c r="Q247" s="343" t="str">
        <f>IF(Start!$C$15="x",(IF(C247="","",(IF(O247="NA","NA",IF(P247="NA","NA",IF(P247=0,"NA",(O247/P247))))))),"Not Req.")</f>
        <v>Not Req.</v>
      </c>
      <c r="R247" s="163"/>
      <c r="S247" s="18"/>
      <c r="T247" s="18"/>
      <c r="U247" s="163"/>
      <c r="V247" s="163"/>
      <c r="W247" s="18"/>
      <c r="X247" s="163"/>
      <c r="Y247" s="163"/>
      <c r="Z247" s="18"/>
    </row>
    <row r="248" spans="1:26" s="10" customFormat="1" x14ac:dyDescent="0.25">
      <c r="A248" s="405" t="s">
        <v>566</v>
      </c>
      <c r="B248" s="371" t="str">
        <f>IF(Start!$C$15="x",IF(C248="NA","NA",(IF(C248="","",(IF(OR(F248="NA",F248=""),"No Criteria",(IF(AND(O248="NA",F248&lt;&gt;"NA",C248&lt;&gt;"NA"),                  "Missing Data",(IF(O248&lt;F248,"No",(IF(D248&gt;F248,"Caution",(IF(O248&gt;=F248,"Needed","No"))))))))))))),"---")</f>
        <v>---</v>
      </c>
      <c r="C248" s="372" t="str">
        <f>IF(TRUE=ISBLANK(ChemData!B248),"",(ChemData!B248))</f>
        <v/>
      </c>
      <c r="D248" s="373" t="str">
        <f>IF(TRUE=ISBLANK(ChemData!C248),"",(ChemData!C248))</f>
        <v/>
      </c>
      <c r="E248" s="374" t="str">
        <f>IF(TRUE=ISBLANK(ChemData!D248),"",(ChemData!D248))</f>
        <v/>
      </c>
      <c r="F248" s="289" t="str">
        <f>IF(TRUE=ISBLANK(ChemData!H248),"",(ChemData!H248))</f>
        <v>NA</v>
      </c>
      <c r="G248" s="290" t="str">
        <f>IF(TRUE=ISBLANK(ChemData!Q248),"",(ChemData!Q248))</f>
        <v>NA</v>
      </c>
      <c r="H248" s="291">
        <f>IF(TRUE=ISBLANK(ChemData!S248),"",(ChemData!S248))</f>
        <v>1</v>
      </c>
      <c r="I248" s="375" t="str">
        <f>IF(Start!$C$15="x",(IF(OR(C248="NA",C248=""), "NA", (IF($H248 = "NA", "NA", ((C248*$H248)))))),"---")</f>
        <v>---</v>
      </c>
      <c r="J248" s="376" t="str">
        <f>IF(Start!$C$15="x",(IF(I248 = "NA", "NA", IF(OR(D248="NA",D248=""),"NA",(I248 +((Data!$D$19-Data!$D$22)/(Data!$D$19*Data!$D$22)*$D248))))),"---")</f>
        <v>---</v>
      </c>
      <c r="K248" s="376" t="str">
        <f>IF(Start!$C$15="x",(IF(J248="NA","NA",IF(OR(G248="NA",G248=""),"NA",(J248*(1-Data!$D$23)*Data!$D$14*1000)/(Data!$D$23+((1-Data!$D$23)*Data!$D$14*$G248))))),"---")</f>
        <v>---</v>
      </c>
      <c r="L248" s="376" t="str">
        <f>IF(Start!$C$15="x",(IF(I248="NA","NA",IF($G248 = "NA", "NA",(IF(OR(ChemData!U248="NA",ChemData!U248=""),I248/((Data!$D$18+((1-Data!$D$18)*Data!$D$14*$G248))/((1-Data!$D$18)*Data!$D$14*1000)),(IF(I248/((Data!$D$18+((1-Data!$D$18)*Data!$D$14*$G248))/((1-Data!$D$18)*Data!$D$14*1000))&gt;ChemData!U248, ChemData!U248, I248/((Data!$D$18+((1-Data!$D$18)*Data!$D$14*$G248))/((1-Data!$D$18)*Data!$D$14*1000))))))))),"---")</f>
        <v>---</v>
      </c>
      <c r="M248" s="376" t="str">
        <f>IF(Start!$C$15="x",(IF(L248="NA","NA",IF(OR(D248="NA",D248=""),"NA",(((Data!$D$22*Data!$D$18)*L248)+(Data!$D$19-Data!$D$22)*$D248)/((Data!$D$22*Data!$D$18)+Data!$D$19-Data!$D$22)))),"---")</f>
        <v>---</v>
      </c>
      <c r="N248" s="376" t="str">
        <f>IF(Start!$C$15="x",IF(K248 = "NA", "NA", (IF(M248 = "NA", "NA",(IF(OR(ChemData!U248="NA",ChemData!U248=""),(IF(K248&gt;M248,K248,M248)),(IF(K248&gt;M248,(IF(K248&gt;ChemData!U248, ChemData!U248, K248)),(IF(M248&gt;ChemData!U248,ChemData!U248,M248))))))))),"---")</f>
        <v>---</v>
      </c>
      <c r="O248" s="377" t="str">
        <f>IF(Start!$C$15="x",IF(N248 = "NA","NA", IF(OR(E248="NA",E248=""),"NA",(N248+(Data!$D$26*$E248))/(Data!$D$26+1))),"---")</f>
        <v>---</v>
      </c>
      <c r="P248" s="730" t="str">
        <f>IF(E248="",F248,IF($F248&lt;(1+(Data!$D$27/100))*$E248,(1+(Data!$D$27/100))*$E248,$F248))</f>
        <v>NA</v>
      </c>
      <c r="Q248" s="343" t="str">
        <f>IF(Start!$C$15="x",(IF(C248="","",(IF(O248="NA","NA",IF(P248="NA","NA",IF(P248=0,"NA",(O248/P248))))))),"Not Req.")</f>
        <v>Not Req.</v>
      </c>
      <c r="R248" s="163"/>
      <c r="S248" s="18"/>
      <c r="T248" s="18"/>
      <c r="U248" s="163"/>
      <c r="V248" s="163"/>
      <c r="W248" s="18"/>
      <c r="X248" s="175"/>
      <c r="Y248" s="163"/>
      <c r="Z248" s="18"/>
    </row>
    <row r="249" spans="1:26" s="10" customFormat="1" x14ac:dyDescent="0.25">
      <c r="A249" s="405" t="s">
        <v>567</v>
      </c>
      <c r="B249" s="371" t="str">
        <f>IF(Start!$C$15="x",IF(C249="NA","NA",(IF(C249="","",(IF(OR(F249="NA",F249=""),"No Criteria",(IF(AND(O249="NA",F249&lt;&gt;"NA",C249&lt;&gt;"NA"),                  "Missing Data",(IF(O249&lt;F249,"No",(IF(D249&gt;F249,"Caution",(IF(O249&gt;=F249,"Needed","No"))))))))))))),"---")</f>
        <v>---</v>
      </c>
      <c r="C249" s="372" t="str">
        <f>IF(TRUE=ISBLANK(ChemData!B249),"",(ChemData!B249))</f>
        <v/>
      </c>
      <c r="D249" s="373" t="str">
        <f>IF(TRUE=ISBLANK(ChemData!C249),"",(ChemData!C249))</f>
        <v/>
      </c>
      <c r="E249" s="374" t="str">
        <f>IF(TRUE=ISBLANK(ChemData!D249),"",(ChemData!D249))</f>
        <v/>
      </c>
      <c r="F249" s="289" t="str">
        <f>IF(TRUE=ISBLANK(ChemData!H249),"",(ChemData!H249))</f>
        <v>NA</v>
      </c>
      <c r="G249" s="290">
        <f>IF(TRUE=ISBLANK(ChemData!Q249),"",(ChemData!Q249))</f>
        <v>1167902.0446328379</v>
      </c>
      <c r="H249" s="291">
        <f>IF(TRUE=ISBLANK(ChemData!S249),"",(ChemData!S249))</f>
        <v>1</v>
      </c>
      <c r="I249" s="375" t="str">
        <f>IF(Start!$C$15="x",(IF(OR(C249="NA",C249=""), "NA", (IF($H249 = "NA", "NA", ((C249*$H249)))))),"---")</f>
        <v>---</v>
      </c>
      <c r="J249" s="376" t="str">
        <f>IF(Start!$C$15="x",(IF(I249 = "NA", "NA", IF(OR(D249="NA",D249=""),"NA",(I249 +((Data!$D$19-Data!$D$22)/(Data!$D$19*Data!$D$22)*$D249))))),"---")</f>
        <v>---</v>
      </c>
      <c r="K249" s="376" t="str">
        <f>IF(Start!$C$15="x",(IF(J249="NA","NA",IF(OR(G249="NA",G249=""),"NA",(J249*(1-Data!$D$23)*Data!$D$14*1000)/(Data!$D$23+((1-Data!$D$23)*Data!$D$14*$G249))))),"---")</f>
        <v>---</v>
      </c>
      <c r="L249" s="376" t="str">
        <f>IF(Start!$C$15="x",(IF(I249="NA","NA",IF($G249 = "NA", "NA",(IF(OR(ChemData!U249="NA",ChemData!U249=""),I249/((Data!$D$18+((1-Data!$D$18)*Data!$D$14*$G249))/((1-Data!$D$18)*Data!$D$14*1000)),(IF(I249/((Data!$D$18+((1-Data!$D$18)*Data!$D$14*$G249))/((1-Data!$D$18)*Data!$D$14*1000))&gt;ChemData!U249, ChemData!U249, I249/((Data!$D$18+((1-Data!$D$18)*Data!$D$14*$G249))/((1-Data!$D$18)*Data!$D$14*1000))))))))),"---")</f>
        <v>---</v>
      </c>
      <c r="M249" s="376" t="str">
        <f>IF(Start!$C$15="x",(IF(L249="NA","NA",IF(OR(D249="NA",D249=""),"NA",(((Data!$D$22*Data!$D$18)*L249)+(Data!$D$19-Data!$D$22)*$D249)/((Data!$D$22*Data!$D$18)+Data!$D$19-Data!$D$22)))),"---")</f>
        <v>---</v>
      </c>
      <c r="N249" s="376" t="str">
        <f>IF(Start!$C$15="x",IF(K249 = "NA", "NA", (IF(M249 = "NA", "NA",(IF(OR(ChemData!U249="NA",ChemData!U249=""),(IF(K249&gt;M249,K249,M249)),(IF(K249&gt;M249,(IF(K249&gt;ChemData!U249, ChemData!U249, K249)),(IF(M249&gt;ChemData!U249,ChemData!U249,M249))))))))),"---")</f>
        <v>---</v>
      </c>
      <c r="O249" s="377" t="str">
        <f>IF(Start!$C$15="x",IF(N249 = "NA","NA", IF(OR(E249="NA",E249=""),"NA",(N249+(Data!$D$26*$E249))/(Data!$D$26+1))),"---")</f>
        <v>---</v>
      </c>
      <c r="P249" s="730" t="str">
        <f>IF(E249="",F249,IF($F249&lt;(1+(Data!$D$27/100))*$E249,(1+(Data!$D$27/100))*$E249,$F249))</f>
        <v>NA</v>
      </c>
      <c r="Q249" s="343" t="str">
        <f>IF(Start!$C$15="x",(IF(C249="","",(IF(O249="NA","NA",IF(P249="NA","NA",IF(P249=0,"NA",(O249/P249))))))),"Not Req.")</f>
        <v>Not Req.</v>
      </c>
      <c r="R249" s="163"/>
      <c r="S249" s="18"/>
      <c r="T249" s="18"/>
      <c r="U249" s="163"/>
      <c r="V249" s="163"/>
      <c r="W249" s="18"/>
      <c r="X249" s="163"/>
      <c r="Y249" s="163"/>
      <c r="Z249" s="18"/>
    </row>
    <row r="250" spans="1:26" s="10" customFormat="1" x14ac:dyDescent="0.25">
      <c r="A250" s="405" t="s">
        <v>568</v>
      </c>
      <c r="B250" s="371" t="str">
        <f>IF(Start!$C$15="x",IF(C250="NA","NA",(IF(C250="","",(IF(OR(F250="NA",F250=""),"No Criteria",(IF(AND(O250="NA",F250&lt;&gt;"NA",C250&lt;&gt;"NA"),                  "Missing Data",(IF(O250&lt;F250,"No",(IF(D250&gt;F250,"Caution",(IF(O250&gt;=F250,"Needed","No"))))))))))))),"---")</f>
        <v>---</v>
      </c>
      <c r="C250" s="372" t="str">
        <f>IF(TRUE=ISBLANK(ChemData!B250),"",(ChemData!B250))</f>
        <v/>
      </c>
      <c r="D250" s="373" t="str">
        <f>IF(TRUE=ISBLANK(ChemData!C250),"",(ChemData!C250))</f>
        <v/>
      </c>
      <c r="E250" s="374" t="str">
        <f>IF(TRUE=ISBLANK(ChemData!D250),"",(ChemData!D250))</f>
        <v/>
      </c>
      <c r="F250" s="289" t="str">
        <f>IF(TRUE=ISBLANK(ChemData!H250),"",(ChemData!H250))</f>
        <v>NA</v>
      </c>
      <c r="G250" s="290">
        <f>IF(TRUE=ISBLANK(ChemData!Q250),"",(ChemData!Q250))</f>
        <v>62720053.301366471</v>
      </c>
      <c r="H250" s="291">
        <f>IF(TRUE=ISBLANK(ChemData!S250),"",(ChemData!S250))</f>
        <v>1</v>
      </c>
      <c r="I250" s="375" t="str">
        <f>IF(Start!$C$15="x",(IF(OR(C250="NA",C250=""), "NA", (IF($H250 = "NA", "NA", ((C250*$H250)))))),"---")</f>
        <v>---</v>
      </c>
      <c r="J250" s="376" t="str">
        <f>IF(Start!$C$15="x",(IF(I250 = "NA", "NA", IF(OR(D250="NA",D250=""),"NA",(I250 +((Data!$D$19-Data!$D$22)/(Data!$D$19*Data!$D$22)*$D250))))),"---")</f>
        <v>---</v>
      </c>
      <c r="K250" s="376" t="str">
        <f>IF(Start!$C$15="x",(IF(J250="NA","NA",IF(OR(G250="NA",G250=""),"NA",(J250*(1-Data!$D$23)*Data!$D$14*1000)/(Data!$D$23+((1-Data!$D$23)*Data!$D$14*$G250))))),"---")</f>
        <v>---</v>
      </c>
      <c r="L250" s="376" t="str">
        <f>IF(Start!$C$15="x",(IF(I250="NA","NA",IF($G250 = "NA", "NA",(IF(OR(ChemData!U250="NA",ChemData!U250=""),I250/((Data!$D$18+((1-Data!$D$18)*Data!$D$14*$G250))/((1-Data!$D$18)*Data!$D$14*1000)),(IF(I250/((Data!$D$18+((1-Data!$D$18)*Data!$D$14*$G250))/((1-Data!$D$18)*Data!$D$14*1000))&gt;ChemData!U250, ChemData!U250, I250/((Data!$D$18+((1-Data!$D$18)*Data!$D$14*$G250))/((1-Data!$D$18)*Data!$D$14*1000))))))))),"---")</f>
        <v>---</v>
      </c>
      <c r="M250" s="376" t="str">
        <f>IF(Start!$C$15="x",(IF(L250="NA","NA",IF(OR(D250="NA",D250=""),"NA",(((Data!$D$22*Data!$D$18)*L250)+(Data!$D$19-Data!$D$22)*$D250)/((Data!$D$22*Data!$D$18)+Data!$D$19-Data!$D$22)))),"---")</f>
        <v>---</v>
      </c>
      <c r="N250" s="376" t="str">
        <f>IF(Start!$C$15="x",IF(K250 = "NA", "NA", (IF(M250 = "NA", "NA",(IF(OR(ChemData!U250="NA",ChemData!U250=""),(IF(K250&gt;M250,K250,M250)),(IF(K250&gt;M250,(IF(K250&gt;ChemData!U250, ChemData!U250, K250)),(IF(M250&gt;ChemData!U250,ChemData!U250,M250))))))))),"---")</f>
        <v>---</v>
      </c>
      <c r="O250" s="377" t="str">
        <f>IF(Start!$C$15="x",IF(N250 = "NA","NA", IF(OR(E250="NA",E250=""),"NA",(N250+(Data!$D$26*$E250))/(Data!$D$26+1))),"---")</f>
        <v>---</v>
      </c>
      <c r="P250" s="730" t="str">
        <f>IF(E250="",F250,IF($F250&lt;(1+(Data!$D$27/100))*$E250,(1+(Data!$D$27/100))*$E250,$F250))</f>
        <v>NA</v>
      </c>
      <c r="Q250" s="343" t="str">
        <f>IF(Start!$C$15="x",(IF(C250="","",(IF(O250="NA","NA",IF(P250="NA","NA",IF(P250=0,"NA",(O250/P250))))))),"Not Req.")</f>
        <v>Not Req.</v>
      </c>
      <c r="R250" s="163"/>
      <c r="S250" s="18"/>
      <c r="T250" s="18"/>
      <c r="U250" s="163"/>
      <c r="V250" s="163"/>
      <c r="W250" s="18"/>
      <c r="X250" s="163"/>
      <c r="Y250" s="163"/>
      <c r="Z250" s="18"/>
    </row>
    <row r="251" spans="1:26" s="10" customFormat="1" x14ac:dyDescent="0.25">
      <c r="A251" s="405" t="s">
        <v>569</v>
      </c>
      <c r="B251" s="371" t="str">
        <f>IF(Start!$C$15="x",IF(C251="NA","NA",(IF(C251="","",(IF(OR(F251="NA",F251=""),"No Criteria",(IF(AND(O251="NA",F251&lt;&gt;"NA",C251&lt;&gt;"NA"),                  "Missing Data",(IF(O251&lt;F251,"No",(IF(D251&gt;F251,"Caution",(IF(O251&gt;=F251,"Needed","No"))))))))))))),"---")</f>
        <v>---</v>
      </c>
      <c r="C251" s="372" t="str">
        <f>IF(TRUE=ISBLANK(ChemData!B251),"",(ChemData!B251))</f>
        <v/>
      </c>
      <c r="D251" s="373" t="str">
        <f>IF(TRUE=ISBLANK(ChemData!C251),"",(ChemData!C251))</f>
        <v/>
      </c>
      <c r="E251" s="374" t="str">
        <f>IF(TRUE=ISBLANK(ChemData!D251),"",(ChemData!D251))</f>
        <v/>
      </c>
      <c r="F251" s="289" t="str">
        <f>IF(TRUE=ISBLANK(ChemData!H251),"",(ChemData!H251))</f>
        <v>NA</v>
      </c>
      <c r="G251" s="290">
        <f>IF(TRUE=ISBLANK(ChemData!Q251),"",(ChemData!Q251))</f>
        <v>1167902.0446328379</v>
      </c>
      <c r="H251" s="291">
        <f>IF(TRUE=ISBLANK(ChemData!S251),"",(ChemData!S251))</f>
        <v>1</v>
      </c>
      <c r="I251" s="375" t="str">
        <f>IF(Start!$C$15="x",(IF(OR(C251="NA",C251=""), "NA", (IF($H251 = "NA", "NA", ((C251*$H251)))))),"---")</f>
        <v>---</v>
      </c>
      <c r="J251" s="376" t="str">
        <f>IF(Start!$C$15="x",(IF(I251 = "NA", "NA", IF(OR(D251="NA",D251=""),"NA",(I251 +((Data!$D$19-Data!$D$22)/(Data!$D$19*Data!$D$22)*$D251))))),"---")</f>
        <v>---</v>
      </c>
      <c r="K251" s="376" t="str">
        <f>IF(Start!$C$15="x",(IF(J251="NA","NA",IF(OR(G251="NA",G251=""),"NA",(J251*(1-Data!$D$23)*Data!$D$14*1000)/(Data!$D$23+((1-Data!$D$23)*Data!$D$14*$G251))))),"---")</f>
        <v>---</v>
      </c>
      <c r="L251" s="376" t="str">
        <f>IF(Start!$C$15="x",(IF(I251="NA","NA",IF($G251 = "NA", "NA",(IF(OR(ChemData!U251="NA",ChemData!U251=""),I251/((Data!$D$18+((1-Data!$D$18)*Data!$D$14*$G251))/((1-Data!$D$18)*Data!$D$14*1000)),(IF(I251/((Data!$D$18+((1-Data!$D$18)*Data!$D$14*$G251))/((1-Data!$D$18)*Data!$D$14*1000))&gt;ChemData!U251, ChemData!U251, I251/((Data!$D$18+((1-Data!$D$18)*Data!$D$14*$G251))/((1-Data!$D$18)*Data!$D$14*1000))))))))),"---")</f>
        <v>---</v>
      </c>
      <c r="M251" s="376" t="str">
        <f>IF(Start!$C$15="x",(IF(L251="NA","NA",IF(OR(D251="NA",D251=""),"NA",(((Data!$D$22*Data!$D$18)*L251)+(Data!$D$19-Data!$D$22)*$D251)/((Data!$D$22*Data!$D$18)+Data!$D$19-Data!$D$22)))),"---")</f>
        <v>---</v>
      </c>
      <c r="N251" s="376" t="str">
        <f>IF(Start!$C$15="x",IF(K251 = "NA", "NA", (IF(M251 = "NA", "NA",(IF(OR(ChemData!U251="NA",ChemData!U251=""),(IF(K251&gt;M251,K251,M251)),(IF(K251&gt;M251,(IF(K251&gt;ChemData!U251, ChemData!U251, K251)),(IF(M251&gt;ChemData!U251,ChemData!U251,M251))))))))),"---")</f>
        <v>---</v>
      </c>
      <c r="O251" s="377" t="str">
        <f>IF(Start!$C$15="x",IF(N251 = "NA","NA", IF(OR(E251="NA",E251=""),"NA",(N251+(Data!$D$26*$E251))/(Data!$D$26+1))),"---")</f>
        <v>---</v>
      </c>
      <c r="P251" s="730" t="str">
        <f>IF(E251="",F251,IF($F251&lt;(1+(Data!$D$27/100))*$E251,(1+(Data!$D$27/100))*$E251,$F251))</f>
        <v>NA</v>
      </c>
      <c r="Q251" s="343" t="str">
        <f>IF(Start!$C$15="x",(IF(C251="","",(IF(O251="NA","NA",IF(P251="NA","NA",IF(P251=0,"NA",(O251/P251))))))),"Not Req.")</f>
        <v>Not Req.</v>
      </c>
      <c r="R251" s="163"/>
      <c r="S251" s="18"/>
      <c r="T251" s="18"/>
      <c r="U251" s="163"/>
      <c r="V251" s="163"/>
      <c r="W251" s="18"/>
      <c r="X251" s="163"/>
      <c r="Y251" s="163"/>
      <c r="Z251" s="18"/>
    </row>
    <row r="252" spans="1:26" s="10" customFormat="1" x14ac:dyDescent="0.25">
      <c r="A252" s="405" t="s">
        <v>570</v>
      </c>
      <c r="B252" s="371" t="str">
        <f>IF(Start!$C$15="x",IF(C252="NA","NA",(IF(C252="","",(IF(OR(F252="NA",F252=""),"No Criteria",(IF(AND(O252="NA",F252&lt;&gt;"NA",C252&lt;&gt;"NA"),                  "Missing Data",(IF(O252&lt;F252,"No",(IF(D252&gt;F252,"Caution",(IF(O252&gt;=F252,"Needed","No"))))))))))))),"---")</f>
        <v>---</v>
      </c>
      <c r="C252" s="372" t="str">
        <f>IF(TRUE=ISBLANK(ChemData!B252),"",(ChemData!B252))</f>
        <v/>
      </c>
      <c r="D252" s="373" t="str">
        <f>IF(TRUE=ISBLANK(ChemData!C252),"",(ChemData!C252))</f>
        <v/>
      </c>
      <c r="E252" s="374" t="str">
        <f>IF(TRUE=ISBLANK(ChemData!D252),"",(ChemData!D252))</f>
        <v/>
      </c>
      <c r="F252" s="289" t="str">
        <f>IF(TRUE=ISBLANK(ChemData!H252),"",(ChemData!H252))</f>
        <v>NA</v>
      </c>
      <c r="G252" s="290">
        <f>IF(TRUE=ISBLANK(ChemData!Q252),"",(ChemData!Q252))</f>
        <v>1539594.740311048</v>
      </c>
      <c r="H252" s="291">
        <f>IF(TRUE=ISBLANK(ChemData!S252),"",(ChemData!S252))</f>
        <v>1</v>
      </c>
      <c r="I252" s="375" t="str">
        <f>IF(Start!$C$15="x",(IF(OR(C252="NA",C252=""), "NA", (IF($H252 = "NA", "NA", ((C252*$H252)))))),"---")</f>
        <v>---</v>
      </c>
      <c r="J252" s="376" t="str">
        <f>IF(Start!$C$15="x",(IF(I252 = "NA", "NA", IF(OR(D252="NA",D252=""),"NA",(I252 +((Data!$D$19-Data!$D$22)/(Data!$D$19*Data!$D$22)*$D252))))),"---")</f>
        <v>---</v>
      </c>
      <c r="K252" s="376" t="str">
        <f>IF(Start!$C$15="x",(IF(J252="NA","NA",IF(OR(G252="NA",G252=""),"NA",(J252*(1-Data!$D$23)*Data!$D$14*1000)/(Data!$D$23+((1-Data!$D$23)*Data!$D$14*$G252))))),"---")</f>
        <v>---</v>
      </c>
      <c r="L252" s="376" t="str">
        <f>IF(Start!$C$15="x",(IF(I252="NA","NA",IF($G252 = "NA", "NA",(IF(OR(ChemData!U252="NA",ChemData!U252=""),I252/((Data!$D$18+((1-Data!$D$18)*Data!$D$14*$G252))/((1-Data!$D$18)*Data!$D$14*1000)),(IF(I252/((Data!$D$18+((1-Data!$D$18)*Data!$D$14*$G252))/((1-Data!$D$18)*Data!$D$14*1000))&gt;ChemData!U252, ChemData!U252, I252/((Data!$D$18+((1-Data!$D$18)*Data!$D$14*$G252))/((1-Data!$D$18)*Data!$D$14*1000))))))))),"---")</f>
        <v>---</v>
      </c>
      <c r="M252" s="376" t="str">
        <f>IF(Start!$C$15="x",(IF(L252="NA","NA",IF(OR(D252="NA",D252=""),"NA",(((Data!$D$22*Data!$D$18)*L252)+(Data!$D$19-Data!$D$22)*$D252)/((Data!$D$22*Data!$D$18)+Data!$D$19-Data!$D$22)))),"---")</f>
        <v>---</v>
      </c>
      <c r="N252" s="376" t="str">
        <f>IF(Start!$C$15="x",IF(K252 = "NA", "NA", (IF(M252 = "NA", "NA",(IF(OR(ChemData!U252="NA",ChemData!U252=""),(IF(K252&gt;M252,K252,M252)),(IF(K252&gt;M252,(IF(K252&gt;ChemData!U252, ChemData!U252, K252)),(IF(M252&gt;ChemData!U252,ChemData!U252,M252))))))))),"---")</f>
        <v>---</v>
      </c>
      <c r="O252" s="377" t="str">
        <f>IF(Start!$C$15="x",IF(N252 = "NA","NA", IF(OR(E252="NA",E252=""),"NA",(N252+(Data!$D$26*$E252))/(Data!$D$26+1))),"---")</f>
        <v>---</v>
      </c>
      <c r="P252" s="730" t="str">
        <f>IF(E252="",F252,IF($F252&lt;(1+(Data!$D$27/100))*$E252,(1+(Data!$D$27/100))*$E252,$F252))</f>
        <v>NA</v>
      </c>
      <c r="Q252" s="343" t="str">
        <f>IF(Start!$C$15="x",(IF(C252="","",(IF(O252="NA","NA",IF(P252="NA","NA",IF(P252=0,"NA",(O252/P252))))))),"Not Req.")</f>
        <v>Not Req.</v>
      </c>
      <c r="R252" s="163"/>
      <c r="S252" s="18"/>
      <c r="T252" s="18"/>
      <c r="U252" s="163"/>
      <c r="V252" s="163"/>
      <c r="W252" s="18"/>
      <c r="X252" s="163"/>
      <c r="Y252" s="163"/>
      <c r="Z252" s="18"/>
    </row>
    <row r="253" spans="1:26" s="10" customFormat="1" x14ac:dyDescent="0.25">
      <c r="A253" s="405" t="s">
        <v>571</v>
      </c>
      <c r="B253" s="371" t="str">
        <f>IF(Start!$C$15="x",IF(C253="NA","NA",(IF(C253="","",(IF(OR(F253="NA",F253=""),"No Criteria",(IF(AND(O253="NA",F253&lt;&gt;"NA",C253&lt;&gt;"NA"),                  "Missing Data",(IF(O253&lt;F253,"No",(IF(D253&gt;F253,"Caution",(IF(O253&gt;=F253,"Needed","No"))))))))))))),"---")</f>
        <v>---</v>
      </c>
      <c r="C253" s="372" t="str">
        <f>IF(TRUE=ISBLANK(ChemData!B253),"",(ChemData!B253))</f>
        <v/>
      </c>
      <c r="D253" s="373" t="str">
        <f>IF(TRUE=ISBLANK(ChemData!C253),"",(ChemData!C253))</f>
        <v/>
      </c>
      <c r="E253" s="374" t="str">
        <f>IF(TRUE=ISBLANK(ChemData!D253),"",(ChemData!D253))</f>
        <v/>
      </c>
      <c r="F253" s="289" t="str">
        <f>IF(TRUE=ISBLANK(ChemData!H253),"",(ChemData!H253))</f>
        <v>NA</v>
      </c>
      <c r="G253" s="290" t="str">
        <f>IF(TRUE=ISBLANK(ChemData!Q253),"",(ChemData!Q253))</f>
        <v>NA</v>
      </c>
      <c r="H253" s="291">
        <f>IF(TRUE=ISBLANK(ChemData!S253),"",(ChemData!S253))</f>
        <v>1</v>
      </c>
      <c r="I253" s="375" t="str">
        <f>IF(Start!$C$15="x",(IF(OR(C253="NA",C253=""), "NA", (IF($H253 = "NA", "NA", ((C253*$H253)))))),"---")</f>
        <v>---</v>
      </c>
      <c r="J253" s="376" t="str">
        <f>IF(Start!$C$15="x",(IF(I253 = "NA", "NA", IF(OR(D253="NA",D253=""),"NA",(I253 +((Data!$D$19-Data!$D$22)/(Data!$D$19*Data!$D$22)*$D253))))),"---")</f>
        <v>---</v>
      </c>
      <c r="K253" s="376" t="str">
        <f>IF(Start!$C$15="x",(IF(J253="NA","NA",IF(OR(G253="NA",G253=""),"NA",(J253*(1-Data!$D$23)*Data!$D$14*1000)/(Data!$D$23+((1-Data!$D$23)*Data!$D$14*$G253))))),"---")</f>
        <v>---</v>
      </c>
      <c r="L253" s="376" t="str">
        <f>IF(Start!$C$15="x",(IF(I253="NA","NA",IF($G253 = "NA", "NA",(IF(OR(ChemData!U253="NA",ChemData!U253=""),I253/((Data!$D$18+((1-Data!$D$18)*Data!$D$14*$G253))/((1-Data!$D$18)*Data!$D$14*1000)),(IF(I253/((Data!$D$18+((1-Data!$D$18)*Data!$D$14*$G253))/((1-Data!$D$18)*Data!$D$14*1000))&gt;ChemData!U253, ChemData!U253, I253/((Data!$D$18+((1-Data!$D$18)*Data!$D$14*$G253))/((1-Data!$D$18)*Data!$D$14*1000))))))))),"---")</f>
        <v>---</v>
      </c>
      <c r="M253" s="376" t="str">
        <f>IF(Start!$C$15="x",(IF(L253="NA","NA",IF(OR(D253="NA",D253=""),"NA",(((Data!$D$22*Data!$D$18)*L253)+(Data!$D$19-Data!$D$22)*$D253)/((Data!$D$22*Data!$D$18)+Data!$D$19-Data!$D$22)))),"---")</f>
        <v>---</v>
      </c>
      <c r="N253" s="376" t="str">
        <f>IF(Start!$C$15="x",IF(K253 = "NA", "NA", (IF(M253 = "NA", "NA",(IF(OR(ChemData!U253="NA",ChemData!U253=""),(IF(K253&gt;M253,K253,M253)),(IF(K253&gt;M253,(IF(K253&gt;ChemData!U253, ChemData!U253, K253)),(IF(M253&gt;ChemData!U253,ChemData!U253,M253))))))))),"---")</f>
        <v>---</v>
      </c>
      <c r="O253" s="377" t="str">
        <f>IF(Start!$C$15="x",IF(N253 = "NA","NA", IF(OR(E253="NA",E253=""),"NA",(N253+(Data!$D$26*$E253))/(Data!$D$26+1))),"---")</f>
        <v>---</v>
      </c>
      <c r="P253" s="730" t="str">
        <f>IF(E253="",F253,IF($F253&lt;(1+(Data!$D$27/100))*$E253,(1+(Data!$D$27/100))*$E253,$F253))</f>
        <v>NA</v>
      </c>
      <c r="Q253" s="343" t="str">
        <f>IF(Start!$C$15="x",(IF(C253="","",(IF(O253="NA","NA",IF(P253="NA","NA",IF(P253=0,"NA",(O253/P253))))))),"Not Req.")</f>
        <v>Not Req.</v>
      </c>
      <c r="R253" s="163"/>
      <c r="S253" s="18"/>
      <c r="T253" s="18"/>
      <c r="U253" s="163"/>
      <c r="V253" s="163"/>
      <c r="W253" s="18"/>
      <c r="X253" s="163"/>
      <c r="Y253" s="163"/>
      <c r="Z253" s="18"/>
    </row>
    <row r="254" spans="1:26" s="10" customFormat="1" x14ac:dyDescent="0.25">
      <c r="A254" s="405" t="s">
        <v>572</v>
      </c>
      <c r="B254" s="371" t="str">
        <f>IF(Start!$C$15="x",IF(C254="NA","NA",(IF(C254="","",(IF(OR(F254="NA",F254=""),"No Criteria",(IF(AND(O254="NA",F254&lt;&gt;"NA",C254&lt;&gt;"NA"),                  "Missing Data",(IF(O254&lt;F254,"No",(IF(D254&gt;F254,"Caution",(IF(O254&gt;=F254,"Needed","No"))))))))))))),"---")</f>
        <v>---</v>
      </c>
      <c r="C254" s="372" t="str">
        <f>IF(TRUE=ISBLANK(ChemData!B254),"",(ChemData!B254))</f>
        <v/>
      </c>
      <c r="D254" s="373" t="str">
        <f>IF(TRUE=ISBLANK(ChemData!C254),"",(ChemData!C254))</f>
        <v/>
      </c>
      <c r="E254" s="374" t="str">
        <f>IF(TRUE=ISBLANK(ChemData!D254),"",(ChemData!D254))</f>
        <v/>
      </c>
      <c r="F254" s="289" t="str">
        <f>IF(TRUE=ISBLANK(ChemData!H254),"",(ChemData!H254))</f>
        <v>NA</v>
      </c>
      <c r="G254" s="290">
        <f>IF(TRUE=ISBLANK(ChemData!Q254),"",(ChemData!Q254))</f>
        <v>703730.57258936029</v>
      </c>
      <c r="H254" s="291">
        <f>IF(TRUE=ISBLANK(ChemData!S254),"",(ChemData!S254))</f>
        <v>1</v>
      </c>
      <c r="I254" s="375" t="str">
        <f>IF(Start!$C$15="x",(IF(OR(C254="NA",C254=""), "NA", (IF($H254 = "NA", "NA", ((C254*$H254)))))),"---")</f>
        <v>---</v>
      </c>
      <c r="J254" s="376" t="str">
        <f>IF(Start!$C$15="x",(IF(I254 = "NA", "NA", IF(OR(D254="NA",D254=""),"NA",(I254 +((Data!$D$19-Data!$D$22)/(Data!$D$19*Data!$D$22)*$D254))))),"---")</f>
        <v>---</v>
      </c>
      <c r="K254" s="376" t="str">
        <f>IF(Start!$C$15="x",(IF(J254="NA","NA",IF(OR(G254="NA",G254=""),"NA",(J254*(1-Data!$D$23)*Data!$D$14*1000)/(Data!$D$23+((1-Data!$D$23)*Data!$D$14*$G254))))),"---")</f>
        <v>---</v>
      </c>
      <c r="L254" s="376" t="str">
        <f>IF(Start!$C$15="x",(IF(I254="NA","NA",IF($G254 = "NA", "NA",(IF(OR(ChemData!U254="NA",ChemData!U254=""),I254/((Data!$D$18+((1-Data!$D$18)*Data!$D$14*$G254))/((1-Data!$D$18)*Data!$D$14*1000)),(IF(I254/((Data!$D$18+((1-Data!$D$18)*Data!$D$14*$G254))/((1-Data!$D$18)*Data!$D$14*1000))&gt;ChemData!U254, ChemData!U254, I254/((Data!$D$18+((1-Data!$D$18)*Data!$D$14*$G254))/((1-Data!$D$18)*Data!$D$14*1000))))))))),"---")</f>
        <v>---</v>
      </c>
      <c r="M254" s="376" t="str">
        <f>IF(Start!$C$15="x",(IF(L254="NA","NA",IF(OR(D254="NA",D254=""),"NA",(((Data!$D$22*Data!$D$18)*L254)+(Data!$D$19-Data!$D$22)*$D254)/((Data!$D$22*Data!$D$18)+Data!$D$19-Data!$D$22)))),"---")</f>
        <v>---</v>
      </c>
      <c r="N254" s="376" t="str">
        <f>IF(Start!$C$15="x",IF(K254 = "NA", "NA", (IF(M254 = "NA", "NA",(IF(OR(ChemData!U254="NA",ChemData!U254=""),(IF(K254&gt;M254,K254,M254)),(IF(K254&gt;M254,(IF(K254&gt;ChemData!U254, ChemData!U254, K254)),(IF(M254&gt;ChemData!U254,ChemData!U254,M254))))))))),"---")</f>
        <v>---</v>
      </c>
      <c r="O254" s="377" t="str">
        <f>IF(Start!$C$15="x",IF(N254 = "NA","NA", IF(OR(E254="NA",E254=""),"NA",(N254+(Data!$D$26*$E254))/(Data!$D$26+1))),"---")</f>
        <v>---</v>
      </c>
      <c r="P254" s="730" t="str">
        <f>IF(E254="",F254,IF($F254&lt;(1+(Data!$D$27/100))*$E254,(1+(Data!$D$27/100))*$E254,$F254))</f>
        <v>NA</v>
      </c>
      <c r="Q254" s="343" t="str">
        <f>IF(Start!$C$15="x",(IF(C254="","",(IF(O254="NA","NA",IF(P254="NA","NA",IF(P254=0,"NA",(O254/P254))))))),"Not Req.")</f>
        <v>Not Req.</v>
      </c>
      <c r="R254" s="163"/>
      <c r="S254" s="18"/>
      <c r="T254" s="18"/>
      <c r="U254" s="163"/>
      <c r="V254" s="163"/>
      <c r="W254" s="18"/>
      <c r="X254" s="163"/>
      <c r="Y254" s="163"/>
      <c r="Z254" s="18"/>
    </row>
    <row r="255" spans="1:26" s="10" customFormat="1" x14ac:dyDescent="0.25">
      <c r="A255" s="405" t="s">
        <v>573</v>
      </c>
      <c r="B255" s="371" t="str">
        <f>IF(Start!$C$15="x",IF(C255="NA","NA",(IF(C255="","",(IF(OR(F255="NA",F255=""),"No Criteria",(IF(AND(O255="NA",F255&lt;&gt;"NA",C255&lt;&gt;"NA"),                  "Missing Data",(IF(O255&lt;F255,"No",(IF(D255&gt;F255,"Caution",(IF(O255&gt;=F255,"Needed","No"))))))))))))),"---")</f>
        <v>---</v>
      </c>
      <c r="C255" s="372" t="str">
        <f>IF(TRUE=ISBLANK(ChemData!B255),"",(ChemData!B255))</f>
        <v/>
      </c>
      <c r="D255" s="373" t="str">
        <f>IF(TRUE=ISBLANK(ChemData!C255),"",(ChemData!C255))</f>
        <v/>
      </c>
      <c r="E255" s="374" t="str">
        <f>IF(TRUE=ISBLANK(ChemData!D255),"",(ChemData!D255))</f>
        <v/>
      </c>
      <c r="F255" s="289" t="str">
        <f>IF(TRUE=ISBLANK(ChemData!H255),"",(ChemData!H255))</f>
        <v>NA</v>
      </c>
      <c r="G255" s="290">
        <f>IF(TRUE=ISBLANK(ChemData!Q255),"",(ChemData!Q255))</f>
        <v>80799.080547654768</v>
      </c>
      <c r="H255" s="291">
        <f>IF(TRUE=ISBLANK(ChemData!S255),"",(ChemData!S255))</f>
        <v>1</v>
      </c>
      <c r="I255" s="375" t="str">
        <f>IF(Start!$C$15="x",(IF(OR(C255="NA",C255=""), "NA", (IF($H255 = "NA", "NA", ((C255*$H255)))))),"---")</f>
        <v>---</v>
      </c>
      <c r="J255" s="376" t="str">
        <f>IF(Start!$C$15="x",(IF(I255 = "NA", "NA", IF(OR(D255="NA",D255=""),"NA",(I255 +((Data!$D$19-Data!$D$22)/(Data!$D$19*Data!$D$22)*$D255))))),"---")</f>
        <v>---</v>
      </c>
      <c r="K255" s="376" t="str">
        <f>IF(Start!$C$15="x",(IF(J255="NA","NA",IF(OR(G255="NA",G255=""),"NA",(J255*(1-Data!$D$23)*Data!$D$14*1000)/(Data!$D$23+((1-Data!$D$23)*Data!$D$14*$G255))))),"---")</f>
        <v>---</v>
      </c>
      <c r="L255" s="376" t="str">
        <f>IF(Start!$C$15="x",(IF(I255="NA","NA",IF($G255 = "NA", "NA",(IF(OR(ChemData!U255="NA",ChemData!U255=""),I255/((Data!$D$18+((1-Data!$D$18)*Data!$D$14*$G255))/((1-Data!$D$18)*Data!$D$14*1000)),(IF(I255/((Data!$D$18+((1-Data!$D$18)*Data!$D$14*$G255))/((1-Data!$D$18)*Data!$D$14*1000))&gt;ChemData!U255, ChemData!U255, I255/((Data!$D$18+((1-Data!$D$18)*Data!$D$14*$G255))/((1-Data!$D$18)*Data!$D$14*1000))))))))),"---")</f>
        <v>---</v>
      </c>
      <c r="M255" s="376" t="str">
        <f>IF(Start!$C$15="x",(IF(L255="NA","NA",IF(OR(D255="NA",D255=""),"NA",(((Data!$D$22*Data!$D$18)*L255)+(Data!$D$19-Data!$D$22)*$D255)/((Data!$D$22*Data!$D$18)+Data!$D$19-Data!$D$22)))),"---")</f>
        <v>---</v>
      </c>
      <c r="N255" s="376" t="str">
        <f>IF(Start!$C$15="x",IF(K255 = "NA", "NA", (IF(M255 = "NA", "NA",(IF(OR(ChemData!U255="NA",ChemData!U255=""),(IF(K255&gt;M255,K255,M255)),(IF(K255&gt;M255,(IF(K255&gt;ChemData!U255, ChemData!U255, K255)),(IF(M255&gt;ChemData!U255,ChemData!U255,M255))))))))),"---")</f>
        <v>---</v>
      </c>
      <c r="O255" s="377" t="str">
        <f>IF(Start!$C$15="x",IF(N255 = "NA","NA", IF(OR(E255="NA",E255=""),"NA",(N255+(Data!$D$26*$E255))/(Data!$D$26+1))),"---")</f>
        <v>---</v>
      </c>
      <c r="P255" s="730" t="str">
        <f>IF(E255="",F255,IF($F255&lt;(1+(Data!$D$27/100))*$E255,(1+(Data!$D$27/100))*$E255,$F255))</f>
        <v>NA</v>
      </c>
      <c r="Q255" s="343" t="str">
        <f>IF(Start!$C$15="x",(IF(C255="","",(IF(O255="NA","NA",IF(P255="NA","NA",IF(P255=0,"NA",(O255/P255))))))),"Not Req.")</f>
        <v>Not Req.</v>
      </c>
      <c r="R255" s="163"/>
      <c r="S255" s="18"/>
      <c r="T255" s="18"/>
      <c r="U255" s="163"/>
      <c r="V255" s="163"/>
      <c r="W255" s="18"/>
      <c r="X255" s="163"/>
      <c r="Y255" s="163"/>
      <c r="Z255" s="18"/>
    </row>
    <row r="256" spans="1:26" s="10" customFormat="1" x14ac:dyDescent="0.25">
      <c r="A256" s="405" t="s">
        <v>574</v>
      </c>
      <c r="B256" s="371" t="str">
        <f>IF(Start!$C$15="x",IF(C256="NA","NA",(IF(C256="","",(IF(OR(F256="NA",F256=""),"No Criteria",(IF(AND(O256="NA",F256&lt;&gt;"NA",C256&lt;&gt;"NA"),                  "Missing Data",(IF(O256&lt;F256,"No",(IF(D256&gt;F256,"Caution",(IF(O256&gt;=F256,"Needed","No"))))))))))))),"---")</f>
        <v>---</v>
      </c>
      <c r="C256" s="372" t="str">
        <f>IF(TRUE=ISBLANK(ChemData!B256),"",(ChemData!B256))</f>
        <v/>
      </c>
      <c r="D256" s="373" t="str">
        <f>IF(TRUE=ISBLANK(ChemData!C256),"",(ChemData!C256))</f>
        <v/>
      </c>
      <c r="E256" s="374" t="str">
        <f>IF(TRUE=ISBLANK(ChemData!D256),"",(ChemData!D256))</f>
        <v/>
      </c>
      <c r="F256" s="289" t="str">
        <f>IF(TRUE=ISBLANK(ChemData!H256),"",(ChemData!H256))</f>
        <v>NA</v>
      </c>
      <c r="G256" s="290">
        <f>IF(TRUE=ISBLANK(ChemData!Q256),"",(ChemData!Q256))</f>
        <v>104089.37929273375</v>
      </c>
      <c r="H256" s="291">
        <f>IF(TRUE=ISBLANK(ChemData!S256),"",(ChemData!S256))</f>
        <v>1</v>
      </c>
      <c r="I256" s="375" t="str">
        <f>IF(Start!$C$15="x",(IF(OR(C256="NA",C256=""), "NA", (IF($H256 = "NA", "NA", ((C256*$H256)))))),"---")</f>
        <v>---</v>
      </c>
      <c r="J256" s="376" t="str">
        <f>IF(Start!$C$15="x",(IF(I256 = "NA", "NA", IF(OR(D256="NA",D256=""),"NA",(I256 +((Data!$D$19-Data!$D$22)/(Data!$D$19*Data!$D$22)*$D256))))),"---")</f>
        <v>---</v>
      </c>
      <c r="K256" s="376" t="str">
        <f>IF(Start!$C$15="x",(IF(J256="NA","NA",IF(OR(G256="NA",G256=""),"NA",(J256*(1-Data!$D$23)*Data!$D$14*1000)/(Data!$D$23+((1-Data!$D$23)*Data!$D$14*$G256))))),"---")</f>
        <v>---</v>
      </c>
      <c r="L256" s="376" t="str">
        <f>IF(Start!$C$15="x",(IF(I256="NA","NA",IF($G256 = "NA", "NA",(IF(OR(ChemData!U256="NA",ChemData!U256=""),I256/((Data!$D$18+((1-Data!$D$18)*Data!$D$14*$G256))/((1-Data!$D$18)*Data!$D$14*1000)),(IF(I256/((Data!$D$18+((1-Data!$D$18)*Data!$D$14*$G256))/((1-Data!$D$18)*Data!$D$14*1000))&gt;ChemData!U256, ChemData!U256, I256/((Data!$D$18+((1-Data!$D$18)*Data!$D$14*$G256))/((1-Data!$D$18)*Data!$D$14*1000))))))))),"---")</f>
        <v>---</v>
      </c>
      <c r="M256" s="376" t="str">
        <f>IF(Start!$C$15="x",(IF(L256="NA","NA",IF(OR(D256="NA",D256=""),"NA",(((Data!$D$22*Data!$D$18)*L256)+(Data!$D$19-Data!$D$22)*$D256)/((Data!$D$22*Data!$D$18)+Data!$D$19-Data!$D$22)))),"---")</f>
        <v>---</v>
      </c>
      <c r="N256" s="376" t="str">
        <f>IF(Start!$C$15="x",IF(K256 = "NA", "NA", (IF(M256 = "NA", "NA",(IF(OR(ChemData!U256="NA",ChemData!U256=""),(IF(K256&gt;M256,K256,M256)),(IF(K256&gt;M256,(IF(K256&gt;ChemData!U256, ChemData!U256, K256)),(IF(M256&gt;ChemData!U256,ChemData!U256,M256))))))))),"---")</f>
        <v>---</v>
      </c>
      <c r="O256" s="377" t="str">
        <f>IF(Start!$C$15="x",IF(N256 = "NA","NA", IF(OR(E256="NA",E256=""),"NA",(N256+(Data!$D$26*$E256))/(Data!$D$26+1))),"---")</f>
        <v>---</v>
      </c>
      <c r="P256" s="730" t="str">
        <f>IF(E256="",F256,IF($F256&lt;(1+(Data!$D$27/100))*$E256,(1+(Data!$D$27/100))*$E256,$F256))</f>
        <v>NA</v>
      </c>
      <c r="Q256" s="343" t="str">
        <f>IF(Start!$C$15="x",(IF(C256="","",(IF(O256="NA","NA",IF(P256="NA","NA",IF(P256=0,"NA",(O256/P256))))))),"Not Req.")</f>
        <v>Not Req.</v>
      </c>
      <c r="R256" s="163"/>
      <c r="S256" s="18"/>
      <c r="T256" s="18"/>
      <c r="U256" s="163"/>
      <c r="V256" s="163"/>
      <c r="W256" s="18"/>
      <c r="X256" s="163"/>
      <c r="Y256" s="163"/>
      <c r="Z256" s="18"/>
    </row>
    <row r="257" spans="1:26" s="10" customFormat="1" x14ac:dyDescent="0.25">
      <c r="A257" s="405" t="s">
        <v>575</v>
      </c>
      <c r="B257" s="371" t="str">
        <f>IF(Start!$C$15="x",IF(C257="NA","NA",(IF(C257="","",(IF(OR(F257="NA",F257=""),"No Criteria",(IF(AND(O257="NA",F257&lt;&gt;"NA",C257&lt;&gt;"NA"),                  "Missing Data",(IF(O257&lt;F257,"No",(IF(D257&gt;F257,"Caution",(IF(O257&gt;=F257,"Needed","No"))))))))))))),"---")</f>
        <v>---</v>
      </c>
      <c r="C257" s="372" t="str">
        <f>IF(TRUE=ISBLANK(ChemData!B257),"",(ChemData!B257))</f>
        <v/>
      </c>
      <c r="D257" s="373" t="str">
        <f>IF(TRUE=ISBLANK(ChemData!C257),"",(ChemData!C257))</f>
        <v/>
      </c>
      <c r="E257" s="374" t="str">
        <f>IF(TRUE=ISBLANK(ChemData!D257),"",(ChemData!D257))</f>
        <v/>
      </c>
      <c r="F257" s="289" t="str">
        <f>IF(TRUE=ISBLANK(ChemData!H257),"",(ChemData!H257))</f>
        <v>NA</v>
      </c>
      <c r="G257" s="290">
        <f>IF(TRUE=ISBLANK(ChemData!Q257),"",(ChemData!Q257))</f>
        <v>1539594.740311048</v>
      </c>
      <c r="H257" s="291">
        <f>IF(TRUE=ISBLANK(ChemData!S257),"",(ChemData!S257))</f>
        <v>1</v>
      </c>
      <c r="I257" s="375" t="str">
        <f>IF(Start!$C$15="x",(IF(OR(C257="NA",C257=""), "NA", (IF($H257 = "NA", "NA", ((C257*$H257)))))),"---")</f>
        <v>---</v>
      </c>
      <c r="J257" s="376" t="str">
        <f>IF(Start!$C$15="x",(IF(I257 = "NA", "NA", IF(OR(D257="NA",D257=""),"NA",(I257 +((Data!$D$19-Data!$D$22)/(Data!$D$19*Data!$D$22)*$D257))))),"---")</f>
        <v>---</v>
      </c>
      <c r="K257" s="376" t="str">
        <f>IF(Start!$C$15="x",(IF(J257="NA","NA",IF(OR(G257="NA",G257=""),"NA",(J257*(1-Data!$D$23)*Data!$D$14*1000)/(Data!$D$23+((1-Data!$D$23)*Data!$D$14*$G257))))),"---")</f>
        <v>---</v>
      </c>
      <c r="L257" s="376" t="str">
        <f>IF(Start!$C$15="x",(IF(I257="NA","NA",IF($G257 = "NA", "NA",(IF(OR(ChemData!U257="NA",ChemData!U257=""),I257/((Data!$D$18+((1-Data!$D$18)*Data!$D$14*$G257))/((1-Data!$D$18)*Data!$D$14*1000)),(IF(I257/((Data!$D$18+((1-Data!$D$18)*Data!$D$14*$G257))/((1-Data!$D$18)*Data!$D$14*1000))&gt;ChemData!U257, ChemData!U257, I257/((Data!$D$18+((1-Data!$D$18)*Data!$D$14*$G257))/((1-Data!$D$18)*Data!$D$14*1000))))))))),"---")</f>
        <v>---</v>
      </c>
      <c r="M257" s="376" t="str">
        <f>IF(Start!$C$15="x",(IF(L257="NA","NA",IF(OR(D257="NA",D257=""),"NA",(((Data!$D$22*Data!$D$18)*L257)+(Data!$D$19-Data!$D$22)*$D257)/((Data!$D$22*Data!$D$18)+Data!$D$19-Data!$D$22)))),"---")</f>
        <v>---</v>
      </c>
      <c r="N257" s="376" t="str">
        <f>IF(Start!$C$15="x",IF(K257 = "NA", "NA", (IF(M257 = "NA", "NA",(IF(OR(ChemData!U257="NA",ChemData!U257=""),(IF(K257&gt;M257,K257,M257)),(IF(K257&gt;M257,(IF(K257&gt;ChemData!U257, ChemData!U257, K257)),(IF(M257&gt;ChemData!U257,ChemData!U257,M257))))))))),"---")</f>
        <v>---</v>
      </c>
      <c r="O257" s="377" t="str">
        <f>IF(Start!$C$15="x",IF(N257 = "NA","NA", IF(OR(E257="NA",E257=""),"NA",(N257+(Data!$D$26*$E257))/(Data!$D$26+1))),"---")</f>
        <v>---</v>
      </c>
      <c r="P257" s="730" t="str">
        <f>IF(E257="",F257,IF($F257&lt;(1+(Data!$D$27/100))*$E257,(1+(Data!$D$27/100))*$E257,$F257))</f>
        <v>NA</v>
      </c>
      <c r="Q257" s="343" t="str">
        <f>IF(Start!$C$15="x",(IF(C257="","",(IF(O257="NA","NA",IF(P257="NA","NA",IF(P257=0,"NA",(O257/P257))))))),"Not Req.")</f>
        <v>Not Req.</v>
      </c>
      <c r="R257" s="163"/>
      <c r="S257" s="18"/>
      <c r="T257" s="18"/>
      <c r="U257" s="163"/>
      <c r="V257" s="163"/>
      <c r="W257" s="18"/>
      <c r="X257" s="163"/>
      <c r="Y257" s="163"/>
      <c r="Z257" s="18"/>
    </row>
    <row r="258" spans="1:26" s="10" customFormat="1" x14ac:dyDescent="0.25">
      <c r="A258" s="405" t="s">
        <v>576</v>
      </c>
      <c r="B258" s="371" t="str">
        <f>IF(Start!$C$15="x",IF(C258="NA","NA",(IF(C258="","",(IF(OR(F258="NA",F258=""),"No Criteria",(IF(AND(O258="NA",F258&lt;&gt;"NA",C258&lt;&gt;"NA"),                  "Missing Data",(IF(O258&lt;F258,"No",(IF(D258&gt;F258,"Caution",(IF(O258&gt;=F258,"Needed","No"))))))))))))),"---")</f>
        <v>---</v>
      </c>
      <c r="C258" s="372" t="str">
        <f>IF(TRUE=ISBLANK(ChemData!B258),"",(ChemData!B258))</f>
        <v/>
      </c>
      <c r="D258" s="373" t="str">
        <f>IF(TRUE=ISBLANK(ChemData!C258),"",(ChemData!C258))</f>
        <v/>
      </c>
      <c r="E258" s="374" t="str">
        <f>IF(TRUE=ISBLANK(ChemData!D258),"",(ChemData!D258))</f>
        <v/>
      </c>
      <c r="F258" s="289" t="str">
        <f>IF(TRUE=ISBLANK(ChemData!H258),"",(ChemData!H258))</f>
        <v>NA</v>
      </c>
      <c r="G258" s="290">
        <f>IF(TRUE=ISBLANK(ChemData!Q258),"",(ChemData!Q258))</f>
        <v>153959.47403110462</v>
      </c>
      <c r="H258" s="291">
        <f>IF(TRUE=ISBLANK(ChemData!S258),"",(ChemData!S258))</f>
        <v>1</v>
      </c>
      <c r="I258" s="375" t="str">
        <f>IF(Start!$C$15="x",(IF(OR(C258="NA",C258=""), "NA", (IF($H258 = "NA", "NA", ((C258*$H258)))))),"---")</f>
        <v>---</v>
      </c>
      <c r="J258" s="376" t="str">
        <f>IF(Start!$C$15="x",(IF(I258 = "NA", "NA", IF(OR(D258="NA",D258=""),"NA",(I258 +((Data!$D$19-Data!$D$22)/(Data!$D$19*Data!$D$22)*$D258))))),"---")</f>
        <v>---</v>
      </c>
      <c r="K258" s="376" t="str">
        <f>IF(Start!$C$15="x",(IF(J258="NA","NA",IF(OR(G258="NA",G258=""),"NA",(J258*(1-Data!$D$23)*Data!$D$14*1000)/(Data!$D$23+((1-Data!$D$23)*Data!$D$14*$G258))))),"---")</f>
        <v>---</v>
      </c>
      <c r="L258" s="376" t="str">
        <f>IF(Start!$C$15="x",(IF(I258="NA","NA",IF($G258 = "NA", "NA",(IF(OR(ChemData!U258="NA",ChemData!U258=""),I258/((Data!$D$18+((1-Data!$D$18)*Data!$D$14*$G258))/((1-Data!$D$18)*Data!$D$14*1000)),(IF(I258/((Data!$D$18+((1-Data!$D$18)*Data!$D$14*$G258))/((1-Data!$D$18)*Data!$D$14*1000))&gt;ChemData!U258, ChemData!U258, I258/((Data!$D$18+((1-Data!$D$18)*Data!$D$14*$G258))/((1-Data!$D$18)*Data!$D$14*1000))))))))),"---")</f>
        <v>---</v>
      </c>
      <c r="M258" s="376" t="str">
        <f>IF(Start!$C$15="x",(IF(L258="NA","NA",IF(OR(D258="NA",D258=""),"NA",(((Data!$D$22*Data!$D$18)*L258)+(Data!$D$19-Data!$D$22)*$D258)/((Data!$D$22*Data!$D$18)+Data!$D$19-Data!$D$22)))),"---")</f>
        <v>---</v>
      </c>
      <c r="N258" s="376" t="str">
        <f>IF(Start!$C$15="x",IF(K258 = "NA", "NA", (IF(M258 = "NA", "NA",(IF(OR(ChemData!U258="NA",ChemData!U258=""),(IF(K258&gt;M258,K258,M258)),(IF(K258&gt;M258,(IF(K258&gt;ChemData!U258, ChemData!U258, K258)),(IF(M258&gt;ChemData!U258,ChemData!U258,M258))))))))),"---")</f>
        <v>---</v>
      </c>
      <c r="O258" s="377" t="str">
        <f>IF(Start!$C$15="x",IF(N258 = "NA","NA", IF(OR(E258="NA",E258=""),"NA",(N258+(Data!$D$26*$E258))/(Data!$D$26+1))),"---")</f>
        <v>---</v>
      </c>
      <c r="P258" s="730" t="str">
        <f>IF(E258="",F258,IF($F258&lt;(1+(Data!$D$27/100))*$E258,(1+(Data!$D$27/100))*$E258,$F258))</f>
        <v>NA</v>
      </c>
      <c r="Q258" s="343" t="str">
        <f>IF(Start!$C$15="x",(IF(C258="","",(IF(O258="NA","NA",IF(P258="NA","NA",IF(P258=0,"NA",(O258/P258))))))),"Not Req.")</f>
        <v>Not Req.</v>
      </c>
      <c r="R258" s="163"/>
      <c r="S258" s="18"/>
      <c r="T258" s="18"/>
      <c r="U258" s="163"/>
      <c r="V258" s="163"/>
      <c r="W258" s="18"/>
      <c r="X258" s="163"/>
      <c r="Y258" s="163"/>
      <c r="Z258" s="18"/>
    </row>
    <row r="259" spans="1:26" s="10" customFormat="1" x14ac:dyDescent="0.25">
      <c r="A259" s="405" t="s">
        <v>577</v>
      </c>
      <c r="B259" s="371" t="str">
        <f>IF(Start!$C$15="x",IF(C259="NA","NA",(IF(C259="","",(IF(OR(F259="NA",F259=""),"No Criteria",(IF(AND(O259="NA",F259&lt;&gt;"NA",C259&lt;&gt;"NA"),                  "Missing Data",(IF(O259&lt;F259,"No",(IF(D259&gt;F259,"Caution",(IF(O259&gt;=F259,"Needed","No"))))))))))))),"---")</f>
        <v>---</v>
      </c>
      <c r="C259" s="372" t="str">
        <f>IF(TRUE=ISBLANK(ChemData!B259),"",(ChemData!B259))</f>
        <v/>
      </c>
      <c r="D259" s="373" t="str">
        <f>IF(TRUE=ISBLANK(ChemData!C259),"",(ChemData!C259))</f>
        <v/>
      </c>
      <c r="E259" s="374" t="str">
        <f>IF(TRUE=ISBLANK(ChemData!D259),"",(ChemData!D259))</f>
        <v/>
      </c>
      <c r="F259" s="289">
        <f>IF(TRUE=ISBLANK(ChemData!H259),"",(ChemData!H259))</f>
        <v>0.01</v>
      </c>
      <c r="G259" s="290">
        <f>IF(TRUE=ISBLANK(ChemData!Q259),"",(ChemData!Q259))</f>
        <v>116790.20446328387</v>
      </c>
      <c r="H259" s="291">
        <f>IF(TRUE=ISBLANK(ChemData!S259),"",(ChemData!S259))</f>
        <v>1</v>
      </c>
      <c r="I259" s="375" t="str">
        <f>IF(Start!$C$15="x",(IF(OR(C259="NA",C259=""), "NA", (IF($H259 = "NA", "NA", ((C259*$H259)))))),"---")</f>
        <v>---</v>
      </c>
      <c r="J259" s="376" t="str">
        <f>IF(Start!$C$15="x",(IF(I259 = "NA", "NA", IF(OR(D259="NA",D259=""),"NA",(I259 +((Data!$D$19-Data!$D$22)/(Data!$D$19*Data!$D$22)*$D259))))),"---")</f>
        <v>---</v>
      </c>
      <c r="K259" s="376" t="str">
        <f>IF(Start!$C$15="x",(IF(J259="NA","NA",IF(OR(G259="NA",G259=""),"NA",(J259*(1-Data!$D$23)*Data!$D$14*1000)/(Data!$D$23+((1-Data!$D$23)*Data!$D$14*$G259))))),"---")</f>
        <v>---</v>
      </c>
      <c r="L259" s="376" t="str">
        <f>IF(Start!$C$15="x",(IF(I259="NA","NA",IF($G259 = "NA", "NA",(IF(OR(ChemData!U259="NA",ChemData!U259=""),I259/((Data!$D$18+((1-Data!$D$18)*Data!$D$14*$G259))/((1-Data!$D$18)*Data!$D$14*1000)),(IF(I259/((Data!$D$18+((1-Data!$D$18)*Data!$D$14*$G259))/((1-Data!$D$18)*Data!$D$14*1000))&gt;ChemData!U259, ChemData!U259, I259/((Data!$D$18+((1-Data!$D$18)*Data!$D$14*$G259))/((1-Data!$D$18)*Data!$D$14*1000))))))))),"---")</f>
        <v>---</v>
      </c>
      <c r="M259" s="376" t="str">
        <f>IF(Start!$C$15="x",(IF(L259="NA","NA",IF(OR(D259="NA",D259=""),"NA",(((Data!$D$22*Data!$D$18)*L259)+(Data!$D$19-Data!$D$22)*$D259)/((Data!$D$22*Data!$D$18)+Data!$D$19-Data!$D$22)))),"---")</f>
        <v>---</v>
      </c>
      <c r="N259" s="376" t="str">
        <f>IF(Start!$C$15="x",IF(K259 = "NA", "NA", (IF(M259 = "NA", "NA",(IF(OR(ChemData!U259="NA",ChemData!U259=""),(IF(K259&gt;M259,K259,M259)),(IF(K259&gt;M259,(IF(K259&gt;ChemData!U259, ChemData!U259, K259)),(IF(M259&gt;ChemData!U259,ChemData!U259,M259))))))))),"---")</f>
        <v>---</v>
      </c>
      <c r="O259" s="377" t="str">
        <f>IF(Start!$C$15="x",IF(N259 = "NA","NA", IF(OR(E259="NA",E259=""),"NA",(N259+(Data!$D$26*$E259))/(Data!$D$26+1))),"---")</f>
        <v>---</v>
      </c>
      <c r="P259" s="730">
        <f>IF(E259="",F259,IF($F259&lt;(1+(Data!$D$27/100))*$E259,(1+(Data!$D$27/100))*$E259,$F259))</f>
        <v>0.01</v>
      </c>
      <c r="Q259" s="343" t="str">
        <f>IF(Start!$C$15="x",(IF(C259="","",(IF(O259="NA","NA",IF(P259="NA","NA",IF(P259=0,"NA",(O259/P259))))))),"Not Req.")</f>
        <v>Not Req.</v>
      </c>
      <c r="R259" s="163"/>
      <c r="S259" s="18"/>
      <c r="T259" s="18"/>
      <c r="U259" s="163"/>
      <c r="V259" s="163"/>
      <c r="W259" s="18"/>
      <c r="X259" s="163"/>
      <c r="Y259" s="163"/>
      <c r="Z259" s="18"/>
    </row>
    <row r="260" spans="1:26" s="10" customFormat="1" x14ac:dyDescent="0.25">
      <c r="A260" s="405" t="s">
        <v>578</v>
      </c>
      <c r="B260" s="371" t="str">
        <f>IF(Start!$C$15="x",IF(C260="NA","NA",(IF(C260="","",(IF(OR(F260="NA",F260=""),"No Criteria",(IF(AND(O260="NA",F260&lt;&gt;"NA",C260&lt;&gt;"NA"),                  "Missing Data",(IF(O260&lt;F260,"No",(IF(D260&gt;F260,"Caution",(IF(O260&gt;=F260,"Needed","No"))))))))))))),"---")</f>
        <v>---</v>
      </c>
      <c r="C260" s="372" t="str">
        <f>IF(TRUE=ISBLANK(ChemData!B260),"",(ChemData!B260))</f>
        <v/>
      </c>
      <c r="D260" s="373" t="str">
        <f>IF(TRUE=ISBLANK(ChemData!C260),"",(ChemData!C260))</f>
        <v/>
      </c>
      <c r="E260" s="374" t="str">
        <f>IF(TRUE=ISBLANK(ChemData!D260),"",(ChemData!D260))</f>
        <v/>
      </c>
      <c r="F260" s="289" t="str">
        <f>IF(TRUE=ISBLANK(ChemData!H260),"",(ChemData!H260))</f>
        <v>NA</v>
      </c>
      <c r="G260" s="290">
        <f>IF(TRUE=ISBLANK(ChemData!Q260),"",(ChemData!Q260))</f>
        <v>62720.053301366483</v>
      </c>
      <c r="H260" s="291">
        <f>IF(TRUE=ISBLANK(ChemData!S260),"",(ChemData!S260))</f>
        <v>1</v>
      </c>
      <c r="I260" s="375" t="str">
        <f>IF(Start!$C$15="x",(IF(OR(C260="NA",C260=""), "NA", (IF($H260 = "NA", "NA", ((C260*$H260)))))),"---")</f>
        <v>---</v>
      </c>
      <c r="J260" s="376" t="str">
        <f>IF(Start!$C$15="x",(IF(I260 = "NA", "NA", IF(OR(D260="NA",D260=""),"NA",(I260 +((Data!$D$19-Data!$D$22)/(Data!$D$19*Data!$D$22)*$D260))))),"---")</f>
        <v>---</v>
      </c>
      <c r="K260" s="376" t="str">
        <f>IF(Start!$C$15="x",(IF(J260="NA","NA",IF(OR(G260="NA",G260=""),"NA",(J260*(1-Data!$D$23)*Data!$D$14*1000)/(Data!$D$23+((1-Data!$D$23)*Data!$D$14*$G260))))),"---")</f>
        <v>---</v>
      </c>
      <c r="L260" s="376" t="str">
        <f>IF(Start!$C$15="x",(IF(I260="NA","NA",IF($G260 = "NA", "NA",(IF(OR(ChemData!U260="NA",ChemData!U260=""),I260/((Data!$D$18+((1-Data!$D$18)*Data!$D$14*$G260))/((1-Data!$D$18)*Data!$D$14*1000)),(IF(I260/((Data!$D$18+((1-Data!$D$18)*Data!$D$14*$G260))/((1-Data!$D$18)*Data!$D$14*1000))&gt;ChemData!U260, ChemData!U260, I260/((Data!$D$18+((1-Data!$D$18)*Data!$D$14*$G260))/((1-Data!$D$18)*Data!$D$14*1000))))))))),"---")</f>
        <v>---</v>
      </c>
      <c r="M260" s="376" t="str">
        <f>IF(Start!$C$15="x",(IF(L260="NA","NA",IF(OR(D260="NA",D260=""),"NA",(((Data!$D$22*Data!$D$18)*L260)+(Data!$D$19-Data!$D$22)*$D260)/((Data!$D$22*Data!$D$18)+Data!$D$19-Data!$D$22)))),"---")</f>
        <v>---</v>
      </c>
      <c r="N260" s="376" t="str">
        <f>IF(Start!$C$15="x",IF(K260 = "NA", "NA", (IF(M260 = "NA", "NA",(IF(OR(ChemData!U260="NA",ChemData!U260=""),(IF(K260&gt;M260,K260,M260)),(IF(K260&gt;M260,(IF(K260&gt;ChemData!U260, ChemData!U260, K260)),(IF(M260&gt;ChemData!U260,ChemData!U260,M260))))))))),"---")</f>
        <v>---</v>
      </c>
      <c r="O260" s="377" t="str">
        <f>IF(Start!$C$15="x",IF(N260 = "NA","NA", IF(OR(E260="NA",E260=""),"NA",(N260+(Data!$D$26*$E260))/(Data!$D$26+1))),"---")</f>
        <v>---</v>
      </c>
      <c r="P260" s="730" t="str">
        <f>IF(E260="",F260,IF($F260&lt;(1+(Data!$D$27/100))*$E260,(1+(Data!$D$27/100))*$E260,$F260))</f>
        <v>NA</v>
      </c>
      <c r="Q260" s="343" t="str">
        <f>IF(Start!$C$15="x",(IF(C260="","",(IF(O260="NA","NA",IF(P260="NA","NA",IF(P260=0,"NA",(O260/P260))))))),"Not Req.")</f>
        <v>Not Req.</v>
      </c>
      <c r="R260" s="163"/>
      <c r="S260" s="18"/>
      <c r="T260" s="18"/>
      <c r="U260" s="163"/>
      <c r="V260" s="163"/>
      <c r="W260" s="18"/>
      <c r="X260" s="163"/>
      <c r="Y260" s="163"/>
      <c r="Z260" s="18"/>
    </row>
    <row r="261" spans="1:26" s="10" customFormat="1" x14ac:dyDescent="0.25">
      <c r="A261" s="405" t="s">
        <v>579</v>
      </c>
      <c r="B261" s="371" t="str">
        <f>IF(Start!$C$15="x",IF(C261="NA","NA",(IF(C261="","",(IF(OR(F261="NA",F261=""),"No Criteria",(IF(AND(O261="NA",F261&lt;&gt;"NA",C261&lt;&gt;"NA"),                  "Missing Data",(IF(O261&lt;F261,"No",(IF(D261&gt;F261,"Caution",(IF(O261&gt;=F261,"Needed","No"))))))))))))),"---")</f>
        <v>---</v>
      </c>
      <c r="C261" s="372" t="str">
        <f>IF(TRUE=ISBLANK(ChemData!B261),"",(ChemData!B261))</f>
        <v/>
      </c>
      <c r="D261" s="373" t="str">
        <f>IF(TRUE=ISBLANK(ChemData!C261),"",(ChemData!C261))</f>
        <v/>
      </c>
      <c r="E261" s="374" t="str">
        <f>IF(TRUE=ISBLANK(ChemData!D261),"",(ChemData!D261))</f>
        <v/>
      </c>
      <c r="F261" s="289" t="str">
        <f>IF(TRUE=ISBLANK(ChemData!H261),"",(ChemData!H261))</f>
        <v>NA</v>
      </c>
      <c r="G261" s="290">
        <f>IF(TRUE=ISBLANK(ChemData!Q261),"",(ChemData!Q261))</f>
        <v>2933637.299245521</v>
      </c>
      <c r="H261" s="291">
        <f>IF(TRUE=ISBLANK(ChemData!S261),"",(ChemData!S261))</f>
        <v>1</v>
      </c>
      <c r="I261" s="375" t="str">
        <f>IF(Start!$C$15="x",(IF(OR(C261="NA",C261=""), "NA", (IF($H261 = "NA", "NA", ((C261*$H261)))))),"---")</f>
        <v>---</v>
      </c>
      <c r="J261" s="376" t="str">
        <f>IF(Start!$C$15="x",(IF(I261 = "NA", "NA", IF(OR(D261="NA",D261=""),"NA",(I261 +((Data!$D$19-Data!$D$22)/(Data!$D$19*Data!$D$22)*$D261))))),"---")</f>
        <v>---</v>
      </c>
      <c r="K261" s="376" t="str">
        <f>IF(Start!$C$15="x",(IF(J261="NA","NA",IF(OR(G261="NA",G261=""),"NA",(J261*(1-Data!$D$23)*Data!$D$14*1000)/(Data!$D$23+((1-Data!$D$23)*Data!$D$14*$G261))))),"---")</f>
        <v>---</v>
      </c>
      <c r="L261" s="376" t="str">
        <f>IF(Start!$C$15="x",(IF(I261="NA","NA",IF($G261 = "NA", "NA",(IF(OR(ChemData!U261="NA",ChemData!U261=""),I261/((Data!$D$18+((1-Data!$D$18)*Data!$D$14*$G261))/((1-Data!$D$18)*Data!$D$14*1000)),(IF(I261/((Data!$D$18+((1-Data!$D$18)*Data!$D$14*$G261))/((1-Data!$D$18)*Data!$D$14*1000))&gt;ChemData!U261, ChemData!U261, I261/((Data!$D$18+((1-Data!$D$18)*Data!$D$14*$G261))/((1-Data!$D$18)*Data!$D$14*1000))))))))),"---")</f>
        <v>---</v>
      </c>
      <c r="M261" s="376" t="str">
        <f>IF(Start!$C$15="x",(IF(L261="NA","NA",IF(OR(D261="NA",D261=""),"NA",(((Data!$D$22*Data!$D$18)*L261)+(Data!$D$19-Data!$D$22)*$D261)/((Data!$D$22*Data!$D$18)+Data!$D$19-Data!$D$22)))),"---")</f>
        <v>---</v>
      </c>
      <c r="N261" s="376" t="str">
        <f>IF(Start!$C$15="x",IF(K261 = "NA", "NA", (IF(M261 = "NA", "NA",(IF(OR(ChemData!U261="NA",ChemData!U261=""),(IF(K261&gt;M261,K261,M261)),(IF(K261&gt;M261,(IF(K261&gt;ChemData!U261, ChemData!U261, K261)),(IF(M261&gt;ChemData!U261,ChemData!U261,M261))))))))),"---")</f>
        <v>---</v>
      </c>
      <c r="O261" s="377" t="str">
        <f>IF(Start!$C$15="x",IF(N261 = "NA","NA", IF(OR(E261="NA",E261=""),"NA",(N261+(Data!$D$26*$E261))/(Data!$D$26+1))),"---")</f>
        <v>---</v>
      </c>
      <c r="P261" s="730" t="str">
        <f>IF(E261="",F261,IF($F261&lt;(1+(Data!$D$27/100))*$E261,(1+(Data!$D$27/100))*$E261,$F261))</f>
        <v>NA</v>
      </c>
      <c r="Q261" s="343" t="str">
        <f>IF(Start!$C$15="x",(IF(C261="","",(IF(O261="NA","NA",IF(P261="NA","NA",IF(P261=0,"NA",(O261/P261))))))),"Not Req.")</f>
        <v>Not Req.</v>
      </c>
      <c r="R261" s="163"/>
      <c r="S261" s="18"/>
      <c r="T261" s="18"/>
      <c r="U261" s="163"/>
      <c r="V261" s="163"/>
      <c r="W261" s="18"/>
      <c r="X261" s="163"/>
      <c r="Y261" s="163"/>
      <c r="Z261" s="18"/>
    </row>
    <row r="262" spans="1:26" s="10" customFormat="1" x14ac:dyDescent="0.25">
      <c r="A262" s="405" t="s">
        <v>580</v>
      </c>
      <c r="B262" s="371" t="str">
        <f>IF(Start!$C$15="x",IF(C262="NA","NA",(IF(C262="","",(IF(OR(F262="NA",F262=""),"No Criteria",(IF(AND(O262="NA",F262&lt;&gt;"NA",C262&lt;&gt;"NA"),                  "Missing Data",(IF(O262&lt;F262,"No",(IF(D262&gt;F262,"Caution",(IF(O262&gt;=F262,"Needed","No"))))))))))))),"---")</f>
        <v>---</v>
      </c>
      <c r="C262" s="372" t="str">
        <f>IF(TRUE=ISBLANK(ChemData!B262),"",(ChemData!B262))</f>
        <v/>
      </c>
      <c r="D262" s="373" t="str">
        <f>IF(TRUE=ISBLANK(ChemData!C262),"",(ChemData!C262))</f>
        <v/>
      </c>
      <c r="E262" s="374" t="str">
        <f>IF(TRUE=ISBLANK(ChemData!D262),"",(ChemData!D262))</f>
        <v/>
      </c>
      <c r="F262" s="289" t="str">
        <f>IF(TRUE=ISBLANK(ChemData!H262),"",(ChemData!H262))</f>
        <v>NA</v>
      </c>
      <c r="G262" s="290">
        <f>IF(TRUE=ISBLANK(ChemData!Q262),"",(ChemData!Q262))</f>
        <v>1851000</v>
      </c>
      <c r="H262" s="291">
        <f>IF(TRUE=ISBLANK(ChemData!S262),"",(ChemData!S262))</f>
        <v>1</v>
      </c>
      <c r="I262" s="375" t="str">
        <f>IF(Start!$C$15="x",(IF(OR(C262="NA",C262=""), "NA", (IF($H262 = "NA", "NA", ((C262*$H262)))))),"---")</f>
        <v>---</v>
      </c>
      <c r="J262" s="376" t="str">
        <f>IF(Start!$C$15="x",(IF(I262 = "NA", "NA", IF(OR(D262="NA",D262=""),"NA",(I262 +((Data!$D$19-Data!$D$22)/(Data!$D$19*Data!$D$22)*$D262))))),"---")</f>
        <v>---</v>
      </c>
      <c r="K262" s="376" t="str">
        <f>IF(Start!$C$15="x",(IF(J262="NA","NA",IF(OR(G262="NA",G262=""),"NA",(J262*(1-Data!$D$23)*Data!$D$14*1000)/(Data!$D$23+((1-Data!$D$23)*Data!$D$14*$G262))))),"---")</f>
        <v>---</v>
      </c>
      <c r="L262" s="376" t="str">
        <f>IF(Start!$C$15="x",(IF(I262="NA","NA",IF($G262 = "NA", "NA",(IF(OR(ChemData!U262="NA",ChemData!U262=""),I262/((Data!$D$18+((1-Data!$D$18)*Data!$D$14*$G262))/((1-Data!$D$18)*Data!$D$14*1000)),(IF(I262/((Data!$D$18+((1-Data!$D$18)*Data!$D$14*$G262))/((1-Data!$D$18)*Data!$D$14*1000))&gt;ChemData!U262, ChemData!U262, I262/((Data!$D$18+((1-Data!$D$18)*Data!$D$14*$G262))/((1-Data!$D$18)*Data!$D$14*1000))))))))),"---")</f>
        <v>---</v>
      </c>
      <c r="M262" s="376" t="str">
        <f>IF(Start!$C$15="x",(IF(L262="NA","NA",IF(OR(D262="NA",D262=""),"NA",(((Data!$D$22*Data!$D$18)*L262)+(Data!$D$19-Data!$D$22)*$D262)/((Data!$D$22*Data!$D$18)+Data!$D$19-Data!$D$22)))),"---")</f>
        <v>---</v>
      </c>
      <c r="N262" s="376" t="str">
        <f>IF(Start!$C$15="x",IF(K262 = "NA", "NA", (IF(M262 = "NA", "NA",(IF(OR(ChemData!U262="NA",ChemData!U262=""),(IF(K262&gt;M262,K262,M262)),(IF(K262&gt;M262,(IF(K262&gt;ChemData!U262, ChemData!U262, K262)),(IF(M262&gt;ChemData!U262,ChemData!U262,M262))))))))),"---")</f>
        <v>---</v>
      </c>
      <c r="O262" s="377" t="str">
        <f>IF(Start!$C$15="x",IF(N262 = "NA","NA", IF(OR(E262="NA",E262=""),"NA",(N262+(Data!$D$26*$E262))/(Data!$D$26+1))),"---")</f>
        <v>---</v>
      </c>
      <c r="P262" s="730" t="str">
        <f>IF(E262="",F262,IF($F262&lt;(1+(Data!$D$27/100))*$E262,(1+(Data!$D$27/100))*$E262,$F262))</f>
        <v>NA</v>
      </c>
      <c r="Q262" s="343" t="str">
        <f>IF(Start!$C$15="x",(IF(C262="","",(IF(O262="NA","NA",IF(P262="NA","NA",IF(P262=0,"NA",(O262/P262))))))),"Not Req.")</f>
        <v>Not Req.</v>
      </c>
      <c r="R262" s="163"/>
      <c r="S262" s="18"/>
      <c r="T262" s="18"/>
      <c r="U262" s="163"/>
      <c r="V262" s="163"/>
      <c r="W262" s="18"/>
      <c r="X262" s="163"/>
      <c r="Y262" s="163"/>
      <c r="Z262" s="18"/>
    </row>
    <row r="263" spans="1:26" s="10" customFormat="1" x14ac:dyDescent="0.25">
      <c r="A263" s="405" t="s">
        <v>581</v>
      </c>
      <c r="B263" s="371" t="str">
        <f>IF(Start!$C$15="x",IF(C263="NA","NA",(IF(C263="","",(IF(OR(F263="NA",F263=""),"No Criteria",(IF(AND(O263="NA",F263&lt;&gt;"NA",C263&lt;&gt;"NA"),                  "Missing Data",(IF(O263&lt;F263,"No",(IF(D263&gt;F263,"Caution",(IF(O263&gt;=F263,"Needed","No"))))))))))))),"---")</f>
        <v>---</v>
      </c>
      <c r="C263" s="372" t="str">
        <f>IF(TRUE=ISBLANK(ChemData!B263),"",(ChemData!B263))</f>
        <v/>
      </c>
      <c r="D263" s="373" t="str">
        <f>IF(TRUE=ISBLANK(ChemData!C263),"",(ChemData!C263))</f>
        <v/>
      </c>
      <c r="E263" s="374" t="str">
        <f>IF(TRUE=ISBLANK(ChemData!D263),"",(ChemData!D263))</f>
        <v/>
      </c>
      <c r="F263" s="289" t="str">
        <f>IF(TRUE=ISBLANK(ChemData!H263),"",(ChemData!H263))</f>
        <v>NA</v>
      </c>
      <c r="G263" s="290" t="str">
        <f>IF(TRUE=ISBLANK(ChemData!Q263),"",(ChemData!Q263))</f>
        <v>NA</v>
      </c>
      <c r="H263" s="291">
        <f>IF(TRUE=ISBLANK(ChemData!S263),"",(ChemData!S263))</f>
        <v>1</v>
      </c>
      <c r="I263" s="375" t="str">
        <f>IF(Start!$C$15="x",(IF(OR(C263="NA",C263=""), "NA", (IF($H263 = "NA", "NA", ((C263*$H263)))))),"---")</f>
        <v>---</v>
      </c>
      <c r="J263" s="376" t="str">
        <f>IF(Start!$C$15="x",(IF(I263 = "NA", "NA", IF(OR(D263="NA",D263=""),"NA",(I263 +((Data!$D$19-Data!$D$22)/(Data!$D$19*Data!$D$22)*$D263))))),"---")</f>
        <v>---</v>
      </c>
      <c r="K263" s="376" t="str">
        <f>IF(Start!$C$15="x",(IF(J263="NA","NA",IF(OR(G263="NA",G263=""),"NA",(J263*(1-Data!$D$23)*Data!$D$14*1000)/(Data!$D$23+((1-Data!$D$23)*Data!$D$14*$G263))))),"---")</f>
        <v>---</v>
      </c>
      <c r="L263" s="376" t="str">
        <f>IF(Start!$C$15="x",(IF(I263="NA","NA",IF($G263 = "NA", "NA",(IF(OR(ChemData!U263="NA",ChemData!U263=""),I263/((Data!$D$18+((1-Data!$D$18)*Data!$D$14*$G263))/((1-Data!$D$18)*Data!$D$14*1000)),(IF(I263/((Data!$D$18+((1-Data!$D$18)*Data!$D$14*$G263))/((1-Data!$D$18)*Data!$D$14*1000))&gt;ChemData!U263, ChemData!U263, I263/((Data!$D$18+((1-Data!$D$18)*Data!$D$14*$G263))/((1-Data!$D$18)*Data!$D$14*1000))))))))),"---")</f>
        <v>---</v>
      </c>
      <c r="M263" s="376" t="str">
        <f>IF(Start!$C$15="x",(IF(L263="NA","NA",IF(OR(D263="NA",D263=""),"NA",(((Data!$D$22*Data!$D$18)*L263)+(Data!$D$19-Data!$D$22)*$D263)/((Data!$D$22*Data!$D$18)+Data!$D$19-Data!$D$22)))),"---")</f>
        <v>---</v>
      </c>
      <c r="N263" s="376" t="str">
        <f>IF(Start!$C$15="x",IF(K263 = "NA", "NA", (IF(M263 = "NA", "NA",(IF(OR(ChemData!U263="NA",ChemData!U263=""),(IF(K263&gt;M263,K263,M263)),(IF(K263&gt;M263,(IF(K263&gt;ChemData!U263, ChemData!U263, K263)),(IF(M263&gt;ChemData!U263,ChemData!U263,M263))))))))),"---")</f>
        <v>---</v>
      </c>
      <c r="O263" s="377" t="str">
        <f>IF(Start!$C$15="x",IF(N263 = "NA","NA", IF(OR(E263="NA",E263=""),"NA",(N263+(Data!$D$26*$E263))/(Data!$D$26+1))),"---")</f>
        <v>---</v>
      </c>
      <c r="P263" s="730" t="str">
        <f>IF(E263="",F263,IF($F263&lt;(1+(Data!$D$27/100))*$E263,(1+(Data!$D$27/100))*$E263,$F263))</f>
        <v>NA</v>
      </c>
      <c r="Q263" s="343" t="str">
        <f>IF(Start!$C$15="x",(IF(C263="","",(IF(O263="NA","NA",IF(P263="NA","NA",IF(P263=0,"NA",(O263/P263))))))),"Not Req.")</f>
        <v>Not Req.</v>
      </c>
      <c r="R263" s="163"/>
      <c r="S263" s="18"/>
      <c r="T263" s="18"/>
      <c r="U263" s="163"/>
      <c r="V263" s="163"/>
      <c r="W263" s="18"/>
      <c r="X263" s="163"/>
      <c r="Y263" s="163"/>
      <c r="Z263" s="18"/>
    </row>
    <row r="264" spans="1:26" s="10" customFormat="1" x14ac:dyDescent="0.25">
      <c r="A264" s="405" t="s">
        <v>582</v>
      </c>
      <c r="B264" s="371" t="str">
        <f>IF(Start!$C$15="x",IF(C264="NA","NA",(IF(C264="","",(IF(OR(F264="NA",F264=""),"No Criteria",(IF(AND(O264="NA",F264&lt;&gt;"NA",C264&lt;&gt;"NA"),                  "Missing Data",(IF(O264&lt;F264,"No",(IF(D264&gt;F264,"Caution",(IF(O264&gt;=F264,"Needed","No"))))))))))))),"---")</f>
        <v>---</v>
      </c>
      <c r="C264" s="372" t="str">
        <f>IF(TRUE=ISBLANK(ChemData!B264),"",(ChemData!B264))</f>
        <v/>
      </c>
      <c r="D264" s="373" t="str">
        <f>IF(TRUE=ISBLANK(ChemData!C264),"",(ChemData!C264))</f>
        <v/>
      </c>
      <c r="E264" s="374" t="str">
        <f>IF(TRUE=ISBLANK(ChemData!D264),"",(ChemData!D264))</f>
        <v/>
      </c>
      <c r="F264" s="289" t="str">
        <f>IF(TRUE=ISBLANK(ChemData!H264),"",(ChemData!H264))</f>
        <v>NA</v>
      </c>
      <c r="G264" s="290" t="str">
        <f>IF(TRUE=ISBLANK(ChemData!Q264),"",(ChemData!Q264))</f>
        <v>NA</v>
      </c>
      <c r="H264" s="291">
        <f>IF(TRUE=ISBLANK(ChemData!S264),"",(ChemData!S264))</f>
        <v>1</v>
      </c>
      <c r="I264" s="375" t="str">
        <f>IF(Start!$C$15="x",(IF(OR(C264="NA",C264=""), "NA", (IF($H264 = "NA", "NA", ((C264*$H264)))))),"---")</f>
        <v>---</v>
      </c>
      <c r="J264" s="376" t="str">
        <f>IF(Start!$C$15="x",(IF(I264 = "NA", "NA", IF(OR(D264="NA",D264=""),"NA",(I264 +((Data!$D$19-Data!$D$22)/(Data!$D$19*Data!$D$22)*$D264))))),"---")</f>
        <v>---</v>
      </c>
      <c r="K264" s="376" t="str">
        <f>IF(Start!$C$15="x",(IF(J264="NA","NA",IF(OR(G264="NA",G264=""),"NA",(J264*(1-Data!$D$23)*Data!$D$14*1000)/(Data!$D$23+((1-Data!$D$23)*Data!$D$14*$G264))))),"---")</f>
        <v>---</v>
      </c>
      <c r="L264" s="376" t="str">
        <f>IF(Start!$C$15="x",(IF(I264="NA","NA",IF($G264 = "NA", "NA",(IF(OR(ChemData!U264="NA",ChemData!U264=""),I264/((Data!$D$18+((1-Data!$D$18)*Data!$D$14*$G264))/((1-Data!$D$18)*Data!$D$14*1000)),(IF(I264/((Data!$D$18+((1-Data!$D$18)*Data!$D$14*$G264))/((1-Data!$D$18)*Data!$D$14*1000))&gt;ChemData!U264, ChemData!U264, I264/((Data!$D$18+((1-Data!$D$18)*Data!$D$14*$G264))/((1-Data!$D$18)*Data!$D$14*1000))))))))),"---")</f>
        <v>---</v>
      </c>
      <c r="M264" s="376" t="str">
        <f>IF(Start!$C$15="x",(IF(L264="NA","NA",IF(OR(D264="NA",D264=""),"NA",(((Data!$D$22*Data!$D$18)*L264)+(Data!$D$19-Data!$D$22)*$D264)/((Data!$D$22*Data!$D$18)+Data!$D$19-Data!$D$22)))),"---")</f>
        <v>---</v>
      </c>
      <c r="N264" s="376" t="str">
        <f>IF(Start!$C$15="x",IF(K264 = "NA", "NA", (IF(M264 = "NA", "NA",(IF(OR(ChemData!U264="NA",ChemData!U264=""),(IF(K264&gt;M264,K264,M264)),(IF(K264&gt;M264,(IF(K264&gt;ChemData!U264, ChemData!U264, K264)),(IF(M264&gt;ChemData!U264,ChemData!U264,M264))))))))),"---")</f>
        <v>---</v>
      </c>
      <c r="O264" s="377" t="str">
        <f>IF(Start!$C$15="x",IF(N264 = "NA","NA", IF(OR(E264="NA",E264=""),"NA",(N264+(Data!$D$26*$E264))/(Data!$D$26+1))),"---")</f>
        <v>---</v>
      </c>
      <c r="P264" s="730" t="str">
        <f>IF(E264="",F264,IF($F264&lt;(1+(Data!$D$27/100))*$E264,(1+(Data!$D$27/100))*$E264,$F264))</f>
        <v>NA</v>
      </c>
      <c r="Q264" s="343" t="str">
        <f>IF(Start!$C$15="x",(IF(C264="","",(IF(O264="NA","NA",IF(P264="NA","NA",IF(P264=0,"NA",(O264/P264))))))),"Not Req.")</f>
        <v>Not Req.</v>
      </c>
      <c r="R264" s="163"/>
      <c r="S264" s="18"/>
      <c r="T264" s="18"/>
      <c r="U264" s="163"/>
      <c r="V264" s="163"/>
      <c r="W264" s="18"/>
      <c r="X264" s="163"/>
      <c r="Y264" s="163"/>
      <c r="Z264" s="18"/>
    </row>
    <row r="265" spans="1:26" s="10" customFormat="1" x14ac:dyDescent="0.25">
      <c r="A265" s="405" t="s">
        <v>583</v>
      </c>
      <c r="B265" s="371" t="str">
        <f>IF(Start!$C$15="x",IF(C265="NA","NA",(IF(C265="","",(IF(OR(F265="NA",F265=""),"No Criteria",(IF(AND(O265="NA",F265&lt;&gt;"NA",C265&lt;&gt;"NA"),                  "Missing Data",(IF(O265&lt;F265,"No",(IF(D265&gt;F265,"Caution",(IF(O265&gt;=F265,"Needed","No"))))))))))))),"---")</f>
        <v>---</v>
      </c>
      <c r="C265" s="372" t="str">
        <f>IF(TRUE=ISBLANK(ChemData!B265),"",(ChemData!B265))</f>
        <v/>
      </c>
      <c r="D265" s="373" t="str">
        <f>IF(TRUE=ISBLANK(ChemData!C265),"",(ChemData!C265))</f>
        <v/>
      </c>
      <c r="E265" s="374" t="str">
        <f>IF(TRUE=ISBLANK(ChemData!D265),"",(ChemData!D265))</f>
        <v/>
      </c>
      <c r="F265" s="289" t="str">
        <f>IF(TRUE=ISBLANK(ChemData!H265),"",(ChemData!H265))</f>
        <v>NA</v>
      </c>
      <c r="G265" s="290" t="str">
        <f>IF(TRUE=ISBLANK(ChemData!Q265),"",(ChemData!Q265))</f>
        <v>NA</v>
      </c>
      <c r="H265" s="291">
        <f>IF(TRUE=ISBLANK(ChemData!S265),"",(ChemData!S265))</f>
        <v>1</v>
      </c>
      <c r="I265" s="375" t="str">
        <f>IF(Start!$C$15="x",(IF(OR(C265="NA",C265=""), "NA", (IF($H265 = "NA", "NA", ((C265*$H265)))))),"---")</f>
        <v>---</v>
      </c>
      <c r="J265" s="376" t="str">
        <f>IF(Start!$C$15="x",(IF(I265 = "NA", "NA", IF(OR(D265="NA",D265=""),"NA",(I265 +((Data!$D$19-Data!$D$22)/(Data!$D$19*Data!$D$22)*$D265))))),"---")</f>
        <v>---</v>
      </c>
      <c r="K265" s="376" t="str">
        <f>IF(Start!$C$15="x",(IF(J265="NA","NA",IF(OR(G265="NA",G265=""),"NA",(J265*(1-Data!$D$23)*Data!$D$14*1000)/(Data!$D$23+((1-Data!$D$23)*Data!$D$14*$G265))))),"---")</f>
        <v>---</v>
      </c>
      <c r="L265" s="376" t="str">
        <f>IF(Start!$C$15="x",(IF(I265="NA","NA",IF($G265 = "NA", "NA",(IF(OR(ChemData!U265="NA",ChemData!U265=""),I265/((Data!$D$18+((1-Data!$D$18)*Data!$D$14*$G265))/((1-Data!$D$18)*Data!$D$14*1000)),(IF(I265/((Data!$D$18+((1-Data!$D$18)*Data!$D$14*$G265))/((1-Data!$D$18)*Data!$D$14*1000))&gt;ChemData!U265, ChemData!U265, I265/((Data!$D$18+((1-Data!$D$18)*Data!$D$14*$G265))/((1-Data!$D$18)*Data!$D$14*1000))))))))),"---")</f>
        <v>---</v>
      </c>
      <c r="M265" s="376" t="str">
        <f>IF(Start!$C$15="x",(IF(L265="NA","NA",IF(OR(D265="NA",D265=""),"NA",(((Data!$D$22*Data!$D$18)*L265)+(Data!$D$19-Data!$D$22)*$D265)/((Data!$D$22*Data!$D$18)+Data!$D$19-Data!$D$22)))),"---")</f>
        <v>---</v>
      </c>
      <c r="N265" s="376" t="str">
        <f>IF(Start!$C$15="x",IF(K265 = "NA", "NA", (IF(M265 = "NA", "NA",(IF(OR(ChemData!U265="NA",ChemData!U265=""),(IF(K265&gt;M265,K265,M265)),(IF(K265&gt;M265,(IF(K265&gt;ChemData!U265, ChemData!U265, K265)),(IF(M265&gt;ChemData!U265,ChemData!U265,M265))))))))),"---")</f>
        <v>---</v>
      </c>
      <c r="O265" s="377" t="str">
        <f>IF(Start!$C$15="x",IF(N265 = "NA","NA", IF(OR(E265="NA",E265=""),"NA",(N265+(Data!$D$26*$E265))/(Data!$D$26+1))),"---")</f>
        <v>---</v>
      </c>
      <c r="P265" s="730" t="str">
        <f>IF(E265="",F265,IF($F265&lt;(1+(Data!$D$27/100))*$E265,(1+(Data!$D$27/100))*$E265,$F265))</f>
        <v>NA</v>
      </c>
      <c r="Q265" s="343" t="str">
        <f>IF(Start!$C$15="x",(IF(C265="","",(IF(O265="NA","NA",IF(P265="NA","NA",IF(P265=0,"NA",(O265/P265))))))),"Not Req.")</f>
        <v>Not Req.</v>
      </c>
      <c r="R265" s="163"/>
      <c r="S265" s="18"/>
      <c r="T265" s="18"/>
      <c r="U265" s="163"/>
      <c r="V265" s="163"/>
      <c r="W265" s="18"/>
      <c r="X265" s="163"/>
      <c r="Y265" s="163"/>
      <c r="Z265" s="18"/>
    </row>
    <row r="266" spans="1:26" s="10" customFormat="1" x14ac:dyDescent="0.25">
      <c r="A266" s="405" t="s">
        <v>584</v>
      </c>
      <c r="B266" s="371" t="str">
        <f>IF(Start!$C$15="x",IF(C266="NA","NA",(IF(C266="","",(IF(OR(F266="NA",F266=""),"No Criteria",(IF(AND(O266="NA",F266&lt;&gt;"NA",C266&lt;&gt;"NA"),                  "Missing Data",(IF(O266&lt;F266,"No",(IF(D266&gt;F266,"Caution",(IF(O266&gt;=F266,"Needed","No"))))))))))))),"---")</f>
        <v>---</v>
      </c>
      <c r="C266" s="372" t="str">
        <f>IF(TRUE=ISBLANK(ChemData!B266),"",(ChemData!B266))</f>
        <v/>
      </c>
      <c r="D266" s="373" t="str">
        <f>IF(TRUE=ISBLANK(ChemData!C266),"",(ChemData!C266))</f>
        <v/>
      </c>
      <c r="E266" s="374" t="str">
        <f>IF(TRUE=ISBLANK(ChemData!D266),"",(ChemData!D266))</f>
        <v/>
      </c>
      <c r="F266" s="289" t="str">
        <f>IF(TRUE=ISBLANK(ChemData!H266),"",(ChemData!H266))</f>
        <v>NA</v>
      </c>
      <c r="G266" s="290" t="str">
        <f>IF(TRUE=ISBLANK(ChemData!Q266),"",(ChemData!Q266))</f>
        <v>NA</v>
      </c>
      <c r="H266" s="291">
        <f>IF(TRUE=ISBLANK(ChemData!S266),"",(ChemData!S266))</f>
        <v>1</v>
      </c>
      <c r="I266" s="375" t="str">
        <f>IF(Start!$C$15="x",(IF(OR(C266="NA",C266=""), "NA", (IF($H266 = "NA", "NA", ((C266*$H266)))))),"---")</f>
        <v>---</v>
      </c>
      <c r="J266" s="376" t="str">
        <f>IF(Start!$C$15="x",(IF(I266 = "NA", "NA", IF(OR(D266="NA",D266=""),"NA",(I266 +((Data!$D$19-Data!$D$22)/(Data!$D$19*Data!$D$22)*$D266))))),"---")</f>
        <v>---</v>
      </c>
      <c r="K266" s="376" t="str">
        <f>IF(Start!$C$15="x",(IF(J266="NA","NA",IF(OR(G266="NA",G266=""),"NA",(J266*(1-Data!$D$23)*Data!$D$14*1000)/(Data!$D$23+((1-Data!$D$23)*Data!$D$14*$G266))))),"---")</f>
        <v>---</v>
      </c>
      <c r="L266" s="376" t="str">
        <f>IF(Start!$C$15="x",(IF(I266="NA","NA",IF($G266 = "NA", "NA",(IF(OR(ChemData!U266="NA",ChemData!U266=""),I266/((Data!$D$18+((1-Data!$D$18)*Data!$D$14*$G266))/((1-Data!$D$18)*Data!$D$14*1000)),(IF(I266/((Data!$D$18+((1-Data!$D$18)*Data!$D$14*$G266))/((1-Data!$D$18)*Data!$D$14*1000))&gt;ChemData!U266, ChemData!U266, I266/((Data!$D$18+((1-Data!$D$18)*Data!$D$14*$G266))/((1-Data!$D$18)*Data!$D$14*1000))))))))),"---")</f>
        <v>---</v>
      </c>
      <c r="M266" s="376" t="str">
        <f>IF(Start!$C$15="x",(IF(L266="NA","NA",IF(OR(D266="NA",D266=""),"NA",(((Data!$D$22*Data!$D$18)*L266)+(Data!$D$19-Data!$D$22)*$D266)/((Data!$D$22*Data!$D$18)+Data!$D$19-Data!$D$22)))),"---")</f>
        <v>---</v>
      </c>
      <c r="N266" s="376" t="str">
        <f>IF(Start!$C$15="x",IF(K266 = "NA", "NA", (IF(M266 = "NA", "NA",(IF(OR(ChemData!U266="NA",ChemData!U266=""),(IF(K266&gt;M266,K266,M266)),(IF(K266&gt;M266,(IF(K266&gt;ChemData!U266, ChemData!U266, K266)),(IF(M266&gt;ChemData!U266,ChemData!U266,M266))))))))),"---")</f>
        <v>---</v>
      </c>
      <c r="O266" s="377" t="str">
        <f>IF(Start!$C$15="x",IF(N266 = "NA","NA", IF(OR(E266="NA",E266=""),"NA",(N266+(Data!$D$26*$E266))/(Data!$D$26+1))),"---")</f>
        <v>---</v>
      </c>
      <c r="P266" s="730" t="str">
        <f>IF(E266="",F266,IF($F266&lt;(1+(Data!$D$27/100))*$E266,(1+(Data!$D$27/100))*$E266,$F266))</f>
        <v>NA</v>
      </c>
      <c r="Q266" s="343" t="str">
        <f>IF(Start!$C$15="x",(IF(C266="","",(IF(O266="NA","NA",IF(P266="NA","NA",IF(P266=0,"NA",(O266/P266))))))),"Not Req.")</f>
        <v>Not Req.</v>
      </c>
      <c r="R266" s="163"/>
      <c r="S266" s="18"/>
      <c r="T266" s="18"/>
      <c r="U266" s="163"/>
      <c r="V266" s="163"/>
      <c r="W266" s="18"/>
      <c r="X266" s="163"/>
      <c r="Y266" s="163"/>
      <c r="Z266" s="18"/>
    </row>
    <row r="267" spans="1:26" s="10" customFormat="1" x14ac:dyDescent="0.25">
      <c r="A267" s="405" t="s">
        <v>585</v>
      </c>
      <c r="B267" s="371" t="str">
        <f>IF(Start!$C$15="x",IF(C267="NA","NA",(IF(C267="","",(IF(OR(F267="NA",F267=""),"No Criteria",(IF(AND(O267="NA",F267&lt;&gt;"NA",C267&lt;&gt;"NA"),                  "Missing Data",(IF(O267&lt;F267,"No",(IF(D267&gt;F267,"Caution",(IF(O267&gt;=F267,"Needed","No"))))))))))))),"---")</f>
        <v>---</v>
      </c>
      <c r="C267" s="372" t="str">
        <f>IF(TRUE=ISBLANK(ChemData!B267),"",(ChemData!B267))</f>
        <v/>
      </c>
      <c r="D267" s="373" t="str">
        <f>IF(TRUE=ISBLANK(ChemData!C267),"",(ChemData!C267))</f>
        <v/>
      </c>
      <c r="E267" s="374" t="str">
        <f>IF(TRUE=ISBLANK(ChemData!D267),"",(ChemData!D267))</f>
        <v/>
      </c>
      <c r="F267" s="289" t="str">
        <f>IF(TRUE=ISBLANK(ChemData!H267),"",(ChemData!H267))</f>
        <v>NA</v>
      </c>
      <c r="G267" s="290" t="str">
        <f>IF(TRUE=ISBLANK(ChemData!Q267),"",(ChemData!Q267))</f>
        <v>NA</v>
      </c>
      <c r="H267" s="291">
        <f>IF(TRUE=ISBLANK(ChemData!S267),"",(ChemData!S267))</f>
        <v>1</v>
      </c>
      <c r="I267" s="375" t="str">
        <f>IF(Start!$C$15="x",(IF(OR(C267="NA",C267=""), "NA", (IF($H267 = "NA", "NA", ((C267*$H267)))))),"---")</f>
        <v>---</v>
      </c>
      <c r="J267" s="376" t="str">
        <f>IF(Start!$C$15="x",(IF(I267 = "NA", "NA", IF(OR(D267="NA",D267=""),"NA",(I267 +((Data!$D$19-Data!$D$22)/(Data!$D$19*Data!$D$22)*$D267))))),"---")</f>
        <v>---</v>
      </c>
      <c r="K267" s="376" t="str">
        <f>IF(Start!$C$15="x",(IF(J267="NA","NA",IF(OR(G267="NA",G267=""),"NA",(J267*(1-Data!$D$23)*Data!$D$14*1000)/(Data!$D$23+((1-Data!$D$23)*Data!$D$14*$G267))))),"---")</f>
        <v>---</v>
      </c>
      <c r="L267" s="376" t="str">
        <f>IF(Start!$C$15="x",(IF(I267="NA","NA",IF($G267 = "NA", "NA",(IF(OR(ChemData!U267="NA",ChemData!U267=""),I267/((Data!$D$18+((1-Data!$D$18)*Data!$D$14*$G267))/((1-Data!$D$18)*Data!$D$14*1000)),(IF(I267/((Data!$D$18+((1-Data!$D$18)*Data!$D$14*$G267))/((1-Data!$D$18)*Data!$D$14*1000))&gt;ChemData!U267, ChemData!U267, I267/((Data!$D$18+((1-Data!$D$18)*Data!$D$14*$G267))/((1-Data!$D$18)*Data!$D$14*1000))))))))),"---")</f>
        <v>---</v>
      </c>
      <c r="M267" s="376" t="str">
        <f>IF(Start!$C$15="x",(IF(L267="NA","NA",IF(OR(D267="NA",D267=""),"NA",(((Data!$D$22*Data!$D$18)*L267)+(Data!$D$19-Data!$D$22)*$D267)/((Data!$D$22*Data!$D$18)+Data!$D$19-Data!$D$22)))),"---")</f>
        <v>---</v>
      </c>
      <c r="N267" s="376" t="str">
        <f>IF(Start!$C$15="x",IF(K267 = "NA", "NA", (IF(M267 = "NA", "NA",(IF(OR(ChemData!U267="NA",ChemData!U267=""),(IF(K267&gt;M267,K267,M267)),(IF(K267&gt;M267,(IF(K267&gt;ChemData!U267, ChemData!U267, K267)),(IF(M267&gt;ChemData!U267,ChemData!U267,M267))))))))),"---")</f>
        <v>---</v>
      </c>
      <c r="O267" s="377" t="str">
        <f>IF(Start!$C$15="x",IF(N267 = "NA","NA", IF(OR(E267="NA",E267=""),"NA",(N267+(Data!$D$26*$E267))/(Data!$D$26+1))),"---")</f>
        <v>---</v>
      </c>
      <c r="P267" s="730" t="str">
        <f>IF(E267="",F267,IF($F267&lt;(1+(Data!$D$27/100))*$E267,(1+(Data!$D$27/100))*$E267,$F267))</f>
        <v>NA</v>
      </c>
      <c r="Q267" s="343" t="str">
        <f>IF(Start!$C$15="x",(IF(C267="","",(IF(O267="NA","NA",IF(P267="NA","NA",IF(P267=0,"NA",(O267/P267))))))),"Not Req.")</f>
        <v>Not Req.</v>
      </c>
      <c r="R267" s="163"/>
      <c r="S267" s="18"/>
      <c r="T267" s="18"/>
      <c r="U267" s="163"/>
      <c r="V267" s="163"/>
      <c r="W267" s="18"/>
      <c r="X267" s="163"/>
      <c r="Y267" s="163"/>
      <c r="Z267" s="18"/>
    </row>
    <row r="268" spans="1:26" s="10" customFormat="1" x14ac:dyDescent="0.25">
      <c r="A268" s="405" t="s">
        <v>586</v>
      </c>
      <c r="B268" s="371" t="str">
        <f>IF(Start!$C$15="x",IF(C268="NA","NA",(IF(C268="","",(IF(OR(F268="NA",F268=""),"No Criteria",(IF(AND(O268="NA",F268&lt;&gt;"NA",C268&lt;&gt;"NA"),                  "Missing Data",(IF(O268&lt;F268,"No",(IF(D268&gt;F268,"Caution",(IF(O268&gt;=F268,"Needed","No"))))))))))))),"---")</f>
        <v>---</v>
      </c>
      <c r="C268" s="372" t="str">
        <f>IF(TRUE=ISBLANK(ChemData!B268),"",(ChemData!B268))</f>
        <v/>
      </c>
      <c r="D268" s="373" t="str">
        <f>IF(TRUE=ISBLANK(ChemData!C268),"",(ChemData!C268))</f>
        <v/>
      </c>
      <c r="E268" s="374" t="str">
        <f>IF(TRUE=ISBLANK(ChemData!D268),"",(ChemData!D268))</f>
        <v/>
      </c>
      <c r="F268" s="289" t="str">
        <f>IF(TRUE=ISBLANK(ChemData!H268),"",(ChemData!H268))</f>
        <v>NA</v>
      </c>
      <c r="G268" s="290">
        <f>IF(TRUE=ISBLANK(ChemData!Q268),"",(ChemData!Q268))</f>
        <v>1115337.7938236406</v>
      </c>
      <c r="H268" s="291">
        <f>IF(TRUE=ISBLANK(ChemData!S268),"",(ChemData!S268))</f>
        <v>1</v>
      </c>
      <c r="I268" s="375" t="str">
        <f>IF(Start!$C$15="x",(IF(OR(C268="NA",C268=""), "NA", (IF($H268 = "NA", "NA", ((C268*$H268)))))),"---")</f>
        <v>---</v>
      </c>
      <c r="J268" s="376" t="str">
        <f>IF(Start!$C$15="x",(IF(I268 = "NA", "NA", IF(OR(D268="NA",D268=""),"NA",(I268 +((Data!$D$19-Data!$D$22)/(Data!$D$19*Data!$D$22)*$D268))))),"---")</f>
        <v>---</v>
      </c>
      <c r="K268" s="376" t="str">
        <f>IF(Start!$C$15="x",(IF(J268="NA","NA",IF(OR(G268="NA",G268=""),"NA",(J268*(1-Data!$D$23)*Data!$D$14*1000)/(Data!$D$23+((1-Data!$D$23)*Data!$D$14*$G268))))),"---")</f>
        <v>---</v>
      </c>
      <c r="L268" s="376" t="str">
        <f>IF(Start!$C$15="x",(IF(I268="NA","NA",IF($G268 = "NA", "NA",(IF(OR(ChemData!U268="NA",ChemData!U268=""),I268/((Data!$D$18+((1-Data!$D$18)*Data!$D$14*$G268))/((1-Data!$D$18)*Data!$D$14*1000)),(IF(I268/((Data!$D$18+((1-Data!$D$18)*Data!$D$14*$G268))/((1-Data!$D$18)*Data!$D$14*1000))&gt;ChemData!U268, ChemData!U268, I268/((Data!$D$18+((1-Data!$D$18)*Data!$D$14*$G268))/((1-Data!$D$18)*Data!$D$14*1000))))))))),"---")</f>
        <v>---</v>
      </c>
      <c r="M268" s="376" t="str">
        <f>IF(Start!$C$15="x",(IF(L268="NA","NA",IF(OR(D268="NA",D268=""),"NA",(((Data!$D$22*Data!$D$18)*L268)+(Data!$D$19-Data!$D$22)*$D268)/((Data!$D$22*Data!$D$18)+Data!$D$19-Data!$D$22)))),"---")</f>
        <v>---</v>
      </c>
      <c r="N268" s="376" t="str">
        <f>IF(Start!$C$15="x",IF(K268 = "NA", "NA", (IF(M268 = "NA", "NA",(IF(OR(ChemData!U268="NA",ChemData!U268=""),(IF(K268&gt;M268,K268,M268)),(IF(K268&gt;M268,(IF(K268&gt;ChemData!U268, ChemData!U268, K268)),(IF(M268&gt;ChemData!U268,ChemData!U268,M268))))))))),"---")</f>
        <v>---</v>
      </c>
      <c r="O268" s="377" t="str">
        <f>IF(Start!$C$15="x",IF(N268 = "NA","NA", IF(OR(E268="NA",E268=""),"NA",(N268+(Data!$D$26*$E268))/(Data!$D$26+1))),"---")</f>
        <v>---</v>
      </c>
      <c r="P268" s="730" t="str">
        <f>IF(E268="",F268,IF($F268&lt;(1+(Data!$D$27/100))*$E268,(1+(Data!$D$27/100))*$E268,$F268))</f>
        <v>NA</v>
      </c>
      <c r="Q268" s="343" t="str">
        <f>IF(Start!$C$15="x",(IF(C268="","",(IF(O268="NA","NA",IF(P268="NA","NA",IF(P268=0,"NA",(O268/P268))))))),"Not Req.")</f>
        <v>Not Req.</v>
      </c>
      <c r="R268" s="163"/>
      <c r="S268" s="18"/>
      <c r="T268" s="18"/>
      <c r="U268" s="163"/>
      <c r="V268" s="163"/>
      <c r="W268" s="18"/>
      <c r="X268" s="163"/>
      <c r="Y268" s="163"/>
      <c r="Z268" s="18"/>
    </row>
    <row r="269" spans="1:26" s="10" customFormat="1" x14ac:dyDescent="0.25">
      <c r="A269" s="405" t="s">
        <v>587</v>
      </c>
      <c r="B269" s="371" t="str">
        <f>IF(Start!$C$15="x",IF(C269="NA","NA",(IF(C269="","",(IF(OR(F269="NA",F269=""),"No Criteria",(IF(AND(O269="NA",F269&lt;&gt;"NA",C269&lt;&gt;"NA"),                  "Missing Data",(IF(O269&lt;F269,"No",(IF(D269&gt;F269,"Caution",(IF(O269&gt;=F269,"Needed","No"))))))))))))),"---")</f>
        <v>---</v>
      </c>
      <c r="C269" s="372" t="str">
        <f>IF(TRUE=ISBLANK(ChemData!B269),"",(ChemData!B269))</f>
        <v/>
      </c>
      <c r="D269" s="373" t="str">
        <f>IF(TRUE=ISBLANK(ChemData!C269),"",(ChemData!C269))</f>
        <v/>
      </c>
      <c r="E269" s="374" t="str">
        <f>IF(TRUE=ISBLANK(ChemData!D269),"",(ChemData!D269))</f>
        <v/>
      </c>
      <c r="F269" s="289" t="str">
        <f>IF(TRUE=ISBLANK(ChemData!H269),"",(ChemData!H269))</f>
        <v>NA</v>
      </c>
      <c r="G269" s="290">
        <f>IF(TRUE=ISBLANK(ChemData!Q269),"",(ChemData!Q269))</f>
        <v>3143449.0007066983</v>
      </c>
      <c r="H269" s="291">
        <f>IF(TRUE=ISBLANK(ChemData!S269),"",(ChemData!S269))</f>
        <v>1</v>
      </c>
      <c r="I269" s="375" t="str">
        <f>IF(Start!$C$15="x",(IF(OR(C269="NA",C269=""), "NA", (IF($H269 = "NA", "NA", ((C269*$H269)))))),"---")</f>
        <v>---</v>
      </c>
      <c r="J269" s="376" t="str">
        <f>IF(Start!$C$15="x",(IF(I269 = "NA", "NA", IF(OR(D269="NA",D269=""),"NA",(I269 +((Data!$D$19-Data!$D$22)/(Data!$D$19*Data!$D$22)*$D269))))),"---")</f>
        <v>---</v>
      </c>
      <c r="K269" s="376" t="str">
        <f>IF(Start!$C$15="x",(IF(J269="NA","NA",IF(OR(G269="NA",G269=""),"NA",(J269*(1-Data!$D$23)*Data!$D$14*1000)/(Data!$D$23+((1-Data!$D$23)*Data!$D$14*$G269))))),"---")</f>
        <v>---</v>
      </c>
      <c r="L269" s="376" t="str">
        <f>IF(Start!$C$15="x",(IF(I269="NA","NA",IF($G269 = "NA", "NA",(IF(OR(ChemData!U269="NA",ChemData!U269=""),I269/((Data!$D$18+((1-Data!$D$18)*Data!$D$14*$G269))/((1-Data!$D$18)*Data!$D$14*1000)),(IF(I269/((Data!$D$18+((1-Data!$D$18)*Data!$D$14*$G269))/((1-Data!$D$18)*Data!$D$14*1000))&gt;ChemData!U269, ChemData!U269, I269/((Data!$D$18+((1-Data!$D$18)*Data!$D$14*$G269))/((1-Data!$D$18)*Data!$D$14*1000))))))))),"---")</f>
        <v>---</v>
      </c>
      <c r="M269" s="376" t="str">
        <f>IF(Start!$C$15="x",(IF(L269="NA","NA",IF(OR(D269="NA",D269=""),"NA",(((Data!$D$22*Data!$D$18)*L269)+(Data!$D$19-Data!$D$22)*$D269)/((Data!$D$22*Data!$D$18)+Data!$D$19-Data!$D$22)))),"---")</f>
        <v>---</v>
      </c>
      <c r="N269" s="376" t="str">
        <f>IF(Start!$C$15="x",IF(K269 = "NA", "NA", (IF(M269 = "NA", "NA",(IF(OR(ChemData!U269="NA",ChemData!U269=""),(IF(K269&gt;M269,K269,M269)),(IF(K269&gt;M269,(IF(K269&gt;ChemData!U269, ChemData!U269, K269)),(IF(M269&gt;ChemData!U269,ChemData!U269,M269))))))))),"---")</f>
        <v>---</v>
      </c>
      <c r="O269" s="377" t="str">
        <f>IF(Start!$C$15="x",IF(N269 = "NA","NA", IF(OR(E269="NA",E269=""),"NA",(N269+(Data!$D$26*$E269))/(Data!$D$26+1))),"---")</f>
        <v>---</v>
      </c>
      <c r="P269" s="730" t="str">
        <f>IF(E269="",F269,IF($F269&lt;(1+(Data!$D$27/100))*$E269,(1+(Data!$D$27/100))*$E269,$F269))</f>
        <v>NA</v>
      </c>
      <c r="Q269" s="343" t="str">
        <f>IF(Start!$C$15="x",(IF(C269="","",(IF(O269="NA","NA",IF(P269="NA","NA",IF(P269=0,"NA",(O269/P269))))))),"Not Req.")</f>
        <v>Not Req.</v>
      </c>
      <c r="R269" s="163"/>
      <c r="S269" s="18"/>
      <c r="T269" s="18"/>
      <c r="U269" s="163"/>
      <c r="V269" s="163"/>
      <c r="W269" s="18"/>
      <c r="X269" s="163"/>
      <c r="Y269" s="163"/>
      <c r="Z269" s="18"/>
    </row>
    <row r="270" spans="1:26" s="10" customFormat="1" x14ac:dyDescent="0.25">
      <c r="A270" s="405" t="s">
        <v>588</v>
      </c>
      <c r="B270" s="371" t="str">
        <f>IF(Start!$C$15="x",IF(C270="NA","NA",(IF(C270="","",(IF(OR(F270="NA",F270=""),"No Criteria",(IF(AND(O270="NA",F270&lt;&gt;"NA",C270&lt;&gt;"NA"),                  "Missing Data",(IF(O270&lt;F270,"No",(IF(D270&gt;F270,"Caution",(IF(O270&gt;=F270,"Needed","No"))))))))))))),"---")</f>
        <v>---</v>
      </c>
      <c r="C270" s="372" t="str">
        <f>IF(TRUE=ISBLANK(ChemData!B270),"",(ChemData!B270))</f>
        <v/>
      </c>
      <c r="D270" s="373" t="str">
        <f>IF(TRUE=ISBLANK(ChemData!C270),"",(ChemData!C270))</f>
        <v/>
      </c>
      <c r="E270" s="374" t="str">
        <f>IF(TRUE=ISBLANK(ChemData!D270),"",(ChemData!D270))</f>
        <v/>
      </c>
      <c r="F270" s="289" t="str">
        <f>IF(TRUE=ISBLANK(ChemData!H270),"",(ChemData!H270))</f>
        <v>NA</v>
      </c>
      <c r="G270" s="290">
        <f>IF(TRUE=ISBLANK(ChemData!Q270),"",(ChemData!Q270))</f>
        <v>3001970.490211389</v>
      </c>
      <c r="H270" s="291">
        <f>IF(TRUE=ISBLANK(ChemData!S270),"",(ChemData!S270))</f>
        <v>1</v>
      </c>
      <c r="I270" s="375" t="str">
        <f>IF(Start!$C$15="x",(IF(OR(C270="NA",C270=""), "NA", (IF($H270 = "NA", "NA", ((C270*$H270)))))),"---")</f>
        <v>---</v>
      </c>
      <c r="J270" s="376" t="str">
        <f>IF(Start!$C$15="x",(IF(I270 = "NA", "NA", IF(OR(D270="NA",D270=""),"NA",(I270 +((Data!$D$19-Data!$D$22)/(Data!$D$19*Data!$D$22)*$D270))))),"---")</f>
        <v>---</v>
      </c>
      <c r="K270" s="376" t="str">
        <f>IF(Start!$C$15="x",(IF(J270="NA","NA",IF(OR(G270="NA",G270=""),"NA",(J270*(1-Data!$D$23)*Data!$D$14*1000)/(Data!$D$23+((1-Data!$D$23)*Data!$D$14*$G270))))),"---")</f>
        <v>---</v>
      </c>
      <c r="L270" s="376" t="str">
        <f>IF(Start!$C$15="x",(IF(I270="NA","NA",IF($G270 = "NA", "NA",(IF(OR(ChemData!U270="NA",ChemData!U270=""),I270/((Data!$D$18+((1-Data!$D$18)*Data!$D$14*$G270))/((1-Data!$D$18)*Data!$D$14*1000)),(IF(I270/((Data!$D$18+((1-Data!$D$18)*Data!$D$14*$G270))/((1-Data!$D$18)*Data!$D$14*1000))&gt;ChemData!U270, ChemData!U270, I270/((Data!$D$18+((1-Data!$D$18)*Data!$D$14*$G270))/((1-Data!$D$18)*Data!$D$14*1000))))))))),"---")</f>
        <v>---</v>
      </c>
      <c r="M270" s="376" t="str">
        <f>IF(Start!$C$15="x",(IF(L270="NA","NA",IF(OR(D270="NA",D270=""),"NA",(((Data!$D$22*Data!$D$18)*L270)+(Data!$D$19-Data!$D$22)*$D270)/((Data!$D$22*Data!$D$18)+Data!$D$19-Data!$D$22)))),"---")</f>
        <v>---</v>
      </c>
      <c r="N270" s="376" t="str">
        <f>IF(Start!$C$15="x",IF(K270 = "NA", "NA", (IF(M270 = "NA", "NA",(IF(OR(ChemData!U270="NA",ChemData!U270=""),(IF(K270&gt;M270,K270,M270)),(IF(K270&gt;M270,(IF(K270&gt;ChemData!U270, ChemData!U270, K270)),(IF(M270&gt;ChemData!U270,ChemData!U270,M270))))))))),"---")</f>
        <v>---</v>
      </c>
      <c r="O270" s="377" t="str">
        <f>IF(Start!$C$15="x",IF(N270 = "NA","NA", IF(OR(E270="NA",E270=""),"NA",(N270+(Data!$D$26*$E270))/(Data!$D$26+1))),"---")</f>
        <v>---</v>
      </c>
      <c r="P270" s="730" t="str">
        <f>IF(E270="",F270,IF($F270&lt;(1+(Data!$D$27/100))*$E270,(1+(Data!$D$27/100))*$E270,$F270))</f>
        <v>NA</v>
      </c>
      <c r="Q270" s="343" t="str">
        <f>IF(Start!$C$15="x",(IF(C270="","",(IF(O270="NA","NA",IF(P270="NA","NA",IF(P270=0,"NA",(O270/P270))))))),"Not Req.")</f>
        <v>Not Req.</v>
      </c>
      <c r="R270" s="163"/>
      <c r="S270" s="18"/>
      <c r="T270" s="18"/>
      <c r="U270" s="163"/>
      <c r="V270" s="163"/>
      <c r="W270" s="18"/>
      <c r="X270" s="163"/>
      <c r="Y270" s="163"/>
      <c r="Z270" s="18"/>
    </row>
    <row r="271" spans="1:26" s="10" customFormat="1" x14ac:dyDescent="0.25">
      <c r="A271" s="405" t="s">
        <v>589</v>
      </c>
      <c r="B271" s="371" t="str">
        <f>IF(Start!$C$15="x",IF(C271="NA","NA",(IF(C271="","",(IF(OR(F271="NA",F271=""),"No Criteria",(IF(AND(O271="NA",F271&lt;&gt;"NA",C271&lt;&gt;"NA"),                  "Missing Data",(IF(O271&lt;F271,"No",(IF(D271&gt;F271,"Caution",(IF(O271&gt;=F271,"Needed","No"))))))))))))),"---")</f>
        <v>---</v>
      </c>
      <c r="C271" s="372" t="str">
        <f>IF(TRUE=ISBLANK(ChemData!B271),"",(ChemData!B271))</f>
        <v/>
      </c>
      <c r="D271" s="373" t="str">
        <f>IF(TRUE=ISBLANK(ChemData!C271),"",(ChemData!C271))</f>
        <v/>
      </c>
      <c r="E271" s="374" t="str">
        <f>IF(TRUE=ISBLANK(ChemData!D271),"",(ChemData!D271))</f>
        <v/>
      </c>
      <c r="F271" s="289" t="str">
        <f>IF(TRUE=ISBLANK(ChemData!H271),"",(ChemData!H271))</f>
        <v>NA</v>
      </c>
      <c r="G271" s="290">
        <f>IF(TRUE=ISBLANK(ChemData!Q271),"",(ChemData!Q271))</f>
        <v>703730.57258936029</v>
      </c>
      <c r="H271" s="291">
        <f>IF(TRUE=ISBLANK(ChemData!S271),"",(ChemData!S271))</f>
        <v>1</v>
      </c>
      <c r="I271" s="375" t="str">
        <f>IF(Start!$C$15="x",(IF(OR(C271="NA",C271=""), "NA", (IF($H271 = "NA", "NA", ((C271*$H271)))))),"---")</f>
        <v>---</v>
      </c>
      <c r="J271" s="376" t="str">
        <f>IF(Start!$C$15="x",(IF(I271 = "NA", "NA", IF(OR(D271="NA",D271=""),"NA",(I271 +((Data!$D$19-Data!$D$22)/(Data!$D$19*Data!$D$22)*$D271))))),"---")</f>
        <v>---</v>
      </c>
      <c r="K271" s="376" t="str">
        <f>IF(Start!$C$15="x",(IF(J271="NA","NA",IF(OR(G271="NA",G271=""),"NA",(J271*(1-Data!$D$23)*Data!$D$14*1000)/(Data!$D$23+((1-Data!$D$23)*Data!$D$14*$G271))))),"---")</f>
        <v>---</v>
      </c>
      <c r="L271" s="376" t="str">
        <f>IF(Start!$C$15="x",(IF(I271="NA","NA",IF($G271 = "NA", "NA",(IF(OR(ChemData!U271="NA",ChemData!U271=""),I271/((Data!$D$18+((1-Data!$D$18)*Data!$D$14*$G271))/((1-Data!$D$18)*Data!$D$14*1000)),(IF(I271/((Data!$D$18+((1-Data!$D$18)*Data!$D$14*$G271))/((1-Data!$D$18)*Data!$D$14*1000))&gt;ChemData!U271, ChemData!U271, I271/((Data!$D$18+((1-Data!$D$18)*Data!$D$14*$G271))/((1-Data!$D$18)*Data!$D$14*1000))))))))),"---")</f>
        <v>---</v>
      </c>
      <c r="M271" s="376" t="str">
        <f>IF(Start!$C$15="x",(IF(L271="NA","NA",IF(OR(D271="NA",D271=""),"NA",(((Data!$D$22*Data!$D$18)*L271)+(Data!$D$19-Data!$D$22)*$D271)/((Data!$D$22*Data!$D$18)+Data!$D$19-Data!$D$22)))),"---")</f>
        <v>---</v>
      </c>
      <c r="N271" s="376" t="str">
        <f>IF(Start!$C$15="x",IF(K271 = "NA", "NA", (IF(M271 = "NA", "NA",(IF(OR(ChemData!U271="NA",ChemData!U271=""),(IF(K271&gt;M271,K271,M271)),(IF(K271&gt;M271,(IF(K271&gt;ChemData!U271, ChemData!U271, K271)),(IF(M271&gt;ChemData!U271,ChemData!U271,M271))))))))),"---")</f>
        <v>---</v>
      </c>
      <c r="O271" s="377" t="str">
        <f>IF(Start!$C$15="x",IF(N271 = "NA","NA", IF(OR(E271="NA",E271=""),"NA",(N271+(Data!$D$26*$E271))/(Data!$D$26+1))),"---")</f>
        <v>---</v>
      </c>
      <c r="P271" s="730" t="str">
        <f>IF(E271="",F271,IF($F271&lt;(1+(Data!$D$27/100))*$E271,(1+(Data!$D$27/100))*$E271,$F271))</f>
        <v>NA</v>
      </c>
      <c r="Q271" s="343" t="str">
        <f>IF(Start!$C$15="x",(IF(C271="","",(IF(O271="NA","NA",IF(P271="NA","NA",IF(P271=0,"NA",(O271/P271))))))),"Not Req.")</f>
        <v>Not Req.</v>
      </c>
      <c r="R271" s="163"/>
      <c r="S271" s="18"/>
      <c r="T271" s="18"/>
      <c r="U271" s="163"/>
      <c r="V271" s="163"/>
      <c r="W271" s="18"/>
      <c r="X271" s="163"/>
      <c r="Y271" s="163"/>
      <c r="Z271" s="18"/>
    </row>
    <row r="272" spans="1:26" s="10" customFormat="1" x14ac:dyDescent="0.25">
      <c r="A272" s="405" t="s">
        <v>590</v>
      </c>
      <c r="B272" s="371" t="str">
        <f>IF(Start!$C$15="x",IF(C272="NA","NA",(IF(C272="","",(IF(OR(F272="NA",F272=""),"No Criteria",(IF(AND(O272="NA",F272&lt;&gt;"NA",C272&lt;&gt;"NA"),                  "Missing Data",(IF(O272&lt;F272,"No",(IF(D272&gt;F272,"Caution",(IF(O272&gt;=F272,"Needed","No"))))))))))))),"---")</f>
        <v>---</v>
      </c>
      <c r="C272" s="372" t="str">
        <f>IF(TRUE=ISBLANK(ChemData!B272),"",(ChemData!B272))</f>
        <v/>
      </c>
      <c r="D272" s="373" t="str">
        <f>IF(TRUE=ISBLANK(ChemData!C272),"",(ChemData!C272))</f>
        <v/>
      </c>
      <c r="E272" s="374" t="str">
        <f>IF(TRUE=ISBLANK(ChemData!D272),"",(ChemData!D272))</f>
        <v/>
      </c>
      <c r="F272" s="289" t="str">
        <f>IF(TRUE=ISBLANK(ChemData!H272),"",(ChemData!H272))</f>
        <v>NA</v>
      </c>
      <c r="G272" s="290">
        <f>IF(TRUE=ISBLANK(ChemData!Q272),"",(ChemData!Q272))</f>
        <v>58533.759489716802</v>
      </c>
      <c r="H272" s="291">
        <f>IF(TRUE=ISBLANK(ChemData!S272),"",(ChemData!S272))</f>
        <v>1</v>
      </c>
      <c r="I272" s="375" t="str">
        <f>IF(Start!$C$15="x",(IF(OR(C272="NA",C272=""), "NA", (IF($H272 = "NA", "NA", ((C272*$H272)))))),"---")</f>
        <v>---</v>
      </c>
      <c r="J272" s="376" t="str">
        <f>IF(Start!$C$15="x",(IF(I272 = "NA", "NA", IF(OR(D272="NA",D272=""),"NA",(I272 +((Data!$D$19-Data!$D$22)/(Data!$D$19*Data!$D$22)*$D272))))),"---")</f>
        <v>---</v>
      </c>
      <c r="K272" s="376" t="str">
        <f>IF(Start!$C$15="x",(IF(J272="NA","NA",IF(OR(G272="NA",G272=""),"NA",(J272*(1-Data!$D$23)*Data!$D$14*1000)/(Data!$D$23+((1-Data!$D$23)*Data!$D$14*$G272))))),"---")</f>
        <v>---</v>
      </c>
      <c r="L272" s="376" t="str">
        <f>IF(Start!$C$15="x",(IF(I272="NA","NA",IF($G272 = "NA", "NA",(IF(OR(ChemData!U272="NA",ChemData!U272=""),I272/((Data!$D$18+((1-Data!$D$18)*Data!$D$14*$G272))/((1-Data!$D$18)*Data!$D$14*1000)),(IF(I272/((Data!$D$18+((1-Data!$D$18)*Data!$D$14*$G272))/((1-Data!$D$18)*Data!$D$14*1000))&gt;ChemData!U272, ChemData!U272, I272/((Data!$D$18+((1-Data!$D$18)*Data!$D$14*$G272))/((1-Data!$D$18)*Data!$D$14*1000))))))))),"---")</f>
        <v>---</v>
      </c>
      <c r="M272" s="376" t="str">
        <f>IF(Start!$C$15="x",(IF(L272="NA","NA",IF(OR(D272="NA",D272=""),"NA",(((Data!$D$22*Data!$D$18)*L272)+(Data!$D$19-Data!$D$22)*$D272)/((Data!$D$22*Data!$D$18)+Data!$D$19-Data!$D$22)))),"---")</f>
        <v>---</v>
      </c>
      <c r="N272" s="376" t="str">
        <f>IF(Start!$C$15="x",IF(K272 = "NA", "NA", (IF(M272 = "NA", "NA",(IF(OR(ChemData!U272="NA",ChemData!U272=""),(IF(K272&gt;M272,K272,M272)),(IF(K272&gt;M272,(IF(K272&gt;ChemData!U272, ChemData!U272, K272)),(IF(M272&gt;ChemData!U272,ChemData!U272,M272))))))))),"---")</f>
        <v>---</v>
      </c>
      <c r="O272" s="377" t="str">
        <f>IF(Start!$C$15="x",IF(N272 = "NA","NA", IF(OR(E272="NA",E272=""),"NA",(N272+(Data!$D$26*$E272))/(Data!$D$26+1))),"---")</f>
        <v>---</v>
      </c>
      <c r="P272" s="730" t="str">
        <f>IF(E272="",F272,IF($F272&lt;(1+(Data!$D$27/100))*$E272,(1+(Data!$D$27/100))*$E272,$F272))</f>
        <v>NA</v>
      </c>
      <c r="Q272" s="343" t="str">
        <f>IF(Start!$C$15="x",(IF(C272="","",(IF(O272="NA","NA",IF(P272="NA","NA",IF(P272=0,"NA",(O272/P272))))))),"Not Req.")</f>
        <v>Not Req.</v>
      </c>
      <c r="R272" s="163"/>
      <c r="S272" s="18"/>
      <c r="T272" s="18"/>
      <c r="U272" s="163"/>
      <c r="V272" s="163"/>
      <c r="W272" s="18"/>
      <c r="X272" s="163"/>
      <c r="Y272" s="163"/>
      <c r="Z272" s="18"/>
    </row>
    <row r="273" spans="1:26" s="10" customFormat="1" x14ac:dyDescent="0.25">
      <c r="A273" s="405" t="s">
        <v>591</v>
      </c>
      <c r="B273" s="371" t="str">
        <f>IF(Start!$C$15="x",IF(C273="NA","NA",(IF(C273="","",(IF(OR(F273="NA",F273=""),"No Criteria",(IF(AND(O273="NA",F273&lt;&gt;"NA",C273&lt;&gt;"NA"),                  "Missing Data",(IF(O273&lt;F273,"No",(IF(D273&gt;F273,"Caution",(IF(O273&gt;=F273,"Needed","No"))))))))))))),"---")</f>
        <v>---</v>
      </c>
      <c r="C273" s="372" t="str">
        <f>IF(TRUE=ISBLANK(ChemData!B273),"",(ChemData!B273))</f>
        <v/>
      </c>
      <c r="D273" s="373" t="str">
        <f>IF(TRUE=ISBLANK(ChemData!C273),"",(ChemData!C273))</f>
        <v/>
      </c>
      <c r="E273" s="374" t="str">
        <f>IF(TRUE=ISBLANK(ChemData!D273),"",(ChemData!D273))</f>
        <v/>
      </c>
      <c r="F273" s="289" t="str">
        <f>IF(TRUE=ISBLANK(ChemData!H273),"",(ChemData!H273))</f>
        <v>NA</v>
      </c>
      <c r="G273" s="290">
        <f>IF(TRUE=ISBLANK(ChemData!Q273),"",(ChemData!Q273))</f>
        <v>161215.36050087097</v>
      </c>
      <c r="H273" s="291">
        <f>IF(TRUE=ISBLANK(ChemData!S273),"",(ChemData!S273))</f>
        <v>1</v>
      </c>
      <c r="I273" s="375" t="str">
        <f>IF(Start!$C$15="x",(IF(OR(C273="NA",C273=""), "NA", (IF($H273 = "NA", "NA", ((C273*$H273)))))),"---")</f>
        <v>---</v>
      </c>
      <c r="J273" s="376" t="str">
        <f>IF(Start!$C$15="x",(IF(I273 = "NA", "NA", IF(OR(D273="NA",D273=""),"NA",(I273 +((Data!$D$19-Data!$D$22)/(Data!$D$19*Data!$D$22)*$D273))))),"---")</f>
        <v>---</v>
      </c>
      <c r="K273" s="376" t="str">
        <f>IF(Start!$C$15="x",(IF(J273="NA","NA",IF(OR(G273="NA",G273=""),"NA",(J273*(1-Data!$D$23)*Data!$D$14*1000)/(Data!$D$23+((1-Data!$D$23)*Data!$D$14*$G273))))),"---")</f>
        <v>---</v>
      </c>
      <c r="L273" s="376" t="str">
        <f>IF(Start!$C$15="x",(IF(I273="NA","NA",IF($G273 = "NA", "NA",(IF(OR(ChemData!U273="NA",ChemData!U273=""),I273/((Data!$D$18+((1-Data!$D$18)*Data!$D$14*$G273))/((1-Data!$D$18)*Data!$D$14*1000)),(IF(I273/((Data!$D$18+((1-Data!$D$18)*Data!$D$14*$G273))/((1-Data!$D$18)*Data!$D$14*1000))&gt;ChemData!U273, ChemData!U273, I273/((Data!$D$18+((1-Data!$D$18)*Data!$D$14*$G273))/((1-Data!$D$18)*Data!$D$14*1000))))))))),"---")</f>
        <v>---</v>
      </c>
      <c r="M273" s="376" t="str">
        <f>IF(Start!$C$15="x",(IF(L273="NA","NA",IF(OR(D273="NA",D273=""),"NA",(((Data!$D$22*Data!$D$18)*L273)+(Data!$D$19-Data!$D$22)*$D273)/((Data!$D$22*Data!$D$18)+Data!$D$19-Data!$D$22)))),"---")</f>
        <v>---</v>
      </c>
      <c r="N273" s="376" t="str">
        <f>IF(Start!$C$15="x",IF(K273 = "NA", "NA", (IF(M273 = "NA", "NA",(IF(OR(ChemData!U273="NA",ChemData!U273=""),(IF(K273&gt;M273,K273,M273)),(IF(K273&gt;M273,(IF(K273&gt;ChemData!U273, ChemData!U273, K273)),(IF(M273&gt;ChemData!U273,ChemData!U273,M273))))))))),"---")</f>
        <v>---</v>
      </c>
      <c r="O273" s="377" t="str">
        <f>IF(Start!$C$15="x",IF(N273 = "NA","NA", IF(OR(E273="NA",E273=""),"NA",(N273+(Data!$D$26*$E273))/(Data!$D$26+1))),"---")</f>
        <v>---</v>
      </c>
      <c r="P273" s="730" t="str">
        <f>IF(E273="",F273,IF($F273&lt;(1+(Data!$D$27/100))*$E273,(1+(Data!$D$27/100))*$E273,$F273))</f>
        <v>NA</v>
      </c>
      <c r="Q273" s="343" t="str">
        <f>IF(Start!$C$15="x",(IF(C273="","",(IF(O273="NA","NA",IF(P273="NA","NA",IF(P273=0,"NA",(O273/P273))))))),"Not Req.")</f>
        <v>Not Req.</v>
      </c>
      <c r="R273" s="163"/>
      <c r="S273" s="18"/>
      <c r="T273" s="18"/>
      <c r="U273" s="163"/>
      <c r="V273" s="163"/>
      <c r="W273" s="18"/>
      <c r="X273" s="163"/>
      <c r="Y273" s="163"/>
      <c r="Z273" s="18"/>
    </row>
    <row r="274" spans="1:26" s="10" customFormat="1" x14ac:dyDescent="0.25">
      <c r="A274" s="405" t="s">
        <v>592</v>
      </c>
      <c r="B274" s="371" t="str">
        <f>IF(Start!$C$15="x",IF(C274="NA","NA",(IF(C274="","",(IF(OR(F274="NA",F274=""),"No Criteria",(IF(AND(O274="NA",F274&lt;&gt;"NA",C274&lt;&gt;"NA"),                  "Missing Data",(IF(O274&lt;F274,"No",(IF(D274&gt;F274,"Caution",(IF(O274&gt;=F274,"Needed","No"))))))))))))),"---")</f>
        <v>---</v>
      </c>
      <c r="C274" s="372" t="str">
        <f>IF(TRUE=ISBLANK(ChemData!B274),"",(ChemData!B274))</f>
        <v/>
      </c>
      <c r="D274" s="373" t="str">
        <f>IF(TRUE=ISBLANK(ChemData!C274),"",(ChemData!C274))</f>
        <v/>
      </c>
      <c r="E274" s="374" t="str">
        <f>IF(TRUE=ISBLANK(ChemData!D274),"",(ChemData!D274))</f>
        <v/>
      </c>
      <c r="F274" s="289" t="str">
        <f>IF(TRUE=ISBLANK(ChemData!H274),"",(ChemData!H274))</f>
        <v>NA</v>
      </c>
      <c r="G274" s="290">
        <f>IF(TRUE=ISBLANK(ChemData!Q274),"",(ChemData!Q274))</f>
        <v>46495.01784724246</v>
      </c>
      <c r="H274" s="291">
        <f>IF(TRUE=ISBLANK(ChemData!S274),"",(ChemData!S274))</f>
        <v>1</v>
      </c>
      <c r="I274" s="375" t="str">
        <f>IF(Start!$C$15="x",(IF(OR(C274="NA",C274=""), "NA", (IF($H274 = "NA", "NA", ((C274*$H274)))))),"---")</f>
        <v>---</v>
      </c>
      <c r="J274" s="376" t="str">
        <f>IF(Start!$C$15="x",(IF(I274 = "NA", "NA", IF(OR(D274="NA",D274=""),"NA",(I274 +((Data!$D$19-Data!$D$22)/(Data!$D$19*Data!$D$22)*$D274))))),"---")</f>
        <v>---</v>
      </c>
      <c r="K274" s="376" t="str">
        <f>IF(Start!$C$15="x",(IF(J274="NA","NA",IF(OR(G274="NA",G274=""),"NA",(J274*(1-Data!$D$23)*Data!$D$14*1000)/(Data!$D$23+((1-Data!$D$23)*Data!$D$14*$G274))))),"---")</f>
        <v>---</v>
      </c>
      <c r="L274" s="376" t="str">
        <f>IF(Start!$C$15="x",(IF(I274="NA","NA",IF($G274 = "NA", "NA",(IF(OR(ChemData!U274="NA",ChemData!U274=""),I274/((Data!$D$18+((1-Data!$D$18)*Data!$D$14*$G274))/((1-Data!$D$18)*Data!$D$14*1000)),(IF(I274/((Data!$D$18+((1-Data!$D$18)*Data!$D$14*$G274))/((1-Data!$D$18)*Data!$D$14*1000))&gt;ChemData!U274, ChemData!U274, I274/((Data!$D$18+((1-Data!$D$18)*Data!$D$14*$G274))/((1-Data!$D$18)*Data!$D$14*1000))))))))),"---")</f>
        <v>---</v>
      </c>
      <c r="M274" s="376" t="str">
        <f>IF(Start!$C$15="x",(IF(L274="NA","NA",IF(OR(D274="NA",D274=""),"NA",(((Data!$D$22*Data!$D$18)*L274)+(Data!$D$19-Data!$D$22)*$D274)/((Data!$D$22*Data!$D$18)+Data!$D$19-Data!$D$22)))),"---")</f>
        <v>---</v>
      </c>
      <c r="N274" s="376" t="str">
        <f>IF(Start!$C$15="x",IF(K274 = "NA", "NA", (IF(M274 = "NA", "NA",(IF(OR(ChemData!U274="NA",ChemData!U274=""),(IF(K274&gt;M274,K274,M274)),(IF(K274&gt;M274,(IF(K274&gt;ChemData!U274, ChemData!U274, K274)),(IF(M274&gt;ChemData!U274,ChemData!U274,M274))))))))),"---")</f>
        <v>---</v>
      </c>
      <c r="O274" s="377" t="str">
        <f>IF(Start!$C$15="x",IF(N274 = "NA","NA", IF(OR(E274="NA",E274=""),"NA",(N274+(Data!$D$26*$E274))/(Data!$D$26+1))),"---")</f>
        <v>---</v>
      </c>
      <c r="P274" s="730" t="str">
        <f>IF(E274="",F274,IF($F274&lt;(1+(Data!$D$27/100))*$E274,(1+(Data!$D$27/100))*$E274,$F274))</f>
        <v>NA</v>
      </c>
      <c r="Q274" s="343" t="str">
        <f>IF(Start!$C$15="x",(IF(C274="","",(IF(O274="NA","NA",IF(P274="NA","NA",IF(P274=0,"NA",(O274/P274))))))),"Not Req.")</f>
        <v>Not Req.</v>
      </c>
      <c r="R274" s="163"/>
      <c r="S274" s="18"/>
      <c r="T274" s="18"/>
      <c r="U274" s="163"/>
      <c r="V274" s="163"/>
      <c r="W274" s="18"/>
      <c r="X274" s="163"/>
      <c r="Y274" s="163"/>
      <c r="Z274" s="18"/>
    </row>
    <row r="275" spans="1:26" s="10" customFormat="1" ht="13.8" thickBot="1" x14ac:dyDescent="0.3">
      <c r="A275" s="405" t="s">
        <v>593</v>
      </c>
      <c r="B275" s="371" t="str">
        <f>IF(Start!$C$15="x",IF(C275="NA","NA",(IF(C275="","",(IF(OR(F275="NA",F275=""),"No Criteria",(IF(AND(O275="NA",F275&lt;&gt;"NA",C275&lt;&gt;"NA"),                  "Missing Data",(IF(O275&lt;F275,"No",(IF(D275&gt;F275,"Caution",(IF(O275&gt;=F275,"Needed","No"))))))))))))),"---")</f>
        <v>---</v>
      </c>
      <c r="C275" s="372" t="str">
        <f>IF(TRUE=ISBLANK(ChemData!B275),"",(ChemData!B275))</f>
        <v/>
      </c>
      <c r="D275" s="373" t="str">
        <f>IF(TRUE=ISBLANK(ChemData!C275),"",(ChemData!C275))</f>
        <v/>
      </c>
      <c r="E275" s="374" t="str">
        <f>IF(TRUE=ISBLANK(ChemData!D275),"",(ChemData!D275))</f>
        <v/>
      </c>
      <c r="F275" s="289" t="str">
        <f>IF(TRUE=ISBLANK(ChemData!H275),"",(ChemData!H275))</f>
        <v>NA</v>
      </c>
      <c r="G275" s="290">
        <f>IF(TRUE=ISBLANK(ChemData!Q275),"",(ChemData!Q275))</f>
        <v>36091.623541521498</v>
      </c>
      <c r="H275" s="291">
        <f>IF(TRUE=ISBLANK(ChemData!S275),"",(ChemData!S275))</f>
        <v>1</v>
      </c>
      <c r="I275" s="375" t="str">
        <f>IF(Start!$C$15="x",(IF(OR(C275="NA",C275=""), "NA", (IF($H275 = "NA", "NA", ((C275*$H275)))))),"---")</f>
        <v>---</v>
      </c>
      <c r="J275" s="376" t="str">
        <f>IF(Start!$C$15="x",(IF(I275 = "NA", "NA", IF(OR(D275="NA",D275=""),"NA",(I275 +((Data!$D$19-Data!$D$22)/(Data!$D$19*Data!$D$22)*$D275))))),"---")</f>
        <v>---</v>
      </c>
      <c r="K275" s="376" t="str">
        <f>IF(Start!$C$15="x",(IF(J275="NA","NA",IF(OR(G275="NA",G275=""),"NA",(J275*(1-Data!$D$23)*Data!$D$14*1000)/(Data!$D$23+((1-Data!$D$23)*Data!$D$14*$G275))))),"---")</f>
        <v>---</v>
      </c>
      <c r="L275" s="376" t="str">
        <f>IF(Start!$C$15="x",(IF(I275="NA","NA",IF($G275 = "NA", "NA",(IF(OR(ChemData!U275="NA",ChemData!U275=""),I275/((Data!$D$18+((1-Data!$D$18)*Data!$D$14*$G275))/((1-Data!$D$18)*Data!$D$14*1000)),(IF(I275/((Data!$D$18+((1-Data!$D$18)*Data!$D$14*$G275))/((1-Data!$D$18)*Data!$D$14*1000))&gt;ChemData!U275, ChemData!U275, I275/((Data!$D$18+((1-Data!$D$18)*Data!$D$14*$G275))/((1-Data!$D$18)*Data!$D$14*1000))))))))),"---")</f>
        <v>---</v>
      </c>
      <c r="M275" s="376" t="str">
        <f>IF(Start!$C$15="x",(IF(L275="NA","NA",IF(OR(D275="NA",D275=""),"NA",(((Data!$D$22*Data!$D$18)*L275)+(Data!$D$19-Data!$D$22)*$D275)/((Data!$D$22*Data!$D$18)+Data!$D$19-Data!$D$22)))),"---")</f>
        <v>---</v>
      </c>
      <c r="N275" s="376" t="str">
        <f>IF(Start!$C$15="x",IF(K275 = "NA", "NA", (IF(M275 = "NA", "NA",(IF(OR(ChemData!U275="NA",ChemData!U275=""),(IF(K275&gt;M275,K275,M275)),(IF(K275&gt;M275,(IF(K275&gt;ChemData!U275, ChemData!U275, K275)),(IF(M275&gt;ChemData!U275,ChemData!U275,M275))))))))),"---")</f>
        <v>---</v>
      </c>
      <c r="O275" s="377" t="str">
        <f>IF(Start!$C$15="x",IF(N275 = "NA","NA", IF(OR(E275="NA",E275=""),"NA",(N275+(Data!$D$26*$E275))/(Data!$D$26+1))),"---")</f>
        <v>---</v>
      </c>
      <c r="P275" s="731" t="str">
        <f>IF(E275="",F275,IF($F275&lt;(1+(Data!$D$27/100))*$E275,(1+(Data!$D$27/100))*$E275,$F275))</f>
        <v>NA</v>
      </c>
      <c r="Q275" s="343" t="str">
        <f>IF(Start!$C$15="x",(IF(C275="","",(IF(O275="NA","NA",IF(P275="NA","NA",IF(P275=0,"NA",(O275/P275))))))),"Not Req.")</f>
        <v>Not Req.</v>
      </c>
      <c r="R275" s="163"/>
      <c r="S275" s="18"/>
      <c r="T275" s="18"/>
      <c r="U275" s="163"/>
      <c r="V275" s="163"/>
      <c r="W275" s="18"/>
      <c r="X275" s="163"/>
      <c r="Y275" s="163"/>
      <c r="Z275" s="18"/>
    </row>
    <row r="276" spans="1:26" s="10" customFormat="1" x14ac:dyDescent="0.25">
      <c r="A276" s="554" t="s">
        <v>594</v>
      </c>
      <c r="B276" s="514"/>
      <c r="C276" s="508"/>
      <c r="D276" s="509"/>
      <c r="E276" s="510"/>
      <c r="F276" s="511"/>
      <c r="G276" s="512"/>
      <c r="H276" s="513"/>
      <c r="I276" s="511"/>
      <c r="J276" s="512"/>
      <c r="K276" s="512"/>
      <c r="L276" s="512"/>
      <c r="M276" s="512"/>
      <c r="N276" s="512"/>
      <c r="O276" s="513"/>
      <c r="P276" s="672"/>
      <c r="Q276" s="507"/>
      <c r="R276" s="163"/>
      <c r="S276" s="18"/>
      <c r="T276" s="18"/>
      <c r="U276" s="163"/>
      <c r="V276" s="163"/>
      <c r="W276" s="18"/>
      <c r="X276" s="163"/>
      <c r="Y276" s="163"/>
      <c r="Z276" s="18"/>
    </row>
    <row r="277" spans="1:26" s="10" customFormat="1" x14ac:dyDescent="0.25">
      <c r="A277" s="405" t="s">
        <v>595</v>
      </c>
      <c r="B277" s="371" t="str">
        <f>IF(Start!$C$15="x",IF(C277="NA","NA",(IF(C277="","",(IF(OR(F277="NA",F277=""),"No Criteria",(IF(AND(O277="NA",F277&lt;&gt;"NA",C277&lt;&gt;"NA"),                  "Missing Data",(IF(O277&lt;F277,"No",(IF(D277&gt;F277,"Caution",(IF(O277&gt;=F277,"Needed","No"))))))))))))),"---")</f>
        <v>---</v>
      </c>
      <c r="C277" s="372" t="str">
        <f>IF(TRUE=ISBLANK(ChemData!B277),"",(ChemData!B277))</f>
        <v/>
      </c>
      <c r="D277" s="373" t="str">
        <f>IF(TRUE=ISBLANK(ChemData!C277),"",(ChemData!C277))</f>
        <v/>
      </c>
      <c r="E277" s="374" t="str">
        <f>IF(TRUE=ISBLANK(ChemData!D277),"",(ChemData!D277))</f>
        <v/>
      </c>
      <c r="F277" s="289" t="str">
        <f>IF(TRUE=ISBLANK(ChemData!H277),"",(ChemData!H277))</f>
        <v>NA</v>
      </c>
      <c r="G277" s="290">
        <f>IF(TRUE=ISBLANK(ChemData!Q277),"",(ChemData!Q277))</f>
        <v>2330.270937231006</v>
      </c>
      <c r="H277" s="291">
        <f>IF(TRUE=ISBLANK(ChemData!S277),"",(ChemData!S277))</f>
        <v>1</v>
      </c>
      <c r="I277" s="375" t="str">
        <f>IF(Start!$C$15="x",(IF(OR(C277="NA",C277=""), "NA", (IF($H277 = "NA", "NA", ((C277*$H277)))))),"---")</f>
        <v>---</v>
      </c>
      <c r="J277" s="376" t="str">
        <f>IF(Start!$C$15="x",(IF(I277 = "NA", "NA", IF(OR(D277="NA",D277=""),"NA",(I277 +((Data!$D$19-Data!$D$22)/(Data!$D$19*Data!$D$22)*$D277))))),"---")</f>
        <v>---</v>
      </c>
      <c r="K277" s="376" t="str">
        <f>IF(Start!$C$15="x",(IF(J277="NA","NA",IF(OR(G277="NA",G277=""),"NA",(J277*(1-Data!$D$23)*Data!$D$14*1000)/(Data!$D$23+((1-Data!$D$23)*Data!$D$14*$G277))))),"---")</f>
        <v>---</v>
      </c>
      <c r="L277" s="376" t="str">
        <f>IF(Start!$C$15="x",(IF(I277="NA","NA",IF($G277 = "NA", "NA",(IF(OR(ChemData!U277="NA",ChemData!U277=""),I277/((Data!$D$18+((1-Data!$D$18)*Data!$D$14*$G277))/((1-Data!$D$18)*Data!$D$14*1000)),(IF(I277/((Data!$D$18+((1-Data!$D$18)*Data!$D$14*$G277))/((1-Data!$D$18)*Data!$D$14*1000))&gt;ChemData!U277, ChemData!U277, I277/((Data!$D$18+((1-Data!$D$18)*Data!$D$14*$G277))/((1-Data!$D$18)*Data!$D$14*1000))))))))),"---")</f>
        <v>---</v>
      </c>
      <c r="M277" s="376" t="str">
        <f>IF(Start!$C$15="x",(IF(L277="NA","NA",IF(OR(D277="NA",D277=""),"NA",(((Data!$D$22*Data!$D$18)*L277)+(Data!$D$19-Data!$D$22)*$D277)/((Data!$D$22*Data!$D$18)+Data!$D$19-Data!$D$22)))),"---")</f>
        <v>---</v>
      </c>
      <c r="N277" s="376" t="str">
        <f>IF(Start!$C$15="x",IF(K277 = "NA", "NA", (IF(M277 = "NA", "NA",(IF(OR(ChemData!U277="NA",ChemData!U277=""),(IF(K277&gt;M277,K277,M277)),(IF(K277&gt;M277,(IF(K277&gt;ChemData!U277, ChemData!U277, K277)),(IF(M277&gt;ChemData!U277,ChemData!U277,M277))))))))),"---")</f>
        <v>---</v>
      </c>
      <c r="O277" s="377" t="str">
        <f>IF(Start!$C$15="x",IF(N277 = "NA","NA", IF(OR(E277="NA",E277=""),"NA",(N277+(Data!$D$26*$E277))/(Data!$D$26+1))),"---")</f>
        <v>---</v>
      </c>
      <c r="P277" s="730" t="str">
        <f>IF(E277="",F277,IF($F277&lt;(1+(Data!$D$27/100))*$E277,(1+(Data!$D$27/100))*$E277,$F277))</f>
        <v>NA</v>
      </c>
      <c r="Q277" s="343" t="str">
        <f>IF(Start!$C$15="x",(IF(C277="","",(IF(O277="NA","NA",IF(P277="NA","NA",IF(P277=0,"NA",(O277/P277))))))),"Not Req.")</f>
        <v>Not Req.</v>
      </c>
      <c r="R277" s="163"/>
      <c r="S277" s="18"/>
      <c r="T277" s="18"/>
      <c r="U277" s="163"/>
      <c r="V277" s="163"/>
      <c r="W277" s="18"/>
      <c r="X277" s="163"/>
      <c r="Y277" s="163"/>
      <c r="Z277" s="18"/>
    </row>
    <row r="278" spans="1:26" s="10" customFormat="1" x14ac:dyDescent="0.25">
      <c r="A278" s="405" t="s">
        <v>596</v>
      </c>
      <c r="B278" s="371" t="str">
        <f>IF(Start!$C$15="x",IF(C278="NA","NA",(IF(C278="","",(IF(OR(F278="NA",F278=""),"No Criteria",(IF(AND(O278="NA",F278&lt;&gt;"NA",C278&lt;&gt;"NA"),                  "Missing Data",(IF(O278&lt;F278,"No",(IF(D278&gt;F278,"Caution",(IF(O278&gt;=F278,"Needed","No"))))))))))))),"---")</f>
        <v>---</v>
      </c>
      <c r="C278" s="372" t="str">
        <f>IF(TRUE=ISBLANK(ChemData!B278),"",(ChemData!B278))</f>
        <v/>
      </c>
      <c r="D278" s="373" t="str">
        <f>IF(TRUE=ISBLANK(ChemData!C278),"",(ChemData!C278))</f>
        <v/>
      </c>
      <c r="E278" s="374" t="str">
        <f>IF(TRUE=ISBLANK(ChemData!D278),"",(ChemData!D278))</f>
        <v/>
      </c>
      <c r="F278" s="289" t="str">
        <f>IF(TRUE=ISBLANK(ChemData!H278),"",(ChemData!H278))</f>
        <v>NA</v>
      </c>
      <c r="G278" s="290">
        <f>IF(TRUE=ISBLANK(ChemData!Q278),"",(ChemData!Q278))</f>
        <v>7368.9637269452323</v>
      </c>
      <c r="H278" s="291">
        <f>IF(TRUE=ISBLANK(ChemData!S278),"",(ChemData!S278))</f>
        <v>1</v>
      </c>
      <c r="I278" s="375" t="str">
        <f>IF(Start!$C$15="x",(IF(OR(C278="NA",C278=""), "NA", (IF($H278 = "NA", "NA", ((C278*$H278)))))),"---")</f>
        <v>---</v>
      </c>
      <c r="J278" s="376" t="str">
        <f>IF(Start!$C$15="x",(IF(I278 = "NA", "NA", IF(OR(D278="NA",D278=""),"NA",(I278 +((Data!$D$19-Data!$D$22)/(Data!$D$19*Data!$D$22)*$D278))))),"---")</f>
        <v>---</v>
      </c>
      <c r="K278" s="376" t="str">
        <f>IF(Start!$C$15="x",(IF(J278="NA","NA",IF(OR(G278="NA",G278=""),"NA",(J278*(1-Data!$D$23)*Data!$D$14*1000)/(Data!$D$23+((1-Data!$D$23)*Data!$D$14*$G278))))),"---")</f>
        <v>---</v>
      </c>
      <c r="L278" s="376" t="str">
        <f>IF(Start!$C$15="x",(IF(I278="NA","NA",IF($G278 = "NA", "NA",(IF(OR(ChemData!U278="NA",ChemData!U278=""),I278/((Data!$D$18+((1-Data!$D$18)*Data!$D$14*$G278))/((1-Data!$D$18)*Data!$D$14*1000)),(IF(I278/((Data!$D$18+((1-Data!$D$18)*Data!$D$14*$G278))/((1-Data!$D$18)*Data!$D$14*1000))&gt;ChemData!U278, ChemData!U278, I278/((Data!$D$18+((1-Data!$D$18)*Data!$D$14*$G278))/((1-Data!$D$18)*Data!$D$14*1000))))))))),"---")</f>
        <v>---</v>
      </c>
      <c r="M278" s="376" t="str">
        <f>IF(Start!$C$15="x",(IF(L278="NA","NA",IF(OR(D278="NA",D278=""),"NA",(((Data!$D$22*Data!$D$18)*L278)+(Data!$D$19-Data!$D$22)*$D278)/((Data!$D$22*Data!$D$18)+Data!$D$19-Data!$D$22)))),"---")</f>
        <v>---</v>
      </c>
      <c r="N278" s="376" t="str">
        <f>IF(Start!$C$15="x",IF(K278 = "NA", "NA", (IF(M278 = "NA", "NA",(IF(OR(ChemData!U278="NA",ChemData!U278=""),(IF(K278&gt;M278,K278,M278)),(IF(K278&gt;M278,(IF(K278&gt;ChemData!U278, ChemData!U278, K278)),(IF(M278&gt;ChemData!U278,ChemData!U278,M278))))))))),"---")</f>
        <v>---</v>
      </c>
      <c r="O278" s="377" t="str">
        <f>IF(Start!$C$15="x",IF(N278 = "NA","NA", IF(OR(E278="NA",E278=""),"NA",(N278+(Data!$D$26*$E278))/(Data!$D$26+1))),"---")</f>
        <v>---</v>
      </c>
      <c r="P278" s="730" t="str">
        <f>IF(E278="",F278,IF($F278&lt;(1+(Data!$D$27/100))*$E278,(1+(Data!$D$27/100))*$E278,$F278))</f>
        <v>NA</v>
      </c>
      <c r="Q278" s="343" t="str">
        <f>IF(Start!$C$15="x",(IF(C278="","",(IF(O278="NA","NA",IF(P278="NA","NA",IF(P278=0,"NA",(O278/P278))))))),"Not Req.")</f>
        <v>Not Req.</v>
      </c>
      <c r="R278" s="163"/>
      <c r="S278" s="18"/>
      <c r="T278" s="18"/>
      <c r="U278" s="163"/>
      <c r="V278" s="163"/>
      <c r="W278" s="18"/>
      <c r="X278" s="163"/>
      <c r="Y278" s="163"/>
      <c r="Z278" s="18"/>
    </row>
    <row r="279" spans="1:26" s="10" customFormat="1" x14ac:dyDescent="0.25">
      <c r="A279" s="405" t="s">
        <v>597</v>
      </c>
      <c r="B279" s="371" t="str">
        <f>IF(Start!$C$15="x",IF(C279="NA","NA",(IF(C279="","",(IF(OR(F279="NA",F279=""),"No Criteria",(IF(AND(O279="NA",F279&lt;&gt;"NA",C279&lt;&gt;"NA"),                  "Missing Data",(IF(O279&lt;F279,"No",(IF(D279&gt;F279,"Caution",(IF(O279&gt;=F279,"Needed","No"))))))))))))),"---")</f>
        <v>---</v>
      </c>
      <c r="C279" s="372" t="str">
        <f>IF(TRUE=ISBLANK(ChemData!B279),"",(ChemData!B279))</f>
        <v/>
      </c>
      <c r="D279" s="373" t="str">
        <f>IF(TRUE=ISBLANK(ChemData!C279),"",(ChemData!C279))</f>
        <v/>
      </c>
      <c r="E279" s="374" t="str">
        <f>IF(TRUE=ISBLANK(ChemData!D279),"",(ChemData!D279))</f>
        <v/>
      </c>
      <c r="F279" s="289" t="str">
        <f>IF(TRUE=ISBLANK(ChemData!H279),"",(ChemData!H279))</f>
        <v>NA</v>
      </c>
      <c r="G279" s="290">
        <f>IF(TRUE=ISBLANK(ChemData!Q279),"",(ChemData!Q279))</f>
        <v>11679.020446328394</v>
      </c>
      <c r="H279" s="291">
        <f>IF(TRUE=ISBLANK(ChemData!S279),"",(ChemData!S279))</f>
        <v>1</v>
      </c>
      <c r="I279" s="375" t="str">
        <f>IF(Start!$C$15="x",(IF(OR(C279="NA",C279=""), "NA", (IF($H279 = "NA", "NA", ((C279*$H279)))))),"---")</f>
        <v>---</v>
      </c>
      <c r="J279" s="376" t="str">
        <f>IF(Start!$C$15="x",(IF(I279 = "NA", "NA", IF(OR(D279="NA",D279=""),"NA",(I279 +((Data!$D$19-Data!$D$22)/(Data!$D$19*Data!$D$22)*$D279))))),"---")</f>
        <v>---</v>
      </c>
      <c r="K279" s="376" t="str">
        <f>IF(Start!$C$15="x",(IF(J279="NA","NA",IF(OR(G279="NA",G279=""),"NA",(J279*(1-Data!$D$23)*Data!$D$14*1000)/(Data!$D$23+((1-Data!$D$23)*Data!$D$14*$G279))))),"---")</f>
        <v>---</v>
      </c>
      <c r="L279" s="376" t="str">
        <f>IF(Start!$C$15="x",(IF(I279="NA","NA",IF($G279 = "NA", "NA",(IF(OR(ChemData!U279="NA",ChemData!U279=""),I279/((Data!$D$18+((1-Data!$D$18)*Data!$D$14*$G279))/((1-Data!$D$18)*Data!$D$14*1000)),(IF(I279/((Data!$D$18+((1-Data!$D$18)*Data!$D$14*$G279))/((1-Data!$D$18)*Data!$D$14*1000))&gt;ChemData!U279, ChemData!U279, I279/((Data!$D$18+((1-Data!$D$18)*Data!$D$14*$G279))/((1-Data!$D$18)*Data!$D$14*1000))))))))),"---")</f>
        <v>---</v>
      </c>
      <c r="M279" s="376" t="str">
        <f>IF(Start!$C$15="x",(IF(L279="NA","NA",IF(OR(D279="NA",D279=""),"NA",(((Data!$D$22*Data!$D$18)*L279)+(Data!$D$19-Data!$D$22)*$D279)/((Data!$D$22*Data!$D$18)+Data!$D$19-Data!$D$22)))),"---")</f>
        <v>---</v>
      </c>
      <c r="N279" s="376" t="str">
        <f>IF(Start!$C$15="x",IF(K279 = "NA", "NA", (IF(M279 = "NA", "NA",(IF(OR(ChemData!U279="NA",ChemData!U279=""),(IF(K279&gt;M279,K279,M279)),(IF(K279&gt;M279,(IF(K279&gt;ChemData!U279, ChemData!U279, K279)),(IF(M279&gt;ChemData!U279,ChemData!U279,M279))))))))),"---")</f>
        <v>---</v>
      </c>
      <c r="O279" s="377" t="str">
        <f>IF(Start!$C$15="x",IF(N279 = "NA","NA", IF(OR(E279="NA",E279=""),"NA",(N279+(Data!$D$26*$E279))/(Data!$D$26+1))),"---")</f>
        <v>---</v>
      </c>
      <c r="P279" s="730" t="str">
        <f>IF(E279="",F279,IF($F279&lt;(1+(Data!$D$27/100))*$E279,(1+(Data!$D$27/100))*$E279,$F279))</f>
        <v>NA</v>
      </c>
      <c r="Q279" s="343" t="str">
        <f>IF(Start!$C$15="x",(IF(C279="","",(IF(O279="NA","NA",IF(P279="NA","NA",IF(P279=0,"NA",(O279/P279))))))),"Not Req.")</f>
        <v>Not Req.</v>
      </c>
      <c r="R279" s="163"/>
      <c r="S279" s="18"/>
      <c r="T279" s="18"/>
      <c r="U279" s="163"/>
      <c r="V279" s="163"/>
      <c r="W279" s="18"/>
      <c r="X279" s="163"/>
      <c r="Y279" s="163"/>
      <c r="Z279" s="18"/>
    </row>
    <row r="280" spans="1:26" s="10" customFormat="1" x14ac:dyDescent="0.25">
      <c r="A280" s="405" t="s">
        <v>598</v>
      </c>
      <c r="B280" s="371" t="str">
        <f>IF(Start!$C$15="x",IF(C280="NA","NA",(IF(C280="","",(IF(OR(F280="NA",F280=""),"No Criteria",(IF(AND(O280="NA",F280&lt;&gt;"NA",C280&lt;&gt;"NA"),                  "Missing Data",(IF(O280&lt;F280,"No",(IF(D280&gt;F280,"Caution",(IF(O280&gt;=F280,"Needed","No"))))))))))))),"---")</f>
        <v>---</v>
      </c>
      <c r="C280" s="372" t="str">
        <f>IF(TRUE=ISBLANK(ChemData!B280),"",(ChemData!B280))</f>
        <v/>
      </c>
      <c r="D280" s="373" t="str">
        <f>IF(TRUE=ISBLANK(ChemData!C280),"",(ChemData!C280))</f>
        <v/>
      </c>
      <c r="E280" s="374" t="str">
        <f>IF(TRUE=ISBLANK(ChemData!D280),"",(ChemData!D280))</f>
        <v/>
      </c>
      <c r="F280" s="289" t="str">
        <f>IF(TRUE=ISBLANK(ChemData!H280),"",(ChemData!H280))</f>
        <v>NA</v>
      </c>
      <c r="G280" s="290">
        <f>IF(TRUE=ISBLANK(ChemData!Q280),"",(ChemData!Q280))</f>
        <v>18510</v>
      </c>
      <c r="H280" s="291">
        <f>IF(TRUE=ISBLANK(ChemData!S280),"",(ChemData!S280))</f>
        <v>1</v>
      </c>
      <c r="I280" s="375" t="str">
        <f>IF(Start!$C$15="x",(IF(OR(C280="NA",C280=""), "NA", (IF($H280 = "NA", "NA", ((C280*$H280)))))),"---")</f>
        <v>---</v>
      </c>
      <c r="J280" s="376" t="str">
        <f>IF(Start!$C$15="x",(IF(I280 = "NA", "NA", IF(OR(D280="NA",D280=""),"NA",(I280 +((Data!$D$19-Data!$D$22)/(Data!$D$19*Data!$D$22)*$D280))))),"---")</f>
        <v>---</v>
      </c>
      <c r="K280" s="376" t="str">
        <f>IF(Start!$C$15="x",(IF(J280="NA","NA",IF(OR(G280="NA",G280=""),"NA",(J280*(1-Data!$D$23)*Data!$D$14*1000)/(Data!$D$23+((1-Data!$D$23)*Data!$D$14*$G280))))),"---")</f>
        <v>---</v>
      </c>
      <c r="L280" s="376" t="str">
        <f>IF(Start!$C$15="x",(IF(I280="NA","NA",IF($G280 = "NA", "NA",(IF(OR(ChemData!U280="NA",ChemData!U280=""),I280/((Data!$D$18+((1-Data!$D$18)*Data!$D$14*$G280))/((1-Data!$D$18)*Data!$D$14*1000)),(IF(I280/((Data!$D$18+((1-Data!$D$18)*Data!$D$14*$G280))/((1-Data!$D$18)*Data!$D$14*1000))&gt;ChemData!U280, ChemData!U280, I280/((Data!$D$18+((1-Data!$D$18)*Data!$D$14*$G280))/((1-Data!$D$18)*Data!$D$14*1000))))))))),"---")</f>
        <v>---</v>
      </c>
      <c r="M280" s="376" t="str">
        <f>IF(Start!$C$15="x",(IF(L280="NA","NA",IF(OR(D280="NA",D280=""),"NA",(((Data!$D$22*Data!$D$18)*L280)+(Data!$D$19-Data!$D$22)*$D280)/((Data!$D$22*Data!$D$18)+Data!$D$19-Data!$D$22)))),"---")</f>
        <v>---</v>
      </c>
      <c r="N280" s="376" t="str">
        <f>IF(Start!$C$15="x",IF(K280 = "NA", "NA", (IF(M280 = "NA", "NA",(IF(OR(ChemData!U280="NA",ChemData!U280=""),(IF(K280&gt;M280,K280,M280)),(IF(K280&gt;M280,(IF(K280&gt;ChemData!U280, ChemData!U280, K280)),(IF(M280&gt;ChemData!U280,ChemData!U280,M280))))))))),"---")</f>
        <v>---</v>
      </c>
      <c r="O280" s="377" t="str">
        <f>IF(Start!$C$15="x",IF(N280 = "NA","NA", IF(OR(E280="NA",E280=""),"NA",(N280+(Data!$D$26*$E280))/(Data!$D$26+1))),"---")</f>
        <v>---</v>
      </c>
      <c r="P280" s="730" t="str">
        <f>IF(E280="",F280,IF($F280&lt;(1+(Data!$D$27/100))*$E280,(1+(Data!$D$27/100))*$E280,$F280))</f>
        <v>NA</v>
      </c>
      <c r="Q280" s="343" t="str">
        <f>IF(Start!$C$15="x",(IF(C280="","",(IF(O280="NA","NA",IF(P280="NA","NA",IF(P280=0,"NA",(O280/P280))))))),"Not Req.")</f>
        <v>Not Req.</v>
      </c>
      <c r="R280" s="163"/>
      <c r="S280" s="18"/>
      <c r="T280" s="18"/>
      <c r="U280" s="163"/>
      <c r="V280" s="163"/>
      <c r="W280" s="18"/>
      <c r="X280" s="163"/>
      <c r="Y280" s="163"/>
      <c r="Z280" s="18"/>
    </row>
    <row r="281" spans="1:26" s="10" customFormat="1" x14ac:dyDescent="0.25">
      <c r="A281" s="405" t="s">
        <v>599</v>
      </c>
      <c r="B281" s="371" t="str">
        <f>IF(Start!$C$15="x",IF(C281="NA","NA",(IF(C281="","",(IF(OR(F281="NA",F281=""),"No Criteria",(IF(AND(O281="NA",F281&lt;&gt;"NA",C281&lt;&gt;"NA"),                  "Missing Data",(IF(O281&lt;F281,"No",(IF(D281&gt;F281,"Caution",(IF(O281&gt;=F281,"Needed","No"))))))))))))),"---")</f>
        <v>---</v>
      </c>
      <c r="C281" s="372" t="str">
        <f>IF(TRUE=ISBLANK(ChemData!B281),"",(ChemData!B281))</f>
        <v/>
      </c>
      <c r="D281" s="373" t="str">
        <f>IF(TRUE=ISBLANK(ChemData!C281),"",(ChemData!C281))</f>
        <v/>
      </c>
      <c r="E281" s="374" t="str">
        <f>IF(TRUE=ISBLANK(ChemData!D281),"",(ChemData!D281))</f>
        <v/>
      </c>
      <c r="F281" s="289" t="str">
        <f>IF(TRUE=ISBLANK(ChemData!H281),"",(ChemData!H281))</f>
        <v>NA</v>
      </c>
      <c r="G281" s="290">
        <f>IF(TRUE=ISBLANK(ChemData!Q281),"",(ChemData!Q281))</f>
        <v>23302.709372310041</v>
      </c>
      <c r="H281" s="291">
        <f>IF(TRUE=ISBLANK(ChemData!S281),"",(ChemData!S281))</f>
        <v>1</v>
      </c>
      <c r="I281" s="375" t="str">
        <f>IF(Start!$C$15="x",(IF(OR(C281="NA",C281=""), "NA", (IF($H281 = "NA", "NA", ((C281*$H281)))))),"---")</f>
        <v>---</v>
      </c>
      <c r="J281" s="376" t="str">
        <f>IF(Start!$C$15="x",(IF(I281 = "NA", "NA", IF(OR(D281="NA",D281=""),"NA",(I281 +((Data!$D$19-Data!$D$22)/(Data!$D$19*Data!$D$22)*$D281))))),"---")</f>
        <v>---</v>
      </c>
      <c r="K281" s="376" t="str">
        <f>IF(Start!$C$15="x",(IF(J281="NA","NA",IF(OR(G281="NA",G281=""),"NA",(J281*(1-Data!$D$23)*Data!$D$14*1000)/(Data!$D$23+((1-Data!$D$23)*Data!$D$14*$G281))))),"---")</f>
        <v>---</v>
      </c>
      <c r="L281" s="376" t="str">
        <f>IF(Start!$C$15="x",(IF(I281="NA","NA",IF($G281 = "NA", "NA",(IF(OR(ChemData!U281="NA",ChemData!U281=""),I281/((Data!$D$18+((1-Data!$D$18)*Data!$D$14*$G281))/((1-Data!$D$18)*Data!$D$14*1000)),(IF(I281/((Data!$D$18+((1-Data!$D$18)*Data!$D$14*$G281))/((1-Data!$D$18)*Data!$D$14*1000))&gt;ChemData!U281, ChemData!U281, I281/((Data!$D$18+((1-Data!$D$18)*Data!$D$14*$G281))/((1-Data!$D$18)*Data!$D$14*1000))))))))),"---")</f>
        <v>---</v>
      </c>
      <c r="M281" s="376" t="str">
        <f>IF(Start!$C$15="x",(IF(L281="NA","NA",IF(OR(D281="NA",D281=""),"NA",(((Data!$D$22*Data!$D$18)*L281)+(Data!$D$19-Data!$D$22)*$D281)/((Data!$D$22*Data!$D$18)+Data!$D$19-Data!$D$22)))),"---")</f>
        <v>---</v>
      </c>
      <c r="N281" s="376" t="str">
        <f>IF(Start!$C$15="x",IF(K281 = "NA", "NA", (IF(M281 = "NA", "NA",(IF(OR(ChemData!U281="NA",ChemData!U281=""),(IF(K281&gt;M281,K281,M281)),(IF(K281&gt;M281,(IF(K281&gt;ChemData!U281, ChemData!U281, K281)),(IF(M281&gt;ChemData!U281,ChemData!U281,M281))))))))),"---")</f>
        <v>---</v>
      </c>
      <c r="O281" s="377" t="str">
        <f>IF(Start!$C$15="x",IF(N281 = "NA","NA", IF(OR(E281="NA",E281=""),"NA",(N281+(Data!$D$26*$E281))/(Data!$D$26+1))),"---")</f>
        <v>---</v>
      </c>
      <c r="P281" s="730" t="str">
        <f>IF(E281="",F281,IF($F281&lt;(1+(Data!$D$27/100))*$E281,(1+(Data!$D$27/100))*$E281,$F281))</f>
        <v>NA</v>
      </c>
      <c r="Q281" s="343" t="str">
        <f>IF(Start!$C$15="x",(IF(C281="","",(IF(O281="NA","NA",IF(P281="NA","NA",IF(P281=0,"NA",(O281/P281))))))),"Not Req.")</f>
        <v>Not Req.</v>
      </c>
      <c r="R281" s="163"/>
      <c r="S281" s="18"/>
      <c r="T281" s="18"/>
      <c r="U281" s="163"/>
      <c r="V281" s="163"/>
      <c r="W281" s="18"/>
      <c r="X281" s="163"/>
      <c r="Y281" s="163"/>
      <c r="Z281" s="18"/>
    </row>
    <row r="282" spans="1:26" s="10" customFormat="1" x14ac:dyDescent="0.25">
      <c r="A282" s="405" t="s">
        <v>600</v>
      </c>
      <c r="B282" s="371" t="str">
        <f>IF(Start!$C$15="x",IF(C282="NA","NA",(IF(C282="","",(IF(OR(F282="NA",F282=""),"No Criteria",(IF(AND(O282="NA",F282&lt;&gt;"NA",C282&lt;&gt;"NA"),                  "Missing Data",(IF(O282&lt;F282,"No",(IF(D282&gt;F282,"Caution",(IF(O282&gt;=F282,"Needed","No"))))))))))))),"---")</f>
        <v>---</v>
      </c>
      <c r="C282" s="372" t="str">
        <f>IF(TRUE=ISBLANK(ChemData!B282),"",(ChemData!B282))</f>
        <v/>
      </c>
      <c r="D282" s="373" t="str">
        <f>IF(TRUE=ISBLANK(ChemData!C282),"",(ChemData!C282))</f>
        <v/>
      </c>
      <c r="E282" s="374" t="str">
        <f>IF(TRUE=ISBLANK(ChemData!D282),"",(ChemData!D282))</f>
        <v/>
      </c>
      <c r="F282" s="289" t="str">
        <f>IF(TRUE=ISBLANK(ChemData!H282),"",(ChemData!H282))</f>
        <v>NA</v>
      </c>
      <c r="G282" s="290">
        <f>IF(TRUE=ISBLANK(ChemData!Q282),"",(ChemData!Q282))</f>
        <v>23302.709372310041</v>
      </c>
      <c r="H282" s="291">
        <f>IF(TRUE=ISBLANK(ChemData!S282),"",(ChemData!S282))</f>
        <v>1</v>
      </c>
      <c r="I282" s="375" t="str">
        <f>IF(Start!$C$15="x",(IF(OR(C282="NA",C282=""), "NA", (IF($H282 = "NA", "NA", ((C282*$H282)))))),"---")</f>
        <v>---</v>
      </c>
      <c r="J282" s="376" t="str">
        <f>IF(Start!$C$15="x",(IF(I282 = "NA", "NA", IF(OR(D282="NA",D282=""),"NA",(I282 +((Data!$D$19-Data!$D$22)/(Data!$D$19*Data!$D$22)*$D282))))),"---")</f>
        <v>---</v>
      </c>
      <c r="K282" s="376" t="str">
        <f>IF(Start!$C$15="x",(IF(J282="NA","NA",IF(OR(G282="NA",G282=""),"NA",(J282*(1-Data!$D$23)*Data!$D$14*1000)/(Data!$D$23+((1-Data!$D$23)*Data!$D$14*$G282))))),"---")</f>
        <v>---</v>
      </c>
      <c r="L282" s="376" t="str">
        <f>IF(Start!$C$15="x",(IF(I282="NA","NA",IF($G282 = "NA", "NA",(IF(OR(ChemData!U282="NA",ChemData!U282=""),I282/((Data!$D$18+((1-Data!$D$18)*Data!$D$14*$G282))/((1-Data!$D$18)*Data!$D$14*1000)),(IF(I282/((Data!$D$18+((1-Data!$D$18)*Data!$D$14*$G282))/((1-Data!$D$18)*Data!$D$14*1000))&gt;ChemData!U282, ChemData!U282, I282/((Data!$D$18+((1-Data!$D$18)*Data!$D$14*$G282))/((1-Data!$D$18)*Data!$D$14*1000))))))))),"---")</f>
        <v>---</v>
      </c>
      <c r="M282" s="376" t="str">
        <f>IF(Start!$C$15="x",(IF(L282="NA","NA",IF(OR(D282="NA",D282=""),"NA",(((Data!$D$22*Data!$D$18)*L282)+(Data!$D$19-Data!$D$22)*$D282)/((Data!$D$22*Data!$D$18)+Data!$D$19-Data!$D$22)))),"---")</f>
        <v>---</v>
      </c>
      <c r="N282" s="376" t="str">
        <f>IF(Start!$C$15="x",IF(K282 = "NA", "NA", (IF(M282 = "NA", "NA",(IF(OR(ChemData!U282="NA",ChemData!U282=""),(IF(K282&gt;M282,K282,M282)),(IF(K282&gt;M282,(IF(K282&gt;ChemData!U282, ChemData!U282, K282)),(IF(M282&gt;ChemData!U282,ChemData!U282,M282))))))))),"---")</f>
        <v>---</v>
      </c>
      <c r="O282" s="377" t="str">
        <f>IF(Start!$C$15="x",IF(N282 = "NA","NA", IF(OR(E282="NA",E282=""),"NA",(N282+(Data!$D$26*$E282))/(Data!$D$26+1))),"---")</f>
        <v>---</v>
      </c>
      <c r="P282" s="730" t="str">
        <f>IF(E282="",F282,IF($F282&lt;(1+(Data!$D$27/100))*$E282,(1+(Data!$D$27/100))*$E282,$F282))</f>
        <v>NA</v>
      </c>
      <c r="Q282" s="343" t="str">
        <f>IF(Start!$C$15="x",(IF(C282="","",(IF(O282="NA","NA",IF(P282="NA","NA",IF(P282=0,"NA",(O282/P282))))))),"Not Req.")</f>
        <v>Not Req.</v>
      </c>
      <c r="R282" s="163"/>
      <c r="S282" s="18"/>
      <c r="T282" s="18"/>
      <c r="U282" s="163"/>
      <c r="V282" s="163"/>
      <c r="W282" s="18"/>
      <c r="X282" s="163"/>
      <c r="Y282" s="163"/>
      <c r="Z282" s="18"/>
    </row>
    <row r="283" spans="1:26" s="10" customFormat="1" x14ac:dyDescent="0.25">
      <c r="A283" s="405" t="s">
        <v>601</v>
      </c>
      <c r="B283" s="371" t="str">
        <f>IF(Start!$C$15="x",IF(C283="NA","NA",(IF(C283="","",(IF(OR(F283="NA",F283=""),"No Criteria",(IF(AND(O283="NA",F283&lt;&gt;"NA",C283&lt;&gt;"NA"),                  "Missing Data",(IF(O283&lt;F283,"No",(IF(D283&gt;F283,"Caution",(IF(O283&gt;=F283,"Needed","No"))))))))))))),"---")</f>
        <v>---</v>
      </c>
      <c r="C283" s="372" t="str">
        <f>IF(TRUE=ISBLANK(ChemData!B283),"",(ChemData!B283))</f>
        <v/>
      </c>
      <c r="D283" s="373" t="str">
        <f>IF(TRUE=ISBLANK(ChemData!C283),"",(ChemData!C283))</f>
        <v/>
      </c>
      <c r="E283" s="374" t="str">
        <f>IF(TRUE=ISBLANK(ChemData!D283),"",(ChemData!D283))</f>
        <v/>
      </c>
      <c r="F283" s="289" t="str">
        <f>IF(TRUE=ISBLANK(ChemData!H283),"",(ChemData!H283))</f>
        <v>NA</v>
      </c>
      <c r="G283" s="290">
        <f>IF(TRUE=ISBLANK(ChemData!Q283),"",(ChemData!Q283))</f>
        <v>11679.020446328394</v>
      </c>
      <c r="H283" s="291">
        <f>IF(TRUE=ISBLANK(ChemData!S283),"",(ChemData!S283))</f>
        <v>1</v>
      </c>
      <c r="I283" s="375" t="str">
        <f>IF(Start!$C$15="x",(IF(OR(C283="NA",C283=""), "NA", (IF($H283 = "NA", "NA", ((C283*$H283)))))),"---")</f>
        <v>---</v>
      </c>
      <c r="J283" s="376" t="str">
        <f>IF(Start!$C$15="x",(IF(I283 = "NA", "NA", IF(OR(D283="NA",D283=""),"NA",(I283 +((Data!$D$19-Data!$D$22)/(Data!$D$19*Data!$D$22)*$D283))))),"---")</f>
        <v>---</v>
      </c>
      <c r="K283" s="376" t="str">
        <f>IF(Start!$C$15="x",(IF(J283="NA","NA",IF(OR(G283="NA",G283=""),"NA",(J283*(1-Data!$D$23)*Data!$D$14*1000)/(Data!$D$23+((1-Data!$D$23)*Data!$D$14*$G283))))),"---")</f>
        <v>---</v>
      </c>
      <c r="L283" s="376" t="str">
        <f>IF(Start!$C$15="x",(IF(I283="NA","NA",IF($G283 = "NA", "NA",(IF(OR(ChemData!U283="NA",ChemData!U283=""),I283/((Data!$D$18+((1-Data!$D$18)*Data!$D$14*$G283))/((1-Data!$D$18)*Data!$D$14*1000)),(IF(I283/((Data!$D$18+((1-Data!$D$18)*Data!$D$14*$G283))/((1-Data!$D$18)*Data!$D$14*1000))&gt;ChemData!U283, ChemData!U283, I283/((Data!$D$18+((1-Data!$D$18)*Data!$D$14*$G283))/((1-Data!$D$18)*Data!$D$14*1000))))))))),"---")</f>
        <v>---</v>
      </c>
      <c r="M283" s="376" t="str">
        <f>IF(Start!$C$15="x",(IF(L283="NA","NA",IF(OR(D283="NA",D283=""),"NA",(((Data!$D$22*Data!$D$18)*L283)+(Data!$D$19-Data!$D$22)*$D283)/((Data!$D$22*Data!$D$18)+Data!$D$19-Data!$D$22)))),"---")</f>
        <v>---</v>
      </c>
      <c r="N283" s="376" t="str">
        <f>IF(Start!$C$15="x",IF(K283 = "NA", "NA", (IF(M283 = "NA", "NA",(IF(OR(ChemData!U283="NA",ChemData!U283=""),(IF(K283&gt;M283,K283,M283)),(IF(K283&gt;M283,(IF(K283&gt;ChemData!U283, ChemData!U283, K283)),(IF(M283&gt;ChemData!U283,ChemData!U283,M283))))))))),"---")</f>
        <v>---</v>
      </c>
      <c r="O283" s="377" t="str">
        <f>IF(Start!$C$15="x",IF(N283 = "NA","NA", IF(OR(E283="NA",E283=""),"NA",(N283+(Data!$D$26*$E283))/(Data!$D$26+1))),"---")</f>
        <v>---</v>
      </c>
      <c r="P283" s="730" t="str">
        <f>IF(E283="",F283,IF($F283&lt;(1+(Data!$D$27/100))*$E283,(1+(Data!$D$27/100))*$E283,$F283))</f>
        <v>NA</v>
      </c>
      <c r="Q283" s="343" t="str">
        <f>IF(Start!$C$15="x",(IF(C283="","",(IF(O283="NA","NA",IF(P283="NA","NA",IF(P283=0,"NA",(O283/P283))))))),"Not Req.")</f>
        <v>Not Req.</v>
      </c>
      <c r="R283" s="163"/>
      <c r="S283" s="18"/>
      <c r="T283" s="18"/>
      <c r="U283" s="163"/>
      <c r="V283" s="163"/>
      <c r="W283" s="18"/>
      <c r="X283" s="163"/>
      <c r="Y283" s="163"/>
      <c r="Z283" s="18"/>
    </row>
    <row r="284" spans="1:26" s="10" customFormat="1" x14ac:dyDescent="0.25">
      <c r="A284" s="405" t="s">
        <v>602</v>
      </c>
      <c r="B284" s="371" t="str">
        <f>IF(Start!$C$15="x",IF(C284="NA","NA",(IF(C284="","",(IF(OR(F284="NA",F284=""),"No Criteria",(IF(AND(O284="NA",F284&lt;&gt;"NA",C284&lt;&gt;"NA"),                  "Missing Data",(IF(O284&lt;F284,"No",(IF(D284&gt;F284,"Caution",(IF(O284&gt;=F284,"Needed","No"))))))))))))),"---")</f>
        <v>---</v>
      </c>
      <c r="C284" s="372" t="str">
        <f>IF(TRUE=ISBLANK(ChemData!B284),"",(ChemData!B284))</f>
        <v/>
      </c>
      <c r="D284" s="373" t="str">
        <f>IF(TRUE=ISBLANK(ChemData!C284),"",(ChemData!C284))</f>
        <v/>
      </c>
      <c r="E284" s="374" t="str">
        <f>IF(TRUE=ISBLANK(ChemData!D284),"",(ChemData!D284))</f>
        <v/>
      </c>
      <c r="F284" s="289" t="str">
        <f>IF(TRUE=ISBLANK(ChemData!H284),"",(ChemData!H284))</f>
        <v>NA</v>
      </c>
      <c r="G284" s="290">
        <f>IF(TRUE=ISBLANK(ChemData!Q284),"",(ChemData!Q284))</f>
        <v>58533.759489716802</v>
      </c>
      <c r="H284" s="291">
        <f>IF(TRUE=ISBLANK(ChemData!S284),"",(ChemData!S284))</f>
        <v>1</v>
      </c>
      <c r="I284" s="375" t="str">
        <f>IF(Start!$C$15="x",(IF(OR(C284="NA",C284=""), "NA", (IF($H284 = "NA", "NA", ((C284*$H284)))))),"---")</f>
        <v>---</v>
      </c>
      <c r="J284" s="376" t="str">
        <f>IF(Start!$C$15="x",(IF(I284 = "NA", "NA", IF(OR(D284="NA",D284=""),"NA",(I284 +((Data!$D$19-Data!$D$22)/(Data!$D$19*Data!$D$22)*$D284))))),"---")</f>
        <v>---</v>
      </c>
      <c r="K284" s="376" t="str">
        <f>IF(Start!$C$15="x",(IF(J284="NA","NA",IF(OR(G284="NA",G284=""),"NA",(J284*(1-Data!$D$23)*Data!$D$14*1000)/(Data!$D$23+((1-Data!$D$23)*Data!$D$14*$G284))))),"---")</f>
        <v>---</v>
      </c>
      <c r="L284" s="376" t="str">
        <f>IF(Start!$C$15="x",(IF(I284="NA","NA",IF($G284 = "NA", "NA",(IF(OR(ChemData!U284="NA",ChemData!U284=""),I284/((Data!$D$18+((1-Data!$D$18)*Data!$D$14*$G284))/((1-Data!$D$18)*Data!$D$14*1000)),(IF(I284/((Data!$D$18+((1-Data!$D$18)*Data!$D$14*$G284))/((1-Data!$D$18)*Data!$D$14*1000))&gt;ChemData!U284, ChemData!U284, I284/((Data!$D$18+((1-Data!$D$18)*Data!$D$14*$G284))/((1-Data!$D$18)*Data!$D$14*1000))))))))),"---")</f>
        <v>---</v>
      </c>
      <c r="M284" s="376" t="str">
        <f>IF(Start!$C$15="x",(IF(L284="NA","NA",IF(OR(D284="NA",D284=""),"NA",(((Data!$D$22*Data!$D$18)*L284)+(Data!$D$19-Data!$D$22)*$D284)/((Data!$D$22*Data!$D$18)+Data!$D$19-Data!$D$22)))),"---")</f>
        <v>---</v>
      </c>
      <c r="N284" s="376" t="str">
        <f>IF(Start!$C$15="x",IF(K284 = "NA", "NA", (IF(M284 = "NA", "NA",(IF(OR(ChemData!U284="NA",ChemData!U284=""),(IF(K284&gt;M284,K284,M284)),(IF(K284&gt;M284,(IF(K284&gt;ChemData!U284, ChemData!U284, K284)),(IF(M284&gt;ChemData!U284,ChemData!U284,M284))))))))),"---")</f>
        <v>---</v>
      </c>
      <c r="O284" s="377" t="str">
        <f>IF(Start!$C$15="x",IF(N284 = "NA","NA", IF(OR(E284="NA",E284=""),"NA",(N284+(Data!$D$26*$E284))/(Data!$D$26+1))),"---")</f>
        <v>---</v>
      </c>
      <c r="P284" s="730" t="str">
        <f>IF(E284="",F284,IF($F284&lt;(1+(Data!$D$27/100))*$E284,(1+(Data!$D$27/100))*$E284,$F284))</f>
        <v>NA</v>
      </c>
      <c r="Q284" s="343" t="str">
        <f>IF(Start!$C$15="x",(IF(C284="","",(IF(O284="NA","NA",IF(P284="NA","NA",IF(P284=0,"NA",(O284/P284))))))),"Not Req.")</f>
        <v>Not Req.</v>
      </c>
      <c r="R284" s="163"/>
      <c r="S284" s="18"/>
      <c r="T284" s="18"/>
      <c r="U284" s="163"/>
      <c r="V284" s="163"/>
      <c r="W284" s="18"/>
      <c r="X284" s="163"/>
      <c r="Y284" s="163"/>
      <c r="Z284" s="18"/>
    </row>
    <row r="285" spans="1:26" s="10" customFormat="1" x14ac:dyDescent="0.25">
      <c r="A285" s="405" t="s">
        <v>603</v>
      </c>
      <c r="B285" s="371" t="str">
        <f>IF(Start!$C$15="x",IF(C285="NA","NA",(IF(C285="","",(IF(OR(F285="NA",F285=""),"No Criteria",(IF(AND(O285="NA",F285&lt;&gt;"NA",C285&lt;&gt;"NA"),                  "Missing Data",(IF(O285&lt;F285,"No",(IF(D285&gt;F285,"Caution",(IF(O285&gt;=F285,"Needed","No"))))))))))))),"---")</f>
        <v>---</v>
      </c>
      <c r="C285" s="372" t="str">
        <f>IF(TRUE=ISBLANK(ChemData!B285),"",(ChemData!B285))</f>
        <v/>
      </c>
      <c r="D285" s="373" t="str">
        <f>IF(TRUE=ISBLANK(ChemData!C285),"",(ChemData!C285))</f>
        <v/>
      </c>
      <c r="E285" s="374" t="str">
        <f>IF(TRUE=ISBLANK(ChemData!D285),"",(ChemData!D285))</f>
        <v/>
      </c>
      <c r="F285" s="289" t="str">
        <f>IF(TRUE=ISBLANK(ChemData!H285),"",(ChemData!H285))</f>
        <v>NA</v>
      </c>
      <c r="G285" s="290">
        <f>IF(TRUE=ISBLANK(ChemData!Q285),"",(ChemData!Q285))</f>
        <v>58533.759489716802</v>
      </c>
      <c r="H285" s="291">
        <f>IF(TRUE=ISBLANK(ChemData!S285),"",(ChemData!S285))</f>
        <v>1</v>
      </c>
      <c r="I285" s="375" t="str">
        <f>IF(Start!$C$15="x",(IF(OR(C285="NA",C285=""), "NA", (IF($H285 = "NA", "NA", ((C285*$H285)))))),"---")</f>
        <v>---</v>
      </c>
      <c r="J285" s="376" t="str">
        <f>IF(Start!$C$15="x",(IF(I285 = "NA", "NA", IF(OR(D285="NA",D285=""),"NA",(I285 +((Data!$D$19-Data!$D$22)/(Data!$D$19*Data!$D$22)*$D285))))),"---")</f>
        <v>---</v>
      </c>
      <c r="K285" s="376" t="str">
        <f>IF(Start!$C$15="x",(IF(J285="NA","NA",IF(OR(G285="NA",G285=""),"NA",(J285*(1-Data!$D$23)*Data!$D$14*1000)/(Data!$D$23+((1-Data!$D$23)*Data!$D$14*$G285))))),"---")</f>
        <v>---</v>
      </c>
      <c r="L285" s="376" t="str">
        <f>IF(Start!$C$15="x",(IF(I285="NA","NA",IF($G285 = "NA", "NA",(IF(OR(ChemData!U285="NA",ChemData!U285=""),I285/((Data!$D$18+((1-Data!$D$18)*Data!$D$14*$G285))/((1-Data!$D$18)*Data!$D$14*1000)),(IF(I285/((Data!$D$18+((1-Data!$D$18)*Data!$D$14*$G285))/((1-Data!$D$18)*Data!$D$14*1000))&gt;ChemData!U285, ChemData!U285, I285/((Data!$D$18+((1-Data!$D$18)*Data!$D$14*$G285))/((1-Data!$D$18)*Data!$D$14*1000))))))))),"---")</f>
        <v>---</v>
      </c>
      <c r="M285" s="376" t="str">
        <f>IF(Start!$C$15="x",(IF(L285="NA","NA",IF(OR(D285="NA",D285=""),"NA",(((Data!$D$22*Data!$D$18)*L285)+(Data!$D$19-Data!$D$22)*$D285)/((Data!$D$22*Data!$D$18)+Data!$D$19-Data!$D$22)))),"---")</f>
        <v>---</v>
      </c>
      <c r="N285" s="376" t="str">
        <f>IF(Start!$C$15="x",IF(K285 = "NA", "NA", (IF(M285 = "NA", "NA",(IF(OR(ChemData!U285="NA",ChemData!U285=""),(IF(K285&gt;M285,K285,M285)),(IF(K285&gt;M285,(IF(K285&gt;ChemData!U285, ChemData!U285, K285)),(IF(M285&gt;ChemData!U285,ChemData!U285,M285))))))))),"---")</f>
        <v>---</v>
      </c>
      <c r="O285" s="377" t="str">
        <f>IF(Start!$C$15="x",IF(N285 = "NA","NA", IF(OR(E285="NA",E285=""),"NA",(N285+(Data!$D$26*$E285))/(Data!$D$26+1))),"---")</f>
        <v>---</v>
      </c>
      <c r="P285" s="730" t="str">
        <f>IF(E285="",F285,IF($F285&lt;(1+(Data!$D$27/100))*$E285,(1+(Data!$D$27/100))*$E285,$F285))</f>
        <v>NA</v>
      </c>
      <c r="Q285" s="343" t="str">
        <f>IF(Start!$C$15="x",(IF(C285="","",(IF(O285="NA","NA",IF(P285="NA","NA",IF(P285=0,"NA",(O285/P285))))))),"Not Req.")</f>
        <v>Not Req.</v>
      </c>
      <c r="R285" s="163"/>
      <c r="S285" s="18"/>
      <c r="T285" s="18"/>
      <c r="U285" s="163"/>
      <c r="V285" s="163"/>
      <c r="W285" s="18"/>
      <c r="X285" s="163"/>
      <c r="Y285" s="163"/>
      <c r="Z285" s="18"/>
    </row>
    <row r="286" spans="1:26" s="10" customFormat="1" x14ac:dyDescent="0.25">
      <c r="A286" s="405" t="s">
        <v>604</v>
      </c>
      <c r="B286" s="371" t="str">
        <f>IF(Start!$C$15="x",IF(C286="NA","NA",(IF(C286="","",(IF(OR(F286="NA",F286=""),"No Criteria",(IF(AND(O286="NA",F286&lt;&gt;"NA",C286&lt;&gt;"NA"),                  "Missing Data",(IF(O286&lt;F286,"No",(IF(D286&gt;F286,"Caution",(IF(O286&gt;=F286,"Needed","No"))))))))))))),"---")</f>
        <v>---</v>
      </c>
      <c r="C286" s="372" t="str">
        <f>IF(TRUE=ISBLANK(ChemData!B286),"",(ChemData!B286))</f>
        <v/>
      </c>
      <c r="D286" s="373" t="str">
        <f>IF(TRUE=ISBLANK(ChemData!C286),"",(ChemData!C286))</f>
        <v/>
      </c>
      <c r="E286" s="374" t="str">
        <f>IF(TRUE=ISBLANK(ChemData!D286),"",(ChemData!D286))</f>
        <v/>
      </c>
      <c r="F286" s="289" t="str">
        <f>IF(TRUE=ISBLANK(ChemData!H286),"",(ChemData!H286))</f>
        <v>NA</v>
      </c>
      <c r="G286" s="290">
        <f>IF(TRUE=ISBLANK(ChemData!Q286),"",(ChemData!Q286))</f>
        <v>46495.01784724246</v>
      </c>
      <c r="H286" s="291">
        <f>IF(TRUE=ISBLANK(ChemData!S286),"",(ChemData!S286))</f>
        <v>1</v>
      </c>
      <c r="I286" s="375" t="str">
        <f>IF(Start!$C$15="x",(IF(OR(C286="NA",C286=""), "NA", (IF($H286 = "NA", "NA", ((C286*$H286)))))),"---")</f>
        <v>---</v>
      </c>
      <c r="J286" s="376" t="str">
        <f>IF(Start!$C$15="x",(IF(I286 = "NA", "NA", IF(OR(D286="NA",D286=""),"NA",(I286 +((Data!$D$19-Data!$D$22)/(Data!$D$19*Data!$D$22)*$D286))))),"---")</f>
        <v>---</v>
      </c>
      <c r="K286" s="376" t="str">
        <f>IF(Start!$C$15="x",(IF(J286="NA","NA",IF(OR(G286="NA",G286=""),"NA",(J286*(1-Data!$D$23)*Data!$D$14*1000)/(Data!$D$23+((1-Data!$D$23)*Data!$D$14*$G286))))),"---")</f>
        <v>---</v>
      </c>
      <c r="L286" s="376" t="str">
        <f>IF(Start!$C$15="x",(IF(I286="NA","NA",IF($G286 = "NA", "NA",(IF(OR(ChemData!U286="NA",ChemData!U286=""),I286/((Data!$D$18+((1-Data!$D$18)*Data!$D$14*$G286))/((1-Data!$D$18)*Data!$D$14*1000)),(IF(I286/((Data!$D$18+((1-Data!$D$18)*Data!$D$14*$G286))/((1-Data!$D$18)*Data!$D$14*1000))&gt;ChemData!U286, ChemData!U286, I286/((Data!$D$18+((1-Data!$D$18)*Data!$D$14*$G286))/((1-Data!$D$18)*Data!$D$14*1000))))))))),"---")</f>
        <v>---</v>
      </c>
      <c r="M286" s="376" t="str">
        <f>IF(Start!$C$15="x",(IF(L286="NA","NA",IF(OR(D286="NA",D286=""),"NA",(((Data!$D$22*Data!$D$18)*L286)+(Data!$D$19-Data!$D$22)*$D286)/((Data!$D$22*Data!$D$18)+Data!$D$19-Data!$D$22)))),"---")</f>
        <v>---</v>
      </c>
      <c r="N286" s="376" t="str">
        <f>IF(Start!$C$15="x",IF(K286 = "NA", "NA", (IF(M286 = "NA", "NA",(IF(OR(ChemData!U286="NA",ChemData!U286=""),(IF(K286&gt;M286,K286,M286)),(IF(K286&gt;M286,(IF(K286&gt;ChemData!U286, ChemData!U286, K286)),(IF(M286&gt;ChemData!U286,ChemData!U286,M286))))))))),"---")</f>
        <v>---</v>
      </c>
      <c r="O286" s="377" t="str">
        <f>IF(Start!$C$15="x",IF(N286 = "NA","NA", IF(OR(E286="NA",E286=""),"NA",(N286+(Data!$D$26*$E286))/(Data!$D$26+1))),"---")</f>
        <v>---</v>
      </c>
      <c r="P286" s="730" t="str">
        <f>IF(E286="",F286,IF($F286&lt;(1+(Data!$D$27/100))*$E286,(1+(Data!$D$27/100))*$E286,$F286))</f>
        <v>NA</v>
      </c>
      <c r="Q286" s="343" t="str">
        <f>IF(Start!$C$15="x",(IF(C286="","",(IF(O286="NA","NA",IF(P286="NA","NA",IF(P286=0,"NA",(O286/P286))))))),"Not Req.")</f>
        <v>Not Req.</v>
      </c>
      <c r="R286" s="163"/>
      <c r="S286" s="18"/>
      <c r="T286" s="18"/>
      <c r="U286" s="163"/>
      <c r="V286" s="163"/>
      <c r="W286" s="18"/>
      <c r="X286" s="163"/>
      <c r="Y286" s="163"/>
      <c r="Z286" s="18"/>
    </row>
    <row r="287" spans="1:26" s="10" customFormat="1" x14ac:dyDescent="0.25">
      <c r="A287" s="405" t="s">
        <v>605</v>
      </c>
      <c r="B287" s="371" t="str">
        <f>IF(Start!$C$15="x",IF(C287="NA","NA",(IF(C287="","",(IF(OR(F287="NA",F287=""),"No Criteria",(IF(AND(O287="NA",F287&lt;&gt;"NA",C287&lt;&gt;"NA"),                  "Missing Data",(IF(O287&lt;F287,"No",(IF(D287&gt;F287,"Caution",(IF(O287&gt;=F287,"Needed","No"))))))))))))),"---")</f>
        <v>---</v>
      </c>
      <c r="C287" s="372" t="str">
        <f>IF(TRUE=ISBLANK(ChemData!B287),"",(ChemData!B287))</f>
        <v/>
      </c>
      <c r="D287" s="373" t="str">
        <f>IF(TRUE=ISBLANK(ChemData!C287),"",(ChemData!C287))</f>
        <v/>
      </c>
      <c r="E287" s="374" t="str">
        <f>IF(TRUE=ISBLANK(ChemData!D287),"",(ChemData!D287))</f>
        <v/>
      </c>
      <c r="F287" s="289" t="str">
        <f>IF(TRUE=ISBLANK(ChemData!H287),"",(ChemData!H287))</f>
        <v>NA</v>
      </c>
      <c r="G287" s="290">
        <f>IF(TRUE=ISBLANK(ChemData!Q287),"",(ChemData!Q287))</f>
        <v>114131.73484456044</v>
      </c>
      <c r="H287" s="291">
        <f>IF(TRUE=ISBLANK(ChemData!S287),"",(ChemData!S287))</f>
        <v>1</v>
      </c>
      <c r="I287" s="375" t="str">
        <f>IF(Start!$C$15="x",(IF(OR(C287="NA",C287=""), "NA", (IF($H287 = "NA", "NA", ((C287*$H287)))))),"---")</f>
        <v>---</v>
      </c>
      <c r="J287" s="376" t="str">
        <f>IF(Start!$C$15="x",(IF(I287 = "NA", "NA", IF(OR(D287="NA",D287=""),"NA",(I287 +((Data!$D$19-Data!$D$22)/(Data!$D$19*Data!$D$22)*$D287))))),"---")</f>
        <v>---</v>
      </c>
      <c r="K287" s="376" t="str">
        <f>IF(Start!$C$15="x",(IF(J287="NA","NA",IF(OR(G287="NA",G287=""),"NA",(J287*(1-Data!$D$23)*Data!$D$14*1000)/(Data!$D$23+((1-Data!$D$23)*Data!$D$14*$G287))))),"---")</f>
        <v>---</v>
      </c>
      <c r="L287" s="376" t="str">
        <f>IF(Start!$C$15="x",(IF(I287="NA","NA",IF($G287 = "NA", "NA",(IF(OR(ChemData!U287="NA",ChemData!U287=""),I287/((Data!$D$18+((1-Data!$D$18)*Data!$D$14*$G287))/((1-Data!$D$18)*Data!$D$14*1000)),(IF(I287/((Data!$D$18+((1-Data!$D$18)*Data!$D$14*$G287))/((1-Data!$D$18)*Data!$D$14*1000))&gt;ChemData!U287, ChemData!U287, I287/((Data!$D$18+((1-Data!$D$18)*Data!$D$14*$G287))/((1-Data!$D$18)*Data!$D$14*1000))))))))),"---")</f>
        <v>---</v>
      </c>
      <c r="M287" s="376" t="str">
        <f>IF(Start!$C$15="x",(IF(L287="NA","NA",IF(OR(D287="NA",D287=""),"NA",(((Data!$D$22*Data!$D$18)*L287)+(Data!$D$19-Data!$D$22)*$D287)/((Data!$D$22*Data!$D$18)+Data!$D$19-Data!$D$22)))),"---")</f>
        <v>---</v>
      </c>
      <c r="N287" s="376" t="str">
        <f>IF(Start!$C$15="x",IF(K287 = "NA", "NA", (IF(M287 = "NA", "NA",(IF(OR(ChemData!U287="NA",ChemData!U287=""),(IF(K287&gt;M287,K287,M287)),(IF(K287&gt;M287,(IF(K287&gt;ChemData!U287, ChemData!U287, K287)),(IF(M287&gt;ChemData!U287,ChemData!U287,M287))))))))),"---")</f>
        <v>---</v>
      </c>
      <c r="O287" s="377" t="str">
        <f>IF(Start!$C$15="x",IF(N287 = "NA","NA", IF(OR(E287="NA",E287=""),"NA",(N287+(Data!$D$26*$E287))/(Data!$D$26+1))),"---")</f>
        <v>---</v>
      </c>
      <c r="P287" s="730" t="str">
        <f>IF(E287="",F287,IF($F287&lt;(1+(Data!$D$27/100))*$E287,(1+(Data!$D$27/100))*$E287,$F287))</f>
        <v>NA</v>
      </c>
      <c r="Q287" s="343" t="str">
        <f>IF(Start!$C$15="x",(IF(C287="","",(IF(O287="NA","NA",IF(P287="NA","NA",IF(P287=0,"NA",(O287/P287))))))),"Not Req.")</f>
        <v>Not Req.</v>
      </c>
      <c r="R287" s="163"/>
      <c r="S287" s="18"/>
      <c r="T287" s="18"/>
      <c r="U287" s="163"/>
      <c r="V287" s="163"/>
      <c r="W287" s="18"/>
      <c r="X287" s="163"/>
      <c r="Y287" s="163"/>
      <c r="Z287" s="18"/>
    </row>
    <row r="288" spans="1:26" s="10" customFormat="1" x14ac:dyDescent="0.25">
      <c r="A288" s="405" t="s">
        <v>606</v>
      </c>
      <c r="B288" s="371" t="str">
        <f>IF(Start!$C$15="x",IF(C288="NA","NA",(IF(C288="","",(IF(OR(F288="NA",F288=""),"No Criteria",(IF(AND(O288="NA",F288&lt;&gt;"NA",C288&lt;&gt;"NA"),                  "Missing Data",(IF(O288&lt;F288,"No",(IF(D288&gt;F288,"Caution",(IF(O288&gt;=F288,"Needed","No"))))))))))))),"---")</f>
        <v>---</v>
      </c>
      <c r="C288" s="372" t="str">
        <f>IF(TRUE=ISBLANK(ChemData!B288),"",(ChemData!B288))</f>
        <v/>
      </c>
      <c r="D288" s="373" t="str">
        <f>IF(TRUE=ISBLANK(ChemData!C288),"",(ChemData!C288))</f>
        <v/>
      </c>
      <c r="E288" s="374" t="str">
        <f>IF(TRUE=ISBLANK(ChemData!D288),"",(ChemData!D288))</f>
        <v/>
      </c>
      <c r="F288" s="289" t="str">
        <f>IF(TRUE=ISBLANK(ChemData!H288),"",(ChemData!H288))</f>
        <v>NA</v>
      </c>
      <c r="G288" s="290">
        <f>IF(TRUE=ISBLANK(ChemData!Q288),"",(ChemData!Q288))</f>
        <v>53383.423122873501</v>
      </c>
      <c r="H288" s="291">
        <f>IF(TRUE=ISBLANK(ChemData!S288),"",(ChemData!S288))</f>
        <v>1</v>
      </c>
      <c r="I288" s="375" t="str">
        <f>IF(Start!$C$15="x",(IF(OR(C288="NA",C288=""), "NA", (IF($H288 = "NA", "NA", ((C288*$H288)))))),"---")</f>
        <v>---</v>
      </c>
      <c r="J288" s="376" t="str">
        <f>IF(Start!$C$15="x",(IF(I288 = "NA", "NA", IF(OR(D288="NA",D288=""),"NA",(I288 +((Data!$D$19-Data!$D$22)/(Data!$D$19*Data!$D$22)*$D288))))),"---")</f>
        <v>---</v>
      </c>
      <c r="K288" s="376" t="str">
        <f>IF(Start!$C$15="x",(IF(J288="NA","NA",IF(OR(G288="NA",G288=""),"NA",(J288*(1-Data!$D$23)*Data!$D$14*1000)/(Data!$D$23+((1-Data!$D$23)*Data!$D$14*$G288))))),"---")</f>
        <v>---</v>
      </c>
      <c r="L288" s="376" t="str">
        <f>IF(Start!$C$15="x",(IF(I288="NA","NA",IF($G288 = "NA", "NA",(IF(OR(ChemData!U288="NA",ChemData!U288=""),I288/((Data!$D$18+((1-Data!$D$18)*Data!$D$14*$G288))/((1-Data!$D$18)*Data!$D$14*1000)),(IF(I288/((Data!$D$18+((1-Data!$D$18)*Data!$D$14*$G288))/((1-Data!$D$18)*Data!$D$14*1000))&gt;ChemData!U288, ChemData!U288, I288/((Data!$D$18+((1-Data!$D$18)*Data!$D$14*$G288))/((1-Data!$D$18)*Data!$D$14*1000))))))))),"---")</f>
        <v>---</v>
      </c>
      <c r="M288" s="376" t="str">
        <f>IF(Start!$C$15="x",(IF(L288="NA","NA",IF(OR(D288="NA",D288=""),"NA",(((Data!$D$22*Data!$D$18)*L288)+(Data!$D$19-Data!$D$22)*$D288)/((Data!$D$22*Data!$D$18)+Data!$D$19-Data!$D$22)))),"---")</f>
        <v>---</v>
      </c>
      <c r="N288" s="376" t="str">
        <f>IF(Start!$C$15="x",IF(K288 = "NA", "NA", (IF(M288 = "NA", "NA",(IF(OR(ChemData!U288="NA",ChemData!U288=""),(IF(K288&gt;M288,K288,M288)),(IF(K288&gt;M288,(IF(K288&gt;ChemData!U288, ChemData!U288, K288)),(IF(M288&gt;ChemData!U288,ChemData!U288,M288))))))))),"---")</f>
        <v>---</v>
      </c>
      <c r="O288" s="377" t="str">
        <f>IF(Start!$C$15="x",IF(N288 = "NA","NA", IF(OR(E288="NA",E288=""),"NA",(N288+(Data!$D$26*$E288))/(Data!$D$26+1))),"---")</f>
        <v>---</v>
      </c>
      <c r="P288" s="730" t="str">
        <f>IF(E288="",F288,IF($F288&lt;(1+(Data!$D$27/100))*$E288,(1+(Data!$D$27/100))*$E288,$F288))</f>
        <v>NA</v>
      </c>
      <c r="Q288" s="343" t="str">
        <f>IF(Start!$C$15="x",(IF(C288="","",(IF(O288="NA","NA",IF(P288="NA","NA",IF(P288=0,"NA",(O288/P288))))))),"Not Req.")</f>
        <v>Not Req.</v>
      </c>
      <c r="R288" s="163"/>
      <c r="S288" s="18"/>
      <c r="T288" s="18"/>
      <c r="U288" s="163"/>
      <c r="V288" s="163"/>
      <c r="W288" s="18"/>
      <c r="X288" s="163"/>
      <c r="Y288" s="163"/>
      <c r="Z288" s="18"/>
    </row>
    <row r="289" spans="1:26" s="10" customFormat="1" x14ac:dyDescent="0.25">
      <c r="A289" s="405" t="s">
        <v>607</v>
      </c>
      <c r="B289" s="371" t="str">
        <f>IF(Start!$C$15="x",IF(C289="NA","NA",(IF(C289="","",(IF(OR(F289="NA",F289=""),"No Criteria",(IF(AND(O289="NA",F289&lt;&gt;"NA",C289&lt;&gt;"NA"),                  "Missing Data",(IF(O289&lt;F289,"No",(IF(D289&gt;F289,"Caution",(IF(O289&gt;=F289,"Needed","No"))))))))))))),"---")</f>
        <v>---</v>
      </c>
      <c r="C289" s="372" t="str">
        <f>IF(TRUE=ISBLANK(ChemData!B289),"",(ChemData!B289))</f>
        <v/>
      </c>
      <c r="D289" s="373" t="str">
        <f>IF(TRUE=ISBLANK(ChemData!C289),"",(ChemData!C289))</f>
        <v/>
      </c>
      <c r="E289" s="374" t="str">
        <f>IF(TRUE=ISBLANK(ChemData!D289),"",(ChemData!D289))</f>
        <v/>
      </c>
      <c r="F289" s="289" t="str">
        <f>IF(TRUE=ISBLANK(ChemData!H289),"",(ChemData!H289))</f>
        <v>NA</v>
      </c>
      <c r="G289" s="290">
        <f>IF(TRUE=ISBLANK(ChemData!Q289),"",(ChemData!Q289))</f>
        <v>73689.637269452403</v>
      </c>
      <c r="H289" s="291">
        <f>IF(TRUE=ISBLANK(ChemData!S289),"",(ChemData!S289))</f>
        <v>1</v>
      </c>
      <c r="I289" s="375" t="str">
        <f>IF(Start!$C$15="x",(IF(OR(C289="NA",C289=""), "NA", (IF($H289 = "NA", "NA", ((C289*$H289)))))),"---")</f>
        <v>---</v>
      </c>
      <c r="J289" s="376" t="str">
        <f>IF(Start!$C$15="x",(IF(I289 = "NA", "NA", IF(OR(D289="NA",D289=""),"NA",(I289 +((Data!$D$19-Data!$D$22)/(Data!$D$19*Data!$D$22)*$D289))))),"---")</f>
        <v>---</v>
      </c>
      <c r="K289" s="376" t="str">
        <f>IF(Start!$C$15="x",(IF(J289="NA","NA",IF(OR(G289="NA",G289=""),"NA",(J289*(1-Data!$D$23)*Data!$D$14*1000)/(Data!$D$23+((1-Data!$D$23)*Data!$D$14*$G289))))),"---")</f>
        <v>---</v>
      </c>
      <c r="L289" s="376" t="str">
        <f>IF(Start!$C$15="x",(IF(I289="NA","NA",IF($G289 = "NA", "NA",(IF(OR(ChemData!U289="NA",ChemData!U289=""),I289/((Data!$D$18+((1-Data!$D$18)*Data!$D$14*$G289))/((1-Data!$D$18)*Data!$D$14*1000)),(IF(I289/((Data!$D$18+((1-Data!$D$18)*Data!$D$14*$G289))/((1-Data!$D$18)*Data!$D$14*1000))&gt;ChemData!U289, ChemData!U289, I289/((Data!$D$18+((1-Data!$D$18)*Data!$D$14*$G289))/((1-Data!$D$18)*Data!$D$14*1000))))))))),"---")</f>
        <v>---</v>
      </c>
      <c r="M289" s="376" t="str">
        <f>IF(Start!$C$15="x",(IF(L289="NA","NA",IF(OR(D289="NA",D289=""),"NA",(((Data!$D$22*Data!$D$18)*L289)+(Data!$D$19-Data!$D$22)*$D289)/((Data!$D$22*Data!$D$18)+Data!$D$19-Data!$D$22)))),"---")</f>
        <v>---</v>
      </c>
      <c r="N289" s="376" t="str">
        <f>IF(Start!$C$15="x",IF(K289 = "NA", "NA", (IF(M289 = "NA", "NA",(IF(OR(ChemData!U289="NA",ChemData!U289=""),(IF(K289&gt;M289,K289,M289)),(IF(K289&gt;M289,(IF(K289&gt;ChemData!U289, ChemData!U289, K289)),(IF(M289&gt;ChemData!U289,ChemData!U289,M289))))))))),"---")</f>
        <v>---</v>
      </c>
      <c r="O289" s="377" t="str">
        <f>IF(Start!$C$15="x",IF(N289 = "NA","NA", IF(OR(E289="NA",E289=""),"NA",(N289+(Data!$D$26*$E289))/(Data!$D$26+1))),"---")</f>
        <v>---</v>
      </c>
      <c r="P289" s="730" t="str">
        <f>IF(E289="",F289,IF($F289&lt;(1+(Data!$D$27/100))*$E289,(1+(Data!$D$27/100))*$E289,$F289))</f>
        <v>NA</v>
      </c>
      <c r="Q289" s="343" t="str">
        <f>IF(Start!$C$15="x",(IF(C289="","",(IF(O289="NA","NA",IF(P289="NA","NA",IF(P289=0,"NA",(O289/P289))))))),"Not Req.")</f>
        <v>Not Req.</v>
      </c>
      <c r="R289" s="163"/>
      <c r="S289" s="18"/>
      <c r="T289" s="18"/>
      <c r="U289" s="163"/>
      <c r="V289" s="163"/>
      <c r="W289" s="18"/>
      <c r="X289" s="163"/>
      <c r="Y289" s="163"/>
      <c r="Z289" s="18"/>
    </row>
    <row r="290" spans="1:26" s="10" customFormat="1" x14ac:dyDescent="0.25">
      <c r="A290" s="405" t="s">
        <v>608</v>
      </c>
      <c r="B290" s="371" t="str">
        <f>IF(Start!$C$15="x",IF(C290="NA","NA",(IF(C290="","",(IF(OR(F290="NA",F290=""),"No Criteria",(IF(AND(O290="NA",F290&lt;&gt;"NA",C290&lt;&gt;"NA"),                  "Missing Data",(IF(O290&lt;F290,"No",(IF(D290&gt;F290,"Caution",(IF(O290&gt;=F290,"Needed","No"))))))))))))),"---")</f>
        <v>---</v>
      </c>
      <c r="C290" s="372" t="str">
        <f>IF(TRUE=ISBLANK(ChemData!B290),"",(ChemData!B290))</f>
        <v/>
      </c>
      <c r="D290" s="373" t="str">
        <f>IF(TRUE=ISBLANK(ChemData!C290),"",(ChemData!C290))</f>
        <v/>
      </c>
      <c r="E290" s="374" t="str">
        <f>IF(TRUE=ISBLANK(ChemData!D290),"",(ChemData!D290))</f>
        <v/>
      </c>
      <c r="F290" s="289" t="str">
        <f>IF(TRUE=ISBLANK(ChemData!H290),"",(ChemData!H290))</f>
        <v>NA</v>
      </c>
      <c r="G290" s="290">
        <f>IF(TRUE=ISBLANK(ChemData!Q290),"",(ChemData!Q290))</f>
        <v>377925.6935583303</v>
      </c>
      <c r="H290" s="291">
        <f>IF(TRUE=ISBLANK(ChemData!S290),"",(ChemData!S290))</f>
        <v>1</v>
      </c>
      <c r="I290" s="375" t="str">
        <f>IF(Start!$C$15="x",(IF(OR(C290="NA",C290=""), "NA", (IF($H290 = "NA", "NA", ((C290*$H290)))))),"---")</f>
        <v>---</v>
      </c>
      <c r="J290" s="376" t="str">
        <f>IF(Start!$C$15="x",(IF(I290 = "NA", "NA", IF(OR(D290="NA",D290=""),"NA",(I290 +((Data!$D$19-Data!$D$22)/(Data!$D$19*Data!$D$22)*$D290))))),"---")</f>
        <v>---</v>
      </c>
      <c r="K290" s="376" t="str">
        <f>IF(Start!$C$15="x",(IF(J290="NA","NA",IF(OR(G290="NA",G290=""),"NA",(J290*(1-Data!$D$23)*Data!$D$14*1000)/(Data!$D$23+((1-Data!$D$23)*Data!$D$14*$G290))))),"---")</f>
        <v>---</v>
      </c>
      <c r="L290" s="376" t="str">
        <f>IF(Start!$C$15="x",(IF(I290="NA","NA",IF($G290 = "NA", "NA",(IF(OR(ChemData!U290="NA",ChemData!U290=""),I290/((Data!$D$18+((1-Data!$D$18)*Data!$D$14*$G290))/((1-Data!$D$18)*Data!$D$14*1000)),(IF(I290/((Data!$D$18+((1-Data!$D$18)*Data!$D$14*$G290))/((1-Data!$D$18)*Data!$D$14*1000))&gt;ChemData!U290, ChemData!U290, I290/((Data!$D$18+((1-Data!$D$18)*Data!$D$14*$G290))/((1-Data!$D$18)*Data!$D$14*1000))))))))),"---")</f>
        <v>---</v>
      </c>
      <c r="M290" s="376" t="str">
        <f>IF(Start!$C$15="x",(IF(L290="NA","NA",IF(OR(D290="NA",D290=""),"NA",(((Data!$D$22*Data!$D$18)*L290)+(Data!$D$19-Data!$D$22)*$D290)/((Data!$D$22*Data!$D$18)+Data!$D$19-Data!$D$22)))),"---")</f>
        <v>---</v>
      </c>
      <c r="N290" s="376" t="str">
        <f>IF(Start!$C$15="x",IF(K290 = "NA", "NA", (IF(M290 = "NA", "NA",(IF(OR(ChemData!U290="NA",ChemData!U290=""),(IF(K290&gt;M290,K290,M290)),(IF(K290&gt;M290,(IF(K290&gt;ChemData!U290, ChemData!U290, K290)),(IF(M290&gt;ChemData!U290,ChemData!U290,M290))))))))),"---")</f>
        <v>---</v>
      </c>
      <c r="O290" s="377" t="str">
        <f>IF(Start!$C$15="x",IF(N290 = "NA","NA", IF(OR(E290="NA",E290=""),"NA",(N290+(Data!$D$26*$E290))/(Data!$D$26+1))),"---")</f>
        <v>---</v>
      </c>
      <c r="P290" s="730" t="str">
        <f>IF(E290="",F290,IF($F290&lt;(1+(Data!$D$27/100))*$E290,(1+(Data!$D$27/100))*$E290,$F290))</f>
        <v>NA</v>
      </c>
      <c r="Q290" s="343" t="str">
        <f>IF(Start!$C$15="x",(IF(C290="","",(IF(O290="NA","NA",IF(P290="NA","NA",IF(P290=0,"NA",(O290/P290))))))),"Not Req.")</f>
        <v>Not Req.</v>
      </c>
      <c r="R290" s="163"/>
      <c r="S290" s="18"/>
      <c r="T290" s="18"/>
      <c r="U290" s="163"/>
      <c r="V290" s="163"/>
      <c r="W290" s="18"/>
      <c r="X290" s="163"/>
      <c r="Y290" s="163"/>
      <c r="Z290" s="18"/>
    </row>
    <row r="291" spans="1:26" s="10" customFormat="1" x14ac:dyDescent="0.25">
      <c r="A291" s="405" t="s">
        <v>609</v>
      </c>
      <c r="B291" s="371" t="str">
        <f>IF(Start!$C$15="x",IF(C291="NA","NA",(IF(C291="","",(IF(OR(F291="NA",F291=""),"No Criteria",(IF(AND(O291="NA",F291&lt;&gt;"NA",C291&lt;&gt;"NA"),                  "Missing Data",(IF(O291&lt;F291,"No",(IF(D291&gt;F291,"Caution",(IF(O291&gt;=F291,"Needed","No"))))))))))))),"---")</f>
        <v>---</v>
      </c>
      <c r="C291" s="372" t="str">
        <f>IF(TRUE=ISBLANK(ChemData!B291),"",(ChemData!B291))</f>
        <v/>
      </c>
      <c r="D291" s="373" t="str">
        <f>IF(TRUE=ISBLANK(ChemData!C291),"",(ChemData!C291))</f>
        <v/>
      </c>
      <c r="E291" s="374" t="str">
        <f>IF(TRUE=ISBLANK(ChemData!D291),"",(ChemData!D291))</f>
        <v/>
      </c>
      <c r="F291" s="289" t="str">
        <f>IF(TRUE=ISBLANK(ChemData!H291),"",(ChemData!H291))</f>
        <v>NA</v>
      </c>
      <c r="G291" s="290">
        <f>IF(TRUE=ISBLANK(ChemData!Q291),"",(ChemData!Q291))</f>
        <v>94930.64217680179</v>
      </c>
      <c r="H291" s="291">
        <f>IF(TRUE=ISBLANK(ChemData!S291),"",(ChemData!S291))</f>
        <v>1</v>
      </c>
      <c r="I291" s="375" t="str">
        <f>IF(Start!$C$15="x",(IF(OR(C291="NA",C291=""), "NA", (IF($H291 = "NA", "NA", ((C291*$H291)))))),"---")</f>
        <v>---</v>
      </c>
      <c r="J291" s="376" t="str">
        <f>IF(Start!$C$15="x",(IF(I291 = "NA", "NA", IF(OR(D291="NA",D291=""),"NA",(I291 +((Data!$D$19-Data!$D$22)/(Data!$D$19*Data!$D$22)*$D291))))),"---")</f>
        <v>---</v>
      </c>
      <c r="K291" s="376" t="str">
        <f>IF(Start!$C$15="x",(IF(J291="NA","NA",IF(OR(G291="NA",G291=""),"NA",(J291*(1-Data!$D$23)*Data!$D$14*1000)/(Data!$D$23+((1-Data!$D$23)*Data!$D$14*$G291))))),"---")</f>
        <v>---</v>
      </c>
      <c r="L291" s="376" t="str">
        <f>IF(Start!$C$15="x",(IF(I291="NA","NA",IF($G291 = "NA", "NA",(IF(OR(ChemData!U291="NA",ChemData!U291=""),I291/((Data!$D$18+((1-Data!$D$18)*Data!$D$14*$G291))/((1-Data!$D$18)*Data!$D$14*1000)),(IF(I291/((Data!$D$18+((1-Data!$D$18)*Data!$D$14*$G291))/((1-Data!$D$18)*Data!$D$14*1000))&gt;ChemData!U291, ChemData!U291, I291/((Data!$D$18+((1-Data!$D$18)*Data!$D$14*$G291))/((1-Data!$D$18)*Data!$D$14*1000))))))))),"---")</f>
        <v>---</v>
      </c>
      <c r="M291" s="376" t="str">
        <f>IF(Start!$C$15="x",(IF(L291="NA","NA",IF(OR(D291="NA",D291=""),"NA",(((Data!$D$22*Data!$D$18)*L291)+(Data!$D$19-Data!$D$22)*$D291)/((Data!$D$22*Data!$D$18)+Data!$D$19-Data!$D$22)))),"---")</f>
        <v>---</v>
      </c>
      <c r="N291" s="376" t="str">
        <f>IF(Start!$C$15="x",IF(K291 = "NA", "NA", (IF(M291 = "NA", "NA",(IF(OR(ChemData!U291="NA",ChemData!U291=""),(IF(K291&gt;M291,K291,M291)),(IF(K291&gt;M291,(IF(K291&gt;ChemData!U291, ChemData!U291, K291)),(IF(M291&gt;ChemData!U291,ChemData!U291,M291))))))))),"---")</f>
        <v>---</v>
      </c>
      <c r="O291" s="377" t="str">
        <f>IF(Start!$C$15="x",IF(N291 = "NA","NA", IF(OR(E291="NA",E291=""),"NA",(N291+(Data!$D$26*$E291))/(Data!$D$26+1))),"---")</f>
        <v>---</v>
      </c>
      <c r="P291" s="730" t="str">
        <f>IF(E291="",F291,IF($F291&lt;(1+(Data!$D$27/100))*$E291,(1+(Data!$D$27/100))*$E291,$F291))</f>
        <v>NA</v>
      </c>
      <c r="Q291" s="343" t="str">
        <f>IF(Start!$C$15="x",(IF(C291="","",(IF(O291="NA","NA",IF(P291="NA","NA",IF(P291=0,"NA",(O291/P291))))))),"Not Req.")</f>
        <v>Not Req.</v>
      </c>
      <c r="R291" s="163"/>
      <c r="S291" s="18"/>
      <c r="T291" s="18"/>
      <c r="U291" s="163"/>
      <c r="V291" s="163"/>
      <c r="W291" s="18"/>
      <c r="X291" s="163"/>
      <c r="Y291" s="163"/>
      <c r="Z291" s="18"/>
    </row>
    <row r="292" spans="1:26" s="10" customFormat="1" x14ac:dyDescent="0.25">
      <c r="A292" s="405" t="s">
        <v>610</v>
      </c>
      <c r="B292" s="371" t="str">
        <f>IF(Start!$C$15="x",IF(C292="NA","NA",(IF(C292="","",(IF(OR(F292="NA",F292=""),"No Criteria",(IF(AND(O292="NA",F292&lt;&gt;"NA",C292&lt;&gt;"NA"),                  "Missing Data",(IF(O292&lt;F292,"No",(IF(D292&gt;F292,"Caution",(IF(O292&gt;=F292,"Needed","No"))))))))))))),"---")</f>
        <v>---</v>
      </c>
      <c r="C292" s="372" t="str">
        <f>IF(TRUE=ISBLANK(ChemData!B292),"",(ChemData!B292))</f>
        <v/>
      </c>
      <c r="D292" s="373" t="str">
        <f>IF(TRUE=ISBLANK(ChemData!C292),"",(ChemData!C292))</f>
        <v/>
      </c>
      <c r="E292" s="374" t="str">
        <f>IF(TRUE=ISBLANK(ChemData!D292),"",(ChemData!D292))</f>
        <v/>
      </c>
      <c r="F292" s="289" t="str">
        <f>IF(TRUE=ISBLANK(ChemData!H292),"",(ChemData!H292))</f>
        <v>NA</v>
      </c>
      <c r="G292" s="290">
        <f>IF(TRUE=ISBLANK(ChemData!Q292),"",(ChemData!Q292))</f>
        <v>147030.15624746474</v>
      </c>
      <c r="H292" s="291">
        <f>IF(TRUE=ISBLANK(ChemData!S292),"",(ChemData!S292))</f>
        <v>1</v>
      </c>
      <c r="I292" s="375" t="str">
        <f>IF(Start!$C$15="x",(IF(OR(C292="NA",C292=""), "NA", (IF($H292 = "NA", "NA", ((C292*$H292)))))),"---")</f>
        <v>---</v>
      </c>
      <c r="J292" s="376" t="str">
        <f>IF(Start!$C$15="x",(IF(I292 = "NA", "NA", IF(OR(D292="NA",D292=""),"NA",(I292 +((Data!$D$19-Data!$D$22)/(Data!$D$19*Data!$D$22)*$D292))))),"---")</f>
        <v>---</v>
      </c>
      <c r="K292" s="376" t="str">
        <f>IF(Start!$C$15="x",(IF(J292="NA","NA",IF(OR(G292="NA",G292=""),"NA",(J292*(1-Data!$D$23)*Data!$D$14*1000)/(Data!$D$23+((1-Data!$D$23)*Data!$D$14*$G292))))),"---")</f>
        <v>---</v>
      </c>
      <c r="L292" s="376" t="str">
        <f>IF(Start!$C$15="x",(IF(I292="NA","NA",IF($G292 = "NA", "NA",(IF(OR(ChemData!U292="NA",ChemData!U292=""),I292/((Data!$D$18+((1-Data!$D$18)*Data!$D$14*$G292))/((1-Data!$D$18)*Data!$D$14*1000)),(IF(I292/((Data!$D$18+((1-Data!$D$18)*Data!$D$14*$G292))/((1-Data!$D$18)*Data!$D$14*1000))&gt;ChemData!U292, ChemData!U292, I292/((Data!$D$18+((1-Data!$D$18)*Data!$D$14*$G292))/((1-Data!$D$18)*Data!$D$14*1000))))))))),"---")</f>
        <v>---</v>
      </c>
      <c r="M292" s="376" t="str">
        <f>IF(Start!$C$15="x",(IF(L292="NA","NA",IF(OR(D292="NA",D292=""),"NA",(((Data!$D$22*Data!$D$18)*L292)+(Data!$D$19-Data!$D$22)*$D292)/((Data!$D$22*Data!$D$18)+Data!$D$19-Data!$D$22)))),"---")</f>
        <v>---</v>
      </c>
      <c r="N292" s="376" t="str">
        <f>IF(Start!$C$15="x",IF(K292 = "NA", "NA", (IF(M292 = "NA", "NA",(IF(OR(ChemData!U292="NA",ChemData!U292=""),(IF(K292&gt;M292,K292,M292)),(IF(K292&gt;M292,(IF(K292&gt;ChemData!U292, ChemData!U292, K292)),(IF(M292&gt;ChemData!U292,ChemData!U292,M292))))))))),"---")</f>
        <v>---</v>
      </c>
      <c r="O292" s="377" t="str">
        <f>IF(Start!$C$15="x",IF(N292 = "NA","NA", IF(OR(E292="NA",E292=""),"NA",(N292+(Data!$D$26*$E292))/(Data!$D$26+1))),"---")</f>
        <v>---</v>
      </c>
      <c r="P292" s="730" t="str">
        <f>IF(E292="",F292,IF($F292&lt;(1+(Data!$D$27/100))*$E292,(1+(Data!$D$27/100))*$E292,$F292))</f>
        <v>NA</v>
      </c>
      <c r="Q292" s="343" t="str">
        <f>IF(Start!$C$15="x",(IF(C292="","",(IF(O292="NA","NA",IF(P292="NA","NA",IF(P292=0,"NA",(O292/P292))))))),"Not Req.")</f>
        <v>Not Req.</v>
      </c>
      <c r="R292" s="163"/>
      <c r="S292" s="18"/>
      <c r="T292" s="18"/>
      <c r="U292" s="163"/>
      <c r="V292" s="163"/>
      <c r="W292" s="18"/>
      <c r="X292" s="163"/>
      <c r="Y292" s="163"/>
      <c r="Z292" s="18"/>
    </row>
    <row r="293" spans="1:26" s="10" customFormat="1" x14ac:dyDescent="0.25">
      <c r="A293" s="405" t="s">
        <v>611</v>
      </c>
      <c r="B293" s="371" t="str">
        <f>IF(Start!$C$15="x",IF(C293="NA","NA",(IF(C293="","",(IF(OR(F293="NA",F293=""),"No Criteria",(IF(AND(O293="NA",F293&lt;&gt;"NA",C293&lt;&gt;"NA"),                  "Missing Data",(IF(O293&lt;F293,"No",(IF(D293&gt;F293,"Caution",(IF(O293&gt;=F293,"Needed","No"))))))))))))),"---")</f>
        <v>---</v>
      </c>
      <c r="C293" s="372" t="str">
        <f>IF(TRUE=ISBLANK(ChemData!B293),"",(ChemData!B293))</f>
        <v/>
      </c>
      <c r="D293" s="373" t="str">
        <f>IF(TRUE=ISBLANK(ChemData!C293),"",(ChemData!C293))</f>
        <v/>
      </c>
      <c r="E293" s="374" t="str">
        <f>IF(TRUE=ISBLANK(ChemData!D293),"",(ChemData!D293))</f>
        <v/>
      </c>
      <c r="F293" s="289" t="str">
        <f>IF(TRUE=ISBLANK(ChemData!H293),"",(ChemData!H293))</f>
        <v>NA</v>
      </c>
      <c r="G293" s="290">
        <f>IF(TRUE=ISBLANK(ChemData!Q293),"",(ChemData!Q293))</f>
        <v>128057.91271709518</v>
      </c>
      <c r="H293" s="291">
        <f>IF(TRUE=ISBLANK(ChemData!S293),"",(ChemData!S293))</f>
        <v>1</v>
      </c>
      <c r="I293" s="375" t="str">
        <f>IF(Start!$C$15="x",(IF(OR(C293="NA",C293=""), "NA", (IF($H293 = "NA", "NA", ((C293*$H293)))))),"---")</f>
        <v>---</v>
      </c>
      <c r="J293" s="376" t="str">
        <f>IF(Start!$C$15="x",(IF(I293 = "NA", "NA", IF(OR(D293="NA",D293=""),"NA",(I293 +((Data!$D$19-Data!$D$22)/(Data!$D$19*Data!$D$22)*$D293))))),"---")</f>
        <v>---</v>
      </c>
      <c r="K293" s="376" t="str">
        <f>IF(Start!$C$15="x",(IF(J293="NA","NA",IF(OR(G293="NA",G293=""),"NA",(J293*(1-Data!$D$23)*Data!$D$14*1000)/(Data!$D$23+((1-Data!$D$23)*Data!$D$14*$G293))))),"---")</f>
        <v>---</v>
      </c>
      <c r="L293" s="376" t="str">
        <f>IF(Start!$C$15="x",(IF(I293="NA","NA",IF($G293 = "NA", "NA",(IF(OR(ChemData!U293="NA",ChemData!U293=""),I293/((Data!$D$18+((1-Data!$D$18)*Data!$D$14*$G293))/((1-Data!$D$18)*Data!$D$14*1000)),(IF(I293/((Data!$D$18+((1-Data!$D$18)*Data!$D$14*$G293))/((1-Data!$D$18)*Data!$D$14*1000))&gt;ChemData!U293, ChemData!U293, I293/((Data!$D$18+((1-Data!$D$18)*Data!$D$14*$G293))/((1-Data!$D$18)*Data!$D$14*1000))))))))),"---")</f>
        <v>---</v>
      </c>
      <c r="M293" s="376" t="str">
        <f>IF(Start!$C$15="x",(IF(L293="NA","NA",IF(OR(D293="NA",D293=""),"NA",(((Data!$D$22*Data!$D$18)*L293)+(Data!$D$19-Data!$D$22)*$D293)/((Data!$D$22*Data!$D$18)+Data!$D$19-Data!$D$22)))),"---")</f>
        <v>---</v>
      </c>
      <c r="N293" s="376" t="str">
        <f>IF(Start!$C$15="x",IF(K293 = "NA", "NA", (IF(M293 = "NA", "NA",(IF(OR(ChemData!U293="NA",ChemData!U293=""),(IF(K293&gt;M293,K293,M293)),(IF(K293&gt;M293,(IF(K293&gt;ChemData!U293, ChemData!U293, K293)),(IF(M293&gt;ChemData!U293,ChemData!U293,M293))))))))),"---")</f>
        <v>---</v>
      </c>
      <c r="O293" s="377" t="str">
        <f>IF(Start!$C$15="x",IF(N293 = "NA","NA", IF(OR(E293="NA",E293=""),"NA",(N293+(Data!$D$26*$E293))/(Data!$D$26+1))),"---")</f>
        <v>---</v>
      </c>
      <c r="P293" s="730" t="str">
        <f>IF(E293="",F293,IF($F293&lt;(1+(Data!$D$27/100))*$E293,(1+(Data!$D$27/100))*$E293,$F293))</f>
        <v>NA</v>
      </c>
      <c r="Q293" s="343" t="str">
        <f>IF(Start!$C$15="x",(IF(C293="","",(IF(O293="NA","NA",IF(P293="NA","NA",IF(P293=0,"NA",(O293/P293))))))),"Not Req.")</f>
        <v>Not Req.</v>
      </c>
      <c r="R293" s="163"/>
      <c r="S293" s="18"/>
      <c r="T293" s="18"/>
      <c r="U293" s="163"/>
      <c r="V293" s="163"/>
      <c r="W293" s="18"/>
      <c r="X293" s="163"/>
      <c r="Y293" s="163"/>
      <c r="Z293" s="18"/>
    </row>
    <row r="294" spans="1:26" s="10" customFormat="1" x14ac:dyDescent="0.25">
      <c r="A294" s="405" t="s">
        <v>612</v>
      </c>
      <c r="B294" s="371" t="str">
        <f>IF(Start!$C$15="x",IF(C294="NA","NA",(IF(C294="","",(IF(OR(F294="NA",F294=""),"No Criteria",(IF(AND(O294="NA",F294&lt;&gt;"NA",C294&lt;&gt;"NA"),                  "Missing Data",(IF(O294&lt;F294,"No",(IF(D294&gt;F294,"Caution",(IF(O294&gt;=F294,"Needed","No"))))))))))))),"---")</f>
        <v>---</v>
      </c>
      <c r="C294" s="372" t="str">
        <f>IF(TRUE=ISBLANK(ChemData!B294),"",(ChemData!B294))</f>
        <v/>
      </c>
      <c r="D294" s="373" t="str">
        <f>IF(TRUE=ISBLANK(ChemData!C294),"",(ChemData!C294))</f>
        <v/>
      </c>
      <c r="E294" s="374" t="str">
        <f>IF(TRUE=ISBLANK(ChemData!D294),"",(ChemData!D294))</f>
        <v/>
      </c>
      <c r="F294" s="289" t="str">
        <f>IF(TRUE=ISBLANK(ChemData!H294),"",(ChemData!H294))</f>
        <v>NA</v>
      </c>
      <c r="G294" s="290">
        <f>IF(TRUE=ISBLANK(ChemData!Q294),"",(ChemData!Q294))</f>
        <v>212523.23533907303</v>
      </c>
      <c r="H294" s="291">
        <f>IF(TRUE=ISBLANK(ChemData!S294),"",(ChemData!S294))</f>
        <v>1</v>
      </c>
      <c r="I294" s="375" t="str">
        <f>IF(Start!$C$15="x",(IF(OR(C294="NA",C294=""), "NA", (IF($H294 = "NA", "NA", ((C294*$H294)))))),"---")</f>
        <v>---</v>
      </c>
      <c r="J294" s="376" t="str">
        <f>IF(Start!$C$15="x",(IF(I294 = "NA", "NA", IF(OR(D294="NA",D294=""),"NA",(I294 +((Data!$D$19-Data!$D$22)/(Data!$D$19*Data!$D$22)*$D294))))),"---")</f>
        <v>---</v>
      </c>
      <c r="K294" s="376" t="str">
        <f>IF(Start!$C$15="x",(IF(J294="NA","NA",IF(OR(G294="NA",G294=""),"NA",(J294*(1-Data!$D$23)*Data!$D$14*1000)/(Data!$D$23+((1-Data!$D$23)*Data!$D$14*$G294))))),"---")</f>
        <v>---</v>
      </c>
      <c r="L294" s="376" t="str">
        <f>IF(Start!$C$15="x",(IF(I294="NA","NA",IF($G294 = "NA", "NA",(IF(OR(ChemData!U294="NA",ChemData!U294=""),I294/((Data!$D$18+((1-Data!$D$18)*Data!$D$14*$G294))/((1-Data!$D$18)*Data!$D$14*1000)),(IF(I294/((Data!$D$18+((1-Data!$D$18)*Data!$D$14*$G294))/((1-Data!$D$18)*Data!$D$14*1000))&gt;ChemData!U294, ChemData!U294, I294/((Data!$D$18+((1-Data!$D$18)*Data!$D$14*$G294))/((1-Data!$D$18)*Data!$D$14*1000))))))))),"---")</f>
        <v>---</v>
      </c>
      <c r="M294" s="376" t="str">
        <f>IF(Start!$C$15="x",(IF(L294="NA","NA",IF(OR(D294="NA",D294=""),"NA",(((Data!$D$22*Data!$D$18)*L294)+(Data!$D$19-Data!$D$22)*$D294)/((Data!$D$22*Data!$D$18)+Data!$D$19-Data!$D$22)))),"---")</f>
        <v>---</v>
      </c>
      <c r="N294" s="376" t="str">
        <f>IF(Start!$C$15="x",IF(K294 = "NA", "NA", (IF(M294 = "NA", "NA",(IF(OR(ChemData!U294="NA",ChemData!U294=""),(IF(K294&gt;M294,K294,M294)),(IF(K294&gt;M294,(IF(K294&gt;ChemData!U294, ChemData!U294, K294)),(IF(M294&gt;ChemData!U294,ChemData!U294,M294))))))))),"---")</f>
        <v>---</v>
      </c>
      <c r="O294" s="377" t="str">
        <f>IF(Start!$C$15="x",IF(N294 = "NA","NA", IF(OR(E294="NA",E294=""),"NA",(N294+(Data!$D$26*$E294))/(Data!$D$26+1))),"---")</f>
        <v>---</v>
      </c>
      <c r="P294" s="730" t="str">
        <f>IF(E294="",F294,IF($F294&lt;(1+(Data!$D$27/100))*$E294,(1+(Data!$D$27/100))*$E294,$F294))</f>
        <v>NA</v>
      </c>
      <c r="Q294" s="343" t="str">
        <f>IF(Start!$C$15="x",(IF(C294="","",(IF(O294="NA","NA",IF(P294="NA","NA",IF(P294=0,"NA",(O294/P294))))))),"Not Req.")</f>
        <v>Not Req.</v>
      </c>
      <c r="R294" s="163"/>
      <c r="S294" s="18"/>
      <c r="T294" s="18"/>
      <c r="U294" s="163"/>
      <c r="V294" s="163"/>
      <c r="W294" s="18"/>
      <c r="X294" s="163"/>
      <c r="Y294" s="163"/>
      <c r="Z294" s="18"/>
    </row>
    <row r="295" spans="1:26" s="10" customFormat="1" x14ac:dyDescent="0.25">
      <c r="A295" s="405" t="s">
        <v>613</v>
      </c>
      <c r="B295" s="371" t="str">
        <f>IF(Start!$C$15="x",IF(C295="NA","NA",(IF(C295="","",(IF(OR(F295="NA",F295=""),"No Criteria",(IF(AND(O295="NA",F295&lt;&gt;"NA",C295&lt;&gt;"NA"),                  "Missing Data",(IF(O295&lt;F295,"No",(IF(D295&gt;F295,"Caution",(IF(O295&gt;=F295,"Needed","No"))))))))))))),"---")</f>
        <v>---</v>
      </c>
      <c r="C295" s="372" t="str">
        <f>IF(TRUE=ISBLANK(ChemData!B295),"",(ChemData!B295))</f>
        <v/>
      </c>
      <c r="D295" s="373" t="str">
        <f>IF(TRUE=ISBLANK(ChemData!C295),"",(ChemData!C295))</f>
        <v/>
      </c>
      <c r="E295" s="374" t="str">
        <f>IF(TRUE=ISBLANK(ChemData!D295),"",(ChemData!D295))</f>
        <v/>
      </c>
      <c r="F295" s="289" t="str">
        <f>IF(TRUE=ISBLANK(ChemData!H295),"",(ChemData!H295))</f>
        <v>NA</v>
      </c>
      <c r="G295" s="290">
        <f>IF(TRUE=ISBLANK(ChemData!Q295),"",(ChemData!Q295))</f>
        <v>227722.74947737175</v>
      </c>
      <c r="H295" s="291">
        <f>IF(TRUE=ISBLANK(ChemData!S295),"",(ChemData!S295))</f>
        <v>1</v>
      </c>
      <c r="I295" s="375" t="str">
        <f>IF(Start!$C$15="x",(IF(OR(C295="NA",C295=""), "NA", (IF($H295 = "NA", "NA", ((C295*$H295)))))),"---")</f>
        <v>---</v>
      </c>
      <c r="J295" s="376" t="str">
        <f>IF(Start!$C$15="x",(IF(I295 = "NA", "NA", IF(OR(D295="NA",D295=""),"NA",(I295 +((Data!$D$19-Data!$D$22)/(Data!$D$19*Data!$D$22)*$D295))))),"---")</f>
        <v>---</v>
      </c>
      <c r="K295" s="376" t="str">
        <f>IF(Start!$C$15="x",(IF(J295="NA","NA",IF(OR(G295="NA",G295=""),"NA",(J295*(1-Data!$D$23)*Data!$D$14*1000)/(Data!$D$23+((1-Data!$D$23)*Data!$D$14*$G295))))),"---")</f>
        <v>---</v>
      </c>
      <c r="L295" s="376" t="str">
        <f>IF(Start!$C$15="x",(IF(I295="NA","NA",IF($G295 = "NA", "NA",(IF(OR(ChemData!U295="NA",ChemData!U295=""),I295/((Data!$D$18+((1-Data!$D$18)*Data!$D$14*$G295))/((1-Data!$D$18)*Data!$D$14*1000)),(IF(I295/((Data!$D$18+((1-Data!$D$18)*Data!$D$14*$G295))/((1-Data!$D$18)*Data!$D$14*1000))&gt;ChemData!U295, ChemData!U295, I295/((Data!$D$18+((1-Data!$D$18)*Data!$D$14*$G295))/((1-Data!$D$18)*Data!$D$14*1000))))))))),"---")</f>
        <v>---</v>
      </c>
      <c r="M295" s="376" t="str">
        <f>IF(Start!$C$15="x",(IF(L295="NA","NA",IF(OR(D295="NA",D295=""),"NA",(((Data!$D$22*Data!$D$18)*L295)+(Data!$D$19-Data!$D$22)*$D295)/((Data!$D$22*Data!$D$18)+Data!$D$19-Data!$D$22)))),"---")</f>
        <v>---</v>
      </c>
      <c r="N295" s="376" t="str">
        <f>IF(Start!$C$15="x",IF(K295 = "NA", "NA", (IF(M295 = "NA", "NA",(IF(OR(ChemData!U295="NA",ChemData!U295=""),(IF(K295&gt;M295,K295,M295)),(IF(K295&gt;M295,(IF(K295&gt;ChemData!U295, ChemData!U295, K295)),(IF(M295&gt;ChemData!U295,ChemData!U295,M295))))))))),"---")</f>
        <v>---</v>
      </c>
      <c r="O295" s="377" t="str">
        <f>IF(Start!$C$15="x",IF(N295 = "NA","NA", IF(OR(E295="NA",E295=""),"NA",(N295+(Data!$D$26*$E295))/(Data!$D$26+1))),"---")</f>
        <v>---</v>
      </c>
      <c r="P295" s="730" t="str">
        <f>IF(E295="",F295,IF($F295&lt;(1+(Data!$D$27/100))*$E295,(1+(Data!$D$27/100))*$E295,$F295))</f>
        <v>NA</v>
      </c>
      <c r="Q295" s="343" t="str">
        <f>IF(Start!$C$15="x",(IF(C295="","",(IF(O295="NA","NA",IF(P295="NA","NA",IF(P295=0,"NA",(O295/P295))))))),"Not Req.")</f>
        <v>Not Req.</v>
      </c>
      <c r="R295" s="163"/>
      <c r="S295" s="18"/>
      <c r="T295" s="18"/>
      <c r="U295" s="163"/>
      <c r="V295" s="163"/>
      <c r="W295" s="18"/>
      <c r="X295" s="163"/>
      <c r="Y295" s="163"/>
      <c r="Z295" s="18"/>
    </row>
    <row r="296" spans="1:26" s="10" customFormat="1" x14ac:dyDescent="0.25">
      <c r="A296" s="405" t="s">
        <v>614</v>
      </c>
      <c r="B296" s="371" t="str">
        <f>IF(Start!$C$15="x",IF(C296="NA","NA",(IF(C296="","",(IF(OR(F296="NA",F296=""),"No Criteria",(IF(AND(O296="NA",F296&lt;&gt;"NA",C296&lt;&gt;"NA"),                  "Missing Data",(IF(O296&lt;F296,"No",(IF(D296&gt;F296,"Caution",(IF(O296&gt;=F296,"Needed","No"))))))))))))),"---")</f>
        <v>---</v>
      </c>
      <c r="C296" s="372" t="str">
        <f>IF(TRUE=ISBLANK(ChemData!B296),"",(ChemData!B296))</f>
        <v/>
      </c>
      <c r="D296" s="373" t="str">
        <f>IF(TRUE=ISBLANK(ChemData!C296),"",(ChemData!C296))</f>
        <v/>
      </c>
      <c r="E296" s="374" t="str">
        <f>IF(TRUE=ISBLANK(ChemData!D296),"",(ChemData!D296))</f>
        <v/>
      </c>
      <c r="F296" s="289" t="str">
        <f>IF(TRUE=ISBLANK(ChemData!H296),"",(ChemData!H296))</f>
        <v>NA</v>
      </c>
      <c r="G296" s="290">
        <f>IF(TRUE=ISBLANK(ChemData!Q296),"",(ChemData!Q296))</f>
        <v>273782.96264993591</v>
      </c>
      <c r="H296" s="291">
        <f>IF(TRUE=ISBLANK(ChemData!S296),"",(ChemData!S296))</f>
        <v>1</v>
      </c>
      <c r="I296" s="375" t="str">
        <f>IF(Start!$C$15="x",(IF(OR(C296="NA",C296=""), "NA", (IF($H296 = "NA", "NA", ((C296*$H296)))))),"---")</f>
        <v>---</v>
      </c>
      <c r="J296" s="376" t="str">
        <f>IF(Start!$C$15="x",(IF(I296 = "NA", "NA", IF(OR(D296="NA",D296=""),"NA",(I296 +((Data!$D$19-Data!$D$22)/(Data!$D$19*Data!$D$22)*$D296))))),"---")</f>
        <v>---</v>
      </c>
      <c r="K296" s="376" t="str">
        <f>IF(Start!$C$15="x",(IF(J296="NA","NA",IF(OR(G296="NA",G296=""),"NA",(J296*(1-Data!$D$23)*Data!$D$14*1000)/(Data!$D$23+((1-Data!$D$23)*Data!$D$14*$G296))))),"---")</f>
        <v>---</v>
      </c>
      <c r="L296" s="376" t="str">
        <f>IF(Start!$C$15="x",(IF(I296="NA","NA",IF($G296 = "NA", "NA",(IF(OR(ChemData!U296="NA",ChemData!U296=""),I296/((Data!$D$18+((1-Data!$D$18)*Data!$D$14*$G296))/((1-Data!$D$18)*Data!$D$14*1000)),(IF(I296/((Data!$D$18+((1-Data!$D$18)*Data!$D$14*$G296))/((1-Data!$D$18)*Data!$D$14*1000))&gt;ChemData!U296, ChemData!U296, I296/((Data!$D$18+((1-Data!$D$18)*Data!$D$14*$G296))/((1-Data!$D$18)*Data!$D$14*1000))))))))),"---")</f>
        <v>---</v>
      </c>
      <c r="M296" s="376" t="str">
        <f>IF(Start!$C$15="x",(IF(L296="NA","NA",IF(OR(D296="NA",D296=""),"NA",(((Data!$D$22*Data!$D$18)*L296)+(Data!$D$19-Data!$D$22)*$D296)/((Data!$D$22*Data!$D$18)+Data!$D$19-Data!$D$22)))),"---")</f>
        <v>---</v>
      </c>
      <c r="N296" s="376" t="str">
        <f>IF(Start!$C$15="x",IF(K296 = "NA", "NA", (IF(M296 = "NA", "NA",(IF(OR(ChemData!U296="NA",ChemData!U296=""),(IF(K296&gt;M296,K296,M296)),(IF(K296&gt;M296,(IF(K296&gt;ChemData!U296, ChemData!U296, K296)),(IF(M296&gt;ChemData!U296,ChemData!U296,M296))))))))),"---")</f>
        <v>---</v>
      </c>
      <c r="O296" s="377" t="str">
        <f>IF(Start!$C$15="x",IF(N296 = "NA","NA", IF(OR(E296="NA",E296=""),"NA",(N296+(Data!$D$26*$E296))/(Data!$D$26+1))),"---")</f>
        <v>---</v>
      </c>
      <c r="P296" s="730" t="str">
        <f>IF(E296="",F296,IF($F296&lt;(1+(Data!$D$27/100))*$E296,(1+(Data!$D$27/100))*$E296,$F296))</f>
        <v>NA</v>
      </c>
      <c r="Q296" s="343" t="str">
        <f>IF(Start!$C$15="x",(IF(C296="","",(IF(O296="NA","NA",IF(P296="NA","NA",IF(P296=0,"NA",(O296/P296))))))),"Not Req.")</f>
        <v>Not Req.</v>
      </c>
      <c r="R296" s="163"/>
      <c r="S296" s="18"/>
      <c r="T296" s="18"/>
      <c r="U296" s="163"/>
      <c r="V296" s="163"/>
      <c r="W296" s="18"/>
      <c r="X296" s="163"/>
      <c r="Y296" s="163"/>
      <c r="Z296" s="18"/>
    </row>
    <row r="297" spans="1:26" s="10" customFormat="1" x14ac:dyDescent="0.25">
      <c r="A297" s="405" t="s">
        <v>615</v>
      </c>
      <c r="B297" s="371" t="str">
        <f>IF(Start!$C$15="x",IF(C297="NA","NA",(IF(C297="","",(IF(OR(F297="NA",F297=""),"No Criteria",(IF(AND(O297="NA",F297&lt;&gt;"NA",C297&lt;&gt;"NA"),                  "Missing Data",(IF(O297&lt;F297,"No",(IF(D297&gt;F297,"Caution",(IF(O297&gt;=F297,"Needed","No"))))))))))))),"---")</f>
        <v>---</v>
      </c>
      <c r="C297" s="372" t="str">
        <f>IF(TRUE=ISBLANK(ChemData!B297),"",(ChemData!B297))</f>
        <v/>
      </c>
      <c r="D297" s="373" t="str">
        <f>IF(TRUE=ISBLANK(ChemData!C297),"",(ChemData!C297))</f>
        <v/>
      </c>
      <c r="E297" s="374" t="str">
        <f>IF(TRUE=ISBLANK(ChemData!D297),"",(ChemData!D297))</f>
        <v/>
      </c>
      <c r="F297" s="289" t="str">
        <f>IF(TRUE=ISBLANK(ChemData!H297),"",(ChemData!H297))</f>
        <v>NA</v>
      </c>
      <c r="G297" s="290">
        <f>IF(TRUE=ISBLANK(ChemData!Q297),"",(ChemData!Q297))</f>
        <v>198338.22339948098</v>
      </c>
      <c r="H297" s="291">
        <f>IF(TRUE=ISBLANK(ChemData!S297),"",(ChemData!S297))</f>
        <v>1</v>
      </c>
      <c r="I297" s="375" t="str">
        <f>IF(Start!$C$15="x",(IF(OR(C297="NA",C297=""), "NA", (IF($H297 = "NA", "NA", ((C297*$H297)))))),"---")</f>
        <v>---</v>
      </c>
      <c r="J297" s="376" t="str">
        <f>IF(Start!$C$15="x",(IF(I297 = "NA", "NA", IF(OR(D297="NA",D297=""),"NA",(I297 +((Data!$D$19-Data!$D$22)/(Data!$D$19*Data!$D$22)*$D297))))),"---")</f>
        <v>---</v>
      </c>
      <c r="K297" s="376" t="str">
        <f>IF(Start!$C$15="x",(IF(J297="NA","NA",IF(OR(G297="NA",G297=""),"NA",(J297*(1-Data!$D$23)*Data!$D$14*1000)/(Data!$D$23+((1-Data!$D$23)*Data!$D$14*$G297))))),"---")</f>
        <v>---</v>
      </c>
      <c r="L297" s="376" t="str">
        <f>IF(Start!$C$15="x",(IF(I297="NA","NA",IF($G297 = "NA", "NA",(IF(OR(ChemData!U297="NA",ChemData!U297=""),I297/((Data!$D$18+((1-Data!$D$18)*Data!$D$14*$G297))/((1-Data!$D$18)*Data!$D$14*1000)),(IF(I297/((Data!$D$18+((1-Data!$D$18)*Data!$D$14*$G297))/((1-Data!$D$18)*Data!$D$14*1000))&gt;ChemData!U297, ChemData!U297, I297/((Data!$D$18+((1-Data!$D$18)*Data!$D$14*$G297))/((1-Data!$D$18)*Data!$D$14*1000))))))))),"---")</f>
        <v>---</v>
      </c>
      <c r="M297" s="376" t="str">
        <f>IF(Start!$C$15="x",(IF(L297="NA","NA",IF(OR(D297="NA",D297=""),"NA",(((Data!$D$22*Data!$D$18)*L297)+(Data!$D$19-Data!$D$22)*$D297)/((Data!$D$22*Data!$D$18)+Data!$D$19-Data!$D$22)))),"---")</f>
        <v>---</v>
      </c>
      <c r="N297" s="376" t="str">
        <f>IF(Start!$C$15="x",IF(K297 = "NA", "NA", (IF(M297 = "NA", "NA",(IF(OR(ChemData!U297="NA",ChemData!U297=""),(IF(K297&gt;M297,K297,M297)),(IF(K297&gt;M297,(IF(K297&gt;ChemData!U297, ChemData!U297, K297)),(IF(M297&gt;ChemData!U297,ChemData!U297,M297))))))))),"---")</f>
        <v>---</v>
      </c>
      <c r="O297" s="377" t="str">
        <f>IF(Start!$C$15="x",IF(N297 = "NA","NA", IF(OR(E297="NA",E297=""),"NA",(N297+(Data!$D$26*$E297))/(Data!$D$26+1))),"---")</f>
        <v>---</v>
      </c>
      <c r="P297" s="730" t="str">
        <f>IF(E297="",F297,IF($F297&lt;(1+(Data!$D$27/100))*$E297,(1+(Data!$D$27/100))*$E297,$F297))</f>
        <v>NA</v>
      </c>
      <c r="Q297" s="343" t="str">
        <f>IF(Start!$C$15="x",(IF(C297="","",(IF(O297="NA","NA",IF(P297="NA","NA",IF(P297=0,"NA",(O297/P297))))))),"Not Req.")</f>
        <v>Not Req.</v>
      </c>
      <c r="R297" s="163"/>
      <c r="S297" s="18"/>
      <c r="T297" s="18"/>
      <c r="U297" s="163"/>
      <c r="V297" s="163"/>
      <c r="W297" s="18"/>
      <c r="X297" s="163"/>
      <c r="Y297" s="163"/>
      <c r="Z297" s="18"/>
    </row>
    <row r="298" spans="1:26" s="10" customFormat="1" x14ac:dyDescent="0.25">
      <c r="A298" s="405" t="s">
        <v>616</v>
      </c>
      <c r="B298" s="371" t="str">
        <f>IF(Start!$C$15="x",IF(C298="NA","NA",(IF(C298="","",(IF(OR(F298="NA",F298=""),"No Criteria",(IF(AND(O298="NA",F298&lt;&gt;"NA",C298&lt;&gt;"NA"),                  "Missing Data",(IF(O298&lt;F298,"No",(IF(D298&gt;F298,"Caution",(IF(O298&gt;=F298,"Needed","No"))))))))))))),"---")</f>
        <v>---</v>
      </c>
      <c r="C298" s="372" t="str">
        <f>IF(TRUE=ISBLANK(ChemData!B298),"",(ChemData!B298))</f>
        <v/>
      </c>
      <c r="D298" s="373" t="str">
        <f>IF(TRUE=ISBLANK(ChemData!C298),"",(ChemData!C298))</f>
        <v/>
      </c>
      <c r="E298" s="374" t="str">
        <f>IF(TRUE=ISBLANK(ChemData!D298),"",(ChemData!D298))</f>
        <v/>
      </c>
      <c r="F298" s="289" t="str">
        <f>IF(TRUE=ISBLANK(ChemData!H298),"",(ChemData!H298))</f>
        <v>NA</v>
      </c>
      <c r="G298" s="290">
        <f>IF(TRUE=ISBLANK(ChemData!Q298),"",(ChemData!Q298))</f>
        <v>99404.5855081341</v>
      </c>
      <c r="H298" s="291">
        <f>IF(TRUE=ISBLANK(ChemData!S298),"",(ChemData!S298))</f>
        <v>1</v>
      </c>
      <c r="I298" s="375" t="str">
        <f>IF(Start!$C$15="x",(IF(OR(C298="NA",C298=""), "NA", (IF($H298 = "NA", "NA", ((C298*$H298)))))),"---")</f>
        <v>---</v>
      </c>
      <c r="J298" s="376" t="str">
        <f>IF(Start!$C$15="x",(IF(I298 = "NA", "NA", IF(OR(D298="NA",D298=""),"NA",(I298 +((Data!$D$19-Data!$D$22)/(Data!$D$19*Data!$D$22)*$D298))))),"---")</f>
        <v>---</v>
      </c>
      <c r="K298" s="376" t="str">
        <f>IF(Start!$C$15="x",(IF(J298="NA","NA",IF(OR(G298="NA",G298=""),"NA",(J298*(1-Data!$D$23)*Data!$D$14*1000)/(Data!$D$23+((1-Data!$D$23)*Data!$D$14*$G298))))),"---")</f>
        <v>---</v>
      </c>
      <c r="L298" s="376" t="str">
        <f>IF(Start!$C$15="x",(IF(I298="NA","NA",IF($G298 = "NA", "NA",(IF(OR(ChemData!U298="NA",ChemData!U298=""),I298/((Data!$D$18+((1-Data!$D$18)*Data!$D$14*$G298))/((1-Data!$D$18)*Data!$D$14*1000)),(IF(I298/((Data!$D$18+((1-Data!$D$18)*Data!$D$14*$G298))/((1-Data!$D$18)*Data!$D$14*1000))&gt;ChemData!U298, ChemData!U298, I298/((Data!$D$18+((1-Data!$D$18)*Data!$D$14*$G298))/((1-Data!$D$18)*Data!$D$14*1000))))))))),"---")</f>
        <v>---</v>
      </c>
      <c r="M298" s="376" t="str">
        <f>IF(Start!$C$15="x",(IF(L298="NA","NA",IF(OR(D298="NA",D298=""),"NA",(((Data!$D$22*Data!$D$18)*L298)+(Data!$D$19-Data!$D$22)*$D298)/((Data!$D$22*Data!$D$18)+Data!$D$19-Data!$D$22)))),"---")</f>
        <v>---</v>
      </c>
      <c r="N298" s="376" t="str">
        <f>IF(Start!$C$15="x",IF(K298 = "NA", "NA", (IF(M298 = "NA", "NA",(IF(OR(ChemData!U298="NA",ChemData!U298=""),(IF(K298&gt;M298,K298,M298)),(IF(K298&gt;M298,(IF(K298&gt;ChemData!U298, ChemData!U298, K298)),(IF(M298&gt;ChemData!U298,ChemData!U298,M298))))))))),"---")</f>
        <v>---</v>
      </c>
      <c r="O298" s="377" t="str">
        <f>IF(Start!$C$15="x",IF(N298 = "NA","NA", IF(OR(E298="NA",E298=""),"NA",(N298+(Data!$D$26*$E298))/(Data!$D$26+1))),"---")</f>
        <v>---</v>
      </c>
      <c r="P298" s="730" t="str">
        <f>IF(E298="",F298,IF($F298&lt;(1+(Data!$D$27/100))*$E298,(1+(Data!$D$27/100))*$E298,$F298))</f>
        <v>NA</v>
      </c>
      <c r="Q298" s="343" t="str">
        <f>IF(Start!$C$15="x",(IF(C298="","",(IF(O298="NA","NA",IF(P298="NA","NA",IF(P298=0,"NA",(O298/P298))))))),"Not Req.")</f>
        <v>Not Req.</v>
      </c>
      <c r="R298" s="163"/>
      <c r="S298" s="18"/>
      <c r="T298" s="18"/>
      <c r="U298" s="163"/>
      <c r="V298" s="163"/>
      <c r="W298" s="18"/>
      <c r="X298" s="163"/>
      <c r="Y298" s="163"/>
      <c r="Z298" s="18"/>
    </row>
    <row r="299" spans="1:26" s="10" customFormat="1" x14ac:dyDescent="0.25">
      <c r="A299" s="405" t="s">
        <v>617</v>
      </c>
      <c r="B299" s="371" t="str">
        <f>IF(Start!$C$15="x",IF(C299="NA","NA",(IF(C299="","",(IF(OR(F299="NA",F299=""),"No Criteria",(IF(AND(O299="NA",F299&lt;&gt;"NA",C299&lt;&gt;"NA"),                  "Missing Data",(IF(O299&lt;F299,"No",(IF(D299&gt;F299,"Caution",(IF(O299&gt;=F299,"Needed","No"))))))))))))),"---")</f>
        <v>---</v>
      </c>
      <c r="C299" s="372" t="str">
        <f>IF(TRUE=ISBLANK(ChemData!B299),"",(ChemData!B299))</f>
        <v/>
      </c>
      <c r="D299" s="373" t="str">
        <f>IF(TRUE=ISBLANK(ChemData!C299),"",(ChemData!C299))</f>
        <v/>
      </c>
      <c r="E299" s="374" t="str">
        <f>IF(TRUE=ISBLANK(ChemData!D299),"",(ChemData!D299))</f>
        <v/>
      </c>
      <c r="F299" s="289" t="str">
        <f>IF(TRUE=ISBLANK(ChemData!H299),"",(ChemData!H299))</f>
        <v>NA</v>
      </c>
      <c r="G299" s="290">
        <f>IF(TRUE=ISBLANK(ChemData!Q299),"",(ChemData!Q299))</f>
        <v>189411.5328711677</v>
      </c>
      <c r="H299" s="291">
        <f>IF(TRUE=ISBLANK(ChemData!S299),"",(ChemData!S299))</f>
        <v>1</v>
      </c>
      <c r="I299" s="375" t="str">
        <f>IF(Start!$C$15="x",(IF(OR(C299="NA",C299=""), "NA", (IF($H299 = "NA", "NA", ((C299*$H299)))))),"---")</f>
        <v>---</v>
      </c>
      <c r="J299" s="376" t="str">
        <f>IF(Start!$C$15="x",(IF(I299 = "NA", "NA", IF(OR(D299="NA",D299=""),"NA",(I299 +((Data!$D$19-Data!$D$22)/(Data!$D$19*Data!$D$22)*$D299))))),"---")</f>
        <v>---</v>
      </c>
      <c r="K299" s="376" t="str">
        <f>IF(Start!$C$15="x",(IF(J299="NA","NA",IF(OR(G299="NA",G299=""),"NA",(J299*(1-Data!$D$23)*Data!$D$14*1000)/(Data!$D$23+((1-Data!$D$23)*Data!$D$14*$G299))))),"---")</f>
        <v>---</v>
      </c>
      <c r="L299" s="376" t="str">
        <f>IF(Start!$C$15="x",(IF(I299="NA","NA",IF($G299 = "NA", "NA",(IF(OR(ChemData!U299="NA",ChemData!U299=""),I299/((Data!$D$18+((1-Data!$D$18)*Data!$D$14*$G299))/((1-Data!$D$18)*Data!$D$14*1000)),(IF(I299/((Data!$D$18+((1-Data!$D$18)*Data!$D$14*$G299))/((1-Data!$D$18)*Data!$D$14*1000))&gt;ChemData!U299, ChemData!U299, I299/((Data!$D$18+((1-Data!$D$18)*Data!$D$14*$G299))/((1-Data!$D$18)*Data!$D$14*1000))))))))),"---")</f>
        <v>---</v>
      </c>
      <c r="M299" s="376" t="str">
        <f>IF(Start!$C$15="x",(IF(L299="NA","NA",IF(OR(D299="NA",D299=""),"NA",(((Data!$D$22*Data!$D$18)*L299)+(Data!$D$19-Data!$D$22)*$D299)/((Data!$D$22*Data!$D$18)+Data!$D$19-Data!$D$22)))),"---")</f>
        <v>---</v>
      </c>
      <c r="N299" s="376" t="str">
        <f>IF(Start!$C$15="x",IF(K299 = "NA", "NA", (IF(M299 = "NA", "NA",(IF(OR(ChemData!U299="NA",ChemData!U299=""),(IF(K299&gt;M299,K299,M299)),(IF(K299&gt;M299,(IF(K299&gt;ChemData!U299, ChemData!U299, K299)),(IF(M299&gt;ChemData!U299,ChemData!U299,M299))))))))),"---")</f>
        <v>---</v>
      </c>
      <c r="O299" s="377" t="str">
        <f>IF(Start!$C$15="x",IF(N299 = "NA","NA", IF(OR(E299="NA",E299=""),"NA",(N299+(Data!$D$26*$E299))/(Data!$D$26+1))),"---")</f>
        <v>---</v>
      </c>
      <c r="P299" s="730" t="str">
        <f>IF(E299="",F299,IF($F299&lt;(1+(Data!$D$27/100))*$E299,(1+(Data!$D$27/100))*$E299,$F299))</f>
        <v>NA</v>
      </c>
      <c r="Q299" s="343" t="str">
        <f>IF(Start!$C$15="x",(IF(C299="","",(IF(O299="NA","NA",IF(P299="NA","NA",IF(P299=0,"NA",(O299/P299))))))),"Not Req.")</f>
        <v>Not Req.</v>
      </c>
      <c r="R299" s="163"/>
      <c r="S299" s="18"/>
      <c r="T299" s="18"/>
      <c r="U299" s="163"/>
      <c r="V299" s="163"/>
      <c r="W299" s="18"/>
      <c r="X299" s="163"/>
      <c r="Y299" s="163"/>
      <c r="Z299" s="18"/>
    </row>
    <row r="300" spans="1:26" s="10" customFormat="1" x14ac:dyDescent="0.25">
      <c r="A300" s="405" t="s">
        <v>618</v>
      </c>
      <c r="B300" s="371" t="str">
        <f>IF(Start!$C$15="x",IF(C300="NA","NA",(IF(C300="","",(IF(OR(F300="NA",F300=""),"No Criteria",(IF(AND(O300="NA",F300&lt;&gt;"NA",C300&lt;&gt;"NA"),                  "Missing Data",(IF(O300&lt;F300,"No",(IF(D300&gt;F300,"Caution",(IF(O300&gt;=F300,"Needed","No"))))))))))))),"---")</f>
        <v>---</v>
      </c>
      <c r="C300" s="372" t="str">
        <f>IF(TRUE=ISBLANK(ChemData!B300),"",(ChemData!B300))</f>
        <v/>
      </c>
      <c r="D300" s="373" t="str">
        <f>IF(TRUE=ISBLANK(ChemData!C300),"",(ChemData!C300))</f>
        <v/>
      </c>
      <c r="E300" s="374" t="str">
        <f>IF(TRUE=ISBLANK(ChemData!D300),"",(ChemData!D300))</f>
        <v/>
      </c>
      <c r="F300" s="289" t="str">
        <f>IF(TRUE=ISBLANK(ChemData!H300),"",(ChemData!H300))</f>
        <v>NA</v>
      </c>
      <c r="G300" s="290">
        <f>IF(TRUE=ISBLANK(ChemData!Q300),"",(ChemData!Q300))</f>
        <v>404954.67659306258</v>
      </c>
      <c r="H300" s="291">
        <f>IF(TRUE=ISBLANK(ChemData!S300),"",(ChemData!S300))</f>
        <v>1</v>
      </c>
      <c r="I300" s="375" t="str">
        <f>IF(Start!$C$15="x",(IF(OR(C300="NA",C300=""), "NA", (IF($H300 = "NA", "NA", ((C300*$H300)))))),"---")</f>
        <v>---</v>
      </c>
      <c r="J300" s="376" t="str">
        <f>IF(Start!$C$15="x",(IF(I300 = "NA", "NA", IF(OR(D300="NA",D300=""),"NA",(I300 +((Data!$D$19-Data!$D$22)/(Data!$D$19*Data!$D$22)*$D300))))),"---")</f>
        <v>---</v>
      </c>
      <c r="K300" s="376" t="str">
        <f>IF(Start!$C$15="x",(IF(J300="NA","NA",IF(OR(G300="NA",G300=""),"NA",(J300*(1-Data!$D$23)*Data!$D$14*1000)/(Data!$D$23+((1-Data!$D$23)*Data!$D$14*$G300))))),"---")</f>
        <v>---</v>
      </c>
      <c r="L300" s="376" t="str">
        <f>IF(Start!$C$15="x",(IF(I300="NA","NA",IF($G300 = "NA", "NA",(IF(OR(ChemData!U300="NA",ChemData!U300=""),I300/((Data!$D$18+((1-Data!$D$18)*Data!$D$14*$G300))/((1-Data!$D$18)*Data!$D$14*1000)),(IF(I300/((Data!$D$18+((1-Data!$D$18)*Data!$D$14*$G300))/((1-Data!$D$18)*Data!$D$14*1000))&gt;ChemData!U300, ChemData!U300, I300/((Data!$D$18+((1-Data!$D$18)*Data!$D$14*$G300))/((1-Data!$D$18)*Data!$D$14*1000))))))))),"---")</f>
        <v>---</v>
      </c>
      <c r="M300" s="376" t="str">
        <f>IF(Start!$C$15="x",(IF(L300="NA","NA",IF(OR(D300="NA",D300=""),"NA",(((Data!$D$22*Data!$D$18)*L300)+(Data!$D$19-Data!$D$22)*$D300)/((Data!$D$22*Data!$D$18)+Data!$D$19-Data!$D$22)))),"---")</f>
        <v>---</v>
      </c>
      <c r="N300" s="376" t="str">
        <f>IF(Start!$C$15="x",IF(K300 = "NA", "NA", (IF(M300 = "NA", "NA",(IF(OR(ChemData!U300="NA",ChemData!U300=""),(IF(K300&gt;M300,K300,M300)),(IF(K300&gt;M300,(IF(K300&gt;ChemData!U300, ChemData!U300, K300)),(IF(M300&gt;ChemData!U300,ChemData!U300,M300))))))))),"---")</f>
        <v>---</v>
      </c>
      <c r="O300" s="377" t="str">
        <f>IF(Start!$C$15="x",IF(N300 = "NA","NA", IF(OR(E300="NA",E300=""),"NA",(N300+(Data!$D$26*$E300))/(Data!$D$26+1))),"---")</f>
        <v>---</v>
      </c>
      <c r="P300" s="730" t="str">
        <f>IF(E300="",F300,IF($F300&lt;(1+(Data!$D$27/100))*$E300,(1+(Data!$D$27/100))*$E300,$F300))</f>
        <v>NA</v>
      </c>
      <c r="Q300" s="343" t="str">
        <f>IF(Start!$C$15="x",(IF(C300="","",(IF(O300="NA","NA",IF(P300="NA","NA",IF(P300=0,"NA",(O300/P300))))))),"Not Req.")</f>
        <v>Not Req.</v>
      </c>
      <c r="R300" s="163"/>
      <c r="S300" s="18"/>
      <c r="T300" s="18"/>
      <c r="U300" s="163"/>
      <c r="V300" s="163"/>
      <c r="W300" s="18"/>
      <c r="X300" s="163"/>
      <c r="Y300" s="163"/>
      <c r="Z300" s="18"/>
    </row>
    <row r="301" spans="1:26" s="10" customFormat="1" x14ac:dyDescent="0.25">
      <c r="A301" s="405" t="s">
        <v>619</v>
      </c>
      <c r="B301" s="371" t="str">
        <f>IF(Start!$C$15="x",IF(C301="NA","NA",(IF(C301="","",(IF(OR(F301="NA",F301=""),"No Criteria",(IF(AND(O301="NA",F301&lt;&gt;"NA",C301&lt;&gt;"NA"),                  "Missing Data",(IF(O301&lt;F301,"No",(IF(D301&gt;F301,"Caution",(IF(O301&gt;=F301,"Needed","No"))))))))))))),"---")</f>
        <v>---</v>
      </c>
      <c r="C301" s="372" t="str">
        <f>IF(TRUE=ISBLANK(ChemData!B301),"",(ChemData!B301))</f>
        <v/>
      </c>
      <c r="D301" s="373" t="str">
        <f>IF(TRUE=ISBLANK(ChemData!C301),"",(ChemData!C301))</f>
        <v/>
      </c>
      <c r="E301" s="374" t="str">
        <f>IF(TRUE=ISBLANK(ChemData!D301),"",(ChemData!D301))</f>
        <v/>
      </c>
      <c r="F301" s="289" t="str">
        <f>IF(TRUE=ISBLANK(ChemData!H301),"",(ChemData!H301))</f>
        <v>NA</v>
      </c>
      <c r="G301" s="290">
        <f>IF(TRUE=ISBLANK(ChemData!Q301),"",(ChemData!Q301))</f>
        <v>293363.72992455278</v>
      </c>
      <c r="H301" s="291">
        <f>IF(TRUE=ISBLANK(ChemData!S301),"",(ChemData!S301))</f>
        <v>1</v>
      </c>
      <c r="I301" s="375" t="str">
        <f>IF(Start!$C$15="x",(IF(OR(C301="NA",C301=""), "NA", (IF($H301 = "NA", "NA", ((C301*$H301)))))),"---")</f>
        <v>---</v>
      </c>
      <c r="J301" s="376" t="str">
        <f>IF(Start!$C$15="x",(IF(I301 = "NA", "NA", IF(OR(D301="NA",D301=""),"NA",(I301 +((Data!$D$19-Data!$D$22)/(Data!$D$19*Data!$D$22)*$D301))))),"---")</f>
        <v>---</v>
      </c>
      <c r="K301" s="376" t="str">
        <f>IF(Start!$C$15="x",(IF(J301="NA","NA",IF(OR(G301="NA",G301=""),"NA",(J301*(1-Data!$D$23)*Data!$D$14*1000)/(Data!$D$23+((1-Data!$D$23)*Data!$D$14*$G301))))),"---")</f>
        <v>---</v>
      </c>
      <c r="L301" s="376" t="str">
        <f>IF(Start!$C$15="x",(IF(I301="NA","NA",IF($G301 = "NA", "NA",(IF(OR(ChemData!U301="NA",ChemData!U301=""),I301/((Data!$D$18+((1-Data!$D$18)*Data!$D$14*$G301))/((1-Data!$D$18)*Data!$D$14*1000)),(IF(I301/((Data!$D$18+((1-Data!$D$18)*Data!$D$14*$G301))/((1-Data!$D$18)*Data!$D$14*1000))&gt;ChemData!U301, ChemData!U301, I301/((Data!$D$18+((1-Data!$D$18)*Data!$D$14*$G301))/((1-Data!$D$18)*Data!$D$14*1000))))))))),"---")</f>
        <v>---</v>
      </c>
      <c r="M301" s="376" t="str">
        <f>IF(Start!$C$15="x",(IF(L301="NA","NA",IF(OR(D301="NA",D301=""),"NA",(((Data!$D$22*Data!$D$18)*L301)+(Data!$D$19-Data!$D$22)*$D301)/((Data!$D$22*Data!$D$18)+Data!$D$19-Data!$D$22)))),"---")</f>
        <v>---</v>
      </c>
      <c r="N301" s="376" t="str">
        <f>IF(Start!$C$15="x",IF(K301 = "NA", "NA", (IF(M301 = "NA", "NA",(IF(OR(ChemData!U301="NA",ChemData!U301=""),(IF(K301&gt;M301,K301,M301)),(IF(K301&gt;M301,(IF(K301&gt;ChemData!U301, ChemData!U301, K301)),(IF(M301&gt;ChemData!U301,ChemData!U301,M301))))))))),"---")</f>
        <v>---</v>
      </c>
      <c r="O301" s="377" t="str">
        <f>IF(Start!$C$15="x",IF(N301 = "NA","NA", IF(OR(E301="NA",E301=""),"NA",(N301+(Data!$D$26*$E301))/(Data!$D$26+1))),"---")</f>
        <v>---</v>
      </c>
      <c r="P301" s="730" t="str">
        <f>IF(E301="",F301,IF($F301&lt;(1+(Data!$D$27/100))*$E301,(1+(Data!$D$27/100))*$E301,$F301))</f>
        <v>NA</v>
      </c>
      <c r="Q301" s="343" t="str">
        <f>IF(Start!$C$15="x",(IF(C301="","",(IF(O301="NA","NA",IF(P301="NA","NA",IF(P301=0,"NA",(O301/P301))))))),"Not Req.")</f>
        <v>Not Req.</v>
      </c>
      <c r="R301" s="163"/>
      <c r="S301" s="18"/>
      <c r="T301" s="18"/>
      <c r="U301" s="163"/>
      <c r="V301" s="163"/>
      <c r="W301" s="18"/>
      <c r="X301" s="163"/>
      <c r="Y301" s="163"/>
      <c r="Z301" s="18"/>
    </row>
    <row r="302" spans="1:26" s="10" customFormat="1" x14ac:dyDescent="0.25">
      <c r="A302" s="405" t="s">
        <v>620</v>
      </c>
      <c r="B302" s="371" t="str">
        <f>IF(Start!$C$15="x",IF(C302="NA","NA",(IF(C302="","",(IF(OR(F302="NA",F302=""),"No Criteria",(IF(AND(O302="NA",F302&lt;&gt;"NA",C302&lt;&gt;"NA"),                  "Missing Data",(IF(O302&lt;F302,"No",(IF(D302&gt;F302,"Caution",(IF(O302&gt;=F302,"Needed","No"))))))))))))),"---")</f>
        <v>---</v>
      </c>
      <c r="C302" s="372" t="str">
        <f>IF(TRUE=ISBLANK(ChemData!B302),"",(ChemData!B302))</f>
        <v/>
      </c>
      <c r="D302" s="373" t="str">
        <f>IF(TRUE=ISBLANK(ChemData!C302),"",(ChemData!C302))</f>
        <v/>
      </c>
      <c r="E302" s="374" t="str">
        <f>IF(TRUE=ISBLANK(ChemData!D302),"",(ChemData!D302))</f>
        <v/>
      </c>
      <c r="F302" s="289" t="str">
        <f>IF(TRUE=ISBLANK(ChemData!H302),"",(ChemData!H302))</f>
        <v>NA</v>
      </c>
      <c r="G302" s="290">
        <f>IF(TRUE=ISBLANK(ChemData!Q302),"",(ChemData!Q302))</f>
        <v>3368266.2892870889</v>
      </c>
      <c r="H302" s="291">
        <f>IF(TRUE=ISBLANK(ChemData!S302),"",(ChemData!S302))</f>
        <v>1</v>
      </c>
      <c r="I302" s="375" t="str">
        <f>IF(Start!$C$15="x",(IF(OR(C302="NA",C302=""), "NA", (IF($H302 = "NA", "NA", ((C302*$H302)))))),"---")</f>
        <v>---</v>
      </c>
      <c r="J302" s="376" t="str">
        <f>IF(Start!$C$15="x",(IF(I302 = "NA", "NA", IF(OR(D302="NA",D302=""),"NA",(I302 +((Data!$D$19-Data!$D$22)/(Data!$D$19*Data!$D$22)*$D302))))),"---")</f>
        <v>---</v>
      </c>
      <c r="K302" s="376" t="str">
        <f>IF(Start!$C$15="x",(IF(J302="NA","NA",IF(OR(G302="NA",G302=""),"NA",(J302*(1-Data!$D$23)*Data!$D$14*1000)/(Data!$D$23+((1-Data!$D$23)*Data!$D$14*$G302))))),"---")</f>
        <v>---</v>
      </c>
      <c r="L302" s="376" t="str">
        <f>IF(Start!$C$15="x",(IF(I302="NA","NA",IF($G302 = "NA", "NA",(IF(OR(ChemData!U302="NA",ChemData!U302=""),I302/((Data!$D$18+((1-Data!$D$18)*Data!$D$14*$G302))/((1-Data!$D$18)*Data!$D$14*1000)),(IF(I302/((Data!$D$18+((1-Data!$D$18)*Data!$D$14*$G302))/((1-Data!$D$18)*Data!$D$14*1000))&gt;ChemData!U302, ChemData!U302, I302/((Data!$D$18+((1-Data!$D$18)*Data!$D$14*$G302))/((1-Data!$D$18)*Data!$D$14*1000))))))))),"---")</f>
        <v>---</v>
      </c>
      <c r="M302" s="376" t="str">
        <f>IF(Start!$C$15="x",(IF(L302="NA","NA",IF(OR(D302="NA",D302=""),"NA",(((Data!$D$22*Data!$D$18)*L302)+(Data!$D$19-Data!$D$22)*$D302)/((Data!$D$22*Data!$D$18)+Data!$D$19-Data!$D$22)))),"---")</f>
        <v>---</v>
      </c>
      <c r="N302" s="376" t="str">
        <f>IF(Start!$C$15="x",IF(K302 = "NA", "NA", (IF(M302 = "NA", "NA",(IF(OR(ChemData!U302="NA",ChemData!U302=""),(IF(K302&gt;M302,K302,M302)),(IF(K302&gt;M302,(IF(K302&gt;ChemData!U302, ChemData!U302, K302)),(IF(M302&gt;ChemData!U302,ChemData!U302,M302))))))))),"---")</f>
        <v>---</v>
      </c>
      <c r="O302" s="377" t="str">
        <f>IF(Start!$C$15="x",IF(N302 = "NA","NA", IF(OR(E302="NA",E302=""),"NA",(N302+(Data!$D$26*$E302))/(Data!$D$26+1))),"---")</f>
        <v>---</v>
      </c>
      <c r="P302" s="730" t="str">
        <f>IF(E302="",F302,IF($F302&lt;(1+(Data!$D$27/100))*$E302,(1+(Data!$D$27/100))*$E302,$F302))</f>
        <v>NA</v>
      </c>
      <c r="Q302" s="343" t="str">
        <f>IF(Start!$C$15="x",(IF(C302="","",(IF(O302="NA","NA",IF(P302="NA","NA",IF(P302=0,"NA",(O302/P302))))))),"Not Req.")</f>
        <v>Not Req.</v>
      </c>
      <c r="R302" s="163"/>
      <c r="S302" s="18"/>
      <c r="T302" s="18"/>
      <c r="U302" s="163"/>
      <c r="V302" s="163"/>
      <c r="W302" s="18"/>
      <c r="X302" s="163"/>
      <c r="Y302" s="163"/>
      <c r="Z302" s="18"/>
    </row>
    <row r="303" spans="1:26" s="10" customFormat="1" x14ac:dyDescent="0.25">
      <c r="A303" s="405" t="s">
        <v>621</v>
      </c>
      <c r="B303" s="371" t="str">
        <f>IF(Start!$C$15="x",IF(C303="NA","NA",(IF(C303="","",(IF(OR(F303="NA",F303=""),"No Criteria",(IF(AND(O303="NA",F303&lt;&gt;"NA",C303&lt;&gt;"NA"),                  "Missing Data",(IF(O303&lt;F303,"No",(IF(D303&gt;F303,"Caution",(IF(O303&gt;=F303,"Needed","No"))))))))))))),"---")</f>
        <v>---</v>
      </c>
      <c r="C303" s="372" t="str">
        <f>IF(TRUE=ISBLANK(ChemData!B303),"",(ChemData!B303))</f>
        <v/>
      </c>
      <c r="D303" s="373" t="str">
        <f>IF(TRUE=ISBLANK(ChemData!C303),"",(ChemData!C303))</f>
        <v/>
      </c>
      <c r="E303" s="374" t="str">
        <f>IF(TRUE=ISBLANK(ChemData!D303),"",(ChemData!D303))</f>
        <v/>
      </c>
      <c r="F303" s="289" t="str">
        <f>IF(TRUE=ISBLANK(ChemData!H303),"",(ChemData!H303))</f>
        <v>NA</v>
      </c>
      <c r="G303" s="290">
        <f>IF(TRUE=ISBLANK(ChemData!Q303),"",(ChemData!Q303))</f>
        <v>7037.3057258936005</v>
      </c>
      <c r="H303" s="291">
        <f>IF(TRUE=ISBLANK(ChemData!S303),"",(ChemData!S303))</f>
        <v>1</v>
      </c>
      <c r="I303" s="375" t="str">
        <f>IF(Start!$C$15="x",(IF(OR(C303="NA",C303=""), "NA", (IF($H303 = "NA", "NA", ((C303*$H303)))))),"---")</f>
        <v>---</v>
      </c>
      <c r="J303" s="376" t="str">
        <f>IF(Start!$C$15="x",(IF(I303 = "NA", "NA", IF(OR(D303="NA",D303=""),"NA",(I303 +((Data!$D$19-Data!$D$22)/(Data!$D$19*Data!$D$22)*$D303))))),"---")</f>
        <v>---</v>
      </c>
      <c r="K303" s="376" t="str">
        <f>IF(Start!$C$15="x",(IF(J303="NA","NA",IF(OR(G303="NA",G303=""),"NA",(J303*(1-Data!$D$23)*Data!$D$14*1000)/(Data!$D$23+((1-Data!$D$23)*Data!$D$14*$G303))))),"---")</f>
        <v>---</v>
      </c>
      <c r="L303" s="376" t="str">
        <f>IF(Start!$C$15="x",(IF(I303="NA","NA",IF($G303 = "NA", "NA",(IF(OR(ChemData!U303="NA",ChemData!U303=""),I303/((Data!$D$18+((1-Data!$D$18)*Data!$D$14*$G303))/((1-Data!$D$18)*Data!$D$14*1000)),(IF(I303/((Data!$D$18+((1-Data!$D$18)*Data!$D$14*$G303))/((1-Data!$D$18)*Data!$D$14*1000))&gt;ChemData!U303, ChemData!U303, I303/((Data!$D$18+((1-Data!$D$18)*Data!$D$14*$G303))/((1-Data!$D$18)*Data!$D$14*1000))))))))),"---")</f>
        <v>---</v>
      </c>
      <c r="M303" s="376" t="str">
        <f>IF(Start!$C$15="x",(IF(L303="NA","NA",IF(OR(D303="NA",D303=""),"NA",(((Data!$D$22*Data!$D$18)*L303)+(Data!$D$19-Data!$D$22)*$D303)/((Data!$D$22*Data!$D$18)+Data!$D$19-Data!$D$22)))),"---")</f>
        <v>---</v>
      </c>
      <c r="N303" s="376" t="str">
        <f>IF(Start!$C$15="x",IF(K303 = "NA", "NA", (IF(M303 = "NA", "NA",(IF(OR(ChemData!U303="NA",ChemData!U303=""),(IF(K303&gt;M303,K303,M303)),(IF(K303&gt;M303,(IF(K303&gt;ChemData!U303, ChemData!U303, K303)),(IF(M303&gt;ChemData!U303,ChemData!U303,M303))))))))),"---")</f>
        <v>---</v>
      </c>
      <c r="O303" s="377" t="str">
        <f>IF(Start!$C$15="x",IF(N303 = "NA","NA", IF(OR(E303="NA",E303=""),"NA",(N303+(Data!$D$26*$E303))/(Data!$D$26+1))),"---")</f>
        <v>---</v>
      </c>
      <c r="P303" s="730" t="str">
        <f>IF(E303="",F303,IF($F303&lt;(1+(Data!$D$27/100))*$E303,(1+(Data!$D$27/100))*$E303,$F303))</f>
        <v>NA</v>
      </c>
      <c r="Q303" s="343" t="str">
        <f>IF(Start!$C$15="x",(IF(C303="","",(IF(O303="NA","NA",IF(P303="NA","NA",IF(P303=0,"NA",(O303/P303))))))),"Not Req.")</f>
        <v>Not Req.</v>
      </c>
      <c r="R303" s="163"/>
      <c r="S303" s="18"/>
      <c r="T303" s="18"/>
      <c r="U303" s="163"/>
      <c r="V303" s="163"/>
      <c r="W303" s="18"/>
      <c r="X303" s="163"/>
      <c r="Y303" s="163"/>
      <c r="Z303" s="18"/>
    </row>
    <row r="304" spans="1:26" s="10" customFormat="1" x14ac:dyDescent="0.25">
      <c r="A304" s="405" t="s">
        <v>622</v>
      </c>
      <c r="B304" s="371" t="str">
        <f>IF(Start!$C$15="x",IF(C304="NA","NA",(IF(C304="","",(IF(OR(F304="NA",F304=""),"No Criteria",(IF(AND(O304="NA",F304&lt;&gt;"NA",C304&lt;&gt;"NA"),                  "Missing Data",(IF(O304&lt;F304,"No",(IF(D304&gt;F304,"Caution",(IF(O304&gt;=F304,"Needed","No"))))))))))))),"---")</f>
        <v>---</v>
      </c>
      <c r="C304" s="372" t="str">
        <f>IF(TRUE=ISBLANK(ChemData!B304),"",(ChemData!B304))</f>
        <v/>
      </c>
      <c r="D304" s="373" t="str">
        <f>IF(TRUE=ISBLANK(ChemData!C304),"",(ChemData!C304))</f>
        <v/>
      </c>
      <c r="E304" s="374" t="str">
        <f>IF(TRUE=ISBLANK(ChemData!D304),"",(ChemData!D304))</f>
        <v/>
      </c>
      <c r="F304" s="289">
        <f>IF(TRUE=ISBLANK(ChemData!H304),"",(ChemData!H304))</f>
        <v>5</v>
      </c>
      <c r="G304" s="290">
        <f>IF(TRUE=ISBLANK(ChemData!Q304),"",(ChemData!Q304))</f>
        <v>222.53914684768353</v>
      </c>
      <c r="H304" s="291">
        <f>IF(TRUE=ISBLANK(ChemData!S304),"",(ChemData!S304))</f>
        <v>1</v>
      </c>
      <c r="I304" s="375" t="str">
        <f>IF(Start!$C$15="x",(IF(OR(C304="NA",C304=""), "NA", (IF($H304 = "NA", "NA", ((C304*$H304)))))),"---")</f>
        <v>---</v>
      </c>
      <c r="J304" s="376" t="str">
        <f>IF(Start!$C$15="x",(IF(I304 = "NA", "NA", IF(OR(D304="NA",D304=""),"NA",(I304 +((Data!$D$19-Data!$D$22)/(Data!$D$19*Data!$D$22)*$D304))))),"---")</f>
        <v>---</v>
      </c>
      <c r="K304" s="376" t="str">
        <f>IF(Start!$C$15="x",(IF(J304="NA","NA",IF(OR(G304="NA",G304=""),"NA",(J304*(1-Data!$D$23)*Data!$D$14*1000)/(Data!$D$23+((1-Data!$D$23)*Data!$D$14*$G304))))),"---")</f>
        <v>---</v>
      </c>
      <c r="L304" s="376" t="str">
        <f>IF(Start!$C$15="x",(IF(I304="NA","NA",IF($G304 = "NA", "NA",(IF(OR(ChemData!U304="NA",ChemData!U304=""),I304/((Data!$D$18+((1-Data!$D$18)*Data!$D$14*$G304))/((1-Data!$D$18)*Data!$D$14*1000)),(IF(I304/((Data!$D$18+((1-Data!$D$18)*Data!$D$14*$G304))/((1-Data!$D$18)*Data!$D$14*1000))&gt;ChemData!U304, ChemData!U304, I304/((Data!$D$18+((1-Data!$D$18)*Data!$D$14*$G304))/((1-Data!$D$18)*Data!$D$14*1000))))))))),"---")</f>
        <v>---</v>
      </c>
      <c r="M304" s="376" t="str">
        <f>IF(Start!$C$15="x",(IF(L304="NA","NA",IF(OR(D304="NA",D304=""),"NA",(((Data!$D$22*Data!$D$18)*L304)+(Data!$D$19-Data!$D$22)*$D304)/((Data!$D$22*Data!$D$18)+Data!$D$19-Data!$D$22)))),"---")</f>
        <v>---</v>
      </c>
      <c r="N304" s="376" t="str">
        <f>IF(Start!$C$15="x",IF(K304 = "NA", "NA", (IF(M304 = "NA", "NA",(IF(OR(ChemData!U304="NA",ChemData!U304=""),(IF(K304&gt;M304,K304,M304)),(IF(K304&gt;M304,(IF(K304&gt;ChemData!U304, ChemData!U304, K304)),(IF(M304&gt;ChemData!U304,ChemData!U304,M304))))))))),"---")</f>
        <v>---</v>
      </c>
      <c r="O304" s="377" t="str">
        <f>IF(Start!$C$15="x",IF(N304 = "NA","NA", IF(OR(E304="NA",E304=""),"NA",(N304+(Data!$D$26*$E304))/(Data!$D$26+1))),"---")</f>
        <v>---</v>
      </c>
      <c r="P304" s="730">
        <f>IF(E304="",F304,IF($F304&lt;(1+(Data!$D$27/100))*$E304,(1+(Data!$D$27/100))*$E304,$F304))</f>
        <v>5</v>
      </c>
      <c r="Q304" s="343" t="str">
        <f>IF(Start!$C$15="x",(IF(C304="","",(IF(O304="NA","NA",IF(P304="NA","NA",IF(P304=0,"NA",(O304/P304))))))),"Not Req.")</f>
        <v>Not Req.</v>
      </c>
      <c r="R304" s="163"/>
      <c r="S304" s="18"/>
      <c r="T304" s="18"/>
      <c r="U304" s="163"/>
      <c r="V304" s="163"/>
      <c r="W304" s="18"/>
      <c r="X304" s="163"/>
      <c r="Y304" s="163"/>
      <c r="Z304" s="18"/>
    </row>
    <row r="305" spans="1:26" s="10" customFormat="1" x14ac:dyDescent="0.25">
      <c r="A305" s="405" t="s">
        <v>623</v>
      </c>
      <c r="B305" s="371" t="str">
        <f>IF(Start!$C$15="x",IF(C305="NA","NA",(IF(C305="","",(IF(OR(F305="NA",F305=""),"No Criteria",(IF(AND(O305="NA",F305&lt;&gt;"NA",C305&lt;&gt;"NA"),                  "Missing Data",(IF(O305&lt;F305,"No",(IF(D305&gt;F305,"Caution",(IF(O305&gt;=F305,"Needed","No"))))))))))))),"---")</f>
        <v>---</v>
      </c>
      <c r="C305" s="372" t="str">
        <f>IF(TRUE=ISBLANK(ChemData!B305),"",(ChemData!B305))</f>
        <v/>
      </c>
      <c r="D305" s="373" t="str">
        <f>IF(TRUE=ISBLANK(ChemData!C305),"",(ChemData!C305))</f>
        <v/>
      </c>
      <c r="E305" s="374" t="str">
        <f>IF(TRUE=ISBLANK(ChemData!D305),"",(ChemData!D305))</f>
        <v/>
      </c>
      <c r="F305" s="289">
        <f>IF(TRUE=ISBLANK(ChemData!H305),"",(ChemData!H305))</f>
        <v>10</v>
      </c>
      <c r="G305" s="290">
        <f>IF(TRUE=ISBLANK(ChemData!Q305),"",(ChemData!Q305))</f>
        <v>29.336372992455249</v>
      </c>
      <c r="H305" s="291">
        <f>IF(TRUE=ISBLANK(ChemData!S305),"",(ChemData!S305))</f>
        <v>1</v>
      </c>
      <c r="I305" s="375" t="str">
        <f>IF(Start!$C$15="x",(IF(OR(C305="NA",C305=""), "NA", (IF($H305 = "NA", "NA", ((C305*$H305)))))),"---")</f>
        <v>---</v>
      </c>
      <c r="J305" s="376" t="str">
        <f>IF(Start!$C$15="x",(IF(I305 = "NA", "NA", IF(OR(D305="NA",D305=""),"NA",(I305 +((Data!$D$19-Data!$D$22)/(Data!$D$19*Data!$D$22)*$D305))))),"---")</f>
        <v>---</v>
      </c>
      <c r="K305" s="376" t="str">
        <f>IF(Start!$C$15="x",(IF(J305="NA","NA",IF(OR(G305="NA",G305=""),"NA",(J305*(1-Data!$D$23)*Data!$D$14*1000)/(Data!$D$23+((1-Data!$D$23)*Data!$D$14*$G305))))),"---")</f>
        <v>---</v>
      </c>
      <c r="L305" s="376" t="str">
        <f>IF(Start!$C$15="x",(IF(I305="NA","NA",IF($G305 = "NA", "NA",(IF(OR(ChemData!U305="NA",ChemData!U305=""),I305/((Data!$D$18+((1-Data!$D$18)*Data!$D$14*$G305))/((1-Data!$D$18)*Data!$D$14*1000)),(IF(I305/((Data!$D$18+((1-Data!$D$18)*Data!$D$14*$G305))/((1-Data!$D$18)*Data!$D$14*1000))&gt;ChemData!U305, ChemData!U305, I305/((Data!$D$18+((1-Data!$D$18)*Data!$D$14*$G305))/((1-Data!$D$18)*Data!$D$14*1000))))))))),"---")</f>
        <v>---</v>
      </c>
      <c r="M305" s="376" t="str">
        <f>IF(Start!$C$15="x",(IF(L305="NA","NA",IF(OR(D305="NA",D305=""),"NA",(((Data!$D$22*Data!$D$18)*L305)+(Data!$D$19-Data!$D$22)*$D305)/((Data!$D$22*Data!$D$18)+Data!$D$19-Data!$D$22)))),"---")</f>
        <v>---</v>
      </c>
      <c r="N305" s="376" t="str">
        <f>IF(Start!$C$15="x",IF(K305 = "NA", "NA", (IF(M305 = "NA", "NA",(IF(OR(ChemData!U305="NA",ChemData!U305=""),(IF(K305&gt;M305,K305,M305)),(IF(K305&gt;M305,(IF(K305&gt;ChemData!U305, ChemData!U305, K305)),(IF(M305&gt;ChemData!U305,ChemData!U305,M305))))))))),"---")</f>
        <v>---</v>
      </c>
      <c r="O305" s="377" t="str">
        <f>IF(Start!$C$15="x",IF(N305 = "NA","NA", IF(OR(E305="NA",E305=""),"NA",(N305+(Data!$D$26*$E305))/(Data!$D$26+1))),"---")</f>
        <v>---</v>
      </c>
      <c r="P305" s="730">
        <f>IF(E305="",F305,IF($F305&lt;(1+(Data!$D$27/100))*$E305,(1+(Data!$D$27/100))*$E305,$F305))</f>
        <v>10</v>
      </c>
      <c r="Q305" s="343" t="str">
        <f>IF(Start!$C$15="x",(IF(C305="","",(IF(O305="NA","NA",IF(P305="NA","NA",IF(P305=0,"NA",(O305/P305))))))),"Not Req.")</f>
        <v>Not Req.</v>
      </c>
      <c r="R305" s="163"/>
      <c r="S305" s="18"/>
      <c r="T305" s="18"/>
      <c r="U305" s="163"/>
      <c r="V305" s="163"/>
      <c r="W305" s="18"/>
      <c r="X305" s="163"/>
      <c r="Y305" s="163"/>
      <c r="Z305" s="18"/>
    </row>
    <row r="306" spans="1:26" s="10" customFormat="1" x14ac:dyDescent="0.25">
      <c r="A306" s="486" t="s">
        <v>624</v>
      </c>
      <c r="B306" s="371" t="str">
        <f>IF(Start!$C$15="x",IF(C306="NA","NA",(IF(C306="","",(IF(OR(F306="NA",F306=""),"No Criteria",(IF(AND(O306="NA",F306&lt;&gt;"NA",C306&lt;&gt;"NA"),                  "Missing Data",(IF(O306&lt;F306,"No",(IF(D306&gt;F306,"Caution",(IF(O306&gt;=F306,"Needed","No"))))))))))))),"---")</f>
        <v>---</v>
      </c>
      <c r="C306" s="372" t="str">
        <f>IF(TRUE=ISBLANK(ChemData!B306),"",(ChemData!B306))</f>
        <v/>
      </c>
      <c r="D306" s="373" t="str">
        <f>IF(TRUE=ISBLANK(ChemData!C306),"",(ChemData!C306))</f>
        <v/>
      </c>
      <c r="E306" s="374" t="str">
        <f>IF(TRUE=ISBLANK(ChemData!D306),"",(ChemData!D306))</f>
        <v/>
      </c>
      <c r="F306" s="289">
        <f>IF(TRUE=ISBLANK(ChemData!H306),"",(ChemData!H306))</f>
        <v>1.2</v>
      </c>
      <c r="G306" s="290">
        <f>IF(TRUE=ISBLANK(ChemData!Q306),"",(ChemData!Q306))</f>
        <v>238.45499201839945</v>
      </c>
      <c r="H306" s="291">
        <f>IF(TRUE=ISBLANK(ChemData!S306),"",(ChemData!S306))</f>
        <v>1</v>
      </c>
      <c r="I306" s="375" t="str">
        <f>IF(Start!$C$15="x",(IF(OR(C306="NA",C306=""), "NA", (IF($H306 = "NA", "NA", ((C306*$H306)))))),"---")</f>
        <v>---</v>
      </c>
      <c r="J306" s="376" t="str">
        <f>IF(Start!$C$15="x",(IF(I306 = "NA", "NA", IF(OR(D306="NA",D306=""),"NA",(I306 +((Data!$D$19-Data!$D$22)/(Data!$D$19*Data!$D$22)*$D306))))),"---")</f>
        <v>---</v>
      </c>
      <c r="K306" s="376" t="str">
        <f>IF(Start!$C$15="x",(IF(J306="NA","NA",IF(OR(G306="NA",G306=""),"NA",(J306*(1-Data!$D$23)*Data!$D$14*1000)/(Data!$D$23+((1-Data!$D$23)*Data!$D$14*$G306))))),"---")</f>
        <v>---</v>
      </c>
      <c r="L306" s="376" t="str">
        <f>IF(Start!$C$15="x",(IF(I306="NA","NA",IF($G306 = "NA", "NA",(IF(OR(ChemData!U306="NA",ChemData!U306=""),I306/((Data!$D$18+((1-Data!$D$18)*Data!$D$14*$G306))/((1-Data!$D$18)*Data!$D$14*1000)),(IF(I306/((Data!$D$18+((1-Data!$D$18)*Data!$D$14*$G306))/((1-Data!$D$18)*Data!$D$14*1000))&gt;ChemData!U306, ChemData!U306, I306/((Data!$D$18+((1-Data!$D$18)*Data!$D$14*$G306))/((1-Data!$D$18)*Data!$D$14*1000))))))))),"---")</f>
        <v>---</v>
      </c>
      <c r="M306" s="376" t="str">
        <f>IF(Start!$C$15="x",(IF(L306="NA","NA",IF(OR(D306="NA",D306=""),"NA",(((Data!$D$22*Data!$D$18)*L306)+(Data!$D$19-Data!$D$22)*$D306)/((Data!$D$22*Data!$D$18)+Data!$D$19-Data!$D$22)))),"---")</f>
        <v>---</v>
      </c>
      <c r="N306" s="376" t="str">
        <f>IF(Start!$C$15="x",IF(K306 = "NA", "NA", (IF(M306 = "NA", "NA",(IF(OR(ChemData!U306="NA",ChemData!U306=""),(IF(K306&gt;M306,K306,M306)),(IF(K306&gt;M306,(IF(K306&gt;ChemData!U306, ChemData!U306, K306)),(IF(M306&gt;ChemData!U306,ChemData!U306,M306))))))))),"---")</f>
        <v>---</v>
      </c>
      <c r="O306" s="377" t="str">
        <f>IF(Start!$C$15="x",IF(N306 = "NA","NA", IF(OR(E306="NA",E306=""),"NA",(N306+(Data!$D$26*$E306))/(Data!$D$26+1))),"---")</f>
        <v>---</v>
      </c>
      <c r="P306" s="730">
        <f>IF(E306="",F306,IF($F306&lt;(1+(Data!$D$27/100))*$E306,(1+(Data!$D$27/100))*$E306,$F306))</f>
        <v>1.2</v>
      </c>
      <c r="Q306" s="343" t="str">
        <f>IF(Start!$C$15="x",(IF(C306="","",(IF(O306="NA","NA",IF(P306="NA","NA",IF(P306=0,"NA",(O306/P306))))))),"Not Req.")</f>
        <v>Not Req.</v>
      </c>
      <c r="R306" s="163"/>
      <c r="S306" s="18"/>
      <c r="T306" s="18"/>
      <c r="U306" s="163"/>
      <c r="V306" s="163"/>
      <c r="W306" s="18"/>
      <c r="X306" s="163"/>
      <c r="Y306" s="163"/>
      <c r="Z306" s="18"/>
    </row>
    <row r="307" spans="1:26" s="10" customFormat="1" x14ac:dyDescent="0.25">
      <c r="A307" s="405" t="s">
        <v>625</v>
      </c>
      <c r="B307" s="371" t="str">
        <f>IF(Start!$C$15="x",IF(C307="NA","NA",(IF(C307="","",(IF(OR(F307="NA",F307=""),"No Criteria",(IF(AND(O307="NA",F307&lt;&gt;"NA",C307&lt;&gt;"NA"),                  "Missing Data",(IF(O307&lt;F307,"No",(IF(D307&gt;F307,"Caution",(IF(O307&gt;=F307,"Needed","No"))))))))))))),"---")</f>
        <v>---</v>
      </c>
      <c r="C307" s="372" t="str">
        <f>IF(TRUE=ISBLANK(ChemData!B307),"",(ChemData!B307))</f>
        <v/>
      </c>
      <c r="D307" s="373" t="str">
        <f>IF(TRUE=ISBLANK(ChemData!C307),"",(ChemData!C307))</f>
        <v/>
      </c>
      <c r="E307" s="374" t="str">
        <f>IF(TRUE=ISBLANK(ChemData!D307),"",(ChemData!D307))</f>
        <v/>
      </c>
      <c r="F307" s="289">
        <f>IF(TRUE=ISBLANK(ChemData!H307),"",(ChemData!H307))</f>
        <v>1.4</v>
      </c>
      <c r="G307" s="290">
        <f>IF(TRUE=ISBLANK(ChemData!Q307),"",(ChemData!Q307))</f>
        <v>10651.393240110776</v>
      </c>
      <c r="H307" s="291">
        <f>IF(TRUE=ISBLANK(ChemData!S307),"",(ChemData!S307))</f>
        <v>1</v>
      </c>
      <c r="I307" s="375" t="str">
        <f>IF(Start!$C$15="x",(IF(OR(C307="NA",C307=""), "NA", (IF($H307 = "NA", "NA", ((C307*$H307)))))),"---")</f>
        <v>---</v>
      </c>
      <c r="J307" s="376" t="str">
        <f>IF(Start!$C$15="x",(IF(I307 = "NA", "NA", IF(OR(D307="NA",D307=""),"NA",(I307 +((Data!$D$19-Data!$D$22)/(Data!$D$19*Data!$D$22)*$D307))))),"---")</f>
        <v>---</v>
      </c>
      <c r="K307" s="376" t="str">
        <f>IF(Start!$C$15="x",(IF(J307="NA","NA",IF(OR(G307="NA",G307=""),"NA",(J307*(1-Data!$D$23)*Data!$D$14*1000)/(Data!$D$23+((1-Data!$D$23)*Data!$D$14*$G307))))),"---")</f>
        <v>---</v>
      </c>
      <c r="L307" s="376" t="str">
        <f>IF(Start!$C$15="x",(IF(I307="NA","NA",IF($G307 = "NA", "NA",(IF(OR(ChemData!U307="NA",ChemData!U307=""),I307/((Data!$D$18+((1-Data!$D$18)*Data!$D$14*$G307))/((1-Data!$D$18)*Data!$D$14*1000)),(IF(I307/((Data!$D$18+((1-Data!$D$18)*Data!$D$14*$G307))/((1-Data!$D$18)*Data!$D$14*1000))&gt;ChemData!U307, ChemData!U307, I307/((Data!$D$18+((1-Data!$D$18)*Data!$D$14*$G307))/((1-Data!$D$18)*Data!$D$14*1000))))))))),"---")</f>
        <v>---</v>
      </c>
      <c r="M307" s="376" t="str">
        <f>IF(Start!$C$15="x",(IF(L307="NA","NA",IF(OR(D307="NA",D307=""),"NA",(((Data!$D$22*Data!$D$18)*L307)+(Data!$D$19-Data!$D$22)*$D307)/((Data!$D$22*Data!$D$18)+Data!$D$19-Data!$D$22)))),"---")</f>
        <v>---</v>
      </c>
      <c r="N307" s="376" t="str">
        <f>IF(Start!$C$15="x",IF(K307 = "NA", "NA", (IF(M307 = "NA", "NA",(IF(OR(ChemData!U307="NA",ChemData!U307=""),(IF(K307&gt;M307,K307,M307)),(IF(K307&gt;M307,(IF(K307&gt;ChemData!U307, ChemData!U307, K307)),(IF(M307&gt;ChemData!U307,ChemData!U307,M307))))))))),"---")</f>
        <v>---</v>
      </c>
      <c r="O307" s="377" t="str">
        <f>IF(Start!$C$15="x",IF(N307 = "NA","NA", IF(OR(E307="NA",E307=""),"NA",(N307+(Data!$D$26*$E307))/(Data!$D$26+1))),"---")</f>
        <v>---</v>
      </c>
      <c r="P307" s="730">
        <f>IF(E307="",F307,IF($F307&lt;(1+(Data!$D$27/100))*$E307,(1+(Data!$D$27/100))*$E307,$F307))</f>
        <v>1.4</v>
      </c>
      <c r="Q307" s="343" t="str">
        <f>IF(Start!$C$15="x",(IF(C307="","",(IF(O307="NA","NA",IF(P307="NA","NA",IF(P307=0,"NA",(O307/P307))))))),"Not Req.")</f>
        <v>Not Req.</v>
      </c>
      <c r="R307" s="163"/>
      <c r="S307" s="18"/>
      <c r="T307" s="18"/>
      <c r="U307" s="163"/>
      <c r="V307" s="163"/>
      <c r="W307" s="18"/>
      <c r="X307" s="163"/>
      <c r="Y307" s="163"/>
      <c r="Z307" s="18"/>
    </row>
    <row r="308" spans="1:26" s="10" customFormat="1" x14ac:dyDescent="0.25">
      <c r="A308" s="405" t="s">
        <v>626</v>
      </c>
      <c r="B308" s="371" t="str">
        <f>IF(Start!$C$15="x",IF(C308="NA","NA",(IF(C308="","",(IF(OR(F308="NA",F308=""),"No Criteria",(IF(AND(O308="NA",F308&lt;&gt;"NA",C308&lt;&gt;"NA"),                  "Missing Data",(IF(O308&lt;F308,"No",(IF(D308&gt;F308,"Caution",(IF(O308&gt;=F308,"Needed","No"))))))))))))),"---")</f>
        <v>---</v>
      </c>
      <c r="C308" s="372" t="str">
        <f>IF(TRUE=ISBLANK(ChemData!B308),"",(ChemData!B308))</f>
        <v/>
      </c>
      <c r="D308" s="373" t="str">
        <f>IF(TRUE=ISBLANK(ChemData!C308),"",(ChemData!C308))</f>
        <v/>
      </c>
      <c r="E308" s="374" t="str">
        <f>IF(TRUE=ISBLANK(ChemData!D308),"",(ChemData!D308))</f>
        <v/>
      </c>
      <c r="F308" s="289">
        <f>IF(TRUE=ISBLANK(ChemData!H308),"",(ChemData!H308))</f>
        <v>0.6</v>
      </c>
      <c r="G308" s="290">
        <f>IF(TRUE=ISBLANK(ChemData!Q308),"",(ChemData!Q308))</f>
        <v>20295.811410610371</v>
      </c>
      <c r="H308" s="291">
        <f>IF(TRUE=ISBLANK(ChemData!S308),"",(ChemData!S308))</f>
        <v>1</v>
      </c>
      <c r="I308" s="375" t="str">
        <f>IF(Start!$C$15="x",(IF(OR(C308="NA",C308=""), "NA", (IF($H308 = "NA", "NA", ((C308*$H308)))))),"---")</f>
        <v>---</v>
      </c>
      <c r="J308" s="376" t="str">
        <f>IF(Start!$C$15="x",(IF(I308 = "NA", "NA", IF(OR(D308="NA",D308=""),"NA",(I308 +((Data!$D$19-Data!$D$22)/(Data!$D$19*Data!$D$22)*$D308))))),"---")</f>
        <v>---</v>
      </c>
      <c r="K308" s="376" t="str">
        <f>IF(Start!$C$15="x",(IF(J308="NA","NA",IF(OR(G308="NA",G308=""),"NA",(J308*(1-Data!$D$23)*Data!$D$14*1000)/(Data!$D$23+((1-Data!$D$23)*Data!$D$14*$G308))))),"---")</f>
        <v>---</v>
      </c>
      <c r="L308" s="376" t="str">
        <f>IF(Start!$C$15="x",(IF(I308="NA","NA",IF($G308 = "NA", "NA",(IF(OR(ChemData!U308="NA",ChemData!U308=""),I308/((Data!$D$18+((1-Data!$D$18)*Data!$D$14*$G308))/((1-Data!$D$18)*Data!$D$14*1000)),(IF(I308/((Data!$D$18+((1-Data!$D$18)*Data!$D$14*$G308))/((1-Data!$D$18)*Data!$D$14*1000))&gt;ChemData!U308, ChemData!U308, I308/((Data!$D$18+((1-Data!$D$18)*Data!$D$14*$G308))/((1-Data!$D$18)*Data!$D$14*1000))))))))),"---")</f>
        <v>---</v>
      </c>
      <c r="M308" s="376" t="str">
        <f>IF(Start!$C$15="x",(IF(L308="NA","NA",IF(OR(D308="NA",D308=""),"NA",(((Data!$D$22*Data!$D$18)*L308)+(Data!$D$19-Data!$D$22)*$D308)/((Data!$D$22*Data!$D$18)+Data!$D$19-Data!$D$22)))),"---")</f>
        <v>---</v>
      </c>
      <c r="N308" s="376" t="str">
        <f>IF(Start!$C$15="x",IF(K308 = "NA", "NA", (IF(M308 = "NA", "NA",(IF(OR(ChemData!U308="NA",ChemData!U308=""),(IF(K308&gt;M308,K308,M308)),(IF(K308&gt;M308,(IF(K308&gt;ChemData!U308, ChemData!U308, K308)),(IF(M308&gt;ChemData!U308,ChemData!U308,M308))))))))),"---")</f>
        <v>---</v>
      </c>
      <c r="O308" s="377" t="str">
        <f>IF(Start!$C$15="x",IF(N308 = "NA","NA", IF(OR(E308="NA",E308=""),"NA",(N308+(Data!$D$26*$E308))/(Data!$D$26+1))),"---")</f>
        <v>---</v>
      </c>
      <c r="P308" s="730">
        <f>IF(E308="",F308,IF($F308&lt;(1+(Data!$D$27/100))*$E308,(1+(Data!$D$27/100))*$E308,$F308))</f>
        <v>0.6</v>
      </c>
      <c r="Q308" s="343" t="str">
        <f>IF(Start!$C$15="x",(IF(C308="","",(IF(O308="NA","NA",IF(P308="NA","NA",IF(P308=0,"NA",(O308/P308))))))),"Not Req.")</f>
        <v>Not Req.</v>
      </c>
      <c r="R308" s="163"/>
      <c r="S308" s="18"/>
      <c r="T308" s="18"/>
      <c r="U308" s="163"/>
      <c r="V308" s="163"/>
      <c r="W308" s="18"/>
      <c r="X308" s="163"/>
      <c r="Y308" s="163"/>
      <c r="Z308" s="18"/>
    </row>
    <row r="309" spans="1:26" s="10" customFormat="1" x14ac:dyDescent="0.25">
      <c r="A309" s="405" t="s">
        <v>627</v>
      </c>
      <c r="B309" s="371" t="str">
        <f>IF(Start!$C$15="x",IF(C309="NA","NA",(IF(C309="","",(IF(OR(F309="NA",F309=""),"No Criteria",(IF(AND(O309="NA",F309&lt;&gt;"NA",C309&lt;&gt;"NA"),                  "Missing Data",(IF(O309&lt;F309,"No",(IF(D309&gt;F309,"Caution",(IF(O309&gt;=F309,"Needed","No"))))))))))))),"---")</f>
        <v>---</v>
      </c>
      <c r="C309" s="372" t="str">
        <f>IF(TRUE=ISBLANK(ChemData!B309),"",(ChemData!B309))</f>
        <v/>
      </c>
      <c r="D309" s="373" t="str">
        <f>IF(TRUE=ISBLANK(ChemData!C309),"",(ChemData!C309))</f>
        <v/>
      </c>
      <c r="E309" s="374" t="str">
        <f>IF(TRUE=ISBLANK(ChemData!D309),"",(ChemData!D309))</f>
        <v/>
      </c>
      <c r="F309" s="289">
        <f>IF(TRUE=ISBLANK(ChemData!H309),"",(ChemData!H309))</f>
        <v>1700</v>
      </c>
      <c r="G309" s="290">
        <f>IF(TRUE=ISBLANK(ChemData!Q309),"",(ChemData!Q309))</f>
        <v>233027.09372310026</v>
      </c>
      <c r="H309" s="291">
        <f>IF(TRUE=ISBLANK(ChemData!S309),"",(ChemData!S309))</f>
        <v>1</v>
      </c>
      <c r="I309" s="375" t="str">
        <f>IF(Start!$C$15="x",(IF(OR(C309="NA",C309=""), "NA", (IF($H309 = "NA", "NA", ((C309*$H309)))))),"---")</f>
        <v>---</v>
      </c>
      <c r="J309" s="376" t="str">
        <f>IF(Start!$C$15="x",(IF(I309 = "NA", "NA", IF(OR(D309="NA",D309=""),"NA",(I309 +((Data!$D$19-Data!$D$22)/(Data!$D$19*Data!$D$22)*$D309))))),"---")</f>
        <v>---</v>
      </c>
      <c r="K309" s="376" t="str">
        <f>IF(Start!$C$15="x",(IF(J309="NA","NA",IF(OR(G309="NA",G309=""),"NA",(J309*(1-Data!$D$23)*Data!$D$14*1000)/(Data!$D$23+((1-Data!$D$23)*Data!$D$14*$G309))))),"---")</f>
        <v>---</v>
      </c>
      <c r="L309" s="376" t="str">
        <f>IF(Start!$C$15="x",(IF(I309="NA","NA",IF($G309 = "NA", "NA",(IF(OR(ChemData!U309="NA",ChemData!U309=""),I309/((Data!$D$18+((1-Data!$D$18)*Data!$D$14*$G309))/((1-Data!$D$18)*Data!$D$14*1000)),(IF(I309/((Data!$D$18+((1-Data!$D$18)*Data!$D$14*$G309))/((1-Data!$D$18)*Data!$D$14*1000))&gt;ChemData!U309, ChemData!U309, I309/((Data!$D$18+((1-Data!$D$18)*Data!$D$14*$G309))/((1-Data!$D$18)*Data!$D$14*1000))))))))),"---")</f>
        <v>---</v>
      </c>
      <c r="M309" s="376" t="str">
        <f>IF(Start!$C$15="x",(IF(L309="NA","NA",IF(OR(D309="NA",D309=""),"NA",(((Data!$D$22*Data!$D$18)*L309)+(Data!$D$19-Data!$D$22)*$D309)/((Data!$D$22*Data!$D$18)+Data!$D$19-Data!$D$22)))),"---")</f>
        <v>---</v>
      </c>
      <c r="N309" s="376" t="str">
        <f>IF(Start!$C$15="x",IF(K309 = "NA", "NA", (IF(M309 = "NA", "NA",(IF(OR(ChemData!U309="NA",ChemData!U309=""),(IF(K309&gt;M309,K309,M309)),(IF(K309&gt;M309,(IF(K309&gt;ChemData!U309, ChemData!U309, K309)),(IF(M309&gt;ChemData!U309,ChemData!U309,M309))))))))),"---")</f>
        <v>---</v>
      </c>
      <c r="O309" s="377" t="str">
        <f>IF(Start!$C$15="x",IF(N309 = "NA","NA", IF(OR(E309="NA",E309=""),"NA",(N309+(Data!$D$26*$E309))/(Data!$D$26+1))),"---")</f>
        <v>---</v>
      </c>
      <c r="P309" s="730">
        <f>IF(E309="",F309,IF($F309&lt;(1+(Data!$D$27/100))*$E309,(1+(Data!$D$27/100))*$E309,$F309))</f>
        <v>1700</v>
      </c>
      <c r="Q309" s="343" t="str">
        <f>IF(Start!$C$15="x",(IF(C309="","",(IF(O309="NA","NA",IF(P309="NA","NA",IF(P309=0,"NA",(O309/P309))))))),"Not Req.")</f>
        <v>Not Req.</v>
      </c>
      <c r="R309" s="163"/>
      <c r="S309" s="18"/>
      <c r="T309" s="18"/>
      <c r="U309" s="163"/>
      <c r="V309" s="163"/>
      <c r="W309" s="18"/>
      <c r="X309" s="163"/>
      <c r="Y309" s="163"/>
      <c r="Z309" s="18"/>
    </row>
    <row r="310" spans="1:26" s="10" customFormat="1" ht="13.8" thickBot="1" x14ac:dyDescent="0.3">
      <c r="A310" s="408" t="s">
        <v>628</v>
      </c>
      <c r="B310" s="371" t="str">
        <f>IF(Start!$C$15="x",IF(C310="NA","NA",(IF(C310="","",(IF(OR(F310="NA",F310=""),"No Criteria",(IF(AND(O310="NA",F310&lt;&gt;"NA",C310&lt;&gt;"NA"),                  "Missing Data",(IF(O310&lt;F310,"No",(IF(D310&gt;F310,"Caution",(IF(O310&gt;=F310,"Needed","No"))))))))))))),"---")</f>
        <v>---</v>
      </c>
      <c r="C310" s="519">
        <f>IF(TRUE=ISBLANK(ChemData!B310),"",(ChemData!B310))</f>
        <v>4.32</v>
      </c>
      <c r="D310" s="520">
        <f>IF(TRUE=ISBLANK(ChemData!C310),"",(ChemData!C310))</f>
        <v>0</v>
      </c>
      <c r="E310" s="521">
        <f>IF(TRUE=ISBLANK(ChemData!D310),"",(ChemData!D310))</f>
        <v>0</v>
      </c>
      <c r="F310" s="303">
        <f>IF(TRUE=ISBLANK(ChemData!H310),"",(ChemData!H310))</f>
        <v>2</v>
      </c>
      <c r="G310" s="304">
        <f>IF(TRUE=ISBLANK(ChemData!Q310),"",(ChemData!Q310))</f>
        <v>58533.759489716802</v>
      </c>
      <c r="H310" s="305">
        <f>IF(TRUE=ISBLANK(ChemData!S310),"",(ChemData!S310))</f>
        <v>1</v>
      </c>
      <c r="I310" s="515" t="str">
        <f>IF(Start!$C$15="x",(IF(OR(C310="NA",C310=""), "NA", (IF($H310 = "NA", "NA", ((C310*$H310)))))),"---")</f>
        <v>---</v>
      </c>
      <c r="J310" s="516" t="str">
        <f>IF(Start!$C$15="x",(IF(I310 = "NA", "NA", IF(OR(D310="NA",D310=""),"NA",(I310 +((Data!$D$19-Data!$D$22)/(Data!$D$19*Data!$D$22)*$D310))))),"---")</f>
        <v>---</v>
      </c>
      <c r="K310" s="516" t="str">
        <f>IF(Start!$C$15="x",(IF(J310="NA","NA",IF(OR(G310="NA",G310=""),"NA",(J310*(1-Data!$D$23)*Data!$D$14*1000)/(Data!$D$23+((1-Data!$D$23)*Data!$D$14*$G310))))),"---")</f>
        <v>---</v>
      </c>
      <c r="L310" s="516" t="str">
        <f>IF(Start!$C$15="x",(IF(I310="NA","NA",IF($G310 = "NA", "NA",(IF(OR(ChemData!U310="NA",ChemData!U310=""),I310/((Data!$D$18+((1-Data!$D$18)*Data!$D$14*$G310))/((1-Data!$D$18)*Data!$D$14*1000)),(IF(I310/((Data!$D$18+((1-Data!$D$18)*Data!$D$14*$G310))/((1-Data!$D$18)*Data!$D$14*1000))&gt;ChemData!U310, ChemData!U310, I310/((Data!$D$18+((1-Data!$D$18)*Data!$D$14*$G310))/((1-Data!$D$18)*Data!$D$14*1000))))))))),"---")</f>
        <v>---</v>
      </c>
      <c r="M310" s="516" t="str">
        <f>IF(Start!$C$15="x",(IF(L310="NA","NA",IF(OR(D310="NA",D310=""),"NA",(((Data!$D$22*Data!$D$18)*L310)+(Data!$D$19-Data!$D$22)*$D310)/((Data!$D$22*Data!$D$18)+Data!$D$19-Data!$D$22)))),"---")</f>
        <v>---</v>
      </c>
      <c r="N310" s="516" t="str">
        <f>IF(Start!$C$15="x",IF(K310 = "NA", "NA", (IF(M310 = "NA", "NA",(IF(OR(ChemData!U310="NA",ChemData!U310=""),(IF(K310&gt;M310,K310,M310)),(IF(K310&gt;M310,(IF(K310&gt;ChemData!U310, ChemData!U310, K310)),(IF(M310&gt;ChemData!U310,ChemData!U310,M310))))))))),"---")</f>
        <v>---</v>
      </c>
      <c r="O310" s="517" t="str">
        <f>IF(Start!$C$15="x",IF(N310 = "NA","NA", IF(OR(E310="NA",E310=""),"NA",(N310+(Data!$D$26*$E310))/(Data!$D$26+1))),"---")</f>
        <v>---</v>
      </c>
      <c r="P310" s="732">
        <f>IF(E310="",F310,IF($F310&lt;(1+(Data!$D$27/100))*$E310,(1+(Data!$D$27/100))*$E310,$F310))</f>
        <v>2</v>
      </c>
      <c r="Q310" s="518" t="str">
        <f>IF(Start!$C$15="x",(IF(C310="","",(IF(O310="NA","NA",IF(P310="NA","NA",IF(P310=0,"NA",(O310/P310))))))),"Not Req.")</f>
        <v>Not Req.</v>
      </c>
      <c r="R310" s="163"/>
      <c r="S310" s="18"/>
      <c r="T310" s="18"/>
      <c r="U310" s="18"/>
      <c r="V310" s="18"/>
      <c r="W310" s="18"/>
      <c r="X310" s="163"/>
      <c r="Y310" s="163"/>
      <c r="Z310" s="18"/>
    </row>
    <row r="311" spans="1:26" s="10" customFormat="1" x14ac:dyDescent="0.25">
      <c r="A311" s="6"/>
      <c r="B311" s="199"/>
      <c r="C311" s="196"/>
      <c r="D311" s="5"/>
      <c r="E311" s="196"/>
      <c r="F311" s="8"/>
      <c r="G311" s="8"/>
      <c r="H311" s="23"/>
      <c r="I311" s="23"/>
      <c r="J311" s="23"/>
      <c r="K311" s="23"/>
      <c r="L311" s="23"/>
      <c r="M311" s="23"/>
      <c r="N311" s="23"/>
      <c r="O311" s="23"/>
      <c r="P311" s="23"/>
      <c r="Q311" s="23"/>
      <c r="R311" s="166"/>
      <c r="S311" s="23"/>
      <c r="T311" s="23"/>
      <c r="U311" s="23"/>
      <c r="V311" s="23"/>
      <c r="W311" s="23"/>
      <c r="X311" s="23"/>
      <c r="Y311" s="23"/>
      <c r="Z311" s="28"/>
    </row>
    <row r="312" spans="1:26" s="10" customFormat="1" x14ac:dyDescent="0.25">
      <c r="A312" s="23"/>
      <c r="B312" s="9"/>
      <c r="C312" s="200"/>
      <c r="D312" s="200"/>
      <c r="E312" s="200"/>
      <c r="F312" s="23"/>
      <c r="G312" s="23"/>
      <c r="H312" s="23"/>
      <c r="I312" s="23"/>
      <c r="J312" s="23"/>
      <c r="K312" s="23"/>
      <c r="L312" s="23"/>
      <c r="M312" s="23"/>
      <c r="N312" s="23"/>
      <c r="O312" s="23"/>
      <c r="P312" s="23"/>
      <c r="Q312" s="23"/>
      <c r="R312" s="9"/>
      <c r="S312" s="9"/>
      <c r="T312" s="9"/>
      <c r="U312" s="9"/>
      <c r="V312" s="9"/>
      <c r="W312" s="9"/>
      <c r="X312" s="9"/>
      <c r="Y312" s="9"/>
      <c r="Z312" s="9"/>
    </row>
    <row r="313" spans="1:26" s="10" customFormat="1" x14ac:dyDescent="0.25">
      <c r="A313" s="23"/>
      <c r="B313" s="16"/>
      <c r="C313" s="23"/>
      <c r="D313" s="200"/>
      <c r="E313" s="200"/>
      <c r="F313" s="23"/>
      <c r="G313" s="23"/>
      <c r="H313" s="23"/>
      <c r="I313" s="23"/>
      <c r="J313" s="23"/>
      <c r="K313" s="23"/>
      <c r="L313" s="23"/>
      <c r="M313" s="23"/>
      <c r="N313" s="23"/>
      <c r="O313" s="23"/>
      <c r="P313" s="23"/>
      <c r="Q313" s="23"/>
      <c r="R313" s="23"/>
      <c r="S313" s="23"/>
      <c r="T313" s="23"/>
      <c r="U313" s="167"/>
      <c r="V313" s="23"/>
      <c r="W313" s="23"/>
      <c r="X313" s="23"/>
      <c r="Y313" s="23"/>
      <c r="Z313" s="28"/>
    </row>
    <row r="314" spans="1:26" s="10" customFormat="1" x14ac:dyDescent="0.25">
      <c r="A314" s="23"/>
      <c r="B314" s="16"/>
      <c r="C314" s="200"/>
      <c r="D314" s="200"/>
      <c r="E314" s="200"/>
      <c r="F314" s="23"/>
      <c r="G314" s="23"/>
      <c r="H314" s="23"/>
      <c r="I314" s="23"/>
      <c r="J314" s="23"/>
      <c r="K314" s="23"/>
      <c r="L314" s="23"/>
      <c r="M314" s="23"/>
      <c r="N314" s="23"/>
      <c r="O314" s="23"/>
      <c r="P314" s="23"/>
      <c r="Q314" s="23"/>
      <c r="R314" s="23"/>
      <c r="S314" s="23"/>
      <c r="T314" s="23"/>
      <c r="U314" s="23"/>
      <c r="V314" s="23"/>
      <c r="W314" s="23"/>
      <c r="X314" s="23"/>
      <c r="Y314" s="23"/>
      <c r="Z314" s="28"/>
    </row>
    <row r="315" spans="1:26" s="10" customFormat="1" x14ac:dyDescent="0.25">
      <c r="A315" s="23"/>
      <c r="B315" s="16"/>
      <c r="C315" s="200"/>
      <c r="D315" s="200"/>
      <c r="E315" s="200"/>
      <c r="F315" s="23"/>
      <c r="G315" s="23"/>
      <c r="H315" s="23"/>
      <c r="I315" s="23"/>
      <c r="J315" s="23"/>
      <c r="K315" s="23"/>
      <c r="L315" s="23"/>
      <c r="M315" s="23"/>
      <c r="N315" s="23"/>
      <c r="O315" s="23"/>
      <c r="P315" s="23"/>
      <c r="Q315" s="23"/>
      <c r="R315" s="23"/>
      <c r="S315" s="23"/>
      <c r="T315" s="23"/>
      <c r="U315" s="23"/>
      <c r="V315" s="23"/>
      <c r="W315" s="23"/>
      <c r="X315" s="23"/>
      <c r="Y315" s="23"/>
      <c r="Z315" s="28"/>
    </row>
    <row r="316" spans="1:26" s="10" customFormat="1" x14ac:dyDescent="0.25">
      <c r="A316" s="23"/>
      <c r="B316" s="16"/>
      <c r="C316" s="200"/>
      <c r="D316" s="200"/>
      <c r="E316" s="200"/>
      <c r="F316" s="23"/>
      <c r="G316" s="23"/>
      <c r="H316" s="23"/>
      <c r="I316" s="23"/>
      <c r="J316" s="23"/>
      <c r="K316" s="23"/>
      <c r="L316" s="23"/>
      <c r="M316" s="23"/>
      <c r="N316" s="23"/>
      <c r="O316" s="23"/>
      <c r="P316" s="23"/>
      <c r="Q316" s="23"/>
      <c r="R316" s="23"/>
      <c r="S316" s="23"/>
      <c r="T316" s="23"/>
      <c r="U316" s="23"/>
      <c r="V316" s="23"/>
      <c r="W316" s="23"/>
      <c r="X316" s="23"/>
      <c r="Y316" s="23"/>
      <c r="Z316" s="28"/>
    </row>
    <row r="317" spans="1:26" s="10" customFormat="1" x14ac:dyDescent="0.25">
      <c r="A317" s="23"/>
      <c r="B317" s="16"/>
      <c r="C317" s="200"/>
      <c r="D317" s="200"/>
      <c r="E317" s="200"/>
      <c r="F317" s="23"/>
      <c r="G317" s="23"/>
      <c r="H317" s="23"/>
      <c r="I317" s="23"/>
      <c r="J317" s="23"/>
      <c r="K317" s="23"/>
      <c r="L317" s="23"/>
      <c r="M317" s="23"/>
      <c r="N317" s="23"/>
      <c r="O317" s="23"/>
      <c r="P317" s="23"/>
      <c r="Q317" s="23"/>
      <c r="R317" s="23"/>
      <c r="S317" s="23"/>
      <c r="T317" s="23"/>
      <c r="U317" s="23"/>
      <c r="V317" s="23"/>
      <c r="W317" s="23"/>
      <c r="X317" s="23"/>
      <c r="Y317" s="23"/>
      <c r="Z317" s="28"/>
    </row>
    <row r="318" spans="1:26" s="10" customFormat="1" x14ac:dyDescent="0.25">
      <c r="A318" s="23"/>
      <c r="B318" s="16"/>
      <c r="C318" s="200"/>
      <c r="D318" s="200"/>
      <c r="E318" s="200"/>
      <c r="F318" s="23"/>
      <c r="G318" s="23"/>
      <c r="H318" s="23"/>
      <c r="I318" s="23"/>
      <c r="J318" s="23"/>
      <c r="K318" s="23"/>
      <c r="L318" s="23"/>
      <c r="M318" s="23"/>
      <c r="N318" s="23"/>
      <c r="O318" s="23"/>
      <c r="P318" s="23"/>
      <c r="Q318" s="23"/>
      <c r="R318" s="23"/>
      <c r="S318" s="23"/>
      <c r="T318" s="23"/>
      <c r="U318" s="23"/>
      <c r="V318" s="23"/>
      <c r="W318" s="23"/>
      <c r="X318" s="23"/>
      <c r="Y318" s="23"/>
      <c r="Z318" s="28"/>
    </row>
    <row r="319" spans="1:26" s="10" customFormat="1" x14ac:dyDescent="0.25">
      <c r="A319" s="23"/>
      <c r="B319" s="16"/>
      <c r="C319" s="200"/>
      <c r="D319" s="200"/>
      <c r="E319" s="200"/>
      <c r="F319" s="23"/>
      <c r="G319" s="23"/>
      <c r="H319" s="23"/>
      <c r="I319" s="23"/>
      <c r="J319" s="23"/>
      <c r="K319" s="23"/>
      <c r="L319" s="23"/>
      <c r="M319" s="23"/>
      <c r="N319" s="23"/>
      <c r="O319" s="23"/>
      <c r="P319" s="23"/>
      <c r="Q319" s="23"/>
      <c r="R319" s="23"/>
      <c r="S319" s="23"/>
      <c r="T319" s="23"/>
      <c r="U319" s="23"/>
      <c r="V319" s="23"/>
      <c r="W319" s="23"/>
      <c r="X319" s="23"/>
      <c r="Y319" s="23"/>
      <c r="Z319" s="28"/>
    </row>
    <row r="320" spans="1:26" s="10" customFormat="1" x14ac:dyDescent="0.25">
      <c r="A320" s="23"/>
      <c r="B320" s="16"/>
      <c r="C320" s="200"/>
      <c r="D320" s="200"/>
      <c r="E320" s="200"/>
      <c r="F320" s="23"/>
      <c r="G320" s="23"/>
      <c r="H320" s="23"/>
      <c r="I320" s="23"/>
      <c r="J320" s="23"/>
      <c r="K320" s="23"/>
      <c r="L320" s="23"/>
      <c r="M320" s="23"/>
      <c r="N320" s="23"/>
      <c r="O320" s="23"/>
      <c r="P320" s="23"/>
      <c r="Q320" s="23"/>
      <c r="R320" s="23"/>
      <c r="S320" s="23"/>
      <c r="T320" s="23"/>
      <c r="U320" s="23"/>
      <c r="V320" s="23"/>
      <c r="W320" s="23"/>
      <c r="X320" s="23"/>
      <c r="Y320" s="23"/>
      <c r="Z320" s="28"/>
    </row>
    <row r="321" spans="1:26" s="10" customFormat="1" x14ac:dyDescent="0.25">
      <c r="A321" s="23"/>
      <c r="B321" s="16"/>
      <c r="C321" s="200"/>
      <c r="D321" s="200"/>
      <c r="E321" s="200"/>
      <c r="F321" s="23"/>
      <c r="G321" s="23"/>
      <c r="H321" s="23"/>
      <c r="I321" s="23"/>
      <c r="J321" s="23"/>
      <c r="K321" s="23"/>
      <c r="L321" s="23"/>
      <c r="M321" s="23"/>
      <c r="N321" s="23"/>
      <c r="O321" s="23"/>
      <c r="P321" s="23"/>
      <c r="Q321" s="23"/>
      <c r="R321" s="23"/>
      <c r="S321" s="23"/>
      <c r="T321" s="23"/>
      <c r="U321" s="23"/>
      <c r="V321" s="23"/>
      <c r="W321" s="23"/>
      <c r="X321" s="23"/>
      <c r="Y321" s="23"/>
      <c r="Z321" s="28"/>
    </row>
    <row r="322" spans="1:26" s="10" customFormat="1" x14ac:dyDescent="0.25">
      <c r="A322" s="23"/>
      <c r="B322" s="16"/>
      <c r="C322" s="200"/>
      <c r="D322" s="200"/>
      <c r="E322" s="200"/>
      <c r="F322" s="23"/>
      <c r="G322" s="23"/>
      <c r="H322" s="23"/>
      <c r="I322" s="23"/>
      <c r="J322" s="23"/>
      <c r="K322" s="23"/>
      <c r="L322" s="23"/>
      <c r="M322" s="23"/>
      <c r="N322" s="23"/>
      <c r="O322" s="23"/>
      <c r="P322" s="23"/>
      <c r="Q322" s="23"/>
      <c r="R322" s="23"/>
      <c r="S322" s="23"/>
      <c r="T322" s="23"/>
      <c r="U322" s="23"/>
      <c r="V322" s="23"/>
      <c r="W322" s="23"/>
      <c r="X322" s="23"/>
      <c r="Y322" s="23"/>
      <c r="Z322" s="28"/>
    </row>
    <row r="323" spans="1:26" s="10" customFormat="1" x14ac:dyDescent="0.25">
      <c r="A323" s="23"/>
      <c r="B323" s="16"/>
      <c r="C323" s="200"/>
      <c r="D323" s="200"/>
      <c r="E323" s="200"/>
      <c r="F323" s="23"/>
      <c r="G323" s="23"/>
      <c r="H323" s="23"/>
      <c r="I323" s="23"/>
      <c r="J323" s="23"/>
      <c r="K323" s="23"/>
      <c r="L323" s="23"/>
      <c r="M323" s="23"/>
      <c r="N323" s="23"/>
      <c r="O323" s="23"/>
      <c r="P323" s="23"/>
      <c r="Q323" s="23"/>
      <c r="R323" s="23"/>
      <c r="S323" s="23"/>
      <c r="T323" s="23"/>
      <c r="U323" s="23"/>
      <c r="V323" s="23"/>
      <c r="W323" s="23"/>
      <c r="X323" s="23"/>
      <c r="Y323" s="23"/>
      <c r="Z323" s="28"/>
    </row>
    <row r="324" spans="1:26" s="10" customFormat="1" x14ac:dyDescent="0.25">
      <c r="A324" s="23"/>
      <c r="B324" s="16"/>
      <c r="C324" s="200"/>
      <c r="D324" s="200"/>
      <c r="E324" s="200"/>
      <c r="F324" s="23"/>
      <c r="G324" s="23"/>
      <c r="H324" s="23"/>
      <c r="I324" s="23"/>
      <c r="J324" s="23"/>
      <c r="K324" s="23"/>
      <c r="L324" s="23"/>
      <c r="M324" s="23"/>
      <c r="N324" s="23"/>
      <c r="O324" s="23"/>
      <c r="P324" s="23"/>
      <c r="Q324" s="23"/>
      <c r="R324" s="23"/>
      <c r="S324" s="23"/>
      <c r="T324" s="23"/>
      <c r="U324" s="23"/>
      <c r="V324" s="23"/>
      <c r="W324" s="23"/>
      <c r="X324" s="23"/>
      <c r="Y324" s="23"/>
      <c r="Z324" s="28"/>
    </row>
    <row r="325" spans="1:26" s="10" customFormat="1" x14ac:dyDescent="0.25">
      <c r="A325" s="23"/>
      <c r="B325" s="16"/>
      <c r="C325" s="200"/>
      <c r="D325" s="200"/>
      <c r="E325" s="200"/>
      <c r="F325" s="23"/>
      <c r="G325" s="23"/>
      <c r="H325" s="23"/>
      <c r="I325" s="23"/>
      <c r="J325" s="23"/>
      <c r="K325" s="23"/>
      <c r="L325" s="23"/>
      <c r="M325" s="23"/>
      <c r="N325" s="23"/>
      <c r="O325" s="23"/>
      <c r="P325" s="23"/>
      <c r="Q325" s="23"/>
      <c r="R325" s="23"/>
      <c r="S325" s="23"/>
      <c r="T325" s="23"/>
      <c r="U325" s="23"/>
      <c r="V325" s="23"/>
      <c r="W325" s="23"/>
      <c r="X325" s="23"/>
      <c r="Y325" s="23"/>
      <c r="Z325" s="28"/>
    </row>
    <row r="326" spans="1:26" s="10" customFormat="1" x14ac:dyDescent="0.25">
      <c r="A326" s="23"/>
      <c r="B326" s="16"/>
      <c r="C326" s="200"/>
      <c r="D326" s="200"/>
      <c r="E326" s="200"/>
      <c r="F326" s="23"/>
      <c r="G326" s="23"/>
      <c r="H326" s="23"/>
      <c r="I326" s="23"/>
      <c r="J326" s="23"/>
      <c r="K326" s="23"/>
      <c r="L326" s="23"/>
      <c r="M326" s="23"/>
      <c r="N326" s="23"/>
      <c r="O326" s="23"/>
      <c r="P326" s="23"/>
      <c r="Q326" s="23"/>
      <c r="R326" s="23"/>
      <c r="S326" s="23"/>
      <c r="T326" s="23"/>
      <c r="U326" s="23"/>
      <c r="V326" s="23"/>
      <c r="W326" s="23"/>
      <c r="X326" s="23"/>
      <c r="Y326" s="23"/>
      <c r="Z326" s="28"/>
    </row>
    <row r="327" spans="1:26" s="10" customFormat="1" x14ac:dyDescent="0.25">
      <c r="A327" s="23"/>
      <c r="B327" s="16"/>
      <c r="C327" s="200"/>
      <c r="D327" s="200"/>
      <c r="E327" s="200"/>
      <c r="F327" s="23"/>
      <c r="G327" s="23"/>
      <c r="H327" s="23"/>
      <c r="I327" s="23"/>
      <c r="J327" s="23"/>
      <c r="K327" s="23"/>
      <c r="L327" s="23"/>
      <c r="M327" s="23"/>
      <c r="N327" s="23"/>
      <c r="O327" s="23"/>
      <c r="P327" s="23"/>
      <c r="Q327" s="23"/>
      <c r="R327" s="23"/>
      <c r="S327" s="23"/>
      <c r="T327" s="23"/>
      <c r="U327" s="23"/>
      <c r="V327" s="23"/>
      <c r="W327" s="23"/>
      <c r="X327" s="23"/>
      <c r="Y327" s="23"/>
      <c r="Z327" s="28"/>
    </row>
    <row r="328" spans="1:26" s="10" customFormat="1" x14ac:dyDescent="0.25">
      <c r="A328" s="23"/>
      <c r="B328" s="16"/>
      <c r="C328" s="200"/>
      <c r="D328" s="200"/>
      <c r="E328" s="200"/>
      <c r="F328" s="23"/>
      <c r="G328" s="23"/>
      <c r="H328" s="23"/>
      <c r="I328" s="23"/>
      <c r="J328" s="23"/>
      <c r="K328" s="23"/>
      <c r="L328" s="23"/>
      <c r="M328" s="23"/>
      <c r="N328" s="23"/>
      <c r="O328" s="23"/>
      <c r="P328" s="23"/>
      <c r="Q328" s="23"/>
      <c r="R328" s="23"/>
      <c r="S328" s="23"/>
      <c r="T328" s="23"/>
      <c r="U328" s="23"/>
      <c r="V328" s="23"/>
      <c r="W328" s="23"/>
      <c r="X328" s="23"/>
      <c r="Y328" s="23"/>
      <c r="Z328" s="28"/>
    </row>
    <row r="329" spans="1:26" s="10" customFormat="1" x14ac:dyDescent="0.25">
      <c r="A329" s="23"/>
      <c r="B329" s="16"/>
      <c r="C329" s="200"/>
      <c r="D329" s="200"/>
      <c r="E329" s="200"/>
      <c r="F329" s="23"/>
      <c r="G329" s="23"/>
      <c r="H329" s="23"/>
      <c r="I329" s="23"/>
      <c r="J329" s="23"/>
      <c r="K329" s="23"/>
      <c r="L329" s="23"/>
      <c r="M329" s="23"/>
      <c r="N329" s="23"/>
      <c r="O329" s="23"/>
      <c r="P329" s="23"/>
      <c r="Q329" s="23"/>
      <c r="R329" s="23"/>
      <c r="S329" s="23"/>
      <c r="T329" s="23"/>
      <c r="U329" s="23"/>
      <c r="V329" s="23"/>
      <c r="W329" s="23"/>
      <c r="X329" s="23"/>
      <c r="Y329" s="23"/>
      <c r="Z329" s="28"/>
    </row>
    <row r="330" spans="1:26" s="10" customFormat="1" x14ac:dyDescent="0.25">
      <c r="A330" s="23"/>
      <c r="B330" s="16"/>
      <c r="C330" s="200"/>
      <c r="D330" s="200"/>
      <c r="E330" s="200"/>
      <c r="F330" s="23"/>
      <c r="G330" s="23"/>
      <c r="H330" s="23"/>
      <c r="I330" s="23"/>
      <c r="J330" s="23"/>
      <c r="K330" s="23"/>
      <c r="L330" s="23"/>
      <c r="M330" s="23"/>
      <c r="N330" s="23"/>
      <c r="O330" s="23"/>
      <c r="P330" s="23"/>
      <c r="Q330" s="23"/>
      <c r="R330" s="23"/>
      <c r="S330" s="23"/>
      <c r="T330" s="23"/>
      <c r="U330" s="23"/>
      <c r="V330" s="23"/>
      <c r="W330" s="23"/>
      <c r="X330" s="23"/>
      <c r="Y330" s="23"/>
      <c r="Z330" s="28"/>
    </row>
    <row r="331" spans="1:26" s="10" customFormat="1" x14ac:dyDescent="0.25">
      <c r="A331" s="23"/>
      <c r="B331" s="16"/>
      <c r="C331" s="200"/>
      <c r="D331" s="200"/>
      <c r="E331" s="200"/>
      <c r="F331" s="23"/>
      <c r="G331" s="23"/>
      <c r="H331" s="23"/>
      <c r="I331" s="23"/>
      <c r="J331" s="23"/>
      <c r="K331" s="23"/>
      <c r="L331" s="23"/>
      <c r="M331" s="23"/>
      <c r="N331" s="23"/>
      <c r="O331" s="23"/>
      <c r="P331" s="23"/>
      <c r="Q331" s="23"/>
      <c r="R331" s="23"/>
      <c r="S331" s="23"/>
      <c r="T331" s="23"/>
      <c r="U331" s="23"/>
      <c r="V331" s="23"/>
      <c r="W331" s="23"/>
      <c r="X331" s="23"/>
      <c r="Y331" s="23"/>
      <c r="Z331" s="28"/>
    </row>
    <row r="332" spans="1:26" s="10" customFormat="1" x14ac:dyDescent="0.25">
      <c r="A332" s="23"/>
      <c r="B332" s="16"/>
      <c r="C332" s="200"/>
      <c r="D332" s="200"/>
      <c r="E332" s="200"/>
      <c r="F332" s="23"/>
      <c r="G332" s="23"/>
      <c r="H332" s="23"/>
      <c r="I332" s="23"/>
      <c r="J332" s="23"/>
      <c r="K332" s="23"/>
      <c r="L332" s="23"/>
      <c r="M332" s="23"/>
      <c r="N332" s="23"/>
      <c r="O332" s="23"/>
      <c r="P332" s="23"/>
      <c r="Q332" s="23"/>
      <c r="R332" s="23"/>
      <c r="S332" s="23"/>
      <c r="T332" s="23"/>
      <c r="U332" s="23"/>
      <c r="V332" s="23"/>
      <c r="W332" s="23"/>
      <c r="X332" s="23"/>
      <c r="Y332" s="23"/>
      <c r="Z332" s="28"/>
    </row>
    <row r="333" spans="1:26" s="10" customFormat="1" x14ac:dyDescent="0.25">
      <c r="A333" s="23"/>
      <c r="B333" s="16"/>
      <c r="C333" s="200"/>
      <c r="D333" s="200"/>
      <c r="E333" s="200"/>
      <c r="F333" s="23"/>
      <c r="G333" s="23"/>
      <c r="H333" s="23"/>
      <c r="I333" s="23"/>
      <c r="J333" s="23"/>
      <c r="K333" s="23"/>
      <c r="L333" s="23"/>
      <c r="M333" s="23"/>
      <c r="N333" s="23"/>
      <c r="O333" s="23"/>
      <c r="P333" s="23"/>
      <c r="Q333" s="23"/>
      <c r="R333" s="23"/>
      <c r="S333" s="23"/>
      <c r="T333" s="23"/>
      <c r="U333" s="23"/>
      <c r="V333" s="23"/>
      <c r="W333" s="23"/>
      <c r="X333" s="23"/>
      <c r="Y333" s="23"/>
      <c r="Z333" s="28"/>
    </row>
    <row r="334" spans="1:26" s="10" customFormat="1" x14ac:dyDescent="0.25">
      <c r="A334" s="23"/>
      <c r="B334" s="16"/>
      <c r="C334" s="200"/>
      <c r="D334" s="200"/>
      <c r="E334" s="200"/>
      <c r="F334" s="23"/>
      <c r="G334" s="23"/>
      <c r="H334" s="23"/>
      <c r="I334" s="23"/>
      <c r="J334" s="23"/>
      <c r="K334" s="23"/>
      <c r="L334" s="23"/>
      <c r="M334" s="23"/>
      <c r="N334" s="23"/>
      <c r="O334" s="23"/>
      <c r="P334" s="23"/>
      <c r="Q334" s="23"/>
      <c r="R334" s="23"/>
      <c r="S334" s="23"/>
      <c r="T334" s="23"/>
      <c r="U334" s="23"/>
      <c r="V334" s="23"/>
      <c r="W334" s="23"/>
      <c r="X334" s="23"/>
      <c r="Y334" s="23"/>
      <c r="Z334" s="28"/>
    </row>
    <row r="335" spans="1:26" s="10" customFormat="1" x14ac:dyDescent="0.25">
      <c r="A335" s="23"/>
      <c r="B335" s="16"/>
      <c r="C335" s="200"/>
      <c r="D335" s="200"/>
      <c r="E335" s="200"/>
      <c r="F335" s="23"/>
      <c r="G335" s="23"/>
      <c r="H335" s="23"/>
      <c r="I335" s="23"/>
      <c r="J335" s="23"/>
      <c r="K335" s="23"/>
      <c r="L335" s="23"/>
      <c r="M335" s="23"/>
      <c r="N335" s="23"/>
      <c r="O335" s="23"/>
      <c r="P335" s="23"/>
      <c r="Q335" s="23"/>
      <c r="R335" s="23"/>
      <c r="S335" s="23"/>
      <c r="T335" s="23"/>
      <c r="U335" s="23"/>
      <c r="V335" s="23"/>
      <c r="W335" s="23"/>
      <c r="X335" s="23"/>
      <c r="Y335" s="23"/>
      <c r="Z335" s="28"/>
    </row>
    <row r="336" spans="1:26" s="10" customFormat="1" x14ac:dyDescent="0.25">
      <c r="A336" s="23"/>
      <c r="B336" s="16"/>
      <c r="C336" s="200"/>
      <c r="D336" s="200"/>
      <c r="E336" s="200"/>
      <c r="F336" s="23"/>
      <c r="G336" s="23"/>
      <c r="H336" s="23"/>
      <c r="I336" s="23"/>
      <c r="J336" s="23"/>
      <c r="K336" s="23"/>
      <c r="L336" s="23"/>
      <c r="M336" s="23"/>
      <c r="N336" s="23"/>
      <c r="O336" s="23"/>
      <c r="P336" s="23"/>
      <c r="Q336" s="23"/>
      <c r="R336" s="23"/>
      <c r="S336" s="23"/>
      <c r="T336" s="23"/>
      <c r="U336" s="23"/>
      <c r="V336" s="23"/>
      <c r="W336" s="23"/>
      <c r="X336" s="23"/>
      <c r="Y336" s="23"/>
      <c r="Z336" s="28"/>
    </row>
    <row r="337" spans="1:26" s="10" customFormat="1" x14ac:dyDescent="0.25">
      <c r="A337" s="23"/>
      <c r="B337" s="16"/>
      <c r="C337" s="200"/>
      <c r="D337" s="200"/>
      <c r="E337" s="200"/>
      <c r="F337" s="23"/>
      <c r="G337" s="23"/>
      <c r="H337" s="23"/>
      <c r="I337" s="23"/>
      <c r="J337" s="23"/>
      <c r="K337" s="23"/>
      <c r="L337" s="23"/>
      <c r="M337" s="23"/>
      <c r="N337" s="23"/>
      <c r="O337" s="23"/>
      <c r="P337" s="23"/>
      <c r="Q337" s="23"/>
      <c r="R337" s="23"/>
      <c r="S337" s="23"/>
      <c r="T337" s="23"/>
      <c r="U337" s="23"/>
      <c r="V337" s="23"/>
      <c r="W337" s="23"/>
      <c r="X337" s="23"/>
      <c r="Y337" s="23"/>
      <c r="Z337" s="28"/>
    </row>
    <row r="338" spans="1:26" s="10" customFormat="1" x14ac:dyDescent="0.25">
      <c r="A338" s="23"/>
      <c r="B338" s="16"/>
      <c r="C338" s="200"/>
      <c r="D338" s="200"/>
      <c r="E338" s="200"/>
      <c r="F338" s="23"/>
      <c r="G338" s="23"/>
      <c r="H338" s="23"/>
      <c r="I338" s="23"/>
      <c r="J338" s="23"/>
      <c r="K338" s="23"/>
      <c r="L338" s="23"/>
      <c r="M338" s="23"/>
      <c r="N338" s="23"/>
      <c r="O338" s="23"/>
      <c r="P338" s="23"/>
      <c r="Q338" s="23"/>
      <c r="R338" s="23"/>
      <c r="S338" s="23"/>
      <c r="T338" s="23"/>
      <c r="U338" s="23"/>
      <c r="V338" s="23"/>
      <c r="W338" s="23"/>
      <c r="X338" s="23"/>
      <c r="Y338" s="23"/>
      <c r="Z338" s="28"/>
    </row>
    <row r="339" spans="1:26" s="10" customFormat="1" x14ac:dyDescent="0.25">
      <c r="A339" s="23"/>
      <c r="B339" s="16"/>
      <c r="C339" s="200"/>
      <c r="D339" s="200"/>
      <c r="E339" s="200"/>
      <c r="F339" s="23"/>
      <c r="G339" s="23"/>
      <c r="H339" s="23"/>
      <c r="I339" s="23"/>
      <c r="J339" s="23"/>
      <c r="K339" s="23"/>
      <c r="L339" s="23"/>
      <c r="M339" s="23"/>
      <c r="N339" s="23"/>
      <c r="O339" s="23"/>
      <c r="P339" s="23"/>
      <c r="Q339" s="23"/>
      <c r="R339" s="23"/>
      <c r="S339" s="23"/>
      <c r="T339" s="23"/>
      <c r="U339" s="23"/>
      <c r="V339" s="23"/>
      <c r="W339" s="23"/>
      <c r="X339" s="23"/>
      <c r="Y339" s="23"/>
      <c r="Z339" s="28"/>
    </row>
    <row r="340" spans="1:26" s="10" customFormat="1" x14ac:dyDescent="0.25">
      <c r="A340" s="23"/>
      <c r="B340" s="16"/>
      <c r="C340" s="200"/>
      <c r="D340" s="200"/>
      <c r="E340" s="200"/>
      <c r="F340" s="23"/>
      <c r="G340" s="23"/>
      <c r="H340" s="23"/>
      <c r="I340" s="23"/>
      <c r="J340" s="23"/>
      <c r="K340" s="23"/>
      <c r="L340" s="23"/>
      <c r="M340" s="23"/>
      <c r="N340" s="23"/>
      <c r="O340" s="23"/>
      <c r="P340" s="23"/>
      <c r="Q340" s="23"/>
      <c r="R340" s="23"/>
      <c r="S340" s="23"/>
      <c r="T340" s="23"/>
      <c r="U340" s="23"/>
      <c r="V340" s="23"/>
      <c r="W340" s="23"/>
      <c r="X340" s="23"/>
      <c r="Y340" s="23"/>
      <c r="Z340" s="28"/>
    </row>
    <row r="341" spans="1:26" s="10" customFormat="1" x14ac:dyDescent="0.25">
      <c r="A341" s="23"/>
      <c r="B341" s="16"/>
      <c r="C341" s="200"/>
      <c r="D341" s="200"/>
      <c r="E341" s="200"/>
      <c r="F341" s="23"/>
      <c r="G341" s="23"/>
      <c r="H341" s="23"/>
      <c r="I341" s="23"/>
      <c r="J341" s="23"/>
      <c r="K341" s="23"/>
      <c r="L341" s="23"/>
      <c r="M341" s="23"/>
      <c r="N341" s="23"/>
      <c r="O341" s="23"/>
      <c r="P341" s="23"/>
      <c r="Q341" s="23"/>
      <c r="R341" s="23"/>
      <c r="S341" s="23"/>
      <c r="T341" s="23"/>
      <c r="U341" s="23"/>
      <c r="V341" s="23"/>
      <c r="W341" s="23"/>
      <c r="X341" s="23"/>
      <c r="Y341" s="23"/>
      <c r="Z341" s="28"/>
    </row>
    <row r="342" spans="1:26" s="10" customFormat="1" x14ac:dyDescent="0.25">
      <c r="A342" s="23"/>
      <c r="B342" s="16"/>
      <c r="C342" s="200"/>
      <c r="D342" s="200"/>
      <c r="E342" s="200"/>
      <c r="F342" s="23"/>
      <c r="G342" s="23"/>
      <c r="H342" s="23"/>
      <c r="I342" s="23"/>
      <c r="J342" s="23"/>
      <c r="K342" s="23"/>
      <c r="L342" s="23"/>
      <c r="M342" s="23"/>
      <c r="N342" s="23"/>
      <c r="O342" s="23"/>
      <c r="P342" s="23"/>
      <c r="Q342" s="23"/>
      <c r="R342" s="23"/>
      <c r="S342" s="23"/>
      <c r="T342" s="23"/>
      <c r="U342" s="23"/>
      <c r="V342" s="23"/>
      <c r="W342" s="23"/>
      <c r="X342" s="23"/>
      <c r="Y342" s="23"/>
      <c r="Z342" s="28"/>
    </row>
    <row r="343" spans="1:26" s="10" customFormat="1" x14ac:dyDescent="0.25">
      <c r="A343" s="23"/>
      <c r="B343" s="16"/>
      <c r="C343" s="200"/>
      <c r="D343" s="200"/>
      <c r="E343" s="200"/>
      <c r="F343" s="23"/>
      <c r="G343" s="23"/>
      <c r="H343" s="23"/>
      <c r="I343" s="23"/>
      <c r="J343" s="23"/>
      <c r="K343" s="23"/>
      <c r="L343" s="23"/>
      <c r="M343" s="23"/>
      <c r="N343" s="23"/>
      <c r="O343" s="23"/>
      <c r="P343" s="23"/>
      <c r="Q343" s="23"/>
      <c r="R343" s="23"/>
      <c r="S343" s="23"/>
      <c r="T343" s="23"/>
      <c r="U343" s="23"/>
      <c r="V343" s="23"/>
      <c r="W343" s="23"/>
      <c r="X343" s="23"/>
      <c r="Y343" s="23"/>
      <c r="Z343" s="28"/>
    </row>
    <row r="344" spans="1:26" s="10" customFormat="1" x14ac:dyDescent="0.25">
      <c r="A344" s="23"/>
      <c r="B344" s="16"/>
      <c r="C344" s="200"/>
      <c r="D344" s="200"/>
      <c r="E344" s="200"/>
      <c r="F344" s="23"/>
      <c r="G344" s="23"/>
      <c r="H344" s="23"/>
      <c r="I344" s="23"/>
      <c r="J344" s="23"/>
      <c r="K344" s="23"/>
      <c r="L344" s="23"/>
      <c r="M344" s="23"/>
      <c r="N344" s="23"/>
      <c r="O344" s="23"/>
      <c r="P344" s="23"/>
      <c r="Q344" s="23"/>
      <c r="R344" s="23"/>
      <c r="S344" s="23"/>
      <c r="T344" s="23"/>
      <c r="U344" s="23"/>
      <c r="V344" s="23"/>
      <c r="W344" s="23"/>
      <c r="X344" s="23"/>
      <c r="Y344" s="23"/>
      <c r="Z344" s="28"/>
    </row>
    <row r="345" spans="1:26" s="10" customFormat="1" x14ac:dyDescent="0.25">
      <c r="A345" s="23"/>
      <c r="B345" s="16"/>
      <c r="C345" s="200"/>
      <c r="D345" s="200"/>
      <c r="E345" s="200"/>
      <c r="F345" s="23"/>
      <c r="G345" s="23"/>
      <c r="H345" s="23"/>
      <c r="I345" s="23"/>
      <c r="J345" s="23"/>
      <c r="K345" s="23"/>
      <c r="L345" s="23"/>
      <c r="M345" s="23"/>
      <c r="N345" s="23"/>
      <c r="O345" s="23"/>
      <c r="P345" s="23"/>
      <c r="Q345" s="23"/>
      <c r="R345" s="23"/>
      <c r="S345" s="23"/>
      <c r="T345" s="23"/>
      <c r="U345" s="23"/>
      <c r="V345" s="23"/>
      <c r="W345" s="23"/>
      <c r="X345" s="23"/>
      <c r="Y345" s="23"/>
      <c r="Z345" s="28"/>
    </row>
    <row r="346" spans="1:26" s="10" customFormat="1" x14ac:dyDescent="0.25">
      <c r="A346" s="23"/>
      <c r="B346" s="16"/>
      <c r="C346" s="200"/>
      <c r="D346" s="200"/>
      <c r="E346" s="200"/>
      <c r="F346" s="23"/>
      <c r="G346" s="23"/>
      <c r="H346" s="23"/>
      <c r="I346" s="23"/>
      <c r="J346" s="23"/>
      <c r="K346" s="23"/>
      <c r="L346" s="23"/>
      <c r="M346" s="23"/>
      <c r="N346" s="23"/>
      <c r="O346" s="23"/>
      <c r="P346" s="23"/>
      <c r="Q346" s="23"/>
      <c r="R346" s="23"/>
      <c r="S346" s="23"/>
      <c r="T346" s="23"/>
      <c r="U346" s="23"/>
      <c r="V346" s="23"/>
      <c r="W346" s="23"/>
      <c r="X346" s="23"/>
      <c r="Y346" s="23"/>
      <c r="Z346" s="28"/>
    </row>
    <row r="347" spans="1:26" s="10" customFormat="1" x14ac:dyDescent="0.25">
      <c r="A347" s="23"/>
      <c r="B347" s="16"/>
      <c r="C347" s="200"/>
      <c r="D347" s="200"/>
      <c r="E347" s="200"/>
      <c r="F347" s="23"/>
      <c r="G347" s="23"/>
      <c r="H347" s="23"/>
      <c r="I347" s="23"/>
      <c r="J347" s="23"/>
      <c r="K347" s="23"/>
      <c r="L347" s="23"/>
      <c r="M347" s="23"/>
      <c r="N347" s="23"/>
      <c r="O347" s="23"/>
      <c r="P347" s="23"/>
      <c r="Q347" s="23"/>
      <c r="R347" s="23"/>
      <c r="S347" s="23"/>
      <c r="T347" s="23"/>
      <c r="U347" s="23"/>
      <c r="V347" s="23"/>
      <c r="W347" s="23"/>
      <c r="X347" s="23"/>
      <c r="Y347" s="23"/>
      <c r="Z347" s="28"/>
    </row>
    <row r="348" spans="1:26" s="10" customFormat="1" x14ac:dyDescent="0.25">
      <c r="A348" s="23"/>
      <c r="B348" s="16"/>
      <c r="C348" s="200"/>
      <c r="D348" s="200"/>
      <c r="E348" s="200"/>
      <c r="F348" s="23"/>
      <c r="G348" s="23"/>
      <c r="H348" s="23"/>
      <c r="I348" s="23"/>
      <c r="J348" s="23"/>
      <c r="K348" s="23"/>
      <c r="L348" s="23"/>
      <c r="M348" s="23"/>
      <c r="N348" s="23"/>
      <c r="O348" s="23"/>
      <c r="P348" s="23"/>
      <c r="Q348" s="23"/>
      <c r="R348" s="23"/>
      <c r="S348" s="23"/>
      <c r="T348" s="23"/>
      <c r="U348" s="23"/>
      <c r="V348" s="23"/>
      <c r="W348" s="23"/>
      <c r="X348" s="23"/>
      <c r="Y348" s="23"/>
      <c r="Z348" s="28"/>
    </row>
    <row r="349" spans="1:26" s="10" customFormat="1" x14ac:dyDescent="0.25">
      <c r="A349" s="23"/>
      <c r="B349" s="16"/>
      <c r="C349" s="200"/>
      <c r="D349" s="200"/>
      <c r="E349" s="200"/>
      <c r="F349" s="23"/>
      <c r="G349" s="23"/>
      <c r="H349" s="23"/>
      <c r="I349" s="23"/>
      <c r="J349" s="23"/>
      <c r="K349" s="23"/>
      <c r="L349" s="23"/>
      <c r="M349" s="23"/>
      <c r="N349" s="23"/>
      <c r="O349" s="23"/>
      <c r="P349" s="23"/>
      <c r="Q349" s="23"/>
      <c r="R349" s="23"/>
      <c r="S349" s="23"/>
      <c r="T349" s="23"/>
      <c r="U349" s="23"/>
      <c r="V349" s="23"/>
      <c r="W349" s="23"/>
      <c r="X349" s="23"/>
      <c r="Y349" s="23"/>
      <c r="Z349" s="28"/>
    </row>
    <row r="350" spans="1:26" s="10" customFormat="1" x14ac:dyDescent="0.25">
      <c r="A350" s="23"/>
      <c r="B350" s="16"/>
      <c r="C350" s="200"/>
      <c r="D350" s="200"/>
      <c r="E350" s="200"/>
      <c r="F350" s="23"/>
      <c r="G350" s="23"/>
      <c r="H350" s="23"/>
      <c r="I350" s="23"/>
      <c r="J350" s="23"/>
      <c r="K350" s="23"/>
      <c r="L350" s="23"/>
      <c r="M350" s="23"/>
      <c r="N350" s="23"/>
      <c r="O350" s="23"/>
      <c r="P350" s="23"/>
      <c r="Q350" s="23"/>
      <c r="R350" s="23"/>
      <c r="S350" s="23"/>
      <c r="T350" s="23"/>
      <c r="U350" s="23"/>
      <c r="V350" s="23"/>
      <c r="W350" s="23"/>
      <c r="X350" s="23"/>
      <c r="Y350" s="23"/>
      <c r="Z350" s="28"/>
    </row>
    <row r="351" spans="1:26" s="10" customFormat="1" x14ac:dyDescent="0.25">
      <c r="A351" s="23"/>
      <c r="B351" s="16"/>
      <c r="C351" s="200"/>
      <c r="D351" s="200"/>
      <c r="E351" s="200"/>
      <c r="F351" s="23"/>
      <c r="G351" s="23"/>
      <c r="H351" s="23"/>
      <c r="I351" s="23"/>
      <c r="J351" s="23"/>
      <c r="K351" s="23"/>
      <c r="L351" s="23"/>
      <c r="M351" s="23"/>
      <c r="N351" s="23"/>
      <c r="O351" s="23"/>
      <c r="P351" s="23"/>
      <c r="Q351" s="23"/>
      <c r="R351" s="23"/>
      <c r="S351" s="23"/>
      <c r="T351" s="23"/>
      <c r="U351" s="23"/>
      <c r="V351" s="23"/>
      <c r="W351" s="23"/>
      <c r="X351" s="23"/>
      <c r="Y351" s="23"/>
      <c r="Z351" s="28"/>
    </row>
    <row r="352" spans="1:26" s="10" customFormat="1" x14ac:dyDescent="0.25">
      <c r="A352" s="23"/>
      <c r="B352" s="16"/>
      <c r="C352" s="200"/>
      <c r="D352" s="200"/>
      <c r="E352" s="200"/>
      <c r="F352" s="23"/>
      <c r="G352" s="23"/>
      <c r="H352" s="23"/>
      <c r="I352" s="23"/>
      <c r="J352" s="23"/>
      <c r="K352" s="23"/>
      <c r="L352" s="23"/>
      <c r="M352" s="23"/>
      <c r="N352" s="23"/>
      <c r="O352" s="23"/>
      <c r="P352" s="23"/>
      <c r="Q352" s="23"/>
      <c r="R352" s="23"/>
      <c r="S352" s="23"/>
      <c r="T352" s="23"/>
      <c r="U352" s="23"/>
      <c r="V352" s="23"/>
      <c r="W352" s="23"/>
      <c r="X352" s="23"/>
      <c r="Y352" s="23"/>
      <c r="Z352" s="28"/>
    </row>
    <row r="353" spans="1:26" s="10" customFormat="1" x14ac:dyDescent="0.25">
      <c r="A353" s="23"/>
      <c r="B353" s="16"/>
      <c r="C353" s="200"/>
      <c r="D353" s="200"/>
      <c r="E353" s="200"/>
      <c r="F353" s="23"/>
      <c r="G353" s="23"/>
      <c r="H353" s="23"/>
      <c r="I353" s="23"/>
      <c r="J353" s="23"/>
      <c r="K353" s="23"/>
      <c r="L353" s="23"/>
      <c r="M353" s="23"/>
      <c r="N353" s="23"/>
      <c r="O353" s="23"/>
      <c r="P353" s="23"/>
      <c r="Q353" s="23"/>
      <c r="R353" s="23"/>
      <c r="S353" s="23"/>
      <c r="T353" s="23"/>
      <c r="U353" s="23"/>
      <c r="V353" s="23"/>
      <c r="W353" s="23"/>
      <c r="X353" s="23"/>
      <c r="Y353" s="23"/>
      <c r="Z353" s="28"/>
    </row>
    <row r="354" spans="1:26" s="10" customFormat="1" x14ac:dyDescent="0.25">
      <c r="A354" s="23"/>
      <c r="B354" s="16"/>
      <c r="C354" s="200"/>
      <c r="D354" s="200"/>
      <c r="E354" s="200"/>
      <c r="F354" s="23"/>
      <c r="G354" s="23"/>
      <c r="H354" s="23"/>
      <c r="I354" s="23"/>
      <c r="J354" s="23"/>
      <c r="K354" s="23"/>
      <c r="L354" s="23"/>
      <c r="M354" s="23"/>
      <c r="N354" s="23"/>
      <c r="O354" s="23"/>
      <c r="P354" s="23"/>
      <c r="Q354" s="23"/>
      <c r="R354" s="23"/>
      <c r="S354" s="23"/>
      <c r="T354" s="23"/>
      <c r="U354" s="23"/>
      <c r="V354" s="23"/>
      <c r="W354" s="23"/>
      <c r="X354" s="23"/>
      <c r="Y354" s="23"/>
      <c r="Z354" s="28"/>
    </row>
    <row r="355" spans="1:26" s="10" customFormat="1" x14ac:dyDescent="0.25">
      <c r="A355" s="23"/>
      <c r="B355" s="16"/>
      <c r="C355" s="200"/>
      <c r="D355" s="200"/>
      <c r="E355" s="200"/>
      <c r="F355" s="23"/>
      <c r="G355" s="23"/>
      <c r="H355" s="23"/>
      <c r="I355" s="23"/>
      <c r="J355" s="23"/>
      <c r="K355" s="23"/>
      <c r="L355" s="23"/>
      <c r="M355" s="23"/>
      <c r="N355" s="23"/>
      <c r="O355" s="23"/>
      <c r="P355" s="23"/>
      <c r="Q355" s="23"/>
      <c r="R355" s="23"/>
      <c r="S355" s="23"/>
      <c r="T355" s="23"/>
      <c r="U355" s="23"/>
      <c r="V355" s="23"/>
      <c r="W355" s="23"/>
      <c r="X355" s="23"/>
      <c r="Y355" s="23"/>
      <c r="Z355" s="28"/>
    </row>
    <row r="356" spans="1:26" s="10" customFormat="1" x14ac:dyDescent="0.25">
      <c r="A356" s="23"/>
      <c r="B356" s="16"/>
      <c r="C356" s="200"/>
      <c r="D356" s="200"/>
      <c r="E356" s="200"/>
      <c r="F356" s="23"/>
      <c r="G356" s="23"/>
      <c r="H356" s="23"/>
      <c r="I356" s="23"/>
      <c r="J356" s="23"/>
      <c r="K356" s="23"/>
      <c r="L356" s="23"/>
      <c r="M356" s="23"/>
      <c r="N356" s="23"/>
      <c r="O356" s="23"/>
      <c r="P356" s="23"/>
      <c r="Q356" s="23"/>
      <c r="R356" s="23"/>
      <c r="S356" s="23"/>
      <c r="T356" s="23"/>
      <c r="U356" s="23"/>
      <c r="V356" s="23"/>
      <c r="W356" s="23"/>
      <c r="X356" s="23"/>
      <c r="Y356" s="23"/>
      <c r="Z356" s="28"/>
    </row>
    <row r="357" spans="1:26" s="10" customFormat="1" x14ac:dyDescent="0.25">
      <c r="A357" s="23"/>
      <c r="B357" s="16"/>
      <c r="C357" s="200"/>
      <c r="D357" s="200"/>
      <c r="E357" s="200"/>
      <c r="F357" s="23"/>
      <c r="G357" s="23"/>
      <c r="H357" s="23"/>
      <c r="I357" s="23"/>
      <c r="J357" s="23"/>
      <c r="K357" s="23"/>
      <c r="L357" s="23"/>
      <c r="M357" s="23"/>
      <c r="N357" s="23"/>
      <c r="O357" s="23"/>
      <c r="P357" s="23"/>
      <c r="Q357" s="23"/>
      <c r="R357" s="23"/>
      <c r="S357" s="23"/>
      <c r="T357" s="23"/>
      <c r="U357" s="23"/>
      <c r="V357" s="23"/>
      <c r="W357" s="23"/>
      <c r="X357" s="23"/>
      <c r="Y357" s="23"/>
      <c r="Z357" s="28"/>
    </row>
    <row r="358" spans="1:26" s="10" customFormat="1" x14ac:dyDescent="0.25">
      <c r="A358" s="23"/>
      <c r="B358" s="16"/>
      <c r="C358" s="200"/>
      <c r="D358" s="200"/>
      <c r="E358" s="200"/>
      <c r="F358" s="23"/>
      <c r="G358" s="23"/>
      <c r="H358" s="23"/>
      <c r="I358" s="23"/>
      <c r="J358" s="23"/>
      <c r="K358" s="23"/>
      <c r="L358" s="23"/>
      <c r="M358" s="23"/>
      <c r="N358" s="23"/>
      <c r="O358" s="23"/>
      <c r="P358" s="23"/>
      <c r="Q358" s="23"/>
      <c r="R358" s="23"/>
      <c r="S358" s="23"/>
      <c r="T358" s="23"/>
      <c r="U358" s="23"/>
      <c r="V358" s="23"/>
      <c r="W358" s="23"/>
      <c r="X358" s="23"/>
      <c r="Y358" s="23"/>
      <c r="Z358" s="28"/>
    </row>
    <row r="359" spans="1:26" s="10" customFormat="1" x14ac:dyDescent="0.25">
      <c r="A359" s="23"/>
      <c r="B359" s="16"/>
      <c r="C359" s="200"/>
      <c r="D359" s="200"/>
      <c r="E359" s="200"/>
      <c r="F359" s="23"/>
      <c r="G359" s="23"/>
      <c r="H359" s="23"/>
      <c r="I359" s="23"/>
      <c r="J359" s="23"/>
      <c r="K359" s="23"/>
      <c r="L359" s="23"/>
      <c r="M359" s="23"/>
      <c r="N359" s="23"/>
      <c r="O359" s="23"/>
      <c r="P359" s="23"/>
      <c r="Q359" s="23"/>
      <c r="R359" s="23"/>
      <c r="S359" s="23"/>
      <c r="T359" s="23"/>
      <c r="U359" s="23"/>
      <c r="V359" s="23"/>
      <c r="W359" s="23"/>
      <c r="X359" s="23"/>
      <c r="Y359" s="23"/>
      <c r="Z359" s="28"/>
    </row>
    <row r="360" spans="1:26" s="10" customFormat="1" x14ac:dyDescent="0.25">
      <c r="A360" s="23"/>
      <c r="B360" s="16"/>
      <c r="C360" s="200"/>
      <c r="D360" s="200"/>
      <c r="E360" s="200"/>
      <c r="F360" s="23"/>
      <c r="G360" s="23"/>
      <c r="H360" s="23"/>
      <c r="I360" s="23"/>
      <c r="J360" s="23"/>
      <c r="K360" s="23"/>
      <c r="L360" s="23"/>
      <c r="M360" s="23"/>
      <c r="N360" s="23"/>
      <c r="O360" s="23"/>
      <c r="P360" s="23"/>
      <c r="Q360" s="23"/>
      <c r="R360" s="23"/>
      <c r="S360" s="23"/>
      <c r="T360" s="23"/>
      <c r="U360" s="23"/>
      <c r="V360" s="23"/>
      <c r="W360" s="23"/>
      <c r="X360" s="23"/>
      <c r="Y360" s="23"/>
      <c r="Z360" s="28"/>
    </row>
    <row r="361" spans="1:26" s="10" customFormat="1" x14ac:dyDescent="0.25">
      <c r="A361" s="23"/>
      <c r="B361" s="16"/>
      <c r="C361" s="200"/>
      <c r="D361" s="200"/>
      <c r="E361" s="200"/>
      <c r="F361" s="23"/>
      <c r="G361" s="23"/>
      <c r="H361" s="23"/>
      <c r="I361" s="23"/>
      <c r="J361" s="23"/>
      <c r="K361" s="23"/>
      <c r="L361" s="23"/>
      <c r="M361" s="23"/>
      <c r="N361" s="23"/>
      <c r="O361" s="23"/>
      <c r="P361" s="23"/>
      <c r="Q361" s="23"/>
      <c r="R361" s="23"/>
      <c r="S361" s="23"/>
      <c r="T361" s="23"/>
      <c r="U361" s="23"/>
      <c r="V361" s="23"/>
      <c r="W361" s="23"/>
      <c r="X361" s="23"/>
      <c r="Y361" s="23"/>
      <c r="Z361" s="28"/>
    </row>
    <row r="362" spans="1:26" s="10" customFormat="1" x14ac:dyDescent="0.25">
      <c r="A362" s="23"/>
      <c r="B362" s="16"/>
      <c r="C362" s="200"/>
      <c r="D362" s="200"/>
      <c r="E362" s="200"/>
      <c r="F362" s="23"/>
      <c r="G362" s="23"/>
      <c r="H362" s="23"/>
      <c r="I362" s="23"/>
      <c r="J362" s="23"/>
      <c r="K362" s="23"/>
      <c r="L362" s="23"/>
      <c r="M362" s="23"/>
      <c r="N362" s="23"/>
      <c r="O362" s="23"/>
      <c r="P362" s="23"/>
      <c r="Q362" s="23"/>
      <c r="R362" s="23"/>
      <c r="S362" s="23"/>
      <c r="T362" s="23"/>
      <c r="U362" s="23"/>
      <c r="V362" s="23"/>
      <c r="W362" s="23"/>
      <c r="X362" s="23"/>
      <c r="Y362" s="23"/>
      <c r="Z362" s="28"/>
    </row>
    <row r="363" spans="1:26" s="10" customFormat="1" x14ac:dyDescent="0.25">
      <c r="A363" s="23"/>
      <c r="B363" s="16"/>
      <c r="C363" s="200"/>
      <c r="D363" s="200"/>
      <c r="E363" s="200"/>
      <c r="F363" s="23"/>
      <c r="G363" s="23"/>
      <c r="H363" s="23"/>
      <c r="I363" s="23"/>
      <c r="J363" s="23"/>
      <c r="K363" s="23"/>
      <c r="L363" s="23"/>
      <c r="M363" s="23"/>
      <c r="N363" s="23"/>
      <c r="O363" s="23"/>
      <c r="P363" s="23"/>
      <c r="Q363" s="23"/>
      <c r="R363" s="23"/>
      <c r="S363" s="23"/>
      <c r="T363" s="23"/>
      <c r="U363" s="23"/>
      <c r="V363" s="23"/>
      <c r="W363" s="23"/>
      <c r="X363" s="23"/>
      <c r="Y363" s="23"/>
      <c r="Z363" s="28"/>
    </row>
    <row r="364" spans="1:26" s="10" customFormat="1" x14ac:dyDescent="0.25">
      <c r="A364" s="23"/>
      <c r="B364" s="16"/>
      <c r="C364" s="200"/>
      <c r="D364" s="200"/>
      <c r="E364" s="200"/>
      <c r="F364" s="23"/>
      <c r="G364" s="23"/>
      <c r="H364" s="23"/>
      <c r="I364" s="23"/>
      <c r="J364" s="23"/>
      <c r="K364" s="23"/>
      <c r="L364" s="23"/>
      <c r="M364" s="23"/>
      <c r="N364" s="23"/>
      <c r="O364" s="23"/>
      <c r="P364" s="23"/>
      <c r="Q364" s="23"/>
      <c r="R364" s="23"/>
      <c r="S364" s="23"/>
      <c r="T364" s="23"/>
      <c r="U364" s="23"/>
      <c r="V364" s="23"/>
      <c r="W364" s="23"/>
      <c r="X364" s="23"/>
      <c r="Y364" s="23"/>
      <c r="Z364" s="28"/>
    </row>
    <row r="365" spans="1:26" s="10" customFormat="1" x14ac:dyDescent="0.25">
      <c r="A365" s="23"/>
      <c r="B365" s="16"/>
      <c r="C365" s="200"/>
      <c r="D365" s="200"/>
      <c r="E365" s="200"/>
      <c r="F365" s="23"/>
      <c r="G365" s="23"/>
      <c r="H365" s="23"/>
      <c r="I365" s="23"/>
      <c r="J365" s="23"/>
      <c r="K365" s="23"/>
      <c r="L365" s="23"/>
      <c r="M365" s="23"/>
      <c r="N365" s="23"/>
      <c r="O365" s="23"/>
      <c r="P365" s="23"/>
      <c r="Q365" s="23"/>
      <c r="R365" s="23"/>
      <c r="S365" s="23"/>
      <c r="T365" s="23"/>
      <c r="U365" s="23"/>
      <c r="V365" s="23"/>
      <c r="W365" s="23"/>
      <c r="X365" s="23"/>
      <c r="Y365" s="23"/>
      <c r="Z365" s="28"/>
    </row>
    <row r="366" spans="1:26" s="10" customFormat="1" x14ac:dyDescent="0.25">
      <c r="A366" s="23"/>
      <c r="B366" s="16"/>
      <c r="C366" s="200"/>
      <c r="D366" s="200"/>
      <c r="E366" s="200"/>
      <c r="F366" s="23"/>
      <c r="G366" s="23"/>
      <c r="H366" s="23"/>
      <c r="I366" s="23"/>
      <c r="J366" s="23"/>
      <c r="K366" s="23"/>
      <c r="L366" s="23"/>
      <c r="M366" s="23"/>
      <c r="N366" s="23"/>
      <c r="O366" s="23"/>
      <c r="P366" s="23"/>
      <c r="Q366" s="23"/>
      <c r="R366" s="23"/>
      <c r="S366" s="23"/>
      <c r="T366" s="23"/>
      <c r="U366" s="23"/>
      <c r="V366" s="23"/>
      <c r="W366" s="23"/>
      <c r="X366" s="23"/>
      <c r="Y366" s="23"/>
      <c r="Z366" s="28"/>
    </row>
    <row r="367" spans="1:26" s="10" customFormat="1" x14ac:dyDescent="0.25">
      <c r="A367" s="23"/>
      <c r="B367" s="16"/>
      <c r="C367" s="200"/>
      <c r="D367" s="200"/>
      <c r="E367" s="200"/>
      <c r="F367" s="23"/>
      <c r="G367" s="23"/>
      <c r="H367" s="23"/>
      <c r="I367" s="23"/>
      <c r="J367" s="23"/>
      <c r="K367" s="23"/>
      <c r="L367" s="23"/>
      <c r="M367" s="23"/>
      <c r="N367" s="23"/>
      <c r="O367" s="23"/>
      <c r="P367" s="23"/>
      <c r="Q367" s="23"/>
      <c r="R367" s="23"/>
      <c r="S367" s="23"/>
      <c r="T367" s="23"/>
      <c r="U367" s="23"/>
      <c r="V367" s="23"/>
      <c r="W367" s="23"/>
      <c r="X367" s="23"/>
      <c r="Y367" s="23"/>
      <c r="Z367" s="28"/>
    </row>
    <row r="368" spans="1:26" s="10" customFormat="1" x14ac:dyDescent="0.25">
      <c r="A368" s="23"/>
      <c r="B368" s="16"/>
      <c r="C368" s="200"/>
      <c r="D368" s="200"/>
      <c r="E368" s="200"/>
      <c r="F368" s="23"/>
      <c r="G368" s="23"/>
      <c r="H368" s="23"/>
      <c r="I368" s="23"/>
      <c r="J368" s="23"/>
      <c r="K368" s="23"/>
      <c r="L368" s="23"/>
      <c r="M368" s="23"/>
      <c r="N368" s="23"/>
      <c r="O368" s="23"/>
      <c r="P368" s="23"/>
      <c r="Q368" s="23"/>
      <c r="R368" s="23"/>
      <c r="S368" s="23"/>
      <c r="T368" s="23"/>
      <c r="U368" s="23"/>
      <c r="V368" s="23"/>
      <c r="W368" s="23"/>
      <c r="X368" s="23"/>
      <c r="Y368" s="23"/>
      <c r="Z368" s="28"/>
    </row>
    <row r="369" spans="1:26" s="10" customFormat="1" x14ac:dyDescent="0.25">
      <c r="A369" s="23"/>
      <c r="B369" s="16"/>
      <c r="C369" s="200"/>
      <c r="D369" s="200"/>
      <c r="E369" s="200"/>
      <c r="F369" s="23"/>
      <c r="G369" s="23"/>
      <c r="H369" s="23"/>
      <c r="I369" s="23"/>
      <c r="J369" s="23"/>
      <c r="K369" s="23"/>
      <c r="L369" s="23"/>
      <c r="M369" s="23"/>
      <c r="N369" s="23"/>
      <c r="O369" s="23"/>
      <c r="P369" s="23"/>
      <c r="Q369" s="23"/>
      <c r="R369" s="23"/>
      <c r="S369" s="23"/>
      <c r="T369" s="23"/>
      <c r="U369" s="23"/>
      <c r="V369" s="23"/>
      <c r="W369" s="23"/>
      <c r="X369" s="23"/>
      <c r="Y369" s="23"/>
      <c r="Z369" s="28"/>
    </row>
    <row r="370" spans="1:26" s="10" customFormat="1" x14ac:dyDescent="0.25">
      <c r="A370" s="23"/>
      <c r="B370" s="16"/>
      <c r="C370" s="200"/>
      <c r="D370" s="200"/>
      <c r="E370" s="200"/>
      <c r="F370" s="23"/>
      <c r="G370" s="23"/>
      <c r="H370" s="23"/>
      <c r="I370" s="23"/>
      <c r="J370" s="23"/>
      <c r="K370" s="23"/>
      <c r="L370" s="23"/>
      <c r="M370" s="23"/>
      <c r="N370" s="23"/>
      <c r="O370" s="23"/>
      <c r="P370" s="23"/>
      <c r="Q370" s="23"/>
      <c r="R370" s="23"/>
      <c r="S370" s="23"/>
      <c r="T370" s="23"/>
      <c r="U370" s="23"/>
      <c r="V370" s="23"/>
      <c r="W370" s="23"/>
      <c r="X370" s="23"/>
      <c r="Y370" s="23"/>
      <c r="Z370" s="28"/>
    </row>
    <row r="371" spans="1:26" s="10" customFormat="1" x14ac:dyDescent="0.25">
      <c r="A371" s="23"/>
      <c r="B371" s="16"/>
      <c r="C371" s="200"/>
      <c r="D371" s="200"/>
      <c r="E371" s="200"/>
      <c r="F371" s="23"/>
      <c r="G371" s="23"/>
      <c r="H371" s="23"/>
      <c r="I371" s="23"/>
      <c r="J371" s="23"/>
      <c r="K371" s="23"/>
      <c r="L371" s="23"/>
      <c r="M371" s="23"/>
      <c r="N371" s="23"/>
      <c r="O371" s="23"/>
      <c r="P371" s="23"/>
      <c r="Q371" s="23"/>
      <c r="R371" s="23"/>
      <c r="S371" s="23"/>
      <c r="T371" s="23"/>
      <c r="U371" s="23"/>
      <c r="V371" s="23"/>
      <c r="W371" s="23"/>
      <c r="X371" s="23"/>
      <c r="Y371" s="23"/>
      <c r="Z371" s="28"/>
    </row>
    <row r="372" spans="1:26" s="10" customFormat="1" x14ac:dyDescent="0.25">
      <c r="A372" s="23"/>
      <c r="B372" s="16"/>
      <c r="C372" s="200"/>
      <c r="D372" s="200"/>
      <c r="E372" s="200"/>
      <c r="F372" s="23"/>
      <c r="G372" s="23"/>
      <c r="H372" s="23"/>
      <c r="I372" s="23"/>
      <c r="J372" s="23"/>
      <c r="K372" s="23"/>
      <c r="L372" s="23"/>
      <c r="M372" s="23"/>
      <c r="N372" s="23"/>
      <c r="O372" s="23"/>
      <c r="P372" s="23"/>
      <c r="Q372" s="23"/>
      <c r="R372" s="23"/>
      <c r="S372" s="23"/>
      <c r="T372" s="23"/>
      <c r="U372" s="23"/>
      <c r="V372" s="23"/>
      <c r="W372" s="23"/>
      <c r="X372" s="23"/>
      <c r="Y372" s="23"/>
      <c r="Z372" s="28"/>
    </row>
    <row r="373" spans="1:26" s="10" customFormat="1" x14ac:dyDescent="0.25">
      <c r="A373" s="23"/>
      <c r="B373" s="16"/>
      <c r="C373" s="200"/>
      <c r="D373" s="200"/>
      <c r="E373" s="200"/>
      <c r="F373" s="23"/>
      <c r="G373" s="23"/>
      <c r="H373" s="23"/>
      <c r="I373" s="23"/>
      <c r="J373" s="23"/>
      <c r="K373" s="23"/>
      <c r="L373" s="23"/>
      <c r="M373" s="23"/>
      <c r="N373" s="23"/>
      <c r="O373" s="23"/>
      <c r="P373" s="23"/>
      <c r="Q373" s="23"/>
      <c r="R373" s="23"/>
      <c r="S373" s="23"/>
      <c r="T373" s="23"/>
      <c r="U373" s="23"/>
      <c r="V373" s="23"/>
      <c r="W373" s="23"/>
      <c r="X373" s="23"/>
      <c r="Y373" s="23"/>
      <c r="Z373" s="28"/>
    </row>
    <row r="374" spans="1:26" s="10" customFormat="1" x14ac:dyDescent="0.25">
      <c r="A374" s="23"/>
      <c r="B374" s="16"/>
      <c r="C374" s="200"/>
      <c r="D374" s="200"/>
      <c r="E374" s="200"/>
      <c r="F374" s="23"/>
      <c r="G374" s="23"/>
      <c r="H374" s="23"/>
      <c r="I374" s="23"/>
      <c r="J374" s="23"/>
      <c r="K374" s="23"/>
      <c r="L374" s="23"/>
      <c r="M374" s="23"/>
      <c r="N374" s="23"/>
      <c r="O374" s="23"/>
      <c r="P374" s="23"/>
      <c r="Q374" s="23"/>
      <c r="R374" s="23"/>
      <c r="S374" s="23"/>
      <c r="T374" s="23"/>
      <c r="U374" s="23"/>
      <c r="V374" s="23"/>
      <c r="W374" s="23"/>
      <c r="X374" s="23"/>
      <c r="Y374" s="23"/>
      <c r="Z374" s="28"/>
    </row>
    <row r="375" spans="1:26" s="10" customFormat="1" x14ac:dyDescent="0.25">
      <c r="A375" s="23"/>
      <c r="B375" s="16"/>
      <c r="C375" s="200"/>
      <c r="D375" s="200"/>
      <c r="E375" s="200"/>
      <c r="F375" s="23"/>
      <c r="G375" s="23"/>
      <c r="H375" s="23"/>
      <c r="I375" s="23"/>
      <c r="J375" s="23"/>
      <c r="K375" s="23"/>
      <c r="L375" s="23"/>
      <c r="M375" s="23"/>
      <c r="N375" s="23"/>
      <c r="O375" s="23"/>
      <c r="P375" s="23"/>
      <c r="Q375" s="23"/>
      <c r="R375" s="23"/>
      <c r="S375" s="23"/>
      <c r="T375" s="23"/>
      <c r="U375" s="23"/>
      <c r="V375" s="23"/>
      <c r="W375" s="23"/>
      <c r="X375" s="23"/>
      <c r="Y375" s="23"/>
      <c r="Z375" s="28"/>
    </row>
    <row r="376" spans="1:26" s="10" customFormat="1" x14ac:dyDescent="0.25">
      <c r="A376" s="23"/>
      <c r="B376" s="16"/>
      <c r="C376" s="200"/>
      <c r="D376" s="200"/>
      <c r="E376" s="200"/>
      <c r="F376" s="23"/>
      <c r="G376" s="23"/>
      <c r="H376" s="23"/>
      <c r="I376" s="23"/>
      <c r="J376" s="23"/>
      <c r="K376" s="23"/>
      <c r="L376" s="23"/>
      <c r="M376" s="23"/>
      <c r="N376" s="23"/>
      <c r="O376" s="23"/>
      <c r="P376" s="23"/>
      <c r="Q376" s="23"/>
      <c r="R376" s="23"/>
      <c r="S376" s="23"/>
      <c r="T376" s="23"/>
      <c r="U376" s="23"/>
      <c r="V376" s="23"/>
      <c r="W376" s="23"/>
      <c r="X376" s="23"/>
      <c r="Y376" s="23"/>
      <c r="Z376" s="28"/>
    </row>
    <row r="377" spans="1:26" s="10" customFormat="1" x14ac:dyDescent="0.25">
      <c r="A377" s="23"/>
      <c r="B377" s="16"/>
      <c r="C377" s="200"/>
      <c r="D377" s="200"/>
      <c r="E377" s="200"/>
      <c r="F377" s="23"/>
      <c r="G377" s="23"/>
      <c r="H377" s="23"/>
      <c r="I377" s="23"/>
      <c r="J377" s="23"/>
      <c r="K377" s="23"/>
      <c r="L377" s="23"/>
      <c r="M377" s="23"/>
      <c r="N377" s="23"/>
      <c r="O377" s="23"/>
      <c r="P377" s="23"/>
      <c r="Q377" s="23"/>
      <c r="R377" s="23"/>
      <c r="S377" s="23"/>
      <c r="T377" s="23"/>
      <c r="U377" s="23"/>
      <c r="V377" s="23"/>
      <c r="W377" s="23"/>
      <c r="X377" s="23"/>
      <c r="Y377" s="23"/>
      <c r="Z377" s="28"/>
    </row>
    <row r="378" spans="1:26" s="10" customFormat="1" x14ac:dyDescent="0.25">
      <c r="A378" s="23"/>
      <c r="B378" s="16"/>
      <c r="C378" s="200"/>
      <c r="D378" s="200"/>
      <c r="E378" s="200"/>
      <c r="F378" s="23"/>
      <c r="G378" s="23"/>
      <c r="H378" s="23"/>
      <c r="I378" s="23"/>
      <c r="J378" s="23"/>
      <c r="K378" s="23"/>
      <c r="L378" s="23"/>
      <c r="M378" s="23"/>
      <c r="N378" s="23"/>
      <c r="O378" s="23"/>
      <c r="P378" s="23"/>
      <c r="Q378" s="23"/>
      <c r="R378" s="23"/>
      <c r="S378" s="23"/>
      <c r="T378" s="23"/>
      <c r="U378" s="23"/>
      <c r="V378" s="23"/>
      <c r="W378" s="23"/>
      <c r="X378" s="23"/>
      <c r="Y378" s="23"/>
      <c r="Z378" s="28"/>
    </row>
    <row r="379" spans="1:26" s="10" customFormat="1" x14ac:dyDescent="0.25">
      <c r="A379" s="23"/>
      <c r="B379" s="16"/>
      <c r="C379" s="200"/>
      <c r="D379" s="200"/>
      <c r="E379" s="200"/>
      <c r="F379" s="23"/>
      <c r="G379" s="23"/>
      <c r="H379" s="23"/>
      <c r="I379" s="23"/>
      <c r="J379" s="23"/>
      <c r="K379" s="23"/>
      <c r="L379" s="23"/>
      <c r="M379" s="23"/>
      <c r="N379" s="23"/>
      <c r="O379" s="23"/>
      <c r="P379" s="23"/>
      <c r="Q379" s="23"/>
      <c r="R379" s="23"/>
      <c r="S379" s="23"/>
      <c r="T379" s="23"/>
      <c r="U379" s="23"/>
      <c r="V379" s="23"/>
      <c r="W379" s="23"/>
      <c r="X379" s="23"/>
      <c r="Y379" s="23"/>
      <c r="Z379" s="28"/>
    </row>
    <row r="380" spans="1:26" s="10" customFormat="1" x14ac:dyDescent="0.25">
      <c r="A380" s="23"/>
      <c r="B380" s="16"/>
      <c r="C380" s="200"/>
      <c r="D380" s="200"/>
      <c r="E380" s="200"/>
      <c r="F380" s="23"/>
      <c r="G380" s="23"/>
      <c r="H380" s="23"/>
      <c r="I380" s="23"/>
      <c r="J380" s="23"/>
      <c r="K380" s="23"/>
      <c r="L380" s="23"/>
      <c r="M380" s="23"/>
      <c r="N380" s="23"/>
      <c r="O380" s="23"/>
      <c r="P380" s="23"/>
      <c r="Q380" s="23"/>
      <c r="R380" s="23"/>
      <c r="S380" s="23"/>
      <c r="T380" s="23"/>
      <c r="U380" s="23"/>
      <c r="V380" s="23"/>
      <c r="W380" s="23"/>
      <c r="X380" s="23"/>
      <c r="Y380" s="23"/>
      <c r="Z380" s="28"/>
    </row>
    <row r="381" spans="1:26" s="10" customFormat="1" x14ac:dyDescent="0.25">
      <c r="A381" s="23"/>
      <c r="B381" s="16"/>
      <c r="C381" s="200"/>
      <c r="D381" s="200"/>
      <c r="E381" s="200"/>
      <c r="F381" s="23"/>
      <c r="G381" s="23"/>
      <c r="H381" s="23"/>
      <c r="I381" s="23"/>
      <c r="J381" s="23"/>
      <c r="K381" s="23"/>
      <c r="L381" s="23"/>
      <c r="M381" s="23"/>
      <c r="N381" s="23"/>
      <c r="O381" s="23"/>
      <c r="P381" s="23"/>
      <c r="Q381" s="23"/>
      <c r="R381" s="23"/>
      <c r="S381" s="23"/>
      <c r="T381" s="23"/>
      <c r="U381" s="23"/>
      <c r="V381" s="23"/>
      <c r="W381" s="23"/>
      <c r="X381" s="23"/>
      <c r="Y381" s="23"/>
      <c r="Z381" s="28"/>
    </row>
    <row r="382" spans="1:26" s="10" customFormat="1" x14ac:dyDescent="0.25">
      <c r="A382" s="23"/>
      <c r="B382" s="16"/>
      <c r="C382" s="200"/>
      <c r="D382" s="200"/>
      <c r="E382" s="200"/>
      <c r="F382" s="23"/>
      <c r="G382" s="23"/>
      <c r="H382" s="23"/>
      <c r="I382" s="23"/>
      <c r="J382" s="23"/>
      <c r="K382" s="23"/>
      <c r="L382" s="23"/>
      <c r="M382" s="23"/>
      <c r="N382" s="23"/>
      <c r="O382" s="23"/>
      <c r="P382" s="23"/>
      <c r="Q382" s="23"/>
      <c r="R382" s="23"/>
      <c r="S382" s="23"/>
      <c r="T382" s="23"/>
      <c r="U382" s="23"/>
      <c r="V382" s="23"/>
      <c r="W382" s="23"/>
      <c r="X382" s="23"/>
      <c r="Y382" s="23"/>
      <c r="Z382" s="28"/>
    </row>
    <row r="383" spans="1:26" s="10" customFormat="1" x14ac:dyDescent="0.25">
      <c r="A383" s="23"/>
      <c r="B383" s="16"/>
      <c r="C383" s="200"/>
      <c r="D383" s="200"/>
      <c r="E383" s="200"/>
      <c r="F383" s="23"/>
      <c r="G383" s="23"/>
      <c r="H383" s="23"/>
      <c r="I383" s="23"/>
      <c r="J383" s="23"/>
      <c r="K383" s="23"/>
      <c r="L383" s="23"/>
      <c r="M383" s="23"/>
      <c r="N383" s="23"/>
      <c r="O383" s="23"/>
      <c r="P383" s="23"/>
      <c r="Q383" s="23"/>
      <c r="R383" s="23"/>
      <c r="S383" s="23"/>
      <c r="T383" s="23"/>
      <c r="U383" s="23"/>
      <c r="V383" s="23"/>
      <c r="W383" s="23"/>
      <c r="X383" s="23"/>
      <c r="Y383" s="23"/>
      <c r="Z383" s="28"/>
    </row>
    <row r="384" spans="1:26" s="10" customFormat="1" x14ac:dyDescent="0.25">
      <c r="A384" s="23"/>
      <c r="B384" s="16"/>
      <c r="C384" s="200"/>
      <c r="D384" s="200"/>
      <c r="E384" s="200"/>
      <c r="F384" s="23"/>
      <c r="G384" s="23"/>
      <c r="H384" s="23"/>
      <c r="I384" s="23"/>
      <c r="J384" s="23"/>
      <c r="K384" s="23"/>
      <c r="L384" s="23"/>
      <c r="M384" s="23"/>
      <c r="N384" s="23"/>
      <c r="O384" s="23"/>
      <c r="P384" s="23"/>
      <c r="Q384" s="23"/>
      <c r="R384" s="23"/>
      <c r="S384" s="23"/>
      <c r="T384" s="23"/>
      <c r="U384" s="23"/>
      <c r="V384" s="23"/>
      <c r="W384" s="23"/>
      <c r="X384" s="23"/>
      <c r="Y384" s="23"/>
      <c r="Z384" s="28"/>
    </row>
    <row r="385" spans="1:26" s="10" customFormat="1" x14ac:dyDescent="0.25">
      <c r="A385" s="23"/>
      <c r="B385" s="16"/>
      <c r="C385" s="200"/>
      <c r="D385" s="200"/>
      <c r="E385" s="200"/>
      <c r="F385" s="23"/>
      <c r="G385" s="23"/>
      <c r="H385" s="23"/>
      <c r="I385" s="23"/>
      <c r="J385" s="23"/>
      <c r="K385" s="23"/>
      <c r="L385" s="23"/>
      <c r="M385" s="23"/>
      <c r="N385" s="23"/>
      <c r="O385" s="23"/>
      <c r="P385" s="23"/>
      <c r="Q385" s="23"/>
      <c r="R385" s="23"/>
      <c r="S385" s="23"/>
      <c r="T385" s="23"/>
      <c r="U385" s="23"/>
      <c r="V385" s="23"/>
      <c r="W385" s="23"/>
      <c r="X385" s="23"/>
      <c r="Y385" s="23"/>
      <c r="Z385" s="28"/>
    </row>
    <row r="386" spans="1:26" s="10" customFormat="1" x14ac:dyDescent="0.25">
      <c r="A386" s="23"/>
      <c r="B386" s="16"/>
      <c r="C386" s="200"/>
      <c r="D386" s="200"/>
      <c r="E386" s="200"/>
      <c r="F386" s="23"/>
      <c r="G386" s="23"/>
      <c r="H386" s="23"/>
      <c r="I386" s="23"/>
      <c r="J386" s="23"/>
      <c r="K386" s="23"/>
      <c r="L386" s="23"/>
      <c r="M386" s="23"/>
      <c r="N386" s="23"/>
      <c r="O386" s="23"/>
      <c r="P386" s="23"/>
      <c r="Q386" s="23"/>
      <c r="R386" s="23"/>
      <c r="S386" s="23"/>
      <c r="T386" s="23"/>
      <c r="U386" s="23"/>
      <c r="V386" s="23"/>
      <c r="W386" s="23"/>
      <c r="X386" s="23"/>
      <c r="Y386" s="23"/>
      <c r="Z386" s="28"/>
    </row>
    <row r="387" spans="1:26" s="10" customFormat="1" x14ac:dyDescent="0.25">
      <c r="A387" s="23"/>
      <c r="B387" s="16"/>
      <c r="C387" s="200"/>
      <c r="D387" s="200"/>
      <c r="E387" s="200"/>
      <c r="F387" s="23"/>
      <c r="G387" s="23"/>
      <c r="H387" s="23"/>
      <c r="I387" s="23"/>
      <c r="J387" s="23"/>
      <c r="K387" s="23"/>
      <c r="L387" s="23"/>
      <c r="M387" s="23"/>
      <c r="N387" s="23"/>
      <c r="O387" s="23"/>
      <c r="P387" s="23"/>
      <c r="Q387" s="23"/>
      <c r="R387" s="23"/>
      <c r="S387" s="23"/>
      <c r="T387" s="23"/>
      <c r="U387" s="23"/>
      <c r="V387" s="23"/>
      <c r="W387" s="23"/>
      <c r="X387" s="23"/>
      <c r="Y387" s="23"/>
      <c r="Z387" s="28"/>
    </row>
    <row r="388" spans="1:26" s="10" customFormat="1" x14ac:dyDescent="0.25">
      <c r="A388" s="23"/>
      <c r="B388" s="16"/>
      <c r="C388" s="200"/>
      <c r="D388" s="200"/>
      <c r="E388" s="200"/>
      <c r="F388" s="23"/>
      <c r="G388" s="23"/>
      <c r="H388" s="23"/>
      <c r="I388" s="23"/>
      <c r="J388" s="23"/>
      <c r="K388" s="23"/>
      <c r="L388" s="23"/>
      <c r="M388" s="23"/>
      <c r="N388" s="23"/>
      <c r="O388" s="23"/>
      <c r="P388" s="23"/>
      <c r="Q388" s="23"/>
      <c r="R388" s="23"/>
      <c r="S388" s="23"/>
      <c r="T388" s="23"/>
      <c r="U388" s="23"/>
      <c r="V388" s="23"/>
      <c r="W388" s="23"/>
      <c r="X388" s="23"/>
      <c r="Y388" s="23"/>
      <c r="Z388" s="28"/>
    </row>
    <row r="389" spans="1:26" s="10" customFormat="1" x14ac:dyDescent="0.25">
      <c r="A389" s="23"/>
      <c r="B389" s="16"/>
      <c r="C389" s="200"/>
      <c r="D389" s="200"/>
      <c r="E389" s="200"/>
      <c r="F389" s="23"/>
      <c r="G389" s="23"/>
      <c r="H389" s="23"/>
      <c r="I389" s="23"/>
      <c r="J389" s="23"/>
      <c r="K389" s="23"/>
      <c r="L389" s="23"/>
      <c r="M389" s="23"/>
      <c r="N389" s="23"/>
      <c r="O389" s="23"/>
      <c r="P389" s="23"/>
      <c r="Q389" s="23"/>
      <c r="R389" s="23"/>
      <c r="S389" s="23"/>
      <c r="T389" s="23"/>
      <c r="U389" s="23"/>
      <c r="V389" s="23"/>
      <c r="W389" s="23"/>
      <c r="X389" s="23"/>
      <c r="Y389" s="23"/>
      <c r="Z389" s="28"/>
    </row>
    <row r="390" spans="1:26" s="10" customFormat="1" x14ac:dyDescent="0.25">
      <c r="A390" s="23"/>
      <c r="B390" s="16"/>
      <c r="C390" s="200"/>
      <c r="D390" s="200"/>
      <c r="E390" s="200"/>
      <c r="F390" s="23"/>
      <c r="G390" s="23"/>
      <c r="H390" s="23"/>
      <c r="I390" s="23"/>
      <c r="J390" s="23"/>
      <c r="K390" s="23"/>
      <c r="L390" s="23"/>
      <c r="M390" s="23"/>
      <c r="N390" s="23"/>
      <c r="O390" s="23"/>
      <c r="P390" s="23"/>
      <c r="Q390" s="23"/>
      <c r="R390" s="23"/>
      <c r="S390" s="23"/>
      <c r="T390" s="23"/>
      <c r="U390" s="23"/>
      <c r="V390" s="23"/>
      <c r="W390" s="23"/>
      <c r="X390" s="23"/>
      <c r="Y390" s="23"/>
      <c r="Z390" s="28"/>
    </row>
    <row r="391" spans="1:26" s="10" customFormat="1" x14ac:dyDescent="0.25">
      <c r="A391" s="23"/>
      <c r="B391" s="16"/>
      <c r="C391" s="200"/>
      <c r="D391" s="200"/>
      <c r="E391" s="200"/>
      <c r="F391" s="23"/>
      <c r="G391" s="23"/>
      <c r="H391" s="23"/>
      <c r="I391" s="23"/>
      <c r="J391" s="23"/>
      <c r="K391" s="23"/>
      <c r="L391" s="23"/>
      <c r="M391" s="23"/>
      <c r="N391" s="23"/>
      <c r="O391" s="23"/>
      <c r="P391" s="23"/>
      <c r="Q391" s="23"/>
      <c r="R391" s="23"/>
      <c r="S391" s="23"/>
      <c r="T391" s="23"/>
      <c r="U391" s="23"/>
      <c r="V391" s="23"/>
      <c r="W391" s="23"/>
      <c r="X391" s="23"/>
      <c r="Y391" s="23"/>
      <c r="Z391" s="28"/>
    </row>
    <row r="392" spans="1:26" s="10" customFormat="1" x14ac:dyDescent="0.25">
      <c r="A392" s="23"/>
      <c r="B392" s="16"/>
      <c r="C392" s="200"/>
      <c r="D392" s="200"/>
      <c r="E392" s="200"/>
      <c r="F392" s="23"/>
      <c r="G392" s="23"/>
      <c r="H392" s="23"/>
      <c r="I392" s="23"/>
      <c r="J392" s="23"/>
      <c r="K392" s="23"/>
      <c r="L392" s="23"/>
      <c r="M392" s="23"/>
      <c r="N392" s="23"/>
      <c r="O392" s="23"/>
      <c r="P392" s="23"/>
      <c r="Q392" s="23"/>
      <c r="R392" s="23"/>
      <c r="S392" s="23"/>
      <c r="T392" s="23"/>
      <c r="U392" s="23"/>
      <c r="V392" s="23"/>
      <c r="W392" s="23"/>
      <c r="X392" s="23"/>
      <c r="Y392" s="23"/>
      <c r="Z392" s="28"/>
    </row>
    <row r="393" spans="1:26" s="10" customFormat="1" x14ac:dyDescent="0.25">
      <c r="A393" s="23"/>
      <c r="B393" s="16"/>
      <c r="C393" s="200"/>
      <c r="D393" s="200"/>
      <c r="E393" s="200"/>
      <c r="F393" s="23"/>
      <c r="G393" s="23"/>
      <c r="H393" s="23"/>
      <c r="I393" s="23"/>
      <c r="J393" s="23"/>
      <c r="K393" s="23"/>
      <c r="L393" s="23"/>
      <c r="M393" s="23"/>
      <c r="N393" s="23"/>
      <c r="O393" s="23"/>
      <c r="P393" s="23"/>
      <c r="Q393" s="23"/>
      <c r="R393" s="23"/>
      <c r="S393" s="23"/>
      <c r="T393" s="23"/>
      <c r="U393" s="23"/>
      <c r="V393" s="23"/>
      <c r="W393" s="23"/>
      <c r="X393" s="23"/>
      <c r="Y393" s="23"/>
      <c r="Z393" s="28"/>
    </row>
    <row r="394" spans="1:26" x14ac:dyDescent="0.25">
      <c r="A394" s="23"/>
      <c r="B394" s="16"/>
      <c r="C394" s="200"/>
      <c r="D394" s="200"/>
      <c r="E394" s="200"/>
      <c r="F394" s="23"/>
      <c r="G394" s="23"/>
      <c r="H394" s="23"/>
      <c r="I394" s="23"/>
      <c r="J394" s="23"/>
      <c r="K394" s="23"/>
      <c r="L394" s="23"/>
      <c r="M394" s="23"/>
      <c r="N394" s="23"/>
      <c r="O394" s="23"/>
      <c r="P394" s="23"/>
    </row>
    <row r="395" spans="1:26" x14ac:dyDescent="0.25">
      <c r="A395" s="23"/>
      <c r="B395" s="16"/>
      <c r="C395" s="200"/>
      <c r="D395" s="200"/>
      <c r="E395" s="200"/>
      <c r="F395" s="23"/>
      <c r="G395" s="23"/>
      <c r="H395" s="23"/>
      <c r="I395" s="23"/>
      <c r="J395" s="23"/>
      <c r="K395" s="23"/>
      <c r="L395" s="23"/>
      <c r="M395" s="23"/>
      <c r="N395" s="23"/>
      <c r="O395" s="23"/>
      <c r="P395" s="23"/>
    </row>
  </sheetData>
  <mergeCells count="2">
    <mergeCell ref="B3:B4"/>
    <mergeCell ref="I3:O3"/>
  </mergeCells>
  <phoneticPr fontId="2" type="noConversion"/>
  <conditionalFormatting sqref="B1:B2 C3:C9 C431:C432 C434:C65536">
    <cfRule type="cellIs" dxfId="51" priority="4" stopIfTrue="1" operator="equal">
      <formula>0</formula>
    </cfRule>
  </conditionalFormatting>
  <conditionalFormatting sqref="B3 B5:B9 B431 B433:B65536">
    <cfRule type="cellIs" dxfId="50" priority="2" stopIfTrue="1" operator="equal">
      <formula>"NA"</formula>
    </cfRule>
    <cfRule type="cellIs" dxfId="49" priority="3" stopIfTrue="1" operator="equal">
      <formula>"Needed"</formula>
    </cfRule>
  </conditionalFormatting>
  <conditionalFormatting sqref="B10 B38 B44 B49 B83 P83:Q83 B141 B194 B204 B245 B276 B311:B312 B318:B324 B326:B329 B332:B430">
    <cfRule type="cellIs" dxfId="48" priority="9" stopIfTrue="1" operator="equal">
      <formula>"Needed"</formula>
    </cfRule>
    <cfRule type="cellIs" dxfId="47" priority="10" stopIfTrue="1" operator="equal">
      <formula>"Caution"</formula>
    </cfRule>
    <cfRule type="cellIs" dxfId="46" priority="11" stopIfTrue="1" operator="equal">
      <formula>"No"</formula>
    </cfRule>
  </conditionalFormatting>
  <conditionalFormatting sqref="B11:B37 B39:B43 B45:B48 B50:B82 B84:B140 B142:B193 B195:B203 B205:B244 B246:B275 B277:B310">
    <cfRule type="expression" dxfId="45" priority="15" stopIfTrue="1">
      <formula>OR(B11="Needed",B11="No Criteria")</formula>
    </cfRule>
    <cfRule type="cellIs" dxfId="44" priority="16" stopIfTrue="1" operator="equal">
      <formula>"Caution"</formula>
    </cfRule>
    <cfRule type="cellIs" dxfId="43" priority="17" stopIfTrue="1" operator="equal">
      <formula>"No"</formula>
    </cfRule>
  </conditionalFormatting>
  <conditionalFormatting sqref="I332:I430 U332:Z430 I10:I37 N10:N37 U10:Z37 I39:I43 N39:N43 U42:Z43 I45:I48 N45:N48 U48:Z48 I50:I82 N50:N82 U51:Z54 U59:Z64 U66:Z66 U68:Z77 U82:Z82 I84:I140 N84:N140 I142:I203 N142:N203 U194:Z200 I205:I244 N205:N244 U208:Z212 U214:Z243 I246:I275 N246:N275 U253:Z254 U256:Z260 U268:Z269 U273:Z274 I277:I312 N277:N312 U278:Z278 U280:Z280 U284:Z288 U290:Z290 U300:Z312 I318:I324 N318:N324 U318:Z324 I326:I329 N326:N329 U326:Z329 N332:N429">
    <cfRule type="cellIs" dxfId="42" priority="8" stopIfTrue="1" operator="lessThan">
      <formula>0</formula>
    </cfRule>
  </conditionalFormatting>
  <conditionalFormatting sqref="I332:I430">
    <cfRule type="cellIs" dxfId="41" priority="7" stopIfTrue="1" operator="equal">
      <formula>"NA"</formula>
    </cfRule>
  </conditionalFormatting>
  <conditionalFormatting sqref="J10:K37 Q10:Q37 J39:K43 Q39:Q43 J45:K48 Q45:Q48 J50:K82 Q50:Q82 J84:K140 Q84:Q140 J142:K203 Q142:Q203 J205:K244 Q205:Q244 J246:K275 Q246:Q275 J277:K312 Q277:Q312 J318:K324 Q318:Q324 J326:K329 Q326:Q329 J332:K430 Q332:Q430">
    <cfRule type="cellIs" dxfId="40" priority="12" stopIfTrue="1" operator="equal">
      <formula>"NA"</formula>
    </cfRule>
  </conditionalFormatting>
  <conditionalFormatting sqref="L1:Q2 S1:S3 F1:I37 R1:R37 T1:Z37 L4:P37 S13:S37 F39:I43 L39:P43 R42:Z43 F45:I48 L45:P48 R48:Z48 F50:I82 L50:P82 R51:Z54 R59:Z64 R66:Z66 R68:Z77 R82:Z82 F84:I140 L84:P140 F142:I203 L142:P203 R194:Z200 F205:I244 L205:P244 R208:Z212 R214:Z243 F246:I275 L246:P275 R253:Z254 R256:Z260 R268:Z269 R273:Z274 F277:I312 L277:P312 R278:Z278 R280:Z280 R284:Z288 R290:Z290 R300:Z312 F318:I324 L318:P324 R318:Z324 F326:I329 L326:P329 R326:Z329 F332:H396 L332:P430 R332:R430 S332:S65536 H397:H430 F397:G65536 H431:I65536 L431:R65536 U431:Z65536 B432 T432:T65536">
    <cfRule type="cellIs" dxfId="39" priority="1" stopIfTrue="1" operator="equal">
      <formula>"NA"</formula>
    </cfRule>
  </conditionalFormatting>
  <conditionalFormatting sqref="P11:P37 P39:P43 P45:P48 P50:P82 P84:P140 P142:P193 P195:P203 P205:P244 P246:P275 P277:P310">
    <cfRule type="cellIs" dxfId="38" priority="14" stopIfTrue="1" operator="lessThan">
      <formula>D11</formula>
    </cfRule>
  </conditionalFormatting>
  <conditionalFormatting sqref="T332:T430 T11:T37 T42:T43 T48 T51:T54 T59:T64 T66 T68:T77 T82 T194:T200 T208:T212 T214:T243 T253:T254 T256:T260 T268:T269 T273:T274 T278 T280 T284:T288 T290 T300:T312 T318:T324 T326:T329">
    <cfRule type="cellIs" dxfId="37" priority="6" stopIfTrue="1" operator="lessThan">
      <formula>D11</formula>
    </cfRule>
  </conditionalFormatting>
  <conditionalFormatting sqref="T332:Z430">
    <cfRule type="cellIs" dxfId="36" priority="5" stopIfTrue="1" operator="equal">
      <formula>"NA"</formula>
    </cfRule>
  </conditionalFormatting>
  <pageMargins left="0.36" right="0.28000000000000003" top="0.32" bottom="0.34" header="0" footer="0"/>
  <pageSetup paperSize="17" scale="75" fitToHeight="3" orientation="landscape" horizontalDpi="4294967292" verticalDpi="300" r:id="rId1"/>
  <headerFooter alignWithMargins="0"/>
  <rowBreaks count="2" manualBreakCount="2">
    <brk id="271" max="24" man="1"/>
    <brk id="319" max="24" man="1"/>
  </rowBreaks>
  <cellWatches>
    <cellWatch r="P14"/>
  </cellWatche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V394"/>
  <sheetViews>
    <sheetView showGridLines="0" zoomScaleNormal="100" workbookViewId="0">
      <pane xSplit="1" ySplit="9" topLeftCell="B40" activePane="bottomRight" state="frozen"/>
      <selection pane="topRight" activeCell="B1" sqref="B1"/>
      <selection pane="bottomLeft" activeCell="A11" sqref="A11"/>
      <selection pane="bottomRight" activeCell="A43" sqref="A43"/>
    </sheetView>
  </sheetViews>
  <sheetFormatPr defaultRowHeight="13.2" x14ac:dyDescent="0.25"/>
  <cols>
    <col min="1" max="1" width="30.109375" customWidth="1"/>
    <col min="2" max="11" width="10.5546875" customWidth="1"/>
    <col min="12" max="19" width="10.5546875" style="5" customWidth="1"/>
    <col min="20" max="21" width="10.5546875" customWidth="1"/>
  </cols>
  <sheetData>
    <row r="1" spans="1:22" x14ac:dyDescent="0.25">
      <c r="A1" s="8"/>
    </row>
    <row r="2" spans="1:22" ht="13.8" thickBot="1" x14ac:dyDescent="0.3">
      <c r="A2" s="8"/>
      <c r="B2" s="5"/>
      <c r="C2" s="5"/>
      <c r="G2" s="43"/>
    </row>
    <row r="3" spans="1:22" s="10" customFormat="1" ht="13.8" thickBot="1" x14ac:dyDescent="0.3">
      <c r="A3" s="7"/>
      <c r="B3" s="1166" t="s">
        <v>7</v>
      </c>
      <c r="C3" s="1167"/>
      <c r="D3" s="381"/>
      <c r="E3" s="352" t="s">
        <v>691</v>
      </c>
      <c r="F3" s="382"/>
      <c r="G3" s="383"/>
      <c r="H3" s="384"/>
      <c r="I3" s="385" t="s">
        <v>725</v>
      </c>
      <c r="J3" s="384"/>
      <c r="K3" s="386"/>
      <c r="L3" s="1173"/>
      <c r="M3" s="1174"/>
      <c r="N3" s="1079"/>
      <c r="O3" s="1080"/>
      <c r="P3" s="1170" t="s">
        <v>236</v>
      </c>
      <c r="Q3" s="1169"/>
      <c r="R3" s="1168" t="s">
        <v>254</v>
      </c>
      <c r="S3" s="1169"/>
      <c r="T3" s="1171" t="s">
        <v>726</v>
      </c>
      <c r="U3" s="1172"/>
    </row>
    <row r="4" spans="1:22" s="10" customFormat="1" x14ac:dyDescent="0.25">
      <c r="A4" s="204"/>
      <c r="B4" s="387" t="str">
        <f>IF(Start!C16="x","","Testing")</f>
        <v>Testing</v>
      </c>
      <c r="C4" s="387" t="str">
        <f>IF(Start!C16="x","","Testing")</f>
        <v>Testing</v>
      </c>
      <c r="D4" s="353"/>
      <c r="E4" s="354"/>
      <c r="F4" s="354"/>
      <c r="G4" s="388"/>
      <c r="H4" s="220"/>
      <c r="I4" s="389"/>
      <c r="J4" s="388"/>
      <c r="K4" s="388"/>
      <c r="L4" s="216" t="s">
        <v>641</v>
      </c>
      <c r="M4" s="216" t="s">
        <v>641</v>
      </c>
      <c r="N4" s="216" t="s">
        <v>727</v>
      </c>
      <c r="O4" s="216" t="s">
        <v>727</v>
      </c>
      <c r="P4" s="356" t="s">
        <v>641</v>
      </c>
      <c r="Q4" s="390" t="s">
        <v>641</v>
      </c>
      <c r="R4" s="216" t="s">
        <v>641</v>
      </c>
      <c r="S4" s="390" t="s">
        <v>641</v>
      </c>
      <c r="T4" s="212" t="s">
        <v>728</v>
      </c>
      <c r="U4" s="212" t="s">
        <v>728</v>
      </c>
    </row>
    <row r="5" spans="1:22" s="10" customFormat="1" x14ac:dyDescent="0.25">
      <c r="A5" s="204"/>
      <c r="B5" s="387" t="str">
        <f>IF(Start!C16="x","SLRP","Not Required")</f>
        <v>Not Required</v>
      </c>
      <c r="C5" s="391" t="str">
        <f>IF(Start!C16="x","SLRP","Not Required")</f>
        <v>Not Required</v>
      </c>
      <c r="D5" s="213" t="s">
        <v>729</v>
      </c>
      <c r="E5" s="359" t="s">
        <v>697</v>
      </c>
      <c r="F5" s="359" t="s">
        <v>730</v>
      </c>
      <c r="G5" s="388"/>
      <c r="H5" s="215" t="s">
        <v>236</v>
      </c>
      <c r="I5" s="215" t="s">
        <v>254</v>
      </c>
      <c r="J5" s="215" t="s">
        <v>236</v>
      </c>
      <c r="K5" s="215" t="s">
        <v>254</v>
      </c>
      <c r="L5" s="216" t="s">
        <v>275</v>
      </c>
      <c r="M5" s="216" t="s">
        <v>275</v>
      </c>
      <c r="N5" s="216" t="s">
        <v>275</v>
      </c>
      <c r="O5" s="216" t="s">
        <v>275</v>
      </c>
      <c r="P5" s="356" t="s">
        <v>699</v>
      </c>
      <c r="Q5" s="390" t="s">
        <v>700</v>
      </c>
      <c r="R5" s="216" t="s">
        <v>699</v>
      </c>
      <c r="S5" s="390" t="s">
        <v>700</v>
      </c>
      <c r="T5" s="217" t="s">
        <v>644</v>
      </c>
      <c r="U5" s="217" t="s">
        <v>644</v>
      </c>
    </row>
    <row r="6" spans="1:22" s="10" customFormat="1" x14ac:dyDescent="0.25">
      <c r="A6" s="204"/>
      <c r="B6" s="387" t="str">
        <f>IF(Start!C16="x","Testing","based on")</f>
        <v>based on</v>
      </c>
      <c r="C6" s="391" t="str">
        <f>IF(Start!C16="x","Testing","based on")</f>
        <v>based on</v>
      </c>
      <c r="D6" s="213" t="s">
        <v>212</v>
      </c>
      <c r="E6" s="359" t="s">
        <v>230</v>
      </c>
      <c r="F6" s="359" t="s">
        <v>249</v>
      </c>
      <c r="G6" s="388" t="s">
        <v>7</v>
      </c>
      <c r="H6" s="214" t="s">
        <v>256</v>
      </c>
      <c r="I6" s="214" t="s">
        <v>256</v>
      </c>
      <c r="J6" s="215" t="s">
        <v>275</v>
      </c>
      <c r="K6" s="215" t="s">
        <v>275</v>
      </c>
      <c r="L6" s="216" t="s">
        <v>236</v>
      </c>
      <c r="M6" s="216" t="s">
        <v>254</v>
      </c>
      <c r="N6" s="216" t="s">
        <v>236</v>
      </c>
      <c r="O6" s="216" t="s">
        <v>254</v>
      </c>
      <c r="P6" s="356" t="s">
        <v>731</v>
      </c>
      <c r="Q6" s="390" t="s">
        <v>644</v>
      </c>
      <c r="R6" s="216" t="s">
        <v>731</v>
      </c>
      <c r="S6" s="390" t="s">
        <v>644</v>
      </c>
      <c r="T6" s="217" t="s">
        <v>708</v>
      </c>
      <c r="U6" s="217" t="s">
        <v>708</v>
      </c>
    </row>
    <row r="7" spans="1:22" s="10" customFormat="1" x14ac:dyDescent="0.25">
      <c r="A7" s="204"/>
      <c r="B7" s="387" t="str">
        <f>IF(Start!C16="x","Required?","Tier I Results")</f>
        <v>Tier I Results</v>
      </c>
      <c r="C7" s="391" t="str">
        <f>IF(Start!C16="x","Required?","Tier I Results")</f>
        <v>Tier I Results</v>
      </c>
      <c r="D7" s="213" t="s">
        <v>249</v>
      </c>
      <c r="E7" s="359" t="s">
        <v>249</v>
      </c>
      <c r="F7" s="359"/>
      <c r="G7" s="388" t="s">
        <v>314</v>
      </c>
      <c r="H7" s="214" t="s">
        <v>277</v>
      </c>
      <c r="I7" s="214" t="s">
        <v>277</v>
      </c>
      <c r="J7" s="215" t="s">
        <v>292</v>
      </c>
      <c r="K7" s="215" t="s">
        <v>292</v>
      </c>
      <c r="L7" s="216" t="s">
        <v>732</v>
      </c>
      <c r="M7" s="216" t="s">
        <v>732</v>
      </c>
      <c r="N7" s="216" t="s">
        <v>733</v>
      </c>
      <c r="O7" s="216" t="s">
        <v>733</v>
      </c>
      <c r="P7" s="356" t="s">
        <v>734</v>
      </c>
      <c r="Q7" s="390" t="s">
        <v>708</v>
      </c>
      <c r="R7" s="216" t="s">
        <v>734</v>
      </c>
      <c r="S7" s="390" t="s">
        <v>708</v>
      </c>
      <c r="T7" s="217" t="s">
        <v>650</v>
      </c>
      <c r="U7" s="217" t="s">
        <v>650</v>
      </c>
    </row>
    <row r="8" spans="1:22" s="10" customFormat="1" ht="15.6" x14ac:dyDescent="0.25">
      <c r="A8" s="204"/>
      <c r="B8" s="392" t="s">
        <v>236</v>
      </c>
      <c r="C8" s="393" t="s">
        <v>254</v>
      </c>
      <c r="D8" s="218" t="s">
        <v>266</v>
      </c>
      <c r="E8" s="361" t="s">
        <v>710</v>
      </c>
      <c r="F8" s="361" t="s">
        <v>711</v>
      </c>
      <c r="G8" s="219" t="s">
        <v>712</v>
      </c>
      <c r="H8" s="389" t="s">
        <v>735</v>
      </c>
      <c r="I8" s="389" t="s">
        <v>736</v>
      </c>
      <c r="J8" s="221" t="s">
        <v>714</v>
      </c>
      <c r="K8" s="221" t="s">
        <v>737</v>
      </c>
      <c r="L8" s="222" t="s">
        <v>738</v>
      </c>
      <c r="M8" s="222" t="s">
        <v>739</v>
      </c>
      <c r="N8" s="222" t="s">
        <v>740</v>
      </c>
      <c r="O8" s="222" t="s">
        <v>741</v>
      </c>
      <c r="P8" s="760" t="s">
        <v>742</v>
      </c>
      <c r="Q8" s="394" t="s">
        <v>743</v>
      </c>
      <c r="R8" s="223" t="s">
        <v>744</v>
      </c>
      <c r="S8" s="394" t="s">
        <v>745</v>
      </c>
      <c r="T8" s="217" t="s">
        <v>314</v>
      </c>
      <c r="U8" s="217" t="s">
        <v>314</v>
      </c>
    </row>
    <row r="9" spans="1:22" s="10" customFormat="1" ht="13.8" thickBot="1" x14ac:dyDescent="0.3">
      <c r="A9" s="95" t="s">
        <v>723</v>
      </c>
      <c r="B9" s="395"/>
      <c r="C9" s="396"/>
      <c r="D9" s="225" t="s">
        <v>285</v>
      </c>
      <c r="E9" s="366" t="s">
        <v>286</v>
      </c>
      <c r="F9" s="366" t="s">
        <v>286</v>
      </c>
      <c r="G9" s="397" t="s">
        <v>286</v>
      </c>
      <c r="H9" s="227" t="s">
        <v>324</v>
      </c>
      <c r="I9" s="281" t="s">
        <v>324</v>
      </c>
      <c r="J9" s="398"/>
      <c r="K9" s="398"/>
      <c r="L9" s="228" t="s">
        <v>724</v>
      </c>
      <c r="M9" s="228" t="s">
        <v>724</v>
      </c>
      <c r="N9" s="228" t="s">
        <v>724</v>
      </c>
      <c r="O9" s="228" t="s">
        <v>724</v>
      </c>
      <c r="P9" s="368" t="s">
        <v>286</v>
      </c>
      <c r="Q9" s="399" t="s">
        <v>286</v>
      </c>
      <c r="R9" s="229" t="s">
        <v>286</v>
      </c>
      <c r="S9" s="399" t="s">
        <v>286</v>
      </c>
      <c r="T9" s="400" t="s">
        <v>236</v>
      </c>
      <c r="U9" s="400" t="s">
        <v>254</v>
      </c>
    </row>
    <row r="10" spans="1:22" s="10" customFormat="1" x14ac:dyDescent="0.25">
      <c r="A10" s="524" t="s">
        <v>326</v>
      </c>
      <c r="B10" s="525"/>
      <c r="C10" s="526"/>
      <c r="D10" s="508"/>
      <c r="E10" s="509"/>
      <c r="F10" s="510"/>
      <c r="G10" s="511"/>
      <c r="H10" s="512"/>
      <c r="I10" s="512"/>
      <c r="J10" s="512"/>
      <c r="K10" s="513"/>
      <c r="L10" s="511"/>
      <c r="M10" s="513"/>
      <c r="N10" s="511"/>
      <c r="O10" s="513"/>
      <c r="P10" s="512"/>
      <c r="Q10" s="512"/>
      <c r="R10" s="512"/>
      <c r="S10" s="513"/>
      <c r="T10" s="687"/>
      <c r="U10" s="901"/>
      <c r="V10" s="11"/>
    </row>
    <row r="11" spans="1:22" s="10" customFormat="1" x14ac:dyDescent="0.25">
      <c r="A11" s="307" t="s">
        <v>327</v>
      </c>
      <c r="B11" s="348" t="str">
        <f>IF(Start!$C$16="x",IF(OR(D11 ="NA",E11="NA"),"NA",IF(AND(D11= "",E11=""),"",IF(AND(D11= "",E11&lt;&gt; ""),"Missing Data",                     IF(AND(D11&lt;&gt; "",E11= ""),"Missing Data",(IF(OR(G11="NA",G11=""),"No Criteria",(IF(AND(Q11="NA",D11&lt;&gt;"NA",G11&lt;&gt;"NA"),                                               "Missing Data",(IF(Q11&lt;G11,"No","Needed")))))))))),"---")</f>
        <v>---</v>
      </c>
      <c r="C11" s="350" t="str">
        <f>IF(Start!$C$16="x",IF(OR(D11 ="NA",E11="NA"),"NA",IF(AND(D11= "",E11=""),"",IF(AND(D11= "",E11&lt;&gt; ""),"Missing Data",                     IF(AND(D11&lt;&gt; "",E11= ""),"Missing Data",(IF(OR(G11="NA",G11=""),"No Criteria",(IF(AND(S11="NA",D11&lt;&gt;"NA",G11&lt;&gt;"NA"),                                               "Missing Data",(IF(S11&lt;G11,"No","Needed")))))))))),"---")</f>
        <v>---</v>
      </c>
      <c r="D11" s="372" t="str">
        <f>IF(TRUE=ISBLANK(ChemData!B11),"",(ChemData!B11))</f>
        <v/>
      </c>
      <c r="E11" s="373" t="str">
        <f>IF(TRUE=ISBLANK(ChemData!C11),"",(ChemData!C11))</f>
        <v/>
      </c>
      <c r="F11" s="374" t="str">
        <f>IF(TRUE=ISBLANK(ChemData!D11),"",(ChemData!D11))</f>
        <v/>
      </c>
      <c r="G11" s="289">
        <f>IF(TRUE=ISBLANK(ChemData!I11),"",(ChemData!I11))</f>
        <v>87</v>
      </c>
      <c r="H11" s="290">
        <f>IF(TRUE=ISBLANK(ChemData!Q11),"",(ChemData!Q11))</f>
        <v>1500</v>
      </c>
      <c r="I11" s="290">
        <f>IF(TRUE=ISBLANK(ChemData!R11),"",(ChemData!R11))</f>
        <v>1500</v>
      </c>
      <c r="J11" s="290">
        <f>IF(TRUE=ISBLANK(ChemData!S11),"",(ChemData!S11))</f>
        <v>5.0000000000000001E-3</v>
      </c>
      <c r="K11" s="291">
        <f>IF(TRUE=ISBLANK(ChemData!T11),"",(ChemData!T11))</f>
        <v>5.0000000000000001E-3</v>
      </c>
      <c r="L11" s="375" t="str">
        <f>IF(Start!$C$16="x",IF(OR(D11="NA",D11=""),"NA", IF(OR($J11 = "NA",J11=""),"NA",IF(100/Data!$D$10&gt;Data!$D$13,(D11*$J11)/(Data!$D$10/100),(D11*$J11)*Data!$D$13))),"---")</f>
        <v>---</v>
      </c>
      <c r="M11" s="377" t="str">
        <f>IF(Start!$C$16="x",IF(OR(D11="NA",D11=""),"NA", IF(OR($K11 = "NA",K11=""),"NA",IF(100/Data!$D$10&gt;Data!$D$13,(D11*$K11)/(Data!$D$10/100),(D11*$K11)*Data!$D$13))),"---")</f>
        <v>---</v>
      </c>
      <c r="N11" s="375" t="str">
        <f>L11</f>
        <v>---</v>
      </c>
      <c r="O11" s="377" t="str">
        <f t="shared" ref="O11:O35" si="0">M11</f>
        <v>---</v>
      </c>
      <c r="P11" s="461" t="str">
        <f>IF(Start!$C$16="x",(IF(L11 = "NA","NA", (IF(OR($H11 = "NA",H11=""), "NA",(IF(OR(ChemData!U11="NA",ChemData!U11=""),L11/((Data!$D$33+((1-Data!$D$33)*Data!$D$14*$H11))/((1-Data!$D$33)*Data!$D$14*1000)),(IF(L11/((Data!$D$33+((1-Data!$D$33)*Data!$D$14*$H11))/((1-Data!$D$33)*Data!$D$14*1000))&gt;ChemData!U11, ChemData!U11, L11/((Data!$D$33+((1-Data!$D$33)*Data!$D$14*$H11))/((1-Data!$D$33)*Data!$D$14*1000)))))))))),"---")</f>
        <v>---</v>
      </c>
      <c r="Q11" s="376" t="str">
        <f>IF(Start!$C$16="x",IF(OR($F11 = "NA",F11=""), "NA", IF(P11= "NA", "NA",(P11+(Data!$D$30*$F11))/(Data!$D$30+1))),"---")</f>
        <v>---</v>
      </c>
      <c r="R11" s="376" t="str">
        <f>IF(Start!$C$16="x",IF(O11 = "NA","NA", IF(OR($I11 = "NA",I11=""), "NA",(IF(OR(ChemData!U11="NA",ChemData!U11=""),O11/((Data!$D$35+((1-Data!$D$35)*Data!$D$14*$I11))/((1-Data!$D$35)*Data!$D$14*1000)),(IF(O11/((Data!$D$35+((1-Data!$D$35)*Data!$D$14*$I11))/((1-Data!$D$35)*Data!$D$14*1000))&gt;ChemData!U11, ChemData!U11, O11/((Data!$D$35+((1-Data!$D$35)*Data!$D$14*$I11))/((1-Data!$D$35)*Data!$D$14*1000)))))))),"---")</f>
        <v>---</v>
      </c>
      <c r="S11" s="377" t="str">
        <f>IF(Start!$C$16="x",IF(OR($F11 = "NA",F11=""), "NA", IF(R11= "NA", "NA",(R11+(Data!$D$30*$F11))/(Data!$D$30+1))),"---")</f>
        <v>---</v>
      </c>
      <c r="T11" s="343" t="str">
        <f>IF(Start!$C$16="x",IF(AND(D11= "",E11=""),"",IF(Q11="NA","NA",IF(G11="NA","NA",IF(G11=0,"NA",(Q11/G11))))),"Not Req.")</f>
        <v>Not Req.</v>
      </c>
      <c r="U11" s="343" t="str">
        <f>IF(Start!$C$16="x",IF(AND(D11= "",E11=""),"",IF(S11="NA","NA",IF(G11="NA","NA",IF(G11=0,"NA",(S11/G11))))),"Not Req.")</f>
        <v>Not Req.</v>
      </c>
      <c r="V11" s="11"/>
    </row>
    <row r="12" spans="1:22" s="10" customFormat="1" x14ac:dyDescent="0.25">
      <c r="A12" s="307" t="s">
        <v>330</v>
      </c>
      <c r="B12" s="348" t="str">
        <f>IF(Start!$C$16="x",IF(OR(D12 ="NA",E12="NA"),"NA",IF(AND(D12= "",E12=""),"",IF(AND(D12= "",E12&lt;&gt; ""),"Missing Data",                     IF(AND(D12&lt;&gt; "",E12= ""),"Missing Data",(IF(OR(G12="NA",G12=""),"No Criteria",(IF(AND(Q12="NA",D12&lt;&gt;"NA",G12&lt;&gt;"NA"),                                               "Missing Data",(IF(Q12&lt;G12,"No","Needed")))))))))),"---")</f>
        <v>---</v>
      </c>
      <c r="C12" s="350" t="str">
        <f>IF(Start!$C$16="x",IF(OR(D12 ="NA",E12="NA"),"NA",IF(AND(D12= "",E12=""),"",IF(AND(D12= "",E12&lt;&gt; ""),"Missing Data",                     IF(AND(D12&lt;&gt; "",E12= ""),"Missing Data",(IF(OR(G12="NA",G12=""),"No Criteria",(IF(AND(S12="NA",D12&lt;&gt;"NA",G12&lt;&gt;"NA"),                                               "Missing Data",(IF(S12&lt;G12,"No","Needed")))))))))),"---")</f>
        <v>---</v>
      </c>
      <c r="D12" s="372" t="str">
        <f>IF(TRUE=ISBLANK(ChemData!B12),"",(ChemData!B12))</f>
        <v/>
      </c>
      <c r="E12" s="373" t="str">
        <f>IF(TRUE=ISBLANK(ChemData!C12),"",(ChemData!C12))</f>
        <v/>
      </c>
      <c r="F12" s="374" t="str">
        <f>IF(TRUE=ISBLANK(ChemData!D12),"",(ChemData!D12))</f>
        <v/>
      </c>
      <c r="G12" s="289">
        <f>IF(TRUE=ISBLANK(ChemData!I12),"",(ChemData!I12))</f>
        <v>30</v>
      </c>
      <c r="H12" s="290">
        <f>IF(TRUE=ISBLANK(ChemData!Q12),"",(ChemData!Q12))</f>
        <v>270</v>
      </c>
      <c r="I12" s="290">
        <f>IF(TRUE=ISBLANK(ChemData!R12),"",(ChemData!R12))</f>
        <v>170</v>
      </c>
      <c r="J12" s="290">
        <f>IF(TRUE=ISBLANK(ChemData!S12),"",(ChemData!S12))</f>
        <v>0.1</v>
      </c>
      <c r="K12" s="291">
        <f>IF(TRUE=ISBLANK(ChemData!T12),"",(ChemData!T12))</f>
        <v>0.1</v>
      </c>
      <c r="L12" s="375" t="str">
        <f>IF(Start!$C$16="x",IF(OR(D12="NA",D12=""),"NA", IF(OR($J12 = "NA",J12=""),"NA",IF(100/Data!$D$10&gt;Data!$D$13,(D12*$J12)/(Data!$D$10/100),(D12*$J12)*Data!$D$13))),"---")</f>
        <v>---</v>
      </c>
      <c r="M12" s="377" t="str">
        <f>IF(Start!$C$16="x",IF(OR(D12="NA",D12=""),"NA", IF(OR($K12 = "NA",K12=""),"NA",IF(100/Data!$D$10&gt;Data!$D$13,(D12*$K12)/(Data!$D$10/100),(D12*$K12)*Data!$D$13))),"---")</f>
        <v>---</v>
      </c>
      <c r="N12" s="375" t="str">
        <f t="shared" ref="N12:N35" si="1">L12</f>
        <v>---</v>
      </c>
      <c r="O12" s="377" t="str">
        <f t="shared" si="0"/>
        <v>---</v>
      </c>
      <c r="P12" s="461" t="str">
        <f>IF(Start!$C$16="x",(IF(L12 = "NA","NA", (IF(OR($H12 = "NA",H12=""), "NA",(IF(OR(ChemData!U12="NA",ChemData!U12=""),L12/((Data!$D$33+((1-Data!$D$33)*Data!$D$14*$H12))/((1-Data!$D$33)*Data!$D$14*1000)),(IF(L12/((Data!$D$33+((1-Data!$D$33)*Data!$D$14*$H12))/((1-Data!$D$33)*Data!$D$14*1000))&gt;ChemData!U12, ChemData!U12, L12/((Data!$D$33+((1-Data!$D$33)*Data!$D$14*$H12))/((1-Data!$D$33)*Data!$D$14*1000)))))))))),"---")</f>
        <v>---</v>
      </c>
      <c r="Q12" s="376" t="str">
        <f>IF(Start!$C$16="x",IF(OR($F12 = "NA",F12=""), "NA", IF(P12= "NA", "NA",(P12+(Data!$D$30*$F12))/(Data!$D$30+1))),"---")</f>
        <v>---</v>
      </c>
      <c r="R12" s="376" t="str">
        <f>IF(Start!$C$16="x",IF(O12 = "NA","NA", IF(OR($I12 = "NA",I12=""), "NA",(IF(OR(ChemData!U12="NA",ChemData!U12=""),O12/((Data!$D$35+((1-Data!$D$35)*Data!$D$14*$I12))/((1-Data!$D$35)*Data!$D$14*1000)),(IF(O12/((Data!$D$35+((1-Data!$D$35)*Data!$D$14*$I12))/((1-Data!$D$35)*Data!$D$14*1000))&gt;ChemData!U12, ChemData!U12, O12/((Data!$D$35+((1-Data!$D$35)*Data!$D$14*$I12))/((1-Data!$D$35)*Data!$D$14*1000)))))))),"---")</f>
        <v>---</v>
      </c>
      <c r="S12" s="377" t="str">
        <f>IF(Start!$C$16="x",IF(OR($F12 = "NA",F12=""), "NA", IF(R12= "NA", "NA",(R12+(Data!$D$30*$F12))/(Data!$D$30+1))),"---")</f>
        <v>---</v>
      </c>
      <c r="T12" s="343" t="str">
        <f>IF(Start!$C$16="x",IF(AND(D12= "",E12=""),"",IF(Q12="NA","NA",IF(G12="NA","NA",IF(G12=0,"NA",(Q12/G12))))),"Not Req.")</f>
        <v>Not Req.</v>
      </c>
      <c r="U12" s="343" t="str">
        <f>IF(Start!$C$16="x",IF(AND(D12= "",E12=""),"",IF(S12="NA","NA",IF(G12="NA","NA",IF(G12=0,"NA",(S12/G12))))),"Not Req.")</f>
        <v>Not Req.</v>
      </c>
      <c r="V12" s="11"/>
    </row>
    <row r="13" spans="1:22" s="10" customFormat="1" x14ac:dyDescent="0.25">
      <c r="A13" s="307" t="s">
        <v>331</v>
      </c>
      <c r="B13" s="348" t="str">
        <f>IF(Start!$C$16="x",IF(OR(D13 ="NA",E13="NA"),"NA",IF(AND(D13= "",E13=""),"",IF(AND(D13= "",E13&lt;&gt; ""),"Missing Data",                     IF(AND(D13&lt;&gt; "",E13= ""),"Missing Data",(IF(OR(G13="NA",G13=""),"No Criteria",(IF(AND(Q13="NA",D13&lt;&gt;"NA",G13&lt;&gt;"NA"),                                               "Missing Data",(IF(Q13&lt;G13,"No","Needed")))))))))),"---")</f>
        <v>---</v>
      </c>
      <c r="C13" s="350" t="str">
        <f>IF(Start!$C$16="x",IF(OR(D13 ="NA",E13="NA"),"NA",IF(AND(D13= "",E13=""),"",IF(AND(D13= "",E13&lt;&gt; ""),"Missing Data",                     IF(AND(D13&lt;&gt; "",E13= ""),"Missing Data",(IF(OR(G13="NA",G13=""),"No Criteria",(IF(AND(S13="NA",D13&lt;&gt;"NA",G13&lt;&gt;"NA"),                                               "Missing Data",(IF(S13&lt;G13,"No","Needed")))))))))),"---")</f>
        <v>---</v>
      </c>
      <c r="D13" s="372" t="str">
        <f>IF(TRUE=ISBLANK(ChemData!B13),"",(ChemData!B13))</f>
        <v/>
      </c>
      <c r="E13" s="373" t="str">
        <f>IF(TRUE=ISBLANK(ChemData!C13),"",(ChemData!C13))</f>
        <v/>
      </c>
      <c r="F13" s="374" t="str">
        <f>IF(TRUE=ISBLANK(ChemData!D13),"",(ChemData!D13))</f>
        <v/>
      </c>
      <c r="G13" s="289">
        <f>IF(TRUE=ISBLANK(ChemData!I13),"",(ChemData!I13))</f>
        <v>3.1</v>
      </c>
      <c r="H13" s="290">
        <f>IF(TRUE=ISBLANK(ChemData!Q13),"",(ChemData!Q13))</f>
        <v>70</v>
      </c>
      <c r="I13" s="290">
        <f>IF(TRUE=ISBLANK(ChemData!R13),"",(ChemData!R13))</f>
        <v>20.649000000000001</v>
      </c>
      <c r="J13" s="290">
        <f>IF(TRUE=ISBLANK(ChemData!S13),"",(ChemData!S13))</f>
        <v>0.2</v>
      </c>
      <c r="K13" s="291">
        <f>IF(TRUE=ISBLANK(ChemData!T13),"",(ChemData!T13))</f>
        <v>0.2</v>
      </c>
      <c r="L13" s="375" t="str">
        <f>IF(Start!$C$16="x",IF(OR(D13="NA",D13=""),"NA", IF(OR($J13 = "NA",J13=""),"NA",IF(100/Data!$D$10&gt;Data!$D$13,(D13*$J13)/(Data!$D$10/100),(D13*$J13)*Data!$D$13))),"---")</f>
        <v>---</v>
      </c>
      <c r="M13" s="377" t="str">
        <f>IF(Start!$C$16="x",IF(OR(D13="NA",D13=""),"NA", IF(OR($K13 = "NA",K13=""),"NA",IF(100/Data!$D$10&gt;Data!$D$13,(D13*$K13)/(Data!$D$10/100),(D13*$K13)*Data!$D$13))),"---")</f>
        <v>---</v>
      </c>
      <c r="N13" s="375" t="str">
        <f t="shared" si="1"/>
        <v>---</v>
      </c>
      <c r="O13" s="377" t="str">
        <f t="shared" si="0"/>
        <v>---</v>
      </c>
      <c r="P13" s="461" t="str">
        <f>IF(Start!$C$16="x",(IF(L13 = "NA","NA", (IF(OR($H13 = "NA",H13=""), "NA",(IF(OR(ChemData!U13="NA",ChemData!U13=""),L13/((Data!$D$33+((1-Data!$D$33)*Data!$D$14*$H13))/((1-Data!$D$33)*Data!$D$14*1000)),(IF(L13/((Data!$D$33+((1-Data!$D$33)*Data!$D$14*$H13))/((1-Data!$D$33)*Data!$D$14*1000))&gt;ChemData!U13, ChemData!U13, L13/((Data!$D$33+((1-Data!$D$33)*Data!$D$14*$H13))/((1-Data!$D$33)*Data!$D$14*1000)))))))))),"---")</f>
        <v>---</v>
      </c>
      <c r="Q13" s="376" t="str">
        <f>IF(Start!$C$16="x",IF(OR($F13 = "NA",F13=""), "NA", IF(P13= "NA", "NA",(P13+(Data!$D$30*$F13))/(Data!$D$30+1))),"---")</f>
        <v>---</v>
      </c>
      <c r="R13" s="376" t="str">
        <f>IF(Start!$C$16="x",IF(O13 = "NA","NA", IF(OR($I13 = "NA",I13=""), "NA",(IF(OR(ChemData!U13="NA",ChemData!U13=""),O13/((Data!$D$35+((1-Data!$D$35)*Data!$D$14*$I13))/((1-Data!$D$35)*Data!$D$14*1000)),(IF(O13/((Data!$D$35+((1-Data!$D$35)*Data!$D$14*$I13))/((1-Data!$D$35)*Data!$D$14*1000))&gt;ChemData!U13, ChemData!U13, O13/((Data!$D$35+((1-Data!$D$35)*Data!$D$14*$I13))/((1-Data!$D$35)*Data!$D$14*1000)))))))),"---")</f>
        <v>---</v>
      </c>
      <c r="S13" s="377" t="str">
        <f>IF(Start!$C$16="x",IF(OR($F13 = "NA",F13=""), "NA", IF(R13= "NA", "NA",(R13+(Data!$D$30*$F13))/(Data!$D$30+1))),"---")</f>
        <v>---</v>
      </c>
      <c r="T13" s="343" t="str">
        <f>IF(Start!$C$16="x",IF(AND(D13= "",E13=""),"",IF(Q13="NA","NA",IF(G13="NA","NA",IF(G13=0,"NA",(Q13/G13))))),"Not Req.")</f>
        <v>Not Req.</v>
      </c>
      <c r="U13" s="343" t="str">
        <f>IF(Start!$C$16="x",IF(AND(D13= "",E13=""),"",IF(S13="NA","NA",IF(G13="NA","NA",IF(G13=0,"NA",(S13/G13))))),"Not Req.")</f>
        <v>Not Req.</v>
      </c>
      <c r="V13" s="11"/>
    </row>
    <row r="14" spans="1:22" s="10" customFormat="1" x14ac:dyDescent="0.25">
      <c r="A14" s="307" t="s">
        <v>332</v>
      </c>
      <c r="B14" s="348" t="str">
        <f>IF(Start!$C$16="x",IF(OR(D14 ="NA",E14="NA"),"NA",IF(AND(D14= "",E14=""),"",IF(AND(D14= "",E14&lt;&gt; ""),"Missing Data",                     IF(AND(D14&lt;&gt; "",E14= ""),"Missing Data",(IF(OR(G14="NA",G14=""),"No Criteria",(IF(AND(Q14="NA",D14&lt;&gt;"NA",G14&lt;&gt;"NA"),                                               "Missing Data",(IF(Q14&lt;G14,"No","Needed")))))))))),"---")</f>
        <v>---</v>
      </c>
      <c r="C14" s="350" t="str">
        <f>IF(Start!$C$16="x",IF(OR(D14 ="NA",E14="NA"),"NA",IF(AND(D14= "",E14=""),"",IF(AND(D14= "",E14&lt;&gt; ""),"Missing Data",                     IF(AND(D14&lt;&gt; "",E14= ""),"Missing Data",(IF(OR(G14="NA",G14=""),"No Criteria",(IF(AND(S14="NA",D14&lt;&gt;"NA",G14&lt;&gt;"NA"),                                               "Missing Data",(IF(S14&lt;G14,"No","Needed")))))))))),"---")</f>
        <v>---</v>
      </c>
      <c r="D14" s="372" t="str">
        <f>IF(TRUE=ISBLANK(ChemData!B14),"",(ChemData!B14))</f>
        <v/>
      </c>
      <c r="E14" s="373" t="str">
        <f>IF(TRUE=ISBLANK(ChemData!C14),"",(ChemData!C14))</f>
        <v/>
      </c>
      <c r="F14" s="374" t="str">
        <f>IF(TRUE=ISBLANK(ChemData!D14),"",(ChemData!D14))</f>
        <v/>
      </c>
      <c r="G14" s="289">
        <f>IF(TRUE=ISBLANK(ChemData!I14),"",(ChemData!I14))</f>
        <v>4</v>
      </c>
      <c r="H14" s="290">
        <f>IF(TRUE=ISBLANK(ChemData!Q14),"",(ChemData!Q14))</f>
        <v>100</v>
      </c>
      <c r="I14" s="290">
        <f>IF(TRUE=ISBLANK(ChemData!R14),"",(ChemData!R14))</f>
        <v>41</v>
      </c>
      <c r="J14" s="290">
        <f>IF(TRUE=ISBLANK(ChemData!S14),"",(ChemData!S14))</f>
        <v>0.2</v>
      </c>
      <c r="K14" s="291">
        <f>IF(TRUE=ISBLANK(ChemData!T14),"",(ChemData!T14))</f>
        <v>0.2</v>
      </c>
      <c r="L14" s="375" t="str">
        <f>IF(Start!$C$16="x",IF(OR(D14="NA",D14=""),"NA", IF(OR($J14 = "NA",J14=""),"NA",IF(100/Data!$D$10&gt;Data!$D$13,(D14*$J14)/(Data!$D$10/100),(D14*$J14)*Data!$D$13))),"---")</f>
        <v>---</v>
      </c>
      <c r="M14" s="377" t="str">
        <f>IF(Start!$C$16="x",IF(OR(D14="NA",D14=""),"NA", IF(OR($K14 = "NA",K14=""),"NA",IF(100/Data!$D$10&gt;Data!$D$13,(D14*$K14)/(Data!$D$10/100),(D14*$K14)*Data!$D$13))),"---")</f>
        <v>---</v>
      </c>
      <c r="N14" s="375" t="str">
        <f t="shared" si="1"/>
        <v>---</v>
      </c>
      <c r="O14" s="377" t="str">
        <f t="shared" si="0"/>
        <v>---</v>
      </c>
      <c r="P14" s="461" t="str">
        <f>IF(Start!$C$16="x",(IF(L14 = "NA","NA", (IF(OR($H14 = "NA",H14=""), "NA",(IF(OR(ChemData!U14="NA",ChemData!U14=""),L14/((Data!$D$33+((1-Data!$D$33)*Data!$D$14*$H14))/((1-Data!$D$33)*Data!$D$14*1000)),(IF(L14/((Data!$D$33+((1-Data!$D$33)*Data!$D$14*$H14))/((1-Data!$D$33)*Data!$D$14*1000))&gt;ChemData!U14, ChemData!U14, L14/((Data!$D$33+((1-Data!$D$33)*Data!$D$14*$H14))/((1-Data!$D$33)*Data!$D$14*1000)))))))))),"---")</f>
        <v>---</v>
      </c>
      <c r="Q14" s="376" t="str">
        <f>IF(Start!$C$16="x",IF(OR($F14 = "NA",F14=""), "NA", IF(P14= "NA", "NA",(P14+(Data!$D$30*$F14))/(Data!$D$30+1))),"---")</f>
        <v>---</v>
      </c>
      <c r="R14" s="376" t="str">
        <f>IF(Start!$C$16="x",IF(O14 = "NA","NA", IF(OR($I14 = "NA",I14=""), "NA",(IF(OR(ChemData!U14="NA",ChemData!U14=""),O14/((Data!$D$35+((1-Data!$D$35)*Data!$D$14*$I14))/((1-Data!$D$35)*Data!$D$14*1000)),(IF(O14/((Data!$D$35+((1-Data!$D$35)*Data!$D$14*$I14))/((1-Data!$D$35)*Data!$D$14*1000))&gt;ChemData!U14, ChemData!U14, O14/((Data!$D$35+((1-Data!$D$35)*Data!$D$14*$I14))/((1-Data!$D$35)*Data!$D$14*1000)))))))),"---")</f>
        <v>---</v>
      </c>
      <c r="S14" s="377" t="str">
        <f>IF(Start!$C$16="x",IF(OR($F14 = "NA",F14=""), "NA", IF(R14= "NA", "NA",(R14+(Data!$D$30*$F14))/(Data!$D$30+1))),"---")</f>
        <v>---</v>
      </c>
      <c r="T14" s="343" t="str">
        <f>IF(Start!$C$16="x",IF(AND(D14= "",E14=""),"",IF(Q14="NA","NA",IF(G14="NA","NA",IF(G14=0,"NA",(Q14/G14))))),"Not Req.")</f>
        <v>Not Req.</v>
      </c>
      <c r="U14" s="343" t="str">
        <f>IF(Start!$C$16="x",IF(AND(D14= "",E14=""),"",IF(S14="NA","NA",IF(G14="NA","NA",IF(G14=0,"NA",(S14/G14))))),"Not Req.")</f>
        <v>Not Req.</v>
      </c>
      <c r="V14" s="11"/>
    </row>
    <row r="15" spans="1:22" s="10" customFormat="1" x14ac:dyDescent="0.25">
      <c r="A15" s="307" t="s">
        <v>333</v>
      </c>
      <c r="B15" s="348" t="str">
        <f>IF(Start!$C$16="x",IF(OR(D15 ="NA",E15="NA"),"NA",IF(AND(D15= "",E15=""),"",IF(AND(D15= "",E15&lt;&gt; ""),"Missing Data",                     IF(AND(D15&lt;&gt; "",E15= ""),"Missing Data",(IF(OR(G15="NA",G15=""),"No Criteria",(IF(AND(Q15="NA",D15&lt;&gt;"NA",G15&lt;&gt;"NA"),                                               "Missing Data",(IF(Q15&lt;G15,"No","Needed")))))))))),"---")</f>
        <v>---</v>
      </c>
      <c r="C15" s="350" t="str">
        <f>IF(Start!$C$16="x",IF(OR(D15 ="NA",E15="NA"),"NA",IF(AND(D15= "",E15=""),"",IF(AND(D15= "",E15&lt;&gt; ""),"Missing Data",                     IF(AND(D15&lt;&gt; "",E15= ""),"Missing Data",(IF(OR(G15="NA",G15=""),"No Criteria",(IF(AND(S15="NA",D15&lt;&gt;"NA",G15&lt;&gt;"NA"),                                               "Missing Data",(IF(S15&lt;G15,"No","Needed")))))))))),"---")</f>
        <v>---</v>
      </c>
      <c r="D15" s="372" t="str">
        <f>IF(TRUE=ISBLANK(ChemData!B15),"",(ChemData!B15))</f>
        <v/>
      </c>
      <c r="E15" s="373" t="str">
        <f>IF(TRUE=ISBLANK(ChemData!C15),"",(ChemData!C15))</f>
        <v/>
      </c>
      <c r="F15" s="374" t="str">
        <f>IF(TRUE=ISBLANK(ChemData!D15),"",(ChemData!D15))</f>
        <v/>
      </c>
      <c r="G15" s="289">
        <f>IF(TRUE=ISBLANK(ChemData!I15),"",(ChemData!I15))</f>
        <v>0.66</v>
      </c>
      <c r="H15" s="290">
        <f>IF(TRUE=ISBLANK(ChemData!Q15),"",(ChemData!Q15))</f>
        <v>40</v>
      </c>
      <c r="I15" s="290">
        <f>IF(TRUE=ISBLANK(ChemData!R15),"",(ChemData!R15))</f>
        <v>40</v>
      </c>
      <c r="J15" s="290">
        <f>IF(TRUE=ISBLANK(ChemData!S15),"",(ChemData!S15))</f>
        <v>0.2</v>
      </c>
      <c r="K15" s="291">
        <f>IF(TRUE=ISBLANK(ChemData!T15),"",(ChemData!T15))</f>
        <v>0.60000000000000009</v>
      </c>
      <c r="L15" s="375" t="str">
        <f>IF(Start!$C$16="x",IF(OR(D15="NA",D15=""),"NA", IF(OR($J15 = "NA",J15=""),"NA",IF(100/Data!$D$10&gt;Data!$D$13,(D15*$J15)/(Data!$D$10/100),(D15*$J15)*Data!$D$13))),"---")</f>
        <v>---</v>
      </c>
      <c r="M15" s="377" t="str">
        <f>IF(Start!$C$16="x",IF(OR(D15="NA",D15=""),"NA", IF(OR($K15 = "NA",K15=""),"NA",IF(100/Data!$D$10&gt;Data!$D$13,(D15*$K15)/(Data!$D$10/100),(D15*$K15)*Data!$D$13))),"---")</f>
        <v>---</v>
      </c>
      <c r="N15" s="375" t="str">
        <f t="shared" si="1"/>
        <v>---</v>
      </c>
      <c r="O15" s="377" t="str">
        <f t="shared" si="0"/>
        <v>---</v>
      </c>
      <c r="P15" s="461" t="str">
        <f>IF(Start!$C$16="x",(IF(L15 = "NA","NA", (IF(OR($H15 = "NA",H15=""), "NA",(IF(OR(ChemData!U15="NA",ChemData!U15=""),L15/((Data!$D$33+((1-Data!$D$33)*Data!$D$14*$H15))/((1-Data!$D$33)*Data!$D$14*1000)),(IF(L15/((Data!$D$33+((1-Data!$D$33)*Data!$D$14*$H15))/((1-Data!$D$33)*Data!$D$14*1000))&gt;ChemData!U15, ChemData!U15, L15/((Data!$D$33+((1-Data!$D$33)*Data!$D$14*$H15))/((1-Data!$D$33)*Data!$D$14*1000)))))))))),"---")</f>
        <v>---</v>
      </c>
      <c r="Q15" s="376" t="str">
        <f>IF(Start!$C$16="x",IF(OR($F15 = "NA",F15=""), "NA", IF(P15= "NA", "NA",(P15+(Data!$D$30*$F15))/(Data!$D$30+1))),"---")</f>
        <v>---</v>
      </c>
      <c r="R15" s="376" t="str">
        <f>IF(Start!$C$16="x",IF(O15 = "NA","NA", IF(OR($I15 = "NA",I15=""), "NA",(IF(OR(ChemData!U15="NA",ChemData!U15=""),O15/((Data!$D$35+((1-Data!$D$35)*Data!$D$14*$I15))/((1-Data!$D$35)*Data!$D$14*1000)),(IF(O15/((Data!$D$35+((1-Data!$D$35)*Data!$D$14*$I15))/((1-Data!$D$35)*Data!$D$14*1000))&gt;ChemData!U15, ChemData!U15, O15/((Data!$D$35+((1-Data!$D$35)*Data!$D$14*$I15))/((1-Data!$D$35)*Data!$D$14*1000)))))))),"---")</f>
        <v>---</v>
      </c>
      <c r="S15" s="377" t="str">
        <f>IF(Start!$C$16="x",IF(OR($F15 = "NA",F15=""), "NA", IF(R15= "NA", "NA",(R15+(Data!$D$30*$F15))/(Data!$D$30+1))),"---")</f>
        <v>---</v>
      </c>
      <c r="T15" s="343" t="str">
        <f>IF(Start!$C$16="x",IF(AND(D15= "",E15=""),"",IF(Q15="NA","NA",IF(G15="NA","NA",IF(G15=0,"NA",(Q15/G15))))),"Not Req.")</f>
        <v>Not Req.</v>
      </c>
      <c r="U15" s="343" t="str">
        <f>IF(Start!$C$16="x",IF(AND(D15= "",E15=""),"",IF(S15="NA","NA",IF(G15="NA","NA",IF(G15=0,"NA",(S15/G15))))),"Not Req.")</f>
        <v>Not Req.</v>
      </c>
      <c r="V15" s="11"/>
    </row>
    <row r="16" spans="1:22" s="10" customFormat="1" x14ac:dyDescent="0.25">
      <c r="A16" s="307" t="s">
        <v>334</v>
      </c>
      <c r="B16" s="348" t="str">
        <f>IF(Start!$C$16="x",IF(OR(D16 ="NA",E16="NA"),"NA",IF(AND(D16= "",E16=""),"",IF(AND(D16= "",E16&lt;&gt; ""),"Missing Data",                     IF(AND(D16&lt;&gt; "",E16= ""),"Missing Data",(IF(OR(G16="NA",G16=""),"No Criteria",(IF(AND(Q16="NA",D16&lt;&gt;"NA",G16&lt;&gt;"NA"),                                               "Missing Data",(IF(Q16&lt;G16,"No","Needed")))))))))),"---")</f>
        <v>---</v>
      </c>
      <c r="C16" s="350" t="str">
        <f>IF(Start!$C$16="x",IF(OR(D16 ="NA",E16="NA"),"NA",IF(AND(D16= "",E16=""),"",IF(AND(D16= "",E16&lt;&gt; ""),"Missing Data",                     IF(AND(D16&lt;&gt; "",E16= ""),"Missing Data",(IF(OR(G16="NA",G16=""),"No Criteria",(IF(AND(S16="NA",D16&lt;&gt;"NA",G16&lt;&gt;"NA"),                                               "Missing Data",(IF(S16&lt;G16,"No","Needed")))))))))),"---")</f>
        <v>---</v>
      </c>
      <c r="D16" s="372" t="str">
        <f>IF(TRUE=ISBLANK(ChemData!B16),"",(ChemData!B16))</f>
        <v/>
      </c>
      <c r="E16" s="373" t="str">
        <f>IF(TRUE=ISBLANK(ChemData!C16),"",(ChemData!C16))</f>
        <v/>
      </c>
      <c r="F16" s="374" t="str">
        <f>IF(TRUE=ISBLANK(ChemData!D16),"",(ChemData!D16))</f>
        <v/>
      </c>
      <c r="G16" s="289">
        <f>IF(TRUE=ISBLANK(ChemData!I16),"",(ChemData!I16))</f>
        <v>1.6</v>
      </c>
      <c r="H16" s="290">
        <f>IF(TRUE=ISBLANK(ChemData!Q16),"",(ChemData!Q16))</f>
        <v>3</v>
      </c>
      <c r="I16" s="290">
        <f>IF(TRUE=ISBLANK(ChemData!R16),"",(ChemData!R16))</f>
        <v>3</v>
      </c>
      <c r="J16" s="290" t="str">
        <f>IF(TRUE=ISBLANK(ChemData!S16),"",(ChemData!S16))</f>
        <v>NA</v>
      </c>
      <c r="K16" s="291" t="str">
        <f>IF(TRUE=ISBLANK(ChemData!T16),"",(ChemData!T16))</f>
        <v>NA</v>
      </c>
      <c r="L16" s="375" t="str">
        <f>IF(Start!$C$16="x",IF(OR(D16="NA",D16=""),"NA", IF(OR($J16 = "NA",J16=""),"NA",IF(100/Data!$D$10&gt;Data!$D$13,(D16*$J16)/(Data!$D$10/100),(D16*$J16)*Data!$D$13))),"---")</f>
        <v>---</v>
      </c>
      <c r="M16" s="377" t="str">
        <f>IF(Start!$C$16="x",IF(OR(D16="NA",D16=""),"NA", IF(OR($K16 = "NA",K16=""),"NA",IF(100/Data!$D$10&gt;Data!$D$13,(D16*$K16)/(Data!$D$10/100),(D16*$K16)*Data!$D$13))),"---")</f>
        <v>---</v>
      </c>
      <c r="N16" s="375" t="str">
        <f>L16</f>
        <v>---</v>
      </c>
      <c r="O16" s="377" t="str">
        <f>M16</f>
        <v>---</v>
      </c>
      <c r="P16" s="461" t="str">
        <f>IF(Start!$C$16="x",(IF(L16 = "NA","NA", (IF(OR($H16 = "NA",H16=""), "NA",(IF(OR(ChemData!U16="NA",ChemData!U16=""),L16/((Data!$D$33+((1-Data!$D$33)*Data!$D$14*$H16))/((1-Data!$D$33)*Data!$D$14*1000)),(IF(L16/((Data!$D$33+((1-Data!$D$33)*Data!$D$14*$H16))/((1-Data!$D$33)*Data!$D$14*1000))&gt;ChemData!U16, ChemData!U16, L16/((Data!$D$33+((1-Data!$D$33)*Data!$D$14*$H16))/((1-Data!$D$33)*Data!$D$14*1000)))))))))),"---")</f>
        <v>---</v>
      </c>
      <c r="Q16" s="376" t="str">
        <f>IF(Start!$C$16="x",IF(OR($F16 = "NA",F16=""), "NA", IF(P16= "NA", "NA",(P16+(Data!$D$30*$F16))/(Data!$D$30+1))),"---")</f>
        <v>---</v>
      </c>
      <c r="R16" s="376" t="str">
        <f>IF(Start!$C$16="x",IF(O16 = "NA","NA", IF(OR($I16 = "NA",I16=""), "NA",(IF(OR(ChemData!U16="NA",ChemData!U16=""),O16/((Data!$D$35+((1-Data!$D$35)*Data!$D$14*$I16))/((1-Data!$D$35)*Data!$D$14*1000)),(IF(O16/((Data!$D$35+((1-Data!$D$35)*Data!$D$14*$I16))/((1-Data!$D$35)*Data!$D$14*1000))&gt;ChemData!U16, ChemData!U16, O16/((Data!$D$35+((1-Data!$D$35)*Data!$D$14*$I16))/((1-Data!$D$35)*Data!$D$14*1000)))))))),"---")</f>
        <v>---</v>
      </c>
      <c r="S16" s="377" t="str">
        <f>IF(Start!$C$16="x",IF(OR($F16 = "NA",F16=""), "NA", IF(R16= "NA", "NA",(R16+(Data!$D$30*$F16))/(Data!$D$30+1))),"---")</f>
        <v>---</v>
      </c>
      <c r="T16" s="343" t="str">
        <f>IF(Start!$C$16="x",IF(AND(D16= "",E16=""),"",IF(Q16="NA","NA",IF(G16="NA","NA",IF(G16=0,"NA",(Q16/G16))))),"Not Req.")</f>
        <v>Not Req.</v>
      </c>
      <c r="U16" s="343" t="str">
        <f>IF(Start!$C$16="x",IF(AND(D16= "",E16=""),"",IF(S16="NA","NA",IF(G16="NA","NA",IF(G16=0,"NA",(S16/G16))))),"Not Req.")</f>
        <v>Not Req.</v>
      </c>
      <c r="V16" s="11"/>
    </row>
    <row r="17" spans="1:22" s="10" customFormat="1" x14ac:dyDescent="0.25">
      <c r="A17" s="307" t="s">
        <v>335</v>
      </c>
      <c r="B17" s="348" t="str">
        <f>IF(Start!$C$16="x",IF(OR(D17 ="NA",E17="NA"),"NA",IF(AND(D17= "",E17=""),"",IF(AND(D17= "",E17&lt;&gt; ""),"Missing Data",                     IF(AND(D17&lt;&gt; "",E17= ""),"Missing Data",(IF(OR(G17="NA",G17=""),"No Criteria",(IF(AND(Q17="NA",D17&lt;&gt;"NA",G17&lt;&gt;"NA"),                                               "Missing Data",(IF(Q17&lt;G17,"No","Needed")))))))))),"---")</f>
        <v>---</v>
      </c>
      <c r="C17" s="350" t="str">
        <f>IF(Start!$C$16="x",IF(OR(D17 ="NA",E17="NA"),"NA",IF(AND(D17= "",E17=""),"",IF(AND(D17= "",E17&lt;&gt; ""),"Missing Data",                     IF(AND(D17&lt;&gt; "",E17= ""),"Missing Data",(IF(OR(G17="NA",G17=""),"No Criteria",(IF(AND(S17="NA",D17&lt;&gt;"NA",G17&lt;&gt;"NA"),                                               "Missing Data",(IF(S17&lt;G17,"No","Needed")))))))))),"---")</f>
        <v>---</v>
      </c>
      <c r="D17" s="372" t="str">
        <f>IF(TRUE=ISBLANK(ChemData!B17),"",(ChemData!B17))</f>
        <v/>
      </c>
      <c r="E17" s="373" t="str">
        <f>IF(TRUE=ISBLANK(ChemData!C17),"",(ChemData!C17))</f>
        <v/>
      </c>
      <c r="F17" s="374" t="str">
        <f>IF(TRUE=ISBLANK(ChemData!D17),"",(ChemData!D17))</f>
        <v/>
      </c>
      <c r="G17" s="289">
        <f>IF(TRUE=ISBLANK(ChemData!I17),"",(ChemData!I17))</f>
        <v>2.2000000000000002</v>
      </c>
      <c r="H17" s="290">
        <f>IF(TRUE=ISBLANK(ChemData!Q17),"",(ChemData!Q17))</f>
        <v>60</v>
      </c>
      <c r="I17" s="290">
        <f>IF(TRUE=ISBLANK(ChemData!R17),"",(ChemData!R17))</f>
        <v>30</v>
      </c>
      <c r="J17" s="290">
        <f>IF(TRUE=ISBLANK(ChemData!S17),"",(ChemData!S17))</f>
        <v>0.05</v>
      </c>
      <c r="K17" s="291">
        <f>IF(TRUE=ISBLANK(ChemData!T17),"",(ChemData!T17))</f>
        <v>0.5</v>
      </c>
      <c r="L17" s="375" t="str">
        <f>IF(Start!$C$16="x",IF(OR(D17="NA",D17=""),"NA", IF(OR($J17 = "NA",J17=""),"NA",IF(100/Data!$D$10&gt;Data!$D$13,(D17*$J17)/(Data!$D$10/100),(D17*$J17)*Data!$D$13))),"---")</f>
        <v>---</v>
      </c>
      <c r="M17" s="377" t="str">
        <f>IF(Start!$C$16="x",IF(OR(D17="NA",D17=""),"NA", IF(OR($K17 = "NA",K17=""),"NA",IF(100/Data!$D$10&gt;Data!$D$13,(D17*$K17)/(Data!$D$10/100),(D17*$K17)*Data!$D$13))),"---")</f>
        <v>---</v>
      </c>
      <c r="N17" s="375" t="str">
        <f t="shared" si="1"/>
        <v>---</v>
      </c>
      <c r="O17" s="377" t="str">
        <f t="shared" si="0"/>
        <v>---</v>
      </c>
      <c r="P17" s="461" t="str">
        <f>IF(Start!$C$16="x",(IF(L17 = "NA","NA", (IF(OR($H17 = "NA",H17=""), "NA",(IF(OR(ChemData!U17="NA",ChemData!U17=""),L17/((Data!$D$33+((1-Data!$D$33)*Data!$D$14*$H17))/((1-Data!$D$33)*Data!$D$14*1000)),(IF(L17/((Data!$D$33+((1-Data!$D$33)*Data!$D$14*$H17))/((1-Data!$D$33)*Data!$D$14*1000))&gt;ChemData!U17, ChemData!U17, L17/((Data!$D$33+((1-Data!$D$33)*Data!$D$14*$H17))/((1-Data!$D$33)*Data!$D$14*1000)))))))))),"---")</f>
        <v>---</v>
      </c>
      <c r="Q17" s="376" t="str">
        <f>IF(Start!$C$16="x",IF(OR($F17 = "NA",F17=""), "NA", IF(P17= "NA", "NA",(P17+(Data!$D$30*$F17))/(Data!$D$30+1))),"---")</f>
        <v>---</v>
      </c>
      <c r="R17" s="376" t="str">
        <f>IF(Start!$C$16="x",IF(O17 = "NA","NA", IF(OR($I17 = "NA",I17=""), "NA",(IF(OR(ChemData!U17="NA",ChemData!U17=""),O17/((Data!$D$35+((1-Data!$D$35)*Data!$D$14*$I17))/((1-Data!$D$35)*Data!$D$14*1000)),(IF(O17/((Data!$D$35+((1-Data!$D$35)*Data!$D$14*$I17))/((1-Data!$D$35)*Data!$D$14*1000))&gt;ChemData!U17, ChemData!U17, O17/((Data!$D$35+((1-Data!$D$35)*Data!$D$14*$I17))/((1-Data!$D$35)*Data!$D$14*1000)))))))),"---")</f>
        <v>---</v>
      </c>
      <c r="S17" s="377" t="str">
        <f>IF(Start!$C$16="x",IF(OR($F17 = "NA",F17=""), "NA", IF(R17= "NA", "NA",(R17+(Data!$D$30*$F17))/(Data!$D$30+1))),"---")</f>
        <v>---</v>
      </c>
      <c r="T17" s="343" t="str">
        <f>IF(Start!$C$16="x",IF(AND(D17= "",E17=""),"",IF(Q17="NA","NA",IF(G17="NA","NA",IF(G17=0,"NA",(Q17/G17))))),"Not Req.")</f>
        <v>Not Req.</v>
      </c>
      <c r="U17" s="343" t="str">
        <f>IF(Start!$C$16="x",IF(AND(D17= "",E17=""),"",IF(S17="NA","NA",IF(G17="NA","NA",IF(G17=0,"NA",(S17/G17))))),"Not Req.")</f>
        <v>Not Req.</v>
      </c>
      <c r="V17" s="11"/>
    </row>
    <row r="18" spans="1:22" s="10" customFormat="1" x14ac:dyDescent="0.25">
      <c r="A18" s="996" t="s">
        <v>336</v>
      </c>
      <c r="B18" s="997" t="str">
        <f>IF(Start!$C$16="x",IF(OR(D18 ="NA",E18="NA"),"NA",IF(AND(D18= "",E18=""),"",IF(AND(D18= "",E18&lt;&gt; ""),"Missing Data",                     IF(AND(D18&lt;&gt; "",E18= ""),"Missing Data",(IF(OR(G18="NA",G18=""),"No Criteria",(IF(AND(Q18="NA",D18&lt;&gt;"NA",G18&lt;&gt;"NA"),                                               "Missing Data",(IF(Q18&lt;G18,"No","Needed")))))))))),"---")</f>
        <v>---</v>
      </c>
      <c r="C18" s="998" t="str">
        <f>IF(Start!$C$16="x",IF(OR(D18 ="NA",E18="NA"),"NA",IF(AND(D18= "",E18=""),"",IF(AND(D18= "",E18&lt;&gt; ""),"Missing Data",                     IF(AND(D18&lt;&gt; "",E18= ""),"Missing Data",(IF(OR(G18="NA",G18=""),"No Criteria",(IF(AND(S18="NA",D18&lt;&gt;"NA",G18&lt;&gt;"NA"),                                               "Missing Data",(IF(S18&lt;G18,"No","Needed")))))))))),"---")</f>
        <v>---</v>
      </c>
      <c r="D18" s="372" t="str">
        <f>IF(TRUE=ISBLANK(ChemData!B18),"",(ChemData!B18))</f>
        <v/>
      </c>
      <c r="E18" s="373" t="str">
        <f>IF(TRUE=ISBLANK(ChemData!C18),"",(ChemData!C18))</f>
        <v/>
      </c>
      <c r="F18" s="374" t="str">
        <f>IF(TRUE=ISBLANK(ChemData!D18),"",(ChemData!D18))</f>
        <v/>
      </c>
      <c r="G18" s="969">
        <f>IF(TRUE=ISBLANK(ChemData!I18),"",(ChemData!I18))</f>
        <v>74</v>
      </c>
      <c r="H18" s="970">
        <f>IF(TRUE=ISBLANK(ChemData!Q18),"",(ChemData!Q18))</f>
        <v>200</v>
      </c>
      <c r="I18" s="970">
        <f>IF(TRUE=ISBLANK(ChemData!R18),"",(ChemData!R18))</f>
        <v>120.595</v>
      </c>
      <c r="J18" s="970">
        <f>IF(TRUE=ISBLANK(ChemData!S18),"",(ChemData!S18))</f>
        <v>6.0000000000000001E-3</v>
      </c>
      <c r="K18" s="971">
        <f>IF(TRUE=ISBLANK(ChemData!T18),"",(ChemData!T18))</f>
        <v>0.01</v>
      </c>
      <c r="L18" s="972" t="str">
        <f>IF(Start!$C$16="x",IF(OR(D18="NA",D18=""),"NA", IF(OR($J18 = "NA",J18=""),"NA",IF(100/Data!$D$10&gt;Data!$D$13,(D18*$J18)/(Data!$D$10/100),(D18*$J18)*Data!$D$13))),"---")</f>
        <v>---</v>
      </c>
      <c r="M18" s="974" t="str">
        <f>IF(Start!$C$16="x",IF(OR(D18="NA",D18=""),"NA", IF(OR($K18 = "NA",K18=""),"NA",IF(100/Data!$D$10&gt;Data!$D$13,(D18*$K18)/(Data!$D$10/100),(D18*$K18)*Data!$D$13))),"---")</f>
        <v>---</v>
      </c>
      <c r="N18" s="972" t="str">
        <f>L18</f>
        <v>---</v>
      </c>
      <c r="O18" s="974" t="str">
        <f>M18</f>
        <v>---</v>
      </c>
      <c r="P18" s="999" t="str">
        <f>IF(Start!$C$16="x",(IF(L18 = "NA","NA", (IF(OR($H18 = "NA",H18=""), "NA",(IF(OR(ChemData!U18="NA",ChemData!U18=""),L18/((Data!$D$33+((1-Data!$D$33)*Data!$D$14*$H18))/((1-Data!$D$33)*Data!$D$14*1000)),(IF(L18/((Data!$D$33+((1-Data!$D$33)*Data!$D$14*$H18))/((1-Data!$D$33)*Data!$D$14*1000))&gt;ChemData!U18, ChemData!U18, L18/((Data!$D$33+((1-Data!$D$33)*Data!$D$14*$H18))/((1-Data!$D$33)*Data!$D$14*1000)))))))))),"---")</f>
        <v>---</v>
      </c>
      <c r="Q18" s="973" t="str">
        <f>IF(Start!$C$16="x",IF(OR($F18 = "NA",F18=""), "NA", IF(P18= "NA", "NA",(P18+(Data!$D$30*$F18))/(Data!$D$30+1))),"---")</f>
        <v>---</v>
      </c>
      <c r="R18" s="973" t="str">
        <f>IF(Start!$C$16="x",IF(O18 = "NA","NA", IF(OR($I18 = "NA",I18=""), "NA",(IF(OR(ChemData!U18="NA",ChemData!U18=""),O18/((Data!$D$35+((1-Data!$D$35)*Data!$D$14*$I18))/((1-Data!$D$35)*Data!$D$14*1000)),(IF(O18/((Data!$D$35+((1-Data!$D$35)*Data!$D$14*$I18))/((1-Data!$D$35)*Data!$D$14*1000))&gt;ChemData!U18, ChemData!U18, O18/((Data!$D$35+((1-Data!$D$35)*Data!$D$14*$I18))/((1-Data!$D$35)*Data!$D$14*1000)))))))),"---")</f>
        <v>---</v>
      </c>
      <c r="S18" s="974" t="str">
        <f>IF(Start!$C$16="x",IF(OR($F18 = "NA",F18=""), "NA", IF(R18= "NA", "NA",(R18+(Data!$D$30*$F18))/(Data!$D$30+1))),"---")</f>
        <v>---</v>
      </c>
      <c r="T18" s="976" t="str">
        <f>IF(Start!$C$16="x",IF(AND(D18= "",E18=""),"",IF(Q18="NA","NA",IF(G18="NA","NA",IF(G18=0,"NA",(Q18/G18))))),"Not Req.")</f>
        <v>Not Req.</v>
      </c>
      <c r="U18" s="976" t="str">
        <f>IF(Start!$C$16="x",IF(AND(D18= "",E18=""),"",IF(S18="NA","NA",IF(G18="NA","NA",IF(G18=0,"NA",(S18/G18))))),"Not Req.")</f>
        <v>Not Req.</v>
      </c>
      <c r="V18" s="11"/>
    </row>
    <row r="19" spans="1:22" s="10" customFormat="1" x14ac:dyDescent="0.25">
      <c r="A19" s="307" t="s">
        <v>337</v>
      </c>
      <c r="B19" s="348" t="str">
        <f>IF(Start!$C$16="x",IF(OR(D19 ="NA",E19="NA"),"NA",IF(AND(D19= "",E19=""),"",IF(AND(D19= "",E19&lt;&gt; ""),"Missing Data",                     IF(AND(D19&lt;&gt; "",E19= ""),"Missing Data",(IF(OR(G19="NA",G19=""),"No Criteria",(IF(AND(Q19="NA",D19&lt;&gt;"NA",G19&lt;&gt;"NA"),                                               "Missing Data",(IF(Q19&lt;G19,"No","Needed")))))))))),"---")</f>
        <v>---</v>
      </c>
      <c r="C19" s="350" t="str">
        <f>IF(Start!$C$16="x",IF(OR(D19 ="NA",E19="NA"),"NA",IF(AND(D19= "",E19=""),"",IF(AND(D19= "",E19&lt;&gt; ""),"Missing Data",                     IF(AND(D19&lt;&gt; "",E19= ""),"Missing Data",(IF(OR(G19="NA",G19=""),"No Criteria",(IF(AND(S19="NA",D19&lt;&gt;"NA",G19&lt;&gt;"NA"),                                               "Missing Data",(IF(S19&lt;G19,"No","Needed")))))))))),"---")</f>
        <v>---</v>
      </c>
      <c r="D19" s="372" t="str">
        <f>IF(TRUE=ISBLANK(ChemData!B19),"",(ChemData!B19))</f>
        <v/>
      </c>
      <c r="E19" s="373" t="str">
        <f>IF(TRUE=ISBLANK(ChemData!C19),"",(ChemData!C19))</f>
        <v/>
      </c>
      <c r="F19" s="374" t="str">
        <f>IF(TRUE=ISBLANK(ChemData!D19),"",(ChemData!D19))</f>
        <v/>
      </c>
      <c r="G19" s="289">
        <f>IF(TRUE=ISBLANK(ChemData!I19),"",(ChemData!I19))</f>
        <v>11</v>
      </c>
      <c r="H19" s="290">
        <f>IF(TRUE=ISBLANK(ChemData!Q19),"",(ChemData!Q19))</f>
        <v>200</v>
      </c>
      <c r="I19" s="290">
        <f>IF(TRUE=ISBLANK(ChemData!R19),"",(ChemData!R19))</f>
        <v>120.595</v>
      </c>
      <c r="J19" s="290">
        <f>IF(TRUE=ISBLANK(ChemData!S19),"",(ChemData!S19))</f>
        <v>6.0000000000000001E-3</v>
      </c>
      <c r="K19" s="291">
        <f>IF(TRUE=ISBLANK(ChemData!T19),"",(ChemData!T19))</f>
        <v>0.01</v>
      </c>
      <c r="L19" s="375" t="str">
        <f>IF(Start!$C$16="x",IF(OR(D19="NA",D19=""),"NA", IF(OR($J19 = "NA",J19=""),"NA",IF(100/Data!$D$10&gt;Data!$D$13,(D19*$J19)/(Data!$D$10/100),(D19*$J19)*Data!$D$13))),"---")</f>
        <v>---</v>
      </c>
      <c r="M19" s="377" t="str">
        <f>IF(Start!$C$16="x",IF(OR(D19="NA",D19=""),"NA", IF(OR($K19 = "NA",K19=""),"NA",IF(100/Data!$D$10&gt;Data!$D$13,(D19*$K19)/(Data!$D$10/100),(D19*$K19)*Data!$D$13))),"---")</f>
        <v>---</v>
      </c>
      <c r="N19" s="375" t="str">
        <f>L19</f>
        <v>---</v>
      </c>
      <c r="O19" s="377" t="str">
        <f>M19</f>
        <v>---</v>
      </c>
      <c r="P19" s="461" t="str">
        <f>IF(Start!$C$16="x",(IF(L19 = "NA","NA", (IF(OR($H19 = "NA",H19=""), "NA",(IF(OR(ChemData!U19="NA",ChemData!U19=""),L19/((Data!$D$33+((1-Data!$D$33)*Data!$D$14*$H19))/((1-Data!$D$33)*Data!$D$14*1000)),(IF(L19/((Data!$D$33+((1-Data!$D$33)*Data!$D$14*$H19))/((1-Data!$D$33)*Data!$D$14*1000))&gt;ChemData!U19, ChemData!U19, L19/((Data!$D$33+((1-Data!$D$33)*Data!$D$14*$H19))/((1-Data!$D$33)*Data!$D$14*1000)))))))))),"---")</f>
        <v>---</v>
      </c>
      <c r="Q19" s="376" t="str">
        <f>IF(Start!$C$16="x",IF(OR($F19 = "NA",F19=""), "NA", IF(P19= "NA", "NA",(P19+(Data!$D$30*$F19))/(Data!$D$30+1))),"---")</f>
        <v>---</v>
      </c>
      <c r="R19" s="376" t="str">
        <f>IF(Start!$C$16="x",IF(O19 = "NA","NA", IF(OR($I19 = "NA",I19=""), "NA",(IF(OR(ChemData!U19="NA",ChemData!U19=""),O19/((Data!$D$35+((1-Data!$D$35)*Data!$D$14*$I19))/((1-Data!$D$35)*Data!$D$14*1000)),(IF(O19/((Data!$D$35+((1-Data!$D$35)*Data!$D$14*$I19))/((1-Data!$D$35)*Data!$D$14*1000))&gt;ChemData!U19, ChemData!U19, O19/((Data!$D$35+((1-Data!$D$35)*Data!$D$14*$I19))/((1-Data!$D$35)*Data!$D$14*1000)))))))),"---")</f>
        <v>---</v>
      </c>
      <c r="S19" s="377" t="str">
        <f>IF(Start!$C$16="x",IF(OR($F19 = "NA",F19=""), "NA", IF(R19= "NA", "NA",(R19+(Data!$D$30*$F19))/(Data!$D$30+1))),"---")</f>
        <v>---</v>
      </c>
      <c r="T19" s="343" t="str">
        <f>IF(Start!$C$16="x",IF(AND(D19= "",E19=""),"",IF(Q19="NA","NA",IF(G19="NA","NA",IF(G19=0,"NA",(Q19/G19))))),"Not Req.")</f>
        <v>Not Req.</v>
      </c>
      <c r="U19" s="343" t="str">
        <f>IF(Start!$C$16="x",IF(AND(D19= "",E19=""),"",IF(S19="NA","NA",IF(G19="NA","NA",IF(G19=0,"NA",(S19/G19))))),"Not Req.")</f>
        <v>Not Req.</v>
      </c>
      <c r="V19" s="11"/>
    </row>
    <row r="20" spans="1:22" s="10" customFormat="1" x14ac:dyDescent="0.25">
      <c r="A20" s="307" t="s">
        <v>338</v>
      </c>
      <c r="B20" s="348" t="str">
        <f>IF(Start!$C$16="x",IF(OR(D20 ="NA",E20="NA"),"NA",IF(AND(D20= "",E20=""),"",IF(AND(D20= "",E20&lt;&gt; ""),"Missing Data",                     IF(AND(D20&lt;&gt; "",E20= ""),"Missing Data",(IF(OR(G20="NA",G20=""),"No Criteria",(IF(AND(Q20="NA",D20&lt;&gt;"NA",G20&lt;&gt;"NA"),                                               "Missing Data",(IF(Q20&lt;G20,"No","Needed")))))))))),"---")</f>
        <v>---</v>
      </c>
      <c r="C20" s="350" t="str">
        <f>IF(Start!$C$16="x",IF(OR(D20 ="NA",E20="NA"),"NA",IF(AND(D20= "",E20=""),"",IF(AND(D20= "",E20&lt;&gt; ""),"Missing Data",                     IF(AND(D20&lt;&gt; "",E20= ""),"Missing Data",(IF(OR(G20="NA",G20=""),"No Criteria",(IF(AND(S20="NA",D20&lt;&gt;"NA",G20&lt;&gt;"NA"),                                               "Missing Data",(IF(S20&lt;G20,"No","Needed")))))))))),"---")</f>
        <v>---</v>
      </c>
      <c r="D20" s="372" t="str">
        <f>IF(TRUE=ISBLANK(ChemData!B20),"",(ChemData!B20))</f>
        <v/>
      </c>
      <c r="E20" s="373" t="str">
        <f>IF(TRUE=ISBLANK(ChemData!C20),"",(ChemData!C20))</f>
        <v/>
      </c>
      <c r="F20" s="374" t="str">
        <f>IF(TRUE=ISBLANK(ChemData!D20),"",(ChemData!D20))</f>
        <v/>
      </c>
      <c r="G20" s="289">
        <f>IF(TRUE=ISBLANK(ChemData!I20),"",(ChemData!I20))</f>
        <v>23</v>
      </c>
      <c r="H20" s="290">
        <f>IF(TRUE=ISBLANK(ChemData!Q20),"",(ChemData!Q20))</f>
        <v>800</v>
      </c>
      <c r="I20" s="290">
        <f>IF(TRUE=ISBLANK(ChemData!R20),"",(ChemData!R20))</f>
        <v>80</v>
      </c>
      <c r="J20" s="290">
        <f>IF(TRUE=ISBLANK(ChemData!S20),"",(ChemData!S20))</f>
        <v>1</v>
      </c>
      <c r="K20" s="291">
        <f>IF(TRUE=ISBLANK(ChemData!T20),"",(ChemData!T20))</f>
        <v>1</v>
      </c>
      <c r="L20" s="375" t="str">
        <f>IF(Start!$C$16="x",IF(OR(D20="NA",D20=""),"NA", IF(OR($J20 = "NA",J20=""),"NA",IF(100/Data!$D$10&gt;Data!$D$13,(D20*$J20)/(Data!$D$10/100),(D20*$J20)*Data!$D$13))),"---")</f>
        <v>---</v>
      </c>
      <c r="M20" s="377" t="str">
        <f>IF(Start!$C$16="x",IF(OR(D20="NA",D20=""),"NA", IF(OR($K20 = "NA",K20=""),"NA",IF(100/Data!$D$10&gt;Data!$D$13,(D20*$K20)/(Data!$D$10/100),(D20*$K20)*Data!$D$13))),"---")</f>
        <v>---</v>
      </c>
      <c r="N20" s="375" t="str">
        <f t="shared" si="1"/>
        <v>---</v>
      </c>
      <c r="O20" s="377" t="str">
        <f t="shared" si="0"/>
        <v>---</v>
      </c>
      <c r="P20" s="461" t="str">
        <f>IF(Start!$C$16="x",(IF(L20 = "NA","NA", (IF(OR($H20 = "NA",H20=""), "NA",(IF(OR(ChemData!U20="NA",ChemData!U20=""),L20/((Data!$D$33+((1-Data!$D$33)*Data!$D$14*$H20))/((1-Data!$D$33)*Data!$D$14*1000)),(IF(L20/((Data!$D$33+((1-Data!$D$33)*Data!$D$14*$H20))/((1-Data!$D$33)*Data!$D$14*1000))&gt;ChemData!U20, ChemData!U20, L20/((Data!$D$33+((1-Data!$D$33)*Data!$D$14*$H20))/((1-Data!$D$33)*Data!$D$14*1000)))))))))),"---")</f>
        <v>---</v>
      </c>
      <c r="Q20" s="376" t="str">
        <f>IF(Start!$C$16="x",IF(OR($F20 = "NA",F20=""), "NA", IF(P20= "NA", "NA",(P20+(Data!$D$30*$F20))/(Data!$D$30+1))),"---")</f>
        <v>---</v>
      </c>
      <c r="R20" s="376" t="str">
        <f>IF(Start!$C$16="x",IF(O20 = "NA","NA", IF(OR($I20 = "NA",I20=""), "NA",(IF(OR(ChemData!U20="NA",ChemData!U20=""),O20/((Data!$D$35+((1-Data!$D$35)*Data!$D$14*$I20))/((1-Data!$D$35)*Data!$D$14*1000)),(IF(O20/((Data!$D$35+((1-Data!$D$35)*Data!$D$14*$I20))/((1-Data!$D$35)*Data!$D$14*1000))&gt;ChemData!U20, ChemData!U20, O20/((Data!$D$35+((1-Data!$D$35)*Data!$D$14*$I20))/((1-Data!$D$35)*Data!$D$14*1000)))))))),"---")</f>
        <v>---</v>
      </c>
      <c r="S20" s="377" t="str">
        <f>IF(Start!$C$16="x",IF(OR($F20 = "NA",F20=""), "NA", IF(R20= "NA", "NA",(R20+(Data!$D$30*$F20))/(Data!$D$30+1))),"---")</f>
        <v>---</v>
      </c>
      <c r="T20" s="343" t="str">
        <f>IF(Start!$C$16="x",IF(AND(D20= "",E20=""),"",IF(Q20="NA","NA",IF(G20="NA","NA",IF(G20=0,"NA",(Q20/G20))))),"Not Req.")</f>
        <v>Not Req.</v>
      </c>
      <c r="U20" s="343" t="str">
        <f>IF(Start!$C$16="x",IF(AND(D20= "",E20=""),"",IF(S20="NA","NA",IF(G20="NA","NA",IF(G20=0,"NA",(S20/G20))))),"Not Req.")</f>
        <v>Not Req.</v>
      </c>
      <c r="V20" s="11"/>
    </row>
    <row r="21" spans="1:22" s="10" customFormat="1" x14ac:dyDescent="0.25">
      <c r="A21" s="307" t="s">
        <v>339</v>
      </c>
      <c r="B21" s="348" t="str">
        <f>IF(Start!$C$16="x",IF(OR(D21 ="NA",E21="NA"),"NA",IF(AND(D21= "",E21=""),"",IF(AND(D21= "",E21&lt;&gt; ""),"Missing Data",                     IF(AND(D21&lt;&gt; "",E21= ""),"Missing Data",(IF(OR(G21="NA",G21=""),"No Criteria",(IF(AND(Q21="NA",D21&lt;&gt;"NA",G21&lt;&gt;"NA"),                                               "Missing Data",(IF(Q21&lt;G21,"No","Needed")))))))))),"---")</f>
        <v>---</v>
      </c>
      <c r="C21" s="350" t="str">
        <f>IF(Start!$C$16="x",IF(OR(D21 ="NA",E21="NA"),"NA",IF(AND(D21= "",E21=""),"",IF(AND(D21= "",E21&lt;&gt; ""),"Missing Data",                     IF(AND(D21&lt;&gt; "",E21= ""),"Missing Data",(IF(OR(G21="NA",G21=""),"No Criteria",(IF(AND(S21="NA",D21&lt;&gt;"NA",G21&lt;&gt;"NA"),                                               "Missing Data",(IF(S21&lt;G21,"No","Needed")))))))))),"---")</f>
        <v>---</v>
      </c>
      <c r="D21" s="372" t="str">
        <f>IF(TRUE=ISBLANK(ChemData!B21),"",(ChemData!B21))</f>
        <v/>
      </c>
      <c r="E21" s="373" t="str">
        <f>IF(TRUE=ISBLANK(ChemData!C21),"",(ChemData!C21))</f>
        <v/>
      </c>
      <c r="F21" s="374" t="str">
        <f>IF(TRUE=ISBLANK(ChemData!D21),"",(ChemData!D21))</f>
        <v/>
      </c>
      <c r="G21" s="289">
        <f>IF(TRUE=ISBLANK(ChemData!I21),"",(ChemData!I21))</f>
        <v>9</v>
      </c>
      <c r="H21" s="290">
        <f>IF(TRUE=ISBLANK(ChemData!Q21),"",(ChemData!Q21))</f>
        <v>120</v>
      </c>
      <c r="I21" s="290">
        <f>IF(TRUE=ISBLANK(ChemData!R21),"",(ChemData!R21))</f>
        <v>8.4990000000000006</v>
      </c>
      <c r="J21" s="290">
        <f>IF(TRUE=ISBLANK(ChemData!S21),"",(ChemData!S21))</f>
        <v>0.03</v>
      </c>
      <c r="K21" s="291">
        <f>IF(TRUE=ISBLANK(ChemData!T21),"",(ChemData!T21))</f>
        <v>0.15</v>
      </c>
      <c r="L21" s="375" t="str">
        <f>IF(Start!$C$16="x",IF(OR(D21="NA",D21=""),"NA", IF(OR($J21 = "NA",J21=""),"NA",IF(100/Data!$D$10&gt;Data!$D$13,(D21*$J21)/(Data!$D$10/100),(D21*$J21)*Data!$D$13))),"---")</f>
        <v>---</v>
      </c>
      <c r="M21" s="377" t="str">
        <f>IF(Start!$C$16="x",IF(OR(D21="NA",D21=""),"NA", IF(OR($K21 = "NA",K21=""),"NA",IF(100/Data!$D$10&gt;Data!$D$13,(D21*$K21)/(Data!$D$10/100),(D21*$K21)*Data!$D$13))),"---")</f>
        <v>---</v>
      </c>
      <c r="N21" s="375" t="str">
        <f t="shared" si="1"/>
        <v>---</v>
      </c>
      <c r="O21" s="377" t="str">
        <f t="shared" si="0"/>
        <v>---</v>
      </c>
      <c r="P21" s="461" t="str">
        <f>IF(Start!$C$16="x",(IF(L21 = "NA","NA", (IF(OR($H21 = "NA",H21=""), "NA",(IF(OR(ChemData!U21="NA",ChemData!U21=""),L21/((Data!$D$33+((1-Data!$D$33)*Data!$D$14*$H21))/((1-Data!$D$33)*Data!$D$14*1000)),(IF(L21/((Data!$D$33+((1-Data!$D$33)*Data!$D$14*$H21))/((1-Data!$D$33)*Data!$D$14*1000))&gt;ChemData!U21, ChemData!U21, L21/((Data!$D$33+((1-Data!$D$33)*Data!$D$14*$H21))/((1-Data!$D$33)*Data!$D$14*1000)))))))))),"---")</f>
        <v>---</v>
      </c>
      <c r="Q21" s="376" t="str">
        <f>IF(Start!$C$16="x",IF(OR($F21 = "NA",F21=""), "NA", IF(P21= "NA", "NA",(P21+(Data!$D$30*$F21))/(Data!$D$30+1))),"---")</f>
        <v>---</v>
      </c>
      <c r="R21" s="376" t="str">
        <f>IF(Start!$C$16="x",IF(O21 = "NA","NA", IF(OR($I21 = "NA",I21=""), "NA",(IF(OR(ChemData!U21="NA",ChemData!U21=""),O21/((Data!$D$35+((1-Data!$D$35)*Data!$D$14*$I21))/((1-Data!$D$35)*Data!$D$14*1000)),(IF(O21/((Data!$D$35+((1-Data!$D$35)*Data!$D$14*$I21))/((1-Data!$D$35)*Data!$D$14*1000))&gt;ChemData!U21, ChemData!U21, O21/((Data!$D$35+((1-Data!$D$35)*Data!$D$14*$I21))/((1-Data!$D$35)*Data!$D$14*1000)))))))),"---")</f>
        <v>---</v>
      </c>
      <c r="S21" s="377" t="str">
        <f>IF(Start!$C$16="x",IF(OR($F21 = "NA",F21=""), "NA", IF(R21= "NA", "NA",(R21+(Data!$D$30*$F21))/(Data!$D$30+1))),"---")</f>
        <v>---</v>
      </c>
      <c r="T21" s="343" t="str">
        <f>IF(Start!$C$16="x",IF(AND(D21= "",E21=""),"",IF(Q21="NA","NA",IF(G21="NA","NA",IF(G21=0,"NA",(Q21/G21))))),"Not Req.")</f>
        <v>Not Req.</v>
      </c>
      <c r="U21" s="343" t="str">
        <f>IF(Start!$C$16="x",IF(AND(D21= "",E21=""),"",IF(S21="NA","NA",IF(G21="NA","NA",IF(G21=0,"NA",(S21/G21))))),"Not Req.")</f>
        <v>Not Req.</v>
      </c>
      <c r="V21" s="11"/>
    </row>
    <row r="22" spans="1:22" s="10" customFormat="1" x14ac:dyDescent="0.25">
      <c r="A22" s="307" t="s">
        <v>340</v>
      </c>
      <c r="B22" s="348" t="str">
        <f>IF(Start!$C$16="x",IF(OR(D22 ="NA",E22="NA"),"NA",IF(AND(D22= "",E22=""),"",IF(AND(D22= "",E22&lt;&gt; ""),"Missing Data",                     IF(AND(D22&lt;&gt; "",E22= ""),"Missing Data",(IF(OR(G22="NA",G22=""),"No Criteria",(IF(AND(Q22="NA",D22&lt;&gt;"NA",G22&lt;&gt;"NA"),                                               "Missing Data",(IF(Q22&lt;G22,"No","Needed")))))))))),"---")</f>
        <v>---</v>
      </c>
      <c r="C22" s="350" t="str">
        <f>IF(Start!$C$16="x",IF(OR(D22 ="NA",E22="NA"),"NA",IF(AND(D22= "",E22=""),"",IF(AND(D22= "",E22&lt;&gt; ""),"Missing Data",                     IF(AND(D22&lt;&gt; "",E22= ""),"Missing Data",(IF(OR(G22="NA",G22=""),"No Criteria",(IF(AND(S22="NA",D22&lt;&gt;"NA",G22&lt;&gt;"NA"),                                               "Missing Data",(IF(S22&lt;G22,"No","Needed")))))))))),"---")</f>
        <v>---</v>
      </c>
      <c r="D22" s="372" t="str">
        <f>IF(TRUE=ISBLANK(ChemData!B22),"",(ChemData!B22))</f>
        <v/>
      </c>
      <c r="E22" s="373" t="str">
        <f>IF(TRUE=ISBLANK(ChemData!C22),"",(ChemData!C22))</f>
        <v/>
      </c>
      <c r="F22" s="374" t="str">
        <f>IF(TRUE=ISBLANK(ChemData!D22),"",(ChemData!D22))</f>
        <v/>
      </c>
      <c r="G22" s="289">
        <f>IF(TRUE=ISBLANK(ChemData!I22),"",(ChemData!I22))</f>
        <v>1000</v>
      </c>
      <c r="H22" s="290">
        <f>IF(TRUE=ISBLANK(ChemData!Q22),"",(ChemData!Q22))</f>
        <v>25</v>
      </c>
      <c r="I22" s="290">
        <f>IF(TRUE=ISBLANK(ChemData!R22),"",(ChemData!R22))</f>
        <v>25</v>
      </c>
      <c r="J22" s="290" t="str">
        <f>IF(TRUE=ISBLANK(ChemData!S22),"",(ChemData!S22))</f>
        <v>NA</v>
      </c>
      <c r="K22" s="291" t="str">
        <f>IF(TRUE=ISBLANK(ChemData!T22),"",(ChemData!T22))</f>
        <v>NA</v>
      </c>
      <c r="L22" s="375" t="str">
        <f>IF(Start!$C$16="x",IF(OR(D22="NA",D22=""),"NA", IF(OR($J22 = "NA",J22=""),"NA",IF(100/Data!$D$10&gt;Data!$D$13,(D22*$J22)/(Data!$D$10/100),(D22*$J22)*Data!$D$13))),"---")</f>
        <v>---</v>
      </c>
      <c r="M22" s="377" t="str">
        <f>IF(Start!$C$16="x",IF(OR(D22="NA",D22=""),"NA", IF(OR($K22 = "NA",K22=""),"NA",IF(100/Data!$D$10&gt;Data!$D$13,(D22*$K22)/(Data!$D$10/100),(D22*$K22)*Data!$D$13))),"---")</f>
        <v>---</v>
      </c>
      <c r="N22" s="375" t="str">
        <f>L22</f>
        <v>---</v>
      </c>
      <c r="O22" s="377" t="str">
        <f>M22</f>
        <v>---</v>
      </c>
      <c r="P22" s="461" t="str">
        <f>IF(Start!$C$16="x",(IF(L22 = "NA","NA", (IF(OR($H22 = "NA",H22=""), "NA",(IF(OR(ChemData!U22="NA",ChemData!U22=""),L22/((Data!$D$33+((1-Data!$D$33)*Data!$D$14*$H22))/((1-Data!$D$33)*Data!$D$14*1000)),(IF(L22/((Data!$D$33+((1-Data!$D$33)*Data!$D$14*$H22))/((1-Data!$D$33)*Data!$D$14*1000))&gt;ChemData!U22, ChemData!U22, L22/((Data!$D$33+((1-Data!$D$33)*Data!$D$14*$H22))/((1-Data!$D$33)*Data!$D$14*1000)))))))))),"---")</f>
        <v>---</v>
      </c>
      <c r="Q22" s="376" t="str">
        <f>IF(Start!$C$16="x",IF(OR($F22 = "NA",F22=""), "NA", IF(P22= "NA", "NA",(P22+(Data!$D$30*$F22))/(Data!$D$30+1))),"---")</f>
        <v>---</v>
      </c>
      <c r="R22" s="376" t="str">
        <f>IF(Start!$C$16="x",IF(O22 = "NA","NA", IF(OR($I22 = "NA",I22=""), "NA",(IF(OR(ChemData!U22="NA",ChemData!U22=""),O22/((Data!$D$35+((1-Data!$D$35)*Data!$D$14*$I22))/((1-Data!$D$35)*Data!$D$14*1000)),(IF(O22/((Data!$D$35+((1-Data!$D$35)*Data!$D$14*$I22))/((1-Data!$D$35)*Data!$D$14*1000))&gt;ChemData!U22, ChemData!U22, O22/((Data!$D$35+((1-Data!$D$35)*Data!$D$14*$I22))/((1-Data!$D$35)*Data!$D$14*1000)))))))),"---")</f>
        <v>---</v>
      </c>
      <c r="S22" s="377" t="str">
        <f>IF(Start!$C$16="x",IF(OR($F22 = "NA",F22=""), "NA", IF(R22= "NA", "NA",(R22+(Data!$D$30*$F22))/(Data!$D$30+1))),"---")</f>
        <v>---</v>
      </c>
      <c r="T22" s="343" t="str">
        <f>IF(Start!$C$16="x",IF(AND(D22= "",E22=""),"",IF(Q22="NA","NA",IF(G22="NA","NA",IF(G22=0,"NA",(Q22/G22))))),"Not Req.")</f>
        <v>Not Req.</v>
      </c>
      <c r="U22" s="343" t="str">
        <f>IF(Start!$C$16="x",IF(AND(D22= "",E22=""),"",IF(S22="NA","NA",IF(G22="NA","NA",IF(G22=0,"NA",(S22/G22))))),"Not Req.")</f>
        <v>Not Req.</v>
      </c>
      <c r="V22" s="11"/>
    </row>
    <row r="23" spans="1:22" s="10" customFormat="1" x14ac:dyDescent="0.25">
      <c r="A23" s="307" t="s">
        <v>341</v>
      </c>
      <c r="B23" s="348" t="str">
        <f>IF(Start!$C$16="x",IF(OR(D23 ="NA",E23="NA"),"NA",IF(AND(D23= "",E23=""),"",IF(AND(D23= "",E23&lt;&gt; ""),"Missing Data",                     IF(AND(D23&lt;&gt; "",E23= ""),"Missing Data",(IF(OR(G23="NA",G23=""),"No Criteria",(IF(AND(Q23="NA",D23&lt;&gt;"NA",G23&lt;&gt;"NA"),                                               "Missing Data",(IF(Q23&lt;G23,"No","Needed")))))))))),"---")</f>
        <v>---</v>
      </c>
      <c r="C23" s="350" t="str">
        <f>IF(Start!$C$16="x",IF(OR(D23 ="NA",E23="NA"),"NA",IF(AND(D23= "",E23=""),"",IF(AND(D23= "",E23&lt;&gt; ""),"Missing Data",                     IF(AND(D23&lt;&gt; "",E23= ""),"Missing Data",(IF(OR(G23="NA",G23=""),"No Criteria",(IF(AND(S23="NA",D23&lt;&gt;"NA",G23&lt;&gt;"NA"),                                               "Missing Data",(IF(S23&lt;G23,"No","Needed")))))))))),"---")</f>
        <v>---</v>
      </c>
      <c r="D23" s="372" t="str">
        <f>IF(TRUE=ISBLANK(ChemData!B23),"",(ChemData!B23))</f>
        <v/>
      </c>
      <c r="E23" s="373" t="str">
        <f>IF(TRUE=ISBLANK(ChemData!C23),"",(ChemData!C23))</f>
        <v/>
      </c>
      <c r="F23" s="374" t="str">
        <f>IF(TRUE=ISBLANK(ChemData!D23),"",(ChemData!D23))</f>
        <v/>
      </c>
      <c r="G23" s="289">
        <f>IF(TRUE=ISBLANK(ChemData!I23),"",(ChemData!I23))</f>
        <v>2.5</v>
      </c>
      <c r="H23" s="290">
        <f>IF(TRUE=ISBLANK(ChemData!Q23),"",(ChemData!Q23))</f>
        <v>300</v>
      </c>
      <c r="I23" s="290">
        <f>IF(TRUE=ISBLANK(ChemData!R23),"",(ChemData!R23))</f>
        <v>300</v>
      </c>
      <c r="J23" s="290">
        <f>IF(TRUE=ISBLANK(ChemData!S23),"",(ChemData!S23))</f>
        <v>0.05</v>
      </c>
      <c r="K23" s="291">
        <f>IF(TRUE=ISBLANK(ChemData!T23),"",(ChemData!T23))</f>
        <v>0.05</v>
      </c>
      <c r="L23" s="375" t="str">
        <f>IF(Start!$C$16="x",IF(OR(D23="NA",D23=""),"NA", IF(OR($J23 = "NA",J23=""),"NA",IF(100/Data!$D$10&gt;Data!$D$13,(D23*$J23)/(Data!$D$10/100),(D23*$J23)*Data!$D$13))),"---")</f>
        <v>---</v>
      </c>
      <c r="M23" s="377" t="str">
        <f>IF(Start!$C$16="x",IF(OR(D23="NA",D23=""),"NA", IF(OR($K23 = "NA",K23=""),"NA",IF(100/Data!$D$10&gt;Data!$D$13,(D23*$K23)/(Data!$D$10/100),(D23*$K23)*Data!$D$13))),"---")</f>
        <v>---</v>
      </c>
      <c r="N23" s="375" t="str">
        <f t="shared" si="1"/>
        <v>---</v>
      </c>
      <c r="O23" s="377" t="str">
        <f t="shared" si="0"/>
        <v>---</v>
      </c>
      <c r="P23" s="461" t="str">
        <f>IF(Start!$C$16="x",(IF(L23 = "NA","NA", (IF(OR($H23 = "NA",H23=""), "NA",(IF(OR(ChemData!U23="NA",ChemData!U23=""),L23/((Data!$D$33+((1-Data!$D$33)*Data!$D$14*$H23))/((1-Data!$D$33)*Data!$D$14*1000)),(IF(L23/((Data!$D$33+((1-Data!$D$33)*Data!$D$14*$H23))/((1-Data!$D$33)*Data!$D$14*1000))&gt;ChemData!U23, ChemData!U23, L23/((Data!$D$33+((1-Data!$D$33)*Data!$D$14*$H23))/((1-Data!$D$33)*Data!$D$14*1000)))))))))),"---")</f>
        <v>---</v>
      </c>
      <c r="Q23" s="376" t="str">
        <f>IF(Start!$C$16="x",IF(OR($F23 = "NA",F23=""), "NA", IF(P23= "NA", "NA",(P23+(Data!$D$30*$F23))/(Data!$D$30+1))),"---")</f>
        <v>---</v>
      </c>
      <c r="R23" s="376" t="str">
        <f>IF(Start!$C$16="x",IF(O23 = "NA","NA", IF(OR($I23 = "NA",I23=""), "NA",(IF(OR(ChemData!U23="NA",ChemData!U23=""),O23/((Data!$D$35+((1-Data!$D$35)*Data!$D$14*$I23))/((1-Data!$D$35)*Data!$D$14*1000)),(IF(O23/((Data!$D$35+((1-Data!$D$35)*Data!$D$14*$I23))/((1-Data!$D$35)*Data!$D$14*1000))&gt;ChemData!U23, ChemData!U23, O23/((Data!$D$35+((1-Data!$D$35)*Data!$D$14*$I23))/((1-Data!$D$35)*Data!$D$14*1000)))))))),"---")</f>
        <v>---</v>
      </c>
      <c r="S23" s="377" t="str">
        <f>IF(Start!$C$16="x",IF(OR($F23 = "NA",F23=""), "NA", IF(R23= "NA", "NA",(R23+(Data!$D$30*$F23))/(Data!$D$30+1))),"---")</f>
        <v>---</v>
      </c>
      <c r="T23" s="343" t="str">
        <f>IF(Start!$C$16="x",IF(AND(D23= "",E23=""),"",IF(Q23="NA","NA",IF(G23="NA","NA",IF(G23=0,"NA",(Q23/G23))))),"Not Req.")</f>
        <v>Not Req.</v>
      </c>
      <c r="U23" s="343" t="str">
        <f>IF(Start!$C$16="x",IF(AND(D23= "",E23=""),"",IF(S23="NA","NA",IF(G23="NA","NA",IF(G23=0,"NA",(S23/G23))))),"Not Req.")</f>
        <v>Not Req.</v>
      </c>
      <c r="V23" s="11"/>
    </row>
    <row r="24" spans="1:22" s="10" customFormat="1" x14ac:dyDescent="0.25">
      <c r="A24" s="307" t="s">
        <v>342</v>
      </c>
      <c r="B24" s="348" t="str">
        <f>IF(Start!$C$16="x",IF(OR(D24 ="NA",E24="NA"),"NA",IF(AND(D24= "",E24=""),"",IF(AND(D24= "",E24&lt;&gt; ""),"Missing Data",                     IF(AND(D24&lt;&gt; "",E24= ""),"Missing Data",(IF(OR(G24="NA",G24=""),"No Criteria",(IF(AND(Q24="NA",D24&lt;&gt;"NA",G24&lt;&gt;"NA"),                                               "Missing Data",(IF(Q24&lt;G24,"No","Needed")))))))))),"---")</f>
        <v>---</v>
      </c>
      <c r="C24" s="350" t="str">
        <f>IF(Start!$C$16="x",IF(OR(D24 ="NA",E24="NA"),"NA",IF(AND(D24= "",E24=""),"",IF(AND(D24= "",E24&lt;&gt; ""),"Missing Data",                     IF(AND(D24&lt;&gt; "",E24= ""),"Missing Data",(IF(OR(G24="NA",G24=""),"No Criteria",(IF(AND(S24="NA",D24&lt;&gt;"NA",G24&lt;&gt;"NA"),                                               "Missing Data",(IF(S24&lt;G24,"No","Needed")))))))))),"---")</f>
        <v>---</v>
      </c>
      <c r="D24" s="372" t="str">
        <f>IF(TRUE=ISBLANK(ChemData!B24),"",(ChemData!B24))</f>
        <v/>
      </c>
      <c r="E24" s="373" t="str">
        <f>IF(TRUE=ISBLANK(ChemData!C24),"",(ChemData!C24))</f>
        <v/>
      </c>
      <c r="F24" s="374" t="str">
        <f>IF(TRUE=ISBLANK(ChemData!D24),"",(ChemData!D24))</f>
        <v/>
      </c>
      <c r="G24" s="289">
        <f>IF(TRUE=ISBLANK(ChemData!I24),"",(ChemData!I24))</f>
        <v>14</v>
      </c>
      <c r="H24" s="290">
        <f>IF(TRUE=ISBLANK(ChemData!Q24),"",(ChemData!Q24))</f>
        <v>300</v>
      </c>
      <c r="I24" s="290">
        <f>IF(TRUE=ISBLANK(ChemData!R24),"",(ChemData!R24))</f>
        <v>300</v>
      </c>
      <c r="J24" s="290" t="str">
        <f>IF(TRUE=ISBLANK(ChemData!S24),"",(ChemData!S24))</f>
        <v>NA</v>
      </c>
      <c r="K24" s="291" t="str">
        <f>IF(TRUE=ISBLANK(ChemData!T24),"",(ChemData!T24))</f>
        <v>NA</v>
      </c>
      <c r="L24" s="375" t="str">
        <f>IF(Start!$C$16="x",IF(OR(D24="NA",D24=""),"NA", IF(OR($J24 = "NA",J24=""),"NA",IF(100/Data!$D$10&gt;Data!$D$13,(D24*$J24)/(Data!$D$10/100),(D24*$J24)*Data!$D$13))),"---")</f>
        <v>---</v>
      </c>
      <c r="M24" s="377" t="str">
        <f>IF(Start!$C$16="x",IF(OR(D24="NA",D24=""),"NA", IF(OR($K24 = "NA",K24=""),"NA",IF(100/Data!$D$10&gt;Data!$D$13,(D24*$K24)/(Data!$D$10/100),(D24*$K24)*Data!$D$13))),"---")</f>
        <v>---</v>
      </c>
      <c r="N24" s="375" t="str">
        <f>L24</f>
        <v>---</v>
      </c>
      <c r="O24" s="377" t="str">
        <f>M24</f>
        <v>---</v>
      </c>
      <c r="P24" s="461" t="str">
        <f>IF(Start!$C$16="x",(IF(L24 = "NA","NA", (IF(OR($H24 = "NA",H24=""), "NA",(IF(OR(ChemData!U24="NA",ChemData!U24=""),L24/((Data!$D$33+((1-Data!$D$33)*Data!$D$14*$H24))/((1-Data!$D$33)*Data!$D$14*1000)),(IF(L24/((Data!$D$33+((1-Data!$D$33)*Data!$D$14*$H24))/((1-Data!$D$33)*Data!$D$14*1000))&gt;ChemData!U24, ChemData!U24, L24/((Data!$D$33+((1-Data!$D$33)*Data!$D$14*$H24))/((1-Data!$D$33)*Data!$D$14*1000)))))))))),"---")</f>
        <v>---</v>
      </c>
      <c r="Q24" s="376" t="str">
        <f>IF(Start!$C$16="x",IF(OR($F24 = "NA",F24=""), "NA", IF(P24= "NA", "NA",(P24+(Data!$D$30*$F24))/(Data!$D$30+1))),"---")</f>
        <v>---</v>
      </c>
      <c r="R24" s="376" t="str">
        <f>IF(Start!$C$16="x",IF(O24 = "NA","NA", IF(OR($I24 = "NA",I24=""), "NA",(IF(OR(ChemData!U24="NA",ChemData!U24=""),O24/((Data!$D$35+((1-Data!$D$35)*Data!$D$14*$I24))/((1-Data!$D$35)*Data!$D$14*1000)),(IF(O24/((Data!$D$35+((1-Data!$D$35)*Data!$D$14*$I24))/((1-Data!$D$35)*Data!$D$14*1000))&gt;ChemData!U24, ChemData!U24, O24/((Data!$D$35+((1-Data!$D$35)*Data!$D$14*$I24))/((1-Data!$D$35)*Data!$D$14*1000)))))))),"---")</f>
        <v>---</v>
      </c>
      <c r="S24" s="377" t="str">
        <f>IF(Start!$C$16="x",IF(OR($F24 = "NA",F24=""), "NA", IF(R24= "NA", "NA",(R24+(Data!$D$30*$F24))/(Data!$D$30+1))),"---")</f>
        <v>---</v>
      </c>
      <c r="T24" s="343" t="str">
        <f>IF(Start!$C$16="x",IF(AND(D24= "",E24=""),"",IF(Q24="NA","NA",IF(G24="NA","NA",IF(G24=0,"NA",(Q24/G24))))),"Not Req.")</f>
        <v>Not Req.</v>
      </c>
      <c r="U24" s="343" t="str">
        <f>IF(Start!$C$16="x",IF(AND(D24= "",E24=""),"",IF(S24="NA","NA",IF(G24="NA","NA",IF(G24=0,"NA",(S24/G24))))),"Not Req.")</f>
        <v>Not Req.</v>
      </c>
      <c r="V24" s="11"/>
    </row>
    <row r="25" spans="1:22" s="10" customFormat="1" x14ac:dyDescent="0.25">
      <c r="A25" s="307" t="s">
        <v>343</v>
      </c>
      <c r="B25" s="348" t="str">
        <f>IF(Start!$C$16="x",IF(OR(D25 ="NA",E25="NA"),"NA",IF(AND(D25= "",E25=""),"",IF(AND(D25= "",E25&lt;&gt; ""),"Missing Data",                     IF(AND(D25&lt;&gt; "",E25= ""),"Missing Data",(IF(OR(G25="NA",G25=""),"No Criteria",(IF(AND(Q25="NA",D25&lt;&gt;"NA",G25&lt;&gt;"NA"),                                               "Missing Data",(IF(Q25&lt;G25,"No","Needed")))))))))),"---")</f>
        <v>---</v>
      </c>
      <c r="C25" s="350" t="str">
        <f>IF(Start!$C$16="x",IF(OR(D25 ="NA",E25="NA"),"NA",IF(AND(D25= "",E25=""),"",IF(AND(D25= "",E25&lt;&gt; ""),"Missing Data",                     IF(AND(D25&lt;&gt; "",E25= ""),"Missing Data",(IF(OR(G25="NA",G25=""),"No Criteria",(IF(AND(S25="NA",D25&lt;&gt;"NA",G25&lt;&gt;"NA"),                                               "Missing Data",(IF(S25&lt;G25,"No","Needed")))))))))),"---")</f>
        <v>---</v>
      </c>
      <c r="D25" s="372" t="str">
        <f>IF(TRUE=ISBLANK(ChemData!B25),"",(ChemData!B25))</f>
        <v/>
      </c>
      <c r="E25" s="373" t="str">
        <f>IF(TRUE=ISBLANK(ChemData!C25),"",(ChemData!C25))</f>
        <v/>
      </c>
      <c r="F25" s="374" t="str">
        <f>IF(TRUE=ISBLANK(ChemData!D25),"",(ChemData!D25))</f>
        <v/>
      </c>
      <c r="G25" s="289">
        <f>IF(TRUE=ISBLANK(ChemData!I25),"",(ChemData!I25))</f>
        <v>120</v>
      </c>
      <c r="H25" s="290">
        <f>IF(TRUE=ISBLANK(ChemData!Q25),"",(ChemData!Q25))</f>
        <v>65</v>
      </c>
      <c r="I25" s="290">
        <f>IF(TRUE=ISBLANK(ChemData!R25),"",(ChemData!R25))</f>
        <v>65</v>
      </c>
      <c r="J25" s="290" t="str">
        <f>IF(TRUE=ISBLANK(ChemData!S25),"",(ChemData!S25))</f>
        <v>NA</v>
      </c>
      <c r="K25" s="291" t="str">
        <f>IF(TRUE=ISBLANK(ChemData!T25),"",(ChemData!T25))</f>
        <v>NA</v>
      </c>
      <c r="L25" s="375" t="str">
        <f>IF(Start!$C$16="x",IF(OR(D25="NA",D25=""),"NA", IF(OR($J25 = "NA",J25=""),"NA",IF(100/Data!$D$10&gt;Data!$D$13,(D25*$J25)/(Data!$D$10/100),(D25*$J25)*Data!$D$13))),"---")</f>
        <v>---</v>
      </c>
      <c r="M25" s="377" t="str">
        <f>IF(Start!$C$16="x",IF(OR(D25="NA",D25=""),"NA", IF(OR($K25 = "NA",K25=""),"NA",IF(100/Data!$D$10&gt;Data!$D$13,(D25*$K25)/(Data!$D$10/100),(D25*$K25)*Data!$D$13))),"---")</f>
        <v>---</v>
      </c>
      <c r="N25" s="375" t="str">
        <f>L25</f>
        <v>---</v>
      </c>
      <c r="O25" s="377" t="str">
        <f>M25</f>
        <v>---</v>
      </c>
      <c r="P25" s="461" t="str">
        <f>IF(Start!$C$16="x",(IF(L25 = "NA","NA", (IF(OR($H25 = "NA",H25=""), "NA",(IF(OR(ChemData!U25="NA",ChemData!U25=""),L25/((Data!$D$33+((1-Data!$D$33)*Data!$D$14*$H25))/((1-Data!$D$33)*Data!$D$14*1000)),(IF(L25/((Data!$D$33+((1-Data!$D$33)*Data!$D$14*$H25))/((1-Data!$D$33)*Data!$D$14*1000))&gt;ChemData!U25, ChemData!U25, L25/((Data!$D$33+((1-Data!$D$33)*Data!$D$14*$H25))/((1-Data!$D$33)*Data!$D$14*1000)))))))))),"---")</f>
        <v>---</v>
      </c>
      <c r="Q25" s="376" t="str">
        <f>IF(Start!$C$16="x",IF(OR($F25 = "NA",F25=""), "NA", IF(P25= "NA", "NA",(P25+(Data!$D$30*$F25))/(Data!$D$30+1))),"---")</f>
        <v>---</v>
      </c>
      <c r="R25" s="376" t="str">
        <f>IF(Start!$C$16="x",IF(O25 = "NA","NA", IF(OR($I25 = "NA",I25=""), "NA",(IF(OR(ChemData!U25="NA",ChemData!U25=""),O25/((Data!$D$35+((1-Data!$D$35)*Data!$D$14*$I25))/((1-Data!$D$35)*Data!$D$14*1000)),(IF(O25/((Data!$D$35+((1-Data!$D$35)*Data!$D$14*$I25))/((1-Data!$D$35)*Data!$D$14*1000))&gt;ChemData!U25, ChemData!U25, O25/((Data!$D$35+((1-Data!$D$35)*Data!$D$14*$I25))/((1-Data!$D$35)*Data!$D$14*1000)))))))),"---")</f>
        <v>---</v>
      </c>
      <c r="S25" s="377" t="str">
        <f>IF(Start!$C$16="x",IF(OR($F25 = "NA",F25=""), "NA", IF(R25= "NA", "NA",(R25+(Data!$D$30*$F25))/(Data!$D$30+1))),"---")</f>
        <v>---</v>
      </c>
      <c r="T25" s="343" t="str">
        <f>IF(Start!$C$16="x",IF(AND(D25= "",E25=""),"",IF(Q25="NA","NA",IF(G25="NA","NA",IF(G25=0,"NA",(Q25/G25))))),"Not Req.")</f>
        <v>Not Req.</v>
      </c>
      <c r="U25" s="343" t="str">
        <f>IF(Start!$C$16="x",IF(AND(D25= "",E25=""),"",IF(S25="NA","NA",IF(G25="NA","NA",IF(G25=0,"NA",(S25/G25))))),"Not Req.")</f>
        <v>Not Req.</v>
      </c>
      <c r="V25" s="11"/>
    </row>
    <row r="26" spans="1:22" s="10" customFormat="1" x14ac:dyDescent="0.25">
      <c r="A26" s="307" t="s">
        <v>344</v>
      </c>
      <c r="B26" s="348" t="str">
        <f>IF(Start!$C$16="x",IF(OR(D26 ="NA",E26="NA"),"NA",IF(AND(D26= "",E26=""),"",IF(AND(D26= "",E26&lt;&gt; ""),"Missing Data",                     IF(AND(D26&lt;&gt; "",E26= ""),"Missing Data",(IF(OR(G26="NA",G26=""),"No Criteria",(IF(AND(Q26="NA",D26&lt;&gt;"NA",G26&lt;&gt;"NA"),                                               "Missing Data",(IF(Q26&lt;G26,"No","Needed")))))))))),"---")</f>
        <v>---</v>
      </c>
      <c r="C26" s="350" t="str">
        <f>IF(Start!$C$16="x",IF(OR(D26 ="NA",E26="NA"),"NA",IF(AND(D26= "",E26=""),"",IF(AND(D26= "",E26&lt;&gt; ""),"Missing Data",                     IF(AND(D26&lt;&gt; "",E26= ""),"Missing Data",(IF(OR(G26="NA",G26=""),"No Criteria",(IF(AND(S26="NA",D26&lt;&gt;"NA",G26&lt;&gt;"NA"),                                               "Missing Data",(IF(S26&lt;G26,"No","Needed")))))))))),"---")</f>
        <v>---</v>
      </c>
      <c r="D26" s="372" t="str">
        <f>IF(TRUE=ISBLANK(ChemData!B26),"",(ChemData!B26))</f>
        <v/>
      </c>
      <c r="E26" s="373" t="str">
        <f>IF(TRUE=ISBLANK(ChemData!C26),"",(ChemData!C26))</f>
        <v/>
      </c>
      <c r="F26" s="374" t="str">
        <f>IF(TRUE=ISBLANK(ChemData!D26),"",(ChemData!D26))</f>
        <v/>
      </c>
      <c r="G26" s="289">
        <f>IF(TRUE=ISBLANK(ChemData!I26),"",(ChemData!I26))</f>
        <v>0.77</v>
      </c>
      <c r="H26" s="290">
        <f>IF(TRUE=ISBLANK(ChemData!Q26),"",(ChemData!Q26))</f>
        <v>100</v>
      </c>
      <c r="I26" s="290">
        <f>IF(TRUE=ISBLANK(ChemData!R26),"",(ChemData!R26))</f>
        <v>100</v>
      </c>
      <c r="J26" s="290">
        <f>IF(TRUE=ISBLANK(ChemData!S26),"",(ChemData!S26))</f>
        <v>0.02</v>
      </c>
      <c r="K26" s="291">
        <f>IF(TRUE=ISBLANK(ChemData!T26),"",(ChemData!T26))</f>
        <v>0.08</v>
      </c>
      <c r="L26" s="375" t="str">
        <f>IF(Start!$C$16="x",IF(OR(D26="NA",D26=""),"NA", IF(OR($J26 = "NA",J26=""),"NA",IF(100/Data!$D$10&gt;Data!$D$13,(D26*$J26)/(Data!$D$10/100),(D26*$J26)*Data!$D$13))),"---")</f>
        <v>---</v>
      </c>
      <c r="M26" s="377" t="str">
        <f>IF(Start!$C$16="x",IF(OR(D26="NA",D26=""),"NA", IF(OR($K26 = "NA",K26=""),"NA",IF(100/Data!$D$10&gt;Data!$D$13,(D26*$K26)/(Data!$D$10/100),(D26*$K26)*Data!$D$13))),"---")</f>
        <v>---</v>
      </c>
      <c r="N26" s="375" t="str">
        <f t="shared" si="1"/>
        <v>---</v>
      </c>
      <c r="O26" s="377" t="str">
        <f t="shared" si="0"/>
        <v>---</v>
      </c>
      <c r="P26" s="461" t="str">
        <f>IF(Start!$C$16="x",(IF(L26 = "NA","NA", (IF(OR($H26 = "NA",H26=""), "NA",(IF(OR(ChemData!U26="NA",ChemData!U26=""),L26/((Data!$D$33+((1-Data!$D$33)*Data!$D$14*$H26))/((1-Data!$D$33)*Data!$D$14*1000)),(IF(L26/((Data!$D$33+((1-Data!$D$33)*Data!$D$14*$H26))/((1-Data!$D$33)*Data!$D$14*1000))&gt;ChemData!U26, ChemData!U26, L26/((Data!$D$33+((1-Data!$D$33)*Data!$D$14*$H26))/((1-Data!$D$33)*Data!$D$14*1000)))))))))),"---")</f>
        <v>---</v>
      </c>
      <c r="Q26" s="376" t="str">
        <f>IF(Start!$C$16="x",IF(OR($F26 = "NA",F26=""), "NA", IF(P26= "NA", "NA",(P26+(Data!$D$30*$F26))/(Data!$D$30+1))),"---")</f>
        <v>---</v>
      </c>
      <c r="R26" s="376" t="str">
        <f>IF(Start!$C$16="x",IF(O26 = "NA","NA", IF(OR($I26 = "NA",I26=""), "NA",(IF(OR(ChemData!U26="NA",ChemData!U26=""),O26/((Data!$D$35+((1-Data!$D$35)*Data!$D$14*$I26))/((1-Data!$D$35)*Data!$D$14*1000)),(IF(O26/((Data!$D$35+((1-Data!$D$35)*Data!$D$14*$I26))/((1-Data!$D$35)*Data!$D$14*1000))&gt;ChemData!U26, ChemData!U26, O26/((Data!$D$35+((1-Data!$D$35)*Data!$D$14*$I26))/((1-Data!$D$35)*Data!$D$14*1000)))))))),"---")</f>
        <v>---</v>
      </c>
      <c r="S26" s="377" t="str">
        <f>IF(Start!$C$16="x",IF(OR($F26 = "NA",F26=""), "NA", IF(R26= "NA", "NA",(R26+(Data!$D$30*$F26))/(Data!$D$30+1))),"---")</f>
        <v>---</v>
      </c>
      <c r="T26" s="343" t="str">
        <f>IF(Start!$C$16="x",IF(AND(D26= "",E26=""),"",IF(Q26="NA","NA",IF(G26="NA","NA",IF(G26=0,"NA",(Q26/G26))))),"Not Req.")</f>
        <v>Not Req.</v>
      </c>
      <c r="U26" s="343" t="str">
        <f>IF(Start!$C$16="x",IF(AND(D26= "",E26=""),"",IF(S26="NA","NA",IF(G26="NA","NA",IF(G26=0,"NA",(S26/G26))))),"Not Req.")</f>
        <v>Not Req.</v>
      </c>
      <c r="V26" s="11"/>
    </row>
    <row r="27" spans="1:22" s="10" customFormat="1" x14ac:dyDescent="0.25">
      <c r="A27" s="56" t="s">
        <v>345</v>
      </c>
      <c r="B27" s="348" t="str">
        <f>IF(Start!$C$16="x",IF(OR(D27 ="NA",E27="NA"),"NA",IF(AND(D27= "",E27=""),"",IF(AND(D27= "",E27&lt;&gt; ""),"Missing Data",                     IF(AND(D27&lt;&gt; "",E27= ""),"Missing Data",(IF(OR(G27="NA",G27=""),"No Criteria",(IF(AND(Q27="NA",D27&lt;&gt;"NA",G27&lt;&gt;"NA"),                                               "Missing Data",(IF(Q27&lt;G27,"No","Needed")))))))))),"---")</f>
        <v>---</v>
      </c>
      <c r="C27" s="350" t="str">
        <f>IF(Start!$C$16="x",IF(OR(D27 ="NA",E27="NA"),"NA",IF(AND(D27= "",E27=""),"",IF(AND(D27= "",E27&lt;&gt; ""),"Missing Data",                     IF(AND(D27&lt;&gt; "",E27= ""),"Missing Data",(IF(OR(G27="NA",G27=""),"No Criteria",(IF(AND(S27="NA",D27&lt;&gt;"NA",G27&lt;&gt;"NA"),                                               "Missing Data",(IF(S27&lt;G27,"No","Needed")))))))))),"---")</f>
        <v>---</v>
      </c>
      <c r="D27" s="372" t="str">
        <f>IF(TRUE=ISBLANK(ChemData!B27),"",(ChemData!B27))</f>
        <v/>
      </c>
      <c r="E27" s="373" t="str">
        <f>IF(TRUE=ISBLANK(ChemData!C27),"",(ChemData!C27))</f>
        <v/>
      </c>
      <c r="F27" s="374" t="str">
        <f>IF(TRUE=ISBLANK(ChemData!D27),"",(ChemData!D27))</f>
        <v/>
      </c>
      <c r="G27" s="289">
        <f>IF(TRUE=ISBLANK(ChemData!I27),"",(ChemData!I27))</f>
        <v>370</v>
      </c>
      <c r="H27" s="290">
        <f>IF(TRUE=ISBLANK(ChemData!Q27),"",(ChemData!Q27))</f>
        <v>20</v>
      </c>
      <c r="I27" s="290">
        <f>IF(TRUE=ISBLANK(ChemData!R27),"",(ChemData!R27))</f>
        <v>20</v>
      </c>
      <c r="J27" s="290" t="str">
        <f>IF(TRUE=ISBLANK(ChemData!S27),"",(ChemData!S27))</f>
        <v>NA</v>
      </c>
      <c r="K27" s="291" t="str">
        <f>IF(TRUE=ISBLANK(ChemData!T27),"",(ChemData!T27))</f>
        <v>NA</v>
      </c>
      <c r="L27" s="375" t="str">
        <f>IF(Start!$C$16="x",IF(OR(D27="NA",D27=""),"NA", IF(OR($J27 = "NA",J27=""),"NA",IF(100/Data!$D$10&gt;Data!$D$13,(D27*$J27)/(Data!$D$10/100),(D27*$J27)*Data!$D$13))),"---")</f>
        <v>---</v>
      </c>
      <c r="M27" s="377" t="str">
        <f>IF(Start!$C$16="x",IF(OR(D27="NA",D27=""),"NA", IF(OR($K27 = "NA",K27=""),"NA",IF(100/Data!$D$10&gt;Data!$D$13,(D27*$K27)/(Data!$D$10/100),(D27*$K27)*Data!$D$13))),"---")</f>
        <v>---</v>
      </c>
      <c r="N27" s="375" t="str">
        <f>L27</f>
        <v>---</v>
      </c>
      <c r="O27" s="377" t="str">
        <f>M27</f>
        <v>---</v>
      </c>
      <c r="P27" s="461" t="str">
        <f>IF(Start!$C$16="x",(IF(L27 = "NA","NA", (IF(OR($H27 = "NA",H27=""), "NA",(IF(OR(ChemData!U27="NA",ChemData!U27=""),L27/((Data!$D$33+((1-Data!$D$33)*Data!$D$14*$H27))/((1-Data!$D$33)*Data!$D$14*1000)),(IF(L27/((Data!$D$33+((1-Data!$D$33)*Data!$D$14*$H27))/((1-Data!$D$33)*Data!$D$14*1000))&gt;ChemData!U27, ChemData!U27, L27/((Data!$D$33+((1-Data!$D$33)*Data!$D$14*$H27))/((1-Data!$D$33)*Data!$D$14*1000)))))))))),"---")</f>
        <v>---</v>
      </c>
      <c r="Q27" s="376" t="str">
        <f>IF(Start!$C$16="x",IF(OR($F27 = "NA",F27=""), "NA", IF(P27= "NA", "NA",(P27+(Data!$D$30*$F27))/(Data!$D$30+1))),"---")</f>
        <v>---</v>
      </c>
      <c r="R27" s="376" t="str">
        <f>IF(Start!$C$16="x",IF(O27 = "NA","NA", IF(OR($I27 = "NA",I27=""), "NA",(IF(OR(ChemData!U27="NA",ChemData!U27=""),O27/((Data!$D$35+((1-Data!$D$35)*Data!$D$14*$I27))/((1-Data!$D$35)*Data!$D$14*1000)),(IF(O27/((Data!$D$35+((1-Data!$D$35)*Data!$D$14*$I27))/((1-Data!$D$35)*Data!$D$14*1000))&gt;ChemData!U27, ChemData!U27, O27/((Data!$D$35+((1-Data!$D$35)*Data!$D$14*$I27))/((1-Data!$D$35)*Data!$D$14*1000)))))))),"---")</f>
        <v>---</v>
      </c>
      <c r="S27" s="377" t="str">
        <f>IF(Start!$C$16="x",IF(OR($F27 = "NA",F27=""), "NA", IF(R27= "NA", "NA",(R27+(Data!$D$30*$F27))/(Data!$D$30+1))),"---")</f>
        <v>---</v>
      </c>
      <c r="T27" s="343" t="str">
        <f>IF(Start!$C$16="x",IF(AND(D27= "",E27=""),"",IF(Q27="NA","NA",IF(G27="NA","NA",IF(G27=0,"NA",(Q27/G27))))),"Not Req.")</f>
        <v>Not Req.</v>
      </c>
      <c r="U27" s="343" t="str">
        <f>IF(Start!$C$16="x",IF(AND(D27= "",E27=""),"",IF(S27="NA","NA",IF(G27="NA","NA",IF(G27=0,"NA",(S27/G27))))),"Not Req.")</f>
        <v>Not Req.</v>
      </c>
      <c r="V27" s="11"/>
    </row>
    <row r="28" spans="1:22" s="10" customFormat="1" x14ac:dyDescent="0.25">
      <c r="A28" s="307" t="s">
        <v>346</v>
      </c>
      <c r="B28" s="348" t="str">
        <f>IF(Start!$C$16="x",IF(OR(D28 ="NA",E28="NA"),"NA",IF(AND(D28= "",E28=""),"",IF(AND(D28= "",E28&lt;&gt; ""),"Missing Data",                     IF(AND(D28&lt;&gt; "",E28= ""),"Missing Data",(IF(OR(G28="NA",G28=""),"No Criteria",(IF(AND(Q28="NA",D28&lt;&gt;"NA",G28&lt;&gt;"NA"),                                               "Missing Data",(IF(Q28&lt;G28,"No","Needed")))))))))),"---")</f>
        <v>---</v>
      </c>
      <c r="C28" s="350" t="str">
        <f>IF(Start!$C$16="x",IF(OR(D28 ="NA",E28="NA"),"NA",IF(AND(D28= "",E28=""),"",IF(AND(D28= "",E28&lt;&gt; ""),"Missing Data",                     IF(AND(D28&lt;&gt; "",E28= ""),"Missing Data",(IF(OR(G28="NA",G28=""),"No Criteria",(IF(AND(S28="NA",D28&lt;&gt;"NA",G28&lt;&gt;"NA"),                                               "Missing Data",(IF(S28&lt;G28,"No","Needed")))))))))),"---")</f>
        <v>---</v>
      </c>
      <c r="D28" s="372" t="str">
        <f>IF(TRUE=ISBLANK(ChemData!B28),"",(ChemData!B28))</f>
        <v/>
      </c>
      <c r="E28" s="373" t="str">
        <f>IF(TRUE=ISBLANK(ChemData!C28),"",(ChemData!C28))</f>
        <v/>
      </c>
      <c r="F28" s="374" t="str">
        <f>IF(TRUE=ISBLANK(ChemData!D28),"",(ChemData!D28))</f>
        <v/>
      </c>
      <c r="G28" s="289">
        <f>IF(TRUE=ISBLANK(ChemData!I28),"",(ChemData!I28))</f>
        <v>52</v>
      </c>
      <c r="H28" s="290">
        <f>IF(TRUE=ISBLANK(ChemData!Q28),"",(ChemData!Q28))</f>
        <v>70</v>
      </c>
      <c r="I28" s="290">
        <f>IF(TRUE=ISBLANK(ChemData!R28),"",(ChemData!R28))</f>
        <v>20.417000000000002</v>
      </c>
      <c r="J28" s="290">
        <f>IF(TRUE=ISBLANK(ChemData!S28),"",(ChemData!S28))</f>
        <v>0.02</v>
      </c>
      <c r="K28" s="291">
        <f>IF(TRUE=ISBLANK(ChemData!T28),"",(ChemData!T28))</f>
        <v>0.3</v>
      </c>
      <c r="L28" s="375" t="str">
        <f>IF(Start!$C$16="x",IF(OR(D28="NA",D28=""),"NA", IF(OR($J28 = "NA",J28=""),"NA",IF(100/Data!$D$10&gt;Data!$D$13,(D28*$J28)/(Data!$D$10/100),(D28*$J28)*Data!$D$13))),"---")</f>
        <v>---</v>
      </c>
      <c r="M28" s="377" t="str">
        <f>IF(Start!$C$16="x",IF(OR(D28="NA",D28=""),"NA", IF(OR($K28 = "NA",K28=""),"NA",IF(100/Data!$D$10&gt;Data!$D$13,(D28*$K28)/(Data!$D$10/100),(D28*$K28)*Data!$D$13))),"---")</f>
        <v>---</v>
      </c>
      <c r="N28" s="375" t="str">
        <f t="shared" si="1"/>
        <v>---</v>
      </c>
      <c r="O28" s="377" t="str">
        <f t="shared" si="0"/>
        <v>---</v>
      </c>
      <c r="P28" s="461" t="str">
        <f>IF(Start!$C$16="x",(IF(L28 = "NA","NA", (IF(OR($H28 = "NA",H28=""), "NA",(IF(OR(ChemData!U28="NA",ChemData!U28=""),L28/((Data!$D$33+((1-Data!$D$33)*Data!$D$14*$H28))/((1-Data!$D$33)*Data!$D$14*1000)),(IF(L28/((Data!$D$33+((1-Data!$D$33)*Data!$D$14*$H28))/((1-Data!$D$33)*Data!$D$14*1000))&gt;ChemData!U28, ChemData!U28, L28/((Data!$D$33+((1-Data!$D$33)*Data!$D$14*$H28))/((1-Data!$D$33)*Data!$D$14*1000)))))))))),"---")</f>
        <v>---</v>
      </c>
      <c r="Q28" s="376" t="str">
        <f>IF(Start!$C$16="x",IF(OR($F28 = "NA",F28=""), "NA", IF(P28= "NA", "NA",(P28+(Data!$D$30*$F28))/(Data!$D$30+1))),"---")</f>
        <v>---</v>
      </c>
      <c r="R28" s="376" t="str">
        <f>IF(Start!$C$16="x",IF(O28 = "NA","NA", IF(OR($I28 = "NA",I28=""), "NA",(IF(OR(ChemData!U28="NA",ChemData!U28=""),O28/((Data!$D$35+((1-Data!$D$35)*Data!$D$14*$I28))/((1-Data!$D$35)*Data!$D$14*1000)),(IF(O28/((Data!$D$35+((1-Data!$D$35)*Data!$D$14*$I28))/((1-Data!$D$35)*Data!$D$14*1000))&gt;ChemData!U28, ChemData!U28, O28/((Data!$D$35+((1-Data!$D$35)*Data!$D$14*$I28))/((1-Data!$D$35)*Data!$D$14*1000)))))))),"---")</f>
        <v>---</v>
      </c>
      <c r="S28" s="377" t="str">
        <f>IF(Start!$C$16="x",IF(OR($F28 = "NA",F28=""), "NA", IF(R28= "NA", "NA",(R28+(Data!$D$30*$F28))/(Data!$D$30+1))),"---")</f>
        <v>---</v>
      </c>
      <c r="T28" s="343" t="str">
        <f>IF(Start!$C$16="x",IF(AND(D28= "",E28=""),"",IF(Q28="NA","NA",IF(G28="NA","NA",IF(G28=0,"NA",(Q28/G28))))),"Not Req.")</f>
        <v>Not Req.</v>
      </c>
      <c r="U28" s="343" t="str">
        <f>IF(Start!$C$16="x",IF(AND(D28= "",E28=""),"",IF(S28="NA","NA",IF(G28="NA","NA",IF(G28=0,"NA",(S28/G28))))),"Not Req.")</f>
        <v>Not Req.</v>
      </c>
      <c r="V28" s="11"/>
    </row>
    <row r="29" spans="1:22" s="10" customFormat="1" x14ac:dyDescent="0.25">
      <c r="A29" s="307" t="s">
        <v>347</v>
      </c>
      <c r="B29" s="348" t="str">
        <f>IF(Start!$C$16="x",IF(OR(D29 ="NA",E29="NA"),"NA",IF(AND(D29= "",E29=""),"",IF(AND(D29= "",E29&lt;&gt; ""),"Missing Data",                     IF(AND(D29&lt;&gt; "",E29= ""),"Missing Data",(IF(OR(G29="NA",G29=""),"No Criteria",(IF(AND(Q29="NA",D29&lt;&gt;"NA",G29&lt;&gt;"NA"),                                               "Missing Data",(IF(Q29&lt;G29,"No","Needed")))))))))),"---")</f>
        <v>---</v>
      </c>
      <c r="C29" s="350" t="str">
        <f>IF(Start!$C$16="x",IF(OR(D29 ="NA",E29="NA"),"NA",IF(AND(D29= "",E29=""),"",IF(AND(D29= "",E29&lt;&gt; ""),"Missing Data",                     IF(AND(D29&lt;&gt; "",E29= ""),"Missing Data",(IF(OR(G29="NA",G29=""),"No Criteria",(IF(AND(S29="NA",D29&lt;&gt;"NA",G29&lt;&gt;"NA"),                                               "Missing Data",(IF(S29&lt;G29,"No","Needed")))))))))),"---")</f>
        <v>---</v>
      </c>
      <c r="D29" s="372" t="str">
        <f>IF(TRUE=ISBLANK(ChemData!B29),"",(ChemData!B29))</f>
        <v/>
      </c>
      <c r="E29" s="373" t="str">
        <f>IF(TRUE=ISBLANK(ChemData!C29),"",(ChemData!C29))</f>
        <v/>
      </c>
      <c r="F29" s="374" t="str">
        <f>IF(TRUE=ISBLANK(ChemData!D29),"",(ChemData!D29))</f>
        <v/>
      </c>
      <c r="G29" s="289">
        <f>IF(TRUE=ISBLANK(ChemData!I29),"",(ChemData!I29))</f>
        <v>5</v>
      </c>
      <c r="H29" s="290">
        <f>IF(TRUE=ISBLANK(ChemData!Q29),"",(ChemData!Q29))</f>
        <v>20</v>
      </c>
      <c r="I29" s="290">
        <f>IF(TRUE=ISBLANK(ChemData!R29),"",(ChemData!R29))</f>
        <v>3</v>
      </c>
      <c r="J29" s="290">
        <f>IF(TRUE=ISBLANK(ChemData!S29),"",(ChemData!S29))</f>
        <v>0.5</v>
      </c>
      <c r="K29" s="291">
        <f>IF(TRUE=ISBLANK(ChemData!T29),"",(ChemData!T29))</f>
        <v>0.5</v>
      </c>
      <c r="L29" s="375" t="str">
        <f>IF(Start!$C$16="x",IF(OR(D29="NA",D29=""),"NA", IF(OR($J29 = "NA",J29=""),"NA",IF(100/Data!$D$10&gt;Data!$D$13,(D29*$J29)/(Data!$D$10/100),(D29*$J29)*Data!$D$13))),"---")</f>
        <v>---</v>
      </c>
      <c r="M29" s="377" t="str">
        <f>IF(Start!$C$16="x",IF(OR(D29="NA",D29=""),"NA", IF(OR($K29 = "NA",K29=""),"NA",IF(100/Data!$D$10&gt;Data!$D$13,(D29*$K29)/(Data!$D$10/100),(D29*$K29)*Data!$D$13))),"---")</f>
        <v>---</v>
      </c>
      <c r="N29" s="375" t="str">
        <f t="shared" si="1"/>
        <v>---</v>
      </c>
      <c r="O29" s="377" t="str">
        <f t="shared" si="0"/>
        <v>---</v>
      </c>
      <c r="P29" s="461" t="str">
        <f>IF(Start!$C$16="x",(IF(L29 = "NA","NA", (IF(OR($H29 = "NA",H29=""), "NA",(IF(OR(ChemData!U29="NA",ChemData!U29=""),L29/((Data!$D$33+((1-Data!$D$33)*Data!$D$14*$H29))/((1-Data!$D$33)*Data!$D$14*1000)),(IF(L29/((Data!$D$33+((1-Data!$D$33)*Data!$D$14*$H29))/((1-Data!$D$33)*Data!$D$14*1000))&gt;ChemData!U29, ChemData!U29, L29/((Data!$D$33+((1-Data!$D$33)*Data!$D$14*$H29))/((1-Data!$D$33)*Data!$D$14*1000)))))))))),"---")</f>
        <v>---</v>
      </c>
      <c r="Q29" s="376" t="str">
        <f>IF(Start!$C$16="x",IF(OR($F29 = "NA",F29=""), "NA", IF(P29= "NA", "NA",(P29+(Data!$D$30*$F29))/(Data!$D$30+1))),"---")</f>
        <v>---</v>
      </c>
      <c r="R29" s="376" t="str">
        <f>IF(Start!$C$16="x",IF(O29 = "NA","NA", IF(OR($I29 = "NA",I29=""), "NA",(IF(OR(ChemData!U29="NA",ChemData!U29=""),O29/((Data!$D$35+((1-Data!$D$35)*Data!$D$14*$I29))/((1-Data!$D$35)*Data!$D$14*1000)),(IF(O29/((Data!$D$35+((1-Data!$D$35)*Data!$D$14*$I29))/((1-Data!$D$35)*Data!$D$14*1000))&gt;ChemData!U29, ChemData!U29, O29/((Data!$D$35+((1-Data!$D$35)*Data!$D$14*$I29))/((1-Data!$D$35)*Data!$D$14*1000)))))))),"---")</f>
        <v>---</v>
      </c>
      <c r="S29" s="377" t="str">
        <f>IF(Start!$C$16="x",IF(OR($F29 = "NA",F29=""), "NA", IF(R29= "NA", "NA",(R29+(Data!$D$30*$F29))/(Data!$D$30+1))),"---")</f>
        <v>---</v>
      </c>
      <c r="T29" s="343" t="str">
        <f>IF(Start!$C$16="x",IF(AND(D29= "",E29=""),"",IF(Q29="NA","NA",IF(G29="NA","NA",IF(G29=0,"NA",(Q29/G29))))),"Not Req.")</f>
        <v>Not Req.</v>
      </c>
      <c r="U29" s="343" t="str">
        <f>IF(Start!$C$16="x",IF(AND(D29= "",E29=""),"",IF(S29="NA","NA",IF(G29="NA","NA",IF(G29=0,"NA",(S29/G29))))),"Not Req.")</f>
        <v>Not Req.</v>
      </c>
      <c r="V29" s="11"/>
    </row>
    <row r="30" spans="1:22" s="10" customFormat="1" x14ac:dyDescent="0.25">
      <c r="A30" s="307" t="s">
        <v>348</v>
      </c>
      <c r="B30" s="348" t="str">
        <f>IF(Start!$C$16="x",IF(OR(D30 ="NA",E30="NA"),"NA",IF(AND(D30= "",E30=""),"",IF(AND(D30= "",E30&lt;&gt; ""),"Missing Data",                     IF(AND(D30&lt;&gt; "",E30= ""),"Missing Data",(IF(OR(G30="NA",G30=""),"No Criteria",(IF(AND(Q30="NA",D30&lt;&gt;"NA",G30&lt;&gt;"NA"),                                               "Missing Data",(IF(Q30&lt;G30,"No","Needed")))))))))),"---")</f>
        <v>---</v>
      </c>
      <c r="C30" s="350" t="str">
        <f>IF(Start!$C$16="x",IF(OR(D30 ="NA",E30="NA"),"NA",IF(AND(D30= "",E30=""),"",IF(AND(D30= "",E30&lt;&gt; ""),"Missing Data",                     IF(AND(D30&lt;&gt; "",E30= ""),"Missing Data",(IF(OR(G30="NA",G30=""),"No Criteria",(IF(AND(S30="NA",D30&lt;&gt;"NA",G30&lt;&gt;"NA"),                                               "Missing Data",(IF(S30&lt;G30,"No","Needed")))))))))),"---")</f>
        <v>---</v>
      </c>
      <c r="D30" s="372" t="str">
        <f>IF(TRUE=ISBLANK(ChemData!B30),"",(ChemData!B30))</f>
        <v/>
      </c>
      <c r="E30" s="373" t="str">
        <f>IF(TRUE=ISBLANK(ChemData!C30),"",(ChemData!C30))</f>
        <v/>
      </c>
      <c r="F30" s="374" t="str">
        <f>IF(TRUE=ISBLANK(ChemData!D30),"",(ChemData!D30))</f>
        <v/>
      </c>
      <c r="G30" s="289">
        <f>IF(TRUE=ISBLANK(ChemData!I30),"",(ChemData!I30))</f>
        <v>0.36</v>
      </c>
      <c r="H30" s="290">
        <f>IF(TRUE=ISBLANK(ChemData!Q30),"",(ChemData!Q30))</f>
        <v>150</v>
      </c>
      <c r="I30" s="290">
        <f>IF(TRUE=ISBLANK(ChemData!R30),"",(ChemData!R30))</f>
        <v>100</v>
      </c>
      <c r="J30" s="290">
        <f>IF(TRUE=ISBLANK(ChemData!S30),"",(ChemData!S30))</f>
        <v>0.2</v>
      </c>
      <c r="K30" s="291">
        <f>IF(TRUE=ISBLANK(ChemData!T30),"",(ChemData!T30))</f>
        <v>0.5</v>
      </c>
      <c r="L30" s="375" t="str">
        <f>IF(Start!$C$16="x",IF(OR(D30="NA",D30=""),"NA", IF(OR($J30 = "NA",J30=""),"NA",IF(100/Data!$D$10&gt;Data!$D$13,(D30*$J30)/(Data!$D$10/100),(D30*$J30)*Data!$D$13))),"---")</f>
        <v>---</v>
      </c>
      <c r="M30" s="377" t="str">
        <f>IF(Start!$C$16="x",IF(OR(D30="NA",D30=""),"NA", IF(OR($K30 = "NA",K30=""),"NA",IF(100/Data!$D$10&gt;Data!$D$13,(D30*$K30)/(Data!$D$10/100),(D30*$K30)*Data!$D$13))),"---")</f>
        <v>---</v>
      </c>
      <c r="N30" s="375" t="str">
        <f t="shared" si="1"/>
        <v>---</v>
      </c>
      <c r="O30" s="377" t="str">
        <f t="shared" si="0"/>
        <v>---</v>
      </c>
      <c r="P30" s="461" t="str">
        <f>IF(Start!$C$16="x",(IF(L30 = "NA","NA", (IF(OR($H30 = "NA",H30=""), "NA",(IF(OR(ChemData!U30="NA",ChemData!U30=""),L30/((Data!$D$33+((1-Data!$D$33)*Data!$D$14*$H30))/((1-Data!$D$33)*Data!$D$14*1000)),(IF(L30/((Data!$D$33+((1-Data!$D$33)*Data!$D$14*$H30))/((1-Data!$D$33)*Data!$D$14*1000))&gt;ChemData!U30, ChemData!U30, L30/((Data!$D$33+((1-Data!$D$33)*Data!$D$14*$H30))/((1-Data!$D$33)*Data!$D$14*1000)))))))))),"---")</f>
        <v>---</v>
      </c>
      <c r="Q30" s="376" t="str">
        <f>IF(Start!$C$16="x",IF(OR($F30 = "NA",F30=""), "NA", IF(P30= "NA", "NA",(P30+(Data!$D$30*$F30))/(Data!$D$30+1))),"---")</f>
        <v>---</v>
      </c>
      <c r="R30" s="376" t="str">
        <f>IF(Start!$C$16="x",IF(O30 = "NA","NA", IF(OR($I30 = "NA",I30=""), "NA",(IF(OR(ChemData!U30="NA",ChemData!U30=""),O30/((Data!$D$35+((1-Data!$D$35)*Data!$D$14*$I30))/((1-Data!$D$35)*Data!$D$14*1000)),(IF(O30/((Data!$D$35+((1-Data!$D$35)*Data!$D$14*$I30))/((1-Data!$D$35)*Data!$D$14*1000))&gt;ChemData!U30, ChemData!U30, O30/((Data!$D$35+((1-Data!$D$35)*Data!$D$14*$I30))/((1-Data!$D$35)*Data!$D$14*1000)))))))),"---")</f>
        <v>---</v>
      </c>
      <c r="S30" s="377" t="str">
        <f>IF(Start!$C$16="x",IF(OR($F30 = "NA",F30=""), "NA", IF(R30= "NA", "NA",(R30+(Data!$D$30*$F30))/(Data!$D$30+1))),"---")</f>
        <v>---</v>
      </c>
      <c r="T30" s="343" t="str">
        <f>IF(Start!$C$16="x",IF(AND(D30= "",E30=""),"",IF(Q30="NA","NA",IF(G30="NA","NA",IF(G30=0,"NA",(Q30/G30))))),"Not Req.")</f>
        <v>Not Req.</v>
      </c>
      <c r="U30" s="343" t="str">
        <f>IF(Start!$C$16="x",IF(AND(D30= "",E30=""),"",IF(S30="NA","NA",IF(G30="NA","NA",IF(G30=0,"NA",(S30/G30))))),"Not Req.")</f>
        <v>Not Req.</v>
      </c>
      <c r="V30" s="11"/>
    </row>
    <row r="31" spans="1:22" s="10" customFormat="1" x14ac:dyDescent="0.25">
      <c r="A31" s="307" t="s">
        <v>349</v>
      </c>
      <c r="B31" s="348" t="str">
        <f>IF(Start!$C$16="x",IF(OR(D31 ="NA",E31="NA"),"NA",IF(AND(D31= "",E31=""),"",IF(AND(D31= "",E31&lt;&gt; ""),"Missing Data",                     IF(AND(D31&lt;&gt; "",E31= ""),"Missing Data",(IF(OR(G31="NA",G31=""),"No Criteria",(IF(AND(Q31="NA",D31&lt;&gt;"NA",G31&lt;&gt;"NA"),                                               "Missing Data",(IF(Q31&lt;G31,"No","Needed")))))))))),"---")</f>
        <v>---</v>
      </c>
      <c r="C31" s="350" t="str">
        <f>IF(Start!$C$16="x",IF(OR(D31 ="NA",E31="NA"),"NA",IF(AND(D31= "",E31=""),"",IF(AND(D31= "",E31&lt;&gt; ""),"Missing Data",                     IF(AND(D31&lt;&gt; "",E31= ""),"Missing Data",(IF(OR(G31="NA",G31=""),"No Criteria",(IF(AND(S31="NA",D31&lt;&gt;"NA",G31&lt;&gt;"NA"),                                               "Missing Data",(IF(S31&lt;G31,"No","Needed")))))))))),"---")</f>
        <v>---</v>
      </c>
      <c r="D31" s="372" t="str">
        <f>IF(TRUE=ISBLANK(ChemData!B31),"",(ChemData!B31))</f>
        <v/>
      </c>
      <c r="E31" s="373" t="str">
        <f>IF(TRUE=ISBLANK(ChemData!C31),"",(ChemData!C31))</f>
        <v/>
      </c>
      <c r="F31" s="374" t="str">
        <f>IF(TRUE=ISBLANK(ChemData!D31),"",(ChemData!D31))</f>
        <v/>
      </c>
      <c r="G31" s="289">
        <f>IF(TRUE=ISBLANK(ChemData!I31),"",(ChemData!I31))</f>
        <v>1500</v>
      </c>
      <c r="H31" s="290">
        <f>IF(TRUE=ISBLANK(ChemData!Q31),"",(ChemData!Q31))</f>
        <v>35</v>
      </c>
      <c r="I31" s="290">
        <f>IF(TRUE=ISBLANK(ChemData!R31),"",(ChemData!R31))</f>
        <v>35</v>
      </c>
      <c r="J31" s="290" t="str">
        <f>IF(TRUE=ISBLANK(ChemData!S31),"",(ChemData!S31))</f>
        <v>NA</v>
      </c>
      <c r="K31" s="291" t="str">
        <f>IF(TRUE=ISBLANK(ChemData!T31),"",(ChemData!T31))</f>
        <v>NA</v>
      </c>
      <c r="L31" s="375" t="str">
        <f>IF(Start!$C$16="x",IF(OR(D31="NA",D31=""),"NA", IF(OR($J31 = "NA",J31=""),"NA",IF(100/Data!$D$10&gt;Data!$D$13,(D31*$J31)/(Data!$D$10/100),(D31*$J31)*Data!$D$13))),"---")</f>
        <v>---</v>
      </c>
      <c r="M31" s="377" t="str">
        <f>IF(Start!$C$16="x",IF(OR(D31="NA",D31=""),"NA", IF(OR($K31 = "NA",K31=""),"NA",IF(100/Data!$D$10&gt;Data!$D$13,(D31*$K31)/(Data!$D$10/100),(D31*$K31)*Data!$D$13))),"---")</f>
        <v>---</v>
      </c>
      <c r="N31" s="375" t="str">
        <f>L31</f>
        <v>---</v>
      </c>
      <c r="O31" s="377" t="str">
        <f>M31</f>
        <v>---</v>
      </c>
      <c r="P31" s="461" t="str">
        <f>IF(Start!$C$16="x",(IF(L31 = "NA","NA", (IF(OR($H31 = "NA",H31=""), "NA",(IF(OR(ChemData!U31="NA",ChemData!U31=""),L31/((Data!$D$33+((1-Data!$D$33)*Data!$D$14*$H31))/((1-Data!$D$33)*Data!$D$14*1000)),(IF(L31/((Data!$D$33+((1-Data!$D$33)*Data!$D$14*$H31))/((1-Data!$D$33)*Data!$D$14*1000))&gt;ChemData!U31, ChemData!U31, L31/((Data!$D$33+((1-Data!$D$33)*Data!$D$14*$H31))/((1-Data!$D$33)*Data!$D$14*1000)))))))))),"---")</f>
        <v>---</v>
      </c>
      <c r="Q31" s="376" t="str">
        <f>IF(Start!$C$16="x",IF(OR($F31 = "NA",F31=""), "NA", IF(P31= "NA", "NA",(P31+(Data!$D$30*$F31))/(Data!$D$30+1))),"---")</f>
        <v>---</v>
      </c>
      <c r="R31" s="376" t="str">
        <f>IF(Start!$C$16="x",IF(O31 = "NA","NA", IF(OR($I31 = "NA",I31=""), "NA",(IF(OR(ChemData!U31="NA",ChemData!U31=""),O31/((Data!$D$35+((1-Data!$D$35)*Data!$D$14*$I31))/((1-Data!$D$35)*Data!$D$14*1000)),(IF(O31/((Data!$D$35+((1-Data!$D$35)*Data!$D$14*$I31))/((1-Data!$D$35)*Data!$D$14*1000))&gt;ChemData!U31, ChemData!U31, O31/((Data!$D$35+((1-Data!$D$35)*Data!$D$14*$I31))/((1-Data!$D$35)*Data!$D$14*1000)))))))),"---")</f>
        <v>---</v>
      </c>
      <c r="S31" s="377" t="str">
        <f>IF(Start!$C$16="x",IF(OR($F31 = "NA",F31=""), "NA", IF(R31= "NA", "NA",(R31+(Data!$D$30*$F31))/(Data!$D$30+1))),"---")</f>
        <v>---</v>
      </c>
      <c r="T31" s="343" t="str">
        <f>IF(Start!$C$16="x",IF(AND(D31= "",E31=""),"",IF(Q31="NA","NA",IF(G31="NA","NA",IF(G31=0,"NA",(Q31/G31))))),"Not Req.")</f>
        <v>Not Req.</v>
      </c>
      <c r="U31" s="343" t="str">
        <f>IF(Start!$C$16="x",IF(AND(D31= "",E31=""),"",IF(S31="NA","NA",IF(G31="NA","NA",IF(G31=0,"NA",(S31/G31))))),"Not Req.")</f>
        <v>Not Req.</v>
      </c>
      <c r="V31" s="11"/>
    </row>
    <row r="32" spans="1:22" s="10" customFormat="1" x14ac:dyDescent="0.25">
      <c r="A32" s="307" t="s">
        <v>350</v>
      </c>
      <c r="B32" s="348" t="str">
        <f>IF(Start!$C$16="x",IF(OR(D32 ="NA",E32="NA"),"NA",IF(AND(D32= "",E32=""),"",IF(AND(D32= "",E32&lt;&gt; ""),"Missing Data",                     IF(AND(D32&lt;&gt; "",E32= ""),"Missing Data",(IF(OR(G32="NA",G32=""),"No Criteria",(IF(AND(Q32="NA",D32&lt;&gt;"NA",G32&lt;&gt;"NA"),                                               "Missing Data",(IF(Q32&lt;G32,"No","Needed")))))))))),"---")</f>
        <v>---</v>
      </c>
      <c r="C32" s="350" t="str">
        <f>IF(Start!$C$16="x",IF(OR(D32 ="NA",E32="NA"),"NA",IF(AND(D32= "",E32=""),"",IF(AND(D32= "",E32&lt;&gt; ""),"Missing Data",                     IF(AND(D32&lt;&gt; "",E32= ""),"Missing Data",(IF(OR(G32="NA",G32=""),"No Criteria",(IF(AND(S32="NA",D32&lt;&gt;"NA",G32&lt;&gt;"NA"),                                               "Missing Data",(IF(S32&lt;G32,"No","Needed")))))))))),"---")</f>
        <v>---</v>
      </c>
      <c r="D32" s="372" t="str">
        <f>IF(TRUE=ISBLANK(ChemData!B32),"",(ChemData!B32))</f>
        <v/>
      </c>
      <c r="E32" s="373" t="str">
        <f>IF(TRUE=ISBLANK(ChemData!C32),"",(ChemData!C32))</f>
        <v/>
      </c>
      <c r="F32" s="374" t="str">
        <f>IF(TRUE=ISBLANK(ChemData!D32),"",(ChemData!D32))</f>
        <v/>
      </c>
      <c r="G32" s="289">
        <f>IF(TRUE=ISBLANK(ChemData!I32),"",(ChemData!I32))</f>
        <v>12</v>
      </c>
      <c r="H32" s="290">
        <f>IF(TRUE=ISBLANK(ChemData!Q32),"",(ChemData!Q32))</f>
        <v>40</v>
      </c>
      <c r="I32" s="290">
        <f>IF(TRUE=ISBLANK(ChemData!R32),"",(ChemData!R32))</f>
        <v>40</v>
      </c>
      <c r="J32" s="290">
        <f>IF(TRUE=ISBLANK(ChemData!S32),"",(ChemData!S32))</f>
        <v>0.2</v>
      </c>
      <c r="K32" s="291">
        <f>IF(TRUE=ISBLANK(ChemData!T32),"",(ChemData!T32))</f>
        <v>0.2</v>
      </c>
      <c r="L32" s="375" t="str">
        <f>IF(Start!$C$16="x",IF(OR(D32="NA",D32=""),"NA", IF(OR($J32 = "NA",J32=""),"NA",IF(100/Data!$D$10&gt;Data!$D$13,(D32*$J32)/(Data!$D$10/100),(D32*$J32)*Data!$D$13))),"---")</f>
        <v>---</v>
      </c>
      <c r="M32" s="377" t="str">
        <f>IF(Start!$C$16="x",IF(OR(D32="NA",D32=""),"NA", IF(OR($K32 = "NA",K32=""),"NA",IF(100/Data!$D$10&gt;Data!$D$13,(D32*$K32)/(Data!$D$10/100),(D32*$K32)*Data!$D$13))),"---")</f>
        <v>---</v>
      </c>
      <c r="N32" s="375" t="str">
        <f t="shared" si="1"/>
        <v>---</v>
      </c>
      <c r="O32" s="377" t="str">
        <f t="shared" si="0"/>
        <v>---</v>
      </c>
      <c r="P32" s="461" t="str">
        <f>IF(Start!$C$16="x",(IF(L32 = "NA","NA", (IF(OR($H32 = "NA",H32=""), "NA",(IF(OR(ChemData!U32="NA",ChemData!U32=""),L32/((Data!$D$33+((1-Data!$D$33)*Data!$D$14*$H32))/((1-Data!$D$33)*Data!$D$14*1000)),(IF(L32/((Data!$D$33+((1-Data!$D$33)*Data!$D$14*$H32))/((1-Data!$D$33)*Data!$D$14*1000))&gt;ChemData!U32, ChemData!U32, L32/((Data!$D$33+((1-Data!$D$33)*Data!$D$14*$H32))/((1-Data!$D$33)*Data!$D$14*1000)))))))))),"---")</f>
        <v>---</v>
      </c>
      <c r="Q32" s="376" t="str">
        <f>IF(Start!$C$16="x",IF(OR($F32 = "NA",F32=""), "NA", IF(P32= "NA", "NA",(P32+(Data!$D$30*$F32))/(Data!$D$30+1))),"---")</f>
        <v>---</v>
      </c>
      <c r="R32" s="376" t="str">
        <f>IF(Start!$C$16="x",IF(O32 = "NA","NA", IF(OR($I32 = "NA",I32=""), "NA",(IF(OR(ChemData!U32="NA",ChemData!U32=""),O32/((Data!$D$35+((1-Data!$D$35)*Data!$D$14*$I32))/((1-Data!$D$35)*Data!$D$14*1000)),(IF(O32/((Data!$D$35+((1-Data!$D$35)*Data!$D$14*$I32))/((1-Data!$D$35)*Data!$D$14*1000))&gt;ChemData!U32, ChemData!U32, O32/((Data!$D$35+((1-Data!$D$35)*Data!$D$14*$I32))/((1-Data!$D$35)*Data!$D$14*1000)))))))),"---")</f>
        <v>---</v>
      </c>
      <c r="S32" s="377" t="str">
        <f>IF(Start!$C$16="x",IF(OR($F32 = "NA",F32=""), "NA", IF(R32= "NA", "NA",(R32+(Data!$D$30*$F32))/(Data!$D$30+1))),"---")</f>
        <v>---</v>
      </c>
      <c r="T32" s="343" t="str">
        <f>IF(Start!$C$16="x",IF(AND(D32= "",E32=""),"",IF(Q32="NA","NA",IF(G32="NA","NA",IF(G32=0,"NA",(Q32/G32))))),"Not Req.")</f>
        <v>Not Req.</v>
      </c>
      <c r="U32" s="343" t="str">
        <f>IF(Start!$C$16="x",IF(AND(D32= "",E32=""),"",IF(S32="NA","NA",IF(G32="NA","NA",IF(G32=0,"NA",(S32/G32))))),"Not Req.")</f>
        <v>Not Req.</v>
      </c>
      <c r="V32" s="11"/>
    </row>
    <row r="33" spans="1:22" s="10" customFormat="1" x14ac:dyDescent="0.25">
      <c r="A33" s="307" t="s">
        <v>351</v>
      </c>
      <c r="B33" s="348" t="str">
        <f>IF(Start!$C$16="x",IF(OR(D33 ="NA",E33="NA"),"NA",IF(AND(D33= "",E33=""),"",IF(AND(D33= "",E33&lt;&gt; ""),"Missing Data",                     IF(AND(D33&lt;&gt; "",E33= ""),"Missing Data",(IF(OR(G33="NA",G33=""),"No Criteria",(IF(AND(Q33="NA",D33&lt;&gt;"NA",G33&lt;&gt;"NA"),                                               "Missing Data",(IF(Q33&lt;G33,"No","Needed")))))))))),"---")</f>
        <v>---</v>
      </c>
      <c r="C33" s="350" t="str">
        <f>IF(Start!$C$16="x",IF(OR(D33 ="NA",E33="NA"),"NA",IF(AND(D33= "",E33=""),"",IF(AND(D33= "",E33&lt;&gt; ""),"Missing Data",                     IF(AND(D33&lt;&gt; "",E33= ""),"Missing Data",(IF(OR(G33="NA",G33=""),"No Criteria",(IF(AND(S33="NA",D33&lt;&gt;"NA",G33&lt;&gt;"NA"),                                               "Missing Data",(IF(S33&lt;G33,"No","Needed")))))))))),"---")</f>
        <v>---</v>
      </c>
      <c r="D33" s="372" t="str">
        <f>IF(TRUE=ISBLANK(ChemData!B33),"",(ChemData!B33))</f>
        <v/>
      </c>
      <c r="E33" s="373" t="str">
        <f>IF(TRUE=ISBLANK(ChemData!C33),"",(ChemData!C33))</f>
        <v/>
      </c>
      <c r="F33" s="374" t="str">
        <f>IF(TRUE=ISBLANK(ChemData!D33),"",(ChemData!D33))</f>
        <v/>
      </c>
      <c r="G33" s="289">
        <f>IF(TRUE=ISBLANK(ChemData!I33),"",(ChemData!I33))</f>
        <v>73</v>
      </c>
      <c r="H33" s="290">
        <f>IF(TRUE=ISBLANK(ChemData!Q33),"",(ChemData!Q33))</f>
        <v>250</v>
      </c>
      <c r="I33" s="290">
        <f>IF(TRUE=ISBLANK(ChemData!R33),"",(ChemData!R33))</f>
        <v>250</v>
      </c>
      <c r="J33" s="290">
        <f>IF(TRUE=ISBLANK(ChemData!S33),"",(ChemData!S33))</f>
        <v>1</v>
      </c>
      <c r="K33" s="291">
        <f>IF(TRUE=ISBLANK(ChemData!T33),"",(ChemData!T33))</f>
        <v>1</v>
      </c>
      <c r="L33" s="375" t="str">
        <f>IF(Start!$C$16="x",IF(OR(D33="NA",D33=""),"NA", IF(OR($J33 = "NA",J33=""),"NA",IF(100/Data!$D$10&gt;Data!$D$13,(D33*$J33)/(Data!$D$10/100),(D33*$J33)*Data!$D$13))),"---")</f>
        <v>---</v>
      </c>
      <c r="M33" s="377" t="str">
        <f>IF(Start!$C$16="x",IF(OR(D33="NA",D33=""),"NA", IF(OR($K33 = "NA",K33=""),"NA",IF(100/Data!$D$10&gt;Data!$D$13,(D33*$K33)/(Data!$D$10/100),(D33*$K33)*Data!$D$13))),"---")</f>
        <v>---</v>
      </c>
      <c r="N33" s="375" t="str">
        <f t="shared" si="1"/>
        <v>---</v>
      </c>
      <c r="O33" s="377" t="str">
        <f t="shared" si="0"/>
        <v>---</v>
      </c>
      <c r="P33" s="461" t="str">
        <f>IF(Start!$C$16="x",(IF(L33 = "NA","NA", (IF(OR($H33 = "NA",H33=""), "NA",(IF(OR(ChemData!U33="NA",ChemData!U33=""),L33/((Data!$D$33+((1-Data!$D$33)*Data!$D$14*$H33))/((1-Data!$D$33)*Data!$D$14*1000)),(IF(L33/((Data!$D$33+((1-Data!$D$33)*Data!$D$14*$H33))/((1-Data!$D$33)*Data!$D$14*1000))&gt;ChemData!U33, ChemData!U33, L33/((Data!$D$33+((1-Data!$D$33)*Data!$D$14*$H33))/((1-Data!$D$33)*Data!$D$14*1000)))))))))),"---")</f>
        <v>---</v>
      </c>
      <c r="Q33" s="376" t="str">
        <f>IF(Start!$C$16="x",IF(OR($F33 = "NA",F33=""), "NA", IF(P33= "NA", "NA",(P33+(Data!$D$30*$F33))/(Data!$D$30+1))),"---")</f>
        <v>---</v>
      </c>
      <c r="R33" s="376" t="str">
        <f>IF(Start!$C$16="x",IF(O33 = "NA","NA", IF(OR($I33 = "NA",I33=""), "NA",(IF(OR(ChemData!U33="NA",ChemData!U33=""),O33/((Data!$D$35+((1-Data!$D$35)*Data!$D$14*$I33))/((1-Data!$D$35)*Data!$D$14*1000)),(IF(O33/((Data!$D$35+((1-Data!$D$35)*Data!$D$14*$I33))/((1-Data!$D$35)*Data!$D$14*1000))&gt;ChemData!U33, ChemData!U33, O33/((Data!$D$35+((1-Data!$D$35)*Data!$D$14*$I33))/((1-Data!$D$35)*Data!$D$14*1000)))))))),"---")</f>
        <v>---</v>
      </c>
      <c r="S33" s="377" t="str">
        <f>IF(Start!$C$16="x",IF(OR($F33 = "NA",F33=""), "NA", IF(R33= "NA", "NA",(R33+(Data!$D$30*$F33))/(Data!$D$30+1))),"---")</f>
        <v>---</v>
      </c>
      <c r="T33" s="343" t="str">
        <f>IF(Start!$C$16="x",IF(AND(D33= "",E33=""),"",IF(Q33="NA","NA",IF(G33="NA","NA",IF(G33=0,"NA",(Q33/G33))))),"Not Req.")</f>
        <v>Not Req.</v>
      </c>
      <c r="U33" s="343" t="str">
        <f>IF(Start!$C$16="x",IF(AND(D33= "",E33=""),"",IF(S33="NA","NA",IF(G33="NA","NA",IF(G33=0,"NA",(S33/G33))))),"Not Req.")</f>
        <v>Not Req.</v>
      </c>
      <c r="V33" s="11"/>
    </row>
    <row r="34" spans="1:22" s="10" customFormat="1" x14ac:dyDescent="0.25">
      <c r="A34" s="307" t="s">
        <v>352</v>
      </c>
      <c r="B34" s="348" t="str">
        <f>IF(Start!$C$16="x",IF(OR(D34 ="NA",E34="NA"),"NA",IF(AND(D34= "",E34=""),"",IF(AND(D34= "",E34&lt;&gt; ""),"Missing Data",                     IF(AND(D34&lt;&gt; "",E34= ""),"Missing Data",(IF(OR(G34="NA",G34=""),"No Criteria",(IF(AND(Q34="NA",D34&lt;&gt;"NA",G34&lt;&gt;"NA"),                                               "Missing Data",(IF(Q34&lt;G34,"No","Needed")))))))))),"---")</f>
        <v>---</v>
      </c>
      <c r="C34" s="350" t="str">
        <f>IF(Start!$C$16="x",IF(OR(D34 ="NA",E34="NA"),"NA",IF(AND(D34= "",E34=""),"",IF(AND(D34= "",E34&lt;&gt; ""),"Missing Data",                     IF(AND(D34&lt;&gt; "",E34= ""),"Missing Data",(IF(OR(G34="NA",G34=""),"No Criteria",(IF(AND(S34="NA",D34&lt;&gt;"NA",G34&lt;&gt;"NA"),                                               "Missing Data",(IF(S34&lt;G34,"No","Needed")))))))))),"---")</f>
        <v>---</v>
      </c>
      <c r="D34" s="372" t="str">
        <f>IF(TRUE=ISBLANK(ChemData!B34),"",(ChemData!B34))</f>
        <v/>
      </c>
      <c r="E34" s="373" t="str">
        <f>IF(TRUE=ISBLANK(ChemData!C34),"",(ChemData!C34))</f>
        <v/>
      </c>
      <c r="F34" s="374" t="str">
        <f>IF(TRUE=ISBLANK(ChemData!D34),"",(ChemData!D34))</f>
        <v/>
      </c>
      <c r="G34" s="289">
        <f>IF(TRUE=ISBLANK(ChemData!I34),"",(ChemData!I34))</f>
        <v>2.6</v>
      </c>
      <c r="H34" s="290">
        <f>IF(TRUE=ISBLANK(ChemData!Q34),"",(ChemData!Q34))</f>
        <v>450</v>
      </c>
      <c r="I34" s="290">
        <f>IF(TRUE=ISBLANK(ChemData!R34),"",(ChemData!R34))</f>
        <v>450</v>
      </c>
      <c r="J34" s="290" t="str">
        <f>IF(TRUE=ISBLANK(ChemData!S34),"",(ChemData!S34))</f>
        <v>NA</v>
      </c>
      <c r="K34" s="291" t="str">
        <f>IF(TRUE=ISBLANK(ChemData!T34),"",(ChemData!T34))</f>
        <v>NA</v>
      </c>
      <c r="L34" s="375" t="str">
        <f>IF(Start!$C$16="x",IF(OR(D34="NA",D34=""),"NA", IF(OR($J34 = "NA",J34=""),"NA",IF(100/Data!$D$10&gt;Data!$D$13,(D34*$J34)/(Data!$D$10/100),(D34*$J34)*Data!$D$13))),"---")</f>
        <v>---</v>
      </c>
      <c r="M34" s="377" t="str">
        <f>IF(Start!$C$16="x",IF(OR(D34="NA",D34=""),"NA", IF(OR($K34 = "NA",K34=""),"NA",IF(100/Data!$D$10&gt;Data!$D$13,(D34*$K34)/(Data!$D$10/100),(D34*$K34)*Data!$D$13))),"---")</f>
        <v>---</v>
      </c>
      <c r="N34" s="375" t="str">
        <f>L34</f>
        <v>---</v>
      </c>
      <c r="O34" s="377" t="str">
        <f>M34</f>
        <v>---</v>
      </c>
      <c r="P34" s="461" t="str">
        <f>IF(Start!$C$16="x",(IF(L34 = "NA","NA", (IF(OR($H34 = "NA",H34=""), "NA",(IF(OR(ChemData!U34="NA",ChemData!U34=""),L34/((Data!$D$33+((1-Data!$D$33)*Data!$D$14*$H34))/((1-Data!$D$33)*Data!$D$14*1000)),(IF(L34/((Data!$D$33+((1-Data!$D$33)*Data!$D$14*$H34))/((1-Data!$D$33)*Data!$D$14*1000))&gt;ChemData!U34, ChemData!U34, L34/((Data!$D$33+((1-Data!$D$33)*Data!$D$14*$H34))/((1-Data!$D$33)*Data!$D$14*1000)))))))))),"---")</f>
        <v>---</v>
      </c>
      <c r="Q34" s="376" t="str">
        <f>IF(Start!$C$16="x",IF(OR($F34 = "NA",F34=""), "NA", IF(P34= "NA", "NA",(P34+(Data!$D$30*$F34))/(Data!$D$30+1))),"---")</f>
        <v>---</v>
      </c>
      <c r="R34" s="376" t="str">
        <f>IF(Start!$C$16="x",IF(O34 = "NA","NA", IF(OR($I34 = "NA",I34=""), "NA",(IF(OR(ChemData!U34="NA",ChemData!U34=""),O34/((Data!$D$35+((1-Data!$D$35)*Data!$D$14*$I34))/((1-Data!$D$35)*Data!$D$14*1000)),(IF(O34/((Data!$D$35+((1-Data!$D$35)*Data!$D$14*$I34))/((1-Data!$D$35)*Data!$D$14*1000))&gt;ChemData!U34, ChemData!U34, O34/((Data!$D$35+((1-Data!$D$35)*Data!$D$14*$I34))/((1-Data!$D$35)*Data!$D$14*1000)))))))),"---")</f>
        <v>---</v>
      </c>
      <c r="S34" s="377" t="str">
        <f>IF(Start!$C$16="x",IF(OR($F34 = "NA",F34=""), "NA", IF(R34= "NA", "NA",(R34+(Data!$D$30*$F34))/(Data!$D$30+1))),"---")</f>
        <v>---</v>
      </c>
      <c r="T34" s="343" t="str">
        <f>IF(Start!$C$16="x",IF(AND(D34= "",E34=""),"",IF(Q34="NA","NA",IF(G34="NA","NA",IF(G34=0,"NA",(Q34/G34))))),"Not Req.")</f>
        <v>Not Req.</v>
      </c>
      <c r="U34" s="343" t="str">
        <f>IF(Start!$C$16="x",IF(AND(D34= "",E34=""),"",IF(S34="NA","NA",IF(G34="NA","NA",IF(G34=0,"NA",(S34/G34))))),"Not Req.")</f>
        <v>Not Req.</v>
      </c>
      <c r="V34" s="11"/>
    </row>
    <row r="35" spans="1:22" s="10" customFormat="1" x14ac:dyDescent="0.25">
      <c r="A35" s="307" t="s">
        <v>353</v>
      </c>
      <c r="B35" s="348" t="str">
        <f>IF(Start!$C$16="x",IF(OR(D35 ="NA",E35="NA"),"NA",IF(AND(D35= "",E35=""),"",IF(AND(D35= "",E35&lt;&gt; ""),"Missing Data",                     IF(AND(D35&lt;&gt; "",E35= ""),"Missing Data",(IF(OR(G35="NA",G35=""),"No Criteria",(IF(AND(Q35="NA",D35&lt;&gt;"NA",G35&lt;&gt;"NA"),                                               "Missing Data",(IF(Q35&lt;G35,"No","Needed")))))))))),"---")</f>
        <v>---</v>
      </c>
      <c r="C35" s="350" t="str">
        <f>IF(Start!$C$16="x",IF(OR(D35 ="NA",E35="NA"),"NA",IF(AND(D35= "",E35=""),"",IF(AND(D35= "",E35&lt;&gt; ""),"Missing Data",                     IF(AND(D35&lt;&gt; "",E35= ""),"Missing Data",(IF(OR(G35="NA",G35=""),"No Criteria",(IF(AND(S35="NA",D35&lt;&gt;"NA",G35&lt;&gt;"NA"),                                               "Missing Data",(IF(S35&lt;G35,"No","Needed")))))))))),"---")</f>
        <v>---</v>
      </c>
      <c r="D35" s="372" t="str">
        <f>IF(TRUE=ISBLANK(ChemData!B35),"",(ChemData!B35))</f>
        <v/>
      </c>
      <c r="E35" s="373" t="str">
        <f>IF(TRUE=ISBLANK(ChemData!C35),"",(ChemData!C35))</f>
        <v/>
      </c>
      <c r="F35" s="374" t="str">
        <f>IF(TRUE=ISBLANK(ChemData!D35),"",(ChemData!D35))</f>
        <v/>
      </c>
      <c r="G35" s="289">
        <f>IF(TRUE=ISBLANK(ChemData!I35),"",(ChemData!I35))</f>
        <v>20</v>
      </c>
      <c r="H35" s="290">
        <f>IF(TRUE=ISBLANK(ChemData!Q35),"",(ChemData!Q35))</f>
        <v>110</v>
      </c>
      <c r="I35" s="290">
        <f>IF(TRUE=ISBLANK(ChemData!R35),"",(ChemData!R35))</f>
        <v>20</v>
      </c>
      <c r="J35" s="290">
        <f>IF(TRUE=ISBLANK(ChemData!S35),"",(ChemData!S35))</f>
        <v>1</v>
      </c>
      <c r="K35" s="291">
        <f>IF(TRUE=ISBLANK(ChemData!T35),"",(ChemData!T35))</f>
        <v>1</v>
      </c>
      <c r="L35" s="375" t="str">
        <f>IF(Start!$C$16="x",IF(OR(D35="NA",D35=""),"NA", IF(OR($J35 = "NA",J35=""),"NA",IF(100/Data!$D$10&gt;Data!$D$13,(D35*$J35)/(Data!$D$10/100),(D35*$J35)*Data!$D$13))),"---")</f>
        <v>---</v>
      </c>
      <c r="M35" s="377" t="str">
        <f>IF(Start!$C$16="x",IF(OR(D35="NA",D35=""),"NA", IF(OR($K35 = "NA",K35=""),"NA",IF(100/Data!$D$10&gt;Data!$D$13,(D35*$K35)/(Data!$D$10/100),(D35*$K35)*Data!$D$13))),"---")</f>
        <v>---</v>
      </c>
      <c r="N35" s="375" t="str">
        <f t="shared" si="1"/>
        <v>---</v>
      </c>
      <c r="O35" s="377" t="str">
        <f t="shared" si="0"/>
        <v>---</v>
      </c>
      <c r="P35" s="461" t="str">
        <f>IF(Start!$C$16="x",(IF(L35 = "NA","NA", (IF(OR($H35 = "NA",H35=""), "NA",(IF(OR(ChemData!U35="NA",ChemData!U35=""),L35/((Data!$D$33+((1-Data!$D$33)*Data!$D$14*$H35))/((1-Data!$D$33)*Data!$D$14*1000)),(IF(L35/((Data!$D$33+((1-Data!$D$33)*Data!$D$14*$H35))/((1-Data!$D$33)*Data!$D$14*1000))&gt;ChemData!U35, ChemData!U35, L35/((Data!$D$33+((1-Data!$D$33)*Data!$D$14*$H35))/((1-Data!$D$33)*Data!$D$14*1000)))))))))),"---")</f>
        <v>---</v>
      </c>
      <c r="Q35" s="376" t="str">
        <f>IF(Start!$C$16="x",IF(OR($F35 = "NA",F35=""), "NA", IF(P35= "NA", "NA",(P35+(Data!$D$30*$F35))/(Data!$D$30+1))),"---")</f>
        <v>---</v>
      </c>
      <c r="R35" s="376" t="str">
        <f>IF(Start!$C$16="x",IF(O35 = "NA","NA", IF(OR($I35 = "NA",I35=""), "NA",(IF(OR(ChemData!U35="NA",ChemData!U35=""),O35/((Data!$D$35+((1-Data!$D$35)*Data!$D$14*$I35))/((1-Data!$D$35)*Data!$D$14*1000)),(IF(O35/((Data!$D$35+((1-Data!$D$35)*Data!$D$14*$I35))/((1-Data!$D$35)*Data!$D$14*1000))&gt;ChemData!U35, ChemData!U35, O35/((Data!$D$35+((1-Data!$D$35)*Data!$D$14*$I35))/((1-Data!$D$35)*Data!$D$14*1000)))))))),"---")</f>
        <v>---</v>
      </c>
      <c r="S35" s="377" t="str">
        <f>IF(Start!$C$16="x",IF(OR($F35 = "NA",F35=""), "NA", IF(R35= "NA", "NA",(R35+(Data!$D$30*$F35))/(Data!$D$30+1))),"---")</f>
        <v>---</v>
      </c>
      <c r="T35" s="343" t="str">
        <f>IF(Start!$C$16="x",IF(AND(D35= "",E35=""),"",IF(Q35="NA","NA",IF(G35="NA","NA",IF(G35=0,"NA",(Q35/G35))))),"Not Req.")</f>
        <v>Not Req.</v>
      </c>
      <c r="U35" s="343" t="str">
        <f>IF(Start!$C$16="x",IF(AND(D35= "",E35=""),"",IF(S35="NA","NA",IF(G35="NA","NA",IF(G35=0,"NA",(S35/G35))))),"Not Req.")</f>
        <v>Not Req.</v>
      </c>
      <c r="V35" s="11"/>
    </row>
    <row r="36" spans="1:22" s="10" customFormat="1" x14ac:dyDescent="0.25">
      <c r="A36" s="307" t="s">
        <v>354</v>
      </c>
      <c r="B36" s="348" t="str">
        <f>IF(Start!$C$16="x",IF(OR(D36 ="NA",E36="NA"),"NA",IF(AND(D36= "",E36=""),"",IF(AND(D36= "",E36&lt;&gt; ""),"Missing Data",                     IF(AND(D36&lt;&gt; "",E36= ""),"Missing Data",(IF(OR(G36="NA",G36=""),"No Criteria",(IF(AND(Q36="NA",D36&lt;&gt;"NA",G36&lt;&gt;"NA"),                                               "Missing Data",(IF(Q36&lt;G36,"No","Needed")))))))))),"---")</f>
        <v>---</v>
      </c>
      <c r="C36" s="350" t="str">
        <f>IF(Start!$C$16="x",IF(OR(D36 ="NA",E36="NA"),"NA",IF(AND(D36= "",E36=""),"",IF(AND(D36= "",E36&lt;&gt; ""),"Missing Data",                     IF(AND(D36&lt;&gt; "",E36= ""),"Missing Data",(IF(OR(G36="NA",G36=""),"No Criteria",(IF(AND(S36="NA",D36&lt;&gt;"NA",G36&lt;&gt;"NA"),                                               "Missing Data",(IF(S36&lt;G36,"No","Needed")))))))))),"---")</f>
        <v>---</v>
      </c>
      <c r="D36" s="372" t="str">
        <f>IF(TRUE=ISBLANK(ChemData!B36),"",(ChemData!B36))</f>
        <v/>
      </c>
      <c r="E36" s="373" t="str">
        <f>IF(TRUE=ISBLANK(ChemData!C36),"",(ChemData!C36))</f>
        <v/>
      </c>
      <c r="F36" s="374" t="str">
        <f>IF(TRUE=ISBLANK(ChemData!D36),"",(ChemData!D36))</f>
        <v/>
      </c>
      <c r="G36" s="289">
        <f>IF(TRUE=ISBLANK(ChemData!I36),"",(ChemData!I36))</f>
        <v>120</v>
      </c>
      <c r="H36" s="290">
        <f>IF(TRUE=ISBLANK(ChemData!Q36),"",(ChemData!Q36))</f>
        <v>130</v>
      </c>
      <c r="I36" s="290">
        <f>IF(TRUE=ISBLANK(ChemData!R36),"",(ChemData!R36))</f>
        <v>80</v>
      </c>
      <c r="J36" s="290">
        <f>IF(TRUE=ISBLANK(ChemData!S36),"",(ChemData!S36))</f>
        <v>0.02</v>
      </c>
      <c r="K36" s="291">
        <f>IF(TRUE=ISBLANK(ChemData!T36),"",(ChemData!T36))</f>
        <v>0.3</v>
      </c>
      <c r="L36" s="375" t="str">
        <f>IF(Start!$C$16="x",IF(OR(D36="NA",D36=""),"NA", IF(OR($J36 = "NA",J36=""),"NA",IF(100/Data!$D$10&gt;Data!$D$13,(D36*$J36)/(Data!$D$10/100),(D36*$J36)*Data!$D$13))),"---")</f>
        <v>---</v>
      </c>
      <c r="M36" s="377" t="str">
        <f>IF(Start!$C$16="x",IF(OR(D36="NA",D36=""),"NA", IF(OR($K36 = "NA",K36=""),"NA",IF(100/Data!$D$10&gt;Data!$D$13,(D36*$K36)/(Data!$D$10/100),(D36*$K36)*Data!$D$13))),"---")</f>
        <v>---</v>
      </c>
      <c r="N36" s="375" t="str">
        <f>L36</f>
        <v>---</v>
      </c>
      <c r="O36" s="377" t="str">
        <f>M36</f>
        <v>---</v>
      </c>
      <c r="P36" s="461" t="str">
        <f>IF(Start!$C$16="x",(IF(L36 = "NA","NA", (IF(OR($H36 = "NA",H36=""), "NA",(IF(OR(ChemData!U36="NA",ChemData!U36=""),L36/((Data!$D$33+((1-Data!$D$33)*Data!$D$14*$H36))/((1-Data!$D$33)*Data!$D$14*1000)),(IF(L36/((Data!$D$33+((1-Data!$D$33)*Data!$D$14*$H36))/((1-Data!$D$33)*Data!$D$14*1000))&gt;ChemData!U36, ChemData!U36, L36/((Data!$D$33+((1-Data!$D$33)*Data!$D$14*$H36))/((1-Data!$D$33)*Data!$D$14*1000)))))))))),"---")</f>
        <v>---</v>
      </c>
      <c r="Q36" s="376" t="str">
        <f>IF(Start!$C$16="x",IF(OR($F36 = "NA",F36=""), "NA", IF(P36= "NA", "NA",(P36+(Data!$D$30*$F36))/(Data!$D$30+1))),"---")</f>
        <v>---</v>
      </c>
      <c r="R36" s="376" t="str">
        <f>IF(Start!$C$16="x",IF(O36 = "NA","NA", IF(OR($I36 = "NA",I36=""), "NA",(IF(OR(ChemData!U36="NA",ChemData!U36=""),O36/((Data!$D$35+((1-Data!$D$35)*Data!$D$14*$I36))/((1-Data!$D$35)*Data!$D$14*1000)),(IF(O36/((Data!$D$35+((1-Data!$D$35)*Data!$D$14*$I36))/((1-Data!$D$35)*Data!$D$14*1000))&gt;ChemData!U36, ChemData!U36, O36/((Data!$D$35+((1-Data!$D$35)*Data!$D$14*$I36))/((1-Data!$D$35)*Data!$D$14*1000)))))))),"---")</f>
        <v>---</v>
      </c>
      <c r="S36" s="377" t="str">
        <f>IF(Start!$C$16="x",IF(OR($F36 = "NA",F36=""), "NA", IF(R36= "NA", "NA",(R36+(Data!$D$30*$F36))/(Data!$D$30+1))),"---")</f>
        <v>---</v>
      </c>
      <c r="T36" s="343" t="str">
        <f>IF(Start!$C$16="x",IF(AND(D36= "",E36=""),"",IF(Q36="NA","NA",IF(G36="NA","NA",IF(G36=0,"NA",(Q36/G36))))),"Not Req.")</f>
        <v>Not Req.</v>
      </c>
      <c r="U36" s="343" t="str">
        <f>IF(Start!$C$16="x",IF(AND(D36= "",E36=""),"",IF(S36="NA","NA",IF(G36="NA","NA",IF(G36=0,"NA",(S36/G36))))),"Not Req.")</f>
        <v>Not Req.</v>
      </c>
      <c r="V36" s="11"/>
    </row>
    <row r="37" spans="1:22" s="10" customFormat="1" ht="13.8" thickBot="1" x14ac:dyDescent="0.3">
      <c r="A37" s="379" t="s">
        <v>355</v>
      </c>
      <c r="B37" s="348" t="str">
        <f>IF(Start!$C$16="x",IF(OR(D37 ="NA",E37="NA"),"NA",IF(AND(D37= "",E37=""),"",IF(AND(D37= "",E37&lt;&gt; ""),"Missing Data",                     IF(AND(D37&lt;&gt; "",E37= ""),"Missing Data",(IF(OR(G37="NA",G37=""),"No Criteria",(IF(AND(Q37="NA",D37&lt;&gt;"NA",G37&lt;&gt;"NA"),                                               "Missing Data",(IF(Q37&lt;G37,"No","Needed")))))))))),"---")</f>
        <v>---</v>
      </c>
      <c r="C37" s="350" t="str">
        <f>IF(Start!$C$16="x",IF(OR(D37 ="NA",E37="NA"),"NA",IF(AND(D37= "",E37=""),"",IF(AND(D37= "",E37&lt;&gt; ""),"Missing Data",                     IF(AND(D37&lt;&gt; "",E37= ""),"Missing Data",(IF(OR(G37="NA",G37=""),"No Criteria",(IF(AND(S37="NA",D37&lt;&gt;"NA",G37&lt;&gt;"NA"),                                               "Missing Data",(IF(S37&lt;G37,"No","Needed")))))))))),"---")</f>
        <v>---</v>
      </c>
      <c r="D37" s="372" t="str">
        <f>IF(TRUE=ISBLANK(ChemData!B37),"",(ChemData!B37))</f>
        <v/>
      </c>
      <c r="E37" s="373" t="str">
        <f>IF(TRUE=ISBLANK(ChemData!C37),"",(ChemData!C37))</f>
        <v/>
      </c>
      <c r="F37" s="374" t="str">
        <f>IF(TRUE=ISBLANK(ChemData!D37),"",(ChemData!D37))</f>
        <v/>
      </c>
      <c r="G37" s="289">
        <f>IF(TRUE=ISBLANK(ChemData!I37),"",(ChemData!I37))</f>
        <v>17</v>
      </c>
      <c r="H37" s="290">
        <f>IF(TRUE=ISBLANK(ChemData!Q37),"",(ChemData!Q37))</f>
        <v>3000</v>
      </c>
      <c r="I37" s="290">
        <f>IF(TRUE=ISBLANK(ChemData!R37),"",(ChemData!R37))</f>
        <v>3000</v>
      </c>
      <c r="J37" s="290" t="str">
        <f>IF(TRUE=ISBLANK(ChemData!S37),"",(ChemData!S37))</f>
        <v>NA</v>
      </c>
      <c r="K37" s="291" t="str">
        <f>IF(TRUE=ISBLANK(ChemData!T37),"",(ChemData!T37))</f>
        <v>NA</v>
      </c>
      <c r="L37" s="375" t="str">
        <f>IF(Start!$C$16="x",IF(OR(D37="NA",D37=""),"NA", IF(OR($J37 = "NA",J37=""),"NA",IF(100/Data!$D$10&gt;Data!$D$13,(D37*$J37)/(Data!$D$10/100),(D37*$J37)*Data!$D$13))),"---")</f>
        <v>---</v>
      </c>
      <c r="M37" s="377" t="str">
        <f>IF(Start!$C$16="x",IF(OR(D37="NA",D37=""),"NA", IF(OR($K37 = "NA",K37=""),"NA",IF(100/Data!$D$10&gt;Data!$D$13,(D37*$K37)/(Data!$D$10/100),(D37*$K37)*Data!$D$13))),"---")</f>
        <v>---</v>
      </c>
      <c r="N37" s="375" t="str">
        <f>L37</f>
        <v>---</v>
      </c>
      <c r="O37" s="377" t="str">
        <f>M37</f>
        <v>---</v>
      </c>
      <c r="P37" s="461" t="str">
        <f>IF(Start!$C$16="x",(IF(L37 = "NA","NA", (IF(OR($H37 = "NA",H37=""), "NA",(IF(OR(ChemData!U37="NA",ChemData!U37=""),L37/((Data!$D$33+((1-Data!$D$33)*Data!$D$14*$H37))/((1-Data!$D$33)*Data!$D$14*1000)),(IF(L37/((Data!$D$33+((1-Data!$D$33)*Data!$D$14*$H37))/((1-Data!$D$33)*Data!$D$14*1000))&gt;ChemData!U37, ChemData!U37, L37/((Data!$D$33+((1-Data!$D$33)*Data!$D$14*$H37))/((1-Data!$D$33)*Data!$D$14*1000)))))))))),"---")</f>
        <v>---</v>
      </c>
      <c r="Q37" s="376" t="str">
        <f>IF(Start!$C$16="x",IF(OR($F37 = "NA",F37=""), "NA", IF(P37= "NA", "NA",(P37+(Data!$D$30*$F37))/(Data!$D$30+1))),"---")</f>
        <v>---</v>
      </c>
      <c r="R37" s="376" t="str">
        <f>IF(Start!$C$16="x",IF(O37 = "NA","NA", IF(OR($I37 = "NA",I37=""), "NA",(IF(OR(ChemData!U37="NA",ChemData!U37=""),O37/((Data!$D$35+((1-Data!$D$35)*Data!$D$14*$I37))/((1-Data!$D$35)*Data!$D$14*1000)),(IF(O37/((Data!$D$35+((1-Data!$D$35)*Data!$D$14*$I37))/((1-Data!$D$35)*Data!$D$14*1000))&gt;ChemData!U37, ChemData!U37, O37/((Data!$D$35+((1-Data!$D$35)*Data!$D$14*$I37))/((1-Data!$D$35)*Data!$D$14*1000)))))))),"---")</f>
        <v>---</v>
      </c>
      <c r="S37" s="377" t="str">
        <f>IF(Start!$C$16="x",IF(OR($F37 = "NA",F37=""), "NA", IF(R37= "NA", "NA",(R37+(Data!$D$30*$F37))/(Data!$D$30+1))),"---")</f>
        <v>---</v>
      </c>
      <c r="T37" s="343" t="str">
        <f>IF(Start!$C$16="x",IF(AND(D37= "",E37=""),"",IF(Q37="NA","NA",IF(G37="NA","NA",IF(G37=0,"NA",(Q37/G37))))),"Not Req.")</f>
        <v>Not Req.</v>
      </c>
      <c r="U37" s="343" t="str">
        <f>IF(Start!$C$16="x",IF(AND(D37= "",E37=""),"",IF(S37="NA","NA",IF(G37="NA","NA",IF(G37=0,"NA",(S37/G37))))),"Not Req.")</f>
        <v>Not Req.</v>
      </c>
      <c r="V37" s="11"/>
    </row>
    <row r="38" spans="1:22" s="10" customFormat="1" x14ac:dyDescent="0.25">
      <c r="A38" s="573" t="s">
        <v>356</v>
      </c>
      <c r="B38" s="525"/>
      <c r="C38" s="526"/>
      <c r="D38" s="508"/>
      <c r="E38" s="509"/>
      <c r="F38" s="510"/>
      <c r="G38" s="511"/>
      <c r="H38" s="512"/>
      <c r="I38" s="512"/>
      <c r="J38" s="512"/>
      <c r="K38" s="513"/>
      <c r="L38" s="511"/>
      <c r="M38" s="513"/>
      <c r="N38" s="511"/>
      <c r="O38" s="513"/>
      <c r="P38" s="512"/>
      <c r="Q38" s="512"/>
      <c r="R38" s="512"/>
      <c r="S38" s="513"/>
      <c r="T38" s="511"/>
      <c r="U38" s="527"/>
      <c r="V38" s="11"/>
    </row>
    <row r="39" spans="1:22" s="10" customFormat="1" x14ac:dyDescent="0.25">
      <c r="A39" s="307" t="s">
        <v>665</v>
      </c>
      <c r="B39" s="348" t="str">
        <f>IF(Start!$C$16="x",IF(OR(D39 ="NA",E39="NA"),"NA",IF(AND(D39= "",E39=""),"",IF(AND(D39= "",E39&lt;&gt; ""),"Missing Data",                     IF(AND(D39&lt;&gt; "",E39= ""),"Missing Data",(IF(OR(G39="NA",G39=""),"No Criteria",(IF(AND(Q39="NA",D39&lt;&gt;"NA",G39&lt;&gt;"NA"),                                               "Missing Data",(IF(Q39&lt;G39,"No","Needed")))))))))),"---")</f>
        <v>---</v>
      </c>
      <c r="C39" s="350" t="str">
        <f>IF(Start!$C$16="x",IF(OR(D39 ="NA",E39="NA"),"NA",IF(AND(D39= "",E39=""),"",IF(AND(D39= "",E39&lt;&gt; ""),"Missing Data",                     IF(AND(D39&lt;&gt; "",E39= ""),"Missing Data",(IF(OR(G39="NA",G39=""),"No Criteria",(IF(AND(S39="NA",D39&lt;&gt;"NA",G39&lt;&gt;"NA"),                                               "Missing Data",(IF(S39&lt;G39,"No","Needed")))))))))),"---")</f>
        <v>---</v>
      </c>
      <c r="D39" s="372" t="str">
        <f>IF(TRUE=ISBLANK(ChemData!B39),"",(ChemData!B39))</f>
        <v/>
      </c>
      <c r="E39" s="373" t="str">
        <f>IF(TRUE=ISBLANK(ChemData!C39),"",(ChemData!C39))</f>
        <v/>
      </c>
      <c r="F39" s="374" t="str">
        <f>IF(TRUE=ISBLANK(ChemData!D39),"",(ChemData!D39))</f>
        <v/>
      </c>
      <c r="G39" s="289" t="str">
        <f>IF(TRUE=ISBLANK(ChemData!I39),"",(ChemData!I39))</f>
        <v>NA</v>
      </c>
      <c r="H39" s="290">
        <f>IF(TRUE=ISBLANK(ChemData!Q39),"",(ChemData!Q39))</f>
        <v>7.0373057258935875E-2</v>
      </c>
      <c r="I39" s="290">
        <f>IF(TRUE=ISBLANK(ChemData!R39),"",(ChemData!R39))</f>
        <v>7.0373057258935875E-2</v>
      </c>
      <c r="J39" s="290">
        <f>IF(TRUE=ISBLANK(ChemData!S39),"",(ChemData!S39))</f>
        <v>1</v>
      </c>
      <c r="K39" s="291">
        <f>IF(TRUE=ISBLANK(ChemData!T39),"",(ChemData!T39))</f>
        <v>1</v>
      </c>
      <c r="L39" s="375" t="str">
        <f>IF(Start!$C$16="x",IF(OR(D39="NA",D39=""),"NA", IF(OR($J39 = "NA",J39=""),"NA",(D39*$J39))),"---")</f>
        <v>---</v>
      </c>
      <c r="M39" s="377" t="str">
        <f>IF(Start!$C$16="x",IF(OR(D39="NA",D39=""),"NA", IF(OR($K39 = "NA",K39=""),"NA",(D39*$K39))),"---")</f>
        <v>---</v>
      </c>
      <c r="N39" s="375" t="str">
        <f t="shared" ref="N39:O42" si="2">L39</f>
        <v>---</v>
      </c>
      <c r="O39" s="377" t="str">
        <f t="shared" si="2"/>
        <v>---</v>
      </c>
      <c r="P39" s="461" t="str">
        <f>IF(Start!$C$16="x",(IF(L39 = "NA","NA", (IF(OR($H39 = "NA",H39=""), "NA",(IF(OR(ChemData!U38="NA",ChemData!U38=""),L39/((Data!$D$33+((1-Data!$D$33)*Data!$D$14*$H39))/((1-Data!$D$33)*Data!$D$14*1000)),(IF(L39/((Data!$D$33+((1-Data!$D$33)*Data!$D$14*$H39))/((1-Data!$D$33)*Data!$D$14*1000))&gt;ChemData!U38, ChemData!U38, L39/((Data!$D$33+((1-Data!$D$33)*Data!$D$14*$H39))/((1-Data!$D$33)*Data!$D$14*1000)))))))))),"---")</f>
        <v>---</v>
      </c>
      <c r="Q39" s="376" t="str">
        <f>IF(Start!$C$16="x",IF(OR($F39 = "NA",F39=""), "NA", IF(P39= "NA", "NA",(P39+(Data!$D$30*$F39))/(Data!$D$30+1))),"---")</f>
        <v>---</v>
      </c>
      <c r="R39" s="376" t="str">
        <f>IF(Start!$C$16="x",IF(O39 = "NA","NA", IF(OR($I39 = "NA",I39=""), "NA",(IF(OR(ChemData!U39="NA",ChemData!U39=""),O39/((Data!$D$35+((1-Data!$D$35)*Data!$D$14*$I39))/((1-Data!$D$35)*Data!$D$14*1000)),(IF(O39/((Data!$D$35+((1-Data!$D$35)*Data!$D$14*$I39))/((1-Data!$D$35)*Data!$D$14*1000))&gt;ChemData!U39, ChemData!U39, O39/((Data!$D$35+((1-Data!$D$35)*Data!$D$14*$I39))/((1-Data!$D$35)*Data!$D$14*1000)))))))),"---")</f>
        <v>---</v>
      </c>
      <c r="S39" s="377" t="str">
        <f>IF(Start!$C$16="x",IF(OR($F39 = "NA",F39=""), "NA", IF(R39= "NA", "NA",(R39+(Data!$D$30*$F39))/(Data!$D$30+1))),"---")</f>
        <v>---</v>
      </c>
      <c r="T39" s="343" t="str">
        <f>IF(Start!$C$16="x",IF(AND(D39= "",E39=""),"",IF(Q39="NA","NA",IF(G39="NA","NA",IF(G39=0,"NA",(Q39/G39))))),"Not Req.")</f>
        <v>Not Req.</v>
      </c>
      <c r="U39" s="343" t="str">
        <f>IF(Start!$C$16="x",IF(AND(D39= "",E39=""),"",IF(S39="NA","NA",IF(G39="NA","NA",IF(G39=0,"NA",(S39/G39))))),"Not Req.")</f>
        <v>Not Req.</v>
      </c>
      <c r="V39" s="11"/>
    </row>
    <row r="40" spans="1:22" s="10" customFormat="1" x14ac:dyDescent="0.25">
      <c r="A40" s="307" t="s">
        <v>358</v>
      </c>
      <c r="B40" s="348" t="str">
        <f>IF(Start!$C$16="x",IF(OR(D40 ="NA",E40="NA"),"NA",IF(AND(D40= "",E40=""),"",IF(AND(D40= "",E40&lt;&gt; ""),"Missing Data",                     IF(AND(D40&lt;&gt; "",E40= ""),"Missing Data",(IF(OR(G40="NA",G40=""),"No Criteria",(IF(AND(Q40="NA",D40&lt;&gt;"NA",G40&lt;&gt;"NA"),                                               "Missing Data",(IF(Q40&lt;G40,"No","Needed")))))))))),"---")</f>
        <v>---</v>
      </c>
      <c r="C40" s="350" t="str">
        <f>IF(Start!$C$16="x",IF(OR(D40 ="NA",E40="NA"),"NA",IF(AND(D40= "",E40=""),"",IF(AND(D40= "",E40&lt;&gt; ""),"Missing Data",                     IF(AND(D40&lt;&gt; "",E40= ""),"Missing Data",(IF(OR(G40="NA",G40=""),"No Criteria",(IF(AND(S40="NA",D40&lt;&gt;"NA",G40&lt;&gt;"NA"),                                               "Missing Data",(IF(S40&lt;G40,"No","Needed")))))))))),"---")</f>
        <v>---</v>
      </c>
      <c r="D40" s="372" t="str">
        <f>IF(TRUE=ISBLANK(ChemData!B40),"",(ChemData!B40))</f>
        <v/>
      </c>
      <c r="E40" s="373" t="str">
        <f>IF(TRUE=ISBLANK(ChemData!C40),"",(ChemData!C40))</f>
        <v/>
      </c>
      <c r="F40" s="374" t="str">
        <f>IF(TRUE=ISBLANK(ChemData!D40),"",(ChemData!D40))</f>
        <v/>
      </c>
      <c r="G40" s="289" t="str">
        <f>IF(TRUE=ISBLANK(ChemData!I40),"",(ChemData!I40))</f>
        <v>NA</v>
      </c>
      <c r="H40" s="290">
        <f>IF(TRUE=ISBLANK(ChemData!Q40),"",(ChemData!Q40))</f>
        <v>4.7578025939051666E-2</v>
      </c>
      <c r="I40" s="290">
        <f>IF(TRUE=ISBLANK(ChemData!R40),"",(ChemData!R40))</f>
        <v>4.7578025939051666E-2</v>
      </c>
      <c r="J40" s="290">
        <f>IF(TRUE=ISBLANK(ChemData!S40),"",(ChemData!S40))</f>
        <v>1</v>
      </c>
      <c r="K40" s="291">
        <f>IF(TRUE=ISBLANK(ChemData!T40),"",(ChemData!T40))</f>
        <v>1</v>
      </c>
      <c r="L40" s="375" t="str">
        <f>IF(Start!$C$16="x",IF(OR(D40="NA",D40=""),"NA", IF(OR($J40 = "NA",J40=""),"NA",(D40*$J40))),"---")</f>
        <v>---</v>
      </c>
      <c r="M40" s="377" t="str">
        <f>IF(Start!$C$16="x",IF(OR(D40="NA",D40=""),"NA", IF(OR($K40 = "NA",K40=""),"NA",(D40*$K40))),"---")</f>
        <v>---</v>
      </c>
      <c r="N40" s="375" t="str">
        <f t="shared" si="2"/>
        <v>---</v>
      </c>
      <c r="O40" s="377" t="str">
        <f t="shared" si="2"/>
        <v>---</v>
      </c>
      <c r="P40" s="461" t="str">
        <f>IF(Start!$C$16="x",(IF(L40 = "NA","NA", (IF(OR($H40 = "NA",H40=""), "NA",(IF(OR(ChemData!U39="NA",ChemData!U39=""),L40/((Data!$D$33+((1-Data!$D$33)*Data!$D$14*$H40))/((1-Data!$D$33)*Data!$D$14*1000)),(IF(L40/((Data!$D$33+((1-Data!$D$33)*Data!$D$14*$H40))/((1-Data!$D$33)*Data!$D$14*1000))&gt;ChemData!U39, ChemData!U39, L40/((Data!$D$33+((1-Data!$D$33)*Data!$D$14*$H40))/((1-Data!$D$33)*Data!$D$14*1000)))))))))),"---")</f>
        <v>---</v>
      </c>
      <c r="Q40" s="376" t="str">
        <f>IF(Start!$C$16="x",IF(OR($F40 = "NA",F40=""), "NA", IF(P40= "NA", "NA",(P40+(Data!$D$30*$F40))/(Data!$D$30+1))),"---")</f>
        <v>---</v>
      </c>
      <c r="R40" s="376" t="str">
        <f>IF(Start!$C$16="x",IF(O40 = "NA","NA", IF(OR($I40 = "NA",I40=""), "NA",(IF(OR(ChemData!U40="NA",ChemData!U40=""),O40/((Data!$D$35+((1-Data!$D$35)*Data!$D$14*$I40))/((1-Data!$D$35)*Data!$D$14*1000)),(IF(O40/((Data!$D$35+((1-Data!$D$35)*Data!$D$14*$I40))/((1-Data!$D$35)*Data!$D$14*1000))&gt;ChemData!U40, ChemData!U40, O40/((Data!$D$35+((1-Data!$D$35)*Data!$D$14*$I40))/((1-Data!$D$35)*Data!$D$14*1000)))))))),"---")</f>
        <v>---</v>
      </c>
      <c r="S40" s="377" t="str">
        <f>IF(Start!$C$16="x",IF(OR($F40 = "NA",F40=""), "NA", IF(R40= "NA", "NA",(R40+(Data!$D$30*$F40))/(Data!$D$30+1))),"---")</f>
        <v>---</v>
      </c>
      <c r="T40" s="343" t="str">
        <f>IF(Start!$C$16="x",IF(AND(D40= "",E40=""),"",IF(Q40="NA","NA",IF(G40="NA","NA",IF(G40=0,"NA",(Q40/G40))))),"Not Req.")</f>
        <v>Not Req.</v>
      </c>
      <c r="U40" s="343" t="str">
        <f>IF(Start!$C$16="x",IF(AND(D40= "",E40=""),"",IF(S40="NA","NA",IF(G40="NA","NA",IF(G40=0,"NA",(S40/G40))))),"Not Req.")</f>
        <v>Not Req.</v>
      </c>
      <c r="V40" s="11"/>
    </row>
    <row r="41" spans="1:22" s="10" customFormat="1" x14ac:dyDescent="0.25">
      <c r="A41" s="307" t="s">
        <v>359</v>
      </c>
      <c r="B41" s="348" t="str">
        <f>IF(Start!$C$16="x",IF(OR(D41 ="NA",E41="NA"),"NA",IF(AND(D41= "",E41=""),"",IF(AND(D41= "",E41&lt;&gt; ""),"Missing Data",                     IF(AND(D41&lt;&gt; "",E41= ""),"Missing Data",(IF(OR(G41="NA",G41=""),"No Criteria",(IF(AND(Q41="NA",D41&lt;&gt;"NA",G41&lt;&gt;"NA"),                                               "Missing Data",(IF(Q41&lt;G41,"No","Needed")))))))))),"---")</f>
        <v>---</v>
      </c>
      <c r="C41" s="350" t="str">
        <f>IF(Start!$C$16="x",IF(OR(D41 ="NA",E41="NA"),"NA",IF(AND(D41= "",E41=""),"",IF(AND(D41= "",E41&lt;&gt; ""),"Missing Data",                     IF(AND(D41&lt;&gt; "",E41= ""),"Missing Data",(IF(OR(G41="NA",G41=""),"No Criteria",(IF(AND(S41="NA",D41&lt;&gt;"NA",G41&lt;&gt;"NA"),                                               "Missing Data",(IF(S41&lt;G41,"No","Needed")))))))))),"---")</f>
        <v>---</v>
      </c>
      <c r="D41" s="372" t="str">
        <f>IF(TRUE=ISBLANK(ChemData!B41),"",(ChemData!B41))</f>
        <v/>
      </c>
      <c r="E41" s="373" t="str">
        <f>IF(TRUE=ISBLANK(ChemData!C41),"",(ChemData!C41))</f>
        <v/>
      </c>
      <c r="F41" s="374" t="str">
        <f>IF(TRUE=ISBLANK(ChemData!D41),"",(ChemData!D41))</f>
        <v/>
      </c>
      <c r="G41" s="289" t="str">
        <f>IF(TRUE=ISBLANK(ChemData!I41),"",(ChemData!I41))</f>
        <v>NA</v>
      </c>
      <c r="H41" s="290" t="str">
        <f>IF(TRUE=ISBLANK(ChemData!Q41),"",(ChemData!Q41))</f>
        <v>NA</v>
      </c>
      <c r="I41" s="290" t="str">
        <f>IF(TRUE=ISBLANK(ChemData!R41),"",(ChemData!R41))</f>
        <v>NA</v>
      </c>
      <c r="J41" s="290">
        <f>IF(TRUE=ISBLANK(ChemData!S41),"",(ChemData!S41))</f>
        <v>1</v>
      </c>
      <c r="K41" s="291">
        <f>IF(TRUE=ISBLANK(ChemData!T41),"",(ChemData!T41))</f>
        <v>1</v>
      </c>
      <c r="L41" s="375" t="str">
        <f>IF(Start!$C$16="x",IF(OR(D41="NA",D41=""),"NA", IF(OR($J41 = "NA",J41=""),"NA",(D41*$J41))),"---")</f>
        <v>---</v>
      </c>
      <c r="M41" s="377" t="str">
        <f>IF(Start!$C$16="x",IF(OR(D41="NA",D41=""),"NA", IF(OR($K41 = "NA",K41=""),"NA",(D41*$K41))),"---")</f>
        <v>---</v>
      </c>
      <c r="N41" s="375" t="str">
        <f t="shared" si="2"/>
        <v>---</v>
      </c>
      <c r="O41" s="377" t="str">
        <f t="shared" si="2"/>
        <v>---</v>
      </c>
      <c r="P41" s="461" t="str">
        <f>IF(Start!$C$16="x",(IF(L41 = "NA","NA", (IF(OR($H41 = "NA",H41=""), "NA",(IF(OR(ChemData!U40="NA",ChemData!U40=""),L41/((Data!$D$33+((1-Data!$D$33)*Data!$D$14*$H41))/((1-Data!$D$33)*Data!$D$14*1000)),(IF(L41/((Data!$D$33+((1-Data!$D$33)*Data!$D$14*$H41))/((1-Data!$D$33)*Data!$D$14*1000))&gt;ChemData!U40, ChemData!U40, L41/((Data!$D$33+((1-Data!$D$33)*Data!$D$14*$H41))/((1-Data!$D$33)*Data!$D$14*1000)))))))))),"---")</f>
        <v>---</v>
      </c>
      <c r="Q41" s="376" t="str">
        <f>IF(Start!$C$16="x",IF(OR($F41 = "NA",F41=""), "NA", IF(P41= "NA", "NA",(P41+(Data!$D$30*$F41))/(Data!$D$30+1))),"---")</f>
        <v>---</v>
      </c>
      <c r="R41" s="376" t="str">
        <f>IF(Start!$C$16="x",IF(O41 = "NA","NA", IF(OR($I41 = "NA",I41=""), "NA",(IF(OR(ChemData!U41="NA",ChemData!U41=""),O41/((Data!$D$35+((1-Data!$D$35)*Data!$D$14*$I41))/((1-Data!$D$35)*Data!$D$14*1000)),(IF(O41/((Data!$D$35+((1-Data!$D$35)*Data!$D$14*$I41))/((1-Data!$D$35)*Data!$D$14*1000))&gt;ChemData!U41, ChemData!U41, O41/((Data!$D$35+((1-Data!$D$35)*Data!$D$14*$I41))/((1-Data!$D$35)*Data!$D$14*1000)))))))),"---")</f>
        <v>---</v>
      </c>
      <c r="S41" s="377" t="str">
        <f>IF(Start!$C$16="x",IF(OR($F41 = "NA",F41=""), "NA", IF(R41= "NA", "NA",(R41+(Data!$D$30*$F41))/(Data!$D$30+1))),"---")</f>
        <v>---</v>
      </c>
      <c r="T41" s="343" t="str">
        <f>IF(Start!$C$16="x",IF(AND(D41= "",E41=""),"",IF(Q41="NA","NA",IF(G41="NA","NA",IF(G41=0,"NA",(Q41/G41))))),"Not Req.")</f>
        <v>Not Req.</v>
      </c>
      <c r="U41" s="343" t="str">
        <f>IF(Start!$C$16="x",IF(AND(D41= "",E41=""),"",IF(S41="NA","NA",IF(G41="NA","NA",IF(G41=0,"NA",(S41/G41))))),"Not Req.")</f>
        <v>Not Req.</v>
      </c>
      <c r="V41" s="11"/>
    </row>
    <row r="42" spans="1:22" s="10" customFormat="1" x14ac:dyDescent="0.25">
      <c r="A42" s="307" t="s">
        <v>360</v>
      </c>
      <c r="B42" s="348" t="str">
        <f>IF(Start!$C$16="x",IF(OR(D42 ="NA",E42="NA"),"NA",IF(AND(D42= "",E42=""),"",IF(AND(D42= "",E42&lt;&gt; ""),"Missing Data",                     IF(AND(D42&lt;&gt; "",E42= ""),"Missing Data",(IF(OR(G42="NA",G42=""),"No Criteria",(IF(AND(Q42="NA",D42&lt;&gt;"NA",G42&lt;&gt;"NA"),                                               "Missing Data",(IF(Q42&lt;G42,"No","Needed")))))))))),"---")</f>
        <v>---</v>
      </c>
      <c r="C42" s="350" t="str">
        <f>IF(Start!$C$16="x",IF(OR(D42 ="NA",E42="NA"),"NA",IF(AND(D42= "",E42=""),"",IF(AND(D42= "",E42&lt;&gt; ""),"Missing Data",                     IF(AND(D42&lt;&gt; "",E42= ""),"Missing Data",(IF(OR(G42="NA",G42=""),"No Criteria",(IF(AND(S42="NA",D42&lt;&gt;"NA",G42&lt;&gt;"NA"),                                               "Missing Data",(IF(S42&lt;G42,"No","Needed")))))))))),"---")</f>
        <v>---</v>
      </c>
      <c r="D42" s="372" t="str">
        <f>IF(TRUE=ISBLANK(ChemData!B42),"",(ChemData!B42))</f>
        <v/>
      </c>
      <c r="E42" s="373" t="str">
        <f>IF(TRUE=ISBLANK(ChemData!C42),"",(ChemData!C42))</f>
        <v/>
      </c>
      <c r="F42" s="374" t="str">
        <f>IF(TRUE=ISBLANK(ChemData!D42),"",(ChemData!D42))</f>
        <v/>
      </c>
      <c r="G42" s="289">
        <f>IF(TRUE=ISBLANK(ChemData!I42),"",(ChemData!I42))</f>
        <v>7.1999999999999995E-2</v>
      </c>
      <c r="H42" s="290">
        <f>IF(TRUE=ISBLANK(ChemData!Q42),"",(ChemData!Q42))</f>
        <v>24.063000000000002</v>
      </c>
      <c r="I42" s="290">
        <f>IF(TRUE=ISBLANK(ChemData!R42),"",(ChemData!R42))</f>
        <v>24.063000000000002</v>
      </c>
      <c r="J42" s="290">
        <f>IF(TRUE=ISBLANK(ChemData!S42),"",(ChemData!S42))</f>
        <v>1</v>
      </c>
      <c r="K42" s="291">
        <f>IF(TRUE=ISBLANK(ChemData!T42),"",(ChemData!T42))</f>
        <v>1</v>
      </c>
      <c r="L42" s="375" t="str">
        <f>IF(Start!$C$16="x",IF(OR(D42="NA",D42=""),"NA", IF(OR($J42 = "NA",J42=""),"NA",(D42*$J42))),"---")</f>
        <v>---</v>
      </c>
      <c r="M42" s="377" t="str">
        <f>IF(Start!$C$16="x",IF(OR(D42="NA",D42=""),"NA", IF(OR($K42 = "NA",K42=""),"NA",(D42*$K42))),"---")</f>
        <v>---</v>
      </c>
      <c r="N42" s="375" t="str">
        <f t="shared" si="2"/>
        <v>---</v>
      </c>
      <c r="O42" s="377" t="str">
        <f t="shared" si="2"/>
        <v>---</v>
      </c>
      <c r="P42" s="461" t="str">
        <f>IF(Start!$C$16="x",(IF(L42 = "NA","NA", (IF(OR($H42 = "NA",H42=""), "NA",(IF(OR(ChemData!U41="NA",ChemData!U41=""),L42/((Data!$D$33+((1-Data!$D$33)*Data!$D$14*$H42))/((1-Data!$D$33)*Data!$D$14*1000)),(IF(L42/((Data!$D$33+((1-Data!$D$33)*Data!$D$14*$H42))/((1-Data!$D$33)*Data!$D$14*1000))&gt;ChemData!U41, ChemData!U41, L42/((Data!$D$33+((1-Data!$D$33)*Data!$D$14*$H42))/((1-Data!$D$33)*Data!$D$14*1000)))))))))),"---")</f>
        <v>---</v>
      </c>
      <c r="Q42" s="376" t="str">
        <f>IF(Start!$C$16="x",IF(OR($F42 = "NA",F42=""), "NA", IF(P42= "NA", "NA",(P42+(Data!$D$30*$F42))/(Data!$D$30+1))),"---")</f>
        <v>---</v>
      </c>
      <c r="R42" s="376" t="str">
        <f>IF(Start!$C$16="x",IF(O42 = "NA","NA", IF(OR($I42 = "NA",I42=""), "NA",(IF(OR(ChemData!U42="NA",ChemData!U42=""),O42/((Data!$D$35+((1-Data!$D$35)*Data!$D$14*$I42))/((1-Data!$D$35)*Data!$D$14*1000)),(IF(O42/((Data!$D$35+((1-Data!$D$35)*Data!$D$14*$I42))/((1-Data!$D$35)*Data!$D$14*1000))&gt;ChemData!U42, ChemData!U42, O42/((Data!$D$35+((1-Data!$D$35)*Data!$D$14*$I42))/((1-Data!$D$35)*Data!$D$14*1000)))))))),"---")</f>
        <v>---</v>
      </c>
      <c r="S42" s="377" t="str">
        <f>IF(Start!$C$16="x",IF(OR($F42 = "NA",F42=""), "NA", IF(R42= "NA", "NA",(R42+(Data!$D$30*$F42))/(Data!$D$30+1))),"---")</f>
        <v>---</v>
      </c>
      <c r="T42" s="343" t="str">
        <f>IF(Start!$C$16="x",IF(AND(D42= "",E42=""),"",IF(Q42="NA","NA",IF(G42="NA","NA",IF(G42=0,"NA",(Q42/G42))))),"Not Req.")</f>
        <v>Not Req.</v>
      </c>
      <c r="U42" s="343" t="str">
        <f>IF(Start!$C$16="x",IF(AND(D42= "",E42=""),"",IF(S42="NA","NA",IF(G42="NA","NA",IF(G42=0,"NA",(S42/G42))))),"Not Req.")</f>
        <v>Not Req.</v>
      </c>
      <c r="V42" s="11"/>
    </row>
    <row r="43" spans="1:22" s="10" customFormat="1" ht="13.8" thickBot="1" x14ac:dyDescent="0.3">
      <c r="A43" s="403" t="s">
        <v>361</v>
      </c>
      <c r="B43" s="348" t="str">
        <f>IF(Start!$C$16="x",IF(OR(D43 ="NA",E43="NA"),"NA",IF(AND(D43= "",E43=""),"",IF(AND(D43= "",E43&lt;&gt; ""),"Missing Data",                     IF(AND(D43&lt;&gt; "",E43= ""),"Missing Data",(IF(OR(G43="NA",G43=""),"No Criteria",(IF(AND(Q43="NA",D43&lt;&gt;"NA",G43&lt;&gt;"NA"),                                               "Missing Data",(IF(Q43&lt;G43,"No","Needed")))))))))),"---")</f>
        <v>---</v>
      </c>
      <c r="C43" s="350" t="str">
        <f>IF(Start!$C$16="x",IF(OR(D43 ="NA",E43="NA"),"NA",IF(AND(D43= "",E43=""),"",IF(AND(D43= "",E43&lt;&gt; ""),"Missing Data",                     IF(AND(D43&lt;&gt; "",E43= ""),"Missing Data",(IF(OR(G43="NA",G43=""),"No Criteria",(IF(AND(S43="NA",D43&lt;&gt;"NA",G43&lt;&gt;"NA"),                                               "Missing Data",(IF(S43&lt;G43,"No","Needed")))))))))),"---")</f>
        <v>---</v>
      </c>
      <c r="D43" s="372" t="str">
        <f>IF(TRUE=ISBLANK(ChemData!B43),"",(ChemData!B43))</f>
        <v/>
      </c>
      <c r="E43" s="373" t="str">
        <f>IF(TRUE=ISBLANK(ChemData!C43),"",(ChemData!C43))</f>
        <v/>
      </c>
      <c r="F43" s="374" t="str">
        <f>IF(TRUE=ISBLANK(ChemData!D43),"",(ChemData!D43))</f>
        <v/>
      </c>
      <c r="G43" s="289">
        <f>IF(TRUE=ISBLANK(ChemData!I43),"",(ChemData!I43))</f>
        <v>2.8E-3</v>
      </c>
      <c r="H43" s="290">
        <f>IF(TRUE=ISBLANK(ChemData!Q43),"",(ChemData!Q43))</f>
        <v>4.7578025939051666E-2</v>
      </c>
      <c r="I43" s="290">
        <f>IF(TRUE=ISBLANK(ChemData!R43),"",(ChemData!R43))</f>
        <v>4.7578025939051666E-2</v>
      </c>
      <c r="J43" s="290">
        <f>IF(TRUE=ISBLANK(ChemData!S43),"",(ChemData!S43))</f>
        <v>1</v>
      </c>
      <c r="K43" s="291">
        <f>IF(TRUE=ISBLANK(ChemData!T43),"",(ChemData!T43))</f>
        <v>1</v>
      </c>
      <c r="L43" s="375" t="str">
        <f>IF(Start!$C$16="x",IF(OR(D43="NA",D43=""),"NA", IF(OR($J43 = "NA",J43=""),"NA",(D43*$J43))),"---")</f>
        <v>---</v>
      </c>
      <c r="M43" s="377" t="str">
        <f>IF(Start!$C$16="x",IF(OR(D43="NA",D43=""),"NA", IF(OR($K43 = "NA",K43=""),"NA",(D43*$K43))),"---")</f>
        <v>---</v>
      </c>
      <c r="N43" s="375" t="str">
        <f>L43</f>
        <v>---</v>
      </c>
      <c r="O43" s="377" t="str">
        <f>M43</f>
        <v>---</v>
      </c>
      <c r="P43" s="461" t="str">
        <f>IF(Start!$C$16="x",(IF(L43 = "NA","NA", (IF(OR($H43 = "NA",H43=""), "NA",(IF(OR(ChemData!U43="NA",ChemData!U43=""),L43/((Data!$D$33+((1-Data!$D$33)*Data!$D$14*$H43))/((1-Data!$D$33)*Data!$D$14*1000)),(IF(L43/((Data!$D$33+((1-Data!$D$33)*Data!$D$14*$H43))/((1-Data!$D$33)*Data!$D$14*1000))&gt;ChemData!U43, ChemData!U43, L43/((Data!$D$33+((1-Data!$D$33)*Data!$D$14*$H43))/((1-Data!$D$33)*Data!$D$14*1000)))))))))),"---")</f>
        <v>---</v>
      </c>
      <c r="Q43" s="376" t="str">
        <f>IF(Start!$C$16="x",IF(OR($F43 = "NA",F43=""), "NA", IF(P43= "NA", "NA",(P43+(Data!$D$30*$F43))/(Data!$D$30+1))),"---")</f>
        <v>---</v>
      </c>
      <c r="R43" s="376" t="str">
        <f>IF(Start!$C$16="x",IF(O43 = "NA","NA", IF(OR($I43 = "NA",I43=""), "NA",(IF(OR(ChemData!U43="NA",ChemData!U43=""),O43/((Data!$D$35+((1-Data!$D$35)*Data!$D$14*$I43))/((1-Data!$D$35)*Data!$D$14*1000)),(IF(O43/((Data!$D$35+((1-Data!$D$35)*Data!$D$14*$I43))/((1-Data!$D$35)*Data!$D$14*1000))&gt;ChemData!U43, ChemData!U43, O43/((Data!$D$35+((1-Data!$D$35)*Data!$D$14*$I43))/((1-Data!$D$35)*Data!$D$14*1000)))))))),"---")</f>
        <v>---</v>
      </c>
      <c r="S43" s="377" t="str">
        <f>IF(Start!$C$16="x",IF(OR($F43 = "NA",F43=""), "NA", IF(R43= "NA", "NA",(R43+(Data!$D$30*$F43))/(Data!$D$30+1))),"---")</f>
        <v>---</v>
      </c>
      <c r="T43" s="343" t="str">
        <f>IF(Start!$C$16="x",IF(AND(D43= "",E43=""),"",IF(Q43="NA","NA",IF(G43="NA","NA",IF(G43=0,"NA",(Q43/G43))))),"Not Req.")</f>
        <v>Not Req.</v>
      </c>
      <c r="U43" s="343" t="str">
        <f>IF(Start!$C$16="x",IF(AND(D43= "",E43=""),"",IF(S43="NA","NA",IF(G43="NA","NA",IF(G43=0,"NA",(S43/G43))))),"Not Req.")</f>
        <v>Not Req.</v>
      </c>
      <c r="V43" s="11"/>
    </row>
    <row r="44" spans="1:22" s="10" customFormat="1" x14ac:dyDescent="0.25">
      <c r="A44" s="508" t="s">
        <v>362</v>
      </c>
      <c r="B44" s="525"/>
      <c r="C44" s="526"/>
      <c r="D44" s="508"/>
      <c r="E44" s="509"/>
      <c r="F44" s="510"/>
      <c r="G44" s="511"/>
      <c r="H44" s="512"/>
      <c r="I44" s="512"/>
      <c r="J44" s="512"/>
      <c r="K44" s="513"/>
      <c r="L44" s="511"/>
      <c r="M44" s="513"/>
      <c r="N44" s="511"/>
      <c r="O44" s="513"/>
      <c r="P44" s="512"/>
      <c r="Q44" s="512"/>
      <c r="R44" s="512"/>
      <c r="S44" s="513"/>
      <c r="T44" s="511"/>
      <c r="U44" s="527"/>
      <c r="V44" s="11"/>
    </row>
    <row r="45" spans="1:22" s="10" customFormat="1" x14ac:dyDescent="0.25">
      <c r="A45" s="307" t="s">
        <v>363</v>
      </c>
      <c r="B45" s="348" t="str">
        <f>IF(Start!$C$16="x",IF(OR(D45 ="NA",E45="NA"),"NA",IF(AND(D45= "",E45=""),"",IF(AND(D45= "",E45&lt;&gt; ""),"Missing Data",                     IF(AND(D45&lt;&gt; "",E45= ""),"Missing Data",(IF(OR(G45="NA",G45=""),"No Criteria",(IF(AND(Q45="NA",D45&lt;&gt;"NA",G45&lt;&gt;"NA"),                                               "Missing Data",(IF(Q45&lt;G45,"No","Needed")))))))))),"---")</f>
        <v>---</v>
      </c>
      <c r="C45" s="350" t="str">
        <f>IF(Start!$C$16="x",IF(OR(D45 ="NA",E45="NA"),"NA",IF(AND(D45= "",E45=""),"",IF(AND(D45= "",E45&lt;&gt; ""),"Missing Data",                     IF(AND(D45&lt;&gt; "",E45= ""),"Missing Data",(IF(OR(G45="NA",G45=""),"No Criteria",(IF(AND(S45="NA",D45&lt;&gt;"NA",G45&lt;&gt;"NA"),                                               "Missing Data",(IF(S45&lt;G45,"No","Needed")))))))))),"---")</f>
        <v>---</v>
      </c>
      <c r="D45" s="372" t="str">
        <f>IF(TRUE=ISBLANK(ChemData!B45),"",(ChemData!B45))</f>
        <v/>
      </c>
      <c r="E45" s="373" t="str">
        <f>IF(TRUE=ISBLANK(ChemData!C45),"",(ChemData!C45))</f>
        <v/>
      </c>
      <c r="F45" s="374" t="str">
        <f>IF(TRUE=ISBLANK(ChemData!D45),"",(ChemData!D45))</f>
        <v/>
      </c>
      <c r="G45" s="289">
        <f>IF(TRUE=ISBLANK(ChemData!I45),"",(ChemData!I45))</f>
        <v>5.2</v>
      </c>
      <c r="H45" s="290">
        <f>IF(TRUE=ISBLANK(ChemData!Q45),"",(ChemData!Q45))</f>
        <v>9.9</v>
      </c>
      <c r="I45" s="290">
        <f>IF(TRUE=ISBLANK(ChemData!R45),"",(ChemData!R45))</f>
        <v>9.9</v>
      </c>
      <c r="J45" s="290">
        <f>IF(TRUE=ISBLANK(ChemData!S45),"",(ChemData!S45))</f>
        <v>1</v>
      </c>
      <c r="K45" s="291">
        <f>IF(TRUE=ISBLANK(ChemData!T45),"",(ChemData!T45))</f>
        <v>1</v>
      </c>
      <c r="L45" s="375" t="str">
        <f>IF(Start!$C$16="x",IF(OR(D45="NA",D45=""),"NA", IF(OR($J45 = "NA",J45=""),"NA",(D45*$J45))),"---")</f>
        <v>---</v>
      </c>
      <c r="M45" s="377" t="str">
        <f>IF(Start!$C$16="x",IF(OR(D45="NA",D45=""),"NA", IF(OR($K45 = "NA",K45=""),"NA",(D45*$K45))),"---")</f>
        <v>---</v>
      </c>
      <c r="N45" s="375" t="str">
        <f t="shared" ref="N45:O48" si="3">L45</f>
        <v>---</v>
      </c>
      <c r="O45" s="377" t="str">
        <f t="shared" si="3"/>
        <v>---</v>
      </c>
      <c r="P45" s="461" t="str">
        <f>IF(Start!$C$16="x",(IF(L45 = "NA","NA", (IF(OR($H45 = "NA",H45=""), "NA",(IF(OR(ChemData!U45="NA",ChemData!U45=""),L45/((Data!$D$33+((1-Data!$D$33)*Data!$D$14*$H45))/((1-Data!$D$33)*Data!$D$14*1000)),(IF(L45/((Data!$D$33+((1-Data!$D$33)*Data!$D$14*$H45))/((1-Data!$D$33)*Data!$D$14*1000))&gt;ChemData!U45, ChemData!U45, L45/((Data!$D$33+((1-Data!$D$33)*Data!$D$14*$H45))/((1-Data!$D$33)*Data!$D$14*1000)))))))))),"---")</f>
        <v>---</v>
      </c>
      <c r="Q45" s="376" t="str">
        <f>IF(Start!$C$16="x",IF(OR($F45 = "NA",F45=""), "NA", IF(P45= "NA", "NA",(P45+(Data!$D$30*$F45))/(Data!$D$30+1))),"---")</f>
        <v>---</v>
      </c>
      <c r="R45" s="376" t="str">
        <f>IF(Start!$C$16="x",IF(O45 = "NA","NA", IF(OR($I45 = "NA",I45=""), "NA",(IF(OR(ChemData!U45="NA",ChemData!U45=""),O45/((Data!$D$35+((1-Data!$D$35)*Data!$D$14*$I45))/((1-Data!$D$35)*Data!$D$14*1000)),(IF(O45/((Data!$D$35+((1-Data!$D$35)*Data!$D$14*$I45))/((1-Data!$D$35)*Data!$D$14*1000))&gt;ChemData!U45, ChemData!U45, O45/((Data!$D$35+((1-Data!$D$35)*Data!$D$14*$I45))/((1-Data!$D$35)*Data!$D$14*1000)))))))),"---")</f>
        <v>---</v>
      </c>
      <c r="S45" s="377" t="str">
        <f>IF(Start!$C$16="x",IF(OR($F45 = "NA",F45=""), "NA", IF(R45= "NA", "NA",(R45+(Data!$D$30*$F45))/(Data!$D$30+1))),"---")</f>
        <v>---</v>
      </c>
      <c r="T45" s="343" t="str">
        <f>IF(Start!$C$16="x",IF(AND(D45= "",E45=""),"",IF(Q45="NA","NA",IF(G45="NA","NA",IF(G45=0,"NA",(Q45/G45))))),"Not Req.")</f>
        <v>Not Req.</v>
      </c>
      <c r="U45" s="343" t="str">
        <f>IF(Start!$C$16="x",IF(AND(D45= "",E45=""),"",IF(S45="NA","NA",IF(G45="NA","NA",IF(G45=0,"NA",(S45/G45))))),"Not Req.")</f>
        <v>Not Req.</v>
      </c>
      <c r="V45" s="11"/>
    </row>
    <row r="46" spans="1:22" s="10" customFormat="1" x14ac:dyDescent="0.25">
      <c r="A46" s="307" t="s">
        <v>364</v>
      </c>
      <c r="B46" s="348" t="str">
        <f>IF(Start!$C$16="x",IF(OR(D46 ="NA",E46="NA"),"NA",IF(AND(D46= "",E46=""),"",IF(AND(D46= "",E46&lt;&gt; ""),"Missing Data",                     IF(AND(D46&lt;&gt; "",E46= ""),"Missing Data",(IF(OR(G46="NA",G46=""),"No Criteria",(IF(AND(Q46="NA",D46&lt;&gt;"NA",G46&lt;&gt;"NA"),                                               "Missing Data",(IF(Q46&lt;G46,"No","Needed")))))))))),"---")</f>
        <v>---</v>
      </c>
      <c r="C46" s="350" t="str">
        <f>IF(Start!$C$16="x",IF(OR(D46 ="NA",E46="NA"),"NA",IF(AND(D46= "",E46=""),"",IF(AND(D46= "",E46&lt;&gt; ""),"Missing Data",                     IF(AND(D46&lt;&gt; "",E46= ""),"Missing Data",(IF(OR(G46="NA",G46=""),"No Criteria",(IF(AND(S46="NA",D46&lt;&gt;"NA",G46&lt;&gt;"NA"),                                               "Missing Data",(IF(S46&lt;G46,"No","Needed")))))))))),"---")</f>
        <v>---</v>
      </c>
      <c r="D46" s="372">
        <f>IF(TRUE=ISBLANK(ChemData!B46),"",(ChemData!B46))</f>
        <v>10</v>
      </c>
      <c r="E46" s="373">
        <f>IF(TRUE=ISBLANK(ChemData!C46),"",(ChemData!C46))</f>
        <v>10</v>
      </c>
      <c r="F46" s="374">
        <f>IF(TRUE=ISBLANK(ChemData!D46),"",(ChemData!D46))</f>
        <v>2</v>
      </c>
      <c r="G46" s="289">
        <f>IF(TRUE=ISBLANK(ChemData!I46),"",(ChemData!I46))</f>
        <v>1700</v>
      </c>
      <c r="H46" s="290">
        <f>IF(TRUE=ISBLANK(ChemData!Q46),"",(ChemData!Q46))</f>
        <v>8.6999999999999993</v>
      </c>
      <c r="I46" s="290">
        <f>IF(TRUE=ISBLANK(ChemData!R46),"",(ChemData!R46))</f>
        <v>8.6999999999999993</v>
      </c>
      <c r="J46" s="290">
        <f>IF(TRUE=ISBLANK(ChemData!S46),"",(ChemData!S46))</f>
        <v>1</v>
      </c>
      <c r="K46" s="291">
        <f>IF(TRUE=ISBLANK(ChemData!T46),"",(ChemData!T46))</f>
        <v>1</v>
      </c>
      <c r="L46" s="375" t="str">
        <f>IF(Start!$C$16="x",IF(OR(D46="NA",D46=""),"NA", IF(OR($J46 = "NA",J46=""),"NA",(D46*$J46))),"---")</f>
        <v>---</v>
      </c>
      <c r="M46" s="377" t="str">
        <f>IF(Start!$C$16="x",IF(OR(D46="NA",D46=""),"NA", IF(OR($K46 = "NA",K46=""),"NA",(D46*$K46))),"---")</f>
        <v>---</v>
      </c>
      <c r="N46" s="375" t="str">
        <f t="shared" si="3"/>
        <v>---</v>
      </c>
      <c r="O46" s="377" t="str">
        <f t="shared" si="3"/>
        <v>---</v>
      </c>
      <c r="P46" s="461" t="str">
        <f>IF(Start!$C$16="x",(IF(L46 = "NA","NA", (IF(OR($H46 = "NA",H46=""), "NA",(IF(OR(ChemData!U46="NA",ChemData!U46=""),L46/((Data!$D$33+((1-Data!$D$33)*Data!$D$14*$H46))/((1-Data!$D$33)*Data!$D$14*1000)),(IF(L46/((Data!$D$33+((1-Data!$D$33)*Data!$D$14*$H46))/((1-Data!$D$33)*Data!$D$14*1000))&gt;ChemData!U46, ChemData!U46, L46/((Data!$D$33+((1-Data!$D$33)*Data!$D$14*$H46))/((1-Data!$D$33)*Data!$D$14*1000)))))))))),"---")</f>
        <v>---</v>
      </c>
      <c r="Q46" s="376" t="str">
        <f>IF(Start!$C$16="x",IF(OR($F46 = "NA",F46=""), "NA", IF(P46= "NA", "NA",(P46+(Data!$D$30*$F46))/(Data!$D$30+1))),"---")</f>
        <v>---</v>
      </c>
      <c r="R46" s="376" t="str">
        <f>IF(Start!$C$16="x",IF(O46 = "NA","NA", IF(OR($I46 = "NA",I46=""), "NA",(IF(OR(ChemData!U46="NA",ChemData!U46=""),O46/((Data!$D$35+((1-Data!$D$35)*Data!$D$14*$I46))/((1-Data!$D$35)*Data!$D$14*1000)),(IF(O46/((Data!$D$35+((1-Data!$D$35)*Data!$D$14*$I46))/((1-Data!$D$35)*Data!$D$14*1000))&gt;ChemData!U46, ChemData!U46, O46/((Data!$D$35+((1-Data!$D$35)*Data!$D$14*$I46))/((1-Data!$D$35)*Data!$D$14*1000)))))))),"---")</f>
        <v>---</v>
      </c>
      <c r="S46" s="377" t="str">
        <f>IF(Start!$C$16="x",IF(OR($F46 = "NA",F46=""), "NA", IF(R46= "NA", "NA",(R46+(Data!$D$30*$F46))/(Data!$D$30+1))),"---")</f>
        <v>---</v>
      </c>
      <c r="T46" s="343" t="str">
        <f>IF(Start!$C$16="x",IF(AND(D46= "",E46=""),"",IF(Q46="NA","NA",IF(G46="NA","NA",IF(G46=0,"NA",(Q46/G46))))),"Not Req.")</f>
        <v>Not Req.</v>
      </c>
      <c r="U46" s="343" t="str">
        <f>IF(Start!$C$16="x",IF(AND(D46= "",E46=""),"",IF(S46="NA","NA",IF(G46="NA","NA",IF(G46=0,"NA",(S46/G46))))),"Not Req.")</f>
        <v>Not Req.</v>
      </c>
      <c r="V46" s="11"/>
    </row>
    <row r="47" spans="1:22" s="10" customFormat="1" x14ac:dyDescent="0.25">
      <c r="A47" s="307" t="s">
        <v>365</v>
      </c>
      <c r="B47" s="348" t="str">
        <f>IF(Start!$C$16="x",IF(OR(D47 ="NA",E47="NA"),"NA",IF(AND(D47= "",E47=""),"",IF(AND(D47= "",E47&lt;&gt; ""),"Missing Data",                     IF(AND(D47&lt;&gt; "",E47= ""),"Missing Data",(IF(OR(G47="NA",G47=""),"No Criteria",(IF(AND(Q47="NA",D47&lt;&gt;"NA",G47&lt;&gt;"NA"),                                               "Missing Data",(IF(Q47&lt;G47,"No","Needed")))))))))),"---")</f>
        <v>---</v>
      </c>
      <c r="C47" s="350" t="str">
        <f>IF(Start!$C$16="x",IF(OR(D47 ="NA",E47="NA"),"NA",IF(AND(D47= "",E47=""),"",IF(AND(D47= "",E47&lt;&gt; ""),"Missing Data",                     IF(AND(D47&lt;&gt; "",E47= ""),"Missing Data",(IF(OR(G47="NA",G47=""),"No Criteria",(IF(AND(S47="NA",D47&lt;&gt;"NA",G47&lt;&gt;"NA"),                                               "Missing Data",(IF(S47&lt;G47,"No","Needed")))))))))),"---")</f>
        <v>---</v>
      </c>
      <c r="D47" s="372" t="str">
        <f>IF(TRUE=ISBLANK(ChemData!B47),"",(ChemData!B47))</f>
        <v/>
      </c>
      <c r="E47" s="373" t="str">
        <f>IF(TRUE=ISBLANK(ChemData!C47),"",(ChemData!C47))</f>
        <v/>
      </c>
      <c r="F47" s="374" t="str">
        <f>IF(TRUE=ISBLANK(ChemData!D47),"",(ChemData!D47))</f>
        <v/>
      </c>
      <c r="G47" s="289" t="str">
        <f>IF(TRUE=ISBLANK(ChemData!I47),"",(ChemData!I47))</f>
        <v>NA</v>
      </c>
      <c r="H47" s="290" t="str">
        <f>IF(TRUE=ISBLANK(ChemData!Q47),"",(ChemData!Q47))</f>
        <v>NA</v>
      </c>
      <c r="I47" s="290" t="str">
        <f>IF(TRUE=ISBLANK(ChemData!R47),"",(ChemData!R47))</f>
        <v>NA</v>
      </c>
      <c r="J47" s="290">
        <f>IF(TRUE=ISBLANK(ChemData!S47),"",(ChemData!S47))</f>
        <v>0.5</v>
      </c>
      <c r="K47" s="291">
        <f>IF(TRUE=ISBLANK(ChemData!T47),"",(ChemData!T47))</f>
        <v>0.5</v>
      </c>
      <c r="L47" s="375" t="str">
        <f>IF(Start!$C$16="x",IF(OR(D47="NA",D47=""),"NA", IF(OR($J47 = "NA",J47=""),"NA",(D47*$J47))),"---")</f>
        <v>---</v>
      </c>
      <c r="M47" s="377" t="str">
        <f>IF(Start!$C$16="x",IF(OR(D47="NA",D47=""),"NA", IF(OR($K47 = "NA",K47=""),"NA",(D47*$K47))),"---")</f>
        <v>---</v>
      </c>
      <c r="N47" s="375" t="str">
        <f t="shared" si="3"/>
        <v>---</v>
      </c>
      <c r="O47" s="377" t="str">
        <f t="shared" si="3"/>
        <v>---</v>
      </c>
      <c r="P47" s="461" t="str">
        <f>IF(Start!$C$16="x",(IF(L47 = "NA","NA", (IF(OR($H47 = "NA",H47=""), "NA",(IF(OR(ChemData!U47="NA",ChemData!U47=""),L47/((Data!$D$33+((1-Data!$D$33)*Data!$D$14*$H47))/((1-Data!$D$33)*Data!$D$14*1000)),(IF(L47/((Data!$D$33+((1-Data!$D$33)*Data!$D$14*$H47))/((1-Data!$D$33)*Data!$D$14*1000))&gt;ChemData!U47, ChemData!U47, L47/((Data!$D$33+((1-Data!$D$33)*Data!$D$14*$H47))/((1-Data!$D$33)*Data!$D$14*1000)))))))))),"---")</f>
        <v>---</v>
      </c>
      <c r="Q47" s="376" t="str">
        <f>IF(Start!$C$16="x",IF(OR($F47 = "NA",F47=""), "NA", IF(P47= "NA", "NA",(P47+(Data!$D$30*$F47))/(Data!$D$30+1))),"---")</f>
        <v>---</v>
      </c>
      <c r="R47" s="376" t="str">
        <f>IF(Start!$C$16="x",IF(O47 = "NA","NA", IF(OR($I47 = "NA",I47=""), "NA",(IF(OR(ChemData!U47="NA",ChemData!U47=""),O47/((Data!$D$35+((1-Data!$D$35)*Data!$D$14*$I47))/((1-Data!$D$35)*Data!$D$14*1000)),(IF(O47/((Data!$D$35+((1-Data!$D$35)*Data!$D$14*$I47))/((1-Data!$D$35)*Data!$D$14*1000))&gt;ChemData!U47, ChemData!U47, O47/((Data!$D$35+((1-Data!$D$35)*Data!$D$14*$I47))/((1-Data!$D$35)*Data!$D$14*1000)))))))),"---")</f>
        <v>---</v>
      </c>
      <c r="S47" s="377" t="str">
        <f>IF(Start!$C$16="x",IF(OR($F47 = "NA",F47=""), "NA", IF(R47= "NA", "NA",(R47+(Data!$D$30*$F47))/(Data!$D$30+1))),"---")</f>
        <v>---</v>
      </c>
      <c r="T47" s="343" t="str">
        <f>IF(Start!$C$16="x",IF(AND(D47= "",E47=""),"",IF(Q47="NA","NA",IF(G47="NA","NA",IF(G47=0,"NA",(Q47/G47))))),"Not Req.")</f>
        <v>Not Req.</v>
      </c>
      <c r="U47" s="343" t="str">
        <f>IF(Start!$C$16="x",IF(AND(D47= "",E47=""),"",IF(S47="NA","NA",IF(G47="NA","NA",IF(G47=0,"NA",(S47/G47))))),"Not Req.")</f>
        <v>Not Req.</v>
      </c>
      <c r="V47" s="11"/>
    </row>
    <row r="48" spans="1:22" s="10" customFormat="1" ht="13.8" thickBot="1" x14ac:dyDescent="0.3">
      <c r="A48" s="403" t="s">
        <v>366</v>
      </c>
      <c r="B48" s="348" t="str">
        <f>IF(Start!$C$16="x",IF(OR(D48 ="NA",E48="NA"),"NA",IF(AND(D48= "",E48=""),"",IF(AND(D48= "",E48&lt;&gt; ""),"Missing Data",                     IF(AND(D48&lt;&gt; "",E48= ""),"Missing Data",(IF(OR(G48="NA",G48=""),"No Criteria",(IF(AND(Q48="NA",D48&lt;&gt;"NA",G48&lt;&gt;"NA"),                                               "Missing Data",(IF(Q48&lt;G48,"No","Needed")))))))))),"---")</f>
        <v>---</v>
      </c>
      <c r="C48" s="350" t="str">
        <f>IF(Start!$C$16="x",IF(OR(D48 ="NA",E48="NA"),"NA",IF(AND(D48= "",E48=""),"",IF(AND(D48= "",E48&lt;&gt; ""),"Missing Data",                     IF(AND(D48&lt;&gt; "",E48= ""),"Missing Data",(IF(OR(G48="NA",G48=""),"No Criteria",(IF(AND(S48="NA",D48&lt;&gt;"NA",G48&lt;&gt;"NA"),                                               "Missing Data",(IF(S48&lt;G48,"No","Needed")))))))))),"---")</f>
        <v>---</v>
      </c>
      <c r="D48" s="372" t="str">
        <f>IF(TRUE=ISBLANK(ChemData!B48),"",(ChemData!B48))</f>
        <v/>
      </c>
      <c r="E48" s="373" t="str">
        <f>IF(TRUE=ISBLANK(ChemData!C48),"",(ChemData!C48))</f>
        <v/>
      </c>
      <c r="F48" s="374" t="str">
        <f>IF(TRUE=ISBLANK(ChemData!D48),"",(ChemData!D48))</f>
        <v/>
      </c>
      <c r="G48" s="289">
        <f>IF(TRUE=ISBLANK(ChemData!I48),"",(ChemData!I48))</f>
        <v>2</v>
      </c>
      <c r="H48" s="290" t="str">
        <f>IF(TRUE=ISBLANK(ChemData!Q48),"",(ChemData!Q48))</f>
        <v>NA</v>
      </c>
      <c r="I48" s="290" t="str">
        <f>IF(TRUE=ISBLANK(ChemData!R48),"",(ChemData!R48))</f>
        <v>NA</v>
      </c>
      <c r="J48" s="290">
        <f>IF(TRUE=ISBLANK(ChemData!S48),"",(ChemData!S48))</f>
        <v>1E-3</v>
      </c>
      <c r="K48" s="291">
        <f>IF(TRUE=ISBLANK(ChemData!T48),"",(ChemData!T48))</f>
        <v>1E-3</v>
      </c>
      <c r="L48" s="375" t="str">
        <f>IF(Start!$C$16="x",IF(OR(D48="NA",D48=""),"NA", IF(OR($J48 = "NA",J48=""),"NA",(D48*$J48))),"---")</f>
        <v>---</v>
      </c>
      <c r="M48" s="377" t="str">
        <f>IF(Start!$C$16="x",IF(OR(D48="NA",D48=""),"NA", IF(OR($K48 = "NA",K48=""),"NA",(D48*$K48))),"---")</f>
        <v>---</v>
      </c>
      <c r="N48" s="375" t="str">
        <f t="shared" si="3"/>
        <v>---</v>
      </c>
      <c r="O48" s="377" t="str">
        <f t="shared" si="3"/>
        <v>---</v>
      </c>
      <c r="P48" s="461" t="str">
        <f>IF(Start!$C$16="x",(IF(L48 = "NA","NA", (IF(OR($H48 = "NA",H48=""), "NA",(IF(OR(ChemData!U48="NA",ChemData!U48=""),L48/((Data!$D$33+((1-Data!$D$33)*Data!$D$14*$H48))/((1-Data!$D$33)*Data!$D$14*1000)),(IF(L48/((Data!$D$33+((1-Data!$D$33)*Data!$D$14*$H48))/((1-Data!$D$33)*Data!$D$14*1000))&gt;ChemData!U48, ChemData!U48, L48/((Data!$D$33+((1-Data!$D$33)*Data!$D$14*$H48))/((1-Data!$D$33)*Data!$D$14*1000)))))))))),"---")</f>
        <v>---</v>
      </c>
      <c r="Q48" s="376" t="str">
        <f>IF(Start!$C$16="x",IF(OR($F48 = "NA",F48=""), "NA", IF(P48= "NA", "NA",(P48+(Data!$D$30*$F48))/(Data!$D$30+1))),"---")</f>
        <v>---</v>
      </c>
      <c r="R48" s="376" t="str">
        <f>IF(Start!$C$16="x",IF(O48 = "NA","NA", IF(OR($I48 = "NA",I48=""), "NA",(IF(OR(ChemData!U48="NA",ChemData!U48=""),O48/((Data!$D$35+((1-Data!$D$35)*Data!$D$14*$I48))/((1-Data!$D$35)*Data!$D$14*1000)),(IF(O48/((Data!$D$35+((1-Data!$D$35)*Data!$D$14*$I48))/((1-Data!$D$35)*Data!$D$14*1000))&gt;ChemData!U48, ChemData!U48, O48/((Data!$D$35+((1-Data!$D$35)*Data!$D$14*$I48))/((1-Data!$D$35)*Data!$D$14*1000)))))))),"---")</f>
        <v>---</v>
      </c>
      <c r="S48" s="377" t="str">
        <f>IF(Start!$C$16="x",IF(OR($F48 = "NA",F48=""), "NA", IF(R48= "NA", "NA",(R48+(Data!$D$30*$F48))/(Data!$D$30+1))),"---")</f>
        <v>---</v>
      </c>
      <c r="T48" s="343" t="str">
        <f>IF(Start!$C$16="x",IF(AND(D48= "",E48=""),"",IF(Q48="NA","NA",IF(G48="NA","NA",IF(G48=0,"NA",(Q48/G48))))),"Not Req.")</f>
        <v>Not Req.</v>
      </c>
      <c r="U48" s="343" t="str">
        <f>IF(Start!$C$16="x",IF(AND(D48= "",E48=""),"",IF(S48="NA","NA",IF(G48="NA","NA",IF(G48=0,"NA",(S48/G48))))),"Not Req.")</f>
        <v>Not Req.</v>
      </c>
      <c r="V48" s="11"/>
    </row>
    <row r="49" spans="1:22" s="10" customFormat="1" x14ac:dyDescent="0.25">
      <c r="A49" s="524" t="s">
        <v>367</v>
      </c>
      <c r="B49" s="525"/>
      <c r="C49" s="526"/>
      <c r="D49" s="508"/>
      <c r="E49" s="509"/>
      <c r="F49" s="510"/>
      <c r="G49" s="511"/>
      <c r="H49" s="512"/>
      <c r="I49" s="512"/>
      <c r="J49" s="512"/>
      <c r="K49" s="513"/>
      <c r="L49" s="511"/>
      <c r="M49" s="513"/>
      <c r="N49" s="511"/>
      <c r="O49" s="513"/>
      <c r="P49" s="512"/>
      <c r="Q49" s="512"/>
      <c r="R49" s="512"/>
      <c r="S49" s="513"/>
      <c r="T49" s="511"/>
      <c r="U49" s="527"/>
      <c r="V49" s="11"/>
    </row>
    <row r="50" spans="1:22" s="10" customFormat="1" x14ac:dyDescent="0.25">
      <c r="A50" s="307" t="s">
        <v>368</v>
      </c>
      <c r="B50" s="348" t="str">
        <f>IF(Start!$C$16="x",IF(OR(D50 ="NA",E50="NA"),"NA",IF(AND(D50= "",E50=""),"",IF(AND(D50= "",E50&lt;&gt; ""),"Missing Data",                     IF(AND(D50&lt;&gt; "",E50= ""),"Missing Data",(IF(OR(G50="NA",G50=""),"No Criteria",(IF(AND(Q50="NA",D50&lt;&gt;"NA",G50&lt;&gt;"NA"),                                               "Missing Data",(IF(Q50&lt;G50,"No","Needed")))))))))),"---")</f>
        <v>---</v>
      </c>
      <c r="C50" s="350" t="str">
        <f>IF(Start!$C$16="x",IF(OR(D50 ="NA",E50="NA"),"NA",IF(AND(D50= "",E50=""),"",IF(AND(D50= "",E50&lt;&gt; ""),"Missing Data",                     IF(AND(D50&lt;&gt; "",E50= ""),"Missing Data",(IF(OR(G50="NA",G50=""),"No Criteria",(IF(AND(S50="NA",D50&lt;&gt;"NA",G50&lt;&gt;"NA"),                                               "Missing Data",(IF(S50&lt;G50,"No","Needed")))))))))),"---")</f>
        <v>---</v>
      </c>
      <c r="D50" s="372" t="str">
        <f>IF(TRUE=ISBLANK(ChemData!B50),"",(ChemData!B50))</f>
        <v/>
      </c>
      <c r="E50" s="373" t="str">
        <f>IF(TRUE=ISBLANK(ChemData!C50),"",(ChemData!C50))</f>
        <v/>
      </c>
      <c r="F50" s="374" t="str">
        <f>IF(TRUE=ISBLANK(ChemData!D50),"",(ChemData!D50))</f>
        <v/>
      </c>
      <c r="G50" s="289">
        <f>IF(TRUE=ISBLANK(ChemData!I50),"",(ChemData!I50))</f>
        <v>23</v>
      </c>
      <c r="H50" s="290">
        <f>IF(TRUE=ISBLANK(ChemData!Q50),"",(ChemData!Q50))</f>
        <v>153.95947403110438</v>
      </c>
      <c r="I50" s="290">
        <f>IF(TRUE=ISBLANK(ChemData!R50),"",(ChemData!R50))</f>
        <v>153.95947403110438</v>
      </c>
      <c r="J50" s="290">
        <f>IF(TRUE=ISBLANK(ChemData!S50),"",(ChemData!S50))</f>
        <v>1</v>
      </c>
      <c r="K50" s="291">
        <f>IF(TRUE=ISBLANK(ChemData!T50),"",(ChemData!T50))</f>
        <v>1</v>
      </c>
      <c r="L50" s="375" t="str">
        <f>IF(Start!$C$16="x",IF(OR(D50="NA",D50=""),"NA", IF(OR($J50 = "NA",J50=""),"NA",(D50*$J50))),"---")</f>
        <v>---</v>
      </c>
      <c r="M50" s="377" t="str">
        <f>IF(Start!$C$16="x",IF(OR(D50="NA",D50=""),"NA", IF(OR($K50 = "NA",K50=""),"NA",(D50*$K50))),"---")</f>
        <v>---</v>
      </c>
      <c r="N50" s="375" t="str">
        <f t="shared" ref="N50:O82" si="4">L50</f>
        <v>---</v>
      </c>
      <c r="O50" s="377" t="str">
        <f t="shared" si="4"/>
        <v>---</v>
      </c>
      <c r="P50" s="461" t="str">
        <f>IF(Start!$C$16="x",(IF(L50 = "NA","NA", (IF(OR($H50 = "NA",H50=""), "NA",(IF(OR(ChemData!U50="NA",ChemData!U50=""),L50/((Data!$D$33+((1-Data!$D$33)*Data!$D$14*$H50))/((1-Data!$D$33)*Data!$D$14*1000)),(IF(L50/((Data!$D$33+((1-Data!$D$33)*Data!$D$14*$H50))/((1-Data!$D$33)*Data!$D$14*1000))&gt;ChemData!U50, ChemData!U50, L50/((Data!$D$33+((1-Data!$D$33)*Data!$D$14*$H50))/((1-Data!$D$33)*Data!$D$14*1000)))))))))),"---")</f>
        <v>---</v>
      </c>
      <c r="Q50" s="376" t="str">
        <f>IF(Start!$C$16="x",IF(OR($F50 = "NA",F50=""), "NA", IF(P50= "NA", "NA",(P50+(Data!$D$30*$F50))/(Data!$D$30+1))),"---")</f>
        <v>---</v>
      </c>
      <c r="R50" s="376" t="str">
        <f>IF(Start!$C$16="x",IF(O50 = "NA","NA", IF(OR($I50 = "NA",I50=""), "NA",(IF(OR(ChemData!U50="NA",ChemData!U50=""),O50/((Data!$D$35+((1-Data!$D$35)*Data!$D$14*$I50))/((1-Data!$D$35)*Data!$D$14*1000)),(IF(O50/((Data!$D$35+((1-Data!$D$35)*Data!$D$14*$I50))/((1-Data!$D$35)*Data!$D$14*1000))&gt;ChemData!U50, ChemData!U50, O50/((Data!$D$35+((1-Data!$D$35)*Data!$D$14*$I50))/((1-Data!$D$35)*Data!$D$14*1000)))))))),"---")</f>
        <v>---</v>
      </c>
      <c r="S50" s="377" t="str">
        <f>IF(Start!$C$16="x",IF(OR($F50 = "NA",F50=""), "NA", IF(R50= "NA", "NA",(R50+(Data!$D$30*$F50))/(Data!$D$30+1))),"---")</f>
        <v>---</v>
      </c>
      <c r="T50" s="343" t="str">
        <f>IF(Start!$C$16="x",IF(AND(D50= "",E50=""),"",IF(Q50="NA","NA",IF(G50="NA","NA",IF(G50=0,"NA",(Q50/G50))))),"Not Req.")</f>
        <v>Not Req.</v>
      </c>
      <c r="U50" s="343" t="str">
        <f>IF(Start!$C$16="x",IF(AND(D50= "",E50=""),"",IF(S50="NA","NA",IF(G50="NA","NA",IF(G50=0,"NA",(S50/G50))))),"Not Req.")</f>
        <v>Not Req.</v>
      </c>
      <c r="V50" s="11"/>
    </row>
    <row r="51" spans="1:22" s="10" customFormat="1" x14ac:dyDescent="0.25">
      <c r="A51" s="307" t="s">
        <v>369</v>
      </c>
      <c r="B51" s="348" t="str">
        <f>IF(Start!$C$16="x",IF(OR(D51 ="NA",E51="NA"),"NA",IF(AND(D51= "",E51=""),"",IF(AND(D51= "",E51&lt;&gt; ""),"Missing Data",                     IF(AND(D51&lt;&gt; "",E51= ""),"Missing Data",(IF(OR(G51="NA",G51=""),"No Criteria",(IF(AND(Q51="NA",D51&lt;&gt;"NA",G51&lt;&gt;"NA"),                                               "Missing Data",(IF(Q51&lt;G51,"No","Needed")))))))))),"---")</f>
        <v>---</v>
      </c>
      <c r="C51" s="350" t="str">
        <f>IF(Start!$C$16="x",IF(OR(D51 ="NA",E51="NA"),"NA",IF(AND(D51= "",E51=""),"",IF(AND(D51= "",E51&lt;&gt; ""),"Missing Data",                     IF(AND(D51&lt;&gt; "",E51= ""),"Missing Data",(IF(OR(G51="NA",G51=""),"No Criteria",(IF(AND(S51="NA",D51&lt;&gt;"NA",G51&lt;&gt;"NA"),                                               "Missing Data",(IF(S51&lt;G51,"No","Needed")))))))))),"---")</f>
        <v>---</v>
      </c>
      <c r="D51" s="372" t="str">
        <f>IF(TRUE=ISBLANK(ChemData!B51),"",(ChemData!B51))</f>
        <v/>
      </c>
      <c r="E51" s="373" t="str">
        <f>IF(TRUE=ISBLANK(ChemData!C51),"",(ChemData!C51))</f>
        <v/>
      </c>
      <c r="F51" s="374" t="str">
        <f>IF(TRUE=ISBLANK(ChemData!D51),"",(ChemData!D51))</f>
        <v/>
      </c>
      <c r="G51" s="289" t="str">
        <f>IF(TRUE=ISBLANK(ChemData!I51),"",(ChemData!I51))</f>
        <v>NA</v>
      </c>
      <c r="H51" s="290">
        <f>IF(TRUE=ISBLANK(ChemData!Q51),"",(ChemData!Q51))</f>
        <v>185.1</v>
      </c>
      <c r="I51" s="290">
        <f>IF(TRUE=ISBLANK(ChemData!R51),"",(ChemData!R51))</f>
        <v>185.1</v>
      </c>
      <c r="J51" s="290">
        <f>IF(TRUE=ISBLANK(ChemData!S51),"",(ChemData!S51))</f>
        <v>1</v>
      </c>
      <c r="K51" s="291">
        <f>IF(TRUE=ISBLANK(ChemData!T51),"",(ChemData!T51))</f>
        <v>1</v>
      </c>
      <c r="L51" s="375" t="str">
        <f>IF(Start!$C$16="x",IF(OR(D51="NA",D51=""),"NA", IF(OR($J51 = "NA",J51=""),"NA",(D51*$J51))),"---")</f>
        <v>---</v>
      </c>
      <c r="M51" s="377" t="str">
        <f>IF(Start!$C$16="x",IF(OR(D51="NA",D51=""),"NA", IF(OR($K51 = "NA",K51=""),"NA",(D51*$K51))),"---")</f>
        <v>---</v>
      </c>
      <c r="N51" s="375" t="str">
        <f t="shared" si="4"/>
        <v>---</v>
      </c>
      <c r="O51" s="377" t="str">
        <f t="shared" si="4"/>
        <v>---</v>
      </c>
      <c r="P51" s="461" t="str">
        <f>IF(Start!$C$16="x",(IF(L51 = "NA","NA", (IF(OR($H51 = "NA",H51=""), "NA",(IF(OR(ChemData!U51="NA",ChemData!U51=""),L51/((Data!$D$33+((1-Data!$D$33)*Data!$D$14*$H51))/((1-Data!$D$33)*Data!$D$14*1000)),(IF(L51/((Data!$D$33+((1-Data!$D$33)*Data!$D$14*$H51))/((1-Data!$D$33)*Data!$D$14*1000))&gt;ChemData!U51, ChemData!U51, L51/((Data!$D$33+((1-Data!$D$33)*Data!$D$14*$H51))/((1-Data!$D$33)*Data!$D$14*1000)))))))))),"---")</f>
        <v>---</v>
      </c>
      <c r="Q51" s="376" t="str">
        <f>IF(Start!$C$16="x",IF(OR($F51 = "NA",F51=""), "NA", IF(P51= "NA", "NA",(P51+(Data!$D$30*$F51))/(Data!$D$30+1))),"---")</f>
        <v>---</v>
      </c>
      <c r="R51" s="376" t="str">
        <f>IF(Start!$C$16="x",IF(O51 = "NA","NA", IF(OR($I51 = "NA",I51=""), "NA",(IF(OR(ChemData!U51="NA",ChemData!U51=""),O51/((Data!$D$35+((1-Data!$D$35)*Data!$D$14*$I51))/((1-Data!$D$35)*Data!$D$14*1000)),(IF(O51/((Data!$D$35+((1-Data!$D$35)*Data!$D$14*$I51))/((1-Data!$D$35)*Data!$D$14*1000))&gt;ChemData!U51, ChemData!U51, O51/((Data!$D$35+((1-Data!$D$35)*Data!$D$14*$I51))/((1-Data!$D$35)*Data!$D$14*1000)))))))),"---")</f>
        <v>---</v>
      </c>
      <c r="S51" s="377" t="str">
        <f>IF(Start!$C$16="x",IF(OR($F51 = "NA",F51=""), "NA", IF(R51= "NA", "NA",(R51+(Data!$D$30*$F51))/(Data!$D$30+1))),"---")</f>
        <v>---</v>
      </c>
      <c r="T51" s="343" t="str">
        <f>IF(Start!$C$16="x",IF(AND(D51= "",E51=""),"",IF(Q51="NA","NA",IF(G51="NA","NA",IF(G51=0,"NA",(Q51/G51))))),"Not Req.")</f>
        <v>Not Req.</v>
      </c>
      <c r="U51" s="343" t="str">
        <f>IF(Start!$C$16="x",IF(AND(D51= "",E51=""),"",IF(S51="NA","NA",IF(G51="NA","NA",IF(G51=0,"NA",(S51/G51))))),"Not Req.")</f>
        <v>Not Req.</v>
      </c>
      <c r="V51" s="11"/>
    </row>
    <row r="52" spans="1:22" s="10" customFormat="1" x14ac:dyDescent="0.25">
      <c r="A52" s="307" t="s">
        <v>370</v>
      </c>
      <c r="B52" s="348" t="str">
        <f>IF(Start!$C$16="x",IF(OR(D52 ="NA",E52="NA"),"NA",IF(AND(D52= "",E52=""),"",IF(AND(D52= "",E52&lt;&gt; ""),"Missing Data",                     IF(AND(D52&lt;&gt; "",E52= ""),"Missing Data",(IF(OR(G52="NA",G52=""),"No Criteria",(IF(AND(Q52="NA",D52&lt;&gt;"NA",G52&lt;&gt;"NA"),                                               "Missing Data",(IF(Q52&lt;G52,"No","Needed")))))))))),"---")</f>
        <v>---</v>
      </c>
      <c r="C52" s="350" t="str">
        <f>IF(Start!$C$16="x",IF(OR(D52 ="NA",E52="NA"),"NA",IF(AND(D52= "",E52=""),"",IF(AND(D52= "",E52&lt;&gt; ""),"Missing Data",                     IF(AND(D52&lt;&gt; "",E52= ""),"Missing Data",(IF(OR(G52="NA",G52=""),"No Criteria",(IF(AND(S52="NA",D52&lt;&gt;"NA",G52&lt;&gt;"NA"),                                               "Missing Data",(IF(S52&lt;G52,"No","Needed")))))))))),"---")</f>
        <v>---</v>
      </c>
      <c r="D52" s="372" t="str">
        <f>IF(TRUE=ISBLANK(ChemData!B52),"",(ChemData!B52))</f>
        <v/>
      </c>
      <c r="E52" s="373" t="str">
        <f>IF(TRUE=ISBLANK(ChemData!C52),"",(ChemData!C52))</f>
        <v/>
      </c>
      <c r="F52" s="374" t="str">
        <f>IF(TRUE=ISBLANK(ChemData!D52),"",(ChemData!D52))</f>
        <v/>
      </c>
      <c r="G52" s="289">
        <f>IF(TRUE=ISBLANK(ChemData!I52),"",(ChemData!I52))</f>
        <v>0.73</v>
      </c>
      <c r="H52" s="290">
        <f>IF(TRUE=ISBLANK(ChemData!Q52),"",(ChemData!Q52))</f>
        <v>585.33759489716783</v>
      </c>
      <c r="I52" s="290">
        <f>IF(TRUE=ISBLANK(ChemData!R52),"",(ChemData!R52))</f>
        <v>585.33759489716783</v>
      </c>
      <c r="J52" s="290">
        <f>IF(TRUE=ISBLANK(ChemData!S52),"",(ChemData!S52))</f>
        <v>1</v>
      </c>
      <c r="K52" s="291">
        <f>IF(TRUE=ISBLANK(ChemData!T52),"",(ChemData!T52))</f>
        <v>1</v>
      </c>
      <c r="L52" s="375" t="str">
        <f>IF(Start!$C$16="x",IF(OR(D52="NA",D52=""),"NA", IF(OR($J52 = "NA",J52=""),"NA",(D52*$J52))),"---")</f>
        <v>---</v>
      </c>
      <c r="M52" s="377" t="str">
        <f>IF(Start!$C$16="x",IF(OR(D52="NA",D52=""),"NA", IF(OR($K52 = "NA",K52=""),"NA",(D52*$K52))),"---")</f>
        <v>---</v>
      </c>
      <c r="N52" s="375" t="str">
        <f t="shared" si="4"/>
        <v>---</v>
      </c>
      <c r="O52" s="377" t="str">
        <f t="shared" si="4"/>
        <v>---</v>
      </c>
      <c r="P52" s="461" t="str">
        <f>IF(Start!$C$16="x",(IF(L52 = "NA","NA", (IF(OR($H52 = "NA",H52=""), "NA",(IF(OR(ChemData!U52="NA",ChemData!U52=""),L52/((Data!$D$33+((1-Data!$D$33)*Data!$D$14*$H52))/((1-Data!$D$33)*Data!$D$14*1000)),(IF(L52/((Data!$D$33+((1-Data!$D$33)*Data!$D$14*$H52))/((1-Data!$D$33)*Data!$D$14*1000))&gt;ChemData!U52, ChemData!U52, L52/((Data!$D$33+((1-Data!$D$33)*Data!$D$14*$H52))/((1-Data!$D$33)*Data!$D$14*1000)))))))))),"---")</f>
        <v>---</v>
      </c>
      <c r="Q52" s="376" t="str">
        <f>IF(Start!$C$16="x",IF(OR($F52 = "NA",F52=""), "NA", IF(P52= "NA", "NA",(P52+(Data!$D$30*$F52))/(Data!$D$30+1))),"---")</f>
        <v>---</v>
      </c>
      <c r="R52" s="376" t="str">
        <f>IF(Start!$C$16="x",IF(O52 = "NA","NA", IF(OR($I52 = "NA",I52=""), "NA",(IF(OR(ChemData!U52="NA",ChemData!U52=""),O52/((Data!$D$35+((1-Data!$D$35)*Data!$D$14*$I52))/((1-Data!$D$35)*Data!$D$14*1000)),(IF(O52/((Data!$D$35+((1-Data!$D$35)*Data!$D$14*$I52))/((1-Data!$D$35)*Data!$D$14*1000))&gt;ChemData!U52, ChemData!U52, O52/((Data!$D$35+((1-Data!$D$35)*Data!$D$14*$I52))/((1-Data!$D$35)*Data!$D$14*1000)))))))),"---")</f>
        <v>---</v>
      </c>
      <c r="S52" s="377" t="str">
        <f>IF(Start!$C$16="x",IF(OR($F52 = "NA",F52=""), "NA", IF(R52= "NA", "NA",(R52+(Data!$D$30*$F52))/(Data!$D$30+1))),"---")</f>
        <v>---</v>
      </c>
      <c r="T52" s="343" t="str">
        <f>IF(Start!$C$16="x",IF(AND(D52= "",E52=""),"",IF(Q52="NA","NA",IF(G52="NA","NA",IF(G52=0,"NA",(Q52/G52))))),"Not Req.")</f>
        <v>Not Req.</v>
      </c>
      <c r="U52" s="343" t="str">
        <f>IF(Start!$C$16="x",IF(AND(D52= "",E52=""),"",IF(S52="NA","NA",IF(G52="NA","NA",IF(G52=0,"NA",(S52/G52))))),"Not Req.")</f>
        <v>Not Req.</v>
      </c>
      <c r="V52" s="11"/>
    </row>
    <row r="53" spans="1:22" s="10" customFormat="1" x14ac:dyDescent="0.25">
      <c r="A53" s="307" t="s">
        <v>371</v>
      </c>
      <c r="B53" s="348" t="str">
        <f>IF(Start!$C$16="x",IF(OR(D53 ="NA",E53="NA"),"NA",IF(AND(D53= "",E53=""),"",IF(AND(D53= "",E53&lt;&gt; ""),"Missing Data",                     IF(AND(D53&lt;&gt; "",E53= ""),"Missing Data",(IF(OR(G53="NA",G53=""),"No Criteria",(IF(AND(Q53="NA",D53&lt;&gt;"NA",G53&lt;&gt;"NA"),                                               "Missing Data",(IF(Q53&lt;G53,"No","Needed")))))))))),"---")</f>
        <v>---</v>
      </c>
      <c r="C53" s="350" t="str">
        <f>IF(Start!$C$16="x",IF(OR(D53 ="NA",E53="NA"),"NA",IF(AND(D53= "",E53=""),"",IF(AND(D53= "",E53&lt;&gt; ""),"Missing Data",                     IF(AND(D53&lt;&gt; "",E53= ""),"Missing Data",(IF(OR(G53="NA",G53=""),"No Criteria",(IF(AND(S53="NA",D53&lt;&gt;"NA",G53&lt;&gt;"NA"),                                               "Missing Data",(IF(S53&lt;G53,"No","Needed")))))))))),"---")</f>
        <v>---</v>
      </c>
      <c r="D53" s="372" t="str">
        <f>IF(TRUE=ISBLANK(ChemData!B53),"",(ChemData!B53))</f>
        <v/>
      </c>
      <c r="E53" s="373" t="str">
        <f>IF(TRUE=ISBLANK(ChemData!C53),"",(ChemData!C53))</f>
        <v/>
      </c>
      <c r="F53" s="374" t="str">
        <f>IF(TRUE=ISBLANK(ChemData!D53),"",(ChemData!D53))</f>
        <v/>
      </c>
      <c r="G53" s="289">
        <f>IF(TRUE=ISBLANK(ChemData!I53),"",(ChemData!I53))</f>
        <v>2.7E-2</v>
      </c>
      <c r="H53" s="290">
        <f>IF(TRUE=ISBLANK(ChemData!Q53),"",(ChemData!Q53))</f>
        <v>9276.9756944408309</v>
      </c>
      <c r="I53" s="290">
        <f>IF(TRUE=ISBLANK(ChemData!R53),"",(ChemData!R53))</f>
        <v>9276.9756944408309</v>
      </c>
      <c r="J53" s="290">
        <f>IF(TRUE=ISBLANK(ChemData!S53),"",(ChemData!S53))</f>
        <v>1</v>
      </c>
      <c r="K53" s="291">
        <f>IF(TRUE=ISBLANK(ChemData!T53),"",(ChemData!T53))</f>
        <v>1</v>
      </c>
      <c r="L53" s="375" t="str">
        <f>IF(Start!$C$16="x",IF(OR(D53="NA",D53=""),"NA", IF(OR($J53 = "NA",J53=""),"NA",(D53*$J53))),"---")</f>
        <v>---</v>
      </c>
      <c r="M53" s="377" t="str">
        <f>IF(Start!$C$16="x",IF(OR(D53="NA",D53=""),"NA", IF(OR($K53 = "NA",K53=""),"NA",(D53*$K53))),"---")</f>
        <v>---</v>
      </c>
      <c r="N53" s="375" t="str">
        <f t="shared" si="4"/>
        <v>---</v>
      </c>
      <c r="O53" s="377" t="str">
        <f t="shared" si="4"/>
        <v>---</v>
      </c>
      <c r="P53" s="461" t="str">
        <f>IF(Start!$C$16="x",(IF(L53 = "NA","NA", (IF(OR($H53 = "NA",H53=""), "NA",(IF(OR(ChemData!U53="NA",ChemData!U53=""),L53/((Data!$D$33+((1-Data!$D$33)*Data!$D$14*$H53))/((1-Data!$D$33)*Data!$D$14*1000)),(IF(L53/((Data!$D$33+((1-Data!$D$33)*Data!$D$14*$H53))/((1-Data!$D$33)*Data!$D$14*1000))&gt;ChemData!U53, ChemData!U53, L53/((Data!$D$33+((1-Data!$D$33)*Data!$D$14*$H53))/((1-Data!$D$33)*Data!$D$14*1000)))))))))),"---")</f>
        <v>---</v>
      </c>
      <c r="Q53" s="376" t="str">
        <f>IF(Start!$C$16="x",IF(OR($F53 = "NA",F53=""), "NA", IF(P53= "NA", "NA",(P53+(Data!$D$30*$F53))/(Data!$D$30+1))),"---")</f>
        <v>---</v>
      </c>
      <c r="R53" s="376" t="str">
        <f>IF(Start!$C$16="x",IF(O53 = "NA","NA", IF(OR($I53 = "NA",I53=""), "NA",(IF(OR(ChemData!U53="NA",ChemData!U53=""),O53/((Data!$D$35+((1-Data!$D$35)*Data!$D$14*$I53))/((1-Data!$D$35)*Data!$D$14*1000)),(IF(O53/((Data!$D$35+((1-Data!$D$35)*Data!$D$14*$I53))/((1-Data!$D$35)*Data!$D$14*1000))&gt;ChemData!U53, ChemData!U53, O53/((Data!$D$35+((1-Data!$D$35)*Data!$D$14*$I53))/((1-Data!$D$35)*Data!$D$14*1000)))))))),"---")</f>
        <v>---</v>
      </c>
      <c r="S53" s="377" t="str">
        <f>IF(Start!$C$16="x",IF(OR($F53 = "NA",F53=""), "NA", IF(R53= "NA", "NA",(R53+(Data!$D$30*$F53))/(Data!$D$30+1))),"---")</f>
        <v>---</v>
      </c>
      <c r="T53" s="343" t="str">
        <f>IF(Start!$C$16="x",IF(AND(D53= "",E53=""),"",IF(Q53="NA","NA",IF(G53="NA","NA",IF(G53=0,"NA",(Q53/G53))))),"Not Req.")</f>
        <v>Not Req.</v>
      </c>
      <c r="U53" s="343" t="str">
        <f>IF(Start!$C$16="x",IF(AND(D53= "",E53=""),"",IF(S53="NA","NA",IF(G53="NA","NA",IF(G53=0,"NA",(S53/G53))))),"Not Req.")</f>
        <v>Not Req.</v>
      </c>
      <c r="V53" s="11"/>
    </row>
    <row r="54" spans="1:22" s="10" customFormat="1" x14ac:dyDescent="0.25">
      <c r="A54" s="307" t="s">
        <v>372</v>
      </c>
      <c r="B54" s="348" t="str">
        <f>IF(Start!$C$16="x",IF(OR(D54 ="NA",E54="NA"),"NA",IF(AND(D54= "",E54=""),"",IF(AND(D54= "",E54&lt;&gt; ""),"Missing Data",                     IF(AND(D54&lt;&gt; "",E54= ""),"Missing Data",(IF(OR(G54="NA",G54=""),"No Criteria",(IF(AND(Q54="NA",D54&lt;&gt;"NA",G54&lt;&gt;"NA"),                                               "Missing Data",(IF(Q54&lt;G54,"No","Needed")))))))))),"---")</f>
        <v>---</v>
      </c>
      <c r="C54" s="350" t="str">
        <f>IF(Start!$C$16="x",IF(OR(D54 ="NA",E54="NA"),"NA",IF(AND(D54= "",E54=""),"",IF(AND(D54= "",E54&lt;&gt; ""),"Missing Data",                     IF(AND(D54&lt;&gt; "",E54= ""),"Missing Data",(IF(OR(G54="NA",G54=""),"No Criteria",(IF(AND(S54="NA",D54&lt;&gt;"NA",G54&lt;&gt;"NA"),                                               "Missing Data",(IF(S54&lt;G54,"No","Needed")))))))))),"---")</f>
        <v>---</v>
      </c>
      <c r="D54" s="372" t="str">
        <f>IF(TRUE=ISBLANK(ChemData!B54),"",(ChemData!B54))</f>
        <v/>
      </c>
      <c r="E54" s="373" t="str">
        <f>IF(TRUE=ISBLANK(ChemData!C54),"",(ChemData!C54))</f>
        <v/>
      </c>
      <c r="F54" s="374" t="str">
        <f>IF(TRUE=ISBLANK(ChemData!D54),"",(ChemData!D54))</f>
        <v/>
      </c>
      <c r="G54" s="289" t="str">
        <f>IF(TRUE=ISBLANK(ChemData!I54),"",(ChemData!I54))</f>
        <v>NA</v>
      </c>
      <c r="H54" s="290">
        <f>IF(TRUE=ISBLANK(ChemData!Q54),"",(ChemData!Q54))</f>
        <v>29336.372992455243</v>
      </c>
      <c r="I54" s="290">
        <f>IF(TRUE=ISBLANK(ChemData!R54),"",(ChemData!R54))</f>
        <v>29336.372992455243</v>
      </c>
      <c r="J54" s="290">
        <f>IF(TRUE=ISBLANK(ChemData!S54),"",(ChemData!S54))</f>
        <v>1</v>
      </c>
      <c r="K54" s="291">
        <f>IF(TRUE=ISBLANK(ChemData!T54),"",(ChemData!T54))</f>
        <v>1</v>
      </c>
      <c r="L54" s="375" t="str">
        <f>IF(Start!$C$16="x",IF(OR(D54="NA",D54=""),"NA", IF(OR($J54 = "NA",J54=""),"NA",(D54*$J54))),"---")</f>
        <v>---</v>
      </c>
      <c r="M54" s="377" t="str">
        <f>IF(Start!$C$16="x",IF(OR(D54="NA",D54=""),"NA", IF(OR($K54 = "NA",K54=""),"NA",(D54*$K54))),"---")</f>
        <v>---</v>
      </c>
      <c r="N54" s="375" t="str">
        <f t="shared" si="4"/>
        <v>---</v>
      </c>
      <c r="O54" s="377" t="str">
        <f t="shared" si="4"/>
        <v>---</v>
      </c>
      <c r="P54" s="461" t="str">
        <f>IF(Start!$C$16="x",(IF(L54 = "NA","NA", (IF(OR($H54 = "NA",H54=""), "NA",(IF(OR(ChemData!U54="NA",ChemData!U54=""),L54/((Data!$D$33+((1-Data!$D$33)*Data!$D$14*$H54))/((1-Data!$D$33)*Data!$D$14*1000)),(IF(L54/((Data!$D$33+((1-Data!$D$33)*Data!$D$14*$H54))/((1-Data!$D$33)*Data!$D$14*1000))&gt;ChemData!U54, ChemData!U54, L54/((Data!$D$33+((1-Data!$D$33)*Data!$D$14*$H54))/((1-Data!$D$33)*Data!$D$14*1000)))))))))),"---")</f>
        <v>---</v>
      </c>
      <c r="Q54" s="376" t="str">
        <f>IF(Start!$C$16="x",IF(OR($F54 = "NA",F54=""), "NA", IF(P54= "NA", "NA",(P54+(Data!$D$30*$F54))/(Data!$D$30+1))),"---")</f>
        <v>---</v>
      </c>
      <c r="R54" s="376" t="str">
        <f>IF(Start!$C$16="x",IF(O54 = "NA","NA", IF(OR($I54 = "NA",I54=""), "NA",(IF(OR(ChemData!U54="NA",ChemData!U54=""),O54/((Data!$D$35+((1-Data!$D$35)*Data!$D$14*$I54))/((1-Data!$D$35)*Data!$D$14*1000)),(IF(O54/((Data!$D$35+((1-Data!$D$35)*Data!$D$14*$I54))/((1-Data!$D$35)*Data!$D$14*1000))&gt;ChemData!U54, ChemData!U54, O54/((Data!$D$35+((1-Data!$D$35)*Data!$D$14*$I54))/((1-Data!$D$35)*Data!$D$14*1000)))))))),"---")</f>
        <v>---</v>
      </c>
      <c r="S54" s="377" t="str">
        <f>IF(Start!$C$16="x",IF(OR($F54 = "NA",F54=""), "NA", IF(R54= "NA", "NA",(R54+(Data!$D$30*$F54))/(Data!$D$30+1))),"---")</f>
        <v>---</v>
      </c>
      <c r="T54" s="343" t="str">
        <f>IF(Start!$C$16="x",IF(AND(D54= "",E54=""),"",IF(Q54="NA","NA",IF(G54="NA","NA",IF(G54=0,"NA",(Q54/G54))))),"Not Req.")</f>
        <v>Not Req.</v>
      </c>
      <c r="U54" s="343" t="str">
        <f>IF(Start!$C$16="x",IF(AND(D54= "",E54=""),"",IF(S54="NA","NA",IF(G54="NA","NA",IF(G54=0,"NA",(S54/G54))))),"Not Req.")</f>
        <v>Not Req.</v>
      </c>
      <c r="V54" s="11"/>
    </row>
    <row r="55" spans="1:22" s="10" customFormat="1" x14ac:dyDescent="0.25">
      <c r="A55" s="307" t="s">
        <v>373</v>
      </c>
      <c r="B55" s="348" t="str">
        <f>IF(Start!$C$16="x",IF(OR(D55 ="NA",E55="NA"),"NA",IF(AND(D55= "",E55=""),"",IF(AND(D55= "",E55&lt;&gt; ""),"Missing Data",                     IF(AND(D55&lt;&gt; "",E55= ""),"Missing Data",(IF(OR(G55="NA",G55=""),"No Criteria",(IF(AND(Q55="NA",D55&lt;&gt;"NA",G55&lt;&gt;"NA"),                                               "Missing Data",(IF(Q55&lt;G55,"No","Needed")))))))))),"---")</f>
        <v>---</v>
      </c>
      <c r="C55" s="350" t="str">
        <f>IF(Start!$C$16="x",IF(OR(D55 ="NA",E55="NA"),"NA",IF(AND(D55= "",E55=""),"",IF(AND(D55= "",E55&lt;&gt; ""),"Missing Data",                     IF(AND(D55&lt;&gt; "",E55= ""),"Missing Data",(IF(OR(G55="NA",G55=""),"No Criteria",(IF(AND(S55="NA",D55&lt;&gt;"NA",G55&lt;&gt;"NA"),                                               "Missing Data",(IF(S55&lt;G55,"No","Needed")))))))))),"---")</f>
        <v>---</v>
      </c>
      <c r="D55" s="372" t="str">
        <f>IF(TRUE=ISBLANK(ChemData!B55),"",(ChemData!B55))</f>
        <v/>
      </c>
      <c r="E55" s="373" t="str">
        <f>IF(TRUE=ISBLANK(ChemData!C55),"",(ChemData!C55))</f>
        <v/>
      </c>
      <c r="F55" s="374" t="str">
        <f>IF(TRUE=ISBLANK(ChemData!D55),"",(ChemData!D55))</f>
        <v/>
      </c>
      <c r="G55" s="289" t="str">
        <f>IF(TRUE=ISBLANK(ChemData!I55),"",(ChemData!I55))</f>
        <v>NA</v>
      </c>
      <c r="H55" s="290">
        <f>IF(TRUE=ISBLANK(ChemData!Q55),"",(ChemData!Q55))</f>
        <v>29336.372992455243</v>
      </c>
      <c r="I55" s="290">
        <f>IF(TRUE=ISBLANK(ChemData!R55),"",(ChemData!R55))</f>
        <v>29336.372992455243</v>
      </c>
      <c r="J55" s="290">
        <f>IF(TRUE=ISBLANK(ChemData!S55),"",(ChemData!S55))</f>
        <v>1</v>
      </c>
      <c r="K55" s="291">
        <f>IF(TRUE=ISBLANK(ChemData!T55),"",(ChemData!T55))</f>
        <v>1</v>
      </c>
      <c r="L55" s="375" t="str">
        <f>IF(Start!$C$16="x",IF(OR(D55="NA",D55=""),"NA", IF(OR($J55 = "NA",J55=""),"NA",(D55*$J55))),"---")</f>
        <v>---</v>
      </c>
      <c r="M55" s="377" t="str">
        <f>IF(Start!$C$16="x",IF(OR(D55="NA",D55=""),"NA", IF(OR($K55 = "NA",K55=""),"NA",(D55*$K55))),"---")</f>
        <v>---</v>
      </c>
      <c r="N55" s="375" t="str">
        <f t="shared" si="4"/>
        <v>---</v>
      </c>
      <c r="O55" s="377" t="str">
        <f t="shared" si="4"/>
        <v>---</v>
      </c>
      <c r="P55" s="461" t="str">
        <f>IF(Start!$C$16="x",(IF(L55 = "NA","NA", (IF(OR($H55 = "NA",H55=""), "NA",(IF(OR(ChemData!U55="NA",ChemData!U55=""),L55/((Data!$D$33+((1-Data!$D$33)*Data!$D$14*$H55))/((1-Data!$D$33)*Data!$D$14*1000)),(IF(L55/((Data!$D$33+((1-Data!$D$33)*Data!$D$14*$H55))/((1-Data!$D$33)*Data!$D$14*1000))&gt;ChemData!U55, ChemData!U55, L55/((Data!$D$33+((1-Data!$D$33)*Data!$D$14*$H55))/((1-Data!$D$33)*Data!$D$14*1000)))))))))),"---")</f>
        <v>---</v>
      </c>
      <c r="Q55" s="376" t="str">
        <f>IF(Start!$C$16="x",IF(OR($F55 = "NA",F55=""), "NA", IF(P55= "NA", "NA",(P55+(Data!$D$30*$F55))/(Data!$D$30+1))),"---")</f>
        <v>---</v>
      </c>
      <c r="R55" s="376" t="str">
        <f>IF(Start!$C$16="x",IF(O55 = "NA","NA", IF(OR($I55 = "NA",I55=""), "NA",(IF(OR(ChemData!U55="NA",ChemData!U55=""),O55/((Data!$D$35+((1-Data!$D$35)*Data!$D$14*$I55))/((1-Data!$D$35)*Data!$D$14*1000)),(IF(O55/((Data!$D$35+((1-Data!$D$35)*Data!$D$14*$I55))/((1-Data!$D$35)*Data!$D$14*1000))&gt;ChemData!U55, ChemData!U55, O55/((Data!$D$35+((1-Data!$D$35)*Data!$D$14*$I55))/((1-Data!$D$35)*Data!$D$14*1000)))))))),"---")</f>
        <v>---</v>
      </c>
      <c r="S55" s="377" t="str">
        <f>IF(Start!$C$16="x",IF(OR($F55 = "NA",F55=""), "NA", IF(R55= "NA", "NA",(R55+(Data!$D$30*$F55))/(Data!$D$30+1))),"---")</f>
        <v>---</v>
      </c>
      <c r="T55" s="343" t="str">
        <f>IF(Start!$C$16="x",IF(AND(D55= "",E55=""),"",IF(Q55="NA","NA",IF(G55="NA","NA",IF(G55=0,"NA",(Q55/G55))))),"Not Req.")</f>
        <v>Not Req.</v>
      </c>
      <c r="U55" s="343" t="str">
        <f>IF(Start!$C$16="x",IF(AND(D55= "",E55=""),"",IF(S55="NA","NA",IF(G55="NA","NA",IF(G55=0,"NA",(S55/G55))))),"Not Req.")</f>
        <v>Not Req.</v>
      </c>
      <c r="V55" s="11"/>
    </row>
    <row r="56" spans="1:22" s="10" customFormat="1" x14ac:dyDescent="0.25">
      <c r="A56" s="307" t="s">
        <v>374</v>
      </c>
      <c r="B56" s="348" t="str">
        <f>IF(Start!$C$16="x",IF(OR(D56 ="NA",E56="NA"),"NA",IF(AND(D56= "",E56=""),"",IF(AND(D56= "",E56&lt;&gt; ""),"Missing Data",                     IF(AND(D56&lt;&gt; "",E56= ""),"Missing Data",(IF(OR(G56="NA",G56=""),"No Criteria",(IF(AND(Q56="NA",D56&lt;&gt;"NA",G56&lt;&gt;"NA"),                                               "Missing Data",(IF(Q56&lt;G56,"No","Needed")))))))))),"---")</f>
        <v>---</v>
      </c>
      <c r="C56" s="350" t="str">
        <f>IF(Start!$C$16="x",IF(OR(D56 ="NA",E56="NA"),"NA",IF(AND(D56= "",E56=""),"",IF(AND(D56= "",E56&lt;&gt; ""),"Missing Data",                     IF(AND(D56&lt;&gt; "",E56= ""),"Missing Data",(IF(OR(G56="NA",G56=""),"No Criteria",(IF(AND(S56="NA",D56&lt;&gt;"NA",G56&lt;&gt;"NA"),                                               "Missing Data",(IF(S56&lt;G56,"No","Needed")))))))))),"---")</f>
        <v>---</v>
      </c>
      <c r="D56" s="372" t="str">
        <f>IF(TRUE=ISBLANK(ChemData!B56),"",(ChemData!B56))</f>
        <v/>
      </c>
      <c r="E56" s="373" t="str">
        <f>IF(TRUE=ISBLANK(ChemData!C56),"",(ChemData!C56))</f>
        <v/>
      </c>
      <c r="F56" s="374" t="str">
        <f>IF(TRUE=ISBLANK(ChemData!D56),"",(ChemData!D56))</f>
        <v/>
      </c>
      <c r="G56" s="289" t="str">
        <f>IF(TRUE=ISBLANK(ChemData!I56),"",(ChemData!I56))</f>
        <v>NA</v>
      </c>
      <c r="H56" s="290">
        <f>IF(TRUE=ISBLANK(ChemData!Q56),"",(ChemData!Q56))</f>
        <v>92769.756944408247</v>
      </c>
      <c r="I56" s="290">
        <f>IF(TRUE=ISBLANK(ChemData!R56),"",(ChemData!R56))</f>
        <v>92769.756944408247</v>
      </c>
      <c r="J56" s="290">
        <f>IF(TRUE=ISBLANK(ChemData!S56),"",(ChemData!S56))</f>
        <v>1</v>
      </c>
      <c r="K56" s="291">
        <f>IF(TRUE=ISBLANK(ChemData!T56),"",(ChemData!T56))</f>
        <v>1</v>
      </c>
      <c r="L56" s="375" t="str">
        <f>IF(Start!$C$16="x",IF(OR(D56="NA",D56=""),"NA", IF(OR($J56 = "NA",J56=""),"NA",(D56*$J56))),"---")</f>
        <v>---</v>
      </c>
      <c r="M56" s="377" t="str">
        <f>IF(Start!$C$16="x",IF(OR(D56="NA",D56=""),"NA", IF(OR($K56 = "NA",K56=""),"NA",(D56*$K56))),"---")</f>
        <v>---</v>
      </c>
      <c r="N56" s="375" t="str">
        <f t="shared" si="4"/>
        <v>---</v>
      </c>
      <c r="O56" s="377" t="str">
        <f t="shared" si="4"/>
        <v>---</v>
      </c>
      <c r="P56" s="461" t="str">
        <f>IF(Start!$C$16="x",(IF(L56 = "NA","NA", (IF(OR($H56 = "NA",H56=""), "NA",(IF(OR(ChemData!U56="NA",ChemData!U56=""),L56/((Data!$D$33+((1-Data!$D$33)*Data!$D$14*$H56))/((1-Data!$D$33)*Data!$D$14*1000)),(IF(L56/((Data!$D$33+((1-Data!$D$33)*Data!$D$14*$H56))/((1-Data!$D$33)*Data!$D$14*1000))&gt;ChemData!U56, ChemData!U56, L56/((Data!$D$33+((1-Data!$D$33)*Data!$D$14*$H56))/((1-Data!$D$33)*Data!$D$14*1000)))))))))),"---")</f>
        <v>---</v>
      </c>
      <c r="Q56" s="376" t="str">
        <f>IF(Start!$C$16="x",IF(OR($F56 = "NA",F56=""), "NA", IF(P56= "NA", "NA",(P56+(Data!$D$30*$F56))/(Data!$D$30+1))),"---")</f>
        <v>---</v>
      </c>
      <c r="R56" s="376" t="str">
        <f>IF(Start!$C$16="x",IF(O56 = "NA","NA", IF(OR($I56 = "NA",I56=""), "NA",(IF(OR(ChemData!U56="NA",ChemData!U56=""),O56/((Data!$D$35+((1-Data!$D$35)*Data!$D$14*$I56))/((1-Data!$D$35)*Data!$D$14*1000)),(IF(O56/((Data!$D$35+((1-Data!$D$35)*Data!$D$14*$I56))/((1-Data!$D$35)*Data!$D$14*1000))&gt;ChemData!U56, ChemData!U56, O56/((Data!$D$35+((1-Data!$D$35)*Data!$D$14*$I56))/((1-Data!$D$35)*Data!$D$14*1000)))))))),"---")</f>
        <v>---</v>
      </c>
      <c r="S56" s="377" t="str">
        <f>IF(Start!$C$16="x",IF(OR($F56 = "NA",F56=""), "NA", IF(R56= "NA", "NA",(R56+(Data!$D$30*$F56))/(Data!$D$30+1))),"---")</f>
        <v>---</v>
      </c>
      <c r="T56" s="343" t="str">
        <f>IF(Start!$C$16="x",IF(AND(D56= "",E56=""),"",IF(Q56="NA","NA",IF(G56="NA","NA",IF(G56=0,"NA",(Q56/G56))))),"Not Req.")</f>
        <v>Not Req.</v>
      </c>
      <c r="U56" s="343" t="str">
        <f>IF(Start!$C$16="x",IF(AND(D56= "",E56=""),"",IF(S56="NA","NA",IF(G56="NA","NA",IF(G56=0,"NA",(S56/G56))))),"Not Req.")</f>
        <v>Not Req.</v>
      </c>
      <c r="V56" s="11"/>
    </row>
    <row r="57" spans="1:22" s="10" customFormat="1" x14ac:dyDescent="0.25">
      <c r="A57" s="307" t="s">
        <v>375</v>
      </c>
      <c r="B57" s="348" t="str">
        <f>IF(Start!$C$16="x",IF(OR(D57 ="NA",E57="NA"),"NA",IF(AND(D57= "",E57=""),"",IF(AND(D57= "",E57&lt;&gt; ""),"Missing Data",                     IF(AND(D57&lt;&gt; "",E57= ""),"Missing Data",(IF(OR(G57="NA",G57=""),"No Criteria",(IF(AND(Q57="NA",D57&lt;&gt;"NA",G57&lt;&gt;"NA"),                                               "Missing Data",(IF(Q57&lt;G57,"No","Needed")))))))))),"---")</f>
        <v>---</v>
      </c>
      <c r="C57" s="350" t="str">
        <f>IF(Start!$C$16="x",IF(OR(D57 ="NA",E57="NA"),"NA",IF(AND(D57= "",E57=""),"",IF(AND(D57= "",E57&lt;&gt; ""),"Missing Data",                     IF(AND(D57&lt;&gt; "",E57= ""),"Missing Data",(IF(OR(G57="NA",G57=""),"No Criteria",(IF(AND(S57="NA",D57&lt;&gt;"NA",G57&lt;&gt;"NA"),                                               "Missing Data",(IF(S57&lt;G57,"No","Needed")))))))))),"---")</f>
        <v>---</v>
      </c>
      <c r="D57" s="372" t="str">
        <f>IF(TRUE=ISBLANK(ChemData!B57),"",(ChemData!B57))</f>
        <v/>
      </c>
      <c r="E57" s="373" t="str">
        <f>IF(TRUE=ISBLANK(ChemData!C57),"",(ChemData!C57))</f>
        <v/>
      </c>
      <c r="F57" s="374" t="str">
        <f>IF(TRUE=ISBLANK(ChemData!D57),"",(ChemData!D57))</f>
        <v/>
      </c>
      <c r="G57" s="289">
        <f>IF(TRUE=ISBLANK(ChemData!I57),"",(ChemData!I57))</f>
        <v>1.4E-2</v>
      </c>
      <c r="H57" s="290">
        <f>IF(TRUE=ISBLANK(ChemData!Q57),"",(ChemData!Q57))</f>
        <v>20295.811410610371</v>
      </c>
      <c r="I57" s="290">
        <f>IF(TRUE=ISBLANK(ChemData!R57),"",(ChemData!R57))</f>
        <v>20295.811410610371</v>
      </c>
      <c r="J57" s="290">
        <f>IF(TRUE=ISBLANK(ChemData!S57),"",(ChemData!S57))</f>
        <v>1</v>
      </c>
      <c r="K57" s="291">
        <f>IF(TRUE=ISBLANK(ChemData!T57),"",(ChemData!T57))</f>
        <v>1</v>
      </c>
      <c r="L57" s="375" t="str">
        <f>IF(Start!$C$16="x",IF(OR(D57="NA",D57=""),"NA", IF(OR($J57 = "NA",J57=""),"NA",(D57*$J57))),"---")</f>
        <v>---</v>
      </c>
      <c r="M57" s="377" t="str">
        <f>IF(Start!$C$16="x",IF(OR(D57="NA",D57=""),"NA", IF(OR($K57 = "NA",K57=""),"NA",(D57*$K57))),"---")</f>
        <v>---</v>
      </c>
      <c r="N57" s="375" t="str">
        <f t="shared" si="4"/>
        <v>---</v>
      </c>
      <c r="O57" s="377" t="str">
        <f t="shared" si="4"/>
        <v>---</v>
      </c>
      <c r="P57" s="461" t="str">
        <f>IF(Start!$C$16="x",(IF(L57 = "NA","NA", (IF(OR($H57 = "NA",H57=""), "NA",(IF(OR(ChemData!U57="NA",ChemData!U57=""),L57/((Data!$D$33+((1-Data!$D$33)*Data!$D$14*$H57))/((1-Data!$D$33)*Data!$D$14*1000)),(IF(L57/((Data!$D$33+((1-Data!$D$33)*Data!$D$14*$H57))/((1-Data!$D$33)*Data!$D$14*1000))&gt;ChemData!U57, ChemData!U57, L57/((Data!$D$33+((1-Data!$D$33)*Data!$D$14*$H57))/((1-Data!$D$33)*Data!$D$14*1000)))))))))),"---")</f>
        <v>---</v>
      </c>
      <c r="Q57" s="376" t="str">
        <f>IF(Start!$C$16="x",IF(OR($F57 = "NA",F57=""), "NA", IF(P57= "NA", "NA",(P57+(Data!$D$30*$F57))/(Data!$D$30+1))),"---")</f>
        <v>---</v>
      </c>
      <c r="R57" s="376" t="str">
        <f>IF(Start!$C$16="x",IF(O57 = "NA","NA", IF(OR($I57 = "NA",I57=""), "NA",(IF(OR(ChemData!U57="NA",ChemData!U57=""),O57/((Data!$D$35+((1-Data!$D$35)*Data!$D$14*$I57))/((1-Data!$D$35)*Data!$D$14*1000)),(IF(O57/((Data!$D$35+((1-Data!$D$35)*Data!$D$14*$I57))/((1-Data!$D$35)*Data!$D$14*1000))&gt;ChemData!U57, ChemData!U57, O57/((Data!$D$35+((1-Data!$D$35)*Data!$D$14*$I57))/((1-Data!$D$35)*Data!$D$14*1000)))))))),"---")</f>
        <v>---</v>
      </c>
      <c r="S57" s="377" t="str">
        <f>IF(Start!$C$16="x",IF(OR($F57 = "NA",F57=""), "NA", IF(R57= "NA", "NA",(R57+(Data!$D$30*$F57))/(Data!$D$30+1))),"---")</f>
        <v>---</v>
      </c>
      <c r="T57" s="343" t="str">
        <f>IF(Start!$C$16="x",IF(AND(D57= "",E57=""),"",IF(Q57="NA","NA",IF(G57="NA","NA",IF(G57=0,"NA",(Q57/G57))))),"Not Req.")</f>
        <v>Not Req.</v>
      </c>
      <c r="U57" s="343" t="str">
        <f>IF(Start!$C$16="x",IF(AND(D57= "",E57=""),"",IF(S57="NA","NA",IF(G57="NA","NA",IF(G57=0,"NA",(S57/G57))))),"Not Req.")</f>
        <v>Not Req.</v>
      </c>
      <c r="V57" s="11"/>
    </row>
    <row r="58" spans="1:22" s="10" customFormat="1" x14ac:dyDescent="0.25">
      <c r="A58" s="307" t="s">
        <v>376</v>
      </c>
      <c r="B58" s="348" t="str">
        <f>IF(Start!$C$16="x",IF(OR(D58 ="NA",E58="NA"),"NA",IF(AND(D58= "",E58=""),"",IF(AND(D58= "",E58&lt;&gt; ""),"Missing Data",                     IF(AND(D58&lt;&gt; "",E58= ""),"Missing Data",(IF(OR(G58="NA",G58=""),"No Criteria",(IF(AND(Q58="NA",D58&lt;&gt;"NA",G58&lt;&gt;"NA"),                                               "Missing Data",(IF(Q58&lt;G58,"No","Needed")))))))))),"---")</f>
        <v>---</v>
      </c>
      <c r="C58" s="350" t="str">
        <f>IF(Start!$C$16="x",IF(OR(D58 ="NA",E58="NA"),"NA",IF(AND(D58= "",E58=""),"",IF(AND(D58= "",E58&lt;&gt; ""),"Missing Data",                     IF(AND(D58&lt;&gt; "",E58= ""),"Missing Data",(IF(OR(G58="NA",G58=""),"No Criteria",(IF(AND(S58="NA",D58&lt;&gt;"NA",G58&lt;&gt;"NA"),                                               "Missing Data",(IF(S58&lt;G58,"No","Needed")))))))))),"---")</f>
        <v>---</v>
      </c>
      <c r="D58" s="372" t="str">
        <f>IF(TRUE=ISBLANK(ChemData!B58),"",(ChemData!B58))</f>
        <v/>
      </c>
      <c r="E58" s="373" t="str">
        <f>IF(TRUE=ISBLANK(ChemData!C58),"",(ChemData!C58))</f>
        <v/>
      </c>
      <c r="F58" s="374" t="str">
        <f>IF(TRUE=ISBLANK(ChemData!D58),"",(ChemData!D58))</f>
        <v/>
      </c>
      <c r="G58" s="289" t="str">
        <f>IF(TRUE=ISBLANK(ChemData!I58),"",(ChemData!I58))</f>
        <v>NA</v>
      </c>
      <c r="H58" s="290">
        <f>IF(TRUE=ISBLANK(ChemData!Q58),"",(ChemData!Q58))</f>
        <v>50980.773298789587</v>
      </c>
      <c r="I58" s="290">
        <f>IF(TRUE=ISBLANK(ChemData!R58),"",(ChemData!R58))</f>
        <v>50980.773298789587</v>
      </c>
      <c r="J58" s="290">
        <f>IF(TRUE=ISBLANK(ChemData!S58),"",(ChemData!S58))</f>
        <v>1</v>
      </c>
      <c r="K58" s="291">
        <f>IF(TRUE=ISBLANK(ChemData!T58),"",(ChemData!T58))</f>
        <v>1</v>
      </c>
      <c r="L58" s="375" t="str">
        <f>IF(Start!$C$16="x",IF(OR(D58="NA",D58=""),"NA", IF(OR($J58 = "NA",J58=""),"NA",(D58*$J58))),"---")</f>
        <v>---</v>
      </c>
      <c r="M58" s="377" t="str">
        <f>IF(Start!$C$16="x",IF(OR(D58="NA",D58=""),"NA", IF(OR($K58 = "NA",K58=""),"NA",(D58*$K58))),"---")</f>
        <v>---</v>
      </c>
      <c r="N58" s="375" t="str">
        <f t="shared" si="4"/>
        <v>---</v>
      </c>
      <c r="O58" s="377" t="str">
        <f t="shared" si="4"/>
        <v>---</v>
      </c>
      <c r="P58" s="461" t="str">
        <f>IF(Start!$C$16="x",(IF(L58 = "NA","NA", (IF(OR($H58 = "NA",H58=""), "NA",(IF(OR(ChemData!U58="NA",ChemData!U58=""),L58/((Data!$D$33+((1-Data!$D$33)*Data!$D$14*$H58))/((1-Data!$D$33)*Data!$D$14*1000)),(IF(L58/((Data!$D$33+((1-Data!$D$33)*Data!$D$14*$H58))/((1-Data!$D$33)*Data!$D$14*1000))&gt;ChemData!U58, ChemData!U58, L58/((Data!$D$33+((1-Data!$D$33)*Data!$D$14*$H58))/((1-Data!$D$33)*Data!$D$14*1000)))))))))),"---")</f>
        <v>---</v>
      </c>
      <c r="Q58" s="376" t="str">
        <f>IF(Start!$C$16="x",IF(OR($F58 = "NA",F58=""), "NA", IF(P58= "NA", "NA",(P58+(Data!$D$30*$F58))/(Data!$D$30+1))),"---")</f>
        <v>---</v>
      </c>
      <c r="R58" s="376" t="str">
        <f>IF(Start!$C$16="x",IF(O58 = "NA","NA", IF(OR($I58 = "NA",I58=""), "NA",(IF(OR(ChemData!U58="NA",ChemData!U58=""),O58/((Data!$D$35+((1-Data!$D$35)*Data!$D$14*$I58))/((1-Data!$D$35)*Data!$D$14*1000)),(IF(O58/((Data!$D$35+((1-Data!$D$35)*Data!$D$14*$I58))/((1-Data!$D$35)*Data!$D$14*1000))&gt;ChemData!U58, ChemData!U58, O58/((Data!$D$35+((1-Data!$D$35)*Data!$D$14*$I58))/((1-Data!$D$35)*Data!$D$14*1000)))))))),"---")</f>
        <v>---</v>
      </c>
      <c r="S58" s="377" t="str">
        <f>IF(Start!$C$16="x",IF(OR($F58 = "NA",F58=""), "NA", IF(R58= "NA", "NA",(R58+(Data!$D$30*$F58))/(Data!$D$30+1))),"---")</f>
        <v>---</v>
      </c>
      <c r="T58" s="343" t="str">
        <f>IF(Start!$C$16="x",IF(AND(D58= "",E58=""),"",IF(Q58="NA","NA",IF(G58="NA","NA",IF(G58=0,"NA",(Q58/G58))))),"Not Req.")</f>
        <v>Not Req.</v>
      </c>
      <c r="U58" s="343" t="str">
        <f>IF(Start!$C$16="x",IF(AND(D58= "",E58=""),"",IF(S58="NA","NA",IF(G58="NA","NA",IF(G58=0,"NA",(S58/G58))))),"Not Req.")</f>
        <v>Not Req.</v>
      </c>
      <c r="V58" s="11"/>
    </row>
    <row r="59" spans="1:22" s="10" customFormat="1" x14ac:dyDescent="0.25">
      <c r="A59" s="307" t="s">
        <v>377</v>
      </c>
      <c r="B59" s="348" t="str">
        <f>IF(Start!$C$16="x",IF(OR(D59 ="NA",E59="NA"),"NA",IF(AND(D59= "",E59=""),"",IF(AND(D59= "",E59&lt;&gt; ""),"Missing Data",                     IF(AND(D59&lt;&gt; "",E59= ""),"Missing Data",(IF(OR(G59="NA",G59=""),"No Criteria",(IF(AND(Q59="NA",D59&lt;&gt;"NA",G59&lt;&gt;"NA"),                                               "Missing Data",(IF(Q59&lt;G59,"No","Needed")))))))))),"---")</f>
        <v>---</v>
      </c>
      <c r="C59" s="350" t="str">
        <f>IF(Start!$C$16="x",IF(OR(D59 ="NA",E59="NA"),"NA",IF(AND(D59= "",E59=""),"",IF(AND(D59= "",E59&lt;&gt; ""),"Missing Data",                     IF(AND(D59&lt;&gt; "",E59= ""),"Missing Data",(IF(OR(G59="NA",G59=""),"No Criteria",(IF(AND(S59="NA",D59&lt;&gt;"NA",G59&lt;&gt;"NA"),                                               "Missing Data",(IF(S59&lt;G59,"No","Needed")))))))))),"---")</f>
        <v>---</v>
      </c>
      <c r="D59" s="372" t="str">
        <f>IF(TRUE=ISBLANK(ChemData!B59),"",(ChemData!B59))</f>
        <v/>
      </c>
      <c r="E59" s="373" t="str">
        <f>IF(TRUE=ISBLANK(ChemData!C59),"",(ChemData!C59))</f>
        <v/>
      </c>
      <c r="F59" s="374" t="str">
        <f>IF(TRUE=ISBLANK(ChemData!D59),"",(ChemData!D59))</f>
        <v/>
      </c>
      <c r="G59" s="289">
        <f>IF(TRUE=ISBLANK(ChemData!I59),"",(ChemData!I59))</f>
        <v>14</v>
      </c>
      <c r="H59" s="290">
        <f>IF(TRUE=ISBLANK(ChemData!Q59),"",(ChemData!Q59))</f>
        <v>114.13173484456048</v>
      </c>
      <c r="I59" s="290">
        <f>IF(TRUE=ISBLANK(ChemData!R59),"",(ChemData!R59))</f>
        <v>114.13173484456048</v>
      </c>
      <c r="J59" s="290">
        <f>IF(TRUE=ISBLANK(ChemData!S59),"",(ChemData!S59))</f>
        <v>1</v>
      </c>
      <c r="K59" s="291">
        <f>IF(TRUE=ISBLANK(ChemData!T59),"",(ChemData!T59))</f>
        <v>1</v>
      </c>
      <c r="L59" s="375" t="str">
        <f>IF(Start!$C$16="x",IF(OR(D59="NA",D59=""),"NA", IF(OR($J59 = "NA",J59=""),"NA",(D59*$J59))),"---")</f>
        <v>---</v>
      </c>
      <c r="M59" s="377" t="str">
        <f>IF(Start!$C$16="x",IF(OR(D59="NA",D59=""),"NA", IF(OR($K59 = "NA",K59=""),"NA",(D59*$K59))),"---")</f>
        <v>---</v>
      </c>
      <c r="N59" s="375" t="str">
        <f t="shared" si="4"/>
        <v>---</v>
      </c>
      <c r="O59" s="377" t="str">
        <f t="shared" si="4"/>
        <v>---</v>
      </c>
      <c r="P59" s="461" t="str">
        <f>IF(Start!$C$16="x",(IF(L59 = "NA","NA", (IF(OR($H59 = "NA",H59=""), "NA",(IF(OR(ChemData!U59="NA",ChemData!U59=""),L59/((Data!$D$33+((1-Data!$D$33)*Data!$D$14*$H59))/((1-Data!$D$33)*Data!$D$14*1000)),(IF(L59/((Data!$D$33+((1-Data!$D$33)*Data!$D$14*$H59))/((1-Data!$D$33)*Data!$D$14*1000))&gt;ChemData!U59, ChemData!U59, L59/((Data!$D$33+((1-Data!$D$33)*Data!$D$14*$H59))/((1-Data!$D$33)*Data!$D$14*1000)))))))))),"---")</f>
        <v>---</v>
      </c>
      <c r="Q59" s="376" t="str">
        <f>IF(Start!$C$16="x",IF(OR($F59 = "NA",F59=""), "NA", IF(P59= "NA", "NA",(P59+(Data!$D$30*$F59))/(Data!$D$30+1))),"---")</f>
        <v>---</v>
      </c>
      <c r="R59" s="376" t="str">
        <f>IF(Start!$C$16="x",IF(O59 = "NA","NA", IF(OR($I59 = "NA",I59=""), "NA",(IF(OR(ChemData!U59="NA",ChemData!U59=""),O59/((Data!$D$35+((1-Data!$D$35)*Data!$D$14*$I59))/((1-Data!$D$35)*Data!$D$14*1000)),(IF(O59/((Data!$D$35+((1-Data!$D$35)*Data!$D$14*$I59))/((1-Data!$D$35)*Data!$D$14*1000))&gt;ChemData!U59, ChemData!U59, O59/((Data!$D$35+((1-Data!$D$35)*Data!$D$14*$I59))/((1-Data!$D$35)*Data!$D$14*1000)))))))),"---")</f>
        <v>---</v>
      </c>
      <c r="S59" s="377" t="str">
        <f>IF(Start!$C$16="x",IF(OR($F59 = "NA",F59=""), "NA", IF(R59= "NA", "NA",(R59+(Data!$D$30*$F59))/(Data!$D$30+1))),"---")</f>
        <v>---</v>
      </c>
      <c r="T59" s="343" t="str">
        <f>IF(Start!$C$16="x",IF(AND(D59= "",E59=""),"",IF(Q59="NA","NA",IF(G59="NA","NA",IF(G59=0,"NA",(Q59/G59))))),"Not Req.")</f>
        <v>Not Req.</v>
      </c>
      <c r="U59" s="343" t="str">
        <f>IF(Start!$C$16="x",IF(AND(D59= "",E59=""),"",IF(S59="NA","NA",IF(G59="NA","NA",IF(G59=0,"NA",(S59/G59))))),"Not Req.")</f>
        <v>Not Req.</v>
      </c>
      <c r="V59" s="11"/>
    </row>
    <row r="60" spans="1:22" s="10" customFormat="1" x14ac:dyDescent="0.25">
      <c r="A60" s="307" t="s">
        <v>378</v>
      </c>
      <c r="B60" s="348" t="str">
        <f>IF(Start!$C$16="x",IF(OR(D60 ="NA",E60="NA"),"NA",IF(AND(D60= "",E60=""),"",IF(AND(D60= "",E60&lt;&gt; ""),"Missing Data",                     IF(AND(D60&lt;&gt; "",E60= ""),"Missing Data",(IF(OR(G60="NA",G60=""),"No Criteria",(IF(AND(Q60="NA",D60&lt;&gt;"NA",G60&lt;&gt;"NA"),                                               "Missing Data",(IF(Q60&lt;G60,"No","Needed")))))))))),"---")</f>
        <v>---</v>
      </c>
      <c r="C60" s="350" t="str">
        <f>IF(Start!$C$16="x",IF(OR(D60 ="NA",E60="NA"),"NA",IF(AND(D60= "",E60=""),"",IF(AND(D60= "",E60&lt;&gt; ""),"Missing Data",                     IF(AND(D60&lt;&gt; "",E60= ""),"Missing Data",(IF(OR(G60="NA",G60=""),"No Criteria",(IF(AND(S60="NA",D60&lt;&gt;"NA",G60&lt;&gt;"NA"),                                               "Missing Data",(IF(S60&lt;G60,"No","Needed")))))))))),"---")</f>
        <v>---</v>
      </c>
      <c r="D60" s="372" t="str">
        <f>IF(TRUE=ISBLANK(ChemData!B60),"",(ChemData!B60))</f>
        <v/>
      </c>
      <c r="E60" s="373" t="str">
        <f>IF(TRUE=ISBLANK(ChemData!C60),"",(ChemData!C60))</f>
        <v/>
      </c>
      <c r="F60" s="374" t="str">
        <f>IF(TRUE=ISBLANK(ChemData!D60),"",(ChemData!D60))</f>
        <v/>
      </c>
      <c r="G60" s="289" t="str">
        <f>IF(TRUE=ISBLANK(ChemData!I60),"",(ChemData!I60))</f>
        <v>NA</v>
      </c>
      <c r="H60" s="290">
        <f>IF(TRUE=ISBLANK(ChemData!Q60),"",(ChemData!Q60))</f>
        <v>72.012256338441432</v>
      </c>
      <c r="I60" s="290">
        <f>IF(TRUE=ISBLANK(ChemData!R60),"",(ChemData!R60))</f>
        <v>72.012256338441432</v>
      </c>
      <c r="J60" s="290">
        <f>IF(TRUE=ISBLANK(ChemData!S60),"",(ChemData!S60))</f>
        <v>1</v>
      </c>
      <c r="K60" s="291">
        <f>IF(TRUE=ISBLANK(ChemData!T60),"",(ChemData!T60))</f>
        <v>1</v>
      </c>
      <c r="L60" s="375" t="str">
        <f>IF(Start!$C$16="x",IF(OR(D60="NA",D60=""),"NA", IF(OR($J60 = "NA",J60=""),"NA",(D60*$J60))),"---")</f>
        <v>---</v>
      </c>
      <c r="M60" s="377" t="str">
        <f>IF(Start!$C$16="x",IF(OR(D60="NA",D60=""),"NA", IF(OR($K60 = "NA",K60=""),"NA",(D60*$K60))),"---")</f>
        <v>---</v>
      </c>
      <c r="N60" s="375" t="str">
        <f t="shared" si="4"/>
        <v>---</v>
      </c>
      <c r="O60" s="377" t="str">
        <f t="shared" si="4"/>
        <v>---</v>
      </c>
      <c r="P60" s="461" t="str">
        <f>IF(Start!$C$16="x",(IF(L60 = "NA","NA", (IF(OR($H60 = "NA",H60=""), "NA",(IF(OR(ChemData!U60="NA",ChemData!U60=""),L60/((Data!$D$33+((1-Data!$D$33)*Data!$D$14*$H60))/((1-Data!$D$33)*Data!$D$14*1000)),(IF(L60/((Data!$D$33+((1-Data!$D$33)*Data!$D$14*$H60))/((1-Data!$D$33)*Data!$D$14*1000))&gt;ChemData!U60, ChemData!U60, L60/((Data!$D$33+((1-Data!$D$33)*Data!$D$14*$H60))/((1-Data!$D$33)*Data!$D$14*1000)))))))))),"---")</f>
        <v>---</v>
      </c>
      <c r="Q60" s="376" t="str">
        <f>IF(Start!$C$16="x",IF(OR($F60 = "NA",F60=""), "NA", IF(P60= "NA", "NA",(P60+(Data!$D$30*$F60))/(Data!$D$30+1))),"---")</f>
        <v>---</v>
      </c>
      <c r="R60" s="376" t="str">
        <f>IF(Start!$C$16="x",IF(O60 = "NA","NA", IF(OR($I60 = "NA",I60=""), "NA",(IF(OR(ChemData!U60="NA",ChemData!U60=""),O60/((Data!$D$35+((1-Data!$D$35)*Data!$D$14*$I60))/((1-Data!$D$35)*Data!$D$14*1000)),(IF(O60/((Data!$D$35+((1-Data!$D$35)*Data!$D$14*$I60))/((1-Data!$D$35)*Data!$D$14*1000))&gt;ChemData!U60, ChemData!U60, O60/((Data!$D$35+((1-Data!$D$35)*Data!$D$14*$I60))/((1-Data!$D$35)*Data!$D$14*1000)))))))),"---")</f>
        <v>---</v>
      </c>
      <c r="S60" s="377" t="str">
        <f>IF(Start!$C$16="x",IF(OR($F60 = "NA",F60=""), "NA", IF(R60= "NA", "NA",(R60+(Data!$D$30*$F60))/(Data!$D$30+1))),"---")</f>
        <v>---</v>
      </c>
      <c r="T60" s="343" t="str">
        <f>IF(Start!$C$16="x",IF(AND(D60= "",E60=""),"",IF(Q60="NA","NA",IF(G60="NA","NA",IF(G60=0,"NA",(Q60/G60))))),"Not Req.")</f>
        <v>Not Req.</v>
      </c>
      <c r="U60" s="343" t="str">
        <f>IF(Start!$C$16="x",IF(AND(D60= "",E60=""),"",IF(S60="NA","NA",IF(G60="NA","NA",IF(G60=0,"NA",(S60/G60))))),"Not Req.")</f>
        <v>Not Req.</v>
      </c>
      <c r="V60" s="11"/>
    </row>
    <row r="61" spans="1:22" s="10" customFormat="1" x14ac:dyDescent="0.25">
      <c r="A61" s="307" t="s">
        <v>379</v>
      </c>
      <c r="B61" s="348" t="str">
        <f>IF(Start!$C$16="x",IF(OR(D61 ="NA",E61="NA"),"NA",IF(AND(D61= "",E61=""),"",IF(AND(D61= "",E61&lt;&gt; ""),"Missing Data",                     IF(AND(D61&lt;&gt; "",E61= ""),"Missing Data",(IF(OR(G61="NA",G61=""),"No Criteria",(IF(AND(Q61="NA",D61&lt;&gt;"NA",G61&lt;&gt;"NA"),                                               "Missing Data",(IF(Q61&lt;G61,"No","Needed")))))))))),"---")</f>
        <v>---</v>
      </c>
      <c r="C61" s="350" t="str">
        <f>IF(Start!$C$16="x",IF(OR(D61 ="NA",E61="NA"),"NA",IF(AND(D61= "",E61=""),"",IF(AND(D61= "",E61&lt;&gt; ""),"Missing Data",                     IF(AND(D61&lt;&gt; "",E61= ""),"Missing Data",(IF(OR(G61="NA",G61=""),"No Criteria",(IF(AND(S61="NA",D61&lt;&gt;"NA",G61&lt;&gt;"NA"),                                               "Missing Data",(IF(S61&lt;G61,"No","Needed")))))))))),"---")</f>
        <v>---</v>
      </c>
      <c r="D61" s="372" t="str">
        <f>IF(TRUE=ISBLANK(ChemData!B61),"",(ChemData!B61))</f>
        <v/>
      </c>
      <c r="E61" s="373" t="str">
        <f>IF(TRUE=ISBLANK(ChemData!C61),"",(ChemData!C61))</f>
        <v/>
      </c>
      <c r="F61" s="374" t="str">
        <f>IF(TRUE=ISBLANK(ChemData!D61),"",(ChemData!D61))</f>
        <v/>
      </c>
      <c r="G61" s="289" t="str">
        <f>IF(TRUE=ISBLANK(ChemData!I61),"",(ChemData!I61))</f>
        <v>NA</v>
      </c>
      <c r="H61" s="290">
        <f>IF(TRUE=ISBLANK(ChemData!Q61),"",(ChemData!Q61))</f>
        <v>9276.9756944408309</v>
      </c>
      <c r="I61" s="290">
        <f>IF(TRUE=ISBLANK(ChemData!R61),"",(ChemData!R61))</f>
        <v>9276.9756944408309</v>
      </c>
      <c r="J61" s="290">
        <f>IF(TRUE=ISBLANK(ChemData!S61),"",(ChemData!S61))</f>
        <v>1</v>
      </c>
      <c r="K61" s="291">
        <f>IF(TRUE=ISBLANK(ChemData!T61),"",(ChemData!T61))</f>
        <v>1</v>
      </c>
      <c r="L61" s="375" t="str">
        <f>IF(Start!$C$16="x",IF(OR(D61="NA",D61=""),"NA", IF(OR($J61 = "NA",J61=""),"NA",(D61*$J61))),"---")</f>
        <v>---</v>
      </c>
      <c r="M61" s="377" t="str">
        <f>IF(Start!$C$16="x",IF(OR(D61="NA",D61=""),"NA", IF(OR($K61 = "NA",K61=""),"NA",(D61*$K61))),"---")</f>
        <v>---</v>
      </c>
      <c r="N61" s="375" t="str">
        <f t="shared" si="4"/>
        <v>---</v>
      </c>
      <c r="O61" s="377" t="str">
        <f t="shared" si="4"/>
        <v>---</v>
      </c>
      <c r="P61" s="461" t="str">
        <f>IF(Start!$C$16="x",(IF(L61 = "NA","NA", (IF(OR($H61 = "NA",H61=""), "NA",(IF(OR(ChemData!U61="NA",ChemData!U61=""),L61/((Data!$D$33+((1-Data!$D$33)*Data!$D$14*$H61))/((1-Data!$D$33)*Data!$D$14*1000)),(IF(L61/((Data!$D$33+((1-Data!$D$33)*Data!$D$14*$H61))/((1-Data!$D$33)*Data!$D$14*1000))&gt;ChemData!U61, ChemData!U61, L61/((Data!$D$33+((1-Data!$D$33)*Data!$D$14*$H61))/((1-Data!$D$33)*Data!$D$14*1000)))))))))),"---")</f>
        <v>---</v>
      </c>
      <c r="Q61" s="376" t="str">
        <f>IF(Start!$C$16="x",IF(OR($F61 = "NA",F61=""), "NA", IF(P61= "NA", "NA",(P61+(Data!$D$30*$F61))/(Data!$D$30+1))),"---")</f>
        <v>---</v>
      </c>
      <c r="R61" s="376" t="str">
        <f>IF(Start!$C$16="x",IF(O61 = "NA","NA", IF(OR($I61 = "NA",I61=""), "NA",(IF(OR(ChemData!U61="NA",ChemData!U61=""),O61/((Data!$D$35+((1-Data!$D$35)*Data!$D$14*$I61))/((1-Data!$D$35)*Data!$D$14*1000)),(IF(O61/((Data!$D$35+((1-Data!$D$35)*Data!$D$14*$I61))/((1-Data!$D$35)*Data!$D$14*1000))&gt;ChemData!U61, ChemData!U61, O61/((Data!$D$35+((1-Data!$D$35)*Data!$D$14*$I61))/((1-Data!$D$35)*Data!$D$14*1000)))))))),"---")</f>
        <v>---</v>
      </c>
      <c r="S61" s="377" t="str">
        <f>IF(Start!$C$16="x",IF(OR($F61 = "NA",F61=""), "NA", IF(R61= "NA", "NA",(R61+(Data!$D$30*$F61))/(Data!$D$30+1))),"---")</f>
        <v>---</v>
      </c>
      <c r="T61" s="343" t="str">
        <f>IF(Start!$C$16="x",IF(AND(D61= "",E61=""),"",IF(Q61="NA","NA",IF(G61="NA","NA",IF(G61=0,"NA",(Q61/G61))))),"Not Req.")</f>
        <v>Not Req.</v>
      </c>
      <c r="U61" s="343" t="str">
        <f>IF(Start!$C$16="x",IF(AND(D61= "",E61=""),"",IF(S61="NA","NA",IF(G61="NA","NA",IF(G61=0,"NA",(S61/G61))))),"Not Req.")</f>
        <v>Not Req.</v>
      </c>
      <c r="V61" s="11"/>
    </row>
    <row r="62" spans="1:22" s="10" customFormat="1" x14ac:dyDescent="0.25">
      <c r="A62" s="307" t="s">
        <v>380</v>
      </c>
      <c r="B62" s="348" t="str">
        <f>IF(Start!$C$16="x",IF(OR(D62 ="NA",E62="NA"),"NA",IF(AND(D62= "",E62=""),"",IF(AND(D62= "",E62&lt;&gt; ""),"Missing Data",                     IF(AND(D62&lt;&gt; "",E62= ""),"Missing Data",(IF(OR(G62="NA",G62=""),"No Criteria",(IF(AND(Q62="NA",D62&lt;&gt;"NA",G62&lt;&gt;"NA"),                                               "Missing Data",(IF(Q62&lt;G62,"No","Needed")))))))))),"---")</f>
        <v>---</v>
      </c>
      <c r="C62" s="350" t="str">
        <f>IF(Start!$C$16="x",IF(OR(D62 ="NA",E62="NA"),"NA",IF(AND(D62= "",E62=""),"",IF(AND(D62= "",E62&lt;&gt; ""),"Missing Data",                     IF(AND(D62&lt;&gt; "",E62= ""),"Missing Data",(IF(OR(G62="NA",G62=""),"No Criteria",(IF(AND(S62="NA",D62&lt;&gt;"NA",G62&lt;&gt;"NA"),                                               "Missing Data",(IF(S62&lt;G62,"No","Needed")))))))))),"---")</f>
        <v>---</v>
      </c>
      <c r="D62" s="372" t="str">
        <f>IF(TRUE=ISBLANK(ChemData!B62),"",(ChemData!B62))</f>
        <v/>
      </c>
      <c r="E62" s="373" t="str">
        <f>IF(TRUE=ISBLANK(ChemData!C62),"",(ChemData!C62))</f>
        <v/>
      </c>
      <c r="F62" s="374" t="str">
        <f>IF(TRUE=ISBLANK(ChemData!D62),"",(ChemData!D62))</f>
        <v/>
      </c>
      <c r="G62" s="289" t="str">
        <f>IF(TRUE=ISBLANK(ChemData!I62),"",(ChemData!I62))</f>
        <v>NA</v>
      </c>
      <c r="H62" s="290">
        <f>IF(TRUE=ISBLANK(ChemData!Q62),"",(ChemData!Q62))</f>
        <v>92769.756944408247</v>
      </c>
      <c r="I62" s="290">
        <f>IF(TRUE=ISBLANK(ChemData!R62),"",(ChemData!R62))</f>
        <v>92769.756944408247</v>
      </c>
      <c r="J62" s="290">
        <f>IF(TRUE=ISBLANK(ChemData!S62),"",(ChemData!S62))</f>
        <v>1</v>
      </c>
      <c r="K62" s="291">
        <f>IF(TRUE=ISBLANK(ChemData!T62),"",(ChemData!T62))</f>
        <v>1</v>
      </c>
      <c r="L62" s="375" t="str">
        <f>IF(Start!$C$16="x",IF(OR(D62="NA",D62=""),"NA", IF(OR($J62 = "NA",J62=""),"NA",(D62*$J62))),"---")</f>
        <v>---</v>
      </c>
      <c r="M62" s="377" t="str">
        <f>IF(Start!$C$16="x",IF(OR(D62="NA",D62=""),"NA", IF(OR($K62 = "NA",K62=""),"NA",(D62*$K62))),"---")</f>
        <v>---</v>
      </c>
      <c r="N62" s="375" t="str">
        <f t="shared" si="4"/>
        <v>---</v>
      </c>
      <c r="O62" s="377" t="str">
        <f t="shared" si="4"/>
        <v>---</v>
      </c>
      <c r="P62" s="461" t="str">
        <f>IF(Start!$C$16="x",(IF(L62 = "NA","NA", (IF(OR($H62 = "NA",H62=""), "NA",(IF(OR(ChemData!U62="NA",ChemData!U62=""),L62/((Data!$D$33+((1-Data!$D$33)*Data!$D$14*$H62))/((1-Data!$D$33)*Data!$D$14*1000)),(IF(L62/((Data!$D$33+((1-Data!$D$33)*Data!$D$14*$H62))/((1-Data!$D$33)*Data!$D$14*1000))&gt;ChemData!U62, ChemData!U62, L62/((Data!$D$33+((1-Data!$D$33)*Data!$D$14*$H62))/((1-Data!$D$33)*Data!$D$14*1000)))))))))),"---")</f>
        <v>---</v>
      </c>
      <c r="Q62" s="376" t="str">
        <f>IF(Start!$C$16="x",IF(OR($F62 = "NA",F62=""), "NA", IF(P62= "NA", "NA",(P62+(Data!$D$30*$F62))/(Data!$D$30+1))),"---")</f>
        <v>---</v>
      </c>
      <c r="R62" s="376" t="str">
        <f>IF(Start!$C$16="x",IF(O62 = "NA","NA", IF(OR($I62 = "NA",I62=""), "NA",(IF(OR(ChemData!U62="NA",ChemData!U62=""),O62/((Data!$D$35+((1-Data!$D$35)*Data!$D$14*$I62))/((1-Data!$D$35)*Data!$D$14*1000)),(IF(O62/((Data!$D$35+((1-Data!$D$35)*Data!$D$14*$I62))/((1-Data!$D$35)*Data!$D$14*1000))&gt;ChemData!U62, ChemData!U62, O62/((Data!$D$35+((1-Data!$D$35)*Data!$D$14*$I62))/((1-Data!$D$35)*Data!$D$14*1000)))))))),"---")</f>
        <v>---</v>
      </c>
      <c r="S62" s="377" t="str">
        <f>IF(Start!$C$16="x",IF(OR($F62 = "NA",F62=""), "NA", IF(R62= "NA", "NA",(R62+(Data!$D$30*$F62))/(Data!$D$30+1))),"---")</f>
        <v>---</v>
      </c>
      <c r="T62" s="343" t="str">
        <f>IF(Start!$C$16="x",IF(AND(D62= "",E62=""),"",IF(Q62="NA","NA",IF(G62="NA","NA",IF(G62=0,"NA",(Q62/G62))))),"Not Req.")</f>
        <v>Not Req.</v>
      </c>
      <c r="U62" s="343" t="str">
        <f>IF(Start!$C$16="x",IF(AND(D62= "",E62=""),"",IF(S62="NA","NA",IF(G62="NA","NA",IF(G62=0,"NA",(S62/G62))))),"Not Req.")</f>
        <v>Not Req.</v>
      </c>
      <c r="V62" s="11"/>
    </row>
    <row r="63" spans="1:22" s="10" customFormat="1" x14ac:dyDescent="0.25">
      <c r="A63" s="307" t="s">
        <v>381</v>
      </c>
      <c r="B63" s="348" t="str">
        <f>IF(Start!$C$16="x",IF(OR(D63 ="NA",E63="NA"),"NA",IF(AND(D63= "",E63=""),"",IF(AND(D63= "",E63&lt;&gt; ""),"Missing Data",                     IF(AND(D63&lt;&gt; "",E63= ""),"Missing Data",(IF(OR(G63="NA",G63=""),"No Criteria",(IF(AND(Q63="NA",D63&lt;&gt;"NA",G63&lt;&gt;"NA"),                                               "Missing Data",(IF(Q63&lt;G63,"No","Needed")))))))))),"---")</f>
        <v>---</v>
      </c>
      <c r="C63" s="350" t="str">
        <f>IF(Start!$C$16="x",IF(OR(D63 ="NA",E63="NA"),"NA",IF(AND(D63= "",E63=""),"",IF(AND(D63= "",E63&lt;&gt; ""),"Missing Data",                     IF(AND(D63&lt;&gt; "",E63= ""),"Missing Data",(IF(OR(G63="NA",G63=""),"No Criteria",(IF(AND(S63="NA",D63&lt;&gt;"NA",G63&lt;&gt;"NA"),                                               "Missing Data",(IF(S63&lt;G63,"No","Needed")))))))))),"---")</f>
        <v>---</v>
      </c>
      <c r="D63" s="372" t="str">
        <f>IF(TRUE=ISBLANK(ChemData!B63),"",(ChemData!B63))</f>
        <v/>
      </c>
      <c r="E63" s="373" t="str">
        <f>IF(TRUE=ISBLANK(ChemData!C63),"",(ChemData!C63))</f>
        <v/>
      </c>
      <c r="F63" s="374" t="str">
        <f>IF(TRUE=ISBLANK(ChemData!D63),"",(ChemData!D63))</f>
        <v/>
      </c>
      <c r="G63" s="289" t="str">
        <f>IF(TRUE=ISBLANK(ChemData!I63),"",(ChemData!I63))</f>
        <v>NA</v>
      </c>
      <c r="H63" s="290" t="str">
        <f>IF(TRUE=ISBLANK(ChemData!Q63),"",(ChemData!Q63))</f>
        <v>NA</v>
      </c>
      <c r="I63" s="290" t="str">
        <f>IF(TRUE=ISBLANK(ChemData!R63),"",(ChemData!R63))</f>
        <v>NA</v>
      </c>
      <c r="J63" s="290">
        <f>IF(TRUE=ISBLANK(ChemData!S63),"",(ChemData!S63))</f>
        <v>1</v>
      </c>
      <c r="K63" s="291">
        <f>IF(TRUE=ISBLANK(ChemData!T63),"",(ChemData!T63))</f>
        <v>1</v>
      </c>
      <c r="L63" s="375" t="str">
        <f>IF(Start!$C$16="x",IF(OR(D63="NA",D63=""),"NA", IF(OR($J63 = "NA",J63=""),"NA",(D63*$J63))),"---")</f>
        <v>---</v>
      </c>
      <c r="M63" s="377" t="str">
        <f>IF(Start!$C$16="x",IF(OR(D63="NA",D63=""),"NA", IF(OR($K63 = "NA",K63=""),"NA",(D63*$K63))),"---")</f>
        <v>---</v>
      </c>
      <c r="N63" s="375" t="str">
        <f t="shared" si="4"/>
        <v>---</v>
      </c>
      <c r="O63" s="377" t="str">
        <f t="shared" si="4"/>
        <v>---</v>
      </c>
      <c r="P63" s="461" t="str">
        <f>IF(Start!$C$16="x",(IF(L63 = "NA","NA", (IF(OR($H63 = "NA",H63=""), "NA",(IF(OR(ChemData!U63="NA",ChemData!U63=""),L63/((Data!$D$33+((1-Data!$D$33)*Data!$D$14*$H63))/((1-Data!$D$33)*Data!$D$14*1000)),(IF(L63/((Data!$D$33+((1-Data!$D$33)*Data!$D$14*$H63))/((1-Data!$D$33)*Data!$D$14*1000))&gt;ChemData!U63, ChemData!U63, L63/((Data!$D$33+((1-Data!$D$33)*Data!$D$14*$H63))/((1-Data!$D$33)*Data!$D$14*1000)))))))))),"---")</f>
        <v>---</v>
      </c>
      <c r="Q63" s="376" t="str">
        <f>IF(Start!$C$16="x",IF(OR($F63 = "NA",F63=""), "NA", IF(P63= "NA", "NA",(P63+(Data!$D$30*$F63))/(Data!$D$30+1))),"---")</f>
        <v>---</v>
      </c>
      <c r="R63" s="376" t="str">
        <f>IF(Start!$C$16="x",IF(O63 = "NA","NA", IF(OR($I63 = "NA",I63=""), "NA",(IF(OR(ChemData!U63="NA",ChemData!U63=""),O63/((Data!$D$35+((1-Data!$D$35)*Data!$D$14*$I63))/((1-Data!$D$35)*Data!$D$14*1000)),(IF(O63/((Data!$D$35+((1-Data!$D$35)*Data!$D$14*$I63))/((1-Data!$D$35)*Data!$D$14*1000))&gt;ChemData!U63, ChemData!U63, O63/((Data!$D$35+((1-Data!$D$35)*Data!$D$14*$I63))/((1-Data!$D$35)*Data!$D$14*1000)))))))),"---")</f>
        <v>---</v>
      </c>
      <c r="S63" s="377" t="str">
        <f>IF(Start!$C$16="x",IF(OR($F63 = "NA",F63=""), "NA", IF(R63= "NA", "NA",(R63+(Data!$D$30*$F63))/(Data!$D$30+1))),"---")</f>
        <v>---</v>
      </c>
      <c r="T63" s="343" t="str">
        <f>IF(Start!$C$16="x",IF(AND(D63= "",E63=""),"",IF(Q63="NA","NA",IF(G63="NA","NA",IF(G63=0,"NA",(Q63/G63))))),"Not Req.")</f>
        <v>Not Req.</v>
      </c>
      <c r="U63" s="343" t="str">
        <f>IF(Start!$C$16="x",IF(AND(D63= "",E63=""),"",IF(S63="NA","NA",IF(G63="NA","NA",IF(G63=0,"NA",(S63/G63))))),"Not Req.")</f>
        <v>Not Req.</v>
      </c>
      <c r="V63" s="11"/>
    </row>
    <row r="64" spans="1:22" s="10" customFormat="1" x14ac:dyDescent="0.25">
      <c r="A64" s="307" t="s">
        <v>382</v>
      </c>
      <c r="B64" s="348" t="str">
        <f>IF(Start!$C$16="x",IF(OR(D64 ="NA",E64="NA"),"NA",IF(AND(D64= "",E64=""),"",IF(AND(D64= "",E64&lt;&gt; ""),"Missing Data",                     IF(AND(D64&lt;&gt; "",E64= ""),"Missing Data",(IF(OR(G64="NA",G64=""),"No Criteria",(IF(AND(Q64="NA",D64&lt;&gt;"NA",G64&lt;&gt;"NA"),                                               "Missing Data",(IF(Q64&lt;G64,"No","Needed")))))))))),"---")</f>
        <v>---</v>
      </c>
      <c r="C64" s="350" t="str">
        <f>IF(Start!$C$16="x",IF(OR(D64 ="NA",E64="NA"),"NA",IF(AND(D64= "",E64=""),"",IF(AND(D64= "",E64&lt;&gt; ""),"Missing Data",                     IF(AND(D64&lt;&gt; "",E64= ""),"Missing Data",(IF(OR(G64="NA",G64=""),"No Criteria",(IF(AND(S64="NA",D64&lt;&gt;"NA",G64&lt;&gt;"NA"),                                               "Missing Data",(IF(S64&lt;G64,"No","Needed")))))))))),"---")</f>
        <v>---</v>
      </c>
      <c r="D64" s="372" t="str">
        <f>IF(TRUE=ISBLANK(ChemData!B64),"",(ChemData!B64))</f>
        <v/>
      </c>
      <c r="E64" s="373" t="str">
        <f>IF(TRUE=ISBLANK(ChemData!C64),"",(ChemData!C64))</f>
        <v/>
      </c>
      <c r="F64" s="374" t="str">
        <f>IF(TRUE=ISBLANK(ChemData!D64),"",(ChemData!D64))</f>
        <v/>
      </c>
      <c r="G64" s="289">
        <f>IF(TRUE=ISBLANK(ChemData!I64),"",(ChemData!I64))</f>
        <v>3.7</v>
      </c>
      <c r="H64" s="290">
        <f>IF(TRUE=ISBLANK(ChemData!Q64),"",(ChemData!Q64))</f>
        <v>244.00932230679132</v>
      </c>
      <c r="I64" s="290">
        <f>IF(TRUE=ISBLANK(ChemData!R64),"",(ChemData!R64))</f>
        <v>244.00932230679132</v>
      </c>
      <c r="J64" s="290">
        <f>IF(TRUE=ISBLANK(ChemData!S64),"",(ChemData!S64))</f>
        <v>1</v>
      </c>
      <c r="K64" s="291">
        <f>IF(TRUE=ISBLANK(ChemData!T64),"",(ChemData!T64))</f>
        <v>1</v>
      </c>
      <c r="L64" s="375" t="str">
        <f>IF(Start!$C$16="x",IF(OR(D64="NA",D64=""),"NA", IF(OR($J64 = "NA",J64=""),"NA",(D64*$J64))),"---")</f>
        <v>---</v>
      </c>
      <c r="M64" s="377" t="str">
        <f>IF(Start!$C$16="x",IF(OR(D64="NA",D64=""),"NA", IF(OR($K64 = "NA",K64=""),"NA",(D64*$K64))),"---")</f>
        <v>---</v>
      </c>
      <c r="N64" s="375" t="str">
        <f t="shared" si="4"/>
        <v>---</v>
      </c>
      <c r="O64" s="377" t="str">
        <f t="shared" si="4"/>
        <v>---</v>
      </c>
      <c r="P64" s="461" t="str">
        <f>IF(Start!$C$16="x",(IF(L64 = "NA","NA", (IF(OR($H64 = "NA",H64=""), "NA",(IF(OR(ChemData!U64="NA",ChemData!U64=""),L64/((Data!$D$33+((1-Data!$D$33)*Data!$D$14*$H64))/((1-Data!$D$33)*Data!$D$14*1000)),(IF(L64/((Data!$D$33+((1-Data!$D$33)*Data!$D$14*$H64))/((1-Data!$D$33)*Data!$D$14*1000))&gt;ChemData!U64, ChemData!U64, L64/((Data!$D$33+((1-Data!$D$33)*Data!$D$14*$H64))/((1-Data!$D$33)*Data!$D$14*1000)))))))))),"---")</f>
        <v>---</v>
      </c>
      <c r="Q64" s="376" t="str">
        <f>IF(Start!$C$16="x",IF(OR($F64 = "NA",F64=""), "NA", IF(P64= "NA", "NA",(P64+(Data!$D$30*$F64))/(Data!$D$30+1))),"---")</f>
        <v>---</v>
      </c>
      <c r="R64" s="376" t="str">
        <f>IF(Start!$C$16="x",IF(O64 = "NA","NA", IF(OR($I64 = "NA",I64=""), "NA",(IF(OR(ChemData!U64="NA",ChemData!U64=""),O64/((Data!$D$35+((1-Data!$D$35)*Data!$D$14*$I64))/((1-Data!$D$35)*Data!$D$14*1000)),(IF(O64/((Data!$D$35+((1-Data!$D$35)*Data!$D$14*$I64))/((1-Data!$D$35)*Data!$D$14*1000))&gt;ChemData!U64, ChemData!U64, O64/((Data!$D$35+((1-Data!$D$35)*Data!$D$14*$I64))/((1-Data!$D$35)*Data!$D$14*1000)))))))),"---")</f>
        <v>---</v>
      </c>
      <c r="S64" s="377" t="str">
        <f>IF(Start!$C$16="x",IF(OR($F64 = "NA",F64=""), "NA", IF(R64= "NA", "NA",(R64+(Data!$D$30*$F64))/(Data!$D$30+1))),"---")</f>
        <v>---</v>
      </c>
      <c r="T64" s="343" t="str">
        <f>IF(Start!$C$16="x",IF(AND(D64= "",E64=""),"",IF(Q64="NA","NA",IF(G64="NA","NA",IF(G64=0,"NA",(Q64/G64))))),"Not Req.")</f>
        <v>Not Req.</v>
      </c>
      <c r="U64" s="343" t="str">
        <f>IF(Start!$C$16="x",IF(AND(D64= "",E64=""),"",IF(S64="NA","NA",IF(G64="NA","NA",IF(G64=0,"NA",(S64/G64))))),"Not Req.")</f>
        <v>Not Req.</v>
      </c>
      <c r="V64" s="11"/>
    </row>
    <row r="65" spans="1:22" s="10" customFormat="1" x14ac:dyDescent="0.25">
      <c r="A65" s="307" t="s">
        <v>383</v>
      </c>
      <c r="B65" s="348" t="str">
        <f>IF(Start!$C$16="x",IF(OR(D65 ="NA",E65="NA"),"NA",IF(AND(D65= "",E65=""),"",IF(AND(D65= "",E65&lt;&gt; ""),"Missing Data",                     IF(AND(D65&lt;&gt; "",E65= ""),"Missing Data",(IF(OR(G65="NA",G65=""),"No Criteria",(IF(AND(Q65="NA",D65&lt;&gt;"NA",G65&lt;&gt;"NA"),                                               "Missing Data",(IF(Q65&lt;G65,"No","Needed")))))))))),"---")</f>
        <v>---</v>
      </c>
      <c r="C65" s="350" t="str">
        <f>IF(Start!$C$16="x",IF(OR(D65 ="NA",E65="NA"),"NA",IF(AND(D65= "",E65=""),"",IF(AND(D65= "",E65&lt;&gt; ""),"Missing Data",                     IF(AND(D65&lt;&gt; "",E65= ""),"Missing Data",(IF(OR(G65="NA",G65=""),"No Criteria",(IF(AND(S65="NA",D65&lt;&gt;"NA",G65&lt;&gt;"NA"),                                               "Missing Data",(IF(S65&lt;G65,"No","Needed")))))))))),"---")</f>
        <v>---</v>
      </c>
      <c r="D65" s="372" t="str">
        <f>IF(TRUE=ISBLANK(ChemData!B65),"",(ChemData!B65))</f>
        <v/>
      </c>
      <c r="E65" s="373" t="str">
        <f>IF(TRUE=ISBLANK(ChemData!C65),"",(ChemData!C65))</f>
        <v/>
      </c>
      <c r="F65" s="374" t="str">
        <f>IF(TRUE=ISBLANK(ChemData!D65),"",(ChemData!D65))</f>
        <v/>
      </c>
      <c r="G65" s="289" t="str">
        <f>IF(TRUE=ISBLANK(ChemData!I65),"",(ChemData!I65))</f>
        <v>NA</v>
      </c>
      <c r="H65" s="290">
        <f>IF(TRUE=ISBLANK(ChemData!Q65),"",(ChemData!Q65))</f>
        <v>352700.77889499755</v>
      </c>
      <c r="I65" s="290">
        <f>IF(TRUE=ISBLANK(ChemData!R65),"",(ChemData!R65))</f>
        <v>352700.77889499755</v>
      </c>
      <c r="J65" s="290">
        <f>IF(TRUE=ISBLANK(ChemData!S65),"",(ChemData!S65))</f>
        <v>1</v>
      </c>
      <c r="K65" s="291">
        <f>IF(TRUE=ISBLANK(ChemData!T65),"",(ChemData!T65))</f>
        <v>1</v>
      </c>
      <c r="L65" s="375" t="str">
        <f>IF(Start!$C$16="x",IF(OR(D65="NA",D65=""),"NA", IF(OR($J65 = "NA",J65=""),"NA",(D65*$J65))),"---")</f>
        <v>---</v>
      </c>
      <c r="M65" s="377" t="str">
        <f>IF(Start!$C$16="x",IF(OR(D65="NA",D65=""),"NA", IF(OR($K65 = "NA",K65=""),"NA",(D65*$K65))),"---")</f>
        <v>---</v>
      </c>
      <c r="N65" s="375" t="str">
        <f t="shared" si="4"/>
        <v>---</v>
      </c>
      <c r="O65" s="377" t="str">
        <f t="shared" si="4"/>
        <v>---</v>
      </c>
      <c r="P65" s="461" t="str">
        <f>IF(Start!$C$16="x",(IF(L65 = "NA","NA", (IF(OR($H65 = "NA",H65=""), "NA",(IF(OR(ChemData!U65="NA",ChemData!U65=""),L65/((Data!$D$33+((1-Data!$D$33)*Data!$D$14*$H65))/((1-Data!$D$33)*Data!$D$14*1000)),(IF(L65/((Data!$D$33+((1-Data!$D$33)*Data!$D$14*$H65))/((1-Data!$D$33)*Data!$D$14*1000))&gt;ChemData!U65, ChemData!U65, L65/((Data!$D$33+((1-Data!$D$33)*Data!$D$14*$H65))/((1-Data!$D$33)*Data!$D$14*1000)))))))))),"---")</f>
        <v>---</v>
      </c>
      <c r="Q65" s="376" t="str">
        <f>IF(Start!$C$16="x",IF(OR($F65 = "NA",F65=""), "NA", IF(P65= "NA", "NA",(P65+(Data!$D$30*$F65))/(Data!$D$30+1))),"---")</f>
        <v>---</v>
      </c>
      <c r="R65" s="376" t="str">
        <f>IF(Start!$C$16="x",IF(O65 = "NA","NA", IF(OR($I65 = "NA",I65=""), "NA",(IF(OR(ChemData!U65="NA",ChemData!U65=""),O65/((Data!$D$35+((1-Data!$D$35)*Data!$D$14*$I65))/((1-Data!$D$35)*Data!$D$14*1000)),(IF(O65/((Data!$D$35+((1-Data!$D$35)*Data!$D$14*$I65))/((1-Data!$D$35)*Data!$D$14*1000))&gt;ChemData!U65, ChemData!U65, O65/((Data!$D$35+((1-Data!$D$35)*Data!$D$14*$I65))/((1-Data!$D$35)*Data!$D$14*1000)))))))),"---")</f>
        <v>---</v>
      </c>
      <c r="S65" s="377" t="str">
        <f>IF(Start!$C$16="x",IF(OR($F65 = "NA",F65=""), "NA", IF(R65= "NA", "NA",(R65+(Data!$D$30*$F65))/(Data!$D$30+1))),"---")</f>
        <v>---</v>
      </c>
      <c r="T65" s="343" t="str">
        <f>IF(Start!$C$16="x",IF(AND(D65= "",E65=""),"",IF(Q65="NA","NA",IF(G65="NA","NA",IF(G65=0,"NA",(Q65/G65))))),"Not Req.")</f>
        <v>Not Req.</v>
      </c>
      <c r="U65" s="343" t="str">
        <f>IF(Start!$C$16="x",IF(AND(D65= "",E65=""),"",IF(S65="NA","NA",IF(G65="NA","NA",IF(G65=0,"NA",(S65/G65))))),"Not Req.")</f>
        <v>Not Req.</v>
      </c>
      <c r="V65" s="11"/>
    </row>
    <row r="66" spans="1:22" s="10" customFormat="1" x14ac:dyDescent="0.25">
      <c r="A66" s="307" t="s">
        <v>384</v>
      </c>
      <c r="B66" s="348" t="str">
        <f>IF(Start!$C$16="x",IF(OR(D66 ="NA",E66="NA"),"NA",IF(AND(D66= "",E66=""),"",IF(AND(D66= "",E66&lt;&gt; ""),"Missing Data",                     IF(AND(D66&lt;&gt; "",E66= ""),"Missing Data",(IF(OR(G66="NA",G66=""),"No Criteria",(IF(AND(Q66="NA",D66&lt;&gt;"NA",G66&lt;&gt;"NA"),                                               "Missing Data",(IF(Q66&lt;G66,"No","Needed")))))))))),"---")</f>
        <v>---</v>
      </c>
      <c r="C66" s="350" t="str">
        <f>IF(Start!$C$16="x",IF(OR(D66 ="NA",E66="NA"),"NA",IF(AND(D66= "",E66=""),"",IF(AND(D66= "",E66&lt;&gt; ""),"Missing Data",                     IF(AND(D66&lt;&gt; "",E66= ""),"Missing Data",(IF(OR(G66="NA",G66=""),"No Criteria",(IF(AND(S66="NA",D66&lt;&gt;"NA",G66&lt;&gt;"NA"),                                               "Missing Data",(IF(S66&lt;G66,"No","Needed")))))))))),"---")</f>
        <v>---</v>
      </c>
      <c r="D66" s="372" t="str">
        <f>IF(TRUE=ISBLANK(ChemData!B66),"",(ChemData!B66))</f>
        <v/>
      </c>
      <c r="E66" s="373" t="str">
        <f>IF(TRUE=ISBLANK(ChemData!C66),"",(ChemData!C66))</f>
        <v/>
      </c>
      <c r="F66" s="374" t="str">
        <f>IF(TRUE=ISBLANK(ChemData!D66),"",(ChemData!D66))</f>
        <v/>
      </c>
      <c r="G66" s="289" t="str">
        <f>IF(TRUE=ISBLANK(ChemData!I66),"",(ChemData!I66))</f>
        <v>NA</v>
      </c>
      <c r="H66" s="290">
        <f>IF(TRUE=ISBLANK(ChemData!Q66),"",(ChemData!Q66))</f>
        <v>444.02397331050798</v>
      </c>
      <c r="I66" s="290">
        <f>IF(TRUE=ISBLANK(ChemData!R66),"",(ChemData!R66))</f>
        <v>444.02397331050798</v>
      </c>
      <c r="J66" s="290">
        <f>IF(TRUE=ISBLANK(ChemData!S66),"",(ChemData!S66))</f>
        <v>1</v>
      </c>
      <c r="K66" s="291">
        <f>IF(TRUE=ISBLANK(ChemData!T66),"",(ChemData!T66))</f>
        <v>1</v>
      </c>
      <c r="L66" s="375" t="str">
        <f>IF(Start!$C$16="x",IF(OR(D66="NA",D66=""),"NA", IF(OR($J66 = "NA",J66=""),"NA",(D66*$J66))),"---")</f>
        <v>---</v>
      </c>
      <c r="M66" s="377" t="str">
        <f>IF(Start!$C$16="x",IF(OR(D66="NA",D66=""),"NA", IF(OR($K66 = "NA",K66=""),"NA",(D66*$K66))),"---")</f>
        <v>---</v>
      </c>
      <c r="N66" s="375" t="str">
        <f t="shared" si="4"/>
        <v>---</v>
      </c>
      <c r="O66" s="377" t="str">
        <f t="shared" si="4"/>
        <v>---</v>
      </c>
      <c r="P66" s="461" t="str">
        <f>IF(Start!$C$16="x",(IF(L66 = "NA","NA", (IF(OR($H66 = "NA",H66=""), "NA",(IF(OR(ChemData!U66="NA",ChemData!U66=""),L66/((Data!$D$33+((1-Data!$D$33)*Data!$D$14*$H66))/((1-Data!$D$33)*Data!$D$14*1000)),(IF(L66/((Data!$D$33+((1-Data!$D$33)*Data!$D$14*$H66))/((1-Data!$D$33)*Data!$D$14*1000))&gt;ChemData!U66, ChemData!U66, L66/((Data!$D$33+((1-Data!$D$33)*Data!$D$14*$H66))/((1-Data!$D$33)*Data!$D$14*1000)))))))))),"---")</f>
        <v>---</v>
      </c>
      <c r="Q66" s="376" t="str">
        <f>IF(Start!$C$16="x",IF(OR($F66 = "NA",F66=""), "NA", IF(P66= "NA", "NA",(P66+(Data!$D$30*$F66))/(Data!$D$30+1))),"---")</f>
        <v>---</v>
      </c>
      <c r="R66" s="376" t="str">
        <f>IF(Start!$C$16="x",IF(O66 = "NA","NA", IF(OR($I66 = "NA",I66=""), "NA",(IF(OR(ChemData!U66="NA",ChemData!U66=""),O66/((Data!$D$35+((1-Data!$D$35)*Data!$D$14*$I66))/((1-Data!$D$35)*Data!$D$14*1000)),(IF(O66/((Data!$D$35+((1-Data!$D$35)*Data!$D$14*$I66))/((1-Data!$D$35)*Data!$D$14*1000))&gt;ChemData!U66, ChemData!U66, O66/((Data!$D$35+((1-Data!$D$35)*Data!$D$14*$I66))/((1-Data!$D$35)*Data!$D$14*1000)))))))),"---")</f>
        <v>---</v>
      </c>
      <c r="S66" s="377" t="str">
        <f>IF(Start!$C$16="x",IF(OR($F66 = "NA",F66=""), "NA", IF(R66= "NA", "NA",(R66+(Data!$D$30*$F66))/(Data!$D$30+1))),"---")</f>
        <v>---</v>
      </c>
      <c r="T66" s="343" t="str">
        <f>IF(Start!$C$16="x",IF(AND(D66= "",E66=""),"",IF(Q66="NA","NA",IF(G66="NA","NA",IF(G66=0,"NA",(Q66/G66))))),"Not Req.")</f>
        <v>Not Req.</v>
      </c>
      <c r="U66" s="343" t="str">
        <f>IF(Start!$C$16="x",IF(AND(D66= "",E66=""),"",IF(S66="NA","NA",IF(G66="NA","NA",IF(G66=0,"NA",(S66/G66))))),"Not Req.")</f>
        <v>Not Req.</v>
      </c>
      <c r="V66" s="11"/>
    </row>
    <row r="67" spans="1:22" s="10" customFormat="1" x14ac:dyDescent="0.25">
      <c r="A67" s="307" t="s">
        <v>385</v>
      </c>
      <c r="B67" s="348" t="str">
        <f>IF(Start!$C$16="x",IF(OR(D67 ="NA",E67="NA"),"NA",IF(AND(D67= "",E67=""),"",IF(AND(D67= "",E67&lt;&gt; ""),"Missing Data",                     IF(AND(D67&lt;&gt; "",E67= ""),"Missing Data",(IF(OR(G67="NA",G67=""),"No Criteria",(IF(AND(Q67="NA",D67&lt;&gt;"NA",G67&lt;&gt;"NA"),                                               "Missing Data",(IF(Q67&lt;G67,"No","Needed")))))))))),"---")</f>
        <v>---</v>
      </c>
      <c r="C67" s="350" t="str">
        <f>IF(Start!$C$16="x",IF(OR(D67 ="NA",E67="NA"),"NA",IF(AND(D67= "",E67=""),"",IF(AND(D67= "",E67&lt;&gt; ""),"Missing Data",                     IF(AND(D67&lt;&gt; "",E67= ""),"Missing Data",(IF(OR(G67="NA",G67=""),"No Criteria",(IF(AND(S67="NA",D67&lt;&gt;"NA",G67&lt;&gt;"NA"),                                               "Missing Data",(IF(S67&lt;G67,"No","Needed")))))))))),"---")</f>
        <v>---</v>
      </c>
      <c r="D67" s="372" t="str">
        <f>IF(TRUE=ISBLANK(ChemData!B67),"",(ChemData!B67))</f>
        <v/>
      </c>
      <c r="E67" s="373" t="str">
        <f>IF(TRUE=ISBLANK(ChemData!C67),"",(ChemData!C67))</f>
        <v/>
      </c>
      <c r="F67" s="374" t="str">
        <f>IF(TRUE=ISBLANK(ChemData!D67),"",(ChemData!D67))</f>
        <v/>
      </c>
      <c r="G67" s="289" t="str">
        <f>IF(TRUE=ISBLANK(ChemData!I67),"",(ChemData!I67))</f>
        <v>NA</v>
      </c>
      <c r="H67" s="290">
        <f>IF(TRUE=ISBLANK(ChemData!Q67),"",(ChemData!Q67))</f>
        <v>18510</v>
      </c>
      <c r="I67" s="290">
        <f>IF(TRUE=ISBLANK(ChemData!R67),"",(ChemData!R67))</f>
        <v>18510</v>
      </c>
      <c r="J67" s="290">
        <f>IF(TRUE=ISBLANK(ChemData!S67),"",(ChemData!S67))</f>
        <v>1</v>
      </c>
      <c r="K67" s="291">
        <f>IF(TRUE=ISBLANK(ChemData!T67),"",(ChemData!T67))</f>
        <v>1</v>
      </c>
      <c r="L67" s="375" t="str">
        <f>IF(Start!$C$16="x",IF(OR(D67="NA",D67=""),"NA", IF(OR($J67 = "NA",J67=""),"NA",(D67*$J67))),"---")</f>
        <v>---</v>
      </c>
      <c r="M67" s="377" t="str">
        <f>IF(Start!$C$16="x",IF(OR(D67="NA",D67=""),"NA", IF(OR($K67 = "NA",K67=""),"NA",(D67*$K67))),"---")</f>
        <v>---</v>
      </c>
      <c r="N67" s="375" t="str">
        <f t="shared" si="4"/>
        <v>---</v>
      </c>
      <c r="O67" s="377" t="str">
        <f t="shared" si="4"/>
        <v>---</v>
      </c>
      <c r="P67" s="461" t="str">
        <f>IF(Start!$C$16="x",(IF(L67 = "NA","NA", (IF(OR($H67 = "NA",H67=""), "NA",(IF(OR(ChemData!U67="NA",ChemData!U67=""),L67/((Data!$D$33+((1-Data!$D$33)*Data!$D$14*$H67))/((1-Data!$D$33)*Data!$D$14*1000)),(IF(L67/((Data!$D$33+((1-Data!$D$33)*Data!$D$14*$H67))/((1-Data!$D$33)*Data!$D$14*1000))&gt;ChemData!U67, ChemData!U67, L67/((Data!$D$33+((1-Data!$D$33)*Data!$D$14*$H67))/((1-Data!$D$33)*Data!$D$14*1000)))))))))),"---")</f>
        <v>---</v>
      </c>
      <c r="Q67" s="376" t="str">
        <f>IF(Start!$C$16="x",IF(OR($F67 = "NA",F67=""), "NA", IF(P67= "NA", "NA",(P67+(Data!$D$30*$F67))/(Data!$D$30+1))),"---")</f>
        <v>---</v>
      </c>
      <c r="R67" s="376" t="str">
        <f>IF(Start!$C$16="x",IF(O67 = "NA","NA", IF(OR($I67 = "NA",I67=""), "NA",(IF(OR(ChemData!U67="NA",ChemData!U67=""),O67/((Data!$D$35+((1-Data!$D$35)*Data!$D$14*$I67))/((1-Data!$D$35)*Data!$D$14*1000)),(IF(O67/((Data!$D$35+((1-Data!$D$35)*Data!$D$14*$I67))/((1-Data!$D$35)*Data!$D$14*1000))&gt;ChemData!U67, ChemData!U67, O67/((Data!$D$35+((1-Data!$D$35)*Data!$D$14*$I67))/((1-Data!$D$35)*Data!$D$14*1000)))))))),"---")</f>
        <v>---</v>
      </c>
      <c r="S67" s="377" t="str">
        <f>IF(Start!$C$16="x",IF(OR($F67 = "NA",F67=""), "NA", IF(R67= "NA", "NA",(R67+(Data!$D$30*$F67))/(Data!$D$30+1))),"---")</f>
        <v>---</v>
      </c>
      <c r="T67" s="343" t="str">
        <f>IF(Start!$C$16="x",IF(AND(D67= "",E67=""),"",IF(Q67="NA","NA",IF(G67="NA","NA",IF(G67=0,"NA",(Q67/G67))))),"Not Req.")</f>
        <v>Not Req.</v>
      </c>
      <c r="U67" s="343" t="str">
        <f>IF(Start!$C$16="x",IF(AND(D67= "",E67=""),"",IF(S67="NA","NA",IF(G67="NA","NA",IF(G67=0,"NA",(S67/G67))))),"Not Req.")</f>
        <v>Not Req.</v>
      </c>
      <c r="V67" s="11"/>
    </row>
    <row r="68" spans="1:22" s="10" customFormat="1" x14ac:dyDescent="0.25">
      <c r="A68" s="306" t="s">
        <v>386</v>
      </c>
      <c r="B68" s="348" t="str">
        <f>IF(Start!$C$16="x",IF(OR(D68 ="NA",E68="NA"),"NA",IF(AND(D68= "",E68=""),"",IF(AND(D68= "",E68&lt;&gt; ""),"Missing Data",                     IF(AND(D68&lt;&gt; "",E68= ""),"Missing Data",(IF(OR(G68="NA",G68=""),"No Criteria",(IF(AND(Q68="NA",D68&lt;&gt;"NA",G68&lt;&gt;"NA"),                                               "Missing Data",(IF(Q68&lt;G68,"No","Needed")))))))))),"---")</f>
        <v>---</v>
      </c>
      <c r="C68" s="350" t="str">
        <f>IF(Start!$C$16="x",IF(OR(D68 ="NA",E68="NA"),"NA",IF(AND(D68= "",E68=""),"",IF(AND(D68= "",E68&lt;&gt; ""),"Missing Data",                     IF(AND(D68&lt;&gt; "",E68= ""),"Missing Data",(IF(OR(G68="NA",G68=""),"No Criteria",(IF(AND(S68="NA",D68&lt;&gt;"NA",G68&lt;&gt;"NA"),                                               "Missing Data",(IF(S68&lt;G68,"No","Needed")))))))))),"---")</f>
        <v>---</v>
      </c>
      <c r="D68" s="372" t="str">
        <f>IF(TRUE=ISBLANK(ChemData!B68),"",(ChemData!B68))</f>
        <v/>
      </c>
      <c r="E68" s="373" t="str">
        <f>IF(TRUE=ISBLANK(ChemData!C68),"",(ChemData!C68))</f>
        <v/>
      </c>
      <c r="F68" s="374" t="str">
        <f>IF(TRUE=ISBLANK(ChemData!D68),"",(ChemData!D68))</f>
        <v/>
      </c>
      <c r="G68" s="289" t="str">
        <f>IF(TRUE=ISBLANK(ChemData!I68),"",(ChemData!I68))</f>
        <v>NA</v>
      </c>
      <c r="H68" s="290" t="str">
        <f>IF(TRUE=ISBLANK(ChemData!Q68),"",(ChemData!Q68))</f>
        <v>NA</v>
      </c>
      <c r="I68" s="290" t="str">
        <f>IF(TRUE=ISBLANK(ChemData!R68),"",(ChemData!R68))</f>
        <v>NA</v>
      </c>
      <c r="J68" s="290">
        <f>IF(TRUE=ISBLANK(ChemData!S68),"",(ChemData!S68))</f>
        <v>1</v>
      </c>
      <c r="K68" s="291">
        <f>IF(TRUE=ISBLANK(ChemData!T68),"",(ChemData!T68))</f>
        <v>1</v>
      </c>
      <c r="L68" s="375" t="str">
        <f>IF(Start!$C$16="x",IF(OR(D68="NA",D68=""),"NA", IF(OR($J68 = "NA",J68=""),"NA",(D68*$J68))),"---")</f>
        <v>---</v>
      </c>
      <c r="M68" s="377" t="str">
        <f>IF(Start!$C$16="x",IF(OR(D68="NA",D68=""),"NA", IF(OR($K68 = "NA",K68=""),"NA",(D68*$K68))),"---")</f>
        <v>---</v>
      </c>
      <c r="N68" s="375" t="str">
        <f t="shared" si="4"/>
        <v>---</v>
      </c>
      <c r="O68" s="377" t="str">
        <f t="shared" si="4"/>
        <v>---</v>
      </c>
      <c r="P68" s="461" t="str">
        <f>IF(Start!$C$16="x",(IF(L68 = "NA","NA", (IF(OR($H68 = "NA",H68=""), "NA",(IF(OR(ChemData!U68="NA",ChemData!U68=""),L68/((Data!$D$33+((1-Data!$D$33)*Data!$D$14*$H68))/((1-Data!$D$33)*Data!$D$14*1000)),(IF(L68/((Data!$D$33+((1-Data!$D$33)*Data!$D$14*$H68))/((1-Data!$D$33)*Data!$D$14*1000))&gt;ChemData!U68, ChemData!U68, L68/((Data!$D$33+((1-Data!$D$33)*Data!$D$14*$H68))/((1-Data!$D$33)*Data!$D$14*1000)))))))))),"---")</f>
        <v>---</v>
      </c>
      <c r="Q68" s="376" t="str">
        <f>IF(Start!$C$16="x",IF(OR($F68 = "NA",F68=""), "NA", IF(P68= "NA", "NA",(P68+(Data!$D$30*$F68))/(Data!$D$30+1))),"---")</f>
        <v>---</v>
      </c>
      <c r="R68" s="376" t="str">
        <f>IF(Start!$C$16="x",IF(O68 = "NA","NA", IF(OR($I68 = "NA",I68=""), "NA",(IF(OR(ChemData!U68="NA",ChemData!U68=""),O68/((Data!$D$35+((1-Data!$D$35)*Data!$D$14*$I68))/((1-Data!$D$35)*Data!$D$14*1000)),(IF(O68/((Data!$D$35+((1-Data!$D$35)*Data!$D$14*$I68))/((1-Data!$D$35)*Data!$D$14*1000))&gt;ChemData!U68, ChemData!U68, O68/((Data!$D$35+((1-Data!$D$35)*Data!$D$14*$I68))/((1-Data!$D$35)*Data!$D$14*1000)))))))),"---")</f>
        <v>---</v>
      </c>
      <c r="S68" s="377" t="str">
        <f>IF(Start!$C$16="x",IF(OR($F68 = "NA",F68=""), "NA", IF(R68= "NA", "NA",(R68+(Data!$D$30*$F68))/(Data!$D$30+1))),"---")</f>
        <v>---</v>
      </c>
      <c r="T68" s="343" t="str">
        <f>IF(Start!$C$16="x",IF(AND(D68= "",E68=""),"",IF(Q68="NA","NA",IF(G68="NA","NA",IF(G68=0,"NA",(Q68/G68))))),"Not Req.")</f>
        <v>Not Req.</v>
      </c>
      <c r="U68" s="343" t="str">
        <f>IF(Start!$C$16="x",IF(AND(D68= "",E68=""),"",IF(S68="NA","NA",IF(G68="NA","NA",IF(G68=0,"NA",(S68/G68))))),"Not Req.")</f>
        <v>Not Req.</v>
      </c>
      <c r="V68" s="11"/>
    </row>
    <row r="69" spans="1:22" s="10" customFormat="1" x14ac:dyDescent="0.25">
      <c r="A69" s="307" t="s">
        <v>387</v>
      </c>
      <c r="B69" s="348" t="str">
        <f>IF(Start!$C$16="x",IF(OR(D69 ="NA",E69="NA"),"NA",IF(AND(D69= "",E69=""),"",IF(AND(D69= "",E69&lt;&gt; ""),"Missing Data",                     IF(AND(D69&lt;&gt; "",E69= ""),"Missing Data",(IF(OR(G69="NA",G69=""),"No Criteria",(IF(AND(Q69="NA",D69&lt;&gt;"NA",G69&lt;&gt;"NA"),                                               "Missing Data",(IF(Q69&lt;G69,"No","Needed")))))))))),"---")</f>
        <v>---</v>
      </c>
      <c r="C69" s="350" t="str">
        <f>IF(Start!$C$16="x",IF(OR(D69 ="NA",E69="NA"),"NA",IF(AND(D69= "",E69=""),"",IF(AND(D69= "",E69&lt;&gt; ""),"Missing Data",                     IF(AND(D69&lt;&gt; "",E69= ""),"Missing Data",(IF(OR(G69="NA",G69=""),"No Criteria",(IF(AND(S69="NA",D69&lt;&gt;"NA",G69&lt;&gt;"NA"),                                               "Missing Data",(IF(S69&lt;G69,"No","Needed")))))))))),"---")</f>
        <v>---</v>
      </c>
      <c r="D69" s="372" t="str">
        <f>IF(TRUE=ISBLANK(ChemData!B69),"",(ChemData!B69))</f>
        <v/>
      </c>
      <c r="E69" s="373" t="str">
        <f>IF(TRUE=ISBLANK(ChemData!C69),"",(ChemData!C69))</f>
        <v/>
      </c>
      <c r="F69" s="374" t="str">
        <f>IF(TRUE=ISBLANK(ChemData!D69),"",(ChemData!D69))</f>
        <v/>
      </c>
      <c r="G69" s="289" t="str">
        <f>IF(TRUE=ISBLANK(ChemData!I69),"",(ChemData!I69))</f>
        <v>NA</v>
      </c>
      <c r="H69" s="290" t="str">
        <f>IF(TRUE=ISBLANK(ChemData!Q69),"",(ChemData!Q69))</f>
        <v>NA</v>
      </c>
      <c r="I69" s="290" t="str">
        <f>IF(TRUE=ISBLANK(ChemData!R69),"",(ChemData!R69))</f>
        <v>NA</v>
      </c>
      <c r="J69" s="290">
        <f>IF(TRUE=ISBLANK(ChemData!S69),"",(ChemData!S69))</f>
        <v>1</v>
      </c>
      <c r="K69" s="291">
        <f>IF(TRUE=ISBLANK(ChemData!T69),"",(ChemData!T69))</f>
        <v>1</v>
      </c>
      <c r="L69" s="375" t="str">
        <f>IF(Start!$C$16="x",IF(OR(D69="NA",D69=""),"NA", IF(OR($J69 = "NA",J69=""),"NA",(D69*$J69))),"---")</f>
        <v>---</v>
      </c>
      <c r="M69" s="377" t="str">
        <f>IF(Start!$C$16="x",IF(OR(D69="NA",D69=""),"NA", IF(OR($K69 = "NA",K69=""),"NA",(D69*$K69))),"---")</f>
        <v>---</v>
      </c>
      <c r="N69" s="375" t="str">
        <f t="shared" si="4"/>
        <v>---</v>
      </c>
      <c r="O69" s="377" t="str">
        <f t="shared" si="4"/>
        <v>---</v>
      </c>
      <c r="P69" s="461" t="str">
        <f>IF(Start!$C$16="x",(IF(L69 = "NA","NA", (IF(OR($H69 = "NA",H69=""), "NA",(IF(OR(ChemData!U69="NA",ChemData!U69=""),L69/((Data!$D$33+((1-Data!$D$33)*Data!$D$14*$H69))/((1-Data!$D$33)*Data!$D$14*1000)),(IF(L69/((Data!$D$33+((1-Data!$D$33)*Data!$D$14*$H69))/((1-Data!$D$33)*Data!$D$14*1000))&gt;ChemData!U69, ChemData!U69, L69/((Data!$D$33+((1-Data!$D$33)*Data!$D$14*$H69))/((1-Data!$D$33)*Data!$D$14*1000)))))))))),"---")</f>
        <v>---</v>
      </c>
      <c r="Q69" s="376" t="str">
        <f>IF(Start!$C$16="x",IF(OR($F69 = "NA",F69=""), "NA", IF(P69= "NA", "NA",(P69+(Data!$D$30*$F69))/(Data!$D$30+1))),"---")</f>
        <v>---</v>
      </c>
      <c r="R69" s="376" t="str">
        <f>IF(Start!$C$16="x",IF(O69 = "NA","NA", IF(OR($I69 = "NA",I69=""), "NA",(IF(OR(ChemData!U69="NA",ChemData!U69=""),O69/((Data!$D$35+((1-Data!$D$35)*Data!$D$14*$I69))/((1-Data!$D$35)*Data!$D$14*1000)),(IF(O69/((Data!$D$35+((1-Data!$D$35)*Data!$D$14*$I69))/((1-Data!$D$35)*Data!$D$14*1000))&gt;ChemData!U69, ChemData!U69, O69/((Data!$D$35+((1-Data!$D$35)*Data!$D$14*$I69))/((1-Data!$D$35)*Data!$D$14*1000)))))))),"---")</f>
        <v>---</v>
      </c>
      <c r="S69" s="377" t="str">
        <f>IF(Start!$C$16="x",IF(OR($F69 = "NA",F69=""), "NA", IF(R69= "NA", "NA",(R69+(Data!$D$30*$F69))/(Data!$D$30+1))),"---")</f>
        <v>---</v>
      </c>
      <c r="T69" s="343" t="str">
        <f>IF(Start!$C$16="x",IF(AND(D69= "",E69=""),"",IF(Q69="NA","NA",IF(G69="NA","NA",IF(G69=0,"NA",(Q69/G69))))),"Not Req.")</f>
        <v>Not Req.</v>
      </c>
      <c r="U69" s="343" t="str">
        <f>IF(Start!$C$16="x",IF(AND(D69= "",E69=""),"",IF(S69="NA","NA",IF(G69="NA","NA",IF(G69=0,"NA",(S69/G69))))),"Not Req.")</f>
        <v>Not Req.</v>
      </c>
      <c r="V69" s="11"/>
    </row>
    <row r="70" spans="1:22" s="10" customFormat="1" x14ac:dyDescent="0.25">
      <c r="A70" s="307" t="s">
        <v>388</v>
      </c>
      <c r="B70" s="348" t="str">
        <f>IF(Start!$C$16="x",IF(OR(D70 ="NA",E70="NA"),"NA",IF(AND(D70= "",E70=""),"",IF(AND(D70= "",E70&lt;&gt; ""),"Missing Data",                     IF(AND(D70&lt;&gt; "",E70= ""),"Missing Data",(IF(OR(G70="NA",G70=""),"No Criteria",(IF(AND(Q70="NA",D70&lt;&gt;"NA",G70&lt;&gt;"NA"),                                               "Missing Data",(IF(Q70&lt;G70,"No","Needed")))))))))),"---")</f>
        <v>---</v>
      </c>
      <c r="C70" s="350" t="str">
        <f>IF(Start!$C$16="x",IF(OR(D70 ="NA",E70="NA"),"NA",IF(AND(D70= "",E70=""),"",IF(AND(D70= "",E70&lt;&gt; ""),"Missing Data",                     IF(AND(D70&lt;&gt; "",E70= ""),"Missing Data",(IF(OR(G70="NA",G70=""),"No Criteria",(IF(AND(S70="NA",D70&lt;&gt;"NA",G70&lt;&gt;"NA"),                                               "Missing Data",(IF(S70&lt;G70,"No","Needed")))))))))),"---")</f>
        <v>---</v>
      </c>
      <c r="D70" s="372" t="str">
        <f>IF(TRUE=ISBLANK(ChemData!B70),"",(ChemData!B70))</f>
        <v/>
      </c>
      <c r="E70" s="373" t="str">
        <f>IF(TRUE=ISBLANK(ChemData!C70),"",(ChemData!C70))</f>
        <v/>
      </c>
      <c r="F70" s="374" t="str">
        <f>IF(TRUE=ISBLANK(ChemData!D70),"",(ChemData!D70))</f>
        <v/>
      </c>
      <c r="G70" s="289" t="str">
        <f>IF(TRUE=ISBLANK(ChemData!I70),"",(ChemData!I70))</f>
        <v>NA</v>
      </c>
      <c r="H70" s="290" t="str">
        <f>IF(TRUE=ISBLANK(ChemData!Q70),"",(ChemData!Q70))</f>
        <v>NA</v>
      </c>
      <c r="I70" s="290" t="str">
        <f>IF(TRUE=ISBLANK(ChemData!R70),"",(ChemData!R70))</f>
        <v>NA</v>
      </c>
      <c r="J70" s="290">
        <f>IF(TRUE=ISBLANK(ChemData!S70),"",(ChemData!S70))</f>
        <v>1</v>
      </c>
      <c r="K70" s="291">
        <f>IF(TRUE=ISBLANK(ChemData!T70),"",(ChemData!T70))</f>
        <v>1</v>
      </c>
      <c r="L70" s="375" t="str">
        <f>IF(Start!$C$16="x",IF(OR(D70="NA",D70=""),"NA", IF(OR($J70 = "NA",J70=""),"NA",(D70*$J70))),"---")</f>
        <v>---</v>
      </c>
      <c r="M70" s="377" t="str">
        <f>IF(Start!$C$16="x",IF(OR(D70="NA",D70=""),"NA", IF(OR($K70 = "NA",K70=""),"NA",(D70*$K70))),"---")</f>
        <v>---</v>
      </c>
      <c r="N70" s="375" t="str">
        <f t="shared" si="4"/>
        <v>---</v>
      </c>
      <c r="O70" s="377" t="str">
        <f t="shared" si="4"/>
        <v>---</v>
      </c>
      <c r="P70" s="461" t="str">
        <f>IF(Start!$C$16="x",(IF(L70 = "NA","NA", (IF(OR($H70 = "NA",H70=""), "NA",(IF(OR(ChemData!U70="NA",ChemData!U70=""),L70/((Data!$D$33+((1-Data!$D$33)*Data!$D$14*$H70))/((1-Data!$D$33)*Data!$D$14*1000)),(IF(L70/((Data!$D$33+((1-Data!$D$33)*Data!$D$14*$H70))/((1-Data!$D$33)*Data!$D$14*1000))&gt;ChemData!U70, ChemData!U70, L70/((Data!$D$33+((1-Data!$D$33)*Data!$D$14*$H70))/((1-Data!$D$33)*Data!$D$14*1000)))))))))),"---")</f>
        <v>---</v>
      </c>
      <c r="Q70" s="376" t="str">
        <f>IF(Start!$C$16="x",IF(OR($F70 = "NA",F70=""), "NA", IF(P70= "NA", "NA",(P70+(Data!$D$30*$F70))/(Data!$D$30+1))),"---")</f>
        <v>---</v>
      </c>
      <c r="R70" s="376" t="str">
        <f>IF(Start!$C$16="x",IF(O70 = "NA","NA", IF(OR($I70 = "NA",I70=""), "NA",(IF(OR(ChemData!U70="NA",ChemData!U70=""),O70/((Data!$D$35+((1-Data!$D$35)*Data!$D$14*$I70))/((1-Data!$D$35)*Data!$D$14*1000)),(IF(O70/((Data!$D$35+((1-Data!$D$35)*Data!$D$14*$I70))/((1-Data!$D$35)*Data!$D$14*1000))&gt;ChemData!U70, ChemData!U70, O70/((Data!$D$35+((1-Data!$D$35)*Data!$D$14*$I70))/((1-Data!$D$35)*Data!$D$14*1000)))))))),"---")</f>
        <v>---</v>
      </c>
      <c r="S70" s="377" t="str">
        <f>IF(Start!$C$16="x",IF(OR($F70 = "NA",F70=""), "NA", IF(R70= "NA", "NA",(R70+(Data!$D$30*$F70))/(Data!$D$30+1))),"---")</f>
        <v>---</v>
      </c>
      <c r="T70" s="343" t="str">
        <f>IF(Start!$C$16="x",IF(AND(D70= "",E70=""),"",IF(Q70="NA","NA",IF(G70="NA","NA",IF(G70=0,"NA",(Q70/G70))))),"Not Req.")</f>
        <v>Not Req.</v>
      </c>
      <c r="U70" s="343" t="str">
        <f>IF(Start!$C$16="x",IF(AND(D70= "",E70=""),"",IF(S70="NA","NA",IF(G70="NA","NA",IF(G70=0,"NA",(S70/G70))))),"Not Req.")</f>
        <v>Not Req.</v>
      </c>
      <c r="V70" s="11"/>
    </row>
    <row r="71" spans="1:22" s="10" customFormat="1" x14ac:dyDescent="0.25">
      <c r="A71" s="307" t="s">
        <v>389</v>
      </c>
      <c r="B71" s="348" t="str">
        <f>IF(Start!$C$16="x",IF(OR(D71 ="NA",E71="NA"),"NA",IF(AND(D71= "",E71=""),"",IF(AND(D71= "",E71&lt;&gt; ""),"Missing Data",                     IF(AND(D71&lt;&gt; "",E71= ""),"Missing Data",(IF(OR(G71="NA",G71=""),"No Criteria",(IF(AND(Q71="NA",D71&lt;&gt;"NA",G71&lt;&gt;"NA"),                                               "Missing Data",(IF(Q71&lt;G71,"No","Needed")))))))))),"---")</f>
        <v>---</v>
      </c>
      <c r="C71" s="350" t="str">
        <f>IF(Start!$C$16="x",IF(OR(D71 ="NA",E71="NA"),"NA",IF(AND(D71= "",E71=""),"",IF(AND(D71= "",E71&lt;&gt; ""),"Missing Data",                     IF(AND(D71&lt;&gt; "",E71= ""),"Missing Data",(IF(OR(G71="NA",G71=""),"No Criteria",(IF(AND(S71="NA",D71&lt;&gt;"NA",G71&lt;&gt;"NA"),                                               "Missing Data",(IF(S71&lt;G71,"No","Needed")))))))))),"---")</f>
        <v>---</v>
      </c>
      <c r="D71" s="372" t="str">
        <f>IF(TRUE=ISBLANK(ChemData!B71),"",(ChemData!B71))</f>
        <v/>
      </c>
      <c r="E71" s="373" t="str">
        <f>IF(TRUE=ISBLANK(ChemData!C71),"",(ChemData!C71))</f>
        <v/>
      </c>
      <c r="F71" s="374" t="str">
        <f>IF(TRUE=ISBLANK(ChemData!D71),"",(ChemData!D71))</f>
        <v/>
      </c>
      <c r="G71" s="289" t="str">
        <f>IF(TRUE=ISBLANK(ChemData!I71),"",(ChemData!I71))</f>
        <v>NA</v>
      </c>
      <c r="H71" s="290" t="str">
        <f>IF(TRUE=ISBLANK(ChemData!Q71),"",(ChemData!Q71))</f>
        <v>NA</v>
      </c>
      <c r="I71" s="290" t="str">
        <f>IF(TRUE=ISBLANK(ChemData!R71),"",(ChemData!R71))</f>
        <v>NA</v>
      </c>
      <c r="J71" s="290">
        <f>IF(TRUE=ISBLANK(ChemData!S71),"",(ChemData!S71))</f>
        <v>1</v>
      </c>
      <c r="K71" s="291">
        <f>IF(TRUE=ISBLANK(ChemData!T71),"",(ChemData!T71))</f>
        <v>1</v>
      </c>
      <c r="L71" s="375" t="str">
        <f>IF(Start!$C$16="x",IF(OR(D71="NA",D71=""),"NA", IF(OR($J71 = "NA",J71=""),"NA",(D71*$J71))),"---")</f>
        <v>---</v>
      </c>
      <c r="M71" s="377" t="str">
        <f>IF(Start!$C$16="x",IF(OR(D71="NA",D71=""),"NA", IF(OR($K71 = "NA",K71=""),"NA",(D71*$K71))),"---")</f>
        <v>---</v>
      </c>
      <c r="N71" s="375" t="str">
        <f t="shared" si="4"/>
        <v>---</v>
      </c>
      <c r="O71" s="377" t="str">
        <f t="shared" si="4"/>
        <v>---</v>
      </c>
      <c r="P71" s="461" t="str">
        <f>IF(Start!$C$16="x",(IF(L71 = "NA","NA", (IF(OR($H71 = "NA",H71=""), "NA",(IF(OR(ChemData!U71="NA",ChemData!U71=""),L71/((Data!$D$33+((1-Data!$D$33)*Data!$D$14*$H71))/((1-Data!$D$33)*Data!$D$14*1000)),(IF(L71/((Data!$D$33+((1-Data!$D$33)*Data!$D$14*$H71))/((1-Data!$D$33)*Data!$D$14*1000))&gt;ChemData!U71, ChemData!U71, L71/((Data!$D$33+((1-Data!$D$33)*Data!$D$14*$H71))/((1-Data!$D$33)*Data!$D$14*1000)))))))))),"---")</f>
        <v>---</v>
      </c>
      <c r="Q71" s="376" t="str">
        <f>IF(Start!$C$16="x",IF(OR($F71 = "NA",F71=""), "NA", IF(P71= "NA", "NA",(P71+(Data!$D$30*$F71))/(Data!$D$30+1))),"---")</f>
        <v>---</v>
      </c>
      <c r="R71" s="376" t="str">
        <f>IF(Start!$C$16="x",IF(O71 = "NA","NA", IF(OR($I71 = "NA",I71=""), "NA",(IF(OR(ChemData!U71="NA",ChemData!U71=""),O71/((Data!$D$35+((1-Data!$D$35)*Data!$D$14*$I71))/((1-Data!$D$35)*Data!$D$14*1000)),(IF(O71/((Data!$D$35+((1-Data!$D$35)*Data!$D$14*$I71))/((1-Data!$D$35)*Data!$D$14*1000))&gt;ChemData!U71, ChemData!U71, O71/((Data!$D$35+((1-Data!$D$35)*Data!$D$14*$I71))/((1-Data!$D$35)*Data!$D$14*1000)))))))),"---")</f>
        <v>---</v>
      </c>
      <c r="S71" s="377" t="str">
        <f>IF(Start!$C$16="x",IF(OR($F71 = "NA",F71=""), "NA", IF(R71= "NA", "NA",(R71+(Data!$D$30*$F71))/(Data!$D$30+1))),"---")</f>
        <v>---</v>
      </c>
      <c r="T71" s="343" t="str">
        <f>IF(Start!$C$16="x",IF(AND(D71= "",E71=""),"",IF(Q71="NA","NA",IF(G71="NA","NA",IF(G71=0,"NA",(Q71/G71))))),"Not Req.")</f>
        <v>Not Req.</v>
      </c>
      <c r="U71" s="343" t="str">
        <f>IF(Start!$C$16="x",IF(AND(D71= "",E71=""),"",IF(S71="NA","NA",IF(G71="NA","NA",IF(G71=0,"NA",(S71/G71))))),"Not Req.")</f>
        <v>Not Req.</v>
      </c>
      <c r="V71" s="11"/>
    </row>
    <row r="72" spans="1:22" s="10" customFormat="1" x14ac:dyDescent="0.25">
      <c r="A72" s="307" t="s">
        <v>390</v>
      </c>
      <c r="B72" s="348" t="str">
        <f>IF(Start!$C$16="x",IF(OR(D72 ="NA",E72="NA"),"NA",IF(AND(D72= "",E72=""),"",IF(AND(D72= "",E72&lt;&gt; ""),"Missing Data",                     IF(AND(D72&lt;&gt; "",E72= ""),"Missing Data",(IF(OR(G72="NA",G72=""),"No Criteria",(IF(AND(Q72="NA",D72&lt;&gt;"NA",G72&lt;&gt;"NA"),                                               "Missing Data",(IF(Q72&lt;G72,"No","Needed")))))))))),"---")</f>
        <v>---</v>
      </c>
      <c r="C72" s="350" t="str">
        <f>IF(Start!$C$16="x",IF(OR(D72 ="NA",E72="NA"),"NA",IF(AND(D72= "",E72=""),"",IF(AND(D72= "",E72&lt;&gt; ""),"Missing Data",                     IF(AND(D72&lt;&gt; "",E72= ""),"Missing Data",(IF(OR(G72="NA",G72=""),"No Criteria",(IF(AND(S72="NA",D72&lt;&gt;"NA",G72&lt;&gt;"NA"),                                               "Missing Data",(IF(S72&lt;G72,"No","Needed")))))))))),"---")</f>
        <v>---</v>
      </c>
      <c r="D72" s="372" t="str">
        <f>IF(TRUE=ISBLANK(ChemData!B72),"",(ChemData!B72))</f>
        <v/>
      </c>
      <c r="E72" s="373" t="str">
        <f>IF(TRUE=ISBLANK(ChemData!C72),"",(ChemData!C72))</f>
        <v/>
      </c>
      <c r="F72" s="374" t="str">
        <f>IF(TRUE=ISBLANK(ChemData!D72),"",(ChemData!D72))</f>
        <v/>
      </c>
      <c r="G72" s="289" t="str">
        <f>IF(TRUE=ISBLANK(ChemData!I72),"",(ChemData!I72))</f>
        <v>NA</v>
      </c>
      <c r="H72" s="290" t="str">
        <f>IF(TRUE=ISBLANK(ChemData!Q72),"",(ChemData!Q72))</f>
        <v>NA</v>
      </c>
      <c r="I72" s="290" t="str">
        <f>IF(TRUE=ISBLANK(ChemData!R72),"",(ChemData!R72))</f>
        <v>NA</v>
      </c>
      <c r="J72" s="290">
        <f>IF(TRUE=ISBLANK(ChemData!S72),"",(ChemData!S72))</f>
        <v>1</v>
      </c>
      <c r="K72" s="291">
        <f>IF(TRUE=ISBLANK(ChemData!T72),"",(ChemData!T72))</f>
        <v>1</v>
      </c>
      <c r="L72" s="375" t="str">
        <f>IF(Start!$C$16="x",IF(OR(D72="NA",D72=""),"NA", IF(OR($J72 = "NA",J72=""),"NA",(D72*$J72))),"---")</f>
        <v>---</v>
      </c>
      <c r="M72" s="377" t="str">
        <f>IF(Start!$C$16="x",IF(OR(D72="NA",D72=""),"NA", IF(OR($K72 = "NA",K72=""),"NA",(D72*$K72))),"---")</f>
        <v>---</v>
      </c>
      <c r="N72" s="375" t="str">
        <f t="shared" si="4"/>
        <v>---</v>
      </c>
      <c r="O72" s="377" t="str">
        <f t="shared" si="4"/>
        <v>---</v>
      </c>
      <c r="P72" s="461" t="str">
        <f>IF(Start!$C$16="x",(IF(L72 = "NA","NA", (IF(OR($H72 = "NA",H72=""), "NA",(IF(OR(ChemData!U72="NA",ChemData!U72=""),L72/((Data!$D$33+((1-Data!$D$33)*Data!$D$14*$H72))/((1-Data!$D$33)*Data!$D$14*1000)),(IF(L72/((Data!$D$33+((1-Data!$D$33)*Data!$D$14*$H72))/((1-Data!$D$33)*Data!$D$14*1000))&gt;ChemData!U72, ChemData!U72, L72/((Data!$D$33+((1-Data!$D$33)*Data!$D$14*$H72))/((1-Data!$D$33)*Data!$D$14*1000)))))))))),"---")</f>
        <v>---</v>
      </c>
      <c r="Q72" s="376" t="str">
        <f>IF(Start!$C$16="x",IF(OR($F72 = "NA",F72=""), "NA", IF(P72= "NA", "NA",(P72+(Data!$D$30*$F72))/(Data!$D$30+1))),"---")</f>
        <v>---</v>
      </c>
      <c r="R72" s="376" t="str">
        <f>IF(Start!$C$16="x",IF(O72 = "NA","NA", IF(OR($I72 = "NA",I72=""), "NA",(IF(OR(ChemData!U72="NA",ChemData!U72=""),O72/((Data!$D$35+((1-Data!$D$35)*Data!$D$14*$I72))/((1-Data!$D$35)*Data!$D$14*1000)),(IF(O72/((Data!$D$35+((1-Data!$D$35)*Data!$D$14*$I72))/((1-Data!$D$35)*Data!$D$14*1000))&gt;ChemData!U72, ChemData!U72, O72/((Data!$D$35+((1-Data!$D$35)*Data!$D$14*$I72))/((1-Data!$D$35)*Data!$D$14*1000)))))))),"---")</f>
        <v>---</v>
      </c>
      <c r="S72" s="377" t="str">
        <f>IF(Start!$C$16="x",IF(OR($F72 = "NA",F72=""), "NA", IF(R72= "NA", "NA",(R72+(Data!$D$30*$F72))/(Data!$D$30+1))),"---")</f>
        <v>---</v>
      </c>
      <c r="T72" s="343" t="str">
        <f>IF(Start!$C$16="x",IF(AND(D72= "",E72=""),"",IF(Q72="NA","NA",IF(G72="NA","NA",IF(G72=0,"NA",(Q72/G72))))),"Not Req.")</f>
        <v>Not Req.</v>
      </c>
      <c r="U72" s="343" t="str">
        <f>IF(Start!$C$16="x",IF(AND(D72= "",E72=""),"",IF(S72="NA","NA",IF(G72="NA","NA",IF(G72=0,"NA",(S72/G72))))),"Not Req.")</f>
        <v>Not Req.</v>
      </c>
      <c r="V72" s="11"/>
    </row>
    <row r="73" spans="1:22" s="10" customFormat="1" x14ac:dyDescent="0.25">
      <c r="A73" s="307" t="s">
        <v>391</v>
      </c>
      <c r="B73" s="348" t="str">
        <f>IF(Start!$C$16="x",IF(OR(D73 ="NA",E73="NA"),"NA",IF(AND(D73= "",E73=""),"",IF(AND(D73= "",E73&lt;&gt; ""),"Missing Data",                     IF(AND(D73&lt;&gt; "",E73= ""),"Missing Data",(IF(OR(G73="NA",G73=""),"No Criteria",(IF(AND(Q73="NA",D73&lt;&gt;"NA",G73&lt;&gt;"NA"),                                               "Missing Data",(IF(Q73&lt;G73,"No","Needed")))))))))),"---")</f>
        <v>---</v>
      </c>
      <c r="C73" s="350" t="str">
        <f>IF(Start!$C$16="x",IF(OR(D73 ="NA",E73="NA"),"NA",IF(AND(D73= "",E73=""),"",IF(AND(D73= "",E73&lt;&gt; ""),"Missing Data",                     IF(AND(D73&lt;&gt; "",E73= ""),"Missing Data",(IF(OR(G73="NA",G73=""),"No Criteria",(IF(AND(S73="NA",D73&lt;&gt;"NA",G73&lt;&gt;"NA"),                                               "Missing Data",(IF(S73&lt;G73,"No","Needed")))))))))),"---")</f>
        <v>---</v>
      </c>
      <c r="D73" s="372" t="str">
        <f>IF(TRUE=ISBLANK(ChemData!B73),"",(ChemData!B73))</f>
        <v/>
      </c>
      <c r="E73" s="373" t="str">
        <f>IF(TRUE=ISBLANK(ChemData!C73),"",(ChemData!C73))</f>
        <v/>
      </c>
      <c r="F73" s="374" t="str">
        <f>IF(TRUE=ISBLANK(ChemData!D73),"",(ChemData!D73))</f>
        <v/>
      </c>
      <c r="G73" s="289">
        <f>IF(TRUE=ISBLANK(ChemData!I73),"",(ChemData!I73))</f>
        <v>6.16</v>
      </c>
      <c r="H73" s="290">
        <f>IF(TRUE=ISBLANK(ChemData!Q73),"",(ChemData!Q73))</f>
        <v>3071.8953656669246</v>
      </c>
      <c r="I73" s="290">
        <f>IF(TRUE=ISBLANK(ChemData!R73),"",(ChemData!R73))</f>
        <v>3071.8953656669246</v>
      </c>
      <c r="J73" s="290">
        <f>IF(TRUE=ISBLANK(ChemData!S73),"",(ChemData!S73))</f>
        <v>1</v>
      </c>
      <c r="K73" s="291">
        <f>IF(TRUE=ISBLANK(ChemData!T73),"",(ChemData!T73))</f>
        <v>1</v>
      </c>
      <c r="L73" s="375" t="str">
        <f>IF(Start!$C$16="x",IF(OR(D73="NA",D73=""),"NA", IF(OR($J73 = "NA",J73=""),"NA",(D73*$J73))),"---")</f>
        <v>---</v>
      </c>
      <c r="M73" s="377" t="str">
        <f>IF(Start!$C$16="x",IF(OR(D73="NA",D73=""),"NA", IF(OR($K73 = "NA",K73=""),"NA",(D73*$K73))),"---")</f>
        <v>---</v>
      </c>
      <c r="N73" s="375" t="str">
        <f t="shared" si="4"/>
        <v>---</v>
      </c>
      <c r="O73" s="377" t="str">
        <f t="shared" si="4"/>
        <v>---</v>
      </c>
      <c r="P73" s="461" t="str">
        <f>IF(Start!$C$16="x",(IF(L73 = "NA","NA", (IF(OR($H73 = "NA",H73=""), "NA",(IF(OR(ChemData!U73="NA",ChemData!U73=""),L73/((Data!$D$33+((1-Data!$D$33)*Data!$D$14*$H73))/((1-Data!$D$33)*Data!$D$14*1000)),(IF(L73/((Data!$D$33+((1-Data!$D$33)*Data!$D$14*$H73))/((1-Data!$D$33)*Data!$D$14*1000))&gt;ChemData!U73, ChemData!U73, L73/((Data!$D$33+((1-Data!$D$33)*Data!$D$14*$H73))/((1-Data!$D$33)*Data!$D$14*1000)))))))))),"---")</f>
        <v>---</v>
      </c>
      <c r="Q73" s="376" t="str">
        <f>IF(Start!$C$16="x",IF(OR($F73 = "NA",F73=""), "NA", IF(P73= "NA", "NA",(P73+(Data!$D$30*$F73))/(Data!$D$30+1))),"---")</f>
        <v>---</v>
      </c>
      <c r="R73" s="376" t="str">
        <f>IF(Start!$C$16="x",IF(O73 = "NA","NA", IF(OR($I73 = "NA",I73=""), "NA",(IF(OR(ChemData!U73="NA",ChemData!U73=""),O73/((Data!$D$35+((1-Data!$D$35)*Data!$D$14*$I73))/((1-Data!$D$35)*Data!$D$14*1000)),(IF(O73/((Data!$D$35+((1-Data!$D$35)*Data!$D$14*$I73))/((1-Data!$D$35)*Data!$D$14*1000))&gt;ChemData!U73, ChemData!U73, O73/((Data!$D$35+((1-Data!$D$35)*Data!$D$14*$I73))/((1-Data!$D$35)*Data!$D$14*1000)))))))),"---")</f>
        <v>---</v>
      </c>
      <c r="S73" s="377" t="str">
        <f>IF(Start!$C$16="x",IF(OR($F73 = "NA",F73=""), "NA", IF(R73= "NA", "NA",(R73+(Data!$D$30*$F73))/(Data!$D$30+1))),"---")</f>
        <v>---</v>
      </c>
      <c r="T73" s="343" t="str">
        <f>IF(Start!$C$16="x",IF(AND(D73= "",E73=""),"",IF(Q73="NA","NA",IF(G73="NA","NA",IF(G73=0,"NA",(Q73/G73))))),"Not Req.")</f>
        <v>Not Req.</v>
      </c>
      <c r="U73" s="343" t="str">
        <f>IF(Start!$C$16="x",IF(AND(D73= "",E73=""),"",IF(S73="NA","NA",IF(G73="NA","NA",IF(G73=0,"NA",(S73/G73))))),"Not Req.")</f>
        <v>Not Req.</v>
      </c>
      <c r="V73" s="11"/>
    </row>
    <row r="74" spans="1:22" s="10" customFormat="1" x14ac:dyDescent="0.25">
      <c r="A74" s="307" t="s">
        <v>392</v>
      </c>
      <c r="B74" s="348" t="str">
        <f>IF(Start!$C$16="x",IF(OR(D74 ="NA",E74="NA"),"NA",IF(AND(D74= "",E74=""),"",IF(AND(D74= "",E74&lt;&gt; ""),"Missing Data",                     IF(AND(D74&lt;&gt; "",E74= ""),"Missing Data",(IF(OR(G74="NA",G74=""),"No Criteria",(IF(AND(Q74="NA",D74&lt;&gt;"NA",G74&lt;&gt;"NA"),                                               "Missing Data",(IF(Q74&lt;G74,"No","Needed")))))))))),"---")</f>
        <v>---</v>
      </c>
      <c r="C74" s="350" t="str">
        <f>IF(Start!$C$16="x",IF(OR(D74 ="NA",E74="NA"),"NA",IF(AND(D74= "",E74=""),"",IF(AND(D74= "",E74&lt;&gt; ""),"Missing Data",                     IF(AND(D74&lt;&gt; "",E74= ""),"Missing Data",(IF(OR(G74="NA",G74=""),"No Criteria",(IF(AND(S74="NA",D74&lt;&gt;"NA",G74&lt;&gt;"NA"),                                               "Missing Data",(IF(S74&lt;G74,"No","Needed")))))))))),"---")</f>
        <v>---</v>
      </c>
      <c r="D74" s="372" t="str">
        <f>IF(TRUE=ISBLANK(ChemData!B74),"",(ChemData!B74))</f>
        <v/>
      </c>
      <c r="E74" s="373" t="str">
        <f>IF(TRUE=ISBLANK(ChemData!C74),"",(ChemData!C74))</f>
        <v/>
      </c>
      <c r="F74" s="374" t="str">
        <f>IF(TRUE=ISBLANK(ChemData!D74),"",(ChemData!D74))</f>
        <v/>
      </c>
      <c r="G74" s="289">
        <f>IF(TRUE=ISBLANK(ChemData!I74),"",(ChemData!I74))</f>
        <v>3.9</v>
      </c>
      <c r="H74" s="290">
        <f>IF(TRUE=ISBLANK(ChemData!Q74),"",(ChemData!Q74))</f>
        <v>293.36372992455233</v>
      </c>
      <c r="I74" s="290">
        <f>IF(TRUE=ISBLANK(ChemData!R74),"",(ChemData!R74))</f>
        <v>293.36372992455233</v>
      </c>
      <c r="J74" s="290">
        <f>IF(TRUE=ISBLANK(ChemData!S74),"",(ChemData!S74))</f>
        <v>1</v>
      </c>
      <c r="K74" s="291">
        <f>IF(TRUE=ISBLANK(ChemData!T74),"",(ChemData!T74))</f>
        <v>1</v>
      </c>
      <c r="L74" s="375" t="str">
        <f>IF(Start!$C$16="x",IF(OR(D74="NA",D74=""),"NA", IF(OR($J74 = "NA",J74=""),"NA",(D74*$J74))),"---")</f>
        <v>---</v>
      </c>
      <c r="M74" s="377" t="str">
        <f>IF(Start!$C$16="x",IF(OR(D74="NA",D74=""),"NA", IF(OR($K74 = "NA",K74=""),"NA",(D74*$K74))),"---")</f>
        <v>---</v>
      </c>
      <c r="N74" s="375" t="str">
        <f t="shared" si="4"/>
        <v>---</v>
      </c>
      <c r="O74" s="377" t="str">
        <f t="shared" si="4"/>
        <v>---</v>
      </c>
      <c r="P74" s="461" t="str">
        <f>IF(Start!$C$16="x",(IF(L74 = "NA","NA", (IF(OR($H74 = "NA",H74=""), "NA",(IF(OR(ChemData!U74="NA",ChemData!U74=""),L74/((Data!$D$33+((1-Data!$D$33)*Data!$D$14*$H74))/((1-Data!$D$33)*Data!$D$14*1000)),(IF(L74/((Data!$D$33+((1-Data!$D$33)*Data!$D$14*$H74))/((1-Data!$D$33)*Data!$D$14*1000))&gt;ChemData!U74, ChemData!U74, L74/((Data!$D$33+((1-Data!$D$33)*Data!$D$14*$H74))/((1-Data!$D$33)*Data!$D$14*1000)))))))))),"---")</f>
        <v>---</v>
      </c>
      <c r="Q74" s="376" t="str">
        <f>IF(Start!$C$16="x",IF(OR($F74 = "NA",F74=""), "NA", IF(P74= "NA", "NA",(P74+(Data!$D$30*$F74))/(Data!$D$30+1))),"---")</f>
        <v>---</v>
      </c>
      <c r="R74" s="376" t="str">
        <f>IF(Start!$C$16="x",IF(O74 = "NA","NA", IF(OR($I74 = "NA",I74=""), "NA",(IF(OR(ChemData!U74="NA",ChemData!U74=""),O74/((Data!$D$35+((1-Data!$D$35)*Data!$D$14*$I74))/((1-Data!$D$35)*Data!$D$14*1000)),(IF(O74/((Data!$D$35+((1-Data!$D$35)*Data!$D$14*$I74))/((1-Data!$D$35)*Data!$D$14*1000))&gt;ChemData!U74, ChemData!U74, O74/((Data!$D$35+((1-Data!$D$35)*Data!$D$14*$I74))/((1-Data!$D$35)*Data!$D$14*1000)))))))),"---")</f>
        <v>---</v>
      </c>
      <c r="S74" s="377" t="str">
        <f>IF(Start!$C$16="x",IF(OR($F74 = "NA",F74=""), "NA", IF(R74= "NA", "NA",(R74+(Data!$D$30*$F74))/(Data!$D$30+1))),"---")</f>
        <v>---</v>
      </c>
      <c r="T74" s="343" t="str">
        <f>IF(Start!$C$16="x",IF(AND(D74= "",E74=""),"",IF(Q74="NA","NA",IF(G74="NA","NA",IF(G74=0,"NA",(Q74/G74))))),"Not Req.")</f>
        <v>Not Req.</v>
      </c>
      <c r="U74" s="343" t="str">
        <f>IF(Start!$C$16="x",IF(AND(D74= "",E74=""),"",IF(S74="NA","NA",IF(G74="NA","NA",IF(G74=0,"NA",(S74/G74))))),"Not Req.")</f>
        <v>Not Req.</v>
      </c>
      <c r="V74" s="11"/>
    </row>
    <row r="75" spans="1:22" s="10" customFormat="1" x14ac:dyDescent="0.25">
      <c r="A75" s="307" t="s">
        <v>393</v>
      </c>
      <c r="B75" s="348" t="str">
        <f>IF(Start!$C$16="x",IF(OR(D75 ="NA",E75="NA"),"NA",IF(AND(D75= "",E75=""),"",IF(AND(D75= "",E75&lt;&gt; ""),"Missing Data",                     IF(AND(D75&lt;&gt; "",E75= ""),"Missing Data",(IF(OR(G75="NA",G75=""),"No Criteria",(IF(AND(Q75="NA",D75&lt;&gt;"NA",G75&lt;&gt;"NA"),                                               "Missing Data",(IF(Q75&lt;G75,"No","Needed")))))))))),"---")</f>
        <v>---</v>
      </c>
      <c r="C75" s="350" t="str">
        <f>IF(Start!$C$16="x",IF(OR(D75 ="NA",E75="NA"),"NA",IF(AND(D75= "",E75=""),"",IF(AND(D75= "",E75&lt;&gt; ""),"Missing Data",                     IF(AND(D75&lt;&gt; "",E75= ""),"Missing Data",(IF(OR(G75="NA",G75=""),"No Criteria",(IF(AND(S75="NA",D75&lt;&gt;"NA",G75&lt;&gt;"NA"),                                               "Missing Data",(IF(S75&lt;G75,"No","Needed")))))))))),"---")</f>
        <v>---</v>
      </c>
      <c r="D75" s="372" t="str">
        <f>IF(TRUE=ISBLANK(ChemData!B75),"",(ChemData!B75))</f>
        <v/>
      </c>
      <c r="E75" s="373" t="str">
        <f>IF(TRUE=ISBLANK(ChemData!C75),"",(ChemData!C75))</f>
        <v/>
      </c>
      <c r="F75" s="374" t="str">
        <f>IF(TRUE=ISBLANK(ChemData!D75),"",(ChemData!D75))</f>
        <v/>
      </c>
      <c r="G75" s="289" t="str">
        <f>IF(TRUE=ISBLANK(ChemData!I75),"",(ChemData!I75))</f>
        <v>NA</v>
      </c>
      <c r="H75" s="290">
        <f>IF(TRUE=ISBLANK(ChemData!Q75),"",(ChemData!Q75))</f>
        <v>82681.132907143459</v>
      </c>
      <c r="I75" s="290">
        <f>IF(TRUE=ISBLANK(ChemData!R75),"",(ChemData!R75))</f>
        <v>82681.132907143459</v>
      </c>
      <c r="J75" s="290">
        <f>IF(TRUE=ISBLANK(ChemData!S75),"",(ChemData!S75))</f>
        <v>1</v>
      </c>
      <c r="K75" s="291">
        <f>IF(TRUE=ISBLANK(ChemData!T75),"",(ChemData!T75))</f>
        <v>1</v>
      </c>
      <c r="L75" s="375" t="str">
        <f>IF(Start!$C$16="x",IF(OR(D75="NA",D75=""),"NA", IF(OR($J75 = "NA",J75=""),"NA",(D75*$J75))),"---")</f>
        <v>---</v>
      </c>
      <c r="M75" s="377" t="str">
        <f>IF(Start!$C$16="x",IF(OR(D75="NA",D75=""),"NA", IF(OR($K75 = "NA",K75=""),"NA",(D75*$K75))),"---")</f>
        <v>---</v>
      </c>
      <c r="N75" s="375" t="str">
        <f t="shared" si="4"/>
        <v>---</v>
      </c>
      <c r="O75" s="377" t="str">
        <f t="shared" si="4"/>
        <v>---</v>
      </c>
      <c r="P75" s="461" t="str">
        <f>IF(Start!$C$16="x",(IF(L75 = "NA","NA", (IF(OR($H75 = "NA",H75=""), "NA",(IF(OR(ChemData!U75="NA",ChemData!U75=""),L75/((Data!$D$33+((1-Data!$D$33)*Data!$D$14*$H75))/((1-Data!$D$33)*Data!$D$14*1000)),(IF(L75/((Data!$D$33+((1-Data!$D$33)*Data!$D$14*$H75))/((1-Data!$D$33)*Data!$D$14*1000))&gt;ChemData!U75, ChemData!U75, L75/((Data!$D$33+((1-Data!$D$33)*Data!$D$14*$H75))/((1-Data!$D$33)*Data!$D$14*1000)))))))))),"---")</f>
        <v>---</v>
      </c>
      <c r="Q75" s="376" t="str">
        <f>IF(Start!$C$16="x",IF(OR($F75 = "NA",F75=""), "NA", IF(P75= "NA", "NA",(P75+(Data!$D$30*$F75))/(Data!$D$30+1))),"---")</f>
        <v>---</v>
      </c>
      <c r="R75" s="376" t="str">
        <f>IF(Start!$C$16="x",IF(O75 = "NA","NA", IF(OR($I75 = "NA",I75=""), "NA",(IF(OR(ChemData!U75="NA",ChemData!U75=""),O75/((Data!$D$35+((1-Data!$D$35)*Data!$D$14*$I75))/((1-Data!$D$35)*Data!$D$14*1000)),(IF(O75/((Data!$D$35+((1-Data!$D$35)*Data!$D$14*$I75))/((1-Data!$D$35)*Data!$D$14*1000))&gt;ChemData!U75, ChemData!U75, O75/((Data!$D$35+((1-Data!$D$35)*Data!$D$14*$I75))/((1-Data!$D$35)*Data!$D$14*1000)))))))),"---")</f>
        <v>---</v>
      </c>
      <c r="S75" s="377" t="str">
        <f>IF(Start!$C$16="x",IF(OR($F75 = "NA",F75=""), "NA", IF(R75= "NA", "NA",(R75+(Data!$D$30*$F75))/(Data!$D$30+1))),"---")</f>
        <v>---</v>
      </c>
      <c r="T75" s="343" t="str">
        <f>IF(Start!$C$16="x",IF(AND(D75= "",E75=""),"",IF(Q75="NA","NA",IF(G75="NA","NA",IF(G75=0,"NA",(Q75/G75))))),"Not Req.")</f>
        <v>Not Req.</v>
      </c>
      <c r="U75" s="343" t="str">
        <f>IF(Start!$C$16="x",IF(AND(D75= "",E75=""),"",IF(S75="NA","NA",IF(G75="NA","NA",IF(G75=0,"NA",(S75/G75))))),"Not Req.")</f>
        <v>Not Req.</v>
      </c>
      <c r="V75" s="11"/>
    </row>
    <row r="76" spans="1:22" s="10" customFormat="1" x14ac:dyDescent="0.25">
      <c r="A76" s="307" t="s">
        <v>394</v>
      </c>
      <c r="B76" s="348" t="str">
        <f>IF(Start!$C$16="x",IF(OR(D76 ="NA",E76="NA"),"NA",IF(AND(D76= "",E76=""),"",IF(AND(D76= "",E76&lt;&gt; ""),"Missing Data",                     IF(AND(D76&lt;&gt; "",E76= ""),"Missing Data",(IF(OR(G76="NA",G76=""),"No Criteria",(IF(AND(Q76="NA",D76&lt;&gt;"NA",G76&lt;&gt;"NA"),                                               "Missing Data",(IF(Q76&lt;G76,"No","Needed")))))))))),"---")</f>
        <v>---</v>
      </c>
      <c r="C76" s="350" t="str">
        <f>IF(Start!$C$16="x",IF(OR(D76 ="NA",E76="NA"),"NA",IF(AND(D76= "",E76=""),"",IF(AND(D76= "",E76&lt;&gt; ""),"Missing Data",                     IF(AND(D76&lt;&gt; "",E76= ""),"Missing Data",(IF(OR(G76="NA",G76=""),"No Criteria",(IF(AND(S76="NA",D76&lt;&gt;"NA",G76&lt;&gt;"NA"),                                               "Missing Data",(IF(S76&lt;G76,"No","Needed")))))))))),"---")</f>
        <v>---</v>
      </c>
      <c r="D76" s="372" t="str">
        <f>IF(TRUE=ISBLANK(ChemData!B76),"",(ChemData!B76))</f>
        <v/>
      </c>
      <c r="E76" s="373" t="str">
        <f>IF(TRUE=ISBLANK(ChemData!C76),"",(ChemData!C76))</f>
        <v/>
      </c>
      <c r="F76" s="374" t="str">
        <f>IF(TRUE=ISBLANK(ChemData!D76),"",(ChemData!D76))</f>
        <v/>
      </c>
      <c r="G76" s="289" t="str">
        <f>IF(TRUE=ISBLANK(ChemData!I76),"",(ChemData!I76))</f>
        <v>NA</v>
      </c>
      <c r="H76" s="290">
        <f>IF(TRUE=ISBLANK(ChemData!Q76),"",(ChemData!Q76))</f>
        <v>48686.260529983556</v>
      </c>
      <c r="I76" s="290">
        <f>IF(TRUE=ISBLANK(ChemData!R76),"",(ChemData!R76))</f>
        <v>48686.260529983556</v>
      </c>
      <c r="J76" s="290">
        <f>IF(TRUE=ISBLANK(ChemData!S76),"",(ChemData!S76))</f>
        <v>1</v>
      </c>
      <c r="K76" s="291">
        <f>IF(TRUE=ISBLANK(ChemData!T76),"",(ChemData!T76))</f>
        <v>1</v>
      </c>
      <c r="L76" s="375" t="str">
        <f>IF(Start!$C$16="x",IF(OR(D76="NA",D76=""),"NA", IF(OR($J76 = "NA",J76=""),"NA",(D76*$J76))),"---")</f>
        <v>---</v>
      </c>
      <c r="M76" s="377" t="str">
        <f>IF(Start!$C$16="x",IF(OR(D76="NA",D76=""),"NA", IF(OR($K76 = "NA",K76=""),"NA",(D76*$K76))),"---")</f>
        <v>---</v>
      </c>
      <c r="N76" s="375" t="str">
        <f t="shared" si="4"/>
        <v>---</v>
      </c>
      <c r="O76" s="377" t="str">
        <f t="shared" si="4"/>
        <v>---</v>
      </c>
      <c r="P76" s="461" t="str">
        <f>IF(Start!$C$16="x",(IF(L76 = "NA","NA", (IF(OR($H76 = "NA",H76=""), "NA",(IF(OR(ChemData!U76="NA",ChemData!U76=""),L76/((Data!$D$33+((1-Data!$D$33)*Data!$D$14*$H76))/((1-Data!$D$33)*Data!$D$14*1000)),(IF(L76/((Data!$D$33+((1-Data!$D$33)*Data!$D$14*$H76))/((1-Data!$D$33)*Data!$D$14*1000))&gt;ChemData!U76, ChemData!U76, L76/((Data!$D$33+((1-Data!$D$33)*Data!$D$14*$H76))/((1-Data!$D$33)*Data!$D$14*1000)))))))))),"---")</f>
        <v>---</v>
      </c>
      <c r="Q76" s="376" t="str">
        <f>IF(Start!$C$16="x",IF(OR($F76 = "NA",F76=""), "NA", IF(P76= "NA", "NA",(P76+(Data!$D$30*$F76))/(Data!$D$30+1))),"---")</f>
        <v>---</v>
      </c>
      <c r="R76" s="376" t="str">
        <f>IF(Start!$C$16="x",IF(O76 = "NA","NA", IF(OR($I76 = "NA",I76=""), "NA",(IF(OR(ChemData!U76="NA",ChemData!U76=""),O76/((Data!$D$35+((1-Data!$D$35)*Data!$D$14*$I76))/((1-Data!$D$35)*Data!$D$14*1000)),(IF(O76/((Data!$D$35+((1-Data!$D$35)*Data!$D$14*$I76))/((1-Data!$D$35)*Data!$D$14*1000))&gt;ChemData!U76, ChemData!U76, O76/((Data!$D$35+((1-Data!$D$35)*Data!$D$14*$I76))/((1-Data!$D$35)*Data!$D$14*1000)))))))),"---")</f>
        <v>---</v>
      </c>
      <c r="S76" s="377" t="str">
        <f>IF(Start!$C$16="x",IF(OR($F76 = "NA",F76=""), "NA", IF(R76= "NA", "NA",(R76+(Data!$D$30*$F76))/(Data!$D$30+1))),"---")</f>
        <v>---</v>
      </c>
      <c r="T76" s="343" t="str">
        <f>IF(Start!$C$16="x",IF(AND(D76= "",E76=""),"",IF(Q76="NA","NA",IF(G76="NA","NA",IF(G76=0,"NA",(Q76/G76))))),"Not Req.")</f>
        <v>Not Req.</v>
      </c>
      <c r="U76" s="343" t="str">
        <f>IF(Start!$C$16="x",IF(AND(D76= "",E76=""),"",IF(S76="NA","NA",IF(G76="NA","NA",IF(G76=0,"NA",(S76/G76))))),"Not Req.")</f>
        <v>Not Req.</v>
      </c>
      <c r="V76" s="11"/>
    </row>
    <row r="77" spans="1:22" s="10" customFormat="1" x14ac:dyDescent="0.25">
      <c r="A77" s="307" t="s">
        <v>395</v>
      </c>
      <c r="B77" s="348" t="str">
        <f>IF(Start!$C$16="x",IF(OR(D77 ="NA",E77="NA"),"NA",IF(AND(D77= "",E77=""),"",IF(AND(D77= "",E77&lt;&gt; ""),"Missing Data",                     IF(AND(D77&lt;&gt; "",E77= ""),"Missing Data",(IF(OR(G77="NA",G77=""),"No Criteria",(IF(AND(Q77="NA",D77&lt;&gt;"NA",G77&lt;&gt;"NA"),                                               "Missing Data",(IF(Q77&lt;G77,"No","Needed")))))))))),"---")</f>
        <v>---</v>
      </c>
      <c r="C77" s="350" t="str">
        <f>IF(Start!$C$16="x",IF(OR(D77 ="NA",E77="NA"),"NA",IF(AND(D77= "",E77=""),"",IF(AND(D77= "",E77&lt;&gt; ""),"Missing Data",                     IF(AND(D77&lt;&gt; "",E77= ""),"Missing Data",(IF(OR(G77="NA",G77=""),"No Criteria",(IF(AND(S77="NA",D77&lt;&gt;"NA",G77&lt;&gt;"NA"),                                               "Missing Data",(IF(S77&lt;G77,"No","Needed")))))))))),"---")</f>
        <v>---</v>
      </c>
      <c r="D77" s="372" t="str">
        <f>IF(TRUE=ISBLANK(ChemData!B77),"",(ChemData!B77))</f>
        <v/>
      </c>
      <c r="E77" s="373" t="str">
        <f>IF(TRUE=ISBLANK(ChemData!C77),"",(ChemData!C77))</f>
        <v/>
      </c>
      <c r="F77" s="374" t="str">
        <f>IF(TRUE=ISBLANK(ChemData!D77),"",(ChemData!D77))</f>
        <v/>
      </c>
      <c r="G77" s="289">
        <f>IF(TRUE=ISBLANK(ChemData!I77),"",(ChemData!I77))</f>
        <v>2.1</v>
      </c>
      <c r="H77" s="290">
        <f>IF(TRUE=ISBLANK(ChemData!Q77),"",(ChemData!Q77))</f>
        <v>137.21652566479986</v>
      </c>
      <c r="I77" s="290">
        <f>IF(TRUE=ISBLANK(ChemData!R77),"",(ChemData!R77))</f>
        <v>137.21652566479986</v>
      </c>
      <c r="J77" s="290">
        <f>IF(TRUE=ISBLANK(ChemData!S77),"",(ChemData!S77))</f>
        <v>1</v>
      </c>
      <c r="K77" s="291">
        <f>IF(TRUE=ISBLANK(ChemData!T77),"",(ChemData!T77))</f>
        <v>1</v>
      </c>
      <c r="L77" s="375" t="str">
        <f>IF(Start!$C$16="x",IF(OR(D77="NA",D77=""),"NA", IF(OR($J77 = "NA",J77=""),"NA",(D77*$J77))),"---")</f>
        <v>---</v>
      </c>
      <c r="M77" s="377" t="str">
        <f>IF(Start!$C$16="x",IF(OR(D77="NA",D77=""),"NA", IF(OR($K77 = "NA",K77=""),"NA",(D77*$K77))),"---")</f>
        <v>---</v>
      </c>
      <c r="N77" s="375" t="str">
        <f t="shared" si="4"/>
        <v>---</v>
      </c>
      <c r="O77" s="377" t="str">
        <f t="shared" si="4"/>
        <v>---</v>
      </c>
      <c r="P77" s="461" t="str">
        <f>IF(Start!$C$16="x",(IF(L77 = "NA","NA", (IF(OR($H77 = "NA",H77=""), "NA",(IF(OR(ChemData!U77="NA",ChemData!U77=""),L77/((Data!$D$33+((1-Data!$D$33)*Data!$D$14*$H77))/((1-Data!$D$33)*Data!$D$14*1000)),(IF(L77/((Data!$D$33+((1-Data!$D$33)*Data!$D$14*$H77))/((1-Data!$D$33)*Data!$D$14*1000))&gt;ChemData!U77, ChemData!U77, L77/((Data!$D$33+((1-Data!$D$33)*Data!$D$14*$H77))/((1-Data!$D$33)*Data!$D$14*1000)))))))))),"---")</f>
        <v>---</v>
      </c>
      <c r="Q77" s="376" t="str">
        <f>IF(Start!$C$16="x",IF(OR($F77 = "NA",F77=""), "NA", IF(P77= "NA", "NA",(P77+(Data!$D$30*$F77))/(Data!$D$30+1))),"---")</f>
        <v>---</v>
      </c>
      <c r="R77" s="376" t="str">
        <f>IF(Start!$C$16="x",IF(O77 = "NA","NA", IF(OR($I77 = "NA",I77=""), "NA",(IF(OR(ChemData!U77="NA",ChemData!U77=""),O77/((Data!$D$35+((1-Data!$D$35)*Data!$D$14*$I77))/((1-Data!$D$35)*Data!$D$14*1000)),(IF(O77/((Data!$D$35+((1-Data!$D$35)*Data!$D$14*$I77))/((1-Data!$D$35)*Data!$D$14*1000))&gt;ChemData!U77, ChemData!U77, O77/((Data!$D$35+((1-Data!$D$35)*Data!$D$14*$I77))/((1-Data!$D$35)*Data!$D$14*1000)))))))),"---")</f>
        <v>---</v>
      </c>
      <c r="S77" s="377" t="str">
        <f>IF(Start!$C$16="x",IF(OR($F77 = "NA",F77=""), "NA", IF(R77= "NA", "NA",(R77+(Data!$D$30*$F77))/(Data!$D$30+1))),"---")</f>
        <v>---</v>
      </c>
      <c r="T77" s="343" t="str">
        <f>IF(Start!$C$16="x",IF(AND(D77= "",E77=""),"",IF(Q77="NA","NA",IF(G77="NA","NA",IF(G77=0,"NA",(Q77/G77))))),"Not Req.")</f>
        <v>Not Req.</v>
      </c>
      <c r="U77" s="343" t="str">
        <f>IF(Start!$C$16="x",IF(AND(D77= "",E77=""),"",IF(S77="NA","NA",IF(G77="NA","NA",IF(G77=0,"NA",(S77/G77))))),"Not Req.")</f>
        <v>Not Req.</v>
      </c>
      <c r="V77" s="11"/>
    </row>
    <row r="78" spans="1:22" s="10" customFormat="1" x14ac:dyDescent="0.25">
      <c r="A78" s="307" t="s">
        <v>396</v>
      </c>
      <c r="B78" s="348" t="str">
        <f>IF(Start!$C$16="x",IF(OR(D78 ="NA",E78="NA"),"NA",IF(AND(D78= "",E78=""),"",IF(AND(D78= "",E78&lt;&gt; ""),"Missing Data",                     IF(AND(D78&lt;&gt; "",E78= ""),"Missing Data",(IF(OR(G78="NA",G78=""),"No Criteria",(IF(AND(Q78="NA",D78&lt;&gt;"NA",G78&lt;&gt;"NA"),                                               "Missing Data",(IF(Q78&lt;G78,"No","Needed")))))))))),"---")</f>
        <v>---</v>
      </c>
      <c r="C78" s="350" t="str">
        <f>IF(Start!$C$16="x",IF(OR(D78 ="NA",E78="NA"),"NA",IF(AND(D78= "",E78=""),"",IF(AND(D78= "",E78&lt;&gt; ""),"Missing Data",                     IF(AND(D78&lt;&gt; "",E78= ""),"Missing Data",(IF(OR(G78="NA",G78=""),"No Criteria",(IF(AND(S78="NA",D78&lt;&gt;"NA",G78&lt;&gt;"NA"),                                               "Missing Data",(IF(S78&lt;G78,"No","Needed")))))))))),"---")</f>
        <v>---</v>
      </c>
      <c r="D78" s="372" t="str">
        <f>IF(TRUE=ISBLANK(ChemData!B78),"",(ChemData!B78))</f>
        <v/>
      </c>
      <c r="E78" s="373" t="str">
        <f>IF(TRUE=ISBLANK(ChemData!C78),"",(ChemData!C78))</f>
        <v/>
      </c>
      <c r="F78" s="374" t="str">
        <f>IF(TRUE=ISBLANK(ChemData!D78),"",(ChemData!D78))</f>
        <v/>
      </c>
      <c r="G78" s="289" t="str">
        <f>IF(TRUE=ISBLANK(ChemData!I78),"",(ChemData!I78))</f>
        <v>NA</v>
      </c>
      <c r="H78" s="290">
        <f>IF(TRUE=ISBLANK(ChemData!Q78),"",(ChemData!Q78))</f>
        <v>134.09309620988071</v>
      </c>
      <c r="I78" s="290">
        <f>IF(TRUE=ISBLANK(ChemData!R78),"",(ChemData!R78))</f>
        <v>134.09309620988071</v>
      </c>
      <c r="J78" s="290">
        <f>IF(TRUE=ISBLANK(ChemData!S78),"",(ChemData!S78))</f>
        <v>1</v>
      </c>
      <c r="K78" s="291">
        <f>IF(TRUE=ISBLANK(ChemData!T78),"",(ChemData!T78))</f>
        <v>1</v>
      </c>
      <c r="L78" s="375" t="str">
        <f>IF(Start!$C$16="x",IF(OR(D78="NA",D78=""),"NA", IF(OR($J78 = "NA",J78=""),"NA",(D78*$J78))),"---")</f>
        <v>---</v>
      </c>
      <c r="M78" s="377" t="str">
        <f>IF(Start!$C$16="x",IF(OR(D78="NA",D78=""),"NA", IF(OR($K78 = "NA",K78=""),"NA",(D78*$K78))),"---")</f>
        <v>---</v>
      </c>
      <c r="N78" s="375" t="str">
        <f t="shared" si="4"/>
        <v>---</v>
      </c>
      <c r="O78" s="377" t="str">
        <f t="shared" si="4"/>
        <v>---</v>
      </c>
      <c r="P78" s="461" t="str">
        <f>IF(Start!$C$16="x",(IF(L78 = "NA","NA", (IF(OR($H78 = "NA",H78=""), "NA",(IF(OR(ChemData!U78="NA",ChemData!U78=""),L78/((Data!$D$33+((1-Data!$D$33)*Data!$D$14*$H78))/((1-Data!$D$33)*Data!$D$14*1000)),(IF(L78/((Data!$D$33+((1-Data!$D$33)*Data!$D$14*$H78))/((1-Data!$D$33)*Data!$D$14*1000))&gt;ChemData!U78, ChemData!U78, L78/((Data!$D$33+((1-Data!$D$33)*Data!$D$14*$H78))/((1-Data!$D$33)*Data!$D$14*1000)))))))))),"---")</f>
        <v>---</v>
      </c>
      <c r="Q78" s="376" t="str">
        <f>IF(Start!$C$16="x",IF(OR($F78 = "NA",F78=""), "NA", IF(P78= "NA", "NA",(P78+(Data!$D$30*$F78))/(Data!$D$30+1))),"---")</f>
        <v>---</v>
      </c>
      <c r="R78" s="376" t="str">
        <f>IF(Start!$C$16="x",IF(O78 = "NA","NA", IF(OR($I78 = "NA",I78=""), "NA",(IF(OR(ChemData!U78="NA",ChemData!U78=""),O78/((Data!$D$35+((1-Data!$D$35)*Data!$D$14*$I78))/((1-Data!$D$35)*Data!$D$14*1000)),(IF(O78/((Data!$D$35+((1-Data!$D$35)*Data!$D$14*$I78))/((1-Data!$D$35)*Data!$D$14*1000))&gt;ChemData!U78, ChemData!U78, O78/((Data!$D$35+((1-Data!$D$35)*Data!$D$14*$I78))/((1-Data!$D$35)*Data!$D$14*1000)))))))),"---")</f>
        <v>---</v>
      </c>
      <c r="S78" s="377" t="str">
        <f>IF(Start!$C$16="x",IF(OR($F78 = "NA",F78=""), "NA", IF(R78= "NA", "NA",(R78+(Data!$D$30*$F78))/(Data!$D$30+1))),"---")</f>
        <v>---</v>
      </c>
      <c r="T78" s="343" t="str">
        <f>IF(Start!$C$16="x",IF(AND(D78= "",E78=""),"",IF(Q78="NA","NA",IF(G78="NA","NA",IF(G78=0,"NA",(Q78/G78))))),"Not Req.")</f>
        <v>Not Req.</v>
      </c>
      <c r="U78" s="343" t="str">
        <f>IF(Start!$C$16="x",IF(AND(D78= "",E78=""),"",IF(S78="NA","NA",IF(G78="NA","NA",IF(G78=0,"NA",(S78/G78))))),"Not Req.")</f>
        <v>Not Req.</v>
      </c>
      <c r="V78" s="11"/>
    </row>
    <row r="79" spans="1:22" s="10" customFormat="1" x14ac:dyDescent="0.25">
      <c r="A79" s="307" t="s">
        <v>397</v>
      </c>
      <c r="B79" s="348" t="str">
        <f>IF(Start!$C$16="x",IF(OR(D79 ="NA",E79="NA"),"NA",IF(AND(D79= "",E79=""),"",IF(AND(D79= "",E79&lt;&gt; ""),"Missing Data",                     IF(AND(D79&lt;&gt; "",E79= ""),"Missing Data",(IF(OR(G79="NA",G79=""),"No Criteria",(IF(AND(Q79="NA",D79&lt;&gt;"NA",G79&lt;&gt;"NA"),                                               "Missing Data",(IF(Q79&lt;G79,"No","Needed")))))))))),"---")</f>
        <v>---</v>
      </c>
      <c r="C79" s="350" t="str">
        <f>IF(Start!$C$16="x",IF(OR(D79 ="NA",E79="NA"),"NA",IF(AND(D79= "",E79=""),"",IF(AND(D79= "",E79&lt;&gt; ""),"Missing Data",                     IF(AND(D79&lt;&gt; "",E79= ""),"Missing Data",(IF(OR(G79="NA",G79=""),"No Criteria",(IF(AND(S79="NA",D79&lt;&gt;"NA",G79&lt;&gt;"NA"),                                               "Missing Data",(IF(S79&lt;G79,"No","Needed")))))))))),"---")</f>
        <v>---</v>
      </c>
      <c r="D79" s="372" t="str">
        <f>IF(TRUE=ISBLANK(ChemData!B79),"",(ChemData!B79))</f>
        <v/>
      </c>
      <c r="E79" s="373" t="str">
        <f>IF(TRUE=ISBLANK(ChemData!C79),"",(ChemData!C79))</f>
        <v/>
      </c>
      <c r="F79" s="374" t="str">
        <f>IF(TRUE=ISBLANK(ChemData!D79),"",(ChemData!D79))</f>
        <v/>
      </c>
      <c r="G79" s="289">
        <f>IF(TRUE=ISBLANK(ChemData!I79),"",(ChemData!I79))</f>
        <v>12</v>
      </c>
      <c r="H79" s="290">
        <f>IF(TRUE=ISBLANK(ChemData!Q79),"",(ChemData!Q79))</f>
        <v>40.495467659306222</v>
      </c>
      <c r="I79" s="290">
        <f>IF(TRUE=ISBLANK(ChemData!R79),"",(ChemData!R79))</f>
        <v>40.495467659306222</v>
      </c>
      <c r="J79" s="290">
        <f>IF(TRUE=ISBLANK(ChemData!S79),"",(ChemData!S79))</f>
        <v>1</v>
      </c>
      <c r="K79" s="291">
        <f>IF(TRUE=ISBLANK(ChemData!T79),"",(ChemData!T79))</f>
        <v>1</v>
      </c>
      <c r="L79" s="375" t="str">
        <f>IF(Start!$C$16="x",IF(OR(D79="NA",D79=""),"NA", IF(OR($J79 = "NA",J79=""),"NA",(D79*$J79))),"---")</f>
        <v>---</v>
      </c>
      <c r="M79" s="377" t="str">
        <f>IF(Start!$C$16="x",IF(OR(D79="NA",D79=""),"NA", IF(OR($K79 = "NA",K79=""),"NA",(D79*$K79))),"---")</f>
        <v>---</v>
      </c>
      <c r="N79" s="375" t="str">
        <f t="shared" si="4"/>
        <v>---</v>
      </c>
      <c r="O79" s="377" t="str">
        <f t="shared" si="4"/>
        <v>---</v>
      </c>
      <c r="P79" s="461" t="str">
        <f>IF(Start!$C$16="x",(IF(L79 = "NA","NA", (IF(OR($H79 = "NA",H79=""), "NA",(IF(OR(ChemData!U79="NA",ChemData!U79=""),L79/((Data!$D$33+((1-Data!$D$33)*Data!$D$14*$H79))/((1-Data!$D$33)*Data!$D$14*1000)),(IF(L79/((Data!$D$33+((1-Data!$D$33)*Data!$D$14*$H79))/((1-Data!$D$33)*Data!$D$14*1000))&gt;ChemData!U79, ChemData!U79, L79/((Data!$D$33+((1-Data!$D$33)*Data!$D$14*$H79))/((1-Data!$D$33)*Data!$D$14*1000)))))))))),"---")</f>
        <v>---</v>
      </c>
      <c r="Q79" s="376" t="str">
        <f>IF(Start!$C$16="x",IF(OR($F79 = "NA",F79=""), "NA", IF(P79= "NA", "NA",(P79+(Data!$D$30*$F79))/(Data!$D$30+1))),"---")</f>
        <v>---</v>
      </c>
      <c r="R79" s="376" t="str">
        <f>IF(Start!$C$16="x",IF(O79 = "NA","NA", IF(OR($I79 = "NA",I79=""), "NA",(IF(OR(ChemData!U79="NA",ChemData!U79=""),O79/((Data!$D$35+((1-Data!$D$35)*Data!$D$14*$I79))/((1-Data!$D$35)*Data!$D$14*1000)),(IF(O79/((Data!$D$35+((1-Data!$D$35)*Data!$D$14*$I79))/((1-Data!$D$35)*Data!$D$14*1000))&gt;ChemData!U79, ChemData!U79, O79/((Data!$D$35+((1-Data!$D$35)*Data!$D$14*$I79))/((1-Data!$D$35)*Data!$D$14*1000)))))))),"---")</f>
        <v>---</v>
      </c>
      <c r="S79" s="377" t="str">
        <f>IF(Start!$C$16="x",IF(OR($F79 = "NA",F79=""), "NA", IF(R79= "NA", "NA",(R79+(Data!$D$30*$F79))/(Data!$D$30+1))),"---")</f>
        <v>---</v>
      </c>
      <c r="T79" s="343" t="str">
        <f>IF(Start!$C$16="x",IF(AND(D79= "",E79=""),"",IF(Q79="NA","NA",IF(G79="NA","NA",IF(G79=0,"NA",(Q79/G79))))),"Not Req.")</f>
        <v>Not Req.</v>
      </c>
      <c r="U79" s="343" t="str">
        <f>IF(Start!$C$16="x",IF(AND(D79= "",E79=""),"",IF(S79="NA","NA",IF(G79="NA","NA",IF(G79=0,"NA",(S79/G79))))),"Not Req.")</f>
        <v>Not Req.</v>
      </c>
      <c r="V79" s="11"/>
    </row>
    <row r="80" spans="1:22" s="10" customFormat="1" x14ac:dyDescent="0.25">
      <c r="A80" s="307" t="s">
        <v>398</v>
      </c>
      <c r="B80" s="348" t="str">
        <f>IF(Start!$C$16="x",IF(OR(D80 ="NA",E80="NA"),"NA",IF(AND(D80= "",E80=""),"",IF(AND(D80= "",E80&lt;&gt; ""),"Missing Data",                     IF(AND(D80&lt;&gt; "",E80= ""),"Missing Data",(IF(OR(G80="NA",G80=""),"No Criteria",(IF(AND(Q80="NA",D80&lt;&gt;"NA",G80&lt;&gt;"NA"),                                               "Missing Data",(IF(Q80&lt;G80,"No","Needed")))))))))),"---")</f>
        <v>---</v>
      </c>
      <c r="C80" s="350" t="str">
        <f>IF(Start!$C$16="x",IF(OR(D80 ="NA",E80="NA"),"NA",IF(AND(D80= "",E80=""),"",IF(AND(D80= "",E80&lt;&gt; ""),"Missing Data",                     IF(AND(D80&lt;&gt; "",E80= ""),"Missing Data",(IF(OR(G80="NA",G80=""),"No Criteria",(IF(AND(S80="NA",D80&lt;&gt;"NA",G80&lt;&gt;"NA"),                                               "Missing Data",(IF(S80&lt;G80,"No","Needed")))))))))),"---")</f>
        <v>---</v>
      </c>
      <c r="D80" s="372" t="str">
        <f>IF(TRUE=ISBLANK(ChemData!B80),"",(ChemData!B80))</f>
        <v/>
      </c>
      <c r="E80" s="373" t="str">
        <f>IF(TRUE=ISBLANK(ChemData!C80),"",(ChemData!C80))</f>
        <v/>
      </c>
      <c r="F80" s="374" t="str">
        <f>IF(TRUE=ISBLANK(ChemData!D80),"",(ChemData!D80))</f>
        <v/>
      </c>
      <c r="G80" s="289" t="str">
        <f>IF(TRUE=ISBLANK(ChemData!I80),"",(ChemData!I80))</f>
        <v>NA</v>
      </c>
      <c r="H80" s="290" t="str">
        <f>IF(TRUE=ISBLANK(ChemData!Q80),"",(ChemData!Q80))</f>
        <v>NA</v>
      </c>
      <c r="I80" s="290" t="str">
        <f>IF(TRUE=ISBLANK(ChemData!R80),"",(ChemData!R80))</f>
        <v>NA</v>
      </c>
      <c r="J80" s="290">
        <f>IF(TRUE=ISBLANK(ChemData!S80),"",(ChemData!S80))</f>
        <v>1</v>
      </c>
      <c r="K80" s="291">
        <f>IF(TRUE=ISBLANK(ChemData!T80),"",(ChemData!T80))</f>
        <v>1</v>
      </c>
      <c r="L80" s="375" t="str">
        <f>IF(Start!$C$16="x",IF(OR(D80="NA",D80=""),"NA", IF(OR($J80 = "NA",J80=""),"NA",(D80*$J80))),"---")</f>
        <v>---</v>
      </c>
      <c r="M80" s="377" t="str">
        <f>IF(Start!$C$16="x",IF(OR(D80="NA",D80=""),"NA", IF(OR($K80 = "NA",K80=""),"NA",(D80*$K80))),"---")</f>
        <v>---</v>
      </c>
      <c r="N80" s="375" t="str">
        <f t="shared" si="4"/>
        <v>---</v>
      </c>
      <c r="O80" s="377" t="str">
        <f t="shared" si="4"/>
        <v>---</v>
      </c>
      <c r="P80" s="461" t="str">
        <f>IF(Start!$C$16="x",(IF(L80 = "NA","NA", (IF(OR($H80 = "NA",H80=""), "NA",(IF(OR(ChemData!U80="NA",ChemData!U80=""),L80/((Data!$D$33+((1-Data!$D$33)*Data!$D$14*$H80))/((1-Data!$D$33)*Data!$D$14*1000)),(IF(L80/((Data!$D$33+((1-Data!$D$33)*Data!$D$14*$H80))/((1-Data!$D$33)*Data!$D$14*1000))&gt;ChemData!U80, ChemData!U80, L80/((Data!$D$33+((1-Data!$D$33)*Data!$D$14*$H80))/((1-Data!$D$33)*Data!$D$14*1000)))))))))),"---")</f>
        <v>---</v>
      </c>
      <c r="Q80" s="376" t="str">
        <f>IF(Start!$C$16="x",IF(OR($F80 = "NA",F80=""), "NA", IF(P80= "NA", "NA",(P80+(Data!$D$30*$F80))/(Data!$D$30+1))),"---")</f>
        <v>---</v>
      </c>
      <c r="R80" s="376" t="str">
        <f>IF(Start!$C$16="x",IF(O80 = "NA","NA", IF(OR($I80 = "NA",I80=""), "NA",(IF(OR(ChemData!U80="NA",ChemData!U80=""),O80/((Data!$D$35+((1-Data!$D$35)*Data!$D$14*$I80))/((1-Data!$D$35)*Data!$D$14*1000)),(IF(O80/((Data!$D$35+((1-Data!$D$35)*Data!$D$14*$I80))/((1-Data!$D$35)*Data!$D$14*1000))&gt;ChemData!U80, ChemData!U80, O80/((Data!$D$35+((1-Data!$D$35)*Data!$D$14*$I80))/((1-Data!$D$35)*Data!$D$14*1000)))))))),"---")</f>
        <v>---</v>
      </c>
      <c r="S80" s="377" t="str">
        <f>IF(Start!$C$16="x",IF(OR($F80 = "NA",F80=""), "NA", IF(R80= "NA", "NA",(R80+(Data!$D$30*$F80))/(Data!$D$30+1))),"---")</f>
        <v>---</v>
      </c>
      <c r="T80" s="343" t="str">
        <f>IF(Start!$C$16="x",IF(AND(D80= "",E80=""),"",IF(Q80="NA","NA",IF(G80="NA","NA",IF(G80=0,"NA",(Q80/G80))))),"Not Req.")</f>
        <v>Not Req.</v>
      </c>
      <c r="U80" s="343" t="str">
        <f>IF(Start!$C$16="x",IF(AND(D80= "",E80=""),"",IF(S80="NA","NA",IF(G80="NA","NA",IF(G80=0,"NA",(S80/G80))))),"Not Req.")</f>
        <v>Not Req.</v>
      </c>
      <c r="V80" s="11"/>
    </row>
    <row r="81" spans="1:22" s="10" customFormat="1" x14ac:dyDescent="0.25">
      <c r="A81" s="307" t="s">
        <v>399</v>
      </c>
      <c r="B81" s="348" t="str">
        <f>IF(Start!$C$16="x",IF(OR(D81 ="NA",E81="NA"),"NA",IF(AND(D81= "",E81=""),"",IF(AND(D81= "",E81&lt;&gt; ""),"Missing Data",                     IF(AND(D81&lt;&gt; "",E81= ""),"Missing Data",(IF(OR(G81="NA",G81=""),"No Criteria",(IF(AND(Q81="NA",D81&lt;&gt;"NA",G81&lt;&gt;"NA"),                                               "Missing Data",(IF(Q81&lt;G81,"No","Needed")))))))))),"---")</f>
        <v>---</v>
      </c>
      <c r="C81" s="350" t="str">
        <f>IF(Start!$C$16="x",IF(OR(D81 ="NA",E81="NA"),"NA",IF(AND(D81= "",E81=""),"",IF(AND(D81= "",E81&lt;&gt; ""),"Missing Data",                     IF(AND(D81&lt;&gt; "",E81= ""),"Missing Data",(IF(OR(G81="NA",G81=""),"No Criteria",(IF(AND(S81="NA",D81&lt;&gt;"NA",G81&lt;&gt;"NA"),                                               "Missing Data",(IF(S81&lt;G81,"No","Needed")))))))))),"---")</f>
        <v>---</v>
      </c>
      <c r="D81" s="372" t="str">
        <f>IF(TRUE=ISBLANK(ChemData!B81),"",(ChemData!B81))</f>
        <v/>
      </c>
      <c r="E81" s="373" t="str">
        <f>IF(TRUE=ISBLANK(ChemData!C81),"",(ChemData!C81))</f>
        <v/>
      </c>
      <c r="F81" s="374" t="str">
        <f>IF(TRUE=ISBLANK(ChemData!D81),"",(ChemData!D81))</f>
        <v/>
      </c>
      <c r="G81" s="289">
        <f>IF(TRUE=ISBLANK(ChemData!I81),"",(ChemData!I81))</f>
        <v>6.3</v>
      </c>
      <c r="H81" s="290">
        <f>IF(TRUE=ISBLANK(ChemData!Q81),"",(ChemData!Q81))</f>
        <v>533.83423122873478</v>
      </c>
      <c r="I81" s="290">
        <f>IF(TRUE=ISBLANK(ChemData!R81),"",(ChemData!R81))</f>
        <v>533.83423122873478</v>
      </c>
      <c r="J81" s="290">
        <f>IF(TRUE=ISBLANK(ChemData!S81),"",(ChemData!S81))</f>
        <v>1</v>
      </c>
      <c r="K81" s="291">
        <f>IF(TRUE=ISBLANK(ChemData!T81),"",(ChemData!T81))</f>
        <v>1</v>
      </c>
      <c r="L81" s="375" t="str">
        <f>IF(Start!$C$16="x",IF(OR(D81="NA",D81=""),"NA", IF(OR($J81 = "NA",J81=""),"NA",(D81*$J81))),"---")</f>
        <v>---</v>
      </c>
      <c r="M81" s="377" t="str">
        <f>IF(Start!$C$16="x",IF(OR(D81="NA",D81=""),"NA", IF(OR($K81 = "NA",K81=""),"NA",(D81*$K81))),"---")</f>
        <v>---</v>
      </c>
      <c r="N81" s="375" t="str">
        <f t="shared" si="4"/>
        <v>---</v>
      </c>
      <c r="O81" s="377" t="str">
        <f t="shared" si="4"/>
        <v>---</v>
      </c>
      <c r="P81" s="461" t="str">
        <f>IF(Start!$C$16="x",(IF(L81 = "NA","NA", (IF(OR($H81 = "NA",H81=""), "NA",(IF(OR(ChemData!U81="NA",ChemData!U81=""),L81/((Data!$D$33+((1-Data!$D$33)*Data!$D$14*$H81))/((1-Data!$D$33)*Data!$D$14*1000)),(IF(L81/((Data!$D$33+((1-Data!$D$33)*Data!$D$14*$H81))/((1-Data!$D$33)*Data!$D$14*1000))&gt;ChemData!U81, ChemData!U81, L81/((Data!$D$33+((1-Data!$D$33)*Data!$D$14*$H81))/((1-Data!$D$33)*Data!$D$14*1000)))))))))),"---")</f>
        <v>---</v>
      </c>
      <c r="Q81" s="376" t="str">
        <f>IF(Start!$C$16="x",IF(OR($F81 = "NA",F81=""), "NA", IF(P81= "NA", "NA",(P81+(Data!$D$30*$F81))/(Data!$D$30+1))),"---")</f>
        <v>---</v>
      </c>
      <c r="R81" s="376" t="str">
        <f>IF(Start!$C$16="x",IF(O81 = "NA","NA", IF(OR($I81 = "NA",I81=""), "NA",(IF(OR(ChemData!U81="NA",ChemData!U81=""),O81/((Data!$D$35+((1-Data!$D$35)*Data!$D$14*$I81))/((1-Data!$D$35)*Data!$D$14*1000)),(IF(O81/((Data!$D$35+((1-Data!$D$35)*Data!$D$14*$I81))/((1-Data!$D$35)*Data!$D$14*1000))&gt;ChemData!U81, ChemData!U81, O81/((Data!$D$35+((1-Data!$D$35)*Data!$D$14*$I81))/((1-Data!$D$35)*Data!$D$14*1000)))))))),"---")</f>
        <v>---</v>
      </c>
      <c r="S81" s="377" t="str">
        <f>IF(Start!$C$16="x",IF(OR($F81 = "NA",F81=""), "NA", IF(R81= "NA", "NA",(R81+(Data!$D$30*$F81))/(Data!$D$30+1))),"---")</f>
        <v>---</v>
      </c>
      <c r="T81" s="343" t="str">
        <f>IF(Start!$C$16="x",IF(AND(D81= "",E81=""),"",IF(Q81="NA","NA",IF(G81="NA","NA",IF(G81=0,"NA",(Q81/G81))))),"Not Req.")</f>
        <v>Not Req.</v>
      </c>
      <c r="U81" s="343" t="str">
        <f>IF(Start!$C$16="x",IF(AND(D81= "",E81=""),"",IF(S81="NA","NA",IF(G81="NA","NA",IF(G81=0,"NA",(S81/G81))))),"Not Req.")</f>
        <v>Not Req.</v>
      </c>
      <c r="V81" s="11"/>
    </row>
    <row r="82" spans="1:22" s="10" customFormat="1" ht="13.8" thickBot="1" x14ac:dyDescent="0.3">
      <c r="A82" s="403" t="s">
        <v>400</v>
      </c>
      <c r="B82" s="909" t="str">
        <f>IF(Start!$C$16="x",IF(OR(D82 ="NA",E82="NA"),"NA",IF(AND(D82= "",E82=""),"",IF(AND(D82= "",E82&lt;&gt; ""),"Missing Data",                     IF(AND(D82&lt;&gt; "",E82= ""),"Missing Data",(IF(OR(G82="NA",G82=""),"No Criteria",(IF(AND(Q82="NA",D82&lt;&gt;"NA",G82&lt;&gt;"NA"),                                               "Missing Data",(IF(Q82&lt;G82,"No","Needed")))))))))),"---")</f>
        <v>---</v>
      </c>
      <c r="C82" s="910" t="str">
        <f>IF(Start!$C$16="x",IF(OR(D82 ="NA",E82="NA"),"NA",IF(AND(D82= "",E82=""),"",IF(AND(D82= "",E82&lt;&gt; ""),"Missing Data",                     IF(AND(D82&lt;&gt; "",E82= ""),"Missing Data",(IF(OR(G82="NA",G82=""),"No Criteria",(IF(AND(S82="NA",D82&lt;&gt;"NA",G82&lt;&gt;"NA"),                                               "Missing Data",(IF(S82&lt;G82,"No","Needed")))))))))),"---")</f>
        <v>---</v>
      </c>
      <c r="D82" s="903" t="str">
        <f>IF(TRUE=ISBLANK(ChemData!B82),"",(ChemData!B82))</f>
        <v/>
      </c>
      <c r="E82" s="904" t="str">
        <f>IF(TRUE=ISBLANK(ChemData!C82),"",(ChemData!C82))</f>
        <v/>
      </c>
      <c r="F82" s="905" t="str">
        <f>IF(TRUE=ISBLANK(ChemData!D82),"",(ChemData!D82))</f>
        <v/>
      </c>
      <c r="G82" s="522" t="str">
        <f>IF(TRUE=ISBLANK(ChemData!I82),"",(ChemData!I82))</f>
        <v>NA</v>
      </c>
      <c r="H82" s="523">
        <f>IF(TRUE=ISBLANK(ChemData!Q82),"",(ChemData!Q82))</f>
        <v>2330.270937231006</v>
      </c>
      <c r="I82" s="523">
        <f>IF(TRUE=ISBLANK(ChemData!R82),"",(ChemData!R82))</f>
        <v>2330.270937231006</v>
      </c>
      <c r="J82" s="523">
        <f>IF(TRUE=ISBLANK(ChemData!S82),"",(ChemData!S82))</f>
        <v>1</v>
      </c>
      <c r="K82" s="700">
        <f>IF(TRUE=ISBLANK(ChemData!T82),"",(ChemData!T82))</f>
        <v>1</v>
      </c>
      <c r="L82" s="906" t="str">
        <f>IF(Start!$C$16="x",IF(OR(D82="NA",D82=""),"NA", IF(OR($J82 = "NA",J82=""),"NA",(D82*$J82))),"---")</f>
        <v>---</v>
      </c>
      <c r="M82" s="767" t="str">
        <f>IF(Start!$C$16="x",IF(OR(D82="NA",D82=""),"NA", IF(OR($K82 = "NA",K82=""),"NA",(D82*$K82))),"---")</f>
        <v>---</v>
      </c>
      <c r="N82" s="906" t="str">
        <f t="shared" si="4"/>
        <v>---</v>
      </c>
      <c r="O82" s="767" t="str">
        <f t="shared" si="4"/>
        <v>---</v>
      </c>
      <c r="P82" s="766" t="str">
        <f>IF(Start!$C$16="x",(IF(L82 = "NA","NA", (IF(OR($H82 = "NA",H82=""), "NA",(IF(OR(ChemData!U82="NA",ChemData!U82=""),L82/((Data!$D$33+((1-Data!$D$33)*Data!$D$14*$H82))/((1-Data!$D$33)*Data!$D$14*1000)),(IF(L82/((Data!$D$33+((1-Data!$D$33)*Data!$D$14*$H82))/((1-Data!$D$33)*Data!$D$14*1000))&gt;ChemData!U82, ChemData!U82, L82/((Data!$D$33+((1-Data!$D$33)*Data!$D$14*$H82))/((1-Data!$D$33)*Data!$D$14*1000)))))))))),"---")</f>
        <v>---</v>
      </c>
      <c r="Q82" s="907" t="str">
        <f>IF(Start!$C$16="x",IF(OR($F82 = "NA",F82=""), "NA", IF(P82= "NA", "NA",(P82+(Data!$D$30*$F82))/(Data!$D$30+1))),"---")</f>
        <v>---</v>
      </c>
      <c r="R82" s="907" t="str">
        <f>IF(Start!$C$16="x",IF(O82 = "NA","NA", IF(OR($I82 = "NA",I82=""), "NA",(IF(OR(ChemData!U82="NA",ChemData!U82=""),O82/((Data!$D$35+((1-Data!$D$35)*Data!$D$14*$I82))/((1-Data!$D$35)*Data!$D$14*1000)),(IF(O82/((Data!$D$35+((1-Data!$D$35)*Data!$D$14*$I82))/((1-Data!$D$35)*Data!$D$14*1000))&gt;ChemData!U82, ChemData!U82, O82/((Data!$D$35+((1-Data!$D$35)*Data!$D$14*$I82))/((1-Data!$D$35)*Data!$D$14*1000)))))))),"---")</f>
        <v>---</v>
      </c>
      <c r="S82" s="767" t="str">
        <f>IF(Start!$C$16="x",IF(OR($F82 = "NA",F82=""), "NA", IF(R82= "NA", "NA",(R82+(Data!$D$30*$F82))/(Data!$D$30+1))),"---")</f>
        <v>---</v>
      </c>
      <c r="T82" s="762" t="str">
        <f>IF(Start!$C$16="x",IF(AND(D82= "",E82=""),"",IF(Q82="NA","NA",IF(G82="NA","NA",IF(G82=0,"NA",(Q82/G82))))),"Not Req.")</f>
        <v>Not Req.</v>
      </c>
      <c r="U82" s="762" t="str">
        <f>IF(Start!$C$16="x",IF(AND(D82= "",E82=""),"",IF(S82="NA","NA",IF(G82="NA","NA",IF(G82=0,"NA",(S82/G82))))),"Not Req.")</f>
        <v>Not Req.</v>
      </c>
      <c r="V82" s="11"/>
    </row>
    <row r="83" spans="1:22" s="10" customFormat="1" x14ac:dyDescent="0.25">
      <c r="A83" s="524" t="s">
        <v>401</v>
      </c>
      <c r="B83" s="525"/>
      <c r="C83" s="526"/>
      <c r="D83" s="508"/>
      <c r="E83" s="509"/>
      <c r="F83" s="510"/>
      <c r="G83" s="511"/>
      <c r="H83" s="512"/>
      <c r="I83" s="512"/>
      <c r="J83" s="512"/>
      <c r="K83" s="513"/>
      <c r="L83" s="511"/>
      <c r="M83" s="513"/>
      <c r="N83" s="511"/>
      <c r="O83" s="513"/>
      <c r="P83" s="512"/>
      <c r="Q83" s="512"/>
      <c r="R83" s="512"/>
      <c r="S83" s="513"/>
      <c r="T83" s="511"/>
      <c r="U83" s="527"/>
      <c r="V83" s="11"/>
    </row>
    <row r="84" spans="1:22" s="10" customFormat="1" x14ac:dyDescent="0.25">
      <c r="A84" s="307" t="s">
        <v>402</v>
      </c>
      <c r="B84" s="348" t="str">
        <f>IF(Start!$C$16="x",IF(OR(D84 ="NA",E84="NA"),"NA",IF(AND(D84= "",E84=""),"",IF(AND(D84= "",E84&lt;&gt; ""),"Missing Data",                     IF(AND(D84&lt;&gt; "",E84= ""),"Missing Data",(IF(OR(G84="NA",G84=""),"No Criteria",(IF(AND(Q84="NA",D84&lt;&gt;"NA",G84&lt;&gt;"NA"),                                               "Missing Data",(IF(Q84&lt;G84,"No","Needed")))))))))),"---")</f>
        <v>---</v>
      </c>
      <c r="C84" s="350" t="str">
        <f>IF(Start!$C$16="x",IF(OR(D84 ="NA",E84="NA"),"NA",IF(AND(D84= "",E84=""),"",IF(AND(D84= "",E84&lt;&gt; ""),"Missing Data",                     IF(AND(D84&lt;&gt; "",E84= ""),"Missing Data",(IF(OR(G84="NA",G84=""),"No Criteria",(IF(AND(S84="NA",D84&lt;&gt;"NA",G84&lt;&gt;"NA"),                                               "Missing Data",(IF(S84&lt;G84,"No","Needed")))))))))),"---")</f>
        <v>---</v>
      </c>
      <c r="D84" s="372" t="str">
        <f>IF(TRUE=ISBLANK(ChemData!B84),"",(ChemData!B84))</f>
        <v/>
      </c>
      <c r="E84" s="373" t="str">
        <f>IF(TRUE=ISBLANK(ChemData!C84),"",(ChemData!C84))</f>
        <v/>
      </c>
      <c r="F84" s="374" t="str">
        <f>IF(TRUE=ISBLANK(ChemData!D84),"",(ChemData!D84))</f>
        <v/>
      </c>
      <c r="G84" s="289" t="str">
        <f>IF(TRUE=ISBLANK(ChemData!I84),"",(ChemData!I84))</f>
        <v>NA</v>
      </c>
      <c r="H84" s="290">
        <f>IF(TRUE=ISBLANK(ChemData!Q84),"",(ChemData!Q84))</f>
        <v>0.72012256338441361</v>
      </c>
      <c r="I84" s="290">
        <f>IF(TRUE=ISBLANK(ChemData!R84),"",(ChemData!R84))</f>
        <v>0.72012256338441361</v>
      </c>
      <c r="J84" s="290">
        <f>IF(TRUE=ISBLANK(ChemData!S84),"",(ChemData!S84))</f>
        <v>1</v>
      </c>
      <c r="K84" s="291">
        <f>IF(TRUE=ISBLANK(ChemData!T84),"",(ChemData!T84))</f>
        <v>1</v>
      </c>
      <c r="L84" s="375" t="str">
        <f>IF(Start!$C$16="x",IF(OR(D84="NA",D84=""),"NA", IF(OR($J84 = "NA",J84=""),"NA",(D84*$J84))),"---")</f>
        <v>---</v>
      </c>
      <c r="M84" s="377" t="str">
        <f>IF(Start!$C$16="x",IF(OR(D84="NA",D84=""),"NA", IF(OR($K84 = "NA",K84=""),"NA",(D84*$K84))),"---")</f>
        <v>---</v>
      </c>
      <c r="N84" s="375" t="str">
        <f t="shared" ref="N84:O140" si="5">L84</f>
        <v>---</v>
      </c>
      <c r="O84" s="377" t="str">
        <f t="shared" si="5"/>
        <v>---</v>
      </c>
      <c r="P84" s="461" t="str">
        <f>IF(Start!$C$16="x",(IF(L84 = "NA","NA", (IF(OR($H84 = "NA",H84=""), "NA",(IF(OR(ChemData!U84="NA",ChemData!U84=""),L84/((Data!$D$33+((1-Data!$D$33)*Data!$D$14*$H84))/((1-Data!$D$33)*Data!$D$14*1000)),(IF(L84/((Data!$D$33+((1-Data!$D$33)*Data!$D$14*$H84))/((1-Data!$D$33)*Data!$D$14*1000))&gt;ChemData!U84, ChemData!U84, L84/((Data!$D$33+((1-Data!$D$33)*Data!$D$14*$H84))/((1-Data!$D$33)*Data!$D$14*1000)))))))))),"---")</f>
        <v>---</v>
      </c>
      <c r="Q84" s="376" t="str">
        <f>IF(Start!$C$16="x",IF(OR($F84 = "NA",F84=""), "NA", IF(P84= "NA", "NA",(P84+(Data!$D$30*$F84))/(Data!$D$30+1))),"---")</f>
        <v>---</v>
      </c>
      <c r="R84" s="376" t="str">
        <f>IF(Start!$C$16="x",IF(O84 = "NA","NA", IF(OR($I84 = "NA",I84=""), "NA",(IF(OR(ChemData!U84="NA",ChemData!U84=""),O84/((Data!$D$35+((1-Data!$D$35)*Data!$D$14*$I84))/((1-Data!$D$35)*Data!$D$14*1000)),(IF(O84/((Data!$D$35+((1-Data!$D$35)*Data!$D$14*$I84))/((1-Data!$D$35)*Data!$D$14*1000))&gt;ChemData!U84, ChemData!U84, O84/((Data!$D$35+((1-Data!$D$35)*Data!$D$14*$I84))/((1-Data!$D$35)*Data!$D$14*1000)))))))),"---")</f>
        <v>---</v>
      </c>
      <c r="S84" s="377" t="str">
        <f>IF(Start!$C$16="x",IF(OR($F84 = "NA",F84=""), "NA", IF(R84= "NA", "NA",(R84+(Data!$D$30*$F84))/(Data!$D$30+1))),"---")</f>
        <v>---</v>
      </c>
      <c r="T84" s="343" t="str">
        <f>IF(Start!$C$16="x",IF(AND(D84= "",E84=""),"",IF(Q84="NA","NA",IF(G84="NA","NA",IF(G84=0,"NA",(Q84/G84))))),"Not Req.")</f>
        <v>Not Req.</v>
      </c>
      <c r="U84" s="343" t="str">
        <f>IF(Start!$C$16="x",IF(AND(D84= "",E84=""),"",IF(S84="NA","NA",IF(G84="NA","NA",IF(G84=0,"NA",(S84/G84))))),"Not Req.")</f>
        <v>Not Req.</v>
      </c>
      <c r="V84" s="11"/>
    </row>
    <row r="85" spans="1:22" s="10" customFormat="1" x14ac:dyDescent="0.25">
      <c r="A85" s="307" t="s">
        <v>403</v>
      </c>
      <c r="B85" s="348" t="str">
        <f>IF(Start!$C$16="x",IF(OR(D85 ="NA",E85="NA"),"NA",IF(AND(D85= "",E85=""),"",IF(AND(D85= "",E85&lt;&gt; ""),"Missing Data",                     IF(AND(D85&lt;&gt; "",E85= ""),"Missing Data",(IF(OR(G85="NA",G85=""),"No Criteria",(IF(AND(Q85="NA",D85&lt;&gt;"NA",G85&lt;&gt;"NA"),                                               "Missing Data",(IF(Q85&lt;G85,"No","Needed")))))))))),"---")</f>
        <v>---</v>
      </c>
      <c r="C85" s="350" t="str">
        <f>IF(Start!$C$16="x",IF(OR(D85 ="NA",E85="NA"),"NA",IF(AND(D85= "",E85=""),"",IF(AND(D85= "",E85&lt;&gt; ""),"Missing Data",                     IF(AND(D85&lt;&gt; "",E85= ""),"Missing Data",(IF(OR(G85="NA",G85=""),"No Criteria",(IF(AND(S85="NA",D85&lt;&gt;"NA",G85&lt;&gt;"NA"),                                               "Missing Data",(IF(S85&lt;G85,"No","Needed")))))))))),"---")</f>
        <v>---</v>
      </c>
      <c r="D85" s="372" t="str">
        <f>IF(TRUE=ISBLANK(ChemData!B85),"",(ChemData!B85))</f>
        <v/>
      </c>
      <c r="E85" s="373" t="str">
        <f>IF(TRUE=ISBLANK(ChemData!C85),"",(ChemData!C85))</f>
        <v/>
      </c>
      <c r="F85" s="374" t="str">
        <f>IF(TRUE=ISBLANK(ChemData!D85),"",(ChemData!D85))</f>
        <v/>
      </c>
      <c r="G85" s="289" t="str">
        <f>IF(TRUE=ISBLANK(ChemData!I85),"",(ChemData!I85))</f>
        <v>NA</v>
      </c>
      <c r="H85" s="290">
        <f>IF(TRUE=ISBLANK(ChemData!Q85),"",(ChemData!Q85))</f>
        <v>0.5589930634464132</v>
      </c>
      <c r="I85" s="290">
        <f>IF(TRUE=ISBLANK(ChemData!R85),"",(ChemData!R85))</f>
        <v>0.5589930634464132</v>
      </c>
      <c r="J85" s="290">
        <f>IF(TRUE=ISBLANK(ChemData!S85),"",(ChemData!S85))</f>
        <v>1</v>
      </c>
      <c r="K85" s="291">
        <f>IF(TRUE=ISBLANK(ChemData!T85),"",(ChemData!T85))</f>
        <v>1</v>
      </c>
      <c r="L85" s="375" t="str">
        <f>IF(Start!$C$16="x",IF(OR(D85="NA",D85=""),"NA", IF(OR($J85 = "NA",J85=""),"NA",(D85*$J85))),"---")</f>
        <v>---</v>
      </c>
      <c r="M85" s="377" t="str">
        <f>IF(Start!$C$16="x",IF(OR(D85="NA",D85=""),"NA", IF(OR($K85 = "NA",K85=""),"NA",(D85*$K85))),"---")</f>
        <v>---</v>
      </c>
      <c r="N85" s="375" t="str">
        <f t="shared" si="5"/>
        <v>---</v>
      </c>
      <c r="O85" s="377" t="str">
        <f t="shared" si="5"/>
        <v>---</v>
      </c>
      <c r="P85" s="461" t="str">
        <f>IF(Start!$C$16="x",(IF(L85 = "NA","NA", (IF(OR($H85 = "NA",H85=""), "NA",(IF(OR(ChemData!U85="NA",ChemData!U85=""),L85/((Data!$D$33+((1-Data!$D$33)*Data!$D$14*$H85))/((1-Data!$D$33)*Data!$D$14*1000)),(IF(L85/((Data!$D$33+((1-Data!$D$33)*Data!$D$14*$H85))/((1-Data!$D$33)*Data!$D$14*1000))&gt;ChemData!U85, ChemData!U85, L85/((Data!$D$33+((1-Data!$D$33)*Data!$D$14*$H85))/((1-Data!$D$33)*Data!$D$14*1000)))))))))),"---")</f>
        <v>---</v>
      </c>
      <c r="Q85" s="376" t="str">
        <f>IF(Start!$C$16="x",IF(OR($F85 = "NA",F85=""), "NA", IF(P85= "NA", "NA",(P85+(Data!$D$30*$F85))/(Data!$D$30+1))),"---")</f>
        <v>---</v>
      </c>
      <c r="R85" s="376" t="str">
        <f>IF(Start!$C$16="x",IF(O85 = "NA","NA", IF(OR($I85 = "NA",I85=""), "NA",(IF(OR(ChemData!U85="NA",ChemData!U85=""),O85/((Data!$D$35+((1-Data!$D$35)*Data!$D$14*$I85))/((1-Data!$D$35)*Data!$D$14*1000)),(IF(O85/((Data!$D$35+((1-Data!$D$35)*Data!$D$14*$I85))/((1-Data!$D$35)*Data!$D$14*1000))&gt;ChemData!U85, ChemData!U85, O85/((Data!$D$35+((1-Data!$D$35)*Data!$D$14*$I85))/((1-Data!$D$35)*Data!$D$14*1000)))))))),"---")</f>
        <v>---</v>
      </c>
      <c r="S85" s="377" t="str">
        <f>IF(Start!$C$16="x",IF(OR($F85 = "NA",F85=""), "NA", IF(R85= "NA", "NA",(R85+(Data!$D$30*$F85))/(Data!$D$30+1))),"---")</f>
        <v>---</v>
      </c>
      <c r="T85" s="343" t="str">
        <f>IF(Start!$C$16="x",IF(AND(D85= "",E85=""),"",IF(Q85="NA","NA",IF(G85="NA","NA",IF(G85=0,"NA",(Q85/G85))))),"Not Req.")</f>
        <v>Not Req.</v>
      </c>
      <c r="U85" s="343" t="str">
        <f>IF(Start!$C$16="x",IF(AND(D85= "",E85=""),"",IF(S85="NA","NA",IF(G85="NA","NA",IF(G85=0,"NA",(S85/G85))))),"Not Req.")</f>
        <v>Not Req.</v>
      </c>
      <c r="V85" s="11"/>
    </row>
    <row r="86" spans="1:22" s="10" customFormat="1" x14ac:dyDescent="0.25">
      <c r="A86" s="307" t="s">
        <v>404</v>
      </c>
      <c r="B86" s="348" t="str">
        <f>IF(Start!$C$16="x",IF(OR(D86 ="NA",E86="NA"),"NA",IF(AND(D86= "",E86=""),"",IF(AND(D86= "",E86&lt;&gt; ""),"Missing Data",                     IF(AND(D86&lt;&gt; "",E86= ""),"Missing Data",(IF(OR(G86="NA",G86=""),"No Criteria",(IF(AND(Q86="NA",D86&lt;&gt;"NA",G86&lt;&gt;"NA"),                                               "Missing Data",(IF(Q86&lt;G86,"No","Needed")))))))))),"---")</f>
        <v>---</v>
      </c>
      <c r="C86" s="350" t="str">
        <f>IF(Start!$C$16="x",IF(OR(D86 ="NA",E86="NA"),"NA",IF(AND(D86= "",E86=""),"",IF(AND(D86= "",E86&lt;&gt; ""),"Missing Data",                     IF(AND(D86&lt;&gt; "",E86= ""),"Missing Data",(IF(OR(G86="NA",G86=""),"No Criteria",(IF(AND(S86="NA",D86&lt;&gt;"NA",G86&lt;&gt;"NA"),                                               "Missing Data",(IF(S86&lt;G86,"No","Needed")))))))))),"---")</f>
        <v>---</v>
      </c>
      <c r="D86" s="372" t="str">
        <f>IF(TRUE=ISBLANK(ChemData!B86),"",(ChemData!B86))</f>
        <v/>
      </c>
      <c r="E86" s="373" t="str">
        <f>IF(TRUE=ISBLANK(ChemData!C86),"",(ChemData!C86))</f>
        <v/>
      </c>
      <c r="F86" s="374" t="str">
        <f>IF(TRUE=ISBLANK(ChemData!D86),"",(ChemData!D86))</f>
        <v/>
      </c>
      <c r="G86" s="289">
        <f>IF(TRUE=ISBLANK(ChemData!I86),"",(ChemData!I86))</f>
        <v>3.9</v>
      </c>
      <c r="H86" s="290">
        <f>IF(TRUE=ISBLANK(ChemData!Q86),"",(ChemData!Q86))</f>
        <v>0.40495467659306245</v>
      </c>
      <c r="I86" s="290">
        <f>IF(TRUE=ISBLANK(ChemData!R86),"",(ChemData!R86))</f>
        <v>0.40495467659306245</v>
      </c>
      <c r="J86" s="290">
        <f>IF(TRUE=ISBLANK(ChemData!S86),"",(ChemData!S86))</f>
        <v>1</v>
      </c>
      <c r="K86" s="291">
        <f>IF(TRUE=ISBLANK(ChemData!T86),"",(ChemData!T86))</f>
        <v>1</v>
      </c>
      <c r="L86" s="375" t="str">
        <f>IF(Start!$C$16="x",IF(OR(D86="NA",D86=""),"NA", IF(OR($J86 = "NA",J86=""),"NA",(D86*$J86))),"---")</f>
        <v>---</v>
      </c>
      <c r="M86" s="377" t="str">
        <f>IF(Start!$C$16="x",IF(OR(D86="NA",D86=""),"NA", IF(OR($K86 = "NA",K86=""),"NA",(D86*$K86))),"---")</f>
        <v>---</v>
      </c>
      <c r="N86" s="375" t="str">
        <f>L86</f>
        <v>---</v>
      </c>
      <c r="O86" s="377" t="str">
        <f>M86</f>
        <v>---</v>
      </c>
      <c r="P86" s="461" t="str">
        <f>IF(Start!$C$16="x",(IF(L86 = "NA","NA", (IF(OR($H86 = "NA",H86=""), "NA",(IF(OR(ChemData!U86="NA",ChemData!U86=""),L86/((Data!$D$33+((1-Data!$D$33)*Data!$D$14*$H86))/((1-Data!$D$33)*Data!$D$14*1000)),(IF(L86/((Data!$D$33+((1-Data!$D$33)*Data!$D$14*$H86))/((1-Data!$D$33)*Data!$D$14*1000))&gt;ChemData!U86, ChemData!U86, L86/((Data!$D$33+((1-Data!$D$33)*Data!$D$14*$H86))/((1-Data!$D$33)*Data!$D$14*1000)))))))))),"---")</f>
        <v>---</v>
      </c>
      <c r="Q86" s="376" t="str">
        <f>IF(Start!$C$16="x",IF(OR($F86 = "NA",F86=""), "NA", IF(P86= "NA", "NA",(P86+(Data!$D$30*$F86))/(Data!$D$30+1))),"---")</f>
        <v>---</v>
      </c>
      <c r="R86" s="376" t="str">
        <f>IF(Start!$C$16="x",IF(O86 = "NA","NA", IF(OR($I86 = "NA",I86=""), "NA",(IF(OR(ChemData!U86="NA",ChemData!U86=""),O86/((Data!$D$35+((1-Data!$D$35)*Data!$D$14*$I86))/((1-Data!$D$35)*Data!$D$14*1000)),(IF(O86/((Data!$D$35+((1-Data!$D$35)*Data!$D$14*$I86))/((1-Data!$D$35)*Data!$D$14*1000))&gt;ChemData!U86, ChemData!U86, O86/((Data!$D$35+((1-Data!$D$35)*Data!$D$14*$I86))/((1-Data!$D$35)*Data!$D$14*1000)))))))),"---")</f>
        <v>---</v>
      </c>
      <c r="S86" s="377" t="str">
        <f>IF(Start!$C$16="x",IF(OR($F86 = "NA",F86=""), "NA", IF(R86= "NA", "NA",(R86+(Data!$D$30*$F86))/(Data!$D$30+1))),"---")</f>
        <v>---</v>
      </c>
      <c r="T86" s="343" t="str">
        <f>IF(Start!$C$16="x",IF(AND(D86= "",E86=""),"",IF(Q86="NA","NA",IF(G86="NA","NA",IF(G86=0,"NA",(Q86/G86))))),"Not Req.")</f>
        <v>Not Req.</v>
      </c>
      <c r="U86" s="343" t="str">
        <f>IF(Start!$C$16="x",IF(AND(D86= "",E86=""),"",IF(S86="NA","NA",IF(G86="NA","NA",IF(G86=0,"NA",(S86/G86))))),"Not Req.")</f>
        <v>Not Req.</v>
      </c>
      <c r="V86" s="11"/>
    </row>
    <row r="87" spans="1:22" s="10" customFormat="1" x14ac:dyDescent="0.25">
      <c r="A87" s="307" t="s">
        <v>405</v>
      </c>
      <c r="B87" s="348" t="str">
        <f>IF(Start!$C$16="x",IF(OR(D87 ="NA",E87="NA"),"NA",IF(AND(D87= "",E87=""),"",IF(AND(D87= "",E87&lt;&gt; ""),"Missing Data",                     IF(AND(D87&lt;&gt; "",E87= ""),"Missing Data",(IF(OR(G87="NA",G87=""),"No Criteria",(IF(AND(Q87="NA",D87&lt;&gt;"NA",G87&lt;&gt;"NA"),                                               "Missing Data",(IF(Q87&lt;G87,"No","Needed")))))))))),"---")</f>
        <v>---</v>
      </c>
      <c r="C87" s="350" t="str">
        <f>IF(Start!$C$16="x",IF(OR(D87 ="NA",E87="NA"),"NA",IF(AND(D87= "",E87=""),"",IF(AND(D87= "",E87&lt;&gt; ""),"Missing Data",                     IF(AND(D87&lt;&gt; "",E87= ""),"Missing Data",(IF(OR(G87="NA",G87=""),"No Criteria",(IF(AND(S87="NA",D87&lt;&gt;"NA",G87&lt;&gt;"NA"),                                               "Missing Data",(IF(S87&lt;G87,"No","Needed")))))))))),"---")</f>
        <v>---</v>
      </c>
      <c r="D87" s="372" t="str">
        <f>IF(TRUE=ISBLANK(ChemData!B87),"",(ChemData!B87))</f>
        <v/>
      </c>
      <c r="E87" s="373" t="str">
        <f>IF(TRUE=ISBLANK(ChemData!C87),"",(ChemData!C87))</f>
        <v/>
      </c>
      <c r="F87" s="374" t="str">
        <f>IF(TRUE=ISBLANK(ChemData!D87),"",(ChemData!D87))</f>
        <v/>
      </c>
      <c r="G87" s="289">
        <f>IF(TRUE=ISBLANK(ChemData!I87),"",(ChemData!I87))</f>
        <v>42</v>
      </c>
      <c r="H87" s="290">
        <f>IF(TRUE=ISBLANK(ChemData!Q87),"",(ChemData!Q87))</f>
        <v>1.3721652566479994</v>
      </c>
      <c r="I87" s="290">
        <f>IF(TRUE=ISBLANK(ChemData!R87),"",(ChemData!R87))</f>
        <v>1.3721652566479994</v>
      </c>
      <c r="J87" s="290">
        <f>IF(TRUE=ISBLANK(ChemData!S87),"",(ChemData!S87))</f>
        <v>1</v>
      </c>
      <c r="K87" s="291">
        <f>IF(TRUE=ISBLANK(ChemData!T87),"",(ChemData!T87))</f>
        <v>1</v>
      </c>
      <c r="L87" s="375" t="str">
        <f>IF(Start!$C$16="x",IF(OR(D87="NA",D87=""),"NA", IF(OR($J87 = "NA",J87=""),"NA",(D87*$J87))),"---")</f>
        <v>---</v>
      </c>
      <c r="M87" s="377" t="str">
        <f>IF(Start!$C$16="x",IF(OR(D87="NA",D87=""),"NA", IF(OR($K87 = "NA",K87=""),"NA",(D87*$K87))),"---")</f>
        <v>---</v>
      </c>
      <c r="N87" s="375" t="str">
        <f t="shared" si="5"/>
        <v>---</v>
      </c>
      <c r="O87" s="377" t="str">
        <f t="shared" si="5"/>
        <v>---</v>
      </c>
      <c r="P87" s="461" t="str">
        <f>IF(Start!$C$16="x",(IF(L87 = "NA","NA", (IF(OR($H87 = "NA",H87=""), "NA",(IF(OR(ChemData!U87="NA",ChemData!U87=""),L87/((Data!$D$33+((1-Data!$D$33)*Data!$D$14*$H87))/((1-Data!$D$33)*Data!$D$14*1000)),(IF(L87/((Data!$D$33+((1-Data!$D$33)*Data!$D$14*$H87))/((1-Data!$D$33)*Data!$D$14*1000))&gt;ChemData!U87, ChemData!U87, L87/((Data!$D$33+((1-Data!$D$33)*Data!$D$14*$H87))/((1-Data!$D$33)*Data!$D$14*1000)))))))))),"---")</f>
        <v>---</v>
      </c>
      <c r="Q87" s="376" t="str">
        <f>IF(Start!$C$16="x",IF(OR($F87 = "NA",F87=""), "NA", IF(P87= "NA", "NA",(P87+(Data!$D$30*$F87))/(Data!$D$30+1))),"---")</f>
        <v>---</v>
      </c>
      <c r="R87" s="376" t="str">
        <f>IF(Start!$C$16="x",IF(O87 = "NA","NA", IF(OR($I87 = "NA",I87=""), "NA",(IF(OR(ChemData!U87="NA",ChemData!U87=""),O87/((Data!$D$35+((1-Data!$D$35)*Data!$D$14*$I87))/((1-Data!$D$35)*Data!$D$14*1000)),(IF(O87/((Data!$D$35+((1-Data!$D$35)*Data!$D$14*$I87))/((1-Data!$D$35)*Data!$D$14*1000))&gt;ChemData!U87, ChemData!U87, O87/((Data!$D$35+((1-Data!$D$35)*Data!$D$14*$I87))/((1-Data!$D$35)*Data!$D$14*1000)))))))),"---")</f>
        <v>---</v>
      </c>
      <c r="S87" s="377" t="str">
        <f>IF(Start!$C$16="x",IF(OR($F87 = "NA",F87=""), "NA", IF(R87= "NA", "NA",(R87+(Data!$D$30*$F87))/(Data!$D$30+1))),"---")</f>
        <v>---</v>
      </c>
      <c r="T87" s="343" t="str">
        <f>IF(Start!$C$16="x",IF(AND(D87= "",E87=""),"",IF(Q87="NA","NA",IF(G87="NA","NA",IF(G87=0,"NA",(Q87/G87))))),"Not Req.")</f>
        <v>Not Req.</v>
      </c>
      <c r="U87" s="343" t="str">
        <f>IF(Start!$C$16="x",IF(AND(D87= "",E87=""),"",IF(S87="NA","NA",IF(G87="NA","NA",IF(G87=0,"NA",(S87/G87))))),"Not Req.")</f>
        <v>Not Req.</v>
      </c>
      <c r="V87" s="11"/>
    </row>
    <row r="88" spans="1:22" s="10" customFormat="1" x14ac:dyDescent="0.25">
      <c r="A88" s="307" t="s">
        <v>406</v>
      </c>
      <c r="B88" s="348" t="str">
        <f>IF(Start!$C$16="x",IF(OR(D88 ="NA",E88="NA"),"NA",IF(AND(D88= "",E88=""),"",IF(AND(D88= "",E88&lt;&gt; ""),"Missing Data",                     IF(AND(D88&lt;&gt; "",E88= ""),"Missing Data",(IF(OR(G88="NA",G88=""),"No Criteria",(IF(AND(Q88="NA",D88&lt;&gt;"NA",G88&lt;&gt;"NA"),                                               "Missing Data",(IF(Q88&lt;G88,"No","Needed")))))))))),"---")</f>
        <v>---</v>
      </c>
      <c r="C88" s="350" t="str">
        <f>IF(Start!$C$16="x",IF(OR(D88 ="NA",E88="NA"),"NA",IF(AND(D88= "",E88=""),"",IF(AND(D88= "",E88&lt;&gt; ""),"Missing Data",                     IF(AND(D88&lt;&gt; "",E88= ""),"Missing Data",(IF(OR(G88="NA",G88=""),"No Criteria",(IF(AND(S88="NA",D88&lt;&gt;"NA",G88&lt;&gt;"NA"),                                               "Missing Data",(IF(S88&lt;G88,"No","Needed")))))))))),"---")</f>
        <v>---</v>
      </c>
      <c r="D88" s="372" t="str">
        <f>IF(TRUE=ISBLANK(ChemData!B88),"",(ChemData!B88))</f>
        <v/>
      </c>
      <c r="E88" s="373" t="str">
        <f>IF(TRUE=ISBLANK(ChemData!C88),"",(ChemData!C88))</f>
        <v/>
      </c>
      <c r="F88" s="374" t="str">
        <f>IF(TRUE=ISBLANK(ChemData!D88),"",(ChemData!D88))</f>
        <v/>
      </c>
      <c r="G88" s="289">
        <f>IF(TRUE=ISBLANK(ChemData!I88),"",(ChemData!I88))</f>
        <v>8.6</v>
      </c>
      <c r="H88" s="290">
        <f>IF(TRUE=ISBLANK(ChemData!Q88),"",(ChemData!Q88))</f>
        <v>0.23302709372310049</v>
      </c>
      <c r="I88" s="290">
        <f>IF(TRUE=ISBLANK(ChemData!R88),"",(ChemData!R88))</f>
        <v>0.23302709372310049</v>
      </c>
      <c r="J88" s="290">
        <f>IF(TRUE=ISBLANK(ChemData!S88),"",(ChemData!S88))</f>
        <v>1</v>
      </c>
      <c r="K88" s="291">
        <f>IF(TRUE=ISBLANK(ChemData!T88),"",(ChemData!T88))</f>
        <v>1</v>
      </c>
      <c r="L88" s="375" t="str">
        <f>IF(Start!$C$16="x",IF(OR(D88="NA",D88=""),"NA", IF(OR($J88 = "NA",J88=""),"NA",(D88*$J88))),"---")</f>
        <v>---</v>
      </c>
      <c r="M88" s="377" t="str">
        <f>IF(Start!$C$16="x",IF(OR(D88="NA",D88=""),"NA", IF(OR($K88 = "NA",K88=""),"NA",(D88*$K88))),"---")</f>
        <v>---</v>
      </c>
      <c r="N88" s="375" t="str">
        <f t="shared" si="5"/>
        <v>---</v>
      </c>
      <c r="O88" s="377" t="str">
        <f t="shared" si="5"/>
        <v>---</v>
      </c>
      <c r="P88" s="461" t="str">
        <f>IF(Start!$C$16="x",(IF(L88 = "NA","NA", (IF(OR($H88 = "NA",H88=""), "NA",(IF(OR(ChemData!U88="NA",ChemData!U88=""),L88/((Data!$D$33+((1-Data!$D$33)*Data!$D$14*$H88))/((1-Data!$D$33)*Data!$D$14*1000)),(IF(L88/((Data!$D$33+((1-Data!$D$33)*Data!$D$14*$H88))/((1-Data!$D$33)*Data!$D$14*1000))&gt;ChemData!U88, ChemData!U88, L88/((Data!$D$33+((1-Data!$D$33)*Data!$D$14*$H88))/((1-Data!$D$33)*Data!$D$14*1000)))))))))),"---")</f>
        <v>---</v>
      </c>
      <c r="Q88" s="376" t="str">
        <f>IF(Start!$C$16="x",IF(OR($F88 = "NA",F88=""), "NA", IF(P88= "NA", "NA",(P88+(Data!$D$30*$F88))/(Data!$D$30+1))),"---")</f>
        <v>---</v>
      </c>
      <c r="R88" s="376" t="str">
        <f>IF(Start!$C$16="x",IF(O88 = "NA","NA", IF(OR($I88 = "NA",I88=""), "NA",(IF(OR(ChemData!U88="NA",ChemData!U88=""),O88/((Data!$D$35+((1-Data!$D$35)*Data!$D$14*$I88))/((1-Data!$D$35)*Data!$D$14*1000)),(IF(O88/((Data!$D$35+((1-Data!$D$35)*Data!$D$14*$I88))/((1-Data!$D$35)*Data!$D$14*1000))&gt;ChemData!U88, ChemData!U88, O88/((Data!$D$35+((1-Data!$D$35)*Data!$D$14*$I88))/((1-Data!$D$35)*Data!$D$14*1000)))))))),"---")</f>
        <v>---</v>
      </c>
      <c r="S88" s="377" t="str">
        <f>IF(Start!$C$16="x",IF(OR($F88 = "NA",F88=""), "NA", IF(R88= "NA", "NA",(R88+(Data!$D$30*$F88))/(Data!$D$30+1))),"---")</f>
        <v>---</v>
      </c>
      <c r="T88" s="343" t="str">
        <f>IF(Start!$C$16="x",IF(AND(D88= "",E88=""),"",IF(Q88="NA","NA",IF(G88="NA","NA",IF(G88=0,"NA",(Q88/G88))))),"Not Req.")</f>
        <v>Not Req.</v>
      </c>
      <c r="U88" s="343" t="str">
        <f>IF(Start!$C$16="x",IF(AND(D88= "",E88=""),"",IF(S88="NA","NA",IF(G88="NA","NA",IF(G88=0,"NA",(S88/G88))))),"Not Req.")</f>
        <v>Not Req.</v>
      </c>
      <c r="V88" s="11"/>
    </row>
    <row r="89" spans="1:22" s="10" customFormat="1" x14ac:dyDescent="0.25">
      <c r="A89" s="307" t="s">
        <v>407</v>
      </c>
      <c r="B89" s="348" t="str">
        <f>IF(Start!$C$16="x",IF(OR(D89 ="NA",E89="NA"),"NA",IF(AND(D89= "",E89=""),"",IF(AND(D89= "",E89&lt;&gt; ""),"Missing Data",                     IF(AND(D89&lt;&gt; "",E89= ""),"Missing Data",(IF(OR(G89="NA",G89=""),"No Criteria",(IF(AND(Q89="NA",D89&lt;&gt;"NA",G89&lt;&gt;"NA"),                                               "Missing Data",(IF(Q89&lt;G89,"No","Needed")))))))))),"---")</f>
        <v>---</v>
      </c>
      <c r="C89" s="350" t="str">
        <f>IF(Start!$C$16="x",IF(OR(D89 ="NA",E89="NA"),"NA",IF(AND(D89= "",E89=""),"",IF(AND(D89= "",E89&lt;&gt; ""),"Missing Data",                     IF(AND(D89&lt;&gt; "",E89= ""),"Missing Data",(IF(OR(G89="NA",G89=""),"No Criteria",(IF(AND(S89="NA",D89&lt;&gt;"NA",G89&lt;&gt;"NA"),                                               "Missing Data",(IF(S89&lt;G89,"No","Needed")))))))))),"---")</f>
        <v>---</v>
      </c>
      <c r="D89" s="372" t="str">
        <f>IF(TRUE=ISBLANK(ChemData!B89),"",(ChemData!B89))</f>
        <v/>
      </c>
      <c r="E89" s="373" t="str">
        <f>IF(TRUE=ISBLANK(ChemData!C89),"",(ChemData!C89))</f>
        <v/>
      </c>
      <c r="F89" s="374" t="str">
        <f>IF(TRUE=ISBLANK(ChemData!D89),"",(ChemData!D89))</f>
        <v/>
      </c>
      <c r="G89" s="289">
        <f>IF(TRUE=ISBLANK(ChemData!I89),"",(ChemData!I89))</f>
        <v>19</v>
      </c>
      <c r="H89" s="290">
        <f>IF(TRUE=ISBLANK(ChemData!Q89),"",(ChemData!Q89))</f>
        <v>1280.5791271709513</v>
      </c>
      <c r="I89" s="290">
        <f>IF(TRUE=ISBLANK(ChemData!R89),"",(ChemData!R89))</f>
        <v>1280.5791271709513</v>
      </c>
      <c r="J89" s="290">
        <f>IF(TRUE=ISBLANK(ChemData!S89),"",(ChemData!S89))</f>
        <v>1</v>
      </c>
      <c r="K89" s="291">
        <f>IF(TRUE=ISBLANK(ChemData!T89),"",(ChemData!T89))</f>
        <v>1</v>
      </c>
      <c r="L89" s="375" t="str">
        <f>IF(Start!$C$16="x",IF(OR(D89="NA",D89=""),"NA", IF(OR($J89 = "NA",J89=""),"NA",(D89*$J89))),"---")</f>
        <v>---</v>
      </c>
      <c r="M89" s="377" t="str">
        <f>IF(Start!$C$16="x",IF(OR(D89="NA",D89=""),"NA", IF(OR($K89 = "NA",K89=""),"NA",(D89*$K89))),"---")</f>
        <v>---</v>
      </c>
      <c r="N89" s="375" t="str">
        <f t="shared" si="5"/>
        <v>---</v>
      </c>
      <c r="O89" s="377" t="str">
        <f t="shared" si="5"/>
        <v>---</v>
      </c>
      <c r="P89" s="461" t="str">
        <f>IF(Start!$C$16="x",(IF(L89 = "NA","NA", (IF(OR($H89 = "NA",H89=""), "NA",(IF(OR(ChemData!U89="NA",ChemData!U89=""),L89/((Data!$D$33+((1-Data!$D$33)*Data!$D$14*$H89))/((1-Data!$D$33)*Data!$D$14*1000)),(IF(L89/((Data!$D$33+((1-Data!$D$33)*Data!$D$14*$H89))/((1-Data!$D$33)*Data!$D$14*1000))&gt;ChemData!U89, ChemData!U89, L89/((Data!$D$33+((1-Data!$D$33)*Data!$D$14*$H89))/((1-Data!$D$33)*Data!$D$14*1000)))))))))),"---")</f>
        <v>---</v>
      </c>
      <c r="Q89" s="376" t="str">
        <f>IF(Start!$C$16="x",IF(OR($F89 = "NA",F89=""), "NA", IF(P89= "NA", "NA",(P89+(Data!$D$30*$F89))/(Data!$D$30+1))),"---")</f>
        <v>---</v>
      </c>
      <c r="R89" s="376" t="str">
        <f>IF(Start!$C$16="x",IF(O89 = "NA","NA", IF(OR($I89 = "NA",I89=""), "NA",(IF(OR(ChemData!U89="NA",ChemData!U89=""),O89/((Data!$D$35+((1-Data!$D$35)*Data!$D$14*$I89))/((1-Data!$D$35)*Data!$D$14*1000)),(IF(O89/((Data!$D$35+((1-Data!$D$35)*Data!$D$14*$I89))/((1-Data!$D$35)*Data!$D$14*1000))&gt;ChemData!U89, ChemData!U89, O89/((Data!$D$35+((1-Data!$D$35)*Data!$D$14*$I89))/((1-Data!$D$35)*Data!$D$14*1000)))))))),"---")</f>
        <v>---</v>
      </c>
      <c r="S89" s="377" t="str">
        <f>IF(Start!$C$16="x",IF(OR($F89 = "NA",F89=""), "NA", IF(R89= "NA", "NA",(R89+(Data!$D$30*$F89))/(Data!$D$30+1))),"---")</f>
        <v>---</v>
      </c>
      <c r="T89" s="343" t="str">
        <f>IF(Start!$C$16="x",IF(AND(D89= "",E89=""),"",IF(Q89="NA","NA",IF(G89="NA","NA",IF(G89=0,"NA",(Q89/G89))))),"Not Req.")</f>
        <v>Not Req.</v>
      </c>
      <c r="U89" s="343" t="str">
        <f>IF(Start!$C$16="x",IF(AND(D89= "",E89=""),"",IF(S89="NA","NA",IF(G89="NA","NA",IF(G89=0,"NA",(S89/G89))))),"Not Req.")</f>
        <v>Not Req.</v>
      </c>
      <c r="V89" s="11"/>
    </row>
    <row r="90" spans="1:22" s="10" customFormat="1" x14ac:dyDescent="0.25">
      <c r="A90" s="307" t="s">
        <v>408</v>
      </c>
      <c r="B90" s="348" t="str">
        <f>IF(Start!$C$16="x",IF(OR(D90 ="NA",E90="NA"),"NA",IF(AND(D90= "",E90=""),"",IF(AND(D90= "",E90&lt;&gt; ""),"Missing Data",                     IF(AND(D90&lt;&gt; "",E90= ""),"Missing Data",(IF(OR(G90="NA",G90=""),"No Criteria",(IF(AND(Q90="NA",D90&lt;&gt;"NA",G90&lt;&gt;"NA"),                                               "Missing Data",(IF(Q90&lt;G90,"No","Needed")))))))))),"---")</f>
        <v>---</v>
      </c>
      <c r="C90" s="350" t="str">
        <f>IF(Start!$C$16="x",IF(OR(D90 ="NA",E90="NA"),"NA",IF(AND(D90= "",E90=""),"",IF(AND(D90= "",E90&lt;&gt; ""),"Missing Data",                     IF(AND(D90&lt;&gt; "",E90= ""),"Missing Data",(IF(OR(G90="NA",G90=""),"No Criteria",(IF(AND(S90="NA",D90&lt;&gt;"NA",G90&lt;&gt;"NA"),                                               "Missing Data",(IF(S90&lt;G90,"No","Needed")))))))))),"---")</f>
        <v>---</v>
      </c>
      <c r="D90" s="372" t="str">
        <f>IF(TRUE=ISBLANK(ChemData!B90),"",(ChemData!B90))</f>
        <v/>
      </c>
      <c r="E90" s="373" t="str">
        <f>IF(TRUE=ISBLANK(ChemData!C90),"",(ChemData!C90))</f>
        <v/>
      </c>
      <c r="F90" s="374" t="str">
        <f>IF(TRUE=ISBLANK(ChemData!D90),"",(ChemData!D90))</f>
        <v/>
      </c>
      <c r="G90" s="289">
        <f>IF(TRUE=ISBLANK(ChemData!I90),"",(ChemData!I90))</f>
        <v>1.5</v>
      </c>
      <c r="H90" s="290">
        <f>IF(TRUE=ISBLANK(ChemData!Q90),"",(ChemData!Q90))</f>
        <v>1851</v>
      </c>
      <c r="I90" s="290">
        <f>IF(TRUE=ISBLANK(ChemData!R90),"",(ChemData!R90))</f>
        <v>1851</v>
      </c>
      <c r="J90" s="290">
        <f>IF(TRUE=ISBLANK(ChemData!S90),"",(ChemData!S90))</f>
        <v>1</v>
      </c>
      <c r="K90" s="291">
        <f>IF(TRUE=ISBLANK(ChemData!T90),"",(ChemData!T90))</f>
        <v>1</v>
      </c>
      <c r="L90" s="375" t="str">
        <f>IF(Start!$C$16="x",IF(OR(D90="NA",D90=""),"NA", IF(OR($J90 = "NA",J90=""),"NA",(D90*$J90))),"---")</f>
        <v>---</v>
      </c>
      <c r="M90" s="377" t="str">
        <f>IF(Start!$C$16="x",IF(OR(D90="NA",D90=""),"NA", IF(OR($K90 = "NA",K90=""),"NA",(D90*$K90))),"---")</f>
        <v>---</v>
      </c>
      <c r="N90" s="375" t="str">
        <f t="shared" si="5"/>
        <v>---</v>
      </c>
      <c r="O90" s="377" t="str">
        <f t="shared" si="5"/>
        <v>---</v>
      </c>
      <c r="P90" s="461" t="str">
        <f>IF(Start!$C$16="x",(IF(L90 = "NA","NA", (IF(OR($H90 = "NA",H90=""), "NA",(IF(OR(ChemData!U90="NA",ChemData!U90=""),L90/((Data!$D$33+((1-Data!$D$33)*Data!$D$14*$H90))/((1-Data!$D$33)*Data!$D$14*1000)),(IF(L90/((Data!$D$33+((1-Data!$D$33)*Data!$D$14*$H90))/((1-Data!$D$33)*Data!$D$14*1000))&gt;ChemData!U90, ChemData!U90, L90/((Data!$D$33+((1-Data!$D$33)*Data!$D$14*$H90))/((1-Data!$D$33)*Data!$D$14*1000)))))))))),"---")</f>
        <v>---</v>
      </c>
      <c r="Q90" s="376" t="str">
        <f>IF(Start!$C$16="x",IF(OR($F90 = "NA",F90=""), "NA", IF(P90= "NA", "NA",(P90+(Data!$D$30*$F90))/(Data!$D$30+1))),"---")</f>
        <v>---</v>
      </c>
      <c r="R90" s="376" t="str">
        <f>IF(Start!$C$16="x",IF(O90 = "NA","NA", IF(OR($I90 = "NA",I90=""), "NA",(IF(OR(ChemData!U90="NA",ChemData!U90=""),O90/((Data!$D$35+((1-Data!$D$35)*Data!$D$14*$I90))/((1-Data!$D$35)*Data!$D$14*1000)),(IF(O90/((Data!$D$35+((1-Data!$D$35)*Data!$D$14*$I90))/((1-Data!$D$35)*Data!$D$14*1000))&gt;ChemData!U90, ChemData!U90, O90/((Data!$D$35+((1-Data!$D$35)*Data!$D$14*$I90))/((1-Data!$D$35)*Data!$D$14*1000)))))))),"---")</f>
        <v>---</v>
      </c>
      <c r="S90" s="377" t="str">
        <f>IF(Start!$C$16="x",IF(OR($F90 = "NA",F90=""), "NA", IF(R90= "NA", "NA",(R90+(Data!$D$30*$F90))/(Data!$D$30+1))),"---")</f>
        <v>---</v>
      </c>
      <c r="T90" s="343" t="str">
        <f>IF(Start!$C$16="x",IF(AND(D90= "",E90=""),"",IF(Q90="NA","NA",IF(G90="NA","NA",IF(G90=0,"NA",(Q90/G90))))),"Not Req.")</f>
        <v>Not Req.</v>
      </c>
      <c r="U90" s="343" t="str">
        <f>IF(Start!$C$16="x",IF(AND(D90= "",E90=""),"",IF(S90="NA","NA",IF(G90="NA","NA",IF(G90=0,"NA",(S90/G90))))),"Not Req.")</f>
        <v>Not Req.</v>
      </c>
      <c r="V90" s="11"/>
    </row>
    <row r="91" spans="1:22" s="10" customFormat="1" x14ac:dyDescent="0.25">
      <c r="A91" s="307" t="s">
        <v>409</v>
      </c>
      <c r="B91" s="348" t="str">
        <f>IF(Start!$C$16="x",IF(OR(D91 ="NA",E91="NA"),"NA",IF(AND(D91= "",E91=""),"",IF(AND(D91= "",E91&lt;&gt; ""),"Missing Data",                     IF(AND(D91&lt;&gt; "",E91= ""),"Missing Data",(IF(OR(G91="NA",G91=""),"No Criteria",(IF(AND(Q91="NA",D91&lt;&gt;"NA",G91&lt;&gt;"NA"),                                               "Missing Data",(IF(Q91&lt;G91,"No","Needed")))))))))),"---")</f>
        <v>---</v>
      </c>
      <c r="C91" s="350" t="str">
        <f>IF(Start!$C$16="x",IF(OR(D91 ="NA",E91="NA"),"NA",IF(AND(D91= "",E91=""),"",IF(AND(D91= "",E91&lt;&gt; ""),"Missing Data",                     IF(AND(D91&lt;&gt; "",E91= ""),"Missing Data",(IF(OR(G91="NA",G91=""),"No Criteria",(IF(AND(S91="NA",D91&lt;&gt;"NA",G91&lt;&gt;"NA"),                                               "Missing Data",(IF(S91&lt;G91,"No","Needed")))))))))),"---")</f>
        <v>---</v>
      </c>
      <c r="D91" s="372" t="str">
        <f>IF(TRUE=ISBLANK(ChemData!B91),"",(ChemData!B91))</f>
        <v/>
      </c>
      <c r="E91" s="373" t="str">
        <f>IF(TRUE=ISBLANK(ChemData!C91),"",(ChemData!C91))</f>
        <v/>
      </c>
      <c r="F91" s="374" t="str">
        <f>IF(TRUE=ISBLANK(ChemData!D91),"",(ChemData!D91))</f>
        <v/>
      </c>
      <c r="G91" s="289" t="str">
        <f>IF(TRUE=ISBLANK(ChemData!I91),"",(ChemData!I91))</f>
        <v>NA</v>
      </c>
      <c r="H91" s="290">
        <f>IF(TRUE=ISBLANK(ChemData!Q91),"",(ChemData!Q91))</f>
        <v>0.19833822339948104</v>
      </c>
      <c r="I91" s="290">
        <f>IF(TRUE=ISBLANK(ChemData!R91),"",(ChemData!R91))</f>
        <v>0.19833822339948104</v>
      </c>
      <c r="J91" s="290">
        <f>IF(TRUE=ISBLANK(ChemData!S91),"",(ChemData!S91))</f>
        <v>1</v>
      </c>
      <c r="K91" s="291">
        <f>IF(TRUE=ISBLANK(ChemData!T91),"",(ChemData!T91))</f>
        <v>1</v>
      </c>
      <c r="L91" s="375" t="str">
        <f>IF(Start!$C$16="x",IF(OR(D91="NA",D91=""),"NA", IF(OR($J91 = "NA",J91=""),"NA",(D91*$J91))),"---")</f>
        <v>---</v>
      </c>
      <c r="M91" s="377" t="str">
        <f>IF(Start!$C$16="x",IF(OR(D91="NA",D91=""),"NA", IF(OR($K91 = "NA",K91=""),"NA",(D91*$K91))),"---")</f>
        <v>---</v>
      </c>
      <c r="N91" s="375" t="str">
        <f t="shared" si="5"/>
        <v>---</v>
      </c>
      <c r="O91" s="377" t="str">
        <f t="shared" si="5"/>
        <v>---</v>
      </c>
      <c r="P91" s="461" t="str">
        <f>IF(Start!$C$16="x",(IF(L91 = "NA","NA", (IF(OR($H91 = "NA",H91=""), "NA",(IF(OR(ChemData!U91="NA",ChemData!U91=""),L91/((Data!$D$33+((1-Data!$D$33)*Data!$D$14*$H91))/((1-Data!$D$33)*Data!$D$14*1000)),(IF(L91/((Data!$D$33+((1-Data!$D$33)*Data!$D$14*$H91))/((1-Data!$D$33)*Data!$D$14*1000))&gt;ChemData!U91, ChemData!U91, L91/((Data!$D$33+((1-Data!$D$33)*Data!$D$14*$H91))/((1-Data!$D$33)*Data!$D$14*1000)))))))))),"---")</f>
        <v>---</v>
      </c>
      <c r="Q91" s="376" t="str">
        <f>IF(Start!$C$16="x",IF(OR($F91 = "NA",F91=""), "NA", IF(P91= "NA", "NA",(P91+(Data!$D$30*$F91))/(Data!$D$30+1))),"---")</f>
        <v>---</v>
      </c>
      <c r="R91" s="376" t="str">
        <f>IF(Start!$C$16="x",IF(O91 = "NA","NA", IF(OR($I91 = "NA",I91=""), "NA",(IF(OR(ChemData!U91="NA",ChemData!U91=""),O91/((Data!$D$35+((1-Data!$D$35)*Data!$D$14*$I91))/((1-Data!$D$35)*Data!$D$14*1000)),(IF(O91/((Data!$D$35+((1-Data!$D$35)*Data!$D$14*$I91))/((1-Data!$D$35)*Data!$D$14*1000))&gt;ChemData!U91, ChemData!U91, O91/((Data!$D$35+((1-Data!$D$35)*Data!$D$14*$I91))/((1-Data!$D$35)*Data!$D$14*1000)))))))),"---")</f>
        <v>---</v>
      </c>
      <c r="S91" s="377" t="str">
        <f>IF(Start!$C$16="x",IF(OR($F91 = "NA",F91=""), "NA", IF(R91= "NA", "NA",(R91+(Data!$D$30*$F91))/(Data!$D$30+1))),"---")</f>
        <v>---</v>
      </c>
      <c r="T91" s="343" t="str">
        <f>IF(Start!$C$16="x",IF(AND(D91= "",E91=""),"",IF(Q91="NA","NA",IF(G91="NA","NA",IF(G91=0,"NA",(Q91/G91))))),"Not Req.")</f>
        <v>Not Req.</v>
      </c>
      <c r="U91" s="343" t="str">
        <f>IF(Start!$C$16="x",IF(AND(D91= "",E91=""),"",IF(S91="NA","NA",IF(G91="NA","NA",IF(G91=0,"NA",(S91/G91))))),"Not Req.")</f>
        <v>Not Req.</v>
      </c>
      <c r="V91" s="11"/>
    </row>
    <row r="92" spans="1:22" s="10" customFormat="1" x14ac:dyDescent="0.25">
      <c r="A92" s="307" t="s">
        <v>410</v>
      </c>
      <c r="B92" s="348" t="str">
        <f>IF(Start!$C$16="x",IF(OR(D92 ="NA",E92="NA"),"NA",IF(AND(D92= "",E92=""),"",IF(AND(D92= "",E92&lt;&gt; ""),"Missing Data",                     IF(AND(D92&lt;&gt; "",E92= ""),"Missing Data",(IF(OR(G92="NA",G92=""),"No Criteria",(IF(AND(Q92="NA",D92&lt;&gt;"NA",G92&lt;&gt;"NA"),                                               "Missing Data",(IF(Q92&lt;G92,"No","Needed")))))))))),"---")</f>
        <v>---</v>
      </c>
      <c r="C92" s="350" t="str">
        <f>IF(Start!$C$16="x",IF(OR(D92 ="NA",E92="NA"),"NA",IF(AND(D92= "",E92=""),"",IF(AND(D92= "",E92&lt;&gt; ""),"Missing Data",                     IF(AND(D92&lt;&gt; "",E92= ""),"Missing Data",(IF(OR(G92="NA",G92=""),"No Criteria",(IF(AND(S92="NA",D92&lt;&gt;"NA",G92&lt;&gt;"NA"),                                               "Missing Data",(IF(S92&lt;G92,"No","Needed")))))))))),"---")</f>
        <v>---</v>
      </c>
      <c r="D92" s="372" t="str">
        <f>IF(TRUE=ISBLANK(ChemData!B92),"",(ChemData!B92))</f>
        <v/>
      </c>
      <c r="E92" s="373" t="str">
        <f>IF(TRUE=ISBLANK(ChemData!C92),"",(ChemData!C92))</f>
        <v/>
      </c>
      <c r="F92" s="374" t="str">
        <f>IF(TRUE=ISBLANK(ChemData!D92),"",(ChemData!D92))</f>
        <v/>
      </c>
      <c r="G92" s="289" t="str">
        <f>IF(TRUE=ISBLANK(ChemData!I92),"",(ChemData!I92))</f>
        <v>NA</v>
      </c>
      <c r="H92" s="290">
        <f>IF(TRUE=ISBLANK(ChemData!Q92),"",(ChemData!Q92))</f>
        <v>0.30019704902113792</v>
      </c>
      <c r="I92" s="290">
        <f>IF(TRUE=ISBLANK(ChemData!R92),"",(ChemData!R92))</f>
        <v>0.30019704902113792</v>
      </c>
      <c r="J92" s="290">
        <f>IF(TRUE=ISBLANK(ChemData!S92),"",(ChemData!S92))</f>
        <v>1</v>
      </c>
      <c r="K92" s="291">
        <f>IF(TRUE=ISBLANK(ChemData!T92),"",(ChemData!T92))</f>
        <v>1</v>
      </c>
      <c r="L92" s="375" t="str">
        <f>IF(Start!$C$16="x",IF(OR(D92="NA",D92=""),"NA", IF(OR($J92 = "NA",J92=""),"NA",(D92*$J92))),"---")</f>
        <v>---</v>
      </c>
      <c r="M92" s="377" t="str">
        <f>IF(Start!$C$16="x",IF(OR(D92="NA",D92=""),"NA", IF(OR($K92 = "NA",K92=""),"NA",(D92*$K92))),"---")</f>
        <v>---</v>
      </c>
      <c r="N92" s="375" t="str">
        <f t="shared" si="5"/>
        <v>---</v>
      </c>
      <c r="O92" s="377" t="str">
        <f t="shared" si="5"/>
        <v>---</v>
      </c>
      <c r="P92" s="461" t="str">
        <f>IF(Start!$C$16="x",(IF(L92 = "NA","NA", (IF(OR($H92 = "NA",H92=""), "NA",(IF(OR(ChemData!U92="NA",ChemData!U92=""),L92/((Data!$D$33+((1-Data!$D$33)*Data!$D$14*$H92))/((1-Data!$D$33)*Data!$D$14*1000)),(IF(L92/((Data!$D$33+((1-Data!$D$33)*Data!$D$14*$H92))/((1-Data!$D$33)*Data!$D$14*1000))&gt;ChemData!U92, ChemData!U92, L92/((Data!$D$33+((1-Data!$D$33)*Data!$D$14*$H92))/((1-Data!$D$33)*Data!$D$14*1000)))))))))),"---")</f>
        <v>---</v>
      </c>
      <c r="Q92" s="376" t="str">
        <f>IF(Start!$C$16="x",IF(OR($F92 = "NA",F92=""), "NA", IF(P92= "NA", "NA",(P92+(Data!$D$30*$F92))/(Data!$D$30+1))),"---")</f>
        <v>---</v>
      </c>
      <c r="R92" s="376" t="str">
        <f>IF(Start!$C$16="x",IF(O92 = "NA","NA", IF(OR($I92 = "NA",I92=""), "NA",(IF(OR(ChemData!U92="NA",ChemData!U92=""),O92/((Data!$D$35+((1-Data!$D$35)*Data!$D$14*$I92))/((1-Data!$D$35)*Data!$D$14*1000)),(IF(O92/((Data!$D$35+((1-Data!$D$35)*Data!$D$14*$I92))/((1-Data!$D$35)*Data!$D$14*1000))&gt;ChemData!U92, ChemData!U92, O92/((Data!$D$35+((1-Data!$D$35)*Data!$D$14*$I92))/((1-Data!$D$35)*Data!$D$14*1000)))))))),"---")</f>
        <v>---</v>
      </c>
      <c r="S92" s="377" t="str">
        <f>IF(Start!$C$16="x",IF(OR($F92 = "NA",F92=""), "NA", IF(R92= "NA", "NA",(R92+(Data!$D$30*$F92))/(Data!$D$30+1))),"---")</f>
        <v>---</v>
      </c>
      <c r="T92" s="343" t="str">
        <f>IF(Start!$C$16="x",IF(AND(D92= "",E92=""),"",IF(Q92="NA","NA",IF(G92="NA","NA",IF(G92=0,"NA",(Q92/G92))))),"Not Req.")</f>
        <v>Not Req.</v>
      </c>
      <c r="U92" s="343" t="str">
        <f>IF(Start!$C$16="x",IF(AND(D92= "",E92=""),"",IF(S92="NA","NA",IF(G92="NA","NA",IF(G92=0,"NA",(S92/G92))))),"Not Req.")</f>
        <v>Not Req.</v>
      </c>
      <c r="V92" s="11"/>
    </row>
    <row r="93" spans="1:22" s="10" customFormat="1" x14ac:dyDescent="0.25">
      <c r="A93" s="307" t="s">
        <v>411</v>
      </c>
      <c r="B93" s="348" t="str">
        <f>IF(Start!$C$16="x",IF(OR(D93 ="NA",E93="NA"),"NA",IF(AND(D93= "",E93=""),"",IF(AND(D93= "",E93&lt;&gt; ""),"Missing Data",                     IF(AND(D93&lt;&gt; "",E93= ""),"Missing Data",(IF(OR(G93="NA",G93=""),"No Criteria",(IF(AND(Q93="NA",D93&lt;&gt;"NA",G93&lt;&gt;"NA"),                                               "Missing Data",(IF(Q93&lt;G93,"No","Needed")))))))))),"---")</f>
        <v>---</v>
      </c>
      <c r="C93" s="350" t="str">
        <f>IF(Start!$C$16="x",IF(OR(D93 ="NA",E93="NA"),"NA",IF(AND(D93= "",E93=""),"",IF(AND(D93= "",E93&lt;&gt; ""),"Missing Data",                     IF(AND(D93&lt;&gt; "",E93= ""),"Missing Data",(IF(OR(G93="NA",G93=""),"No Criteria",(IF(AND(S93="NA",D93&lt;&gt;"NA",G93&lt;&gt;"NA"),                                               "Missing Data",(IF(S93&lt;G93,"No","Needed")))))))))),"---")</f>
        <v>---</v>
      </c>
      <c r="D93" s="372" t="str">
        <f>IF(TRUE=ISBLANK(ChemData!B93),"",(ChemData!B93))</f>
        <v/>
      </c>
      <c r="E93" s="373" t="str">
        <f>IF(TRUE=ISBLANK(ChemData!C93),"",(ChemData!C93))</f>
        <v/>
      </c>
      <c r="F93" s="374" t="str">
        <f>IF(TRUE=ISBLANK(ChemData!D93),"",(ChemData!D93))</f>
        <v/>
      </c>
      <c r="G93" s="289" t="str">
        <f>IF(TRUE=ISBLANK(ChemData!I93),"",(ChemData!I93))</f>
        <v>NA</v>
      </c>
      <c r="H93" s="290">
        <f>IF(TRUE=ISBLANK(ChemData!Q93),"",(ChemData!Q93))</f>
        <v>7.0373057258935958</v>
      </c>
      <c r="I93" s="290">
        <f>IF(TRUE=ISBLANK(ChemData!R93),"",(ChemData!R93))</f>
        <v>7.0373057258935958</v>
      </c>
      <c r="J93" s="290">
        <f>IF(TRUE=ISBLANK(ChemData!S93),"",(ChemData!S93))</f>
        <v>1</v>
      </c>
      <c r="K93" s="291">
        <f>IF(TRUE=ISBLANK(ChemData!T93),"",(ChemData!T93))</f>
        <v>1</v>
      </c>
      <c r="L93" s="375" t="str">
        <f>IF(Start!$C$16="x",IF(OR(D93="NA",D93=""),"NA", IF(OR($J93 = "NA",J93=""),"NA",(D93*$J93))),"---")</f>
        <v>---</v>
      </c>
      <c r="M93" s="377" t="str">
        <f>IF(Start!$C$16="x",IF(OR(D93="NA",D93=""),"NA", IF(OR($K93 = "NA",K93=""),"NA",(D93*$K93))),"---")</f>
        <v>---</v>
      </c>
      <c r="N93" s="375" t="str">
        <f t="shared" si="5"/>
        <v>---</v>
      </c>
      <c r="O93" s="377" t="str">
        <f t="shared" si="5"/>
        <v>---</v>
      </c>
      <c r="P93" s="461" t="str">
        <f>IF(Start!$C$16="x",(IF(L93 = "NA","NA", (IF(OR($H93 = "NA",H93=""), "NA",(IF(OR(ChemData!U93="NA",ChemData!U93=""),L93/((Data!$D$33+((1-Data!$D$33)*Data!$D$14*$H93))/((1-Data!$D$33)*Data!$D$14*1000)),(IF(L93/((Data!$D$33+((1-Data!$D$33)*Data!$D$14*$H93))/((1-Data!$D$33)*Data!$D$14*1000))&gt;ChemData!U93, ChemData!U93, L93/((Data!$D$33+((1-Data!$D$33)*Data!$D$14*$H93))/((1-Data!$D$33)*Data!$D$14*1000)))))))))),"---")</f>
        <v>---</v>
      </c>
      <c r="Q93" s="376" t="str">
        <f>IF(Start!$C$16="x",IF(OR($F93 = "NA",F93=""), "NA", IF(P93= "NA", "NA",(P93+(Data!$D$30*$F93))/(Data!$D$30+1))),"---")</f>
        <v>---</v>
      </c>
      <c r="R93" s="376" t="str">
        <f>IF(Start!$C$16="x",IF(O93 = "NA","NA", IF(OR($I93 = "NA",I93=""), "NA",(IF(OR(ChemData!U93="NA",ChemData!U93=""),O93/((Data!$D$35+((1-Data!$D$35)*Data!$D$14*$I93))/((1-Data!$D$35)*Data!$D$14*1000)),(IF(O93/((Data!$D$35+((1-Data!$D$35)*Data!$D$14*$I93))/((1-Data!$D$35)*Data!$D$14*1000))&gt;ChemData!U93, ChemData!U93, O93/((Data!$D$35+((1-Data!$D$35)*Data!$D$14*$I93))/((1-Data!$D$35)*Data!$D$14*1000)))))))),"---")</f>
        <v>---</v>
      </c>
      <c r="S93" s="377" t="str">
        <f>IF(Start!$C$16="x",IF(OR($F93 = "NA",F93=""), "NA", IF(R93= "NA", "NA",(R93+(Data!$D$30*$F93))/(Data!$D$30+1))),"---")</f>
        <v>---</v>
      </c>
      <c r="T93" s="343" t="str">
        <f>IF(Start!$C$16="x",IF(AND(D93= "",E93=""),"",IF(Q93="NA","NA",IF(G93="NA","NA",IF(G93=0,"NA",(Q93/G93))))),"Not Req.")</f>
        <v>Not Req.</v>
      </c>
      <c r="U93" s="343" t="str">
        <f>IF(Start!$C$16="x",IF(AND(D93= "",E93=""),"",IF(S93="NA","NA",IF(G93="NA","NA",IF(G93=0,"NA",(S93/G93))))),"Not Req.")</f>
        <v>Not Req.</v>
      </c>
      <c r="V93" s="11"/>
    </row>
    <row r="94" spans="1:22" s="10" customFormat="1" x14ac:dyDescent="0.25">
      <c r="A94" s="307" t="s">
        <v>412</v>
      </c>
      <c r="B94" s="348" t="str">
        <f>IF(Start!$C$16="x",IF(OR(D94 ="NA",E94="NA"),"NA",IF(AND(D94= "",E94=""),"",IF(AND(D94= "",E94&lt;&gt; ""),"Missing Data",                     IF(AND(D94&lt;&gt; "",E94= ""),"Missing Data",(IF(OR(G94="NA",G94=""),"No Criteria",(IF(AND(Q94="NA",D94&lt;&gt;"NA",G94&lt;&gt;"NA"),                                               "Missing Data",(IF(Q94&lt;G94,"No","Needed")))))))))),"---")</f>
        <v>---</v>
      </c>
      <c r="C94" s="350" t="str">
        <f>IF(Start!$C$16="x",IF(OR(D94 ="NA",E94="NA"),"NA",IF(AND(D94= "",E94=""),"",IF(AND(D94= "",E94&lt;&gt; ""),"Missing Data",                     IF(AND(D94&lt;&gt; "",E94= ""),"Missing Data",(IF(OR(G94="NA",G94=""),"No Criteria",(IF(AND(S94="NA",D94&lt;&gt;"NA",G94&lt;&gt;"NA"),                                               "Missing Data",(IF(S94&lt;G94,"No","Needed")))))))))),"---")</f>
        <v>---</v>
      </c>
      <c r="D94" s="372" t="str">
        <f>IF(TRUE=ISBLANK(ChemData!B94),"",(ChemData!B94))</f>
        <v/>
      </c>
      <c r="E94" s="373" t="str">
        <f>IF(TRUE=ISBLANK(ChemData!C94),"",(ChemData!C94))</f>
        <v/>
      </c>
      <c r="F94" s="374" t="str">
        <f>IF(TRUE=ISBLANK(ChemData!D94),"",(ChemData!D94))</f>
        <v/>
      </c>
      <c r="G94" s="289">
        <f>IF(TRUE=ISBLANK(ChemData!I94),"",(ChemData!I94))</f>
        <v>3</v>
      </c>
      <c r="H94" s="290">
        <f>IF(TRUE=ISBLANK(ChemData!Q94),"",(ChemData!Q94))</f>
        <v>369323.05450074008</v>
      </c>
      <c r="I94" s="290">
        <f>IF(TRUE=ISBLANK(ChemData!R94),"",(ChemData!R94))</f>
        <v>369323.05450074008</v>
      </c>
      <c r="J94" s="290">
        <f>IF(TRUE=ISBLANK(ChemData!S94),"",(ChemData!S94))</f>
        <v>1</v>
      </c>
      <c r="K94" s="291">
        <f>IF(TRUE=ISBLANK(ChemData!T94),"",(ChemData!T94))</f>
        <v>1</v>
      </c>
      <c r="L94" s="375" t="str">
        <f>IF(Start!$C$16="x",IF(OR(D94="NA",D94=""),"NA", IF(OR($J94 = "NA",J94=""),"NA",(D94*$J94))),"---")</f>
        <v>---</v>
      </c>
      <c r="M94" s="377" t="str">
        <f>IF(Start!$C$16="x",IF(OR(D94="NA",D94=""),"NA", IF(OR($K94 = "NA",K94=""),"NA",(D94*$K94))),"---")</f>
        <v>---</v>
      </c>
      <c r="N94" s="375" t="str">
        <f t="shared" si="5"/>
        <v>---</v>
      </c>
      <c r="O94" s="377" t="str">
        <f t="shared" si="5"/>
        <v>---</v>
      </c>
      <c r="P94" s="461" t="str">
        <f>IF(Start!$C$16="x",(IF(L94 = "NA","NA", (IF(OR($H94 = "NA",H94=""), "NA",(IF(OR(ChemData!U94="NA",ChemData!U94=""),L94/((Data!$D$33+((1-Data!$D$33)*Data!$D$14*$H94))/((1-Data!$D$33)*Data!$D$14*1000)),(IF(L94/((Data!$D$33+((1-Data!$D$33)*Data!$D$14*$H94))/((1-Data!$D$33)*Data!$D$14*1000))&gt;ChemData!U94, ChemData!U94, L94/((Data!$D$33+((1-Data!$D$33)*Data!$D$14*$H94))/((1-Data!$D$33)*Data!$D$14*1000)))))))))),"---")</f>
        <v>---</v>
      </c>
      <c r="Q94" s="376" t="str">
        <f>IF(Start!$C$16="x",IF(OR($F94 = "NA",F94=""), "NA", IF(P94= "NA", "NA",(P94+(Data!$D$30*$F94))/(Data!$D$30+1))),"---")</f>
        <v>---</v>
      </c>
      <c r="R94" s="376" t="str">
        <f>IF(Start!$C$16="x",IF(O94 = "NA","NA", IF(OR($I94 = "NA",I94=""), "NA",(IF(OR(ChemData!U94="NA",ChemData!U94=""),O94/((Data!$D$35+((1-Data!$D$35)*Data!$D$14*$I94))/((1-Data!$D$35)*Data!$D$14*1000)),(IF(O94/((Data!$D$35+((1-Data!$D$35)*Data!$D$14*$I94))/((1-Data!$D$35)*Data!$D$14*1000))&gt;ChemData!U94, ChemData!U94, O94/((Data!$D$35+((1-Data!$D$35)*Data!$D$14*$I94))/((1-Data!$D$35)*Data!$D$14*1000)))))))),"---")</f>
        <v>---</v>
      </c>
      <c r="S94" s="377" t="str">
        <f>IF(Start!$C$16="x",IF(OR($F94 = "NA",F94=""), "NA", IF(R94= "NA", "NA",(R94+(Data!$D$30*$F94))/(Data!$D$30+1))),"---")</f>
        <v>---</v>
      </c>
      <c r="T94" s="343" t="str">
        <f>IF(Start!$C$16="x",IF(AND(D94= "",E94=""),"",IF(Q94="NA","NA",IF(G94="NA","NA",IF(G94=0,"NA",(Q94/G94))))),"Not Req.")</f>
        <v>Not Req.</v>
      </c>
      <c r="U94" s="343" t="str">
        <f>IF(Start!$C$16="x",IF(AND(D94= "",E94=""),"",IF(S94="NA","NA",IF(G94="NA","NA",IF(G94=0,"NA",(S94/G94))))),"Not Req.")</f>
        <v>Not Req.</v>
      </c>
      <c r="V94" s="11"/>
    </row>
    <row r="95" spans="1:22" s="10" customFormat="1" x14ac:dyDescent="0.25">
      <c r="A95" s="307" t="s">
        <v>413</v>
      </c>
      <c r="B95" s="348" t="str">
        <f>IF(Start!$C$16="x",IF(OR(D95 ="NA",E95="NA"),"NA",IF(AND(D95= "",E95=""),"",IF(AND(D95= "",E95&lt;&gt; ""),"Missing Data",                     IF(AND(D95&lt;&gt; "",E95= ""),"Missing Data",(IF(OR(G95="NA",G95=""),"No Criteria",(IF(AND(Q95="NA",D95&lt;&gt;"NA",G95&lt;&gt;"NA"),                                               "Missing Data",(IF(Q95&lt;G95,"No","Needed")))))))))),"---")</f>
        <v>---</v>
      </c>
      <c r="C95" s="350" t="str">
        <f>IF(Start!$C$16="x",IF(OR(D95 ="NA",E95="NA"),"NA",IF(AND(D95= "",E95=""),"",IF(AND(D95= "",E95&lt;&gt; ""),"Missing Data",                     IF(AND(D95&lt;&gt; "",E95= ""),"Missing Data",(IF(OR(G95="NA",G95=""),"No Criteria",(IF(AND(S95="NA",D95&lt;&gt;"NA",G95&lt;&gt;"NA"),                                               "Missing Data",(IF(S95&lt;G95,"No","Needed")))))))))),"---")</f>
        <v>---</v>
      </c>
      <c r="D95" s="372" t="str">
        <f>IF(TRUE=ISBLANK(ChemData!B95),"",(ChemData!B95))</f>
        <v/>
      </c>
      <c r="E95" s="373" t="str">
        <f>IF(TRUE=ISBLANK(ChemData!C95),"",(ChemData!C95))</f>
        <v/>
      </c>
      <c r="F95" s="374" t="str">
        <f>IF(TRUE=ISBLANK(ChemData!D95),"",(ChemData!D95))</f>
        <v/>
      </c>
      <c r="G95" s="289" t="str">
        <f>IF(TRUE=ISBLANK(ChemData!I95),"",(ChemData!I95))</f>
        <v>NA</v>
      </c>
      <c r="H95" s="290">
        <f>IF(TRUE=ISBLANK(ChemData!Q95),"",(ChemData!Q95))</f>
        <v>1.1951059779431472E-2</v>
      </c>
      <c r="I95" s="290">
        <f>IF(TRUE=ISBLANK(ChemData!R95),"",(ChemData!R95))</f>
        <v>1.1951059779431472E-2</v>
      </c>
      <c r="J95" s="290">
        <f>IF(TRUE=ISBLANK(ChemData!S95),"",(ChemData!S95))</f>
        <v>1</v>
      </c>
      <c r="K95" s="291">
        <f>IF(TRUE=ISBLANK(ChemData!T95),"",(ChemData!T95))</f>
        <v>1</v>
      </c>
      <c r="L95" s="375" t="str">
        <f>IF(Start!$C$16="x",IF(OR(D95="NA",D95=""),"NA", IF(OR($J95 = "NA",J95=""),"NA",(D95*$J95))),"---")</f>
        <v>---</v>
      </c>
      <c r="M95" s="377" t="str">
        <f>IF(Start!$C$16="x",IF(OR(D95="NA",D95=""),"NA", IF(OR($K95 = "NA",K95=""),"NA",(D95*$K95))),"---")</f>
        <v>---</v>
      </c>
      <c r="N95" s="375" t="str">
        <f t="shared" si="5"/>
        <v>---</v>
      </c>
      <c r="O95" s="377" t="str">
        <f t="shared" si="5"/>
        <v>---</v>
      </c>
      <c r="P95" s="461" t="str">
        <f>IF(Start!$C$16="x",(IF(L95 = "NA","NA", (IF(OR($H95 = "NA",H95=""), "NA",(IF(OR(ChemData!U95="NA",ChemData!U95=""),L95/((Data!$D$33+((1-Data!$D$33)*Data!$D$14*$H95))/((1-Data!$D$33)*Data!$D$14*1000)),(IF(L95/((Data!$D$33+((1-Data!$D$33)*Data!$D$14*$H95))/((1-Data!$D$33)*Data!$D$14*1000))&gt;ChemData!U95, ChemData!U95, L95/((Data!$D$33+((1-Data!$D$33)*Data!$D$14*$H95))/((1-Data!$D$33)*Data!$D$14*1000)))))))))),"---")</f>
        <v>---</v>
      </c>
      <c r="Q95" s="376" t="str">
        <f>IF(Start!$C$16="x",IF(OR($F95 = "NA",F95=""), "NA", IF(P95= "NA", "NA",(P95+(Data!$D$30*$F95))/(Data!$D$30+1))),"---")</f>
        <v>---</v>
      </c>
      <c r="R95" s="376" t="str">
        <f>IF(Start!$C$16="x",IF(O95 = "NA","NA", IF(OR($I95 = "NA",I95=""), "NA",(IF(OR(ChemData!U95="NA",ChemData!U95=""),O95/((Data!$D$35+((1-Data!$D$35)*Data!$D$14*$I95))/((1-Data!$D$35)*Data!$D$14*1000)),(IF(O95/((Data!$D$35+((1-Data!$D$35)*Data!$D$14*$I95))/((1-Data!$D$35)*Data!$D$14*1000))&gt;ChemData!U95, ChemData!U95, O95/((Data!$D$35+((1-Data!$D$35)*Data!$D$14*$I95))/((1-Data!$D$35)*Data!$D$14*1000)))))))),"---")</f>
        <v>---</v>
      </c>
      <c r="S95" s="377" t="str">
        <f>IF(Start!$C$16="x",IF(OR($F95 = "NA",F95=""), "NA", IF(R95= "NA", "NA",(R95+(Data!$D$30*$F95))/(Data!$D$30+1))),"---")</f>
        <v>---</v>
      </c>
      <c r="T95" s="343" t="str">
        <f>IF(Start!$C$16="x",IF(AND(D95= "",E95=""),"",IF(Q95="NA","NA",IF(G95="NA","NA",IF(G95=0,"NA",(Q95/G95))))),"Not Req.")</f>
        <v>Not Req.</v>
      </c>
      <c r="U95" s="343" t="str">
        <f>IF(Start!$C$16="x",IF(AND(D95= "",E95=""),"",IF(S95="NA","NA",IF(G95="NA","NA",IF(G95=0,"NA",(S95/G95))))),"Not Req.")</f>
        <v>Not Req.</v>
      </c>
      <c r="V95" s="11"/>
    </row>
    <row r="96" spans="1:22" s="10" customFormat="1" x14ac:dyDescent="0.25">
      <c r="A96" s="307" t="s">
        <v>666</v>
      </c>
      <c r="B96" s="348" t="str">
        <f>IF(Start!$C$16="x",IF(OR(D96 ="NA",E96="NA"),"NA",IF(AND(D96= "",E96=""),"",IF(AND(D96= "",E96&lt;&gt; ""),"Missing Data",                     IF(AND(D96&lt;&gt; "",E96= ""),"Missing Data",(IF(OR(G96="NA",G96=""),"No Criteria",(IF(AND(Q96="NA",D96&lt;&gt;"NA",G96&lt;&gt;"NA"),                                               "Missing Data",(IF(Q96&lt;G96,"No","Needed")))))))))),"---")</f>
        <v>---</v>
      </c>
      <c r="C96" s="350" t="str">
        <f>IF(Start!$C$16="x",IF(OR(D96 ="NA",E96="NA"),"NA",IF(AND(D96= "",E96=""),"",IF(AND(D96= "",E96&lt;&gt; ""),"Missing Data",                     IF(AND(D96&lt;&gt; "",E96= ""),"Missing Data",(IF(OR(G96="NA",G96=""),"No Criteria",(IF(AND(S96="NA",D96&lt;&gt;"NA",G96&lt;&gt;"NA"),                                               "Missing Data",(IF(S96&lt;G96,"No","Needed")))))))))),"---")</f>
        <v>---</v>
      </c>
      <c r="D96" s="372" t="str">
        <f>IF(TRUE=ISBLANK(ChemData!B96),"",(ChemData!B96))</f>
        <v/>
      </c>
      <c r="E96" s="373" t="str">
        <f>IF(TRUE=ISBLANK(ChemData!C96),"",(ChemData!C96))</f>
        <v/>
      </c>
      <c r="F96" s="374" t="str">
        <f>IF(TRUE=ISBLANK(ChemData!D96),"",(ChemData!D96))</f>
        <v/>
      </c>
      <c r="G96" s="289" t="str">
        <f>IF(TRUE=ISBLANK(ChemData!I96),"",(ChemData!I96))</f>
        <v>NA</v>
      </c>
      <c r="H96" s="290">
        <f>IF(TRUE=ISBLANK(ChemData!Q96),"",(ChemData!Q96))</f>
        <v>23.302709372310051</v>
      </c>
      <c r="I96" s="290">
        <f>IF(TRUE=ISBLANK(ChemData!R96),"",(ChemData!R96))</f>
        <v>23.302709372310051</v>
      </c>
      <c r="J96" s="290">
        <f>IF(TRUE=ISBLANK(ChemData!S96),"",(ChemData!S96))</f>
        <v>1</v>
      </c>
      <c r="K96" s="291">
        <f>IF(TRUE=ISBLANK(ChemData!T96),"",(ChemData!T96))</f>
        <v>1</v>
      </c>
      <c r="L96" s="375" t="str">
        <f>IF(Start!$C$16="x",IF(OR(D96="NA",D96=""),"NA", IF(OR($J96 = "NA",J96=""),"NA",(D96*$J96))),"---")</f>
        <v>---</v>
      </c>
      <c r="M96" s="377" t="str">
        <f>IF(Start!$C$16="x",IF(OR(D96="NA",D96=""),"NA", IF(OR($K96 = "NA",K96=""),"NA",(D96*$K96))),"---")</f>
        <v>---</v>
      </c>
      <c r="N96" s="375" t="str">
        <f t="shared" si="5"/>
        <v>---</v>
      </c>
      <c r="O96" s="377" t="str">
        <f t="shared" si="5"/>
        <v>---</v>
      </c>
      <c r="P96" s="461" t="str">
        <f>IF(Start!$C$16="x",(IF(L96 = "NA","NA", (IF(OR($H96 = "NA",H96=""), "NA",(IF(OR(ChemData!U96="NA",ChemData!U96=""),L96/((Data!$D$33+((1-Data!$D$33)*Data!$D$14*$H96))/((1-Data!$D$33)*Data!$D$14*1000)),(IF(L96/((Data!$D$33+((1-Data!$D$33)*Data!$D$14*$H96))/((1-Data!$D$33)*Data!$D$14*1000))&gt;ChemData!U96, ChemData!U96, L96/((Data!$D$33+((1-Data!$D$33)*Data!$D$14*$H96))/((1-Data!$D$33)*Data!$D$14*1000)))))))))),"---")</f>
        <v>---</v>
      </c>
      <c r="Q96" s="376" t="str">
        <f>IF(Start!$C$16="x",IF(OR($F96 = "NA",F96=""), "NA", IF(P96= "NA", "NA",(P96+(Data!$D$30*$F96))/(Data!$D$30+1))),"---")</f>
        <v>---</v>
      </c>
      <c r="R96" s="376" t="str">
        <f>IF(Start!$C$16="x",IF(O96 = "NA","NA", IF(OR($I96 = "NA",I96=""), "NA",(IF(OR(ChemData!U96="NA",ChemData!U96=""),O96/((Data!$D$35+((1-Data!$D$35)*Data!$D$14*$I96))/((1-Data!$D$35)*Data!$D$14*1000)),(IF(O96/((Data!$D$35+((1-Data!$D$35)*Data!$D$14*$I96))/((1-Data!$D$35)*Data!$D$14*1000))&gt;ChemData!U96, ChemData!U96, O96/((Data!$D$35+((1-Data!$D$35)*Data!$D$14*$I96))/((1-Data!$D$35)*Data!$D$14*1000)))))))),"---")</f>
        <v>---</v>
      </c>
      <c r="S96" s="377" t="str">
        <f>IF(Start!$C$16="x",IF(OR($F96 = "NA",F96=""), "NA", IF(R96= "NA", "NA",(R96+(Data!$D$30*$F96))/(Data!$D$30+1))),"---")</f>
        <v>---</v>
      </c>
      <c r="T96" s="343" t="str">
        <f>IF(Start!$C$16="x",IF(AND(D96= "",E96=""),"",IF(Q96="NA","NA",IF(G96="NA","NA",IF(G96=0,"NA",(Q96/G96))))),"Not Req.")</f>
        <v>Not Req.</v>
      </c>
      <c r="U96" s="343" t="str">
        <f>IF(Start!$C$16="x",IF(AND(D96= "",E96=""),"",IF(S96="NA","NA",IF(G96="NA","NA",IF(G96=0,"NA",(S96/G96))))),"Not Req.")</f>
        <v>Not Req.</v>
      </c>
      <c r="V96" s="11"/>
    </row>
    <row r="97" spans="1:22" s="10" customFormat="1" x14ac:dyDescent="0.25">
      <c r="A97" s="307" t="s">
        <v>415</v>
      </c>
      <c r="B97" s="348" t="str">
        <f>IF(Start!$C$16="x",IF(OR(D97 ="NA",E97="NA"),"NA",IF(AND(D97= "",E97=""),"",IF(AND(D97= "",E97&lt;&gt; ""),"Missing Data",                     IF(AND(D97&lt;&gt; "",E97= ""),"Missing Data",(IF(OR(G97="NA",G97=""),"No Criteria",(IF(AND(Q97="NA",D97&lt;&gt;"NA",G97&lt;&gt;"NA"),                                               "Missing Data",(IF(Q97&lt;G97,"No","Needed")))))))))),"---")</f>
        <v>---</v>
      </c>
      <c r="C97" s="350" t="str">
        <f>IF(Start!$C$16="x",IF(OR(D97 ="NA",E97="NA"),"NA",IF(AND(D97= "",E97=""),"",IF(AND(D97= "",E97&lt;&gt; ""),"Missing Data",                     IF(AND(D97&lt;&gt; "",E97= ""),"Missing Data",(IF(OR(G97="NA",G97=""),"No Criteria",(IF(AND(S97="NA",D97&lt;&gt;"NA",G97&lt;&gt;"NA"),                                               "Missing Data",(IF(S97&lt;G97,"No","Needed")))))))))),"---")</f>
        <v>---</v>
      </c>
      <c r="D97" s="372" t="str">
        <f>IF(TRUE=ISBLANK(ChemData!B97),"",(ChemData!B97))</f>
        <v/>
      </c>
      <c r="E97" s="373" t="str">
        <f>IF(TRUE=ISBLANK(ChemData!C97),"",(ChemData!C97))</f>
        <v/>
      </c>
      <c r="F97" s="374" t="str">
        <f>IF(TRUE=ISBLANK(ChemData!D97),"",(ChemData!D97))</f>
        <v/>
      </c>
      <c r="G97" s="289" t="str">
        <f>IF(TRUE=ISBLANK(ChemData!I97),"",(ChemData!I97))</f>
        <v>NA</v>
      </c>
      <c r="H97" s="290">
        <f>IF(TRUE=ISBLANK(ChemData!Q97),"",(ChemData!Q97))</f>
        <v>1.3104076468950407</v>
      </c>
      <c r="I97" s="290">
        <f>IF(TRUE=ISBLANK(ChemData!R97),"",(ChemData!R97))</f>
        <v>1.3104076468950407</v>
      </c>
      <c r="J97" s="290">
        <f>IF(TRUE=ISBLANK(ChemData!S97),"",(ChemData!S97))</f>
        <v>1</v>
      </c>
      <c r="K97" s="291">
        <f>IF(TRUE=ISBLANK(ChemData!T97),"",(ChemData!T97))</f>
        <v>1</v>
      </c>
      <c r="L97" s="375" t="str">
        <f>IF(Start!$C$16="x",IF(OR(D97="NA",D97=""),"NA", IF(OR($J97 = "NA",J97=""),"NA",(D97*$J97))),"---")</f>
        <v>---</v>
      </c>
      <c r="M97" s="377" t="str">
        <f>IF(Start!$C$16="x",IF(OR(D97="NA",D97=""),"NA", IF(OR($K97 = "NA",K97=""),"NA",(D97*$K97))),"---")</f>
        <v>---</v>
      </c>
      <c r="N97" s="375" t="str">
        <f t="shared" si="5"/>
        <v>---</v>
      </c>
      <c r="O97" s="377" t="str">
        <f t="shared" si="5"/>
        <v>---</v>
      </c>
      <c r="P97" s="461" t="str">
        <f>IF(Start!$C$16="x",(IF(L97 = "NA","NA", (IF(OR($H97 = "NA",H97=""), "NA",(IF(OR(ChemData!U97="NA",ChemData!U97=""),L97/((Data!$D$33+((1-Data!$D$33)*Data!$D$14*$H97))/((1-Data!$D$33)*Data!$D$14*1000)),(IF(L97/((Data!$D$33+((1-Data!$D$33)*Data!$D$14*$H97))/((1-Data!$D$33)*Data!$D$14*1000))&gt;ChemData!U97, ChemData!U97, L97/((Data!$D$33+((1-Data!$D$33)*Data!$D$14*$H97))/((1-Data!$D$33)*Data!$D$14*1000)))))))))),"---")</f>
        <v>---</v>
      </c>
      <c r="Q97" s="376" t="str">
        <f>IF(Start!$C$16="x",IF(OR($F97 = "NA",F97=""), "NA", IF(P97= "NA", "NA",(P97+(Data!$D$30*$F97))/(Data!$D$30+1))),"---")</f>
        <v>---</v>
      </c>
      <c r="R97" s="376" t="str">
        <f>IF(Start!$C$16="x",IF(O97 = "NA","NA", IF(OR($I97 = "NA",I97=""), "NA",(IF(OR(ChemData!U97="NA",ChemData!U97=""),O97/((Data!$D$35+((1-Data!$D$35)*Data!$D$14*$I97))/((1-Data!$D$35)*Data!$D$14*1000)),(IF(O97/((Data!$D$35+((1-Data!$D$35)*Data!$D$14*$I97))/((1-Data!$D$35)*Data!$D$14*1000))&gt;ChemData!U97, ChemData!U97, O97/((Data!$D$35+((1-Data!$D$35)*Data!$D$14*$I97))/((1-Data!$D$35)*Data!$D$14*1000)))))))),"---")</f>
        <v>---</v>
      </c>
      <c r="S97" s="377" t="str">
        <f>IF(Start!$C$16="x",IF(OR($F97 = "NA",F97=""), "NA", IF(R97= "NA", "NA",(R97+(Data!$D$30*$F97))/(Data!$D$30+1))),"---")</f>
        <v>---</v>
      </c>
      <c r="T97" s="343" t="str">
        <f>IF(Start!$C$16="x",IF(AND(D97= "",E97=""),"",IF(Q97="NA","NA",IF(G97="NA","NA",IF(G97=0,"NA",(Q97/G97))))),"Not Req.")</f>
        <v>Not Req.</v>
      </c>
      <c r="U97" s="343" t="str">
        <f>IF(Start!$C$16="x",IF(AND(D97= "",E97=""),"",IF(S97="NA","NA",IF(G97="NA","NA",IF(G97=0,"NA",(S97/G97))))),"Not Req.")</f>
        <v>Not Req.</v>
      </c>
      <c r="V97" s="11"/>
    </row>
    <row r="98" spans="1:22" s="10" customFormat="1" x14ac:dyDescent="0.25">
      <c r="A98" s="307" t="s">
        <v>416</v>
      </c>
      <c r="B98" s="348" t="str">
        <f>IF(Start!$C$16="x",IF(OR(D98 ="NA",E98="NA"),"NA",IF(AND(D98= "",E98=""),"",IF(AND(D98= "",E98&lt;&gt; ""),"Missing Data",                     IF(AND(D98&lt;&gt; "",E98= ""),"Missing Data",(IF(OR(G98="NA",G98=""),"No Criteria",(IF(AND(Q98="NA",D98&lt;&gt;"NA",G98&lt;&gt;"NA"),                                               "Missing Data",(IF(Q98&lt;G98,"No","Needed")))))))))),"---")</f>
        <v>---</v>
      </c>
      <c r="C98" s="350" t="str">
        <f>IF(Start!$C$16="x",IF(OR(D98 ="NA",E98="NA"),"NA",IF(AND(D98= "",E98=""),"",IF(AND(D98= "",E98&lt;&gt; ""),"Missing Data",                     IF(AND(D98&lt;&gt; "",E98= ""),"Missing Data",(IF(OR(G98="NA",G98=""),"No Criteria",(IF(AND(S98="NA",D98&lt;&gt;"NA",G98&lt;&gt;"NA"),                                               "Missing Data",(IF(S98&lt;G98,"No","Needed")))))))))),"---")</f>
        <v>---</v>
      </c>
      <c r="D98" s="372" t="str">
        <f>IF(TRUE=ISBLANK(ChemData!B98),"",(ChemData!B98))</f>
        <v/>
      </c>
      <c r="E98" s="373" t="str">
        <f>IF(TRUE=ISBLANK(ChemData!C98),"",(ChemData!C98))</f>
        <v/>
      </c>
      <c r="F98" s="374" t="str">
        <f>IF(TRUE=ISBLANK(ChemData!D98),"",(ChemData!D98))</f>
        <v/>
      </c>
      <c r="G98" s="289" t="str">
        <f>IF(TRUE=ISBLANK(ChemData!I98),"",(ChemData!I98))</f>
        <v>NA</v>
      </c>
      <c r="H98" s="290">
        <f>IF(TRUE=ISBLANK(ChemData!Q98),"",(ChemData!Q98))</f>
        <v>185.1</v>
      </c>
      <c r="I98" s="290">
        <f>IF(TRUE=ISBLANK(ChemData!R98),"",(ChemData!R98))</f>
        <v>185.1</v>
      </c>
      <c r="J98" s="290">
        <f>IF(TRUE=ISBLANK(ChemData!S98),"",(ChemData!S98))</f>
        <v>1</v>
      </c>
      <c r="K98" s="291">
        <f>IF(TRUE=ISBLANK(ChemData!T98),"",(ChemData!T98))</f>
        <v>1</v>
      </c>
      <c r="L98" s="375" t="str">
        <f>IF(Start!$C$16="x",IF(OR(D98="NA",D98=""),"NA", IF(OR($J98 = "NA",J98=""),"NA",(D98*$J98))),"---")</f>
        <v>---</v>
      </c>
      <c r="M98" s="377" t="str">
        <f>IF(Start!$C$16="x",IF(OR(D98="NA",D98=""),"NA", IF(OR($K98 = "NA",K98=""),"NA",(D98*$K98))),"---")</f>
        <v>---</v>
      </c>
      <c r="N98" s="375" t="str">
        <f t="shared" si="5"/>
        <v>---</v>
      </c>
      <c r="O98" s="377" t="str">
        <f t="shared" si="5"/>
        <v>---</v>
      </c>
      <c r="P98" s="461" t="str">
        <f>IF(Start!$C$16="x",(IF(L98 = "NA","NA", (IF(OR($H98 = "NA",H98=""), "NA",(IF(OR(ChemData!U98="NA",ChemData!U98=""),L98/((Data!$D$33+((1-Data!$D$33)*Data!$D$14*$H98))/((1-Data!$D$33)*Data!$D$14*1000)),(IF(L98/((Data!$D$33+((1-Data!$D$33)*Data!$D$14*$H98))/((1-Data!$D$33)*Data!$D$14*1000))&gt;ChemData!U98, ChemData!U98, L98/((Data!$D$33+((1-Data!$D$33)*Data!$D$14*$H98))/((1-Data!$D$33)*Data!$D$14*1000)))))))))),"---")</f>
        <v>---</v>
      </c>
      <c r="Q98" s="376" t="str">
        <f>IF(Start!$C$16="x",IF(OR($F98 = "NA",F98=""), "NA", IF(P98= "NA", "NA",(P98+(Data!$D$30*$F98))/(Data!$D$30+1))),"---")</f>
        <v>---</v>
      </c>
      <c r="R98" s="376" t="str">
        <f>IF(Start!$C$16="x",IF(O98 = "NA","NA", IF(OR($I98 = "NA",I98=""), "NA",(IF(OR(ChemData!U98="NA",ChemData!U98=""),O98/((Data!$D$35+((1-Data!$D$35)*Data!$D$14*$I98))/((1-Data!$D$35)*Data!$D$14*1000)),(IF(O98/((Data!$D$35+((1-Data!$D$35)*Data!$D$14*$I98))/((1-Data!$D$35)*Data!$D$14*1000))&gt;ChemData!U98, ChemData!U98, O98/((Data!$D$35+((1-Data!$D$35)*Data!$D$14*$I98))/((1-Data!$D$35)*Data!$D$14*1000)))))))),"---")</f>
        <v>---</v>
      </c>
      <c r="S98" s="377" t="str">
        <f>IF(Start!$C$16="x",IF(OR($F98 = "NA",F98=""), "NA", IF(R98= "NA", "NA",(R98+(Data!$D$30*$F98))/(Data!$D$30+1))),"---")</f>
        <v>---</v>
      </c>
      <c r="T98" s="343" t="str">
        <f>IF(Start!$C$16="x",IF(AND(D98= "",E98=""),"",IF(Q98="NA","NA",IF(G98="NA","NA",IF(G98=0,"NA",(Q98/G98))))),"Not Req.")</f>
        <v>Not Req.</v>
      </c>
      <c r="U98" s="343" t="str">
        <f>IF(Start!$C$16="x",IF(AND(D98= "",E98=""),"",IF(S98="NA","NA",IF(G98="NA","NA",IF(G98=0,"NA",(S98/G98))))),"Not Req.")</f>
        <v>Not Req.</v>
      </c>
      <c r="V98" s="11"/>
    </row>
    <row r="99" spans="1:22" s="10" customFormat="1" x14ac:dyDescent="0.25">
      <c r="A99" s="307" t="s">
        <v>417</v>
      </c>
      <c r="B99" s="348" t="str">
        <f>IF(Start!$C$16="x",IF(OR(D99 ="NA",E99="NA"),"NA",IF(AND(D99= "",E99=""),"",IF(AND(D99= "",E99&lt;&gt; ""),"Missing Data",                     IF(AND(D99&lt;&gt; "",E99= ""),"Missing Data",(IF(OR(G99="NA",G99=""),"No Criteria",(IF(AND(Q99="NA",D99&lt;&gt;"NA",G99&lt;&gt;"NA"),                                               "Missing Data",(IF(Q99&lt;G99,"No","Needed")))))))))),"---")</f>
        <v>---</v>
      </c>
      <c r="C99" s="350" t="str">
        <f>IF(Start!$C$16="x",IF(OR(D99 ="NA",E99="NA"),"NA",IF(AND(D99= "",E99=""),"",IF(AND(D99= "",E99&lt;&gt; ""),"Missing Data",                     IF(AND(D99&lt;&gt; "",E99= ""),"Missing Data",(IF(OR(G99="NA",G99=""),"No Criteria",(IF(AND(S99="NA",D99&lt;&gt;"NA",G99&lt;&gt;"NA"),                                               "Missing Data",(IF(S99&lt;G99,"No","Needed")))))))))),"---")</f>
        <v>---</v>
      </c>
      <c r="D99" s="372" t="str">
        <f>IF(TRUE=ISBLANK(ChemData!B99),"",(ChemData!B99))</f>
        <v/>
      </c>
      <c r="E99" s="373" t="str">
        <f>IF(TRUE=ISBLANK(ChemData!C99),"",(ChemData!C99))</f>
        <v/>
      </c>
      <c r="F99" s="374" t="str">
        <f>IF(TRUE=ISBLANK(ChemData!D99),"",(ChemData!D99))</f>
        <v/>
      </c>
      <c r="G99" s="289" t="str">
        <f>IF(TRUE=ISBLANK(ChemData!I99),"",(ChemData!I99))</f>
        <v>NA</v>
      </c>
      <c r="H99" s="290">
        <f>IF(TRUE=ISBLANK(ChemData!Q99),"",(ChemData!Q99))</f>
        <v>2.6755090156507135</v>
      </c>
      <c r="I99" s="290">
        <f>IF(TRUE=ISBLANK(ChemData!R99),"",(ChemData!R99))</f>
        <v>2.6755090156507135</v>
      </c>
      <c r="J99" s="290">
        <f>IF(TRUE=ISBLANK(ChemData!S99),"",(ChemData!S99))</f>
        <v>1</v>
      </c>
      <c r="K99" s="291">
        <f>IF(TRUE=ISBLANK(ChemData!T99),"",(ChemData!T99))</f>
        <v>1</v>
      </c>
      <c r="L99" s="375" t="str">
        <f>IF(Start!$C$16="x",IF(OR(D99="NA",D99=""),"NA", IF(OR($J99 = "NA",J99=""),"NA",(D99*$J99))),"---")</f>
        <v>---</v>
      </c>
      <c r="M99" s="377" t="str">
        <f>IF(Start!$C$16="x",IF(OR(D99="NA",D99=""),"NA", IF(OR($K99 = "NA",K99=""),"NA",(D99*$K99))),"---")</f>
        <v>---</v>
      </c>
      <c r="N99" s="375" t="str">
        <f t="shared" si="5"/>
        <v>---</v>
      </c>
      <c r="O99" s="377" t="str">
        <f t="shared" si="5"/>
        <v>---</v>
      </c>
      <c r="P99" s="461" t="str">
        <f>IF(Start!$C$16="x",(IF(L99 = "NA","NA", (IF(OR($H99 = "NA",H99=""), "NA",(IF(OR(ChemData!U99="NA",ChemData!U99=""),L99/((Data!$D$33+((1-Data!$D$33)*Data!$D$14*$H99))/((1-Data!$D$33)*Data!$D$14*1000)),(IF(L99/((Data!$D$33+((1-Data!$D$33)*Data!$D$14*$H99))/((1-Data!$D$33)*Data!$D$14*1000))&gt;ChemData!U99, ChemData!U99, L99/((Data!$D$33+((1-Data!$D$33)*Data!$D$14*$H99))/((1-Data!$D$33)*Data!$D$14*1000)))))))))),"---")</f>
        <v>---</v>
      </c>
      <c r="Q99" s="376" t="str">
        <f>IF(Start!$C$16="x",IF(OR($F99 = "NA",F99=""), "NA", IF(P99= "NA", "NA",(P99+(Data!$D$30*$F99))/(Data!$D$30+1))),"---")</f>
        <v>---</v>
      </c>
      <c r="R99" s="376" t="str">
        <f>IF(Start!$C$16="x",IF(O99 = "NA","NA", IF(OR($I99 = "NA",I99=""), "NA",(IF(OR(ChemData!U99="NA",ChemData!U99=""),O99/((Data!$D$35+((1-Data!$D$35)*Data!$D$14*$I99))/((1-Data!$D$35)*Data!$D$14*1000)),(IF(O99/((Data!$D$35+((1-Data!$D$35)*Data!$D$14*$I99))/((1-Data!$D$35)*Data!$D$14*1000))&gt;ChemData!U99, ChemData!U99, O99/((Data!$D$35+((1-Data!$D$35)*Data!$D$14*$I99))/((1-Data!$D$35)*Data!$D$14*1000)))))))),"---")</f>
        <v>---</v>
      </c>
      <c r="S99" s="377" t="str">
        <f>IF(Start!$C$16="x",IF(OR($F99 = "NA",F99=""), "NA", IF(R99= "NA", "NA",(R99+(Data!$D$30*$F99))/(Data!$D$30+1))),"---")</f>
        <v>---</v>
      </c>
      <c r="T99" s="343" t="str">
        <f>IF(Start!$C$16="x",IF(AND(D99= "",E99=""),"",IF(Q99="NA","NA",IF(G99="NA","NA",IF(G99=0,"NA",(Q99/G99))))),"Not Req.")</f>
        <v>Not Req.</v>
      </c>
      <c r="U99" s="343" t="str">
        <f>IF(Start!$C$16="x",IF(AND(D99= "",E99=""),"",IF(S99="NA","NA",IF(G99="NA","NA",IF(G99=0,"NA",(S99/G99))))),"Not Req.")</f>
        <v>Not Req.</v>
      </c>
      <c r="V99" s="11"/>
    </row>
    <row r="100" spans="1:22" s="10" customFormat="1" x14ac:dyDescent="0.25">
      <c r="A100" s="307" t="s">
        <v>418</v>
      </c>
      <c r="B100" s="348" t="str">
        <f>IF(Start!$C$16="x",IF(OR(D100 ="NA",E100="NA"),"NA",IF(AND(D100= "",E100=""),"",IF(AND(D100= "",E100&lt;&gt; ""),"Missing Data",                     IF(AND(D100&lt;&gt; "",E100= ""),"Missing Data",(IF(OR(G100="NA",G100=""),"No Criteria",(IF(AND(Q100="NA",D100&lt;&gt;"NA",G100&lt;&gt;"NA"),                                               "Missing Data",(IF(Q100&lt;G100,"No","Needed")))))))))),"---")</f>
        <v>---</v>
      </c>
      <c r="C100" s="350" t="str">
        <f>IF(Start!$C$16="x",IF(OR(D100 ="NA",E100="NA"),"NA",IF(AND(D100= "",E100=""),"",IF(AND(D100= "",E100&lt;&gt; ""),"Missing Data",                     IF(AND(D100&lt;&gt; "",E100= ""),"Missing Data",(IF(OR(G100="NA",G100=""),"No Criteria",(IF(AND(S100="NA",D100&lt;&gt;"NA",G100&lt;&gt;"NA"),                                               "Missing Data",(IF(S100&lt;G100,"No","Needed")))))))))),"---")</f>
        <v>---</v>
      </c>
      <c r="D100" s="372" t="str">
        <f>IF(TRUE=ISBLANK(ChemData!B100),"",(ChemData!B100))</f>
        <v/>
      </c>
      <c r="E100" s="373" t="str">
        <f>IF(TRUE=ISBLANK(ChemData!C100),"",(ChemData!C100))</f>
        <v/>
      </c>
      <c r="F100" s="374" t="str">
        <f>IF(TRUE=ISBLANK(ChemData!D100),"",(ChemData!D100))</f>
        <v/>
      </c>
      <c r="G100" s="289" t="str">
        <f>IF(TRUE=ISBLANK(ChemData!I100),"",(ChemData!I100))</f>
        <v>NA</v>
      </c>
      <c r="H100" s="290">
        <f>IF(TRUE=ISBLANK(ChemData!Q100),"",(ChemData!Q100))</f>
        <v>1851</v>
      </c>
      <c r="I100" s="290">
        <f>IF(TRUE=ISBLANK(ChemData!R100),"",(ChemData!R100))</f>
        <v>1851</v>
      </c>
      <c r="J100" s="290">
        <f>IF(TRUE=ISBLANK(ChemData!S100),"",(ChemData!S100))</f>
        <v>1</v>
      </c>
      <c r="K100" s="291">
        <f>IF(TRUE=ISBLANK(ChemData!T100),"",(ChemData!T100))</f>
        <v>1</v>
      </c>
      <c r="L100" s="375" t="str">
        <f>IF(Start!$C$16="x",IF(OR(D100="NA",D100=""),"NA", IF(OR($J100 = "NA",J100=""),"NA",(D100*$J100))),"---")</f>
        <v>---</v>
      </c>
      <c r="M100" s="377" t="str">
        <f>IF(Start!$C$16="x",IF(OR(D100="NA",D100=""),"NA", IF(OR($K100 = "NA",K100=""),"NA",(D100*$K100))),"---")</f>
        <v>---</v>
      </c>
      <c r="N100" s="375" t="str">
        <f t="shared" si="5"/>
        <v>---</v>
      </c>
      <c r="O100" s="377" t="str">
        <f t="shared" si="5"/>
        <v>---</v>
      </c>
      <c r="P100" s="461" t="str">
        <f>IF(Start!$C$16="x",(IF(L100 = "NA","NA", (IF(OR($H100 = "NA",H100=""), "NA",(IF(OR(ChemData!U100="NA",ChemData!U100=""),L100/((Data!$D$33+((1-Data!$D$33)*Data!$D$14*$H100))/((1-Data!$D$33)*Data!$D$14*1000)),(IF(L100/((Data!$D$33+((1-Data!$D$33)*Data!$D$14*$H100))/((1-Data!$D$33)*Data!$D$14*1000))&gt;ChemData!U100, ChemData!U100, L100/((Data!$D$33+((1-Data!$D$33)*Data!$D$14*$H100))/((1-Data!$D$33)*Data!$D$14*1000)))))))))),"---")</f>
        <v>---</v>
      </c>
      <c r="Q100" s="376" t="str">
        <f>IF(Start!$C$16="x",IF(OR($F100 = "NA",F100=""), "NA", IF(P100= "NA", "NA",(P100+(Data!$D$30*$F100))/(Data!$D$30+1))),"---")</f>
        <v>---</v>
      </c>
      <c r="R100" s="376" t="str">
        <f>IF(Start!$C$16="x",IF(O100 = "NA","NA", IF(OR($I100 = "NA",I100=""), "NA",(IF(OR(ChemData!U100="NA",ChemData!U100=""),O100/((Data!$D$35+((1-Data!$D$35)*Data!$D$14*$I100))/((1-Data!$D$35)*Data!$D$14*1000)),(IF(O100/((Data!$D$35+((1-Data!$D$35)*Data!$D$14*$I100))/((1-Data!$D$35)*Data!$D$14*1000))&gt;ChemData!U100, ChemData!U100, O100/((Data!$D$35+((1-Data!$D$35)*Data!$D$14*$I100))/((1-Data!$D$35)*Data!$D$14*1000)))))))),"---")</f>
        <v>---</v>
      </c>
      <c r="S100" s="377" t="str">
        <f>IF(Start!$C$16="x",IF(OR($F100 = "NA",F100=""), "NA", IF(R100= "NA", "NA",(R100+(Data!$D$30*$F100))/(Data!$D$30+1))),"---")</f>
        <v>---</v>
      </c>
      <c r="T100" s="343" t="str">
        <f>IF(Start!$C$16="x",IF(AND(D100= "",E100=""),"",IF(Q100="NA","NA",IF(G100="NA","NA",IF(G100=0,"NA",(Q100/G100))))),"Not Req.")</f>
        <v>Not Req.</v>
      </c>
      <c r="U100" s="343" t="str">
        <f>IF(Start!$C$16="x",IF(AND(D100= "",E100=""),"",IF(S100="NA","NA",IF(G100="NA","NA",IF(G100=0,"NA",(S100/G100))))),"Not Req.")</f>
        <v>Not Req.</v>
      </c>
      <c r="V100" s="11"/>
    </row>
    <row r="101" spans="1:22" s="10" customFormat="1" x14ac:dyDescent="0.25">
      <c r="A101" s="307" t="s">
        <v>419</v>
      </c>
      <c r="B101" s="348" t="str">
        <f>IF(Start!$C$16="x",IF(OR(D101 ="NA",E101="NA"),"NA",IF(AND(D101= "",E101=""),"",IF(AND(D101= "",E101&lt;&gt; ""),"Missing Data",                     IF(AND(D101&lt;&gt; "",E101= ""),"Missing Data",(IF(OR(G101="NA",G101=""),"No Criteria",(IF(AND(Q101="NA",D101&lt;&gt;"NA",G101&lt;&gt;"NA"),                                               "Missing Data",(IF(Q101&lt;G101,"No","Needed")))))))))),"---")</f>
        <v>---</v>
      </c>
      <c r="C101" s="350" t="str">
        <f>IF(Start!$C$16="x",IF(OR(D101 ="NA",E101="NA"),"NA",IF(AND(D101= "",E101=""),"",IF(AND(D101= "",E101&lt;&gt; ""),"Missing Data",                     IF(AND(D101&lt;&gt; "",E101= ""),"Missing Data",(IF(OR(G101="NA",G101=""),"No Criteria",(IF(AND(S101="NA",D101&lt;&gt;"NA",G101&lt;&gt;"NA"),                                               "Missing Data",(IF(S101&lt;G101,"No","Needed")))))))))),"---")</f>
        <v>---</v>
      </c>
      <c r="D101" s="372" t="str">
        <f>IF(TRUE=ISBLANK(ChemData!B101),"",(ChemData!B101))</f>
        <v/>
      </c>
      <c r="E101" s="373" t="str">
        <f>IF(TRUE=ISBLANK(ChemData!C101),"",(ChemData!C101))</f>
        <v/>
      </c>
      <c r="F101" s="374" t="str">
        <f>IF(TRUE=ISBLANK(ChemData!D101),"",(ChemData!D101))</f>
        <v/>
      </c>
      <c r="G101" s="289" t="str">
        <f>IF(TRUE=ISBLANK(ChemData!I101),"",(ChemData!I101))</f>
        <v>NA</v>
      </c>
      <c r="H101" s="290">
        <f>IF(TRUE=ISBLANK(ChemData!Q101),"",(ChemData!Q101))</f>
        <v>50.980773298789508</v>
      </c>
      <c r="I101" s="290">
        <f>IF(TRUE=ISBLANK(ChemData!R101),"",(ChemData!R101))</f>
        <v>50.980773298789508</v>
      </c>
      <c r="J101" s="290">
        <f>IF(TRUE=ISBLANK(ChemData!S101),"",(ChemData!S101))</f>
        <v>1</v>
      </c>
      <c r="K101" s="291">
        <f>IF(TRUE=ISBLANK(ChemData!T101),"",(ChemData!T101))</f>
        <v>1</v>
      </c>
      <c r="L101" s="375" t="str">
        <f>IF(Start!$C$16="x",IF(OR(D101="NA",D101=""),"NA", IF(OR($J101 = "NA",J101=""),"NA",(D101*$J101))),"---")</f>
        <v>---</v>
      </c>
      <c r="M101" s="377" t="str">
        <f>IF(Start!$C$16="x",IF(OR(D101="NA",D101=""),"NA", IF(OR($K101 = "NA",K101=""),"NA",(D101*$K101))),"---")</f>
        <v>---</v>
      </c>
      <c r="N101" s="375" t="str">
        <f t="shared" si="5"/>
        <v>---</v>
      </c>
      <c r="O101" s="377" t="str">
        <f t="shared" si="5"/>
        <v>---</v>
      </c>
      <c r="P101" s="461" t="str">
        <f>IF(Start!$C$16="x",(IF(L101 = "NA","NA", (IF(OR($H101 = "NA",H101=""), "NA",(IF(OR(ChemData!U101="NA",ChemData!U101=""),L101/((Data!$D$33+((1-Data!$D$33)*Data!$D$14*$H101))/((1-Data!$D$33)*Data!$D$14*1000)),(IF(L101/((Data!$D$33+((1-Data!$D$33)*Data!$D$14*$H101))/((1-Data!$D$33)*Data!$D$14*1000))&gt;ChemData!U101, ChemData!U101, L101/((Data!$D$33+((1-Data!$D$33)*Data!$D$14*$H101))/((1-Data!$D$33)*Data!$D$14*1000)))))))))),"---")</f>
        <v>---</v>
      </c>
      <c r="Q101" s="376" t="str">
        <f>IF(Start!$C$16="x",IF(OR($F101 = "NA",F101=""), "NA", IF(P101= "NA", "NA",(P101+(Data!$D$30*$F101))/(Data!$D$30+1))),"---")</f>
        <v>---</v>
      </c>
      <c r="R101" s="376" t="str">
        <f>IF(Start!$C$16="x",IF(O101 = "NA","NA", IF(OR($I101 = "NA",I101=""), "NA",(IF(OR(ChemData!U101="NA",ChemData!U101=""),O101/((Data!$D$35+((1-Data!$D$35)*Data!$D$14*$I101))/((1-Data!$D$35)*Data!$D$14*1000)),(IF(O101/((Data!$D$35+((1-Data!$D$35)*Data!$D$14*$I101))/((1-Data!$D$35)*Data!$D$14*1000))&gt;ChemData!U101, ChemData!U101, O101/((Data!$D$35+((1-Data!$D$35)*Data!$D$14*$I101))/((1-Data!$D$35)*Data!$D$14*1000)))))))),"---")</f>
        <v>---</v>
      </c>
      <c r="S101" s="377" t="str">
        <f>IF(Start!$C$16="x",IF(OR($F101 = "NA",F101=""), "NA", IF(R101= "NA", "NA",(R101+(Data!$D$30*$F101))/(Data!$D$30+1))),"---")</f>
        <v>---</v>
      </c>
      <c r="T101" s="343" t="str">
        <f>IF(Start!$C$16="x",IF(AND(D101= "",E101=""),"",IF(Q101="NA","NA",IF(G101="NA","NA",IF(G101=0,"NA",(Q101/G101))))),"Not Req.")</f>
        <v>Not Req.</v>
      </c>
      <c r="U101" s="343" t="str">
        <f>IF(Start!$C$16="x",IF(AND(D101= "",E101=""),"",IF(S101="NA","NA",IF(G101="NA","NA",IF(G101=0,"NA",(S101/G101))))),"Not Req.")</f>
        <v>Not Req.</v>
      </c>
      <c r="V101" s="11"/>
    </row>
    <row r="102" spans="1:22" s="10" customFormat="1" x14ac:dyDescent="0.25">
      <c r="A102" s="307" t="s">
        <v>420</v>
      </c>
      <c r="B102" s="348" t="str">
        <f>IF(Start!$C$16="x",IF(OR(D102 ="NA",E102="NA"),"NA",IF(AND(D102= "",E102=""),"",IF(AND(D102= "",E102&lt;&gt; ""),"Missing Data",                     IF(AND(D102&lt;&gt; "",E102= ""),"Missing Data",(IF(OR(G102="NA",G102=""),"No Criteria",(IF(AND(Q102="NA",D102&lt;&gt;"NA",G102&lt;&gt;"NA"),                                               "Missing Data",(IF(Q102&lt;G102,"No","Needed")))))))))),"---")</f>
        <v>---</v>
      </c>
      <c r="C102" s="350" t="str">
        <f>IF(Start!$C$16="x",IF(OR(D102 ="NA",E102="NA"),"NA",IF(AND(D102= "",E102=""),"",IF(AND(D102= "",E102&lt;&gt; ""),"Missing Data",                     IF(AND(D102&lt;&gt; "",E102= ""),"Missing Data",(IF(OR(G102="NA",G102=""),"No Criteria",(IF(AND(S102="NA",D102&lt;&gt;"NA",G102&lt;&gt;"NA"),                                               "Missing Data",(IF(S102&lt;G102,"No","Needed")))))))))),"---")</f>
        <v>---</v>
      </c>
      <c r="D102" s="372" t="str">
        <f>IF(TRUE=ISBLANK(ChemData!B102),"",(ChemData!B102))</f>
        <v/>
      </c>
      <c r="E102" s="373" t="str">
        <f>IF(TRUE=ISBLANK(ChemData!C102),"",(ChemData!C102))</f>
        <v/>
      </c>
      <c r="F102" s="374" t="str">
        <f>IF(TRUE=ISBLANK(ChemData!D102),"",(ChemData!D102))</f>
        <v/>
      </c>
      <c r="G102" s="289">
        <f>IF(TRUE=ISBLANK(ChemData!I102),"",(ChemData!I102))</f>
        <v>35</v>
      </c>
      <c r="H102" s="290">
        <f>IF(TRUE=ISBLANK(ChemData!Q102),"",(ChemData!Q102))</f>
        <v>971.41860892233001</v>
      </c>
      <c r="I102" s="290">
        <f>IF(TRUE=ISBLANK(ChemData!R102),"",(ChemData!R102))</f>
        <v>971.41860892233001</v>
      </c>
      <c r="J102" s="290">
        <f>IF(TRUE=ISBLANK(ChemData!S102),"",(ChemData!S102))</f>
        <v>1</v>
      </c>
      <c r="K102" s="291">
        <f>IF(TRUE=ISBLANK(ChemData!T102),"",(ChemData!T102))</f>
        <v>1</v>
      </c>
      <c r="L102" s="375" t="str">
        <f>IF(Start!$C$16="x",IF(OR(D102="NA",D102=""),"NA", IF(OR($J102 = "NA",J102=""),"NA",(D102*$J102))),"---")</f>
        <v>---</v>
      </c>
      <c r="M102" s="377" t="str">
        <f>IF(Start!$C$16="x",IF(OR(D102="NA",D102=""),"NA", IF(OR($K102 = "NA",K102=""),"NA",(D102*$K102))),"---")</f>
        <v>---</v>
      </c>
      <c r="N102" s="375" t="str">
        <f t="shared" si="5"/>
        <v>---</v>
      </c>
      <c r="O102" s="377" t="str">
        <f t="shared" si="5"/>
        <v>---</v>
      </c>
      <c r="P102" s="461" t="str">
        <f>IF(Start!$C$16="x",(IF(L102 = "NA","NA", (IF(OR($H102 = "NA",H102=""), "NA",(IF(OR(ChemData!U102="NA",ChemData!U102=""),L102/((Data!$D$33+((1-Data!$D$33)*Data!$D$14*$H102))/((1-Data!$D$33)*Data!$D$14*1000)),(IF(L102/((Data!$D$33+((1-Data!$D$33)*Data!$D$14*$H102))/((1-Data!$D$33)*Data!$D$14*1000))&gt;ChemData!U102, ChemData!U102, L102/((Data!$D$33+((1-Data!$D$33)*Data!$D$14*$H102))/((1-Data!$D$33)*Data!$D$14*1000)))))))))),"---")</f>
        <v>---</v>
      </c>
      <c r="Q102" s="376" t="str">
        <f>IF(Start!$C$16="x",IF(OR($F102 = "NA",F102=""), "NA", IF(P102= "NA", "NA",(P102+(Data!$D$30*$F102))/(Data!$D$30+1))),"---")</f>
        <v>---</v>
      </c>
      <c r="R102" s="376" t="str">
        <f>IF(Start!$C$16="x",IF(O102 = "NA","NA", IF(OR($I102 = "NA",I102=""), "NA",(IF(OR(ChemData!U102="NA",ChemData!U102=""),O102/((Data!$D$35+((1-Data!$D$35)*Data!$D$14*$I102))/((1-Data!$D$35)*Data!$D$14*1000)),(IF(O102/((Data!$D$35+((1-Data!$D$35)*Data!$D$14*$I102))/((1-Data!$D$35)*Data!$D$14*1000))&gt;ChemData!U102, ChemData!U102, O102/((Data!$D$35+((1-Data!$D$35)*Data!$D$14*$I102))/((1-Data!$D$35)*Data!$D$14*1000)))))))),"---")</f>
        <v>---</v>
      </c>
      <c r="S102" s="377" t="str">
        <f>IF(Start!$C$16="x",IF(OR($F102 = "NA",F102=""), "NA", IF(R102= "NA", "NA",(R102+(Data!$D$30*$F102))/(Data!$D$30+1))),"---")</f>
        <v>---</v>
      </c>
      <c r="T102" s="343" t="str">
        <f>IF(Start!$C$16="x",IF(AND(D102= "",E102=""),"",IF(Q102="NA","NA",IF(G102="NA","NA",IF(G102=0,"NA",(Q102/G102))))),"Not Req.")</f>
        <v>Not Req.</v>
      </c>
      <c r="U102" s="343" t="str">
        <f>IF(Start!$C$16="x",IF(AND(D102= "",E102=""),"",IF(S102="NA","NA",IF(G102="NA","NA",IF(G102=0,"NA",(S102/G102))))),"Not Req.")</f>
        <v>Not Req.</v>
      </c>
      <c r="V102" s="11"/>
    </row>
    <row r="103" spans="1:22" s="10" customFormat="1" x14ac:dyDescent="0.25">
      <c r="A103" s="307" t="s">
        <v>421</v>
      </c>
      <c r="B103" s="348" t="str">
        <f>IF(Start!$C$16="x",IF(OR(D103 ="NA",E103="NA"),"NA",IF(AND(D103= "",E103=""),"",IF(AND(D103= "",E103&lt;&gt; ""),"Missing Data",                     IF(AND(D103&lt;&gt; "",E103= ""),"Missing Data",(IF(OR(G103="NA",G103=""),"No Criteria",(IF(AND(Q103="NA",D103&lt;&gt;"NA",G103&lt;&gt;"NA"),                                               "Missing Data",(IF(Q103&lt;G103,"No","Needed")))))))))),"---")</f>
        <v>---</v>
      </c>
      <c r="C103" s="350" t="str">
        <f>IF(Start!$C$16="x",IF(OR(D103 ="NA",E103="NA"),"NA",IF(AND(D103= "",E103=""),"",IF(AND(D103= "",E103&lt;&gt; ""),"Missing Data",                     IF(AND(D103&lt;&gt; "",E103= ""),"Missing Data",(IF(OR(G103="NA",G103=""),"No Criteria",(IF(AND(S103="NA",D103&lt;&gt;"NA",G103&lt;&gt;"NA"),                                               "Missing Data",(IF(S103&lt;G103,"No","Needed")))))))))),"---")</f>
        <v>---</v>
      </c>
      <c r="D103" s="372" t="str">
        <f>IF(TRUE=ISBLANK(ChemData!B103),"",(ChemData!B103))</f>
        <v/>
      </c>
      <c r="E103" s="373" t="str">
        <f>IF(TRUE=ISBLANK(ChemData!C103),"",(ChemData!C103))</f>
        <v/>
      </c>
      <c r="F103" s="374" t="str">
        <f>IF(TRUE=ISBLANK(ChemData!D103),"",(ChemData!D103))</f>
        <v/>
      </c>
      <c r="G103" s="289">
        <f>IF(TRUE=ISBLANK(ChemData!I103),"",(ChemData!I103))</f>
        <v>708</v>
      </c>
      <c r="H103" s="290">
        <f>IF(TRUE=ISBLANK(ChemData!Q103),"",(ChemData!Q103))</f>
        <v>2330270.9372310056</v>
      </c>
      <c r="I103" s="290">
        <f>IF(TRUE=ISBLANK(ChemData!R103),"",(ChemData!R103))</f>
        <v>2330270.9372310056</v>
      </c>
      <c r="J103" s="290">
        <f>IF(TRUE=ISBLANK(ChemData!S103),"",(ChemData!S103))</f>
        <v>1</v>
      </c>
      <c r="K103" s="291">
        <f>IF(TRUE=ISBLANK(ChemData!T103),"",(ChemData!T103))</f>
        <v>1</v>
      </c>
      <c r="L103" s="375" t="str">
        <f>IF(Start!$C$16="x",IF(OR(D103="NA",D103=""),"NA", IF(OR($J103 = "NA",J103=""),"NA",(D103*$J103))),"---")</f>
        <v>---</v>
      </c>
      <c r="M103" s="377" t="str">
        <f>IF(Start!$C$16="x",IF(OR(D103="NA",D103=""),"NA", IF(OR($K103 = "NA",K103=""),"NA",(D103*$K103))),"---")</f>
        <v>---</v>
      </c>
      <c r="N103" s="375" t="str">
        <f t="shared" si="5"/>
        <v>---</v>
      </c>
      <c r="O103" s="377" t="str">
        <f t="shared" si="5"/>
        <v>---</v>
      </c>
      <c r="P103" s="461" t="str">
        <f>IF(Start!$C$16="x",(IF(L103 = "NA","NA", (IF(OR($H103 = "NA",H103=""), "NA",(IF(OR(ChemData!U103="NA",ChemData!U103=""),L103/((Data!$D$33+((1-Data!$D$33)*Data!$D$14*$H103))/((1-Data!$D$33)*Data!$D$14*1000)),(IF(L103/((Data!$D$33+((1-Data!$D$33)*Data!$D$14*$H103))/((1-Data!$D$33)*Data!$D$14*1000))&gt;ChemData!U103, ChemData!U103, L103/((Data!$D$33+((1-Data!$D$33)*Data!$D$14*$H103))/((1-Data!$D$33)*Data!$D$14*1000)))))))))),"---")</f>
        <v>---</v>
      </c>
      <c r="Q103" s="376" t="str">
        <f>IF(Start!$C$16="x",IF(OR($F103 = "NA",F103=""), "NA", IF(P103= "NA", "NA",(P103+(Data!$D$30*$F103))/(Data!$D$30+1))),"---")</f>
        <v>---</v>
      </c>
      <c r="R103" s="376" t="str">
        <f>IF(Start!$C$16="x",IF(O103 = "NA","NA", IF(OR($I103 = "NA",I103=""), "NA",(IF(OR(ChemData!U103="NA",ChemData!U103=""),O103/((Data!$D$35+((1-Data!$D$35)*Data!$D$14*$I103))/((1-Data!$D$35)*Data!$D$14*1000)),(IF(O103/((Data!$D$35+((1-Data!$D$35)*Data!$D$14*$I103))/((1-Data!$D$35)*Data!$D$14*1000))&gt;ChemData!U103, ChemData!U103, O103/((Data!$D$35+((1-Data!$D$35)*Data!$D$14*$I103))/((1-Data!$D$35)*Data!$D$14*1000)))))))),"---")</f>
        <v>---</v>
      </c>
      <c r="S103" s="377" t="str">
        <f>IF(Start!$C$16="x",IF(OR($F103 = "NA",F103=""), "NA", IF(R103= "NA", "NA",(R103+(Data!$D$30*$F103))/(Data!$D$30+1))),"---")</f>
        <v>---</v>
      </c>
      <c r="T103" s="343" t="str">
        <f>IF(Start!$C$16="x",IF(AND(D103= "",E103=""),"",IF(Q103="NA","NA",IF(G103="NA","NA",IF(G103=0,"NA",(Q103/G103))))),"Not Req.")</f>
        <v>Not Req.</v>
      </c>
      <c r="U103" s="343" t="str">
        <f>IF(Start!$C$16="x",IF(AND(D103= "",E103=""),"",IF(S103="NA","NA",IF(G103="NA","NA",IF(G103=0,"NA",(S103/G103))))),"Not Req.")</f>
        <v>Not Req.</v>
      </c>
      <c r="V103" s="11"/>
    </row>
    <row r="104" spans="1:22" s="10" customFormat="1" x14ac:dyDescent="0.25">
      <c r="A104" s="307" t="s">
        <v>422</v>
      </c>
      <c r="B104" s="348" t="str">
        <f>IF(Start!$C$16="x",IF(OR(D104 ="NA",E104="NA"),"NA",IF(AND(D104= "",E104=""),"",IF(AND(D104= "",E104&lt;&gt; ""),"Missing Data",                     IF(AND(D104&lt;&gt; "",E104= ""),"Missing Data",(IF(OR(G104="NA",G104=""),"No Criteria",(IF(AND(Q104="NA",D104&lt;&gt;"NA",G104&lt;&gt;"NA"),                                               "Missing Data",(IF(Q104&lt;G104,"No","Needed")))))))))),"---")</f>
        <v>---</v>
      </c>
      <c r="C104" s="350" t="str">
        <f>IF(Start!$C$16="x",IF(OR(D104 ="NA",E104="NA"),"NA",IF(AND(D104= "",E104=""),"",IF(AND(D104= "",E104&lt;&gt; ""),"Missing Data",                     IF(AND(D104&lt;&gt; "",E104= ""),"Missing Data",(IF(OR(G104="NA",G104=""),"No Criteria",(IF(AND(S104="NA",D104&lt;&gt;"NA",G104&lt;&gt;"NA"),                                               "Missing Data",(IF(S104&lt;G104,"No","Needed")))))))))),"---")</f>
        <v>---</v>
      </c>
      <c r="D104" s="372" t="str">
        <f>IF(TRUE=ISBLANK(ChemData!B104),"",(ChemData!B104))</f>
        <v/>
      </c>
      <c r="E104" s="373" t="str">
        <f>IF(TRUE=ISBLANK(ChemData!C104),"",(ChemData!C104))</f>
        <v/>
      </c>
      <c r="F104" s="374" t="str">
        <f>IF(TRUE=ISBLANK(ChemData!D104),"",(ChemData!D104))</f>
        <v/>
      </c>
      <c r="G104" s="289">
        <f>IF(TRUE=ISBLANK(ChemData!I104),"",(ChemData!I104))</f>
        <v>14</v>
      </c>
      <c r="H104" s="290">
        <f>IF(TRUE=ISBLANK(ChemData!Q104),"",(ChemData!Q104))</f>
        <v>46.495017847242345</v>
      </c>
      <c r="I104" s="290">
        <f>IF(TRUE=ISBLANK(ChemData!R104),"",(ChemData!R104))</f>
        <v>46.495017847242345</v>
      </c>
      <c r="J104" s="290">
        <f>IF(TRUE=ISBLANK(ChemData!S104),"",(ChemData!S104))</f>
        <v>1</v>
      </c>
      <c r="K104" s="291">
        <f>IF(TRUE=ISBLANK(ChemData!T104),"",(ChemData!T104))</f>
        <v>1</v>
      </c>
      <c r="L104" s="375" t="str">
        <f>IF(Start!$C$16="x",IF(OR(D104="NA",D104=""),"NA", IF(OR($J104 = "NA",J104=""),"NA",(D104*$J104))),"---")</f>
        <v>---</v>
      </c>
      <c r="M104" s="377" t="str">
        <f>IF(Start!$C$16="x",IF(OR(D104="NA",D104=""),"NA", IF(OR($K104 = "NA",K104=""),"NA",(D104*$K104))),"---")</f>
        <v>---</v>
      </c>
      <c r="N104" s="375" t="str">
        <f t="shared" si="5"/>
        <v>---</v>
      </c>
      <c r="O104" s="377" t="str">
        <f t="shared" si="5"/>
        <v>---</v>
      </c>
      <c r="P104" s="461" t="str">
        <f>IF(Start!$C$16="x",(IF(L104 = "NA","NA", (IF(OR($H104 = "NA",H104=""), "NA",(IF(OR(ChemData!U104="NA",ChemData!U104=""),L104/((Data!$D$33+((1-Data!$D$33)*Data!$D$14*$H104))/((1-Data!$D$33)*Data!$D$14*1000)),(IF(L104/((Data!$D$33+((1-Data!$D$33)*Data!$D$14*$H104))/((1-Data!$D$33)*Data!$D$14*1000))&gt;ChemData!U104, ChemData!U104, L104/((Data!$D$33+((1-Data!$D$33)*Data!$D$14*$H104))/((1-Data!$D$33)*Data!$D$14*1000)))))))))),"---")</f>
        <v>---</v>
      </c>
      <c r="Q104" s="376" t="str">
        <f>IF(Start!$C$16="x",IF(OR($F104 = "NA",F104=""), "NA", IF(P104= "NA", "NA",(P104+(Data!$D$30*$F104))/(Data!$D$30+1))),"---")</f>
        <v>---</v>
      </c>
      <c r="R104" s="376" t="str">
        <f>IF(Start!$C$16="x",IF(O104 = "NA","NA", IF(OR($I104 = "NA",I104=""), "NA",(IF(OR(ChemData!U104="NA",ChemData!U104=""),O104/((Data!$D$35+((1-Data!$D$35)*Data!$D$14*$I104))/((1-Data!$D$35)*Data!$D$14*1000)),(IF(O104/((Data!$D$35+((1-Data!$D$35)*Data!$D$14*$I104))/((1-Data!$D$35)*Data!$D$14*1000))&gt;ChemData!U104, ChemData!U104, O104/((Data!$D$35+((1-Data!$D$35)*Data!$D$14*$I104))/((1-Data!$D$35)*Data!$D$14*1000)))))))),"---")</f>
        <v>---</v>
      </c>
      <c r="S104" s="377" t="str">
        <f>IF(Start!$C$16="x",IF(OR($F104 = "NA",F104=""), "NA", IF(R104= "NA", "NA",(R104+(Data!$D$30*$F104))/(Data!$D$30+1))),"---")</f>
        <v>---</v>
      </c>
      <c r="T104" s="343" t="str">
        <f>IF(Start!$C$16="x",IF(AND(D104= "",E104=""),"",IF(Q104="NA","NA",IF(G104="NA","NA",IF(G104=0,"NA",(Q104/G104))))),"Not Req.")</f>
        <v>Not Req.</v>
      </c>
      <c r="U104" s="343" t="str">
        <f>IF(Start!$C$16="x",IF(AND(D104= "",E104=""),"",IF(S104="NA","NA",IF(G104="NA","NA",IF(G104=0,"NA",(S104/G104))))),"Not Req.")</f>
        <v>Not Req.</v>
      </c>
      <c r="V104" s="11"/>
    </row>
    <row r="105" spans="1:22" s="10" customFormat="1" x14ac:dyDescent="0.25">
      <c r="A105" s="307" t="s">
        <v>423</v>
      </c>
      <c r="B105" s="348" t="str">
        <f>IF(Start!$C$16="x",IF(OR(D105 ="NA",E105="NA"),"NA",IF(AND(D105= "",E105=""),"",IF(AND(D105= "",E105&lt;&gt; ""),"Missing Data",                     IF(AND(D105&lt;&gt; "",E105= ""),"Missing Data",(IF(OR(G105="NA",G105=""),"No Criteria",(IF(AND(Q105="NA",D105&lt;&gt;"NA",G105&lt;&gt;"NA"),                                               "Missing Data",(IF(Q105&lt;G105,"No","Needed")))))))))),"---")</f>
        <v>---</v>
      </c>
      <c r="C105" s="350" t="str">
        <f>IF(Start!$C$16="x",IF(OR(D105 ="NA",E105="NA"),"NA",IF(AND(D105= "",E105=""),"",IF(AND(D105= "",E105&lt;&gt; ""),"Missing Data",                     IF(AND(D105&lt;&gt; "",E105= ""),"Missing Data",(IF(OR(G105="NA",G105=""),"No Criteria",(IF(AND(S105="NA",D105&lt;&gt;"NA",G105&lt;&gt;"NA"),                                               "Missing Data",(IF(S105&lt;G105,"No","Needed")))))))))),"---")</f>
        <v>---</v>
      </c>
      <c r="D105" s="372" t="str">
        <f>IF(TRUE=ISBLANK(ChemData!B105),"",(ChemData!B105))</f>
        <v/>
      </c>
      <c r="E105" s="373" t="str">
        <f>IF(TRUE=ISBLANK(ChemData!C105),"",(ChemData!C105))</f>
        <v/>
      </c>
      <c r="F105" s="374" t="str">
        <f>IF(TRUE=ISBLANK(ChemData!D105),"",(ChemData!D105))</f>
        <v/>
      </c>
      <c r="G105" s="289">
        <f>IF(TRUE=ISBLANK(ChemData!I105),"",(ChemData!I105))</f>
        <v>71</v>
      </c>
      <c r="H105" s="290">
        <f>IF(TRUE=ISBLANK(ChemData!Q105),"",(ChemData!Q105))</f>
        <v>46.495017847242345</v>
      </c>
      <c r="I105" s="290">
        <f>IF(TRUE=ISBLANK(ChemData!R105),"",(ChemData!R105))</f>
        <v>46.495017847242345</v>
      </c>
      <c r="J105" s="290">
        <f>IF(TRUE=ISBLANK(ChemData!S105),"",(ChemData!S105))</f>
        <v>1</v>
      </c>
      <c r="K105" s="291">
        <f>IF(TRUE=ISBLANK(ChemData!T105),"",(ChemData!T105))</f>
        <v>1</v>
      </c>
      <c r="L105" s="375" t="str">
        <f>IF(Start!$C$16="x",IF(OR(D105="NA",D105=""),"NA", IF(OR($J105 = "NA",J105=""),"NA",(D105*$J105))),"---")</f>
        <v>---</v>
      </c>
      <c r="M105" s="377" t="str">
        <f>IF(Start!$C$16="x",IF(OR(D105="NA",D105=""),"NA", IF(OR($K105 = "NA",K105=""),"NA",(D105*$K105))),"---")</f>
        <v>---</v>
      </c>
      <c r="N105" s="375" t="str">
        <f t="shared" si="5"/>
        <v>---</v>
      </c>
      <c r="O105" s="377" t="str">
        <f t="shared" si="5"/>
        <v>---</v>
      </c>
      <c r="P105" s="461" t="str">
        <f>IF(Start!$C$16="x",(IF(L105 = "NA","NA", (IF(OR($H105 = "NA",H105=""), "NA",(IF(OR(ChemData!U105="NA",ChemData!U105=""),L105/((Data!$D$33+((1-Data!$D$33)*Data!$D$14*$H105))/((1-Data!$D$33)*Data!$D$14*1000)),(IF(L105/((Data!$D$33+((1-Data!$D$33)*Data!$D$14*$H105))/((1-Data!$D$33)*Data!$D$14*1000))&gt;ChemData!U105, ChemData!U105, L105/((Data!$D$33+((1-Data!$D$33)*Data!$D$14*$H105))/((1-Data!$D$33)*Data!$D$14*1000)))))))))),"---")</f>
        <v>---</v>
      </c>
      <c r="Q105" s="376" t="str">
        <f>IF(Start!$C$16="x",IF(OR($F105 = "NA",F105=""), "NA", IF(P105= "NA", "NA",(P105+(Data!$D$30*$F105))/(Data!$D$30+1))),"---")</f>
        <v>---</v>
      </c>
      <c r="R105" s="376" t="str">
        <f>IF(Start!$C$16="x",IF(O105 = "NA","NA", IF(OR($I105 = "NA",I105=""), "NA",(IF(OR(ChemData!U105="NA",ChemData!U105=""),O105/((Data!$D$35+((1-Data!$D$35)*Data!$D$14*$I105))/((1-Data!$D$35)*Data!$D$14*1000)),(IF(O105/((Data!$D$35+((1-Data!$D$35)*Data!$D$14*$I105))/((1-Data!$D$35)*Data!$D$14*1000))&gt;ChemData!U105, ChemData!U105, O105/((Data!$D$35+((1-Data!$D$35)*Data!$D$14*$I105))/((1-Data!$D$35)*Data!$D$14*1000)))))))),"---")</f>
        <v>---</v>
      </c>
      <c r="S105" s="377" t="str">
        <f>IF(Start!$C$16="x",IF(OR($F105 = "NA",F105=""), "NA", IF(R105= "NA", "NA",(R105+(Data!$D$30*$F105))/(Data!$D$30+1))),"---")</f>
        <v>---</v>
      </c>
      <c r="T105" s="343" t="str">
        <f>IF(Start!$C$16="x",IF(AND(D105= "",E105=""),"",IF(Q105="NA","NA",IF(G105="NA","NA",IF(G105=0,"NA",(Q105/G105))))),"Not Req.")</f>
        <v>Not Req.</v>
      </c>
      <c r="U105" s="343" t="str">
        <f>IF(Start!$C$16="x",IF(AND(D105= "",E105=""),"",IF(S105="NA","NA",IF(G105="NA","NA",IF(G105=0,"NA",(S105/G105))))),"Not Req.")</f>
        <v>Not Req.</v>
      </c>
      <c r="V105" s="11"/>
    </row>
    <row r="106" spans="1:22" s="10" customFormat="1" x14ac:dyDescent="0.25">
      <c r="A106" s="307" t="s">
        <v>424</v>
      </c>
      <c r="B106" s="348" t="str">
        <f>IF(Start!$C$16="x",IF(OR(D106 ="NA",E106="NA"),"NA",IF(AND(D106= "",E106=""),"",IF(AND(D106= "",E106&lt;&gt; ""),"Missing Data",                     IF(AND(D106&lt;&gt; "",E106= ""),"Missing Data",(IF(OR(G106="NA",G106=""),"No Criteria",(IF(AND(Q106="NA",D106&lt;&gt;"NA",G106&lt;&gt;"NA"),                                               "Missing Data",(IF(Q106&lt;G106,"No","Needed")))))))))),"---")</f>
        <v>---</v>
      </c>
      <c r="C106" s="350" t="str">
        <f>IF(Start!$C$16="x",IF(OR(D106 ="NA",E106="NA"),"NA",IF(AND(D106= "",E106=""),"",IF(AND(D106= "",E106&lt;&gt; ""),"Missing Data",                     IF(AND(D106&lt;&gt; "",E106= ""),"Missing Data",(IF(OR(G106="NA",G106=""),"No Criteria",(IF(AND(S106="NA",D106&lt;&gt;"NA",G106&lt;&gt;"NA"),                                               "Missing Data",(IF(S106&lt;G106,"No","Needed")))))))))),"---")</f>
        <v>---</v>
      </c>
      <c r="D106" s="372" t="str">
        <f>IF(TRUE=ISBLANK(ChemData!B106),"",(ChemData!B106))</f>
        <v/>
      </c>
      <c r="E106" s="373" t="str">
        <f>IF(TRUE=ISBLANK(ChemData!C106),"",(ChemData!C106))</f>
        <v/>
      </c>
      <c r="F106" s="374" t="str">
        <f>IF(TRUE=ISBLANK(ChemData!D106),"",(ChemData!D106))</f>
        <v/>
      </c>
      <c r="G106" s="289">
        <f>IF(TRUE=ISBLANK(ChemData!I106),"",(ChemData!I106))</f>
        <v>15</v>
      </c>
      <c r="H106" s="290">
        <f>IF(TRUE=ISBLANK(ChemData!Q106),"",(ChemData!Q106))</f>
        <v>48.686260529983528</v>
      </c>
      <c r="I106" s="290">
        <f>IF(TRUE=ISBLANK(ChemData!R106),"",(ChemData!R106))</f>
        <v>48.686260529983528</v>
      </c>
      <c r="J106" s="290">
        <f>IF(TRUE=ISBLANK(ChemData!S106),"",(ChemData!S106))</f>
        <v>1</v>
      </c>
      <c r="K106" s="291">
        <f>IF(TRUE=ISBLANK(ChemData!T106),"",(ChemData!T106))</f>
        <v>1</v>
      </c>
      <c r="L106" s="375" t="str">
        <f>IF(Start!$C$16="x",IF(OR(D106="NA",D106=""),"NA", IF(OR($J106 = "NA",J106=""),"NA",(D106*$J106))),"---")</f>
        <v>---</v>
      </c>
      <c r="M106" s="377" t="str">
        <f>IF(Start!$C$16="x",IF(OR(D106="NA",D106=""),"NA", IF(OR($K106 = "NA",K106=""),"NA",(D106*$K106))),"---")</f>
        <v>---</v>
      </c>
      <c r="N106" s="375" t="str">
        <f t="shared" si="5"/>
        <v>---</v>
      </c>
      <c r="O106" s="377" t="str">
        <f t="shared" si="5"/>
        <v>---</v>
      </c>
      <c r="P106" s="461" t="str">
        <f>IF(Start!$C$16="x",(IF(L106 = "NA","NA", (IF(OR($H106 = "NA",H106=""), "NA",(IF(OR(ChemData!U106="NA",ChemData!U106=""),L106/((Data!$D$33+((1-Data!$D$33)*Data!$D$14*$H106))/((1-Data!$D$33)*Data!$D$14*1000)),(IF(L106/((Data!$D$33+((1-Data!$D$33)*Data!$D$14*$H106))/((1-Data!$D$33)*Data!$D$14*1000))&gt;ChemData!U106, ChemData!U106, L106/((Data!$D$33+((1-Data!$D$33)*Data!$D$14*$H106))/((1-Data!$D$33)*Data!$D$14*1000)))))))))),"---")</f>
        <v>---</v>
      </c>
      <c r="Q106" s="376" t="str">
        <f>IF(Start!$C$16="x",IF(OR($F106 = "NA",F106=""), "NA", IF(P106= "NA", "NA",(P106+(Data!$D$30*$F106))/(Data!$D$30+1))),"---")</f>
        <v>---</v>
      </c>
      <c r="R106" s="376" t="str">
        <f>IF(Start!$C$16="x",IF(O106 = "NA","NA", IF(OR($I106 = "NA",I106=""), "NA",(IF(OR(ChemData!U106="NA",ChemData!U106=""),O106/((Data!$D$35+((1-Data!$D$35)*Data!$D$14*$I106))/((1-Data!$D$35)*Data!$D$14*1000)),(IF(O106/((Data!$D$35+((1-Data!$D$35)*Data!$D$14*$I106))/((1-Data!$D$35)*Data!$D$14*1000))&gt;ChemData!U106, ChemData!U106, O106/((Data!$D$35+((1-Data!$D$35)*Data!$D$14*$I106))/((1-Data!$D$35)*Data!$D$14*1000)))))))),"---")</f>
        <v>---</v>
      </c>
      <c r="S106" s="377" t="str">
        <f>IF(Start!$C$16="x",IF(OR($F106 = "NA",F106=""), "NA", IF(R106= "NA", "NA",(R106+(Data!$D$30*$F106))/(Data!$D$30+1))),"---")</f>
        <v>---</v>
      </c>
      <c r="T106" s="343" t="str">
        <f>IF(Start!$C$16="x",IF(AND(D106= "",E106=""),"",IF(Q106="NA","NA",IF(G106="NA","NA",IF(G106=0,"NA",(Q106/G106))))),"Not Req.")</f>
        <v>Not Req.</v>
      </c>
      <c r="U106" s="343" t="str">
        <f>IF(Start!$C$16="x",IF(AND(D106= "",E106=""),"",IF(S106="NA","NA",IF(G106="NA","NA",IF(G106=0,"NA",(S106/G106))))),"Not Req.")</f>
        <v>Not Req.</v>
      </c>
      <c r="V106" s="11"/>
    </row>
    <row r="107" spans="1:22" s="10" customFormat="1" x14ac:dyDescent="0.25">
      <c r="A107" s="307" t="s">
        <v>425</v>
      </c>
      <c r="B107" s="348" t="str">
        <f>IF(Start!$C$16="x",IF(OR(D107 ="NA",E107="NA"),"NA",IF(AND(D107= "",E107=""),"",IF(AND(D107= "",E107&lt;&gt; ""),"Missing Data",                     IF(AND(D107&lt;&gt; "",E107= ""),"Missing Data",(IF(OR(G107="NA",G107=""),"No Criteria",(IF(AND(Q107="NA",D107&lt;&gt;"NA",G107&lt;&gt;"NA"),                                               "Missing Data",(IF(Q107&lt;G107,"No","Needed")))))))))),"---")</f>
        <v>---</v>
      </c>
      <c r="C107" s="350" t="str">
        <f>IF(Start!$C$16="x",IF(OR(D107 ="NA",E107="NA"),"NA",IF(AND(D107= "",E107=""),"",IF(AND(D107= "",E107&lt;&gt; ""),"Missing Data",                     IF(AND(D107&lt;&gt; "",E107= ""),"Missing Data",(IF(OR(G107="NA",G107=""),"No Criteria",(IF(AND(S107="NA",D107&lt;&gt;"NA",G107&lt;&gt;"NA"),                                               "Missing Data",(IF(S107&lt;G107,"No","Needed")))))))))),"---")</f>
        <v>---</v>
      </c>
      <c r="D107" s="372" t="str">
        <f>IF(TRUE=ISBLANK(ChemData!B107),"",(ChemData!B107))</f>
        <v/>
      </c>
      <c r="E107" s="373" t="str">
        <f>IF(TRUE=ISBLANK(ChemData!C107),"",(ChemData!C107))</f>
        <v/>
      </c>
      <c r="F107" s="374" t="str">
        <f>IF(TRUE=ISBLANK(ChemData!D107),"",(ChemData!D107))</f>
        <v/>
      </c>
      <c r="G107" s="289" t="str">
        <f>IF(TRUE=ISBLANK(ChemData!I107),"",(ChemData!I107))</f>
        <v>NA</v>
      </c>
      <c r="H107" s="290">
        <f>IF(TRUE=ISBLANK(ChemData!Q107),"",(ChemData!Q107))</f>
        <v>59.897185897674206</v>
      </c>
      <c r="I107" s="290">
        <f>IF(TRUE=ISBLANK(ChemData!R107),"",(ChemData!R107))</f>
        <v>59.897185897674206</v>
      </c>
      <c r="J107" s="290">
        <f>IF(TRUE=ISBLANK(ChemData!S107),"",(ChemData!S107))</f>
        <v>1</v>
      </c>
      <c r="K107" s="291">
        <f>IF(TRUE=ISBLANK(ChemData!T107),"",(ChemData!T107))</f>
        <v>1</v>
      </c>
      <c r="L107" s="375" t="str">
        <f>IF(Start!$C$16="x",IF(OR(D107="NA",D107=""),"NA", IF(OR($J107 = "NA",J107=""),"NA",(D107*$J107))),"---")</f>
        <v>---</v>
      </c>
      <c r="M107" s="377" t="str">
        <f>IF(Start!$C$16="x",IF(OR(D107="NA",D107=""),"NA", IF(OR($K107 = "NA",K107=""),"NA",(D107*$K107))),"---")</f>
        <v>---</v>
      </c>
      <c r="N107" s="375" t="str">
        <f t="shared" si="5"/>
        <v>---</v>
      </c>
      <c r="O107" s="377" t="str">
        <f t="shared" si="5"/>
        <v>---</v>
      </c>
      <c r="P107" s="461" t="str">
        <f>IF(Start!$C$16="x",(IF(L107 = "NA","NA", (IF(OR($H107 = "NA",H107=""), "NA",(IF(OR(ChemData!U107="NA",ChemData!U107=""),L107/((Data!$D$33+((1-Data!$D$33)*Data!$D$14*$H107))/((1-Data!$D$33)*Data!$D$14*1000)),(IF(L107/((Data!$D$33+((1-Data!$D$33)*Data!$D$14*$H107))/((1-Data!$D$33)*Data!$D$14*1000))&gt;ChemData!U107, ChemData!U107, L107/((Data!$D$33+((1-Data!$D$33)*Data!$D$14*$H107))/((1-Data!$D$33)*Data!$D$14*1000)))))))))),"---")</f>
        <v>---</v>
      </c>
      <c r="Q107" s="376" t="str">
        <f>IF(Start!$C$16="x",IF(OR($F107 = "NA",F107=""), "NA", IF(P107= "NA", "NA",(P107+(Data!$D$30*$F107))/(Data!$D$30+1))),"---")</f>
        <v>---</v>
      </c>
      <c r="R107" s="376" t="str">
        <f>IF(Start!$C$16="x",IF(O107 = "NA","NA", IF(OR($I107 = "NA",I107=""), "NA",(IF(OR(ChemData!U107="NA",ChemData!U107=""),O107/((Data!$D$35+((1-Data!$D$35)*Data!$D$14*$I107))/((1-Data!$D$35)*Data!$D$14*1000)),(IF(O107/((Data!$D$35+((1-Data!$D$35)*Data!$D$14*$I107))/((1-Data!$D$35)*Data!$D$14*1000))&gt;ChemData!U107, ChemData!U107, O107/((Data!$D$35+((1-Data!$D$35)*Data!$D$14*$I107))/((1-Data!$D$35)*Data!$D$14*1000)))))))),"---")</f>
        <v>---</v>
      </c>
      <c r="S107" s="377" t="str">
        <f>IF(Start!$C$16="x",IF(OR($F107 = "NA",F107=""), "NA", IF(R107= "NA", "NA",(R107+(Data!$D$30*$F107))/(Data!$D$30+1))),"---")</f>
        <v>---</v>
      </c>
      <c r="T107" s="343" t="str">
        <f>IF(Start!$C$16="x",IF(AND(D107= "",E107=""),"",IF(Q107="NA","NA",IF(G107="NA","NA",IF(G107=0,"NA",(Q107/G107))))),"Not Req.")</f>
        <v>Not Req.</v>
      </c>
      <c r="U107" s="343" t="str">
        <f>IF(Start!$C$16="x",IF(AND(D107= "",E107=""),"",IF(S107="NA","NA",IF(G107="NA","NA",IF(G107=0,"NA",(S107/G107))))),"Not Req.")</f>
        <v>Not Req.</v>
      </c>
      <c r="V107" s="11"/>
    </row>
    <row r="108" spans="1:22" s="10" customFormat="1" x14ac:dyDescent="0.25">
      <c r="A108" s="307" t="s">
        <v>426</v>
      </c>
      <c r="B108" s="348" t="str">
        <f>IF(Start!$C$16="x",IF(OR(D108 ="NA",E108="NA"),"NA",IF(AND(D108= "",E108=""),"",IF(AND(D108= "",E108&lt;&gt; ""),"Missing Data",                     IF(AND(D108&lt;&gt; "",E108= ""),"Missing Data",(IF(OR(G108="NA",G108=""),"No Criteria",(IF(AND(Q108="NA",D108&lt;&gt;"NA",G108&lt;&gt;"NA"),                                               "Missing Data",(IF(Q108&lt;G108,"No","Needed")))))))))),"---")</f>
        <v>---</v>
      </c>
      <c r="C108" s="350" t="str">
        <f>IF(Start!$C$16="x",IF(OR(D108 ="NA",E108="NA"),"NA",IF(AND(D108= "",E108=""),"",IF(AND(D108= "",E108&lt;&gt; ""),"Missing Data",                     IF(AND(D108&lt;&gt; "",E108= ""),"Missing Data",(IF(OR(G108="NA",G108=""),"No Criteria",(IF(AND(S108="NA",D108&lt;&gt;"NA",G108&lt;&gt;"NA"),                                               "Missing Data",(IF(S108&lt;G108,"No","Needed")))))))))),"---")</f>
        <v>---</v>
      </c>
      <c r="D108" s="372" t="str">
        <f>IF(TRUE=ISBLANK(ChemData!B108),"",(ChemData!B108))</f>
        <v/>
      </c>
      <c r="E108" s="373" t="str">
        <f>IF(TRUE=ISBLANK(ChemData!C108),"",(ChemData!C108))</f>
        <v/>
      </c>
      <c r="F108" s="374" t="str">
        <f>IF(TRUE=ISBLANK(ChemData!D108),"",(ChemData!D108))</f>
        <v/>
      </c>
      <c r="G108" s="289">
        <f>IF(TRUE=ISBLANK(ChemData!I108),"",(ChemData!I108))</f>
        <v>365</v>
      </c>
      <c r="H108" s="290">
        <f>IF(TRUE=ISBLANK(ChemData!Q108),"",(ChemData!Q108))</f>
        <v>22.253914684768329</v>
      </c>
      <c r="I108" s="290">
        <f>IF(TRUE=ISBLANK(ChemData!R108),"",(ChemData!R108))</f>
        <v>22.253914684768329</v>
      </c>
      <c r="J108" s="290">
        <f>IF(TRUE=ISBLANK(ChemData!S108),"",(ChemData!S108))</f>
        <v>1</v>
      </c>
      <c r="K108" s="291">
        <f>IF(TRUE=ISBLANK(ChemData!T108),"",(ChemData!T108))</f>
        <v>1</v>
      </c>
      <c r="L108" s="375" t="str">
        <f>IF(Start!$C$16="x",IF(OR(D108="NA",D108=""),"NA", IF(OR($J108 = "NA",J108=""),"NA",(D108*$J108))),"---")</f>
        <v>---</v>
      </c>
      <c r="M108" s="377" t="str">
        <f>IF(Start!$C$16="x",IF(OR(D108="NA",D108=""),"NA", IF(OR($K108 = "NA",K108=""),"NA",(D108*$K108))),"---")</f>
        <v>---</v>
      </c>
      <c r="N108" s="375" t="str">
        <f t="shared" si="5"/>
        <v>---</v>
      </c>
      <c r="O108" s="377" t="str">
        <f t="shared" si="5"/>
        <v>---</v>
      </c>
      <c r="P108" s="461" t="str">
        <f>IF(Start!$C$16="x",(IF(L108 = "NA","NA", (IF(OR($H108 = "NA",H108=""), "NA",(IF(OR(ChemData!U108="NA",ChemData!U108=""),L108/((Data!$D$33+((1-Data!$D$33)*Data!$D$14*$H108))/((1-Data!$D$33)*Data!$D$14*1000)),(IF(L108/((Data!$D$33+((1-Data!$D$33)*Data!$D$14*$H108))/((1-Data!$D$33)*Data!$D$14*1000))&gt;ChemData!U108, ChemData!U108, L108/((Data!$D$33+((1-Data!$D$33)*Data!$D$14*$H108))/((1-Data!$D$33)*Data!$D$14*1000)))))))))),"---")</f>
        <v>---</v>
      </c>
      <c r="Q108" s="376" t="str">
        <f>IF(Start!$C$16="x",IF(OR($F108 = "NA",F108=""), "NA", IF(P108= "NA", "NA",(P108+(Data!$D$30*$F108))/(Data!$D$30+1))),"---")</f>
        <v>---</v>
      </c>
      <c r="R108" s="376" t="str">
        <f>IF(Start!$C$16="x",IF(O108 = "NA","NA", IF(OR($I108 = "NA",I108=""), "NA",(IF(OR(ChemData!U108="NA",ChemData!U108=""),O108/((Data!$D$35+((1-Data!$D$35)*Data!$D$14*$I108))/((1-Data!$D$35)*Data!$D$14*1000)),(IF(O108/((Data!$D$35+((1-Data!$D$35)*Data!$D$14*$I108))/((1-Data!$D$35)*Data!$D$14*1000))&gt;ChemData!U108, ChemData!U108, O108/((Data!$D$35+((1-Data!$D$35)*Data!$D$14*$I108))/((1-Data!$D$35)*Data!$D$14*1000)))))))),"---")</f>
        <v>---</v>
      </c>
      <c r="S108" s="377" t="str">
        <f>IF(Start!$C$16="x",IF(OR($F108 = "NA",F108=""), "NA", IF(R108= "NA", "NA",(R108+(Data!$D$30*$F108))/(Data!$D$30+1))),"---")</f>
        <v>---</v>
      </c>
      <c r="T108" s="343" t="str">
        <f>IF(Start!$C$16="x",IF(AND(D108= "",E108=""),"",IF(Q108="NA","NA",IF(G108="NA","NA",IF(G108=0,"NA",(Q108/G108))))),"Not Req.")</f>
        <v>Not Req.</v>
      </c>
      <c r="U108" s="343" t="str">
        <f>IF(Start!$C$16="x",IF(AND(D108= "",E108=""),"",IF(S108="NA","NA",IF(G108="NA","NA",IF(G108=0,"NA",(S108/G108))))),"Not Req.")</f>
        <v>Not Req.</v>
      </c>
      <c r="V108" s="11"/>
    </row>
    <row r="109" spans="1:22" s="10" customFormat="1" x14ac:dyDescent="0.25">
      <c r="A109" s="307" t="s">
        <v>427</v>
      </c>
      <c r="B109" s="348" t="str">
        <f>IF(Start!$C$16="x",IF(OR(D109 ="NA",E109="NA"),"NA",IF(AND(D109= "",E109=""),"",IF(AND(D109= "",E109&lt;&gt; ""),"Missing Data",                     IF(AND(D109&lt;&gt; "",E109= ""),"Missing Data",(IF(OR(G109="NA",G109=""),"No Criteria",(IF(AND(Q109="NA",D109&lt;&gt;"NA",G109&lt;&gt;"NA"),                                               "Missing Data",(IF(Q109&lt;G109,"No","Needed")))))))))),"---")</f>
        <v>---</v>
      </c>
      <c r="C109" s="350" t="str">
        <f>IF(Start!$C$16="x",IF(OR(D109 ="NA",E109="NA"),"NA",IF(AND(D109= "",E109=""),"",IF(AND(D109= "",E109&lt;&gt; ""),"Missing Data",                     IF(AND(D109&lt;&gt; "",E109= ""),"Missing Data",(IF(OR(G109="NA",G109=""),"No Criteria",(IF(AND(S109="NA",D109&lt;&gt;"NA",G109&lt;&gt;"NA"),                                               "Missing Data",(IF(S109&lt;G109,"No","Needed")))))))))),"---")</f>
        <v>---</v>
      </c>
      <c r="D109" s="372" t="str">
        <f>IF(TRUE=ISBLANK(ChemData!B109),"",(ChemData!B109))</f>
        <v/>
      </c>
      <c r="E109" s="373" t="str">
        <f>IF(TRUE=ISBLANK(ChemData!C109),"",(ChemData!C109))</f>
        <v/>
      </c>
      <c r="F109" s="374" t="str">
        <f>IF(TRUE=ISBLANK(ChemData!D109),"",(ChemData!D109))</f>
        <v/>
      </c>
      <c r="G109" s="289">
        <f>IF(TRUE=ISBLANK(ChemData!I109),"",(ChemData!I109))</f>
        <v>210</v>
      </c>
      <c r="H109" s="290">
        <f>IF(TRUE=ISBLANK(ChemData!Q109),"",(ChemData!Q109))</f>
        <v>5.4626882785594866</v>
      </c>
      <c r="I109" s="290">
        <f>IF(TRUE=ISBLANK(ChemData!R109),"",(ChemData!R109))</f>
        <v>5.4626882785594866</v>
      </c>
      <c r="J109" s="290">
        <f>IF(TRUE=ISBLANK(ChemData!S109),"",(ChemData!S109))</f>
        <v>1</v>
      </c>
      <c r="K109" s="291">
        <f>IF(TRUE=ISBLANK(ChemData!T109),"",(ChemData!T109))</f>
        <v>1</v>
      </c>
      <c r="L109" s="375" t="str">
        <f>IF(Start!$C$16="x",IF(OR(D109="NA",D109=""),"NA", IF(OR($J109 = "NA",J109=""),"NA",(D109*$J109))),"---")</f>
        <v>---</v>
      </c>
      <c r="M109" s="377" t="str">
        <f>IF(Start!$C$16="x",IF(OR(D109="NA",D109=""),"NA", IF(OR($K109 = "NA",K109=""),"NA",(D109*$K109))),"---")</f>
        <v>---</v>
      </c>
      <c r="N109" s="375" t="str">
        <f t="shared" si="5"/>
        <v>---</v>
      </c>
      <c r="O109" s="377" t="str">
        <f t="shared" si="5"/>
        <v>---</v>
      </c>
      <c r="P109" s="461" t="str">
        <f>IF(Start!$C$16="x",(IF(L109 = "NA","NA", (IF(OR($H109 = "NA",H109=""), "NA",(IF(OR(ChemData!U109="NA",ChemData!U109=""),L109/((Data!$D$33+((1-Data!$D$33)*Data!$D$14*$H109))/((1-Data!$D$33)*Data!$D$14*1000)),(IF(L109/((Data!$D$33+((1-Data!$D$33)*Data!$D$14*$H109))/((1-Data!$D$33)*Data!$D$14*1000))&gt;ChemData!U109, ChemData!U109, L109/((Data!$D$33+((1-Data!$D$33)*Data!$D$14*$H109))/((1-Data!$D$33)*Data!$D$14*1000)))))))))),"---")</f>
        <v>---</v>
      </c>
      <c r="Q109" s="376" t="str">
        <f>IF(Start!$C$16="x",IF(OR($F109 = "NA",F109=""), "NA", IF(P109= "NA", "NA",(P109+(Data!$D$30*$F109))/(Data!$D$30+1))),"---")</f>
        <v>---</v>
      </c>
      <c r="R109" s="376" t="str">
        <f>IF(Start!$C$16="x",IF(O109 = "NA","NA", IF(OR($I109 = "NA",I109=""), "NA",(IF(OR(ChemData!U109="NA",ChemData!U109=""),O109/((Data!$D$35+((1-Data!$D$35)*Data!$D$14*$I109))/((1-Data!$D$35)*Data!$D$14*1000)),(IF(O109/((Data!$D$35+((1-Data!$D$35)*Data!$D$14*$I109))/((1-Data!$D$35)*Data!$D$14*1000))&gt;ChemData!U109, ChemData!U109, O109/((Data!$D$35+((1-Data!$D$35)*Data!$D$14*$I109))/((1-Data!$D$35)*Data!$D$14*1000)))))))),"---")</f>
        <v>---</v>
      </c>
      <c r="S109" s="377" t="str">
        <f>IF(Start!$C$16="x",IF(OR($F109 = "NA",F109=""), "NA", IF(R109= "NA", "NA",(R109+(Data!$D$30*$F109))/(Data!$D$30+1))),"---")</f>
        <v>---</v>
      </c>
      <c r="T109" s="343" t="str">
        <f>IF(Start!$C$16="x",IF(AND(D109= "",E109=""),"",IF(Q109="NA","NA",IF(G109="NA","NA",IF(G109=0,"NA",(Q109/G109))))),"Not Req.")</f>
        <v>Not Req.</v>
      </c>
      <c r="U109" s="343" t="str">
        <f>IF(Start!$C$16="x",IF(AND(D109= "",E109=""),"",IF(S109="NA","NA",IF(G109="NA","NA",IF(G109=0,"NA",(S109/G109))))),"Not Req.")</f>
        <v>Not Req.</v>
      </c>
      <c r="V109" s="11"/>
    </row>
    <row r="110" spans="1:22" s="10" customFormat="1" x14ac:dyDescent="0.25">
      <c r="A110" s="307" t="s">
        <v>428</v>
      </c>
      <c r="B110" s="348" t="str">
        <f>IF(Start!$C$16="x",IF(OR(D110 ="NA",E110="NA"),"NA",IF(AND(D110= "",E110=""),"",IF(AND(D110= "",E110&lt;&gt; ""),"Missing Data",                     IF(AND(D110&lt;&gt; "",E110= ""),"Missing Data",(IF(OR(G110="NA",G110=""),"No Criteria",(IF(AND(Q110="NA",D110&lt;&gt;"NA",G110&lt;&gt;"NA"),                                               "Missing Data",(IF(Q110&lt;G110,"No","Needed")))))))))),"---")</f>
        <v>---</v>
      </c>
      <c r="C110" s="350" t="str">
        <f>IF(Start!$C$16="x",IF(OR(D110 ="NA",E110="NA"),"NA",IF(AND(D110= "",E110=""),"",IF(AND(D110= "",E110&lt;&gt; ""),"Missing Data",                     IF(AND(D110&lt;&gt; "",E110= ""),"Missing Data",(IF(OR(G110="NA",G110=""),"No Criteria",(IF(AND(S110="NA",D110&lt;&gt;"NA",G110&lt;&gt;"NA"),                                               "Missing Data",(IF(S110&lt;G110,"No","Needed")))))))))),"---")</f>
        <v>---</v>
      </c>
      <c r="D110" s="372" t="str">
        <f>IF(TRUE=ISBLANK(ChemData!B110),"",(ChemData!B110))</f>
        <v/>
      </c>
      <c r="E110" s="373" t="str">
        <f>IF(TRUE=ISBLANK(ChemData!C110),"",(ChemData!C110))</f>
        <v/>
      </c>
      <c r="F110" s="374" t="str">
        <f>IF(TRUE=ISBLANK(ChemData!D110),"",(ChemData!D110))</f>
        <v/>
      </c>
      <c r="G110" s="289" t="str">
        <f>IF(TRUE=ISBLANK(ChemData!I110),"",(ChemData!I110))</f>
        <v>NA</v>
      </c>
      <c r="H110" s="290">
        <f>IF(TRUE=ISBLANK(ChemData!Q110),"",(ChemData!Q110))</f>
        <v>0.67205747937945803</v>
      </c>
      <c r="I110" s="290">
        <f>IF(TRUE=ISBLANK(ChemData!R110),"",(ChemData!R110))</f>
        <v>0.67205747937945803</v>
      </c>
      <c r="J110" s="290">
        <f>IF(TRUE=ISBLANK(ChemData!S110),"",(ChemData!S110))</f>
        <v>1</v>
      </c>
      <c r="K110" s="291">
        <f>IF(TRUE=ISBLANK(ChemData!T110),"",(ChemData!T110))</f>
        <v>1</v>
      </c>
      <c r="L110" s="375" t="str">
        <f>IF(Start!$C$16="x",IF(OR(D110="NA",D110=""),"NA", IF(OR($J110 = "NA",J110=""),"NA",(D110*$J110))),"---")</f>
        <v>---</v>
      </c>
      <c r="M110" s="377" t="str">
        <f>IF(Start!$C$16="x",IF(OR(D110="NA",D110=""),"NA", IF(OR($K110 = "NA",K110=""),"NA",(D110*$K110))),"---")</f>
        <v>---</v>
      </c>
      <c r="N110" s="375" t="str">
        <f t="shared" si="5"/>
        <v>---</v>
      </c>
      <c r="O110" s="377" t="str">
        <f t="shared" si="5"/>
        <v>---</v>
      </c>
      <c r="P110" s="461" t="str">
        <f>IF(Start!$C$16="x",(IF(L110 = "NA","NA", (IF(OR($H110 = "NA",H110=""), "NA",(IF(OR(ChemData!U110="NA",ChemData!U110=""),L110/((Data!$D$33+((1-Data!$D$33)*Data!$D$14*$H110))/((1-Data!$D$33)*Data!$D$14*1000)),(IF(L110/((Data!$D$33+((1-Data!$D$33)*Data!$D$14*$H110))/((1-Data!$D$33)*Data!$D$14*1000))&gt;ChemData!U110, ChemData!U110, L110/((Data!$D$33+((1-Data!$D$33)*Data!$D$14*$H110))/((1-Data!$D$33)*Data!$D$14*1000)))))))))),"---")</f>
        <v>---</v>
      </c>
      <c r="Q110" s="376" t="str">
        <f>IF(Start!$C$16="x",IF(OR($F110 = "NA",F110=""), "NA", IF(P110= "NA", "NA",(P110+(Data!$D$30*$F110))/(Data!$D$30+1))),"---")</f>
        <v>---</v>
      </c>
      <c r="R110" s="376" t="str">
        <f>IF(Start!$C$16="x",IF(O110 = "NA","NA", IF(OR($I110 = "NA",I110=""), "NA",(IF(OR(ChemData!U110="NA",ChemData!U110=""),O110/((Data!$D$35+((1-Data!$D$35)*Data!$D$14*$I110))/((1-Data!$D$35)*Data!$D$14*1000)),(IF(O110/((Data!$D$35+((1-Data!$D$35)*Data!$D$14*$I110))/((1-Data!$D$35)*Data!$D$14*1000))&gt;ChemData!U110, ChemData!U110, O110/((Data!$D$35+((1-Data!$D$35)*Data!$D$14*$I110))/((1-Data!$D$35)*Data!$D$14*1000)))))))),"---")</f>
        <v>---</v>
      </c>
      <c r="S110" s="377" t="str">
        <f>IF(Start!$C$16="x",IF(OR($F110 = "NA",F110=""), "NA", IF(R110= "NA", "NA",(R110+(Data!$D$30*$F110))/(Data!$D$30+1))),"---")</f>
        <v>---</v>
      </c>
      <c r="T110" s="343" t="str">
        <f>IF(Start!$C$16="x",IF(AND(D110= "",E110=""),"",IF(Q110="NA","NA",IF(G110="NA","NA",IF(G110=0,"NA",(Q110/G110))))),"Not Req.")</f>
        <v>Not Req.</v>
      </c>
      <c r="U110" s="343" t="str">
        <f>IF(Start!$C$16="x",IF(AND(D110= "",E110=""),"",IF(S110="NA","NA",IF(G110="NA","NA",IF(G110=0,"NA",(S110/G110))))),"Not Req.")</f>
        <v>Not Req.</v>
      </c>
      <c r="V110" s="11"/>
    </row>
    <row r="111" spans="1:22" s="10" customFormat="1" x14ac:dyDescent="0.25">
      <c r="A111" s="307" t="s">
        <v>429</v>
      </c>
      <c r="B111" s="348" t="str">
        <f>IF(Start!$C$16="x",IF(OR(D111 ="NA",E111="NA"),"NA",IF(AND(D111= "",E111=""),"",IF(AND(D111= "",E111&lt;&gt; ""),"Missing Data",                     IF(AND(D111&lt;&gt; "",E111= ""),"Missing Data",(IF(OR(G111="NA",G111=""),"No Criteria",(IF(AND(Q111="NA",D111&lt;&gt;"NA",G111&lt;&gt;"NA"),                                               "Missing Data",(IF(Q111&lt;G111,"No","Needed")))))))))),"---")</f>
        <v>---</v>
      </c>
      <c r="C111" s="350" t="str">
        <f>IF(Start!$C$16="x",IF(OR(D111 ="NA",E111="NA"),"NA",IF(AND(D111= "",E111=""),"",IF(AND(D111= "",E111&lt;&gt; ""),"Missing Data",                     IF(AND(D111&lt;&gt; "",E111= ""),"Missing Data",(IF(OR(G111="NA",G111=""),"No Criteria",(IF(AND(S111="NA",D111&lt;&gt;"NA",G111&lt;&gt;"NA"),                                               "Missing Data",(IF(S111&lt;G111,"No","Needed")))))))))),"---")</f>
        <v>---</v>
      </c>
      <c r="D111" s="372" t="str">
        <f>IF(TRUE=ISBLANK(ChemData!B111),"",(ChemData!B111))</f>
        <v/>
      </c>
      <c r="E111" s="373" t="str">
        <f>IF(TRUE=ISBLANK(ChemData!C111),"",(ChemData!C111))</f>
        <v/>
      </c>
      <c r="F111" s="374" t="str">
        <f>IF(TRUE=ISBLANK(ChemData!D111),"",(ChemData!D111))</f>
        <v/>
      </c>
      <c r="G111" s="289" t="str">
        <f>IF(TRUE=ISBLANK(ChemData!I111),"",(ChemData!I111))</f>
        <v>NA</v>
      </c>
      <c r="H111" s="290">
        <f>IF(TRUE=ISBLANK(ChemData!Q111),"",(ChemData!Q111))</f>
        <v>4.1438728274899992</v>
      </c>
      <c r="I111" s="290">
        <f>IF(TRUE=ISBLANK(ChemData!R111),"",(ChemData!R111))</f>
        <v>4.1438728274899992</v>
      </c>
      <c r="J111" s="290">
        <f>IF(TRUE=ISBLANK(ChemData!S111),"",(ChemData!S111))</f>
        <v>1</v>
      </c>
      <c r="K111" s="291">
        <f>IF(TRUE=ISBLANK(ChemData!T111),"",(ChemData!T111))</f>
        <v>1</v>
      </c>
      <c r="L111" s="375" t="str">
        <f>IF(Start!$C$16="x",IF(OR(D111="NA",D111=""),"NA", IF(OR($J111 = "NA",J111=""),"NA",(D111*$J111))),"---")</f>
        <v>---</v>
      </c>
      <c r="M111" s="377" t="str">
        <f>IF(Start!$C$16="x",IF(OR(D111="NA",D111=""),"NA", IF(OR($K111 = "NA",K111=""),"NA",(D111*$K111))),"---")</f>
        <v>---</v>
      </c>
      <c r="N111" s="375" t="str">
        <f t="shared" si="5"/>
        <v>---</v>
      </c>
      <c r="O111" s="377" t="str">
        <f t="shared" si="5"/>
        <v>---</v>
      </c>
      <c r="P111" s="461" t="str">
        <f>IF(Start!$C$16="x",(IF(L111 = "NA","NA", (IF(OR($H111 = "NA",H111=""), "NA",(IF(OR(ChemData!U111="NA",ChemData!U111=""),L111/((Data!$D$33+((1-Data!$D$33)*Data!$D$14*$H111))/((1-Data!$D$33)*Data!$D$14*1000)),(IF(L111/((Data!$D$33+((1-Data!$D$33)*Data!$D$14*$H111))/((1-Data!$D$33)*Data!$D$14*1000))&gt;ChemData!U111, ChemData!U111, L111/((Data!$D$33+((1-Data!$D$33)*Data!$D$14*$H111))/((1-Data!$D$33)*Data!$D$14*1000)))))))))),"---")</f>
        <v>---</v>
      </c>
      <c r="Q111" s="376" t="str">
        <f>IF(Start!$C$16="x",IF(OR($F111 = "NA",F111=""), "NA", IF(P111= "NA", "NA",(P111+(Data!$D$30*$F111))/(Data!$D$30+1))),"---")</f>
        <v>---</v>
      </c>
      <c r="R111" s="376" t="str">
        <f>IF(Start!$C$16="x",IF(O111 = "NA","NA", IF(OR($I111 = "NA",I111=""), "NA",(IF(OR(ChemData!U111="NA",ChemData!U111=""),O111/((Data!$D$35+((1-Data!$D$35)*Data!$D$14*$I111))/((1-Data!$D$35)*Data!$D$14*1000)),(IF(O111/((Data!$D$35+((1-Data!$D$35)*Data!$D$14*$I111))/((1-Data!$D$35)*Data!$D$14*1000))&gt;ChemData!U111, ChemData!U111, O111/((Data!$D$35+((1-Data!$D$35)*Data!$D$14*$I111))/((1-Data!$D$35)*Data!$D$14*1000)))))))),"---")</f>
        <v>---</v>
      </c>
      <c r="S111" s="377" t="str">
        <f>IF(Start!$C$16="x",IF(OR($F111 = "NA",F111=""), "NA", IF(R111= "NA", "NA",(R111+(Data!$D$30*$F111))/(Data!$D$30+1))),"---")</f>
        <v>---</v>
      </c>
      <c r="T111" s="343" t="str">
        <f>IF(Start!$C$16="x",IF(AND(D111= "",E111=""),"",IF(Q111="NA","NA",IF(G111="NA","NA",IF(G111=0,"NA",(Q111/G111))))),"Not Req.")</f>
        <v>Not Req.</v>
      </c>
      <c r="U111" s="343" t="str">
        <f>IF(Start!$C$16="x",IF(AND(D111= "",E111=""),"",IF(S111="NA","NA",IF(G111="NA","NA",IF(G111=0,"NA",(S111/G111))))),"Not Req.")</f>
        <v>Not Req.</v>
      </c>
      <c r="V111" s="11"/>
    </row>
    <row r="112" spans="1:22" s="10" customFormat="1" x14ac:dyDescent="0.25">
      <c r="A112" s="307" t="s">
        <v>430</v>
      </c>
      <c r="B112" s="348" t="str">
        <f>IF(Start!$C$16="x",IF(OR(D112 ="NA",E112="NA"),"NA",IF(AND(D112= "",E112=""),"",IF(AND(D112= "",E112&lt;&gt; ""),"Missing Data",                     IF(AND(D112&lt;&gt; "",E112= ""),"Missing Data",(IF(OR(G112="NA",G112=""),"No Criteria",(IF(AND(Q112="NA",D112&lt;&gt;"NA",G112&lt;&gt;"NA"),                                               "Missing Data",(IF(Q112&lt;G112,"No","Needed")))))))))),"---")</f>
        <v>---</v>
      </c>
      <c r="C112" s="350" t="str">
        <f>IF(Start!$C$16="x",IF(OR(D112 ="NA",E112="NA"),"NA",IF(AND(D112= "",E112=""),"",IF(AND(D112= "",E112&lt;&gt; ""),"Missing Data",                     IF(AND(D112&lt;&gt; "",E112= ""),"Missing Data",(IF(OR(G112="NA",G112=""),"No Criteria",(IF(AND(S112="NA",D112&lt;&gt;"NA",G112&lt;&gt;"NA"),                                               "Missing Data",(IF(S112&lt;G112,"No","Needed")))))))))),"---")</f>
        <v>---</v>
      </c>
      <c r="D112" s="372" t="str">
        <f>IF(TRUE=ISBLANK(ChemData!B112),"",(ChemData!B112))</f>
        <v/>
      </c>
      <c r="E112" s="373" t="str">
        <f>IF(TRUE=ISBLANK(ChemData!C112),"",(ChemData!C112))</f>
        <v/>
      </c>
      <c r="F112" s="374" t="str">
        <f>IF(TRUE=ISBLANK(ChemData!D112),"",(ChemData!D112))</f>
        <v/>
      </c>
      <c r="G112" s="289" t="str">
        <f>IF(TRUE=ISBLANK(ChemData!I112),"",(ChemData!I112))</f>
        <v>NA</v>
      </c>
      <c r="H112" s="290">
        <f>IF(TRUE=ISBLANK(ChemData!Q112),"",(ChemData!Q112))</f>
        <v>9.2769756944408179</v>
      </c>
      <c r="I112" s="290">
        <f>IF(TRUE=ISBLANK(ChemData!R112),"",(ChemData!R112))</f>
        <v>9.2769756944408179</v>
      </c>
      <c r="J112" s="290">
        <f>IF(TRUE=ISBLANK(ChemData!S112),"",(ChemData!S112))</f>
        <v>1</v>
      </c>
      <c r="K112" s="291">
        <f>IF(TRUE=ISBLANK(ChemData!T112),"",(ChemData!T112))</f>
        <v>1</v>
      </c>
      <c r="L112" s="375" t="str">
        <f>IF(Start!$C$16="x",IF(OR(D112="NA",D112=""),"NA", IF(OR($J112 = "NA",J112=""),"NA",(D112*$J112))),"---")</f>
        <v>---</v>
      </c>
      <c r="M112" s="377" t="str">
        <f>IF(Start!$C$16="x",IF(OR(D112="NA",D112=""),"NA", IF(OR($K112 = "NA",K112=""),"NA",(D112*$K112))),"---")</f>
        <v>---</v>
      </c>
      <c r="N112" s="375" t="str">
        <f t="shared" si="5"/>
        <v>---</v>
      </c>
      <c r="O112" s="377" t="str">
        <f t="shared" si="5"/>
        <v>---</v>
      </c>
      <c r="P112" s="461" t="str">
        <f>IF(Start!$C$16="x",(IF(L112 = "NA","NA", (IF(OR($H112 = "NA",H112=""), "NA",(IF(OR(ChemData!U112="NA",ChemData!U112=""),L112/((Data!$D$33+((1-Data!$D$33)*Data!$D$14*$H112))/((1-Data!$D$33)*Data!$D$14*1000)),(IF(L112/((Data!$D$33+((1-Data!$D$33)*Data!$D$14*$H112))/((1-Data!$D$33)*Data!$D$14*1000))&gt;ChemData!U112, ChemData!U112, L112/((Data!$D$33+((1-Data!$D$33)*Data!$D$14*$H112))/((1-Data!$D$33)*Data!$D$14*1000)))))))))),"---")</f>
        <v>---</v>
      </c>
      <c r="Q112" s="376" t="str">
        <f>IF(Start!$C$16="x",IF(OR($F112 = "NA",F112=""), "NA", IF(P112= "NA", "NA",(P112+(Data!$D$30*$F112))/(Data!$D$30+1))),"---")</f>
        <v>---</v>
      </c>
      <c r="R112" s="376" t="str">
        <f>IF(Start!$C$16="x",IF(O112 = "NA","NA", IF(OR($I112 = "NA",I112=""), "NA",(IF(OR(ChemData!U112="NA",ChemData!U112=""),O112/((Data!$D$35+((1-Data!$D$35)*Data!$D$14*$I112))/((1-Data!$D$35)*Data!$D$14*1000)),(IF(O112/((Data!$D$35+((1-Data!$D$35)*Data!$D$14*$I112))/((1-Data!$D$35)*Data!$D$14*1000))&gt;ChemData!U112, ChemData!U112, O112/((Data!$D$35+((1-Data!$D$35)*Data!$D$14*$I112))/((1-Data!$D$35)*Data!$D$14*1000)))))))),"---")</f>
        <v>---</v>
      </c>
      <c r="S112" s="377" t="str">
        <f>IF(Start!$C$16="x",IF(OR($F112 = "NA",F112=""), "NA", IF(R112= "NA", "NA",(R112+(Data!$D$30*$F112))/(Data!$D$30+1))),"---")</f>
        <v>---</v>
      </c>
      <c r="T112" s="343" t="str">
        <f>IF(Start!$C$16="x",IF(AND(D112= "",E112=""),"",IF(Q112="NA","NA",IF(G112="NA","NA",IF(G112=0,"NA",(Q112/G112))))),"Not Req.")</f>
        <v>Not Req.</v>
      </c>
      <c r="U112" s="343" t="str">
        <f>IF(Start!$C$16="x",IF(AND(D112= "",E112=""),"",IF(S112="NA","NA",IF(G112="NA","NA",IF(G112=0,"NA",(S112/G112))))),"Not Req.")</f>
        <v>Not Req.</v>
      </c>
      <c r="V112" s="11"/>
    </row>
    <row r="113" spans="1:22" s="10" customFormat="1" x14ac:dyDescent="0.25">
      <c r="A113" s="307" t="s">
        <v>431</v>
      </c>
      <c r="B113" s="348" t="str">
        <f>IF(Start!$C$16="x",IF(OR(D113 ="NA",E113="NA"),"NA",IF(AND(D113= "",E113=""),"",IF(AND(D113= "",E113&lt;&gt; ""),"Missing Data",                     IF(AND(D113&lt;&gt; "",E113= ""),"Missing Data",(IF(OR(G113="NA",G113=""),"No Criteria",(IF(AND(Q113="NA",D113&lt;&gt;"NA",G113&lt;&gt;"NA"),                                               "Missing Data",(IF(Q113&lt;G113,"No","Needed")))))))))),"---")</f>
        <v>---</v>
      </c>
      <c r="C113" s="350" t="str">
        <f>IF(Start!$C$16="x",IF(OR(D113 ="NA",E113="NA"),"NA",IF(AND(D113= "",E113=""),"",IF(AND(D113= "",E113&lt;&gt; ""),"Missing Data",                     IF(AND(D113&lt;&gt; "",E113= ""),"Missing Data",(IF(OR(G113="NA",G113=""),"No Criteria",(IF(AND(S113="NA",D113&lt;&gt;"NA",G113&lt;&gt;"NA"),                                               "Missing Data",(IF(S113&lt;G113,"No","Needed")))))))))),"---")</f>
        <v>---</v>
      </c>
      <c r="D113" s="372" t="str">
        <f>IF(TRUE=ISBLANK(ChemData!B113),"",(ChemData!B113))</f>
        <v/>
      </c>
      <c r="E113" s="373" t="str">
        <f>IF(TRUE=ISBLANK(ChemData!C113),"",(ChemData!C113))</f>
        <v/>
      </c>
      <c r="F113" s="374" t="str">
        <f>IF(TRUE=ISBLANK(ChemData!D113),"",(ChemData!D113))</f>
        <v/>
      </c>
      <c r="G113" s="289" t="str">
        <f>IF(TRUE=ISBLANK(ChemData!I113),"",(ChemData!I113))</f>
        <v>NA</v>
      </c>
      <c r="H113" s="290">
        <f>IF(TRUE=ISBLANK(ChemData!Q113),"",(ChemData!Q113))</f>
        <v>0.65675958347134833</v>
      </c>
      <c r="I113" s="290">
        <f>IF(TRUE=ISBLANK(ChemData!R113),"",(ChemData!R113))</f>
        <v>0.65675958347134833</v>
      </c>
      <c r="J113" s="290">
        <f>IF(TRUE=ISBLANK(ChemData!S113),"",(ChemData!S113))</f>
        <v>1</v>
      </c>
      <c r="K113" s="291">
        <f>IF(TRUE=ISBLANK(ChemData!T113),"",(ChemData!T113))</f>
        <v>1</v>
      </c>
      <c r="L113" s="375" t="str">
        <f>IF(Start!$C$16="x",IF(OR(D113="NA",D113=""),"NA", IF(OR($J113 = "NA",J113=""),"NA",(D113*$J113))),"---")</f>
        <v>---</v>
      </c>
      <c r="M113" s="377" t="str">
        <f>IF(Start!$C$16="x",IF(OR(D113="NA",D113=""),"NA", IF(OR($K113 = "NA",K113=""),"NA",(D113*$K113))),"---")</f>
        <v>---</v>
      </c>
      <c r="N113" s="375" t="str">
        <f t="shared" si="5"/>
        <v>---</v>
      </c>
      <c r="O113" s="377" t="str">
        <f t="shared" si="5"/>
        <v>---</v>
      </c>
      <c r="P113" s="461" t="str">
        <f>IF(Start!$C$16="x",(IF(L113 = "NA","NA", (IF(OR($H113 = "NA",H113=""), "NA",(IF(OR(ChemData!U113="NA",ChemData!U113=""),L113/((Data!$D$33+((1-Data!$D$33)*Data!$D$14*$H113))/((1-Data!$D$33)*Data!$D$14*1000)),(IF(L113/((Data!$D$33+((1-Data!$D$33)*Data!$D$14*$H113))/((1-Data!$D$33)*Data!$D$14*1000))&gt;ChemData!U113, ChemData!U113, L113/((Data!$D$33+((1-Data!$D$33)*Data!$D$14*$H113))/((1-Data!$D$33)*Data!$D$14*1000)))))))))),"---")</f>
        <v>---</v>
      </c>
      <c r="Q113" s="376" t="str">
        <f>IF(Start!$C$16="x",IF(OR($F113 = "NA",F113=""), "NA", IF(P113= "NA", "NA",(P113+(Data!$D$30*$F113))/(Data!$D$30+1))),"---")</f>
        <v>---</v>
      </c>
      <c r="R113" s="376" t="str">
        <f>IF(Start!$C$16="x",IF(O113 = "NA","NA", IF(OR($I113 = "NA",I113=""), "NA",(IF(OR(ChemData!U113="NA",ChemData!U113=""),O113/((Data!$D$35+((1-Data!$D$35)*Data!$D$14*$I113))/((1-Data!$D$35)*Data!$D$14*1000)),(IF(O113/((Data!$D$35+((1-Data!$D$35)*Data!$D$14*$I113))/((1-Data!$D$35)*Data!$D$14*1000))&gt;ChemData!U113, ChemData!U113, O113/((Data!$D$35+((1-Data!$D$35)*Data!$D$14*$I113))/((1-Data!$D$35)*Data!$D$14*1000)))))))),"---")</f>
        <v>---</v>
      </c>
      <c r="S113" s="377" t="str">
        <f>IF(Start!$C$16="x",IF(OR($F113 = "NA",F113=""), "NA", IF(R113= "NA", "NA",(R113+(Data!$D$30*$F113))/(Data!$D$30+1))),"---")</f>
        <v>---</v>
      </c>
      <c r="T113" s="343" t="str">
        <f>IF(Start!$C$16="x",IF(AND(D113= "",E113=""),"",IF(Q113="NA","NA",IF(G113="NA","NA",IF(G113=0,"NA",(Q113/G113))))),"Not Req.")</f>
        <v>Not Req.</v>
      </c>
      <c r="U113" s="343" t="str">
        <f>IF(Start!$C$16="x",IF(AND(D113= "",E113=""),"",IF(S113="NA","NA",IF(G113="NA","NA",IF(G113=0,"NA",(S113/G113))))),"Not Req.")</f>
        <v>Not Req.</v>
      </c>
      <c r="V113" s="11"/>
    </row>
    <row r="114" spans="1:22" s="10" customFormat="1" x14ac:dyDescent="0.25">
      <c r="A114" s="307" t="s">
        <v>432</v>
      </c>
      <c r="B114" s="348" t="str">
        <f>IF(Start!$C$16="x",IF(OR(D114 ="NA",E114="NA"),"NA",IF(AND(D114= "",E114=""),"",IF(AND(D114= "",E114&lt;&gt; ""),"Missing Data",                     IF(AND(D114&lt;&gt; "",E114= ""),"Missing Data",(IF(OR(G114="NA",G114=""),"No Criteria",(IF(AND(Q114="NA",D114&lt;&gt;"NA",G114&lt;&gt;"NA"),                                               "Missing Data",(IF(Q114&lt;G114,"No","Needed")))))))))),"---")</f>
        <v>---</v>
      </c>
      <c r="C114" s="350" t="str">
        <f>IF(Start!$C$16="x",IF(OR(D114 ="NA",E114="NA"),"NA",IF(AND(D114= "",E114=""),"",IF(AND(D114= "",E114&lt;&gt; ""),"Missing Data",                     IF(AND(D114&lt;&gt; "",E114= ""),"Missing Data",(IF(OR(G114="NA",G114=""),"No Criteria",(IF(AND(S114="NA",D114&lt;&gt;"NA",G114&lt;&gt;"NA"),                                               "Missing Data",(IF(S114&lt;G114,"No","Needed")))))))))),"---")</f>
        <v>---</v>
      </c>
      <c r="D114" s="372" t="str">
        <f>IF(TRUE=ISBLANK(ChemData!B114),"",(ChemData!B114))</f>
        <v/>
      </c>
      <c r="E114" s="373" t="str">
        <f>IF(TRUE=ISBLANK(ChemData!C114),"",(ChemData!C114))</f>
        <v/>
      </c>
      <c r="F114" s="374" t="str">
        <f>IF(TRUE=ISBLANK(ChemData!D114),"",(ChemData!D114))</f>
        <v/>
      </c>
      <c r="G114" s="289" t="str">
        <f>IF(TRUE=ISBLANK(ChemData!I114),"",(ChemData!I114))</f>
        <v>NA</v>
      </c>
      <c r="H114" s="290">
        <f>IF(TRUE=ISBLANK(ChemData!Q114),"",(ChemData!Q114))</f>
        <v>1.8941153287116765</v>
      </c>
      <c r="I114" s="290">
        <f>IF(TRUE=ISBLANK(ChemData!R114),"",(ChemData!R114))</f>
        <v>1.8941153287116765</v>
      </c>
      <c r="J114" s="290">
        <f>IF(TRUE=ISBLANK(ChemData!S114),"",(ChemData!S114))</f>
        <v>1</v>
      </c>
      <c r="K114" s="291">
        <f>IF(TRUE=ISBLANK(ChemData!T114),"",(ChemData!T114))</f>
        <v>1</v>
      </c>
      <c r="L114" s="375" t="str">
        <f>IF(Start!$C$16="x",IF(OR(D114="NA",D114=""),"NA", IF(OR($J114 = "NA",J114=""),"NA",(D114*$J114))),"---")</f>
        <v>---</v>
      </c>
      <c r="M114" s="377" t="str">
        <f>IF(Start!$C$16="x",IF(OR(D114="NA",D114=""),"NA", IF(OR($K114 = "NA",K114=""),"NA",(D114*$K114))),"---")</f>
        <v>---</v>
      </c>
      <c r="N114" s="375" t="str">
        <f t="shared" si="5"/>
        <v>---</v>
      </c>
      <c r="O114" s="377" t="str">
        <f t="shared" si="5"/>
        <v>---</v>
      </c>
      <c r="P114" s="461" t="str">
        <f>IF(Start!$C$16="x",(IF(L114 = "NA","NA", (IF(OR($H114 = "NA",H114=""), "NA",(IF(OR(ChemData!U114="NA",ChemData!U114=""),L114/((Data!$D$33+((1-Data!$D$33)*Data!$D$14*$H114))/((1-Data!$D$33)*Data!$D$14*1000)),(IF(L114/((Data!$D$33+((1-Data!$D$33)*Data!$D$14*$H114))/((1-Data!$D$33)*Data!$D$14*1000))&gt;ChemData!U114, ChemData!U114, L114/((Data!$D$33+((1-Data!$D$33)*Data!$D$14*$H114))/((1-Data!$D$33)*Data!$D$14*1000)))))))))),"---")</f>
        <v>---</v>
      </c>
      <c r="Q114" s="376" t="str">
        <f>IF(Start!$C$16="x",IF(OR($F114 = "NA",F114=""), "NA", IF(P114= "NA", "NA",(P114+(Data!$D$30*$F114))/(Data!$D$30+1))),"---")</f>
        <v>---</v>
      </c>
      <c r="R114" s="376" t="str">
        <f>IF(Start!$C$16="x",IF(O114 = "NA","NA", IF(OR($I114 = "NA",I114=""), "NA",(IF(OR(ChemData!U114="NA",ChemData!U114=""),O114/((Data!$D$35+((1-Data!$D$35)*Data!$D$14*$I114))/((1-Data!$D$35)*Data!$D$14*1000)),(IF(O114/((Data!$D$35+((1-Data!$D$35)*Data!$D$14*$I114))/((1-Data!$D$35)*Data!$D$14*1000))&gt;ChemData!U114, ChemData!U114, O114/((Data!$D$35+((1-Data!$D$35)*Data!$D$14*$I114))/((1-Data!$D$35)*Data!$D$14*1000)))))))),"---")</f>
        <v>---</v>
      </c>
      <c r="S114" s="377" t="str">
        <f>IF(Start!$C$16="x",IF(OR($F114 = "NA",F114=""), "NA", IF(R114= "NA", "NA",(R114+(Data!$D$30*$F114))/(Data!$D$30+1))),"---")</f>
        <v>---</v>
      </c>
      <c r="T114" s="343" t="str">
        <f>IF(Start!$C$16="x",IF(AND(D114= "",E114=""),"",IF(Q114="NA","NA",IF(G114="NA","NA",IF(G114=0,"NA",(Q114/G114))))),"Not Req.")</f>
        <v>Not Req.</v>
      </c>
      <c r="U114" s="343" t="str">
        <f>IF(Start!$C$16="x",IF(AND(D114= "",E114=""),"",IF(S114="NA","NA",IF(G114="NA","NA",IF(G114=0,"NA",(S114/G114))))),"Not Req.")</f>
        <v>Not Req.</v>
      </c>
      <c r="V114" s="11"/>
    </row>
    <row r="115" spans="1:22" s="10" customFormat="1" x14ac:dyDescent="0.25">
      <c r="A115" s="307" t="s">
        <v>433</v>
      </c>
      <c r="B115" s="348" t="str">
        <f>IF(Start!$C$16="x",IF(OR(D115 ="NA",E115="NA"),"NA",IF(AND(D115= "",E115=""),"",IF(AND(D115= "",E115&lt;&gt; ""),"Missing Data",                     IF(AND(D115&lt;&gt; "",E115= ""),"Missing Data",(IF(OR(G115="NA",G115=""),"No Criteria",(IF(AND(Q115="NA",D115&lt;&gt;"NA",G115&lt;&gt;"NA"),                                               "Missing Data",(IF(Q115&lt;G115,"No","Needed")))))))))),"---")</f>
        <v>---</v>
      </c>
      <c r="C115" s="350" t="str">
        <f>IF(Start!$C$16="x",IF(OR(D115 ="NA",E115="NA"),"NA",IF(AND(D115= "",E115=""),"",IF(AND(D115= "",E115&lt;&gt; ""),"Missing Data",                     IF(AND(D115&lt;&gt; "",E115= ""),"Missing Data",(IF(OR(G115="NA",G115=""),"No Criteria",(IF(AND(S115="NA",D115&lt;&gt;"NA",G115&lt;&gt;"NA"),                                               "Missing Data",(IF(S115&lt;G115,"No","Needed")))))))))),"---")</f>
        <v>---</v>
      </c>
      <c r="D115" s="372" t="str">
        <f>IF(TRUE=ISBLANK(ChemData!B115),"",(ChemData!B115))</f>
        <v/>
      </c>
      <c r="E115" s="373" t="str">
        <f>IF(TRUE=ISBLANK(ChemData!C115),"",(ChemData!C115))</f>
        <v/>
      </c>
      <c r="F115" s="374" t="str">
        <f>IF(TRUE=ISBLANK(ChemData!D115),"",(ChemData!D115))</f>
        <v/>
      </c>
      <c r="G115" s="289" t="str">
        <f>IF(TRUE=ISBLANK(ChemData!I115),"",(ChemData!I115))</f>
        <v>NA</v>
      </c>
      <c r="H115" s="290">
        <f>IF(TRUE=ISBLANK(ChemData!Q115),"",(ChemData!Q115))</f>
        <v>3.5270077889499718</v>
      </c>
      <c r="I115" s="290">
        <f>IF(TRUE=ISBLANK(ChemData!R115),"",(ChemData!R115))</f>
        <v>3.5270077889499718</v>
      </c>
      <c r="J115" s="290">
        <f>IF(TRUE=ISBLANK(ChemData!S115),"",(ChemData!S115))</f>
        <v>1</v>
      </c>
      <c r="K115" s="291">
        <f>IF(TRUE=ISBLANK(ChemData!T115),"",(ChemData!T115))</f>
        <v>1</v>
      </c>
      <c r="L115" s="375" t="str">
        <f>IF(Start!$C$16="x",IF(OR(D115="NA",D115=""),"NA", IF(OR($J115 = "NA",J115=""),"NA",(D115*$J115))),"---")</f>
        <v>---</v>
      </c>
      <c r="M115" s="377" t="str">
        <f>IF(Start!$C$16="x",IF(OR(D115="NA",D115=""),"NA", IF(OR($K115 = "NA",K115=""),"NA",(D115*$K115))),"---")</f>
        <v>---</v>
      </c>
      <c r="N115" s="375" t="str">
        <f t="shared" si="5"/>
        <v>---</v>
      </c>
      <c r="O115" s="377" t="str">
        <f t="shared" si="5"/>
        <v>---</v>
      </c>
      <c r="P115" s="461" t="str">
        <f>IF(Start!$C$16="x",(IF(L115 = "NA","NA", (IF(OR($H115 = "NA",H115=""), "NA",(IF(OR(ChemData!U115="NA",ChemData!U115=""),L115/((Data!$D$33+((1-Data!$D$33)*Data!$D$14*$H115))/((1-Data!$D$33)*Data!$D$14*1000)),(IF(L115/((Data!$D$33+((1-Data!$D$33)*Data!$D$14*$H115))/((1-Data!$D$33)*Data!$D$14*1000))&gt;ChemData!U115, ChemData!U115, L115/((Data!$D$33+((1-Data!$D$33)*Data!$D$14*$H115))/((1-Data!$D$33)*Data!$D$14*1000)))))))))),"---")</f>
        <v>---</v>
      </c>
      <c r="Q115" s="376" t="str">
        <f>IF(Start!$C$16="x",IF(OR($F115 = "NA",F115=""), "NA", IF(P115= "NA", "NA",(P115+(Data!$D$30*$F115))/(Data!$D$30+1))),"---")</f>
        <v>---</v>
      </c>
      <c r="R115" s="376" t="str">
        <f>IF(Start!$C$16="x",IF(O115 = "NA","NA", IF(OR($I115 = "NA",I115=""), "NA",(IF(OR(ChemData!U115="NA",ChemData!U115=""),O115/((Data!$D$35+((1-Data!$D$35)*Data!$D$14*$I115))/((1-Data!$D$35)*Data!$D$14*1000)),(IF(O115/((Data!$D$35+((1-Data!$D$35)*Data!$D$14*$I115))/((1-Data!$D$35)*Data!$D$14*1000))&gt;ChemData!U115, ChemData!U115, O115/((Data!$D$35+((1-Data!$D$35)*Data!$D$14*$I115))/((1-Data!$D$35)*Data!$D$14*1000)))))))),"---")</f>
        <v>---</v>
      </c>
      <c r="S115" s="377" t="str">
        <f>IF(Start!$C$16="x",IF(OR($F115 = "NA",F115=""), "NA", IF(R115= "NA", "NA",(R115+(Data!$D$30*$F115))/(Data!$D$30+1))),"---")</f>
        <v>---</v>
      </c>
      <c r="T115" s="343" t="str">
        <f>IF(Start!$C$16="x",IF(AND(D115= "",E115=""),"",IF(Q115="NA","NA",IF(G115="NA","NA",IF(G115=0,"NA",(Q115/G115))))),"Not Req.")</f>
        <v>Not Req.</v>
      </c>
      <c r="U115" s="343" t="str">
        <f>IF(Start!$C$16="x",IF(AND(D115= "",E115=""),"",IF(S115="NA","NA",IF(G115="NA","NA",IF(G115=0,"NA",(S115/G115))))),"Not Req.")</f>
        <v>Not Req.</v>
      </c>
      <c r="V115" s="11"/>
    </row>
    <row r="116" spans="1:22" s="10" customFormat="1" x14ac:dyDescent="0.25">
      <c r="A116" s="307" t="s">
        <v>434</v>
      </c>
      <c r="B116" s="348" t="str">
        <f>IF(Start!$C$16="x",IF(OR(D116 ="NA",E116="NA"),"NA",IF(AND(D116= "",E116=""),"",IF(AND(D116= "",E116&lt;&gt; ""),"Missing Data",                     IF(AND(D116&lt;&gt; "",E116= ""),"Missing Data",(IF(OR(G116="NA",G116=""),"No Criteria",(IF(AND(Q116="NA",D116&lt;&gt;"NA",G116&lt;&gt;"NA"),                                               "Missing Data",(IF(Q116&lt;G116,"No","Needed")))))))))),"---")</f>
        <v>---</v>
      </c>
      <c r="C116" s="350" t="str">
        <f>IF(Start!$C$16="x",IF(OR(D116 ="NA",E116="NA"),"NA",IF(AND(D116= "",E116=""),"",IF(AND(D116= "",E116&lt;&gt; ""),"Missing Data",                     IF(AND(D116&lt;&gt; "",E116= ""),"Missing Data",(IF(OR(G116="NA",G116=""),"No Criteria",(IF(AND(S116="NA",D116&lt;&gt;"NA",G116&lt;&gt;"NA"),                                               "Missing Data",(IF(S116&lt;G116,"No","Needed")))))))))),"---")</f>
        <v>---</v>
      </c>
      <c r="D116" s="372" t="str">
        <f>IF(TRUE=ISBLANK(ChemData!B116),"",(ChemData!B116))</f>
        <v/>
      </c>
      <c r="E116" s="373" t="str">
        <f>IF(TRUE=ISBLANK(ChemData!C116),"",(ChemData!C116))</f>
        <v/>
      </c>
      <c r="F116" s="374" t="str">
        <f>IF(TRUE=ISBLANK(ChemData!D116),"",(ChemData!D116))</f>
        <v/>
      </c>
      <c r="G116" s="289" t="str">
        <f>IF(TRUE=ISBLANK(ChemData!I116),"",(ChemData!I116))</f>
        <v>NA</v>
      </c>
      <c r="H116" s="290">
        <f>IF(TRUE=ISBLANK(ChemData!Q116),"",(ChemData!Q116))</f>
        <v>16.121536050087055</v>
      </c>
      <c r="I116" s="290">
        <f>IF(TRUE=ISBLANK(ChemData!R116),"",(ChemData!R116))</f>
        <v>16.121536050087055</v>
      </c>
      <c r="J116" s="290">
        <f>IF(TRUE=ISBLANK(ChemData!S116),"",(ChemData!S116))</f>
        <v>1</v>
      </c>
      <c r="K116" s="291">
        <f>IF(TRUE=ISBLANK(ChemData!T116),"",(ChemData!T116))</f>
        <v>1</v>
      </c>
      <c r="L116" s="375" t="str">
        <f>IF(Start!$C$16="x",IF(OR(D116="NA",D116=""),"NA", IF(OR($J116 = "NA",J116=""),"NA",(D116*$J116))),"---")</f>
        <v>---</v>
      </c>
      <c r="M116" s="377" t="str">
        <f>IF(Start!$C$16="x",IF(OR(D116="NA",D116=""),"NA", IF(OR($K116 = "NA",K116=""),"NA",(D116*$K116))),"---")</f>
        <v>---</v>
      </c>
      <c r="N116" s="375" t="str">
        <f t="shared" si="5"/>
        <v>---</v>
      </c>
      <c r="O116" s="377" t="str">
        <f t="shared" si="5"/>
        <v>---</v>
      </c>
      <c r="P116" s="461" t="str">
        <f>IF(Start!$C$16="x",(IF(L116 = "NA","NA", (IF(OR($H116 = "NA",H116=""), "NA",(IF(OR(ChemData!U116="NA",ChemData!U116=""),L116/((Data!$D$33+((1-Data!$D$33)*Data!$D$14*$H116))/((1-Data!$D$33)*Data!$D$14*1000)),(IF(L116/((Data!$D$33+((1-Data!$D$33)*Data!$D$14*$H116))/((1-Data!$D$33)*Data!$D$14*1000))&gt;ChemData!U116, ChemData!U116, L116/((Data!$D$33+((1-Data!$D$33)*Data!$D$14*$H116))/((1-Data!$D$33)*Data!$D$14*1000)))))))))),"---")</f>
        <v>---</v>
      </c>
      <c r="Q116" s="376" t="str">
        <f>IF(Start!$C$16="x",IF(OR($F116 = "NA",F116=""), "NA", IF(P116= "NA", "NA",(P116+(Data!$D$30*$F116))/(Data!$D$30+1))),"---")</f>
        <v>---</v>
      </c>
      <c r="R116" s="376" t="str">
        <f>IF(Start!$C$16="x",IF(O116 = "NA","NA", IF(OR($I116 = "NA",I116=""), "NA",(IF(OR(ChemData!U116="NA",ChemData!U116=""),O116/((Data!$D$35+((1-Data!$D$35)*Data!$D$14*$I116))/((1-Data!$D$35)*Data!$D$14*1000)),(IF(O116/((Data!$D$35+((1-Data!$D$35)*Data!$D$14*$I116))/((1-Data!$D$35)*Data!$D$14*1000))&gt;ChemData!U116, ChemData!U116, O116/((Data!$D$35+((1-Data!$D$35)*Data!$D$14*$I116))/((1-Data!$D$35)*Data!$D$14*1000)))))))),"---")</f>
        <v>---</v>
      </c>
      <c r="S116" s="377" t="str">
        <f>IF(Start!$C$16="x",IF(OR($F116 = "NA",F116=""), "NA", IF(R116= "NA", "NA",(R116+(Data!$D$30*$F116))/(Data!$D$30+1))),"---")</f>
        <v>---</v>
      </c>
      <c r="T116" s="343" t="str">
        <f>IF(Start!$C$16="x",IF(AND(D116= "",E116=""),"",IF(Q116="NA","NA",IF(G116="NA","NA",IF(G116=0,"NA",(Q116/G116))))),"Not Req.")</f>
        <v>Not Req.</v>
      </c>
      <c r="U116" s="343" t="str">
        <f>IF(Start!$C$16="x",IF(AND(D116= "",E116=""),"",IF(S116="NA","NA",IF(G116="NA","NA",IF(G116=0,"NA",(S116/G116))))),"Not Req.")</f>
        <v>Not Req.</v>
      </c>
      <c r="V116" s="11"/>
    </row>
    <row r="117" spans="1:22" s="10" customFormat="1" x14ac:dyDescent="0.25">
      <c r="A117" s="307" t="s">
        <v>435</v>
      </c>
      <c r="B117" s="348" t="str">
        <f>IF(Start!$C$16="x",IF(OR(D117 ="NA",E117="NA"),"NA",IF(AND(D117= "",E117=""),"",IF(AND(D117= "",E117&lt;&gt; ""),"Missing Data",                     IF(AND(D117&lt;&gt; "",E117= ""),"Missing Data",(IF(OR(G117="NA",G117=""),"No Criteria",(IF(AND(Q117="NA",D117&lt;&gt;"NA",G117&lt;&gt;"NA"),                                               "Missing Data",(IF(Q117&lt;G117,"No","Needed")))))))))),"---")</f>
        <v>---</v>
      </c>
      <c r="C117" s="350" t="str">
        <f>IF(Start!$C$16="x",IF(OR(D117 ="NA",E117="NA"),"NA",IF(AND(D117= "",E117=""),"",IF(AND(D117= "",E117&lt;&gt; ""),"Missing Data",                     IF(AND(D117&lt;&gt; "",E117= ""),"Missing Data",(IF(OR(G117="NA",G117=""),"No Criteria",(IF(AND(S117="NA",D117&lt;&gt;"NA",G117&lt;&gt;"NA"),                                               "Missing Data",(IF(S117&lt;G117,"No","Needed")))))))))),"---")</f>
        <v>---</v>
      </c>
      <c r="D117" s="372" t="str">
        <f>IF(TRUE=ISBLANK(ChemData!B117),"",(ChemData!B117))</f>
        <v/>
      </c>
      <c r="E117" s="373" t="str">
        <f>IF(TRUE=ISBLANK(ChemData!C117),"",(ChemData!C117))</f>
        <v/>
      </c>
      <c r="F117" s="374" t="str">
        <f>IF(TRUE=ISBLANK(ChemData!D117),"",(ChemData!D117))</f>
        <v/>
      </c>
      <c r="G117" s="289" t="str">
        <f>IF(TRUE=ISBLANK(ChemData!I117),"",(ChemData!I117))</f>
        <v>NA</v>
      </c>
      <c r="H117" s="290">
        <f>IF(TRUE=ISBLANK(ChemData!Q117),"",(ChemData!Q117))</f>
        <v>14368.334128797091</v>
      </c>
      <c r="I117" s="290">
        <f>IF(TRUE=ISBLANK(ChemData!R117),"",(ChemData!R117))</f>
        <v>14368.334128797091</v>
      </c>
      <c r="J117" s="290">
        <f>IF(TRUE=ISBLANK(ChemData!S117),"",(ChemData!S117))</f>
        <v>1</v>
      </c>
      <c r="K117" s="291">
        <f>IF(TRUE=ISBLANK(ChemData!T117),"",(ChemData!T117))</f>
        <v>1</v>
      </c>
      <c r="L117" s="375" t="str">
        <f>IF(Start!$C$16="x",IF(OR(D117="NA",D117=""),"NA", IF(OR($J117 = "NA",J117=""),"NA",(D117*$J117))),"---")</f>
        <v>---</v>
      </c>
      <c r="M117" s="377" t="str">
        <f>IF(Start!$C$16="x",IF(OR(D117="NA",D117=""),"NA", IF(OR($K117 = "NA",K117=""),"NA",(D117*$K117))),"---")</f>
        <v>---</v>
      </c>
      <c r="N117" s="375" t="str">
        <f t="shared" si="5"/>
        <v>---</v>
      </c>
      <c r="O117" s="377" t="str">
        <f t="shared" si="5"/>
        <v>---</v>
      </c>
      <c r="P117" s="461" t="str">
        <f>IF(Start!$C$16="x",(IF(L117 = "NA","NA", (IF(OR($H117 = "NA",H117=""), "NA",(IF(OR(ChemData!U117="NA",ChemData!U117=""),L117/((Data!$D$33+((1-Data!$D$33)*Data!$D$14*$H117))/((1-Data!$D$33)*Data!$D$14*1000)),(IF(L117/((Data!$D$33+((1-Data!$D$33)*Data!$D$14*$H117))/((1-Data!$D$33)*Data!$D$14*1000))&gt;ChemData!U117, ChemData!U117, L117/((Data!$D$33+((1-Data!$D$33)*Data!$D$14*$H117))/((1-Data!$D$33)*Data!$D$14*1000)))))))))),"---")</f>
        <v>---</v>
      </c>
      <c r="Q117" s="376" t="str">
        <f>IF(Start!$C$16="x",IF(OR($F117 = "NA",F117=""), "NA", IF(P117= "NA", "NA",(P117+(Data!$D$30*$F117))/(Data!$D$30+1))),"---")</f>
        <v>---</v>
      </c>
      <c r="R117" s="376" t="str">
        <f>IF(Start!$C$16="x",IF(O117 = "NA","NA", IF(OR($I117 = "NA",I117=""), "NA",(IF(OR(ChemData!U117="NA",ChemData!U117=""),O117/((Data!$D$35+((1-Data!$D$35)*Data!$D$14*$I117))/((1-Data!$D$35)*Data!$D$14*1000)),(IF(O117/((Data!$D$35+((1-Data!$D$35)*Data!$D$14*$I117))/((1-Data!$D$35)*Data!$D$14*1000))&gt;ChemData!U117, ChemData!U117, O117/((Data!$D$35+((1-Data!$D$35)*Data!$D$14*$I117))/((1-Data!$D$35)*Data!$D$14*1000)))))))),"---")</f>
        <v>---</v>
      </c>
      <c r="S117" s="377" t="str">
        <f>IF(Start!$C$16="x",IF(OR($F117 = "NA",F117=""), "NA", IF(R117= "NA", "NA",(R117+(Data!$D$30*$F117))/(Data!$D$30+1))),"---")</f>
        <v>---</v>
      </c>
      <c r="T117" s="343" t="str">
        <f>IF(Start!$C$16="x",IF(AND(D117= "",E117=""),"",IF(Q117="NA","NA",IF(G117="NA","NA",IF(G117=0,"NA",(Q117/G117))))),"Not Req.")</f>
        <v>Not Req.</v>
      </c>
      <c r="U117" s="343" t="str">
        <f>IF(Start!$C$16="x",IF(AND(D117= "",E117=""),"",IF(S117="NA","NA",IF(G117="NA","NA",IF(G117=0,"NA",(S117/G117))))),"Not Req.")</f>
        <v>Not Req.</v>
      </c>
      <c r="V117" s="11"/>
    </row>
    <row r="118" spans="1:22" s="10" customFormat="1" x14ac:dyDescent="0.25">
      <c r="A118" s="307" t="s">
        <v>436</v>
      </c>
      <c r="B118" s="348" t="str">
        <f>IF(Start!$C$16="x",IF(OR(D118 ="NA",E118="NA"),"NA",IF(AND(D118= "",E118=""),"",IF(AND(D118= "",E118&lt;&gt; ""),"Missing Data",                     IF(AND(D118&lt;&gt; "",E118= ""),"Missing Data",(IF(OR(G118="NA",G118=""),"No Criteria",(IF(AND(Q118="NA",D118&lt;&gt;"NA",G118&lt;&gt;"NA"),                                               "Missing Data",(IF(Q118&lt;G118,"No","Needed")))))))))),"---")</f>
        <v>---</v>
      </c>
      <c r="C118" s="350" t="str">
        <f>IF(Start!$C$16="x",IF(OR(D118 ="NA",E118="NA"),"NA",IF(AND(D118= "",E118=""),"",IF(AND(D118= "",E118&lt;&gt; ""),"Missing Data",                     IF(AND(D118&lt;&gt; "",E118= ""),"Missing Data",(IF(OR(G118="NA",G118=""),"No Criteria",(IF(AND(S118="NA",D118&lt;&gt;"NA",G118&lt;&gt;"NA"),                                               "Missing Data",(IF(S118&lt;G118,"No","Needed")))))))))),"---")</f>
        <v>---</v>
      </c>
      <c r="D118" s="372" t="str">
        <f>IF(TRUE=ISBLANK(ChemData!B118),"",(ChemData!B118))</f>
        <v/>
      </c>
      <c r="E118" s="373" t="str">
        <f>IF(TRUE=ISBLANK(ChemData!C118),"",(ChemData!C118))</f>
        <v/>
      </c>
      <c r="F118" s="374" t="str">
        <f>IF(TRUE=ISBLANK(ChemData!D118),"",(ChemData!D118))</f>
        <v/>
      </c>
      <c r="G118" s="289">
        <f>IF(TRUE=ISBLANK(ChemData!I118),"",(ChemData!I118))</f>
        <v>9.3000000000000007</v>
      </c>
      <c r="H118" s="290">
        <f>IF(TRUE=ISBLANK(ChemData!Q118),"",(ChemData!Q118))</f>
        <v>1195.1059779431475</v>
      </c>
      <c r="I118" s="290">
        <f>IF(TRUE=ISBLANK(ChemData!R118),"",(ChemData!R118))</f>
        <v>1195.1059779431475</v>
      </c>
      <c r="J118" s="290">
        <f>IF(TRUE=ISBLANK(ChemData!S118),"",(ChemData!S118))</f>
        <v>1</v>
      </c>
      <c r="K118" s="291">
        <f>IF(TRUE=ISBLANK(ChemData!T118),"",(ChemData!T118))</f>
        <v>1</v>
      </c>
      <c r="L118" s="375" t="str">
        <f>IF(Start!$C$16="x",IF(OR(D118="NA",D118=""),"NA", IF(OR($J118 = "NA",J118=""),"NA",(D118*$J118))),"---")</f>
        <v>---</v>
      </c>
      <c r="M118" s="377" t="str">
        <f>IF(Start!$C$16="x",IF(OR(D118="NA",D118=""),"NA", IF(OR($K118 = "NA",K118=""),"NA",(D118*$K118))),"---")</f>
        <v>---</v>
      </c>
      <c r="N118" s="375" t="str">
        <f t="shared" si="5"/>
        <v>---</v>
      </c>
      <c r="O118" s="377" t="str">
        <f t="shared" si="5"/>
        <v>---</v>
      </c>
      <c r="P118" s="461" t="str">
        <f>IF(Start!$C$16="x",(IF(L118 = "NA","NA", (IF(OR($H118 = "NA",H118=""), "NA",(IF(OR(ChemData!U118="NA",ChemData!U118=""),L118/((Data!$D$33+((1-Data!$D$33)*Data!$D$14*$H118))/((1-Data!$D$33)*Data!$D$14*1000)),(IF(L118/((Data!$D$33+((1-Data!$D$33)*Data!$D$14*$H118))/((1-Data!$D$33)*Data!$D$14*1000))&gt;ChemData!U118, ChemData!U118, L118/((Data!$D$33+((1-Data!$D$33)*Data!$D$14*$H118))/((1-Data!$D$33)*Data!$D$14*1000)))))))))),"---")</f>
        <v>---</v>
      </c>
      <c r="Q118" s="376" t="str">
        <f>IF(Start!$C$16="x",IF(OR($F118 = "NA",F118=""), "NA", IF(P118= "NA", "NA",(P118+(Data!$D$30*$F118))/(Data!$D$30+1))),"---")</f>
        <v>---</v>
      </c>
      <c r="R118" s="376" t="str">
        <f>IF(Start!$C$16="x",IF(O118 = "NA","NA", IF(OR($I118 = "NA",I118=""), "NA",(IF(OR(ChemData!U118="NA",ChemData!U118=""),O118/((Data!$D$35+((1-Data!$D$35)*Data!$D$14*$I118))/((1-Data!$D$35)*Data!$D$14*1000)),(IF(O118/((Data!$D$35+((1-Data!$D$35)*Data!$D$14*$I118))/((1-Data!$D$35)*Data!$D$14*1000))&gt;ChemData!U118, ChemData!U118, O118/((Data!$D$35+((1-Data!$D$35)*Data!$D$14*$I118))/((1-Data!$D$35)*Data!$D$14*1000)))))))),"---")</f>
        <v>---</v>
      </c>
      <c r="S118" s="377" t="str">
        <f>IF(Start!$C$16="x",IF(OR($F118 = "NA",F118=""), "NA", IF(R118= "NA", "NA",(R118+(Data!$D$30*$F118))/(Data!$D$30+1))),"---")</f>
        <v>---</v>
      </c>
      <c r="T118" s="343" t="str">
        <f>IF(Start!$C$16="x",IF(AND(D118= "",E118=""),"",IF(Q118="NA","NA",IF(G118="NA","NA",IF(G118=0,"NA",(Q118/G118))))),"Not Req.")</f>
        <v>Not Req.</v>
      </c>
      <c r="U118" s="343" t="str">
        <f>IF(Start!$C$16="x",IF(AND(D118= "",E118=""),"",IF(S118="NA","NA",IF(G118="NA","NA",IF(G118=0,"NA",(S118/G118))))),"Not Req.")</f>
        <v>Not Req.</v>
      </c>
      <c r="V118" s="11"/>
    </row>
    <row r="119" spans="1:22" s="10" customFormat="1" x14ac:dyDescent="0.25">
      <c r="A119" s="307" t="s">
        <v>437</v>
      </c>
      <c r="B119" s="348" t="str">
        <f>IF(Start!$C$16="x",IF(OR(D119 ="NA",E119="NA"),"NA",IF(AND(D119= "",E119=""),"",IF(AND(D119= "",E119&lt;&gt; ""),"Missing Data",                     IF(AND(D119&lt;&gt; "",E119= ""),"Missing Data",(IF(OR(G119="NA",G119=""),"No Criteria",(IF(AND(Q119="NA",D119&lt;&gt;"NA",G119&lt;&gt;"NA"),                                               "Missing Data",(IF(Q119&lt;G119,"No","Needed")))))))))),"---")</f>
        <v>---</v>
      </c>
      <c r="C119" s="350" t="str">
        <f>IF(Start!$C$16="x",IF(OR(D119 ="NA",E119="NA"),"NA",IF(AND(D119= "",E119=""),"",IF(AND(D119= "",E119&lt;&gt; ""),"Missing Data",                     IF(AND(D119&lt;&gt; "",E119= ""),"Missing Data",(IF(OR(G119="NA",G119=""),"No Criteria",(IF(AND(S119="NA",D119&lt;&gt;"NA",G119&lt;&gt;"NA"),                                               "Missing Data",(IF(S119&lt;G119,"No","Needed")))))))))),"---")</f>
        <v>---</v>
      </c>
      <c r="D119" s="372" t="str">
        <f>IF(TRUE=ISBLANK(ChemData!B119),"",(ChemData!B119))</f>
        <v/>
      </c>
      <c r="E119" s="373" t="str">
        <f>IF(TRUE=ISBLANK(ChemData!C119),"",(ChemData!C119))</f>
        <v/>
      </c>
      <c r="F119" s="374" t="str">
        <f>IF(TRUE=ISBLANK(ChemData!D119),"",(ChemData!D119))</f>
        <v/>
      </c>
      <c r="G119" s="289">
        <f>IF(TRUE=ISBLANK(ChemData!I119),"",(ChemData!I119))</f>
        <v>5.2</v>
      </c>
      <c r="H119" s="290">
        <f>IF(TRUE=ISBLANK(ChemData!Q119),"",(ChemData!Q119))</f>
        <v>1851</v>
      </c>
      <c r="I119" s="290">
        <f>IF(TRUE=ISBLANK(ChemData!R119),"",(ChemData!R119))</f>
        <v>1851</v>
      </c>
      <c r="J119" s="290">
        <f>IF(TRUE=ISBLANK(ChemData!S119),"",(ChemData!S119))</f>
        <v>1</v>
      </c>
      <c r="K119" s="291">
        <f>IF(TRUE=ISBLANK(ChemData!T119),"",(ChemData!T119))</f>
        <v>1</v>
      </c>
      <c r="L119" s="375" t="str">
        <f>IF(Start!$C$16="x",IF(OR(D119="NA",D119=""),"NA", IF(OR($J119 = "NA",J119=""),"NA",(D119*$J119))),"---")</f>
        <v>---</v>
      </c>
      <c r="M119" s="377" t="str">
        <f>IF(Start!$C$16="x",IF(OR(D119="NA",D119=""),"NA", IF(OR($K119 = "NA",K119=""),"NA",(D119*$K119))),"---")</f>
        <v>---</v>
      </c>
      <c r="N119" s="375" t="str">
        <f t="shared" si="5"/>
        <v>---</v>
      </c>
      <c r="O119" s="377" t="str">
        <f t="shared" si="5"/>
        <v>---</v>
      </c>
      <c r="P119" s="461" t="str">
        <f>IF(Start!$C$16="x",(IF(L119 = "NA","NA", (IF(OR($H119 = "NA",H119=""), "NA",(IF(OR(ChemData!U119="NA",ChemData!U119=""),L119/((Data!$D$33+((1-Data!$D$33)*Data!$D$14*$H119))/((1-Data!$D$33)*Data!$D$14*1000)),(IF(L119/((Data!$D$33+((1-Data!$D$33)*Data!$D$14*$H119))/((1-Data!$D$33)*Data!$D$14*1000))&gt;ChemData!U119, ChemData!U119, L119/((Data!$D$33+((1-Data!$D$33)*Data!$D$14*$H119))/((1-Data!$D$33)*Data!$D$14*1000)))))))))),"---")</f>
        <v>---</v>
      </c>
      <c r="Q119" s="376" t="str">
        <f>IF(Start!$C$16="x",IF(OR($F119 = "NA",F119=""), "NA", IF(P119= "NA", "NA",(P119+(Data!$D$30*$F119))/(Data!$D$30+1))),"---")</f>
        <v>---</v>
      </c>
      <c r="R119" s="376" t="str">
        <f>IF(Start!$C$16="x",IF(O119 = "NA","NA", IF(OR($I119 = "NA",I119=""), "NA",(IF(OR(ChemData!U119="NA",ChemData!U119=""),O119/((Data!$D$35+((1-Data!$D$35)*Data!$D$14*$I119))/((1-Data!$D$35)*Data!$D$14*1000)),(IF(O119/((Data!$D$35+((1-Data!$D$35)*Data!$D$14*$I119))/((1-Data!$D$35)*Data!$D$14*1000))&gt;ChemData!U119, ChemData!U119, O119/((Data!$D$35+((1-Data!$D$35)*Data!$D$14*$I119))/((1-Data!$D$35)*Data!$D$14*1000)))))))),"---")</f>
        <v>---</v>
      </c>
      <c r="S119" s="377" t="str">
        <f>IF(Start!$C$16="x",IF(OR($F119 = "NA",F119=""), "NA", IF(R119= "NA", "NA",(R119+(Data!$D$30*$F119))/(Data!$D$30+1))),"---")</f>
        <v>---</v>
      </c>
      <c r="T119" s="343" t="str">
        <f>IF(Start!$C$16="x",IF(AND(D119= "",E119=""),"",IF(Q119="NA","NA",IF(G119="NA","NA",IF(G119=0,"NA",(Q119/G119))))),"Not Req.")</f>
        <v>Not Req.</v>
      </c>
      <c r="U119" s="343" t="str">
        <f>IF(Start!$C$16="x",IF(AND(D119= "",E119=""),"",IF(S119="NA","NA",IF(G119="NA","NA",IF(G119=0,"NA",(S119/G119))))),"Not Req.")</f>
        <v>Not Req.</v>
      </c>
      <c r="V119" s="11"/>
    </row>
    <row r="120" spans="1:22" s="10" customFormat="1" x14ac:dyDescent="0.25">
      <c r="A120" s="307" t="s">
        <v>438</v>
      </c>
      <c r="B120" s="348" t="str">
        <f>IF(Start!$C$16="x",IF(OR(D120 ="NA",E120="NA"),"NA",IF(AND(D120= "",E120=""),"",IF(AND(D120= "",E120&lt;&gt; ""),"Missing Data",                     IF(AND(D120&lt;&gt; "",E120= ""),"Missing Data",(IF(OR(G120="NA",G120=""),"No Criteria",(IF(AND(Q120="NA",D120&lt;&gt;"NA",G120&lt;&gt;"NA"),                                               "Missing Data",(IF(Q120&lt;G120,"No","Needed")))))))))),"---")</f>
        <v>---</v>
      </c>
      <c r="C120" s="350" t="str">
        <f>IF(Start!$C$16="x",IF(OR(D120 ="NA",E120="NA"),"NA",IF(AND(D120= "",E120=""),"",IF(AND(D120= "",E120&lt;&gt; ""),"Missing Data",                     IF(AND(D120&lt;&gt; "",E120= ""),"Missing Data",(IF(OR(G120="NA",G120=""),"No Criteria",(IF(AND(S120="NA",D120&lt;&gt;"NA",G120&lt;&gt;"NA"),                                               "Missing Data",(IF(S120&lt;G120,"No","Needed")))))))))),"---")</f>
        <v>---</v>
      </c>
      <c r="D120" s="372" t="str">
        <f>IF(TRUE=ISBLANK(ChemData!B120),"",(ChemData!B120))</f>
        <v/>
      </c>
      <c r="E120" s="373" t="str">
        <f>IF(TRUE=ISBLANK(ChemData!C120),"",(ChemData!C120))</f>
        <v/>
      </c>
      <c r="F120" s="374" t="str">
        <f>IF(TRUE=ISBLANK(ChemData!D120),"",(ChemData!D120))</f>
        <v/>
      </c>
      <c r="G120" s="289">
        <f>IF(TRUE=ISBLANK(ChemData!I120),"",(ChemData!I120))</f>
        <v>12</v>
      </c>
      <c r="H120" s="290">
        <f>IF(TRUE=ISBLANK(ChemData!Q120),"",(ChemData!Q120))</f>
        <v>185.1</v>
      </c>
      <c r="I120" s="290">
        <f>IF(TRUE=ISBLANK(ChemData!R120),"",(ChemData!R120))</f>
        <v>185.1</v>
      </c>
      <c r="J120" s="290">
        <f>IF(TRUE=ISBLANK(ChemData!S120),"",(ChemData!S120))</f>
        <v>1</v>
      </c>
      <c r="K120" s="291">
        <f>IF(TRUE=ISBLANK(ChemData!T120),"",(ChemData!T120))</f>
        <v>1</v>
      </c>
      <c r="L120" s="375" t="str">
        <f>IF(Start!$C$16="x",IF(OR(D120="NA",D120=""),"NA", IF(OR($J120 = "NA",J120=""),"NA",(D120*$J120))),"---")</f>
        <v>---</v>
      </c>
      <c r="M120" s="377" t="str">
        <f>IF(Start!$C$16="x",IF(OR(D120="NA",D120=""),"NA", IF(OR($K120 = "NA",K120=""),"NA",(D120*$K120))),"---")</f>
        <v>---</v>
      </c>
      <c r="N120" s="375" t="str">
        <f t="shared" si="5"/>
        <v>---</v>
      </c>
      <c r="O120" s="377" t="str">
        <f t="shared" si="5"/>
        <v>---</v>
      </c>
      <c r="P120" s="461" t="str">
        <f>IF(Start!$C$16="x",(IF(L120 = "NA","NA", (IF(OR($H120 = "NA",H120=""), "NA",(IF(OR(ChemData!U120="NA",ChemData!U120=""),L120/((Data!$D$33+((1-Data!$D$33)*Data!$D$14*$H120))/((1-Data!$D$33)*Data!$D$14*1000)),(IF(L120/((Data!$D$33+((1-Data!$D$33)*Data!$D$14*$H120))/((1-Data!$D$33)*Data!$D$14*1000))&gt;ChemData!U120, ChemData!U120, L120/((Data!$D$33+((1-Data!$D$33)*Data!$D$14*$H120))/((1-Data!$D$33)*Data!$D$14*1000)))))))))),"---")</f>
        <v>---</v>
      </c>
      <c r="Q120" s="376" t="str">
        <f>IF(Start!$C$16="x",IF(OR($F120 = "NA",F120=""), "NA", IF(P120= "NA", "NA",(P120+(Data!$D$30*$F120))/(Data!$D$30+1))),"---")</f>
        <v>---</v>
      </c>
      <c r="R120" s="376" t="str">
        <f>IF(Start!$C$16="x",IF(O120 = "NA","NA", IF(OR($I120 = "NA",I120=""), "NA",(IF(OR(ChemData!U120="NA",ChemData!U120=""),O120/((Data!$D$35+((1-Data!$D$35)*Data!$D$14*$I120))/((1-Data!$D$35)*Data!$D$14*1000)),(IF(O120/((Data!$D$35+((1-Data!$D$35)*Data!$D$14*$I120))/((1-Data!$D$35)*Data!$D$14*1000))&gt;ChemData!U120, ChemData!U120, O120/((Data!$D$35+((1-Data!$D$35)*Data!$D$14*$I120))/((1-Data!$D$35)*Data!$D$14*1000)))))))),"---")</f>
        <v>---</v>
      </c>
      <c r="S120" s="377" t="str">
        <f>IF(Start!$C$16="x",IF(OR($F120 = "NA",F120=""), "NA", IF(R120= "NA", "NA",(R120+(Data!$D$30*$F120))/(Data!$D$30+1))),"---")</f>
        <v>---</v>
      </c>
      <c r="T120" s="343" t="str">
        <f>IF(Start!$C$16="x",IF(AND(D120= "",E120=""),"",IF(Q120="NA","NA",IF(G120="NA","NA",IF(G120=0,"NA",(Q120/G120))))),"Not Req.")</f>
        <v>Not Req.</v>
      </c>
      <c r="U120" s="343" t="str">
        <f>IF(Start!$C$16="x",IF(AND(D120= "",E120=""),"",IF(S120="NA","NA",IF(G120="NA","NA",IF(G120=0,"NA",(S120/G120))))),"Not Req.")</f>
        <v>Not Req.</v>
      </c>
      <c r="V120" s="11"/>
    </row>
    <row r="121" spans="1:22" s="10" customFormat="1" x14ac:dyDescent="0.25">
      <c r="A121" s="307" t="s">
        <v>439</v>
      </c>
      <c r="B121" s="348" t="str">
        <f>IF(Start!$C$16="x",IF(OR(D121 ="NA",E121="NA"),"NA",IF(AND(D121= "",E121=""),"",IF(AND(D121= "",E121&lt;&gt; ""),"Missing Data",                     IF(AND(D121&lt;&gt; "",E121= ""),"Missing Data",(IF(OR(G121="NA",G121=""),"No Criteria",(IF(AND(Q121="NA",D121&lt;&gt;"NA",G121&lt;&gt;"NA"),                                               "Missing Data",(IF(Q121&lt;G121,"No","Needed")))))))))),"---")</f>
        <v>---</v>
      </c>
      <c r="C121" s="350" t="str">
        <f>IF(Start!$C$16="x",IF(OR(D121 ="NA",E121="NA"),"NA",IF(AND(D121= "",E121=""),"",IF(AND(D121= "",E121&lt;&gt; ""),"Missing Data",                     IF(AND(D121&lt;&gt; "",E121= ""),"Missing Data",(IF(OR(G121="NA",G121=""),"No Criteria",(IF(AND(S121="NA",D121&lt;&gt;"NA",G121&lt;&gt;"NA"),                                               "Missing Data",(IF(S121&lt;G121,"No","Needed")))))))))),"---")</f>
        <v>---</v>
      </c>
      <c r="D121" s="372" t="str">
        <f>IF(TRUE=ISBLANK(ChemData!B121),"",(ChemData!B121))</f>
        <v/>
      </c>
      <c r="E121" s="373" t="str">
        <f>IF(TRUE=ISBLANK(ChemData!C121),"",(ChemData!C121))</f>
        <v/>
      </c>
      <c r="F121" s="374" t="str">
        <f>IF(TRUE=ISBLANK(ChemData!D121),"",(ChemData!D121))</f>
        <v/>
      </c>
      <c r="G121" s="289" t="str">
        <f>IF(TRUE=ISBLANK(ChemData!I121),"",(ChemData!I121))</f>
        <v>NA</v>
      </c>
      <c r="H121" s="290">
        <f>IF(TRUE=ISBLANK(ChemData!Q121),"",(ChemData!Q121))</f>
        <v>0.9276975694440811</v>
      </c>
      <c r="I121" s="290">
        <f>IF(TRUE=ISBLANK(ChemData!R121),"",(ChemData!R121))</f>
        <v>0.9276975694440811</v>
      </c>
      <c r="J121" s="290">
        <f>IF(TRUE=ISBLANK(ChemData!S121),"",(ChemData!S121))</f>
        <v>1</v>
      </c>
      <c r="K121" s="291">
        <f>IF(TRUE=ISBLANK(ChemData!T121),"",(ChemData!T121))</f>
        <v>1</v>
      </c>
      <c r="L121" s="375" t="str">
        <f>IF(Start!$C$16="x",IF(OR(D121="NA",D121=""),"NA", IF(OR($J121 = "NA",J121=""),"NA",(D121*$J121))),"---")</f>
        <v>---</v>
      </c>
      <c r="M121" s="377" t="str">
        <f>IF(Start!$C$16="x",IF(OR(D121="NA",D121=""),"NA", IF(OR($K121 = "NA",K121=""),"NA",(D121*$K121))),"---")</f>
        <v>---</v>
      </c>
      <c r="N121" s="375" t="str">
        <f t="shared" si="5"/>
        <v>---</v>
      </c>
      <c r="O121" s="377" t="str">
        <f t="shared" si="5"/>
        <v>---</v>
      </c>
      <c r="P121" s="461" t="str">
        <f>IF(Start!$C$16="x",(IF(L121 = "NA","NA", (IF(OR($H121 = "NA",H121=""), "NA",(IF(OR(ChemData!U121="NA",ChemData!U121=""),L121/((Data!$D$33+((1-Data!$D$33)*Data!$D$14*$H121))/((1-Data!$D$33)*Data!$D$14*1000)),(IF(L121/((Data!$D$33+((1-Data!$D$33)*Data!$D$14*$H121))/((1-Data!$D$33)*Data!$D$14*1000))&gt;ChemData!U121, ChemData!U121, L121/((Data!$D$33+((1-Data!$D$33)*Data!$D$14*$H121))/((1-Data!$D$33)*Data!$D$14*1000)))))))))),"---")</f>
        <v>---</v>
      </c>
      <c r="Q121" s="376" t="str">
        <f>IF(Start!$C$16="x",IF(OR($F121 = "NA",F121=""), "NA", IF(P121= "NA", "NA",(P121+(Data!$D$30*$F121))/(Data!$D$30+1))),"---")</f>
        <v>---</v>
      </c>
      <c r="R121" s="376" t="str">
        <f>IF(Start!$C$16="x",IF(O121 = "NA","NA", IF(OR($I121 = "NA",I121=""), "NA",(IF(OR(ChemData!U121="NA",ChemData!U121=""),O121/((Data!$D$35+((1-Data!$D$35)*Data!$D$14*$I121))/((1-Data!$D$35)*Data!$D$14*1000)),(IF(O121/((Data!$D$35+((1-Data!$D$35)*Data!$D$14*$I121))/((1-Data!$D$35)*Data!$D$14*1000))&gt;ChemData!U121, ChemData!U121, O121/((Data!$D$35+((1-Data!$D$35)*Data!$D$14*$I121))/((1-Data!$D$35)*Data!$D$14*1000)))))))),"---")</f>
        <v>---</v>
      </c>
      <c r="S121" s="377" t="str">
        <f>IF(Start!$C$16="x",IF(OR($F121 = "NA",F121=""), "NA", IF(R121= "NA", "NA",(R121+(Data!$D$30*$F121))/(Data!$D$30+1))),"---")</f>
        <v>---</v>
      </c>
      <c r="T121" s="343" t="str">
        <f>IF(Start!$C$16="x",IF(AND(D121= "",E121=""),"",IF(Q121="NA","NA",IF(G121="NA","NA",IF(G121=0,"NA",(Q121/G121))))),"Not Req.")</f>
        <v>Not Req.</v>
      </c>
      <c r="U121" s="343" t="str">
        <f>IF(Start!$C$16="x",IF(AND(D121= "",E121=""),"",IF(S121="NA","NA",IF(G121="NA","NA",IF(G121=0,"NA",(S121/G121))))),"Not Req.")</f>
        <v>Not Req.</v>
      </c>
      <c r="V121" s="11"/>
    </row>
    <row r="122" spans="1:22" s="10" customFormat="1" x14ac:dyDescent="0.25">
      <c r="A122" s="307" t="s">
        <v>440</v>
      </c>
      <c r="B122" s="348" t="str">
        <f>IF(Start!$C$16="x",IF(OR(D122 ="NA",E122="NA"),"NA",IF(AND(D122= "",E122=""),"",IF(AND(D122= "",E122&lt;&gt; ""),"Missing Data",                     IF(AND(D122&lt;&gt; "",E122= ""),"Missing Data",(IF(OR(G122="NA",G122=""),"No Criteria",(IF(AND(Q122="NA",D122&lt;&gt;"NA",G122&lt;&gt;"NA"),                                               "Missing Data",(IF(Q122&lt;G122,"No","Needed")))))))))),"---")</f>
        <v>---</v>
      </c>
      <c r="C122" s="350" t="str">
        <f>IF(Start!$C$16="x",IF(OR(D122 ="NA",E122="NA"),"NA",IF(AND(D122= "",E122=""),"",IF(AND(D122= "",E122&lt;&gt; ""),"Missing Data",                     IF(AND(D122&lt;&gt; "",E122= ""),"Missing Data",(IF(OR(G122="NA",G122=""),"No Criteria",(IF(AND(S122="NA",D122&lt;&gt;"NA",G122&lt;&gt;"NA"),                                               "Missing Data",(IF(S122&lt;G122,"No","Needed")))))))))),"---")</f>
        <v>---</v>
      </c>
      <c r="D122" s="372" t="str">
        <f>IF(TRUE=ISBLANK(ChemData!B122),"",(ChemData!B122))</f>
        <v/>
      </c>
      <c r="E122" s="373" t="str">
        <f>IF(TRUE=ISBLANK(ChemData!C122),"",(ChemData!C122))</f>
        <v/>
      </c>
      <c r="F122" s="374" t="str">
        <f>IF(TRUE=ISBLANK(ChemData!D122),"",(ChemData!D122))</f>
        <v/>
      </c>
      <c r="G122" s="289" t="str">
        <f>IF(TRUE=ISBLANK(ChemData!I122),"",(ChemData!I122))</f>
        <v>NA</v>
      </c>
      <c r="H122" s="290">
        <f>IF(TRUE=ISBLANK(ChemData!Q122),"",(ChemData!Q122))</f>
        <v>140.41270913790194</v>
      </c>
      <c r="I122" s="290">
        <f>IF(TRUE=ISBLANK(ChemData!R122),"",(ChemData!R122))</f>
        <v>140.41270913790194</v>
      </c>
      <c r="J122" s="290">
        <f>IF(TRUE=ISBLANK(ChemData!S122),"",(ChemData!S122))</f>
        <v>1</v>
      </c>
      <c r="K122" s="291">
        <f>IF(TRUE=ISBLANK(ChemData!T122),"",(ChemData!T122))</f>
        <v>1</v>
      </c>
      <c r="L122" s="375" t="str">
        <f>IF(Start!$C$16="x",IF(OR(D122="NA",D122=""),"NA", IF(OR($J122 = "NA",J122=""),"NA",(D122*$J122))),"---")</f>
        <v>---</v>
      </c>
      <c r="M122" s="377" t="str">
        <f>IF(Start!$C$16="x",IF(OR(D122="NA",D122=""),"NA", IF(OR($K122 = "NA",K122=""),"NA",(D122*$K122))),"---")</f>
        <v>---</v>
      </c>
      <c r="N122" s="375" t="str">
        <f t="shared" si="5"/>
        <v>---</v>
      </c>
      <c r="O122" s="377" t="str">
        <f t="shared" si="5"/>
        <v>---</v>
      </c>
      <c r="P122" s="461" t="str">
        <f>IF(Start!$C$16="x",(IF(L122 = "NA","NA", (IF(OR($H122 = "NA",H122=""), "NA",(IF(OR(ChemData!U122="NA",ChemData!U122=""),L122/((Data!$D$33+((1-Data!$D$33)*Data!$D$14*$H122))/((1-Data!$D$33)*Data!$D$14*1000)),(IF(L122/((Data!$D$33+((1-Data!$D$33)*Data!$D$14*$H122))/((1-Data!$D$33)*Data!$D$14*1000))&gt;ChemData!U122, ChemData!U122, L122/((Data!$D$33+((1-Data!$D$33)*Data!$D$14*$H122))/((1-Data!$D$33)*Data!$D$14*1000)))))))))),"---")</f>
        <v>---</v>
      </c>
      <c r="Q122" s="376" t="str">
        <f>IF(Start!$C$16="x",IF(OR($F122 = "NA",F122=""), "NA", IF(P122= "NA", "NA",(P122+(Data!$D$30*$F122))/(Data!$D$30+1))),"---")</f>
        <v>---</v>
      </c>
      <c r="R122" s="376" t="str">
        <f>IF(Start!$C$16="x",IF(O122 = "NA","NA", IF(OR($I122 = "NA",I122=""), "NA",(IF(OR(ChemData!U122="NA",ChemData!U122=""),O122/((Data!$D$35+((1-Data!$D$35)*Data!$D$14*$I122))/((1-Data!$D$35)*Data!$D$14*1000)),(IF(O122/((Data!$D$35+((1-Data!$D$35)*Data!$D$14*$I122))/((1-Data!$D$35)*Data!$D$14*1000))&gt;ChemData!U122, ChemData!U122, O122/((Data!$D$35+((1-Data!$D$35)*Data!$D$14*$I122))/((1-Data!$D$35)*Data!$D$14*1000)))))))),"---")</f>
        <v>---</v>
      </c>
      <c r="S122" s="377" t="str">
        <f>IF(Start!$C$16="x",IF(OR($F122 = "NA",F122=""), "NA", IF(R122= "NA", "NA",(R122+(Data!$D$30*$F122))/(Data!$D$30+1))),"---")</f>
        <v>---</v>
      </c>
      <c r="T122" s="343" t="str">
        <f>IF(Start!$C$16="x",IF(AND(D122= "",E122=""),"",IF(Q122="NA","NA",IF(G122="NA","NA",IF(G122=0,"NA",(Q122/G122))))),"Not Req.")</f>
        <v>Not Req.</v>
      </c>
      <c r="U122" s="343" t="str">
        <f>IF(Start!$C$16="x",IF(AND(D122= "",E122=""),"",IF(S122="NA","NA",IF(G122="NA","NA",IF(G122=0,"NA",(S122/G122))))),"Not Req.")</f>
        <v>Not Req.</v>
      </c>
      <c r="V122" s="11"/>
    </row>
    <row r="123" spans="1:22" s="10" customFormat="1" x14ac:dyDescent="0.25">
      <c r="A123" s="307" t="s">
        <v>441</v>
      </c>
      <c r="B123" s="348" t="str">
        <f>IF(Start!$C$16="x",IF(OR(D123 ="NA",E123="NA"),"NA",IF(AND(D123= "",E123=""),"",IF(AND(D123= "",E123&lt;&gt; ""),"Missing Data",                     IF(AND(D123&lt;&gt; "",E123= ""),"Missing Data",(IF(OR(G123="NA",G123=""),"No Criteria",(IF(AND(Q123="NA",D123&lt;&gt;"NA",G123&lt;&gt;"NA"),                                               "Missing Data",(IF(Q123&lt;G123,"No","Needed")))))))))),"---")</f>
        <v>---</v>
      </c>
      <c r="C123" s="350" t="str">
        <f>IF(Start!$C$16="x",IF(OR(D123 ="NA",E123="NA"),"NA",IF(AND(D123= "",E123=""),"",IF(AND(D123= "",E123&lt;&gt; ""),"Missing Data",                     IF(AND(D123&lt;&gt; "",E123= ""),"Missing Data",(IF(OR(G123="NA",G123=""),"No Criteria",(IF(AND(S123="NA",D123&lt;&gt;"NA",G123&lt;&gt;"NA"),                                               "Missing Data",(IF(S123&lt;G123,"No","Needed")))))))))),"---")</f>
        <v>---</v>
      </c>
      <c r="D123" s="372" t="str">
        <f>IF(TRUE=ISBLANK(ChemData!B123),"",(ChemData!B123))</f>
        <v/>
      </c>
      <c r="E123" s="373" t="str">
        <f>IF(TRUE=ISBLANK(ChemData!C123),"",(ChemData!C123))</f>
        <v/>
      </c>
      <c r="F123" s="374" t="str">
        <f>IF(TRUE=ISBLANK(ChemData!D123),"",(ChemData!D123))</f>
        <v/>
      </c>
      <c r="G123" s="289" t="str">
        <f>IF(TRUE=ISBLANK(ChemData!I123),"",(ChemData!I123))</f>
        <v>NA</v>
      </c>
      <c r="H123" s="290">
        <f>IF(TRUE=ISBLANK(ChemData!Q123),"",(ChemData!Q123))</f>
        <v>2.4400932230679122</v>
      </c>
      <c r="I123" s="290">
        <f>IF(TRUE=ISBLANK(ChemData!R123),"",(ChemData!R123))</f>
        <v>2.4400932230679122</v>
      </c>
      <c r="J123" s="290">
        <f>IF(TRUE=ISBLANK(ChemData!S123),"",(ChemData!S123))</f>
        <v>1</v>
      </c>
      <c r="K123" s="291">
        <f>IF(TRUE=ISBLANK(ChemData!T123),"",(ChemData!T123))</f>
        <v>1</v>
      </c>
      <c r="L123" s="375" t="str">
        <f>IF(Start!$C$16="x",IF(OR(D123="NA",D123=""),"NA", IF(OR($J123 = "NA",J123=""),"NA",(D123*$J123))),"---")</f>
        <v>---</v>
      </c>
      <c r="M123" s="377" t="str">
        <f>IF(Start!$C$16="x",IF(OR(D123="NA",D123=""),"NA", IF(OR($K123 = "NA",K123=""),"NA",(D123*$K123))),"---")</f>
        <v>---</v>
      </c>
      <c r="N123" s="375" t="str">
        <f t="shared" si="5"/>
        <v>---</v>
      </c>
      <c r="O123" s="377" t="str">
        <f t="shared" si="5"/>
        <v>---</v>
      </c>
      <c r="P123" s="461" t="str">
        <f>IF(Start!$C$16="x",(IF(L123 = "NA","NA", (IF(OR($H123 = "NA",H123=""), "NA",(IF(OR(ChemData!U123="NA",ChemData!U123=""),L123/((Data!$D$33+((1-Data!$D$33)*Data!$D$14*$H123))/((1-Data!$D$33)*Data!$D$14*1000)),(IF(L123/((Data!$D$33+((1-Data!$D$33)*Data!$D$14*$H123))/((1-Data!$D$33)*Data!$D$14*1000))&gt;ChemData!U123, ChemData!U123, L123/((Data!$D$33+((1-Data!$D$33)*Data!$D$14*$H123))/((1-Data!$D$33)*Data!$D$14*1000)))))))))),"---")</f>
        <v>---</v>
      </c>
      <c r="Q123" s="376" t="str">
        <f>IF(Start!$C$16="x",IF(OR($F123 = "NA",F123=""), "NA", IF(P123= "NA", "NA",(P123+(Data!$D$30*$F123))/(Data!$D$30+1))),"---")</f>
        <v>---</v>
      </c>
      <c r="R123" s="376" t="str">
        <f>IF(Start!$C$16="x",IF(O123 = "NA","NA", IF(OR($I123 = "NA",I123=""), "NA",(IF(OR(ChemData!U123="NA",ChemData!U123=""),O123/((Data!$D$35+((1-Data!$D$35)*Data!$D$14*$I123))/((1-Data!$D$35)*Data!$D$14*1000)),(IF(O123/((Data!$D$35+((1-Data!$D$35)*Data!$D$14*$I123))/((1-Data!$D$35)*Data!$D$14*1000))&gt;ChemData!U123, ChemData!U123, O123/((Data!$D$35+((1-Data!$D$35)*Data!$D$14*$I123))/((1-Data!$D$35)*Data!$D$14*1000)))))))),"---")</f>
        <v>---</v>
      </c>
      <c r="S123" s="377" t="str">
        <f>IF(Start!$C$16="x",IF(OR($F123 = "NA",F123=""), "NA", IF(R123= "NA", "NA",(R123+(Data!$D$30*$F123))/(Data!$D$30+1))),"---")</f>
        <v>---</v>
      </c>
      <c r="T123" s="343" t="str">
        <f>IF(Start!$C$16="x",IF(AND(D123= "",E123=""),"",IF(Q123="NA","NA",IF(G123="NA","NA",IF(G123=0,"NA",(Q123/G123))))),"Not Req.")</f>
        <v>Not Req.</v>
      </c>
      <c r="U123" s="343" t="str">
        <f>IF(Start!$C$16="x",IF(AND(D123= "",E123=""),"",IF(S123="NA","NA",IF(G123="NA","NA",IF(G123=0,"NA",(S123/G123))))),"Not Req.")</f>
        <v>Not Req.</v>
      </c>
      <c r="V123" s="11"/>
    </row>
    <row r="124" spans="1:22" s="10" customFormat="1" x14ac:dyDescent="0.25">
      <c r="A124" s="307" t="s">
        <v>667</v>
      </c>
      <c r="B124" s="348" t="str">
        <f>IF(Start!$C$16="x",IF(OR(D124 ="NA",E124="NA"),"NA",IF(AND(D124= "",E124=""),"",IF(AND(D124= "",E124&lt;&gt; ""),"Missing Data",                     IF(AND(D124&lt;&gt; "",E124= ""),"Missing Data",(IF(OR(G124="NA",G124=""),"No Criteria",(IF(AND(Q124="NA",D124&lt;&gt;"NA",G124&lt;&gt;"NA"),                                               "Missing Data",(IF(Q124&lt;G124,"No","Needed")))))))))),"---")</f>
        <v>---</v>
      </c>
      <c r="C124" s="350" t="str">
        <f>IF(Start!$C$16="x",IF(OR(D124 ="NA",E124="NA"),"NA",IF(AND(D124= "",E124=""),"",IF(AND(D124= "",E124&lt;&gt; ""),"Missing Data",                     IF(AND(D124&lt;&gt; "",E124= ""),"Missing Data",(IF(OR(G124="NA",G124=""),"No Criteria",(IF(AND(S124="NA",D124&lt;&gt;"NA",G124&lt;&gt;"NA"),                                               "Missing Data",(IF(S124&lt;G124,"No","Needed")))))))))),"---")</f>
        <v>---</v>
      </c>
      <c r="D124" s="372" t="str">
        <f>IF(TRUE=ISBLANK(ChemData!B124),"",(ChemData!B124))</f>
        <v/>
      </c>
      <c r="E124" s="373" t="str">
        <f>IF(TRUE=ISBLANK(ChemData!C124),"",(ChemData!C124))</f>
        <v/>
      </c>
      <c r="F124" s="374" t="str">
        <f>IF(TRUE=ISBLANK(ChemData!D124),"",(ChemData!D124))</f>
        <v/>
      </c>
      <c r="G124" s="289">
        <f>IF(TRUE=ISBLANK(ChemData!I124),"",(ChemData!I124))</f>
        <v>13</v>
      </c>
      <c r="H124" s="290">
        <f>IF(TRUE=ISBLANK(ChemData!Q124),"",(ChemData!Q124))</f>
        <v>1.7676912767256789</v>
      </c>
      <c r="I124" s="290">
        <f>IF(TRUE=ISBLANK(ChemData!R124),"",(ChemData!R124))</f>
        <v>1.7676912767256789</v>
      </c>
      <c r="J124" s="290">
        <f>IF(TRUE=ISBLANK(ChemData!S124),"",(ChemData!S124))</f>
        <v>1</v>
      </c>
      <c r="K124" s="291">
        <f>IF(TRUE=ISBLANK(ChemData!T124),"",(ChemData!T124))</f>
        <v>1</v>
      </c>
      <c r="L124" s="375" t="str">
        <f>IF(Start!$C$16="x",IF(OR(D124="NA",D124=""),"NA", IF(OR($J124 = "NA",J124=""),"NA",(D124*$J124))),"---")</f>
        <v>---</v>
      </c>
      <c r="M124" s="377" t="str">
        <f>IF(Start!$C$16="x",IF(OR(D124="NA",D124=""),"NA", IF(OR($K124 = "NA",K124=""),"NA",(D124*$K124))),"---")</f>
        <v>---</v>
      </c>
      <c r="N124" s="375" t="str">
        <f t="shared" si="5"/>
        <v>---</v>
      </c>
      <c r="O124" s="377" t="str">
        <f t="shared" si="5"/>
        <v>---</v>
      </c>
      <c r="P124" s="461" t="str">
        <f>IF(Start!$C$16="x",(IF(L124 = "NA","NA", (IF(OR($H124 = "NA",H124=""), "NA",(IF(OR(ChemData!U124="NA",ChemData!U124=""),L124/((Data!$D$33+((1-Data!$D$33)*Data!$D$14*$H124))/((1-Data!$D$33)*Data!$D$14*1000)),(IF(L124/((Data!$D$33+((1-Data!$D$33)*Data!$D$14*$H124))/((1-Data!$D$33)*Data!$D$14*1000))&gt;ChemData!U124, ChemData!U124, L124/((Data!$D$33+((1-Data!$D$33)*Data!$D$14*$H124))/((1-Data!$D$33)*Data!$D$14*1000)))))))))),"---")</f>
        <v>---</v>
      </c>
      <c r="Q124" s="376" t="str">
        <f>IF(Start!$C$16="x",IF(OR($F124 = "NA",F124=""), "NA", IF(P124= "NA", "NA",(P124+(Data!$D$30*$F124))/(Data!$D$30+1))),"---")</f>
        <v>---</v>
      </c>
      <c r="R124" s="376" t="str">
        <f>IF(Start!$C$16="x",IF(O124 = "NA","NA", IF(OR($I124 = "NA",I124=""), "NA",(IF(OR(ChemData!U124="NA",ChemData!U124=""),O124/((Data!$D$35+((1-Data!$D$35)*Data!$D$14*$I124))/((1-Data!$D$35)*Data!$D$14*1000)),(IF(O124/((Data!$D$35+((1-Data!$D$35)*Data!$D$14*$I124))/((1-Data!$D$35)*Data!$D$14*1000))&gt;ChemData!U124, ChemData!U124, O124/((Data!$D$35+((1-Data!$D$35)*Data!$D$14*$I124))/((1-Data!$D$35)*Data!$D$14*1000)))))))),"---")</f>
        <v>---</v>
      </c>
      <c r="S124" s="377" t="str">
        <f>IF(Start!$C$16="x",IF(OR($F124 = "NA",F124=""), "NA", IF(R124= "NA", "NA",(R124+(Data!$D$30*$F124))/(Data!$D$30+1))),"---")</f>
        <v>---</v>
      </c>
      <c r="T124" s="343" t="str">
        <f>IF(Start!$C$16="x",IF(AND(D124= "",E124=""),"",IF(Q124="NA","NA",IF(G124="NA","NA",IF(G124=0,"NA",(Q124/G124))))),"Not Req.")</f>
        <v>Not Req.</v>
      </c>
      <c r="U124" s="343" t="str">
        <f>IF(Start!$C$16="x",IF(AND(D124= "",E124=""),"",IF(S124="NA","NA",IF(G124="NA","NA",IF(G124=0,"NA",(S124/G124))))),"Not Req.")</f>
        <v>Not Req.</v>
      </c>
      <c r="V124" s="11"/>
    </row>
    <row r="125" spans="1:22" s="10" customFormat="1" x14ac:dyDescent="0.25">
      <c r="A125" s="307" t="s">
        <v>668</v>
      </c>
      <c r="B125" s="348" t="str">
        <f>IF(Start!$C$16="x",IF(OR(D125 ="NA",E125="NA"),"NA",IF(AND(D125= "",E125=""),"",IF(AND(D125= "",E125&lt;&gt; ""),"Missing Data",                     IF(AND(D125&lt;&gt; "",E125= ""),"Missing Data",(IF(OR(G125="NA",G125=""),"No Criteria",(IF(AND(Q125="NA",D125&lt;&gt;"NA",G125&lt;&gt;"NA"),                                               "Missing Data",(IF(Q125&lt;G125,"No","Needed")))))))))),"---")</f>
        <v>---</v>
      </c>
      <c r="C125" s="350" t="str">
        <f>IF(Start!$C$16="x",IF(OR(D125 ="NA",E125="NA"),"NA",IF(AND(D125= "",E125=""),"",IF(AND(D125= "",E125&lt;&gt; ""),"Missing Data",                     IF(AND(D125&lt;&gt; "",E125= ""),"Missing Data",(IF(OR(G125="NA",G125=""),"No Criteria",(IF(AND(S125="NA",D125&lt;&gt;"NA",G125&lt;&gt;"NA"),                                               "Missing Data",(IF(S125&lt;G125,"No","Needed")))))))))),"---")</f>
        <v>---</v>
      </c>
      <c r="D125" s="372" t="str">
        <f>IF(TRUE=ISBLANK(ChemData!B125),"",(ChemData!B125))</f>
        <v/>
      </c>
      <c r="E125" s="373" t="str">
        <f>IF(TRUE=ISBLANK(ChemData!C125),"",(ChemData!C125))</f>
        <v/>
      </c>
      <c r="F125" s="374" t="str">
        <f>IF(TRUE=ISBLANK(ChemData!D125),"",(ChemData!D125))</f>
        <v/>
      </c>
      <c r="G125" s="289" t="str">
        <f>IF(TRUE=ISBLANK(ChemData!I125),"",(ChemData!I125))</f>
        <v>NA</v>
      </c>
      <c r="H125" s="290">
        <f>IF(TRUE=ISBLANK(ChemData!Q125),"",(ChemData!Q125))</f>
        <v>1.7274537107752317</v>
      </c>
      <c r="I125" s="290">
        <f>IF(TRUE=ISBLANK(ChemData!R125),"",(ChemData!R125))</f>
        <v>1.7274537107752317</v>
      </c>
      <c r="J125" s="290">
        <f>IF(TRUE=ISBLANK(ChemData!S125),"",(ChemData!S125))</f>
        <v>1</v>
      </c>
      <c r="K125" s="291">
        <f>IF(TRUE=ISBLANK(ChemData!T125),"",(ChemData!T125))</f>
        <v>1</v>
      </c>
      <c r="L125" s="375" t="str">
        <f>IF(Start!$C$16="x",IF(OR(D125="NA",D125=""),"NA", IF(OR($J125 = "NA",J125=""),"NA",(D125*$J125))),"---")</f>
        <v>---</v>
      </c>
      <c r="M125" s="377" t="str">
        <f>IF(Start!$C$16="x",IF(OR(D125="NA",D125=""),"NA", IF(OR($K125 = "NA",K125=""),"NA",(D125*$K125))),"---")</f>
        <v>---</v>
      </c>
      <c r="N125" s="375" t="str">
        <f t="shared" si="5"/>
        <v>---</v>
      </c>
      <c r="O125" s="377" t="str">
        <f t="shared" si="5"/>
        <v>---</v>
      </c>
      <c r="P125" s="461" t="str">
        <f>IF(Start!$C$16="x",(IF(L125 = "NA","NA", (IF(OR($H125 = "NA",H125=""), "NA",(IF(OR(ChemData!U125="NA",ChemData!U125=""),L125/((Data!$D$33+((1-Data!$D$33)*Data!$D$14*$H125))/((1-Data!$D$33)*Data!$D$14*1000)),(IF(L125/((Data!$D$33+((1-Data!$D$33)*Data!$D$14*$H125))/((1-Data!$D$33)*Data!$D$14*1000))&gt;ChemData!U125, ChemData!U125, L125/((Data!$D$33+((1-Data!$D$33)*Data!$D$14*$H125))/((1-Data!$D$33)*Data!$D$14*1000)))))))))),"---")</f>
        <v>---</v>
      </c>
      <c r="Q125" s="376" t="str">
        <f>IF(Start!$C$16="x",IF(OR($F125 = "NA",F125=""), "NA", IF(P125= "NA", "NA",(P125+(Data!$D$30*$F125))/(Data!$D$30+1))),"---")</f>
        <v>---</v>
      </c>
      <c r="R125" s="376" t="str">
        <f>IF(Start!$C$16="x",IF(O125 = "NA","NA", IF(OR($I125 = "NA",I125=""), "NA",(IF(OR(ChemData!U125="NA",ChemData!U125=""),O125/((Data!$D$35+((1-Data!$D$35)*Data!$D$14*$I125))/((1-Data!$D$35)*Data!$D$14*1000)),(IF(O125/((Data!$D$35+((1-Data!$D$35)*Data!$D$14*$I125))/((1-Data!$D$35)*Data!$D$14*1000))&gt;ChemData!U125, ChemData!U125, O125/((Data!$D$35+((1-Data!$D$35)*Data!$D$14*$I125))/((1-Data!$D$35)*Data!$D$14*1000)))))))),"---")</f>
        <v>---</v>
      </c>
      <c r="S125" s="377" t="str">
        <f>IF(Start!$C$16="x",IF(OR($F125 = "NA",F125=""), "NA", IF(R125= "NA", "NA",(R125+(Data!$D$30*$F125))/(Data!$D$30+1))),"---")</f>
        <v>---</v>
      </c>
      <c r="T125" s="343" t="str">
        <f>IF(Start!$C$16="x",IF(AND(D125= "",E125=""),"",IF(Q125="NA","NA",IF(G125="NA","NA",IF(G125=0,"NA",(Q125/G125))))),"Not Req.")</f>
        <v>Not Req.</v>
      </c>
      <c r="U125" s="343" t="str">
        <f>IF(Start!$C$16="x",IF(AND(D125= "",E125=""),"",IF(S125="NA","NA",IF(G125="NA","NA",IF(G125=0,"NA",(S125/G125))))),"Not Req.")</f>
        <v>Not Req.</v>
      </c>
      <c r="V125" s="11"/>
    </row>
    <row r="126" spans="1:22" s="10" customFormat="1" x14ac:dyDescent="0.25">
      <c r="A126" s="307" t="s">
        <v>444</v>
      </c>
      <c r="B126" s="348" t="str">
        <f>IF(Start!$C$16="x",IF(OR(D126 ="NA",E126="NA"),"NA",IF(AND(D126= "",E126=""),"",IF(AND(D126= "",E126&lt;&gt; ""),"Missing Data",                     IF(AND(D126&lt;&gt; "",E126= ""),"Missing Data",(IF(OR(G126="NA",G126=""),"No Criteria",(IF(AND(Q126="NA",D126&lt;&gt;"NA",G126&lt;&gt;"NA"),                                               "Missing Data",(IF(Q126&lt;G126,"No","Needed")))))))))),"---")</f>
        <v>---</v>
      </c>
      <c r="C126" s="350" t="str">
        <f>IF(Start!$C$16="x",IF(OR(D126 ="NA",E126="NA"),"NA",IF(AND(D126= "",E126=""),"",IF(AND(D126= "",E126&lt;&gt; ""),"Missing Data",                     IF(AND(D126&lt;&gt; "",E126= ""),"Missing Data",(IF(OR(G126="NA",G126=""),"No Criteria",(IF(AND(S126="NA",D126&lt;&gt;"NA",G126&lt;&gt;"NA"),                                               "Missing Data",(IF(S126&lt;G126,"No","Needed")))))))))),"---")</f>
        <v>---</v>
      </c>
      <c r="D126" s="372" t="str">
        <f>IF(TRUE=ISBLANK(ChemData!B126),"",(ChemData!B126))</f>
        <v/>
      </c>
      <c r="E126" s="373" t="str">
        <f>IF(TRUE=ISBLANK(ChemData!C126),"",(ChemData!C126))</f>
        <v/>
      </c>
      <c r="F126" s="374" t="str">
        <f>IF(TRUE=ISBLANK(ChemData!D126),"",(ChemData!D126))</f>
        <v/>
      </c>
      <c r="G126" s="289" t="str">
        <f>IF(TRUE=ISBLANK(ChemData!I126),"",(ChemData!I126))</f>
        <v>NA</v>
      </c>
      <c r="H126" s="290">
        <f>IF(TRUE=ISBLANK(ChemData!Q126),"",(ChemData!Q126))</f>
        <v>1.1153377938236371</v>
      </c>
      <c r="I126" s="290">
        <f>IF(TRUE=ISBLANK(ChemData!R126),"",(ChemData!R126))</f>
        <v>1.1153377938236371</v>
      </c>
      <c r="J126" s="290">
        <f>IF(TRUE=ISBLANK(ChemData!S126),"",(ChemData!S126))</f>
        <v>1</v>
      </c>
      <c r="K126" s="291">
        <f>IF(TRUE=ISBLANK(ChemData!T126),"",(ChemData!T126))</f>
        <v>1</v>
      </c>
      <c r="L126" s="375" t="str">
        <f>IF(Start!$C$16="x",IF(OR(D126="NA",D126=""),"NA", IF(OR($J126 = "NA",J126=""),"NA",(D126*$J126))),"---")</f>
        <v>---</v>
      </c>
      <c r="M126" s="377" t="str">
        <f>IF(Start!$C$16="x",IF(OR(D126="NA",D126=""),"NA", IF(OR($K126 = "NA",K126=""),"NA",(D126*$K126))),"---")</f>
        <v>---</v>
      </c>
      <c r="N126" s="375" t="str">
        <f t="shared" si="5"/>
        <v>---</v>
      </c>
      <c r="O126" s="377" t="str">
        <f t="shared" si="5"/>
        <v>---</v>
      </c>
      <c r="P126" s="461" t="str">
        <f>IF(Start!$C$16="x",(IF(L126 = "NA","NA", (IF(OR($H126 = "NA",H126=""), "NA",(IF(OR(ChemData!U126="NA",ChemData!U126=""),L126/((Data!$D$33+((1-Data!$D$33)*Data!$D$14*$H126))/((1-Data!$D$33)*Data!$D$14*1000)),(IF(L126/((Data!$D$33+((1-Data!$D$33)*Data!$D$14*$H126))/((1-Data!$D$33)*Data!$D$14*1000))&gt;ChemData!U126, ChemData!U126, L126/((Data!$D$33+((1-Data!$D$33)*Data!$D$14*$H126))/((1-Data!$D$33)*Data!$D$14*1000)))))))))),"---")</f>
        <v>---</v>
      </c>
      <c r="Q126" s="376" t="str">
        <f>IF(Start!$C$16="x",IF(OR($F126 = "NA",F126=""), "NA", IF(P126= "NA", "NA",(P126+(Data!$D$30*$F126))/(Data!$D$30+1))),"---")</f>
        <v>---</v>
      </c>
      <c r="R126" s="376" t="str">
        <f>IF(Start!$C$16="x",IF(O126 = "NA","NA", IF(OR($I126 = "NA",I126=""), "NA",(IF(OR(ChemData!U126="NA",ChemData!U126=""),O126/((Data!$D$35+((1-Data!$D$35)*Data!$D$14*$I126))/((1-Data!$D$35)*Data!$D$14*1000)),(IF(O126/((Data!$D$35+((1-Data!$D$35)*Data!$D$14*$I126))/((1-Data!$D$35)*Data!$D$14*1000))&gt;ChemData!U126, ChemData!U126, O126/((Data!$D$35+((1-Data!$D$35)*Data!$D$14*$I126))/((1-Data!$D$35)*Data!$D$14*1000)))))))),"---")</f>
        <v>---</v>
      </c>
      <c r="S126" s="377" t="str">
        <f>IF(Start!$C$16="x",IF(OR($F126 = "NA",F126=""), "NA", IF(R126= "NA", "NA",(R126+(Data!$D$30*$F126))/(Data!$D$30+1))),"---")</f>
        <v>---</v>
      </c>
      <c r="T126" s="343" t="str">
        <f>IF(Start!$C$16="x",IF(AND(D126= "",E126=""),"",IF(Q126="NA","NA",IF(G126="NA","NA",IF(G126=0,"NA",(Q126/G126))))),"Not Req.")</f>
        <v>Not Req.</v>
      </c>
      <c r="U126" s="343" t="str">
        <f>IF(Start!$C$16="x",IF(AND(D126= "",E126=""),"",IF(S126="NA","NA",IF(G126="NA","NA",IF(G126=0,"NA",(S126/G126))))),"Not Req.")</f>
        <v>Not Req.</v>
      </c>
      <c r="V126" s="11"/>
    </row>
    <row r="127" spans="1:22" s="10" customFormat="1" x14ac:dyDescent="0.25">
      <c r="A127" s="307" t="s">
        <v>445</v>
      </c>
      <c r="B127" s="348" t="str">
        <f>IF(Start!$C$16="x",IF(OR(D127 ="NA",E127="NA"),"NA",IF(AND(D127= "",E127=""),"",IF(AND(D127= "",E127&lt;&gt; ""),"Missing Data",                     IF(AND(D127&lt;&gt; "",E127= ""),"Missing Data",(IF(OR(G127="NA",G127=""),"No Criteria",(IF(AND(Q127="NA",D127&lt;&gt;"NA",G127&lt;&gt;"NA"),                                               "Missing Data",(IF(Q127&lt;G127,"No","Needed")))))))))),"---")</f>
        <v>---</v>
      </c>
      <c r="C127" s="350" t="str">
        <f>IF(Start!$C$16="x",IF(OR(D127 ="NA",E127="NA"),"NA",IF(AND(D127= "",E127=""),"",IF(AND(D127= "",E127&lt;&gt; ""),"Missing Data",                     IF(AND(D127&lt;&gt; "",E127= ""),"Missing Data",(IF(OR(G127="NA",G127=""),"No Criteria",(IF(AND(S127="NA",D127&lt;&gt;"NA",G127&lt;&gt;"NA"),                                               "Missing Data",(IF(S127&lt;G127,"No","Needed")))))))))),"---")</f>
        <v>---</v>
      </c>
      <c r="D127" s="372" t="str">
        <f>IF(TRUE=ISBLANK(ChemData!B127),"",(ChemData!B127))</f>
        <v/>
      </c>
      <c r="E127" s="373" t="str">
        <f>IF(TRUE=ISBLANK(ChemData!C127),"",(ChemData!C127))</f>
        <v/>
      </c>
      <c r="F127" s="374" t="str">
        <f>IF(TRUE=ISBLANK(ChemData!D127),"",(ChemData!D127))</f>
        <v/>
      </c>
      <c r="G127" s="289" t="str">
        <f>IF(TRUE=ISBLANK(ChemData!I127),"",(ChemData!I127))</f>
        <v>NA</v>
      </c>
      <c r="H127" s="290">
        <f>IF(TRUE=ISBLANK(ChemData!Q127),"",(ChemData!Q127))</f>
        <v>0.43391675371571786</v>
      </c>
      <c r="I127" s="290">
        <f>IF(TRUE=ISBLANK(ChemData!R127),"",(ChemData!R127))</f>
        <v>0.43391675371571786</v>
      </c>
      <c r="J127" s="290">
        <f>IF(TRUE=ISBLANK(ChemData!S127),"",(ChemData!S127))</f>
        <v>1</v>
      </c>
      <c r="K127" s="291">
        <f>IF(TRUE=ISBLANK(ChemData!T127),"",(ChemData!T127))</f>
        <v>1</v>
      </c>
      <c r="L127" s="375" t="str">
        <f>IF(Start!$C$16="x",IF(OR(D127="NA",D127=""),"NA", IF(OR($J127 = "NA",J127=""),"NA",(D127*$J127))),"---")</f>
        <v>---</v>
      </c>
      <c r="M127" s="377" t="str">
        <f>IF(Start!$C$16="x",IF(OR(D127="NA",D127=""),"NA", IF(OR($K127 = "NA",K127=""),"NA",(D127*$K127))),"---")</f>
        <v>---</v>
      </c>
      <c r="N127" s="375" t="str">
        <f t="shared" si="5"/>
        <v>---</v>
      </c>
      <c r="O127" s="377" t="str">
        <f t="shared" si="5"/>
        <v>---</v>
      </c>
      <c r="P127" s="461" t="str">
        <f>IF(Start!$C$16="x",(IF(L127 = "NA","NA", (IF(OR($H127 = "NA",H127=""), "NA",(IF(OR(ChemData!U127="NA",ChemData!U127=""),L127/((Data!$D$33+((1-Data!$D$33)*Data!$D$14*$H127))/((1-Data!$D$33)*Data!$D$14*1000)),(IF(L127/((Data!$D$33+((1-Data!$D$33)*Data!$D$14*$H127))/((1-Data!$D$33)*Data!$D$14*1000))&gt;ChemData!U127, ChemData!U127, L127/((Data!$D$33+((1-Data!$D$33)*Data!$D$14*$H127))/((1-Data!$D$33)*Data!$D$14*1000)))))))))),"---")</f>
        <v>---</v>
      </c>
      <c r="Q127" s="376" t="str">
        <f>IF(Start!$C$16="x",IF(OR($F127 = "NA",F127=""), "NA", IF(P127= "NA", "NA",(P127+(Data!$D$30*$F127))/(Data!$D$30+1))),"---")</f>
        <v>---</v>
      </c>
      <c r="R127" s="376" t="str">
        <f>IF(Start!$C$16="x",IF(O127 = "NA","NA", IF(OR($I127 = "NA",I127=""), "NA",(IF(OR(ChemData!U127="NA",ChemData!U127=""),O127/((Data!$D$35+((1-Data!$D$35)*Data!$D$14*$I127))/((1-Data!$D$35)*Data!$D$14*1000)),(IF(O127/((Data!$D$35+((1-Data!$D$35)*Data!$D$14*$I127))/((1-Data!$D$35)*Data!$D$14*1000))&gt;ChemData!U127, ChemData!U127, O127/((Data!$D$35+((1-Data!$D$35)*Data!$D$14*$I127))/((1-Data!$D$35)*Data!$D$14*1000)))))))),"---")</f>
        <v>---</v>
      </c>
      <c r="S127" s="377" t="str">
        <f>IF(Start!$C$16="x",IF(OR($F127 = "NA",F127=""), "NA", IF(R127= "NA", "NA",(R127+(Data!$D$30*$F127))/(Data!$D$30+1))),"---")</f>
        <v>---</v>
      </c>
      <c r="T127" s="343" t="str">
        <f>IF(Start!$C$16="x",IF(AND(D127= "",E127=""),"",IF(Q127="NA","NA",IF(G127="NA","NA",IF(G127=0,"NA",(Q127/G127))))),"Not Req.")</f>
        <v>Not Req.</v>
      </c>
      <c r="U127" s="343" t="str">
        <f>IF(Start!$C$16="x",IF(AND(D127= "",E127=""),"",IF(S127="NA","NA",IF(G127="NA","NA",IF(G127=0,"NA",(S127/G127))))),"Not Req.")</f>
        <v>Not Req.</v>
      </c>
      <c r="V127" s="11"/>
    </row>
    <row r="128" spans="1:22" s="10" customFormat="1" x14ac:dyDescent="0.25">
      <c r="A128" s="307" t="s">
        <v>446</v>
      </c>
      <c r="B128" s="348" t="str">
        <f>IF(Start!$C$16="x",IF(OR(D128 ="NA",E128="NA"),"NA",IF(AND(D128= "",E128=""),"",IF(AND(D128= "",E128&lt;&gt; ""),"Missing Data",                     IF(AND(D128&lt;&gt; "",E128= ""),"Missing Data",(IF(OR(G128="NA",G128=""),"No Criteria",(IF(AND(Q128="NA",D128&lt;&gt;"NA",G128&lt;&gt;"NA"),                                               "Missing Data",(IF(Q128&lt;G128,"No","Needed")))))))))),"---")</f>
        <v>---</v>
      </c>
      <c r="C128" s="350" t="str">
        <f>IF(Start!$C$16="x",IF(OR(D128 ="NA",E128="NA"),"NA",IF(AND(D128= "",E128=""),"",IF(AND(D128= "",E128&lt;&gt; ""),"Missing Data",                     IF(AND(D128&lt;&gt; "",E128= ""),"Missing Data",(IF(OR(G128="NA",G128=""),"No Criteria",(IF(AND(S128="NA",D128&lt;&gt;"NA",G128&lt;&gt;"NA"),                                               "Missing Data",(IF(S128&lt;G128,"No","Needed")))))))))),"---")</f>
        <v>---</v>
      </c>
      <c r="D128" s="372" t="str">
        <f>IF(TRUE=ISBLANK(ChemData!B128),"",(ChemData!B128))</f>
        <v/>
      </c>
      <c r="E128" s="373" t="str">
        <f>IF(TRUE=ISBLANK(ChemData!C128),"",(ChemData!C128))</f>
        <v/>
      </c>
      <c r="F128" s="374" t="str">
        <f>IF(TRUE=ISBLANK(ChemData!D128),"",(ChemData!D128))</f>
        <v/>
      </c>
      <c r="G128" s="289" t="str">
        <f>IF(TRUE=ISBLANK(ChemData!I128),"",(ChemData!I128))</f>
        <v>NA</v>
      </c>
      <c r="H128" s="290">
        <f>IF(TRUE=ISBLANK(ChemData!Q128),"",(ChemData!Q128))</f>
        <v>0.45436662029329916</v>
      </c>
      <c r="I128" s="290">
        <f>IF(TRUE=ISBLANK(ChemData!R128),"",(ChemData!R128))</f>
        <v>0.45436662029329916</v>
      </c>
      <c r="J128" s="290">
        <f>IF(TRUE=ISBLANK(ChemData!S128),"",(ChemData!S128))</f>
        <v>1</v>
      </c>
      <c r="K128" s="291">
        <f>IF(TRUE=ISBLANK(ChemData!T128),"",(ChemData!T128))</f>
        <v>1</v>
      </c>
      <c r="L128" s="375" t="str">
        <f>IF(Start!$C$16="x",IF(OR(D128="NA",D128=""),"NA", IF(OR($J128 = "NA",J128=""),"NA",(D128*$J128))),"---")</f>
        <v>---</v>
      </c>
      <c r="M128" s="377" t="str">
        <f>IF(Start!$C$16="x",IF(OR(D128="NA",D128=""),"NA", IF(OR($K128 = "NA",K128=""),"NA",(D128*$K128))),"---")</f>
        <v>---</v>
      </c>
      <c r="N128" s="375" t="str">
        <f t="shared" si="5"/>
        <v>---</v>
      </c>
      <c r="O128" s="377" t="str">
        <f t="shared" si="5"/>
        <v>---</v>
      </c>
      <c r="P128" s="461" t="str">
        <f>IF(Start!$C$16="x",(IF(L128 = "NA","NA", (IF(OR($H128 = "NA",H128=""), "NA",(IF(OR(ChemData!U128="NA",ChemData!U128=""),L128/((Data!$D$33+((1-Data!$D$33)*Data!$D$14*$H128))/((1-Data!$D$33)*Data!$D$14*1000)),(IF(L128/((Data!$D$33+((1-Data!$D$33)*Data!$D$14*$H128))/((1-Data!$D$33)*Data!$D$14*1000))&gt;ChemData!U128, ChemData!U128, L128/((Data!$D$33+((1-Data!$D$33)*Data!$D$14*$H128))/((1-Data!$D$33)*Data!$D$14*1000)))))))))),"---")</f>
        <v>---</v>
      </c>
      <c r="Q128" s="376" t="str">
        <f>IF(Start!$C$16="x",IF(OR($F128 = "NA",F128=""), "NA", IF(P128= "NA", "NA",(P128+(Data!$D$30*$F128))/(Data!$D$30+1))),"---")</f>
        <v>---</v>
      </c>
      <c r="R128" s="376" t="str">
        <f>IF(Start!$C$16="x",IF(O128 = "NA","NA", IF(OR($I128 = "NA",I128=""), "NA",(IF(OR(ChemData!U128="NA",ChemData!U128=""),O128/((Data!$D$35+((1-Data!$D$35)*Data!$D$14*$I128))/((1-Data!$D$35)*Data!$D$14*1000)),(IF(O128/((Data!$D$35+((1-Data!$D$35)*Data!$D$14*$I128))/((1-Data!$D$35)*Data!$D$14*1000))&gt;ChemData!U128, ChemData!U128, O128/((Data!$D$35+((1-Data!$D$35)*Data!$D$14*$I128))/((1-Data!$D$35)*Data!$D$14*1000)))))))),"---")</f>
        <v>---</v>
      </c>
      <c r="S128" s="377" t="str">
        <f>IF(Start!$C$16="x",IF(OR($F128 = "NA",F128=""), "NA", IF(R128= "NA", "NA",(R128+(Data!$D$30*$F128))/(Data!$D$30+1))),"---")</f>
        <v>---</v>
      </c>
      <c r="T128" s="343" t="str">
        <f>IF(Start!$C$16="x",IF(AND(D128= "",E128=""),"",IF(Q128="NA","NA",IF(G128="NA","NA",IF(G128=0,"NA",(Q128/G128))))),"Not Req.")</f>
        <v>Not Req.</v>
      </c>
      <c r="U128" s="343" t="str">
        <f>IF(Start!$C$16="x",IF(AND(D128= "",E128=""),"",IF(S128="NA","NA",IF(G128="NA","NA",IF(G128=0,"NA",(S128/G128))))),"Not Req.")</f>
        <v>Not Req.</v>
      </c>
      <c r="V128" s="11"/>
    </row>
    <row r="129" spans="1:22" s="10" customFormat="1" x14ac:dyDescent="0.25">
      <c r="A129" s="307" t="s">
        <v>447</v>
      </c>
      <c r="B129" s="348" t="str">
        <f>IF(Start!$C$16="x",IF(OR(D129 ="NA",E129="NA"),"NA",IF(AND(D129= "",E129=""),"",IF(AND(D129= "",E129&lt;&gt; ""),"Missing Data",                     IF(AND(D129&lt;&gt; "",E129= ""),"Missing Data",(IF(OR(G129="NA",G129=""),"No Criteria",(IF(AND(Q129="NA",D129&lt;&gt;"NA",G129&lt;&gt;"NA"),                                               "Missing Data",(IF(Q129&lt;G129,"No","Needed")))))))))),"---")</f>
        <v>---</v>
      </c>
      <c r="C129" s="350" t="str">
        <f>IF(Start!$C$16="x",IF(OR(D129 ="NA",E129="NA"),"NA",IF(AND(D129= "",E129=""),"",IF(AND(D129= "",E129&lt;&gt; ""),"Missing Data",                     IF(AND(D129&lt;&gt; "",E129= ""),"Missing Data",(IF(OR(G129="NA",G129=""),"No Criteria",(IF(AND(S129="NA",D129&lt;&gt;"NA",G129&lt;&gt;"NA"),                                               "Missing Data",(IF(S129&lt;G129,"No","Needed")))))))))),"---")</f>
        <v>---</v>
      </c>
      <c r="D129" s="372" t="str">
        <f>IF(TRUE=ISBLANK(ChemData!B129),"",(ChemData!B129))</f>
        <v/>
      </c>
      <c r="E129" s="373" t="str">
        <f>IF(TRUE=ISBLANK(ChemData!C129),"",(ChemData!C129))</f>
        <v/>
      </c>
      <c r="F129" s="374" t="str">
        <f>IF(TRUE=ISBLANK(ChemData!D129),"",(ChemData!D129))</f>
        <v/>
      </c>
      <c r="G129" s="289">
        <f>IF(TRUE=ISBLANK(ChemData!I129),"",(ChemData!I129))</f>
        <v>150</v>
      </c>
      <c r="H129" s="290">
        <f>IF(TRUE=ISBLANK(ChemData!Q129),"",(ChemData!Q129))</f>
        <v>1.1679020446328385</v>
      </c>
      <c r="I129" s="290">
        <f>IF(TRUE=ISBLANK(ChemData!R129),"",(ChemData!R129))</f>
        <v>1.1679020446328385</v>
      </c>
      <c r="J129" s="290">
        <f>IF(TRUE=ISBLANK(ChemData!S129),"",(ChemData!S129))</f>
        <v>1</v>
      </c>
      <c r="K129" s="291">
        <f>IF(TRUE=ISBLANK(ChemData!T129),"",(ChemData!T129))</f>
        <v>1</v>
      </c>
      <c r="L129" s="375" t="str">
        <f>IF(Start!$C$16="x",IF(OR(D129="NA",D129=""),"NA", IF(OR($J129 = "NA",J129=""),"NA",(D129*$J129))),"---")</f>
        <v>---</v>
      </c>
      <c r="M129" s="377" t="str">
        <f>IF(Start!$C$16="x",IF(OR(D129="NA",D129=""),"NA", IF(OR($K129 = "NA",K129=""),"NA",(D129*$K129))),"---")</f>
        <v>---</v>
      </c>
      <c r="N129" s="375" t="str">
        <f t="shared" si="5"/>
        <v>---</v>
      </c>
      <c r="O129" s="377" t="str">
        <f t="shared" si="5"/>
        <v>---</v>
      </c>
      <c r="P129" s="461" t="str">
        <f>IF(Start!$C$16="x",(IF(L129 = "NA","NA", (IF(OR($H129 = "NA",H129=""), "NA",(IF(OR(ChemData!U129="NA",ChemData!U129=""),L129/((Data!$D$33+((1-Data!$D$33)*Data!$D$14*$H129))/((1-Data!$D$33)*Data!$D$14*1000)),(IF(L129/((Data!$D$33+((1-Data!$D$33)*Data!$D$14*$H129))/((1-Data!$D$33)*Data!$D$14*1000))&gt;ChemData!U129, ChemData!U129, L129/((Data!$D$33+((1-Data!$D$33)*Data!$D$14*$H129))/((1-Data!$D$33)*Data!$D$14*1000)))))))))),"---")</f>
        <v>---</v>
      </c>
      <c r="Q129" s="376" t="str">
        <f>IF(Start!$C$16="x",IF(OR($F129 = "NA",F129=""), "NA", IF(P129= "NA", "NA",(P129+(Data!$D$30*$F129))/(Data!$D$30+1))),"---")</f>
        <v>---</v>
      </c>
      <c r="R129" s="376" t="str">
        <f>IF(Start!$C$16="x",IF(O129 = "NA","NA", IF(OR($I129 = "NA",I129=""), "NA",(IF(OR(ChemData!U129="NA",ChemData!U129=""),O129/((Data!$D$35+((1-Data!$D$35)*Data!$D$14*$I129))/((1-Data!$D$35)*Data!$D$14*1000)),(IF(O129/((Data!$D$35+((1-Data!$D$35)*Data!$D$14*$I129))/((1-Data!$D$35)*Data!$D$14*1000))&gt;ChemData!U129, ChemData!U129, O129/((Data!$D$35+((1-Data!$D$35)*Data!$D$14*$I129))/((1-Data!$D$35)*Data!$D$14*1000)))))))),"---")</f>
        <v>---</v>
      </c>
      <c r="S129" s="377" t="str">
        <f>IF(Start!$C$16="x",IF(OR($F129 = "NA",F129=""), "NA", IF(R129= "NA", "NA",(R129+(Data!$D$30*$F129))/(Data!$D$30+1))),"---")</f>
        <v>---</v>
      </c>
      <c r="T129" s="343" t="str">
        <f>IF(Start!$C$16="x",IF(AND(D129= "",E129=""),"",IF(Q129="NA","NA",IF(G129="NA","NA",IF(G129=0,"NA",(Q129/G129))))),"Not Req.")</f>
        <v>Not Req.</v>
      </c>
      <c r="U129" s="343" t="str">
        <f>IF(Start!$C$16="x",IF(AND(D129= "",E129=""),"",IF(S129="NA","NA",IF(G129="NA","NA",IF(G129=0,"NA",(S129/G129))))),"Not Req.")</f>
        <v>Not Req.</v>
      </c>
      <c r="V129" s="11"/>
    </row>
    <row r="130" spans="1:22" s="10" customFormat="1" x14ac:dyDescent="0.25">
      <c r="A130" s="307" t="s">
        <v>448</v>
      </c>
      <c r="B130" s="348" t="str">
        <f>IF(Start!$C$16="x",IF(OR(D130 ="NA",E130="NA"),"NA",IF(AND(D130= "",E130=""),"",IF(AND(D130= "",E130&lt;&gt; ""),"Missing Data",                     IF(AND(D130&lt;&gt; "",E130= ""),"Missing Data",(IF(OR(G130="NA",G130=""),"No Criteria",(IF(AND(Q130="NA",D130&lt;&gt;"NA",G130&lt;&gt;"NA"),                                               "Missing Data",(IF(Q130&lt;G130,"No","Needed")))))))))),"---")</f>
        <v>---</v>
      </c>
      <c r="C130" s="350" t="str">
        <f>IF(Start!$C$16="x",IF(OR(D130 ="NA",E130="NA"),"NA",IF(AND(D130= "",E130=""),"",IF(AND(D130= "",E130&lt;&gt; ""),"Missing Data",                     IF(AND(D130&lt;&gt; "",E130= ""),"Missing Data",(IF(OR(G130="NA",G130=""),"No Criteria",(IF(AND(S130="NA",D130&lt;&gt;"NA",G130&lt;&gt;"NA"),                                               "Missing Data",(IF(S130&lt;G130,"No","Needed")))))))))),"---")</f>
        <v>---</v>
      </c>
      <c r="D130" s="372" t="str">
        <f>IF(TRUE=ISBLANK(ChemData!B130),"",(ChemData!B130))</f>
        <v/>
      </c>
      <c r="E130" s="373" t="str">
        <f>IF(TRUE=ISBLANK(ChemData!C130),"",(ChemData!C130))</f>
        <v/>
      </c>
      <c r="F130" s="374" t="str">
        <f>IF(TRUE=ISBLANK(ChemData!D130),"",(ChemData!D130))</f>
        <v/>
      </c>
      <c r="G130" s="289">
        <f>IF(TRUE=ISBLANK(ChemData!I130),"",(ChemData!I130))</f>
        <v>300</v>
      </c>
      <c r="H130" s="290">
        <f>IF(TRUE=ISBLANK(ChemData!Q130),"",(ChemData!Q130))</f>
        <v>1.7274537107752317</v>
      </c>
      <c r="I130" s="290">
        <f>IF(TRUE=ISBLANK(ChemData!R130),"",(ChemData!R130))</f>
        <v>1.7274537107752317</v>
      </c>
      <c r="J130" s="290">
        <f>IF(TRUE=ISBLANK(ChemData!S130),"",(ChemData!S130))</f>
        <v>1</v>
      </c>
      <c r="K130" s="291">
        <f>IF(TRUE=ISBLANK(ChemData!T130),"",(ChemData!T130))</f>
        <v>1</v>
      </c>
      <c r="L130" s="375" t="str">
        <f>IF(Start!$C$16="x",IF(OR(D130="NA",D130=""),"NA", IF(OR($J130 = "NA",J130=""),"NA",(D130*$J130))),"---")</f>
        <v>---</v>
      </c>
      <c r="M130" s="377" t="str">
        <f>IF(Start!$C$16="x",IF(OR(D130="NA",D130=""),"NA", IF(OR($K130 = "NA",K130=""),"NA",(D130*$K130))),"---")</f>
        <v>---</v>
      </c>
      <c r="N130" s="375" t="str">
        <f t="shared" si="5"/>
        <v>---</v>
      </c>
      <c r="O130" s="377" t="str">
        <f t="shared" si="5"/>
        <v>---</v>
      </c>
      <c r="P130" s="461" t="str">
        <f>IF(Start!$C$16="x",(IF(L130 = "NA","NA", (IF(OR($H130 = "NA",H130=""), "NA",(IF(OR(ChemData!U130="NA",ChemData!U130=""),L130/((Data!$D$33+((1-Data!$D$33)*Data!$D$14*$H130))/((1-Data!$D$33)*Data!$D$14*1000)),(IF(L130/((Data!$D$33+((1-Data!$D$33)*Data!$D$14*$H130))/((1-Data!$D$33)*Data!$D$14*1000))&gt;ChemData!U130, ChemData!U130, L130/((Data!$D$33+((1-Data!$D$33)*Data!$D$14*$H130))/((1-Data!$D$33)*Data!$D$14*1000)))))))))),"---")</f>
        <v>---</v>
      </c>
      <c r="Q130" s="376" t="str">
        <f>IF(Start!$C$16="x",IF(OR($F130 = "NA",F130=""), "NA", IF(P130= "NA", "NA",(P130+(Data!$D$30*$F130))/(Data!$D$30+1))),"---")</f>
        <v>---</v>
      </c>
      <c r="R130" s="376" t="str">
        <f>IF(Start!$C$16="x",IF(O130 = "NA","NA", IF(OR($I130 = "NA",I130=""), "NA",(IF(OR(ChemData!U130="NA",ChemData!U130=""),O130/((Data!$D$35+((1-Data!$D$35)*Data!$D$14*$I130))/((1-Data!$D$35)*Data!$D$14*1000)),(IF(O130/((Data!$D$35+((1-Data!$D$35)*Data!$D$14*$I130))/((1-Data!$D$35)*Data!$D$14*1000))&gt;ChemData!U130, ChemData!U130, O130/((Data!$D$35+((1-Data!$D$35)*Data!$D$14*$I130))/((1-Data!$D$35)*Data!$D$14*1000)))))))),"---")</f>
        <v>---</v>
      </c>
      <c r="S130" s="377" t="str">
        <f>IF(Start!$C$16="x",IF(OR($F130 = "NA",F130=""), "NA", IF(R130= "NA", "NA",(R130+(Data!$D$30*$F130))/(Data!$D$30+1))),"---")</f>
        <v>---</v>
      </c>
      <c r="T130" s="343" t="str">
        <f>IF(Start!$C$16="x",IF(AND(D130= "",E130=""),"",IF(Q130="NA","NA",IF(G130="NA","NA",IF(G130=0,"NA",(Q130/G130))))),"Not Req.")</f>
        <v>Not Req.</v>
      </c>
      <c r="U130" s="343" t="str">
        <f>IF(Start!$C$16="x",IF(AND(D130= "",E130=""),"",IF(S130="NA","NA",IF(G130="NA","NA",IF(G130=0,"NA",(S130/G130))))),"Not Req.")</f>
        <v>Not Req.</v>
      </c>
      <c r="V130" s="11"/>
    </row>
    <row r="131" spans="1:22" s="10" customFormat="1" x14ac:dyDescent="0.25">
      <c r="A131" s="307" t="s">
        <v>449</v>
      </c>
      <c r="B131" s="348" t="str">
        <f>IF(Start!$C$16="x",IF(OR(D131 ="NA",E131="NA"),"NA",IF(AND(D131= "",E131=""),"",IF(AND(D131= "",E131&lt;&gt; ""),"Missing Data",                     IF(AND(D131&lt;&gt; "",E131= ""),"Missing Data",(IF(OR(G131="NA",G131=""),"No Criteria",(IF(AND(Q131="NA",D131&lt;&gt;"NA",G131&lt;&gt;"NA"),                                               "Missing Data",(IF(Q131&lt;G131,"No","Needed")))))))))),"---")</f>
        <v>---</v>
      </c>
      <c r="C131" s="350" t="str">
        <f>IF(Start!$C$16="x",IF(OR(D131 ="NA",E131="NA"),"NA",IF(AND(D131= "",E131=""),"",IF(AND(D131= "",E131&lt;&gt; ""),"Missing Data",                     IF(AND(D131&lt;&gt; "",E131= ""),"Missing Data",(IF(OR(G131="NA",G131=""),"No Criteria",(IF(AND(S131="NA",D131&lt;&gt;"NA",G131&lt;&gt;"NA"),                                               "Missing Data",(IF(S131&lt;G131,"No","Needed")))))))))),"---")</f>
        <v>---</v>
      </c>
      <c r="D131" s="372" t="str">
        <f>IF(TRUE=ISBLANK(ChemData!B131),"",(ChemData!B131))</f>
        <v/>
      </c>
      <c r="E131" s="373" t="str">
        <f>IF(TRUE=ISBLANK(ChemData!C131),"",(ChemData!C131))</f>
        <v/>
      </c>
      <c r="F131" s="374" t="str">
        <f>IF(TRUE=ISBLANK(ChemData!D131),"",(ChemData!D131))</f>
        <v/>
      </c>
      <c r="G131" s="289" t="str">
        <f>IF(TRUE=ISBLANK(ChemData!I131),"",(ChemData!I131))</f>
        <v>NA</v>
      </c>
      <c r="H131" s="290">
        <f>IF(TRUE=ISBLANK(ChemData!Q131),"",(ChemData!Q131))</f>
        <v>0.46495017847242326</v>
      </c>
      <c r="I131" s="290">
        <f>IF(TRUE=ISBLANK(ChemData!R131),"",(ChemData!R131))</f>
        <v>0.46495017847242326</v>
      </c>
      <c r="J131" s="290">
        <f>IF(TRUE=ISBLANK(ChemData!S131),"",(ChemData!S131))</f>
        <v>1</v>
      </c>
      <c r="K131" s="291">
        <f>IF(TRUE=ISBLANK(ChemData!T131),"",(ChemData!T131))</f>
        <v>1</v>
      </c>
      <c r="L131" s="375" t="str">
        <f>IF(Start!$C$16="x",IF(OR(D131="NA",D131=""),"NA", IF(OR($J131 = "NA",J131=""),"NA",(D131*$J131))),"---")</f>
        <v>---</v>
      </c>
      <c r="M131" s="377" t="str">
        <f>IF(Start!$C$16="x",IF(OR(D131="NA",D131=""),"NA", IF(OR($K131 = "NA",K131=""),"NA",(D131*$K131))),"---")</f>
        <v>---</v>
      </c>
      <c r="N131" s="375" t="str">
        <f t="shared" si="5"/>
        <v>---</v>
      </c>
      <c r="O131" s="377" t="str">
        <f t="shared" si="5"/>
        <v>---</v>
      </c>
      <c r="P131" s="461" t="str">
        <f>IF(Start!$C$16="x",(IF(L131 = "NA","NA", (IF(OR($H131 = "NA",H131=""), "NA",(IF(OR(ChemData!U131="NA",ChemData!U131=""),L131/((Data!$D$33+((1-Data!$D$33)*Data!$D$14*$H131))/((1-Data!$D$33)*Data!$D$14*1000)),(IF(L131/((Data!$D$33+((1-Data!$D$33)*Data!$D$14*$H131))/((1-Data!$D$33)*Data!$D$14*1000))&gt;ChemData!U131, ChemData!U131, L131/((Data!$D$33+((1-Data!$D$33)*Data!$D$14*$H131))/((1-Data!$D$33)*Data!$D$14*1000)))))))))),"---")</f>
        <v>---</v>
      </c>
      <c r="Q131" s="376" t="str">
        <f>IF(Start!$C$16="x",IF(OR($F131 = "NA",F131=""), "NA", IF(P131= "NA", "NA",(P131+(Data!$D$30*$F131))/(Data!$D$30+1))),"---")</f>
        <v>---</v>
      </c>
      <c r="R131" s="376" t="str">
        <f>IF(Start!$C$16="x",IF(O131 = "NA","NA", IF(OR($I131 = "NA",I131=""), "NA",(IF(OR(ChemData!U131="NA",ChemData!U131=""),O131/((Data!$D$35+((1-Data!$D$35)*Data!$D$14*$I131))/((1-Data!$D$35)*Data!$D$14*1000)),(IF(O131/((Data!$D$35+((1-Data!$D$35)*Data!$D$14*$I131))/((1-Data!$D$35)*Data!$D$14*1000))&gt;ChemData!U131, ChemData!U131, O131/((Data!$D$35+((1-Data!$D$35)*Data!$D$14*$I131))/((1-Data!$D$35)*Data!$D$14*1000)))))))),"---")</f>
        <v>---</v>
      </c>
      <c r="S131" s="377" t="str">
        <f>IF(Start!$C$16="x",IF(OR($F131 = "NA",F131=""), "NA", IF(R131= "NA", "NA",(R131+(Data!$D$30*$F131))/(Data!$D$30+1))),"---")</f>
        <v>---</v>
      </c>
      <c r="T131" s="343" t="str">
        <f>IF(Start!$C$16="x",IF(AND(D131= "",E131=""),"",IF(Q131="NA","NA",IF(G131="NA","NA",IF(G131=0,"NA",(Q131/G131))))),"Not Req.")</f>
        <v>Not Req.</v>
      </c>
      <c r="U131" s="343" t="str">
        <f>IF(Start!$C$16="x",IF(AND(D131= "",E131=""),"",IF(S131="NA","NA",IF(G131="NA","NA",IF(G131=0,"NA",(S131/G131))))),"Not Req.")</f>
        <v>Not Req.</v>
      </c>
      <c r="V131" s="11"/>
    </row>
    <row r="132" spans="1:22" s="10" customFormat="1" x14ac:dyDescent="0.25">
      <c r="A132" s="307" t="s">
        <v>450</v>
      </c>
      <c r="B132" s="348" t="str">
        <f>IF(Start!$C$16="x",IF(OR(D132 ="NA",E132="NA"),"NA",IF(AND(D132= "",E132=""),"",IF(AND(D132= "",E132&lt;&gt; ""),"Missing Data",                     IF(AND(D132&lt;&gt; "",E132= ""),"Missing Data",(IF(OR(G132="NA",G132=""),"No Criteria",(IF(AND(Q132="NA",D132&lt;&gt;"NA",G132&lt;&gt;"NA"),                                               "Missing Data",(IF(Q132&lt;G132,"No","Needed")))))))))),"---")</f>
        <v>---</v>
      </c>
      <c r="C132" s="350" t="str">
        <f>IF(Start!$C$16="x",IF(OR(D132 ="NA",E132="NA"),"NA",IF(AND(D132= "",E132=""),"",IF(AND(D132= "",E132&lt;&gt; ""),"Missing Data",                     IF(AND(D132&lt;&gt; "",E132= ""),"Missing Data",(IF(OR(G132="NA",G132=""),"No Criteria",(IF(AND(S132="NA",D132&lt;&gt;"NA",G132&lt;&gt;"NA"),                                               "Missing Data",(IF(S132&lt;G132,"No","Needed")))))))))),"---")</f>
        <v>---</v>
      </c>
      <c r="D132" s="372" t="str">
        <f>IF(TRUE=ISBLANK(ChemData!B132),"",(ChemData!B132))</f>
        <v/>
      </c>
      <c r="E132" s="373" t="str">
        <f>IF(TRUE=ISBLANK(ChemData!C132),"",(ChemData!C132))</f>
        <v/>
      </c>
      <c r="F132" s="374" t="str">
        <f>IF(TRUE=ISBLANK(ChemData!D132),"",(ChemData!D132))</f>
        <v/>
      </c>
      <c r="G132" s="289" t="str">
        <f>IF(TRUE=ISBLANK(ChemData!I132),"",(ChemData!I132))</f>
        <v>NA</v>
      </c>
      <c r="H132" s="290">
        <f>IF(TRUE=ISBLANK(ChemData!Q132),"",(ChemData!Q132))</f>
        <v>2.12523235339073E-2</v>
      </c>
      <c r="I132" s="290">
        <f>IF(TRUE=ISBLANK(ChemData!R132),"",(ChemData!R132))</f>
        <v>2.12523235339073E-2</v>
      </c>
      <c r="J132" s="290">
        <f>IF(TRUE=ISBLANK(ChemData!S132),"",(ChemData!S132))</f>
        <v>1</v>
      </c>
      <c r="K132" s="291">
        <f>IF(TRUE=ISBLANK(ChemData!T132),"",(ChemData!T132))</f>
        <v>1</v>
      </c>
      <c r="L132" s="375" t="str">
        <f>IF(Start!$C$16="x",IF(OR(D132="NA",D132=""),"NA", IF(OR($J132 = "NA",J132=""),"NA",(D132*$J132))),"---")</f>
        <v>---</v>
      </c>
      <c r="M132" s="377" t="str">
        <f>IF(Start!$C$16="x",IF(OR(D132="NA",D132=""),"NA", IF(OR($K132 = "NA",K132=""),"NA",(D132*$K132))),"---")</f>
        <v>---</v>
      </c>
      <c r="N132" s="375" t="str">
        <f t="shared" si="5"/>
        <v>---</v>
      </c>
      <c r="O132" s="377" t="str">
        <f t="shared" si="5"/>
        <v>---</v>
      </c>
      <c r="P132" s="461" t="str">
        <f>IF(Start!$C$16="x",(IF(L132 = "NA","NA", (IF(OR($H132 = "NA",H132=""), "NA",(IF(OR(ChemData!U132="NA",ChemData!U132=""),L132/((Data!$D$33+((1-Data!$D$33)*Data!$D$14*$H132))/((1-Data!$D$33)*Data!$D$14*1000)),(IF(L132/((Data!$D$33+((1-Data!$D$33)*Data!$D$14*$H132))/((1-Data!$D$33)*Data!$D$14*1000))&gt;ChemData!U132, ChemData!U132, L132/((Data!$D$33+((1-Data!$D$33)*Data!$D$14*$H132))/((1-Data!$D$33)*Data!$D$14*1000)))))))))),"---")</f>
        <v>---</v>
      </c>
      <c r="Q132" s="376" t="str">
        <f>IF(Start!$C$16="x",IF(OR($F132 = "NA",F132=""), "NA", IF(P132= "NA", "NA",(P132+(Data!$D$30*$F132))/(Data!$D$30+1))),"---")</f>
        <v>---</v>
      </c>
      <c r="R132" s="376" t="str">
        <f>IF(Start!$C$16="x",IF(O132 = "NA","NA", IF(OR($I132 = "NA",I132=""), "NA",(IF(OR(ChemData!U132="NA",ChemData!U132=""),O132/((Data!$D$35+((1-Data!$D$35)*Data!$D$14*$I132))/((1-Data!$D$35)*Data!$D$14*1000)),(IF(O132/((Data!$D$35+((1-Data!$D$35)*Data!$D$14*$I132))/((1-Data!$D$35)*Data!$D$14*1000))&gt;ChemData!U132, ChemData!U132, O132/((Data!$D$35+((1-Data!$D$35)*Data!$D$14*$I132))/((1-Data!$D$35)*Data!$D$14*1000)))))))),"---")</f>
        <v>---</v>
      </c>
      <c r="S132" s="377" t="str">
        <f>IF(Start!$C$16="x",IF(OR($F132 = "NA",F132=""), "NA", IF(R132= "NA", "NA",(R132+(Data!$D$30*$F132))/(Data!$D$30+1))),"---")</f>
        <v>---</v>
      </c>
      <c r="T132" s="343" t="str">
        <f>IF(Start!$C$16="x",IF(AND(D132= "",E132=""),"",IF(Q132="NA","NA",IF(G132="NA","NA",IF(G132=0,"NA",(Q132/G132))))),"Not Req.")</f>
        <v>Not Req.</v>
      </c>
      <c r="U132" s="343" t="str">
        <f>IF(Start!$C$16="x",IF(AND(D132= "",E132=""),"",IF(S132="NA","NA",IF(G132="NA","NA",IF(G132=0,"NA",(S132/G132))))),"Not Req.")</f>
        <v>Not Req.</v>
      </c>
      <c r="V132" s="11"/>
    </row>
    <row r="133" spans="1:22" s="10" customFormat="1" x14ac:dyDescent="0.25">
      <c r="A133" s="307" t="s">
        <v>451</v>
      </c>
      <c r="B133" s="348" t="str">
        <f>IF(Start!$C$16="x",IF(OR(D133 ="NA",E133="NA"),"NA",IF(AND(D133= "",E133=""),"",IF(AND(D133= "",E133&lt;&gt; ""),"Missing Data",                     IF(AND(D133&lt;&gt; "",E133= ""),"Missing Data",(IF(OR(G133="NA",G133=""),"No Criteria",(IF(AND(Q133="NA",D133&lt;&gt;"NA",G133&lt;&gt;"NA"),                                               "Missing Data",(IF(Q133&lt;G133,"No","Needed")))))))))),"---")</f>
        <v>---</v>
      </c>
      <c r="C133" s="350" t="str">
        <f>IF(Start!$C$16="x",IF(OR(D133 ="NA",E133="NA"),"NA",IF(AND(D133= "",E133=""),"",IF(AND(D133= "",E133&lt;&gt; ""),"Missing Data",                     IF(AND(D133&lt;&gt; "",E133= ""),"Missing Data",(IF(OR(G133="NA",G133=""),"No Criteria",(IF(AND(S133="NA",D133&lt;&gt;"NA",G133&lt;&gt;"NA"),                                               "Missing Data",(IF(S133&lt;G133,"No","Needed")))))))))),"---")</f>
        <v>---</v>
      </c>
      <c r="D133" s="372" t="str">
        <f>IF(TRUE=ISBLANK(ChemData!B133),"",(ChemData!B133))</f>
        <v/>
      </c>
      <c r="E133" s="373" t="str">
        <f>IF(TRUE=ISBLANK(ChemData!C133),"",(ChemData!C133))</f>
        <v/>
      </c>
      <c r="F133" s="374" t="str">
        <f>IF(TRUE=ISBLANK(ChemData!D133),"",(ChemData!D133))</f>
        <v/>
      </c>
      <c r="G133" s="289">
        <f>IF(TRUE=ISBLANK(ChemData!I133),"",(ChemData!I133))</f>
        <v>210</v>
      </c>
      <c r="H133" s="290">
        <f>IF(TRUE=ISBLANK(ChemData!Q133),"",(ChemData!Q133))</f>
        <v>24.969302956771518</v>
      </c>
      <c r="I133" s="290">
        <f>IF(TRUE=ISBLANK(ChemData!R133),"",(ChemData!R133))</f>
        <v>24.969302956771518</v>
      </c>
      <c r="J133" s="290">
        <f>IF(TRUE=ISBLANK(ChemData!S133),"",(ChemData!S133))</f>
        <v>1</v>
      </c>
      <c r="K133" s="291">
        <f>IF(TRUE=ISBLANK(ChemData!T133),"",(ChemData!T133))</f>
        <v>1</v>
      </c>
      <c r="L133" s="375" t="str">
        <f>IF(Start!$C$16="x",IF(OR(D133="NA",D133=""),"NA", IF(OR($J133 = "NA",J133=""),"NA",(D133*$J133))),"---")</f>
        <v>---</v>
      </c>
      <c r="M133" s="377" t="str">
        <f>IF(Start!$C$16="x",IF(OR(D133="NA",D133=""),"NA", IF(OR($K133 = "NA",K133=""),"NA",(D133*$K133))),"---")</f>
        <v>---</v>
      </c>
      <c r="N133" s="375" t="str">
        <f t="shared" si="5"/>
        <v>---</v>
      </c>
      <c r="O133" s="377" t="str">
        <f t="shared" si="5"/>
        <v>---</v>
      </c>
      <c r="P133" s="461" t="str">
        <f>IF(Start!$C$16="x",(IF(L133 = "NA","NA", (IF(OR($H133 = "NA",H133=""), "NA",(IF(OR(ChemData!U133="NA",ChemData!U133=""),L133/((Data!$D$33+((1-Data!$D$33)*Data!$D$14*$H133))/((1-Data!$D$33)*Data!$D$14*1000)),(IF(L133/((Data!$D$33+((1-Data!$D$33)*Data!$D$14*$H133))/((1-Data!$D$33)*Data!$D$14*1000))&gt;ChemData!U133, ChemData!U133, L133/((Data!$D$33+((1-Data!$D$33)*Data!$D$14*$H133))/((1-Data!$D$33)*Data!$D$14*1000)))))))))),"---")</f>
        <v>---</v>
      </c>
      <c r="Q133" s="376" t="str">
        <f>IF(Start!$C$16="x",IF(OR($F133 = "NA",F133=""), "NA", IF(P133= "NA", "NA",(P133+(Data!$D$30*$F133))/(Data!$D$30+1))),"---")</f>
        <v>---</v>
      </c>
      <c r="R133" s="376" t="str">
        <f>IF(Start!$C$16="x",IF(O133 = "NA","NA", IF(OR($I133 = "NA",I133=""), "NA",(IF(OR(ChemData!U133="NA",ChemData!U133=""),O133/((Data!$D$35+((1-Data!$D$35)*Data!$D$14*$I133))/((1-Data!$D$35)*Data!$D$14*1000)),(IF(O133/((Data!$D$35+((1-Data!$D$35)*Data!$D$14*$I133))/((1-Data!$D$35)*Data!$D$14*1000))&gt;ChemData!U133, ChemData!U133, O133/((Data!$D$35+((1-Data!$D$35)*Data!$D$14*$I133))/((1-Data!$D$35)*Data!$D$14*1000)))))))),"---")</f>
        <v>---</v>
      </c>
      <c r="S133" s="377" t="str">
        <f>IF(Start!$C$16="x",IF(OR($F133 = "NA",F133=""), "NA", IF(R133= "NA", "NA",(R133+(Data!$D$30*$F133))/(Data!$D$30+1))),"---")</f>
        <v>---</v>
      </c>
      <c r="T133" s="343" t="str">
        <f>IF(Start!$C$16="x",IF(AND(D133= "",E133=""),"",IF(Q133="NA","NA",IF(G133="NA","NA",IF(G133=0,"NA",(Q133/G133))))),"Not Req.")</f>
        <v>Not Req.</v>
      </c>
      <c r="U133" s="343" t="str">
        <f>IF(Start!$C$16="x",IF(AND(D133= "",E133=""),"",IF(S133="NA","NA",IF(G133="NA","NA",IF(G133=0,"NA",(S133/G133))))),"Not Req.")</f>
        <v>Not Req.</v>
      </c>
      <c r="V133" s="11"/>
    </row>
    <row r="134" spans="1:22" s="10" customFormat="1" x14ac:dyDescent="0.25">
      <c r="A134" s="307" t="s">
        <v>452</v>
      </c>
      <c r="B134" s="348" t="str">
        <f>IF(Start!$C$16="x",IF(OR(D134 ="NA",E134="NA"),"NA",IF(AND(D134= "",E134=""),"",IF(AND(D134= "",E134&lt;&gt; ""),"Missing Data",                     IF(AND(D134&lt;&gt; "",E134= ""),"Missing Data",(IF(OR(G134="NA",G134=""),"No Criteria",(IF(AND(Q134="NA",D134&lt;&gt;"NA",G134&lt;&gt;"NA"),                                               "Missing Data",(IF(Q134&lt;G134,"No","Needed")))))))))),"---")</f>
        <v>---</v>
      </c>
      <c r="C134" s="350" t="str">
        <f>IF(Start!$C$16="x",IF(OR(D134 ="NA",E134="NA"),"NA",IF(AND(D134= "",E134=""),"",IF(AND(D134= "",E134&lt;&gt; ""),"Missing Data",                     IF(AND(D134&lt;&gt; "",E134= ""),"Missing Data",(IF(OR(G134="NA",G134=""),"No Criteria",(IF(AND(S134="NA",D134&lt;&gt;"NA",G134&lt;&gt;"NA"),                                               "Missing Data",(IF(S134&lt;G134,"No","Needed")))))))))),"---")</f>
        <v>---</v>
      </c>
      <c r="D134" s="372" t="str">
        <f>IF(TRUE=ISBLANK(ChemData!B134),"",(ChemData!B134))</f>
        <v/>
      </c>
      <c r="E134" s="373" t="str">
        <f>IF(TRUE=ISBLANK(ChemData!C134),"",(ChemData!C134))</f>
        <v/>
      </c>
      <c r="F134" s="374" t="str">
        <f>IF(TRUE=ISBLANK(ChemData!D134),"",(ChemData!D134))</f>
        <v/>
      </c>
      <c r="G134" s="289" t="str">
        <f>IF(TRUE=ISBLANK(ChemData!I134),"",(ChemData!I134))</f>
        <v>NA</v>
      </c>
      <c r="H134" s="290">
        <f>IF(TRUE=ISBLANK(ChemData!Q134),"",(ChemData!Q134))</f>
        <v>1.3104076468950407</v>
      </c>
      <c r="I134" s="290">
        <f>IF(TRUE=ISBLANK(ChemData!R134),"",(ChemData!R134))</f>
        <v>1.3104076468950407</v>
      </c>
      <c r="J134" s="290">
        <f>IF(TRUE=ISBLANK(ChemData!S134),"",(ChemData!S134))</f>
        <v>1</v>
      </c>
      <c r="K134" s="291">
        <f>IF(TRUE=ISBLANK(ChemData!T134),"",(ChemData!T134))</f>
        <v>1</v>
      </c>
      <c r="L134" s="375" t="str">
        <f>IF(Start!$C$16="x",IF(OR(D134="NA",D134=""),"NA", IF(OR($J134 = "NA",J134=""),"NA",(D134*$J134))),"---")</f>
        <v>---</v>
      </c>
      <c r="M134" s="377" t="str">
        <f>IF(Start!$C$16="x",IF(OR(D134="NA",D134=""),"NA", IF(OR($K134 = "NA",K134=""),"NA",(D134*$K134))),"---")</f>
        <v>---</v>
      </c>
      <c r="N134" s="375" t="str">
        <f t="shared" si="5"/>
        <v>---</v>
      </c>
      <c r="O134" s="377" t="str">
        <f t="shared" si="5"/>
        <v>---</v>
      </c>
      <c r="P134" s="461" t="str">
        <f>IF(Start!$C$16="x",(IF(L134 = "NA","NA", (IF(OR($H134 = "NA",H134=""), "NA",(IF(OR(ChemData!U134="NA",ChemData!U134=""),L134/((Data!$D$33+((1-Data!$D$33)*Data!$D$14*$H134))/((1-Data!$D$33)*Data!$D$14*1000)),(IF(L134/((Data!$D$33+((1-Data!$D$33)*Data!$D$14*$H134))/((1-Data!$D$33)*Data!$D$14*1000))&gt;ChemData!U134, ChemData!U134, L134/((Data!$D$33+((1-Data!$D$33)*Data!$D$14*$H134))/((1-Data!$D$33)*Data!$D$14*1000)))))))))),"---")</f>
        <v>---</v>
      </c>
      <c r="Q134" s="376" t="str">
        <f>IF(Start!$C$16="x",IF(OR($F134 = "NA",F134=""), "NA", IF(P134= "NA", "NA",(P134+(Data!$D$30*$F134))/(Data!$D$30+1))),"---")</f>
        <v>---</v>
      </c>
      <c r="R134" s="376" t="str">
        <f>IF(Start!$C$16="x",IF(O134 = "NA","NA", IF(OR($I134 = "NA",I134=""), "NA",(IF(OR(ChemData!U134="NA",ChemData!U134=""),O134/((Data!$D$35+((1-Data!$D$35)*Data!$D$14*$I134))/((1-Data!$D$35)*Data!$D$14*1000)),(IF(O134/((Data!$D$35+((1-Data!$D$35)*Data!$D$14*$I134))/((1-Data!$D$35)*Data!$D$14*1000))&gt;ChemData!U134, ChemData!U134, O134/((Data!$D$35+((1-Data!$D$35)*Data!$D$14*$I134))/((1-Data!$D$35)*Data!$D$14*1000)))))))),"---")</f>
        <v>---</v>
      </c>
      <c r="S134" s="377" t="str">
        <f>IF(Start!$C$16="x",IF(OR($F134 = "NA",F134=""), "NA", IF(R134= "NA", "NA",(R134+(Data!$D$30*$F134))/(Data!$D$30+1))),"---")</f>
        <v>---</v>
      </c>
      <c r="T134" s="343" t="str">
        <f>IF(Start!$C$16="x",IF(AND(D134= "",E134=""),"",IF(Q134="NA","NA",IF(G134="NA","NA",IF(G134=0,"NA",(Q134/G134))))),"Not Req.")</f>
        <v>Not Req.</v>
      </c>
      <c r="U134" s="343" t="str">
        <f>IF(Start!$C$16="x",IF(AND(D134= "",E134=""),"",IF(S134="NA","NA",IF(G134="NA","NA",IF(G134=0,"NA",(S134/G134))))),"Not Req.")</f>
        <v>Not Req.</v>
      </c>
      <c r="V134" s="11"/>
    </row>
    <row r="135" spans="1:22" s="10" customFormat="1" x14ac:dyDescent="0.25">
      <c r="A135" s="307" t="s">
        <v>453</v>
      </c>
      <c r="B135" s="348" t="str">
        <f>IF(Start!$C$16="x",IF(OR(D135 ="NA",E135="NA"),"NA",IF(AND(D135= "",E135=""),"",IF(AND(D135= "",E135&lt;&gt; ""),"Missing Data",                     IF(AND(D135&lt;&gt; "",E135= ""),"Missing Data",(IF(OR(G135="NA",G135=""),"No Criteria",(IF(AND(Q135="NA",D135&lt;&gt;"NA",G135&lt;&gt;"NA"),                                               "Missing Data",(IF(Q135&lt;G135,"No","Needed")))))))))),"---")</f>
        <v>---</v>
      </c>
      <c r="C135" s="350" t="str">
        <f>IF(Start!$C$16="x",IF(OR(D135 ="NA",E135="NA"),"NA",IF(AND(D135= "",E135=""),"",IF(AND(D135= "",E135&lt;&gt; ""),"Missing Data",                     IF(AND(D135&lt;&gt; "",E135= ""),"Missing Data",(IF(OR(G135="NA",G135=""),"No Criteria",(IF(AND(S135="NA",D135&lt;&gt;"NA",G135&lt;&gt;"NA"),                                               "Missing Data",(IF(S135&lt;G135,"No","Needed")))))))))),"---")</f>
        <v>---</v>
      </c>
      <c r="D135" s="372" t="str">
        <f>IF(TRUE=ISBLANK(ChemData!B135),"",(ChemData!B135))</f>
        <v/>
      </c>
      <c r="E135" s="373" t="str">
        <f>IF(TRUE=ISBLANK(ChemData!C135),"",(ChemData!C135))</f>
        <v/>
      </c>
      <c r="F135" s="374" t="str">
        <f>IF(TRUE=ISBLANK(ChemData!D135),"",(ChemData!D135))</f>
        <v/>
      </c>
      <c r="G135" s="289">
        <f>IF(TRUE=ISBLANK(ChemData!I135),"",(ChemData!I135))</f>
        <v>0.47</v>
      </c>
      <c r="H135" s="290">
        <f>IF(TRUE=ISBLANK(ChemData!Q135),"",(ChemData!Q135))</f>
        <v>9384.398010164783</v>
      </c>
      <c r="I135" s="290">
        <f>IF(TRUE=ISBLANK(ChemData!R135),"",(ChemData!R135))</f>
        <v>9384.398010164783</v>
      </c>
      <c r="J135" s="290">
        <f>IF(TRUE=ISBLANK(ChemData!S135),"",(ChemData!S135))</f>
        <v>1</v>
      </c>
      <c r="K135" s="291">
        <f>IF(TRUE=ISBLANK(ChemData!T135),"",(ChemData!T135))</f>
        <v>1</v>
      </c>
      <c r="L135" s="375" t="str">
        <f>IF(Start!$C$16="x",IF(OR(D135="NA",D135=""),"NA", IF(OR($J135 = "NA",J135=""),"NA",(D135*$J135))),"---")</f>
        <v>---</v>
      </c>
      <c r="M135" s="377" t="str">
        <f>IF(Start!$C$16="x",IF(OR(D135="NA",D135=""),"NA", IF(OR($K135 = "NA",K135=""),"NA",(D135*$K135))),"---")</f>
        <v>---</v>
      </c>
      <c r="N135" s="375" t="str">
        <f t="shared" si="5"/>
        <v>---</v>
      </c>
      <c r="O135" s="377" t="str">
        <f t="shared" si="5"/>
        <v>---</v>
      </c>
      <c r="P135" s="461" t="str">
        <f>IF(Start!$C$16="x",(IF(L135 = "NA","NA", (IF(OR($H135 = "NA",H135=""), "NA",(IF(OR(ChemData!U135="NA",ChemData!U135=""),L135/((Data!$D$33+((1-Data!$D$33)*Data!$D$14*$H135))/((1-Data!$D$33)*Data!$D$14*1000)),(IF(L135/((Data!$D$33+((1-Data!$D$33)*Data!$D$14*$H135))/((1-Data!$D$33)*Data!$D$14*1000))&gt;ChemData!U135, ChemData!U135, L135/((Data!$D$33+((1-Data!$D$33)*Data!$D$14*$H135))/((1-Data!$D$33)*Data!$D$14*1000)))))))))),"---")</f>
        <v>---</v>
      </c>
      <c r="Q135" s="376" t="str">
        <f>IF(Start!$C$16="x",IF(OR($F135 = "NA",F135=""), "NA", IF(P135= "NA", "NA",(P135+(Data!$D$30*$F135))/(Data!$D$30+1))),"---")</f>
        <v>---</v>
      </c>
      <c r="R135" s="376" t="str">
        <f>IF(Start!$C$16="x",IF(O135 = "NA","NA", IF(OR($I135 = "NA",I135=""), "NA",(IF(OR(ChemData!U135="NA",ChemData!U135=""),O135/((Data!$D$35+((1-Data!$D$35)*Data!$D$14*$I135))/((1-Data!$D$35)*Data!$D$14*1000)),(IF(O135/((Data!$D$35+((1-Data!$D$35)*Data!$D$14*$I135))/((1-Data!$D$35)*Data!$D$14*1000))&gt;ChemData!U135, ChemData!U135, O135/((Data!$D$35+((1-Data!$D$35)*Data!$D$14*$I135))/((1-Data!$D$35)*Data!$D$14*1000)))))))),"---")</f>
        <v>---</v>
      </c>
      <c r="S135" s="377" t="str">
        <f>IF(Start!$C$16="x",IF(OR($F135 = "NA",F135=""), "NA", IF(R135= "NA", "NA",(R135+(Data!$D$30*$F135))/(Data!$D$30+1))),"---")</f>
        <v>---</v>
      </c>
      <c r="T135" s="343" t="str">
        <f>IF(Start!$C$16="x",IF(AND(D135= "",E135=""),"",IF(Q135="NA","NA",IF(G135="NA","NA",IF(G135=0,"NA",(Q135/G135))))),"Not Req.")</f>
        <v>Not Req.</v>
      </c>
      <c r="U135" s="343" t="str">
        <f>IF(Start!$C$16="x",IF(AND(D135= "",E135=""),"",IF(S135="NA","NA",IF(G135="NA","NA",IF(G135=0,"NA",(S135/G135))))),"Not Req.")</f>
        <v>Not Req.</v>
      </c>
      <c r="V135" s="11"/>
    </row>
    <row r="136" spans="1:22" s="10" customFormat="1" x14ac:dyDescent="0.25">
      <c r="A136" s="307" t="s">
        <v>454</v>
      </c>
      <c r="B136" s="348" t="str">
        <f>IF(Start!$C$16="x",IF(OR(D136 ="NA",E136="NA"),"NA",IF(AND(D136= "",E136=""),"",IF(AND(D136= "",E136&lt;&gt; ""),"Missing Data",                     IF(AND(D136&lt;&gt; "",E136= ""),"Missing Data",(IF(OR(G136="NA",G136=""),"No Criteria",(IF(AND(Q136="NA",D136&lt;&gt;"NA",G136&lt;&gt;"NA"),                                               "Missing Data",(IF(Q136&lt;G136,"No","Needed")))))))))),"---")</f>
        <v>---</v>
      </c>
      <c r="C136" s="350" t="str">
        <f>IF(Start!$C$16="x",IF(OR(D136 ="NA",E136="NA"),"NA",IF(AND(D136= "",E136=""),"",IF(AND(D136= "",E136&lt;&gt; ""),"Missing Data",                     IF(AND(D136&lt;&gt; "",E136= ""),"Missing Data",(IF(OR(G136="NA",G136=""),"No Criteria",(IF(AND(S136="NA",D136&lt;&gt;"NA",G136&lt;&gt;"NA"),                                               "Missing Data",(IF(S136&lt;G136,"No","Needed")))))))))),"---")</f>
        <v>---</v>
      </c>
      <c r="D136" s="372" t="str">
        <f>IF(TRUE=ISBLANK(ChemData!B136),"",(ChemData!B136))</f>
        <v/>
      </c>
      <c r="E136" s="373" t="str">
        <f>IF(TRUE=ISBLANK(ChemData!C136),"",(ChemData!C136))</f>
        <v/>
      </c>
      <c r="F136" s="374" t="str">
        <f>IF(TRUE=ISBLANK(ChemData!D136),"",(ChemData!D136))</f>
        <v/>
      </c>
      <c r="G136" s="289">
        <f>IF(TRUE=ISBLANK(ChemData!I136),"",(ChemData!I136))</f>
        <v>15</v>
      </c>
      <c r="H136" s="290">
        <f>IF(TRUE=ISBLANK(ChemData!Q136),"",(ChemData!Q136))</f>
        <v>2174.7353741930724</v>
      </c>
      <c r="I136" s="290">
        <f>IF(TRUE=ISBLANK(ChemData!R136),"",(ChemData!R136))</f>
        <v>2174.7353741930724</v>
      </c>
      <c r="J136" s="290">
        <f>IF(TRUE=ISBLANK(ChemData!S136),"",(ChemData!S136))</f>
        <v>1</v>
      </c>
      <c r="K136" s="291">
        <f>IF(TRUE=ISBLANK(ChemData!T136),"",(ChemData!T136))</f>
        <v>1</v>
      </c>
      <c r="L136" s="375" t="str">
        <f>IF(Start!$C$16="x",IF(OR(D136="NA",D136=""),"NA", IF(OR($J136 = "NA",J136=""),"NA",(D136*$J136))),"---")</f>
        <v>---</v>
      </c>
      <c r="M136" s="377" t="str">
        <f>IF(Start!$C$16="x",IF(OR(D136="NA",D136=""),"NA", IF(OR($K136 = "NA",K136=""),"NA",(D136*$K136))),"---")</f>
        <v>---</v>
      </c>
      <c r="N136" s="375" t="str">
        <f t="shared" si="5"/>
        <v>---</v>
      </c>
      <c r="O136" s="377" t="str">
        <f t="shared" si="5"/>
        <v>---</v>
      </c>
      <c r="P136" s="461" t="str">
        <f>IF(Start!$C$16="x",(IF(L136 = "NA","NA", (IF(OR($H136 = "NA",H136=""), "NA",(IF(OR(ChemData!U136="NA",ChemData!U136=""),L136/((Data!$D$33+((1-Data!$D$33)*Data!$D$14*$H136))/((1-Data!$D$33)*Data!$D$14*1000)),(IF(L136/((Data!$D$33+((1-Data!$D$33)*Data!$D$14*$H136))/((1-Data!$D$33)*Data!$D$14*1000))&gt;ChemData!U136, ChemData!U136, L136/((Data!$D$33+((1-Data!$D$33)*Data!$D$14*$H136))/((1-Data!$D$33)*Data!$D$14*1000)))))))))),"---")</f>
        <v>---</v>
      </c>
      <c r="Q136" s="376" t="str">
        <f>IF(Start!$C$16="x",IF(OR($F136 = "NA",F136=""), "NA", IF(P136= "NA", "NA",(P136+(Data!$D$30*$F136))/(Data!$D$30+1))),"---")</f>
        <v>---</v>
      </c>
      <c r="R136" s="376" t="str">
        <f>IF(Start!$C$16="x",IF(O136 = "NA","NA", IF(OR($I136 = "NA",I136=""), "NA",(IF(OR(ChemData!U136="NA",ChemData!U136=""),O136/((Data!$D$35+((1-Data!$D$35)*Data!$D$14*$I136))/((1-Data!$D$35)*Data!$D$14*1000)),(IF(O136/((Data!$D$35+((1-Data!$D$35)*Data!$D$14*$I136))/((1-Data!$D$35)*Data!$D$14*1000))&gt;ChemData!U136, ChemData!U136, O136/((Data!$D$35+((1-Data!$D$35)*Data!$D$14*$I136))/((1-Data!$D$35)*Data!$D$14*1000)))))))),"---")</f>
        <v>---</v>
      </c>
      <c r="S136" s="377" t="str">
        <f>IF(Start!$C$16="x",IF(OR($F136 = "NA",F136=""), "NA", IF(R136= "NA", "NA",(R136+(Data!$D$30*$F136))/(Data!$D$30+1))),"---")</f>
        <v>---</v>
      </c>
      <c r="T136" s="343" t="str">
        <f>IF(Start!$C$16="x",IF(AND(D136= "",E136=""),"",IF(Q136="NA","NA",IF(G136="NA","NA",IF(G136=0,"NA",(Q136/G136))))),"Not Req.")</f>
        <v>Not Req.</v>
      </c>
      <c r="U136" s="343" t="str">
        <f>IF(Start!$C$16="x",IF(AND(D136= "",E136=""),"",IF(S136="NA","NA",IF(G136="NA","NA",IF(G136=0,"NA",(S136/G136))))),"Not Req.")</f>
        <v>Not Req.</v>
      </c>
      <c r="V136" s="11"/>
    </row>
    <row r="137" spans="1:22" s="10" customFormat="1" x14ac:dyDescent="0.25">
      <c r="A137" s="307" t="s">
        <v>455</v>
      </c>
      <c r="B137" s="348" t="str">
        <f>IF(Start!$C$16="x",IF(OR(D137 ="NA",E137="NA"),"NA",IF(AND(D137= "",E137=""),"",IF(AND(D137= "",E137&lt;&gt; ""),"Missing Data",                     IF(AND(D137&lt;&gt; "",E137= ""),"Missing Data",(IF(OR(G137="NA",G137=""),"No Criteria",(IF(AND(Q137="NA",D137&lt;&gt;"NA",G137&lt;&gt;"NA"),                                               "Missing Data",(IF(Q137&lt;G137,"No","Needed")))))))))),"---")</f>
        <v>---</v>
      </c>
      <c r="C137" s="350" t="str">
        <f>IF(Start!$C$16="x",IF(OR(D137 ="NA",E137="NA"),"NA",IF(AND(D137= "",E137=""),"",IF(AND(D137= "",E137&lt;&gt; ""),"Missing Data",                     IF(AND(D137&lt;&gt; "",E137= ""),"Missing Data",(IF(OR(G137="NA",G137=""),"No Criteria",(IF(AND(S137="NA",D137&lt;&gt;"NA",G137&lt;&gt;"NA"),                                               "Missing Data",(IF(S137&lt;G137,"No","Needed")))))))))),"---")</f>
        <v>---</v>
      </c>
      <c r="D137" s="372" t="str">
        <f>IF(TRUE=ISBLANK(ChemData!B137),"",(ChemData!B137))</f>
        <v/>
      </c>
      <c r="E137" s="373" t="str">
        <f>IF(TRUE=ISBLANK(ChemData!C137),"",(ChemData!C137))</f>
        <v/>
      </c>
      <c r="F137" s="374" t="str">
        <f>IF(TRUE=ISBLANK(ChemData!D137),"",(ChemData!D137))</f>
        <v/>
      </c>
      <c r="G137" s="289">
        <f>IF(TRUE=ISBLANK(ChemData!I137),"",(ChemData!I137))</f>
        <v>110</v>
      </c>
      <c r="H137" s="290">
        <f>IF(TRUE=ISBLANK(ChemData!Q137),"",(ChemData!Q137))</f>
        <v>0.53383423122873486</v>
      </c>
      <c r="I137" s="290">
        <f>IF(TRUE=ISBLANK(ChemData!R137),"",(ChemData!R137))</f>
        <v>0.53383423122873486</v>
      </c>
      <c r="J137" s="290">
        <f>IF(TRUE=ISBLANK(ChemData!S137),"",(ChemData!S137))</f>
        <v>1</v>
      </c>
      <c r="K137" s="291">
        <f>IF(TRUE=ISBLANK(ChemData!T137),"",(ChemData!T137))</f>
        <v>1</v>
      </c>
      <c r="L137" s="375" t="str">
        <f>IF(Start!$C$16="x",IF(OR(D137="NA",D137=""),"NA", IF(OR($J137 = "NA",J137=""),"NA",(D137*$J137))),"---")</f>
        <v>---</v>
      </c>
      <c r="M137" s="377" t="str">
        <f>IF(Start!$C$16="x",IF(OR(D137="NA",D137=""),"NA", IF(OR($K137 = "NA",K137=""),"NA",(D137*$K137))),"---")</f>
        <v>---</v>
      </c>
      <c r="N137" s="375" t="str">
        <f t="shared" si="5"/>
        <v>---</v>
      </c>
      <c r="O137" s="377" t="str">
        <f t="shared" si="5"/>
        <v>---</v>
      </c>
      <c r="P137" s="461" t="str">
        <f>IF(Start!$C$16="x",(IF(L137 = "NA","NA", (IF(OR($H137 = "NA",H137=""), "NA",(IF(OR(ChemData!U137="NA",ChemData!U137=""),L137/((Data!$D$33+((1-Data!$D$33)*Data!$D$14*$H137))/((1-Data!$D$33)*Data!$D$14*1000)),(IF(L137/((Data!$D$33+((1-Data!$D$33)*Data!$D$14*$H137))/((1-Data!$D$33)*Data!$D$14*1000))&gt;ChemData!U137, ChemData!U137, L137/((Data!$D$33+((1-Data!$D$33)*Data!$D$14*$H137))/((1-Data!$D$33)*Data!$D$14*1000)))))))))),"---")</f>
        <v>---</v>
      </c>
      <c r="Q137" s="376" t="str">
        <f>IF(Start!$C$16="x",IF(OR($F137 = "NA",F137=""), "NA", IF(P137= "NA", "NA",(P137+(Data!$D$30*$F137))/(Data!$D$30+1))),"---")</f>
        <v>---</v>
      </c>
      <c r="R137" s="376" t="str">
        <f>IF(Start!$C$16="x",IF(O137 = "NA","NA", IF(OR($I137 = "NA",I137=""), "NA",(IF(OR(ChemData!U137="NA",ChemData!U137=""),O137/((Data!$D$35+((1-Data!$D$35)*Data!$D$14*$I137))/((1-Data!$D$35)*Data!$D$14*1000)),(IF(O137/((Data!$D$35+((1-Data!$D$35)*Data!$D$14*$I137))/((1-Data!$D$35)*Data!$D$14*1000))&gt;ChemData!U137, ChemData!U137, O137/((Data!$D$35+((1-Data!$D$35)*Data!$D$14*$I137))/((1-Data!$D$35)*Data!$D$14*1000)))))))),"---")</f>
        <v>---</v>
      </c>
      <c r="S137" s="377" t="str">
        <f>IF(Start!$C$16="x",IF(OR($F137 = "NA",F137=""), "NA", IF(R137= "NA", "NA",(R137+(Data!$D$30*$F137))/(Data!$D$30+1))),"---")</f>
        <v>---</v>
      </c>
      <c r="T137" s="343" t="str">
        <f>IF(Start!$C$16="x",IF(AND(D137= "",E137=""),"",IF(Q137="NA","NA",IF(G137="NA","NA",IF(G137=0,"NA",(Q137/G137))))),"Not Req.")</f>
        <v>Not Req.</v>
      </c>
      <c r="U137" s="343" t="str">
        <f>IF(Start!$C$16="x",IF(AND(D137= "",E137=""),"",IF(S137="NA","NA",IF(G137="NA","NA",IF(G137=0,"NA",(S137/G137))))),"Not Req.")</f>
        <v>Not Req.</v>
      </c>
      <c r="V137" s="11"/>
    </row>
    <row r="138" spans="1:22" s="10" customFormat="1" x14ac:dyDescent="0.25">
      <c r="A138" s="306" t="s">
        <v>456</v>
      </c>
      <c r="B138" s="348" t="str">
        <f>IF(Start!$C$16="x",IF(OR(D138 ="NA",E138="NA"),"NA",IF(AND(D138= "",E138=""),"",IF(AND(D138= "",E138&lt;&gt; ""),"Missing Data",                     IF(AND(D138&lt;&gt; "",E138= ""),"Missing Data",(IF(OR(G138="NA",G138=""),"No Criteria",(IF(AND(Q138="NA",D138&lt;&gt;"NA",G138&lt;&gt;"NA"),                                               "Missing Data",(IF(Q138&lt;G138,"No","Needed")))))))))),"---")</f>
        <v>---</v>
      </c>
      <c r="C138" s="350" t="str">
        <f>IF(Start!$C$16="x",IF(OR(D138 ="NA",E138="NA"),"NA",IF(AND(D138= "",E138=""),"",IF(AND(D138= "",E138&lt;&gt; ""),"Missing Data",                     IF(AND(D138&lt;&gt; "",E138= ""),"Missing Data",(IF(OR(G138="NA",G138=""),"No Criteria",(IF(AND(S138="NA",D138&lt;&gt;"NA",G138&lt;&gt;"NA"),                                               "Missing Data",(IF(S138&lt;G138,"No","Needed")))))))))),"---")</f>
        <v>---</v>
      </c>
      <c r="D138" s="372" t="str">
        <f>IF(TRUE=ISBLANK(ChemData!B138),"",(ChemData!B138))</f>
        <v/>
      </c>
      <c r="E138" s="373" t="str">
        <f>IF(TRUE=ISBLANK(ChemData!C138),"",(ChemData!C138))</f>
        <v/>
      </c>
      <c r="F138" s="374" t="str">
        <f>IF(TRUE=ISBLANK(ChemData!D138),"",(ChemData!D138))</f>
        <v/>
      </c>
      <c r="G138" s="289">
        <f>IF(TRUE=ISBLANK(ChemData!I138),"",(ChemData!I138))</f>
        <v>110</v>
      </c>
      <c r="H138" s="290">
        <f>IF(TRUE=ISBLANK(ChemData!Q138),"",(ChemData!Q138))</f>
        <v>189.41153287116774</v>
      </c>
      <c r="I138" s="290">
        <f>IF(TRUE=ISBLANK(ChemData!R138),"",(ChemData!R138))</f>
        <v>189.41153287116774</v>
      </c>
      <c r="J138" s="290">
        <f>IF(TRUE=ISBLANK(ChemData!S138),"",(ChemData!S138))</f>
        <v>1</v>
      </c>
      <c r="K138" s="291">
        <f>IF(TRUE=ISBLANK(ChemData!T138),"",(ChemData!T138))</f>
        <v>1</v>
      </c>
      <c r="L138" s="375" t="str">
        <f>IF(Start!$C$16="x",IF(OR(D138="NA",D138=""),"NA", IF(OR($J138 = "NA",J138=""),"NA",(D138*$J138))),"---")</f>
        <v>---</v>
      </c>
      <c r="M138" s="377" t="str">
        <f>IF(Start!$C$16="x",IF(OR(D138="NA",D138=""),"NA", IF(OR($K138 = "NA",K138=""),"NA",(D138*$K138))),"---")</f>
        <v>---</v>
      </c>
      <c r="N138" s="375" t="str">
        <f t="shared" si="5"/>
        <v>---</v>
      </c>
      <c r="O138" s="377" t="str">
        <f t="shared" si="5"/>
        <v>---</v>
      </c>
      <c r="P138" s="461" t="str">
        <f>IF(Start!$C$16="x",(IF(L138 = "NA","NA", (IF(OR($H138 = "NA",H138=""), "NA",(IF(OR(ChemData!U138="NA",ChemData!U138=""),L138/((Data!$D$33+((1-Data!$D$33)*Data!$D$14*$H138))/((1-Data!$D$33)*Data!$D$14*1000)),(IF(L138/((Data!$D$33+((1-Data!$D$33)*Data!$D$14*$H138))/((1-Data!$D$33)*Data!$D$14*1000))&gt;ChemData!U138, ChemData!U138, L138/((Data!$D$33+((1-Data!$D$33)*Data!$D$14*$H138))/((1-Data!$D$33)*Data!$D$14*1000)))))))))),"---")</f>
        <v>---</v>
      </c>
      <c r="Q138" s="376" t="str">
        <f>IF(Start!$C$16="x",IF(OR($F138 = "NA",F138=""), "NA", IF(P138= "NA", "NA",(P138+(Data!$D$30*$F138))/(Data!$D$30+1))),"---")</f>
        <v>---</v>
      </c>
      <c r="R138" s="376" t="str">
        <f>IF(Start!$C$16="x",IF(O138 = "NA","NA", IF(OR($I138 = "NA",I138=""), "NA",(IF(OR(ChemData!U138="NA",ChemData!U138=""),O138/((Data!$D$35+((1-Data!$D$35)*Data!$D$14*$I138))/((1-Data!$D$35)*Data!$D$14*1000)),(IF(O138/((Data!$D$35+((1-Data!$D$35)*Data!$D$14*$I138))/((1-Data!$D$35)*Data!$D$14*1000))&gt;ChemData!U138, ChemData!U138, O138/((Data!$D$35+((1-Data!$D$35)*Data!$D$14*$I138))/((1-Data!$D$35)*Data!$D$14*1000)))))))),"---")</f>
        <v>---</v>
      </c>
      <c r="S138" s="377" t="str">
        <f>IF(Start!$C$16="x",IF(OR($F138 = "NA",F138=""), "NA", IF(R138= "NA", "NA",(R138+(Data!$D$30*$F138))/(Data!$D$30+1))),"---")</f>
        <v>---</v>
      </c>
      <c r="T138" s="343" t="str">
        <f>IF(Start!$C$16="x",IF(AND(D138= "",E138=""),"",IF(Q138="NA","NA",IF(G138="NA","NA",IF(G138=0,"NA",(Q138/G138))))),"Not Req.")</f>
        <v>Not Req.</v>
      </c>
      <c r="U138" s="343" t="str">
        <f>IF(Start!$C$16="x",IF(AND(D138= "",E138=""),"",IF(S138="NA","NA",IF(G138="NA","NA",IF(G138=0,"NA",(S138/G138))))),"Not Req.")</f>
        <v>Not Req.</v>
      </c>
      <c r="V138" s="11"/>
    </row>
    <row r="139" spans="1:22" s="10" customFormat="1" x14ac:dyDescent="0.25">
      <c r="A139" s="379" t="s">
        <v>457</v>
      </c>
      <c r="B139" s="348" t="str">
        <f>IF(Start!$C$16="x",IF(OR(D139 ="NA",E139="NA"),"NA",IF(AND(D139= "",E139=""),"",IF(AND(D139= "",E139&lt;&gt; ""),"Missing Data",                     IF(AND(D139&lt;&gt; "",E139= ""),"Missing Data",(IF(OR(G139="NA",G139=""),"No Criteria",(IF(AND(Q139="NA",D139&lt;&gt;"NA",G139&lt;&gt;"NA"),                                               "Missing Data",(IF(Q139&lt;G139,"No","Needed")))))))))),"---")</f>
        <v>---</v>
      </c>
      <c r="C139" s="350" t="str">
        <f>IF(Start!$C$16="x",IF(OR(D139 ="NA",E139="NA"),"NA",IF(AND(D139= "",E139=""),"",IF(AND(D139= "",E139&lt;&gt; ""),"Missing Data",                     IF(AND(D139&lt;&gt; "",E139= ""),"Missing Data",(IF(OR(G139="NA",G139=""),"No Criteria",(IF(AND(S139="NA",D139&lt;&gt;"NA",G139&lt;&gt;"NA"),                                               "Missing Data",(IF(S139&lt;G139,"No","Needed")))))))))),"---")</f>
        <v>---</v>
      </c>
      <c r="D139" s="372" t="str">
        <f>IF(TRUE=ISBLANK(ChemData!B139),"",(ChemData!B139))</f>
        <v/>
      </c>
      <c r="E139" s="373" t="str">
        <f>IF(TRUE=ISBLANK(ChemData!C139),"",(ChemData!C139))</f>
        <v/>
      </c>
      <c r="F139" s="374" t="str">
        <f>IF(TRUE=ISBLANK(ChemData!D139),"",(ChemData!D139))</f>
        <v/>
      </c>
      <c r="G139" s="289" t="str">
        <f>IF(TRUE=ISBLANK(ChemData!I139),"",(ChemData!I139))</f>
        <v>NA</v>
      </c>
      <c r="H139" s="290">
        <f>IF(TRUE=ISBLANK(ChemData!Q139),"",(ChemData!Q139))</f>
        <v>147.0301562474645</v>
      </c>
      <c r="I139" s="290">
        <f>IF(TRUE=ISBLANK(ChemData!R139),"",(ChemData!R139))</f>
        <v>147.0301562474645</v>
      </c>
      <c r="J139" s="290">
        <f>IF(TRUE=ISBLANK(ChemData!S139),"",(ChemData!S139))</f>
        <v>1</v>
      </c>
      <c r="K139" s="291">
        <f>IF(TRUE=ISBLANK(ChemData!T139),"",(ChemData!T139))</f>
        <v>1</v>
      </c>
      <c r="L139" s="375" t="str">
        <f>IF(Start!$C$16="x",IF(OR(D139="NA",D139=""),"NA", IF(OR($J139 = "NA",J139=""),"NA",(D139*$J139))),"---")</f>
        <v>---</v>
      </c>
      <c r="M139" s="377" t="str">
        <f>IF(Start!$C$16="x",IF(OR(D139="NA",D139=""),"NA", IF(OR($K139 = "NA",K139=""),"NA",(D139*$K139))),"---")</f>
        <v>---</v>
      </c>
      <c r="N139" s="375" t="str">
        <f t="shared" si="5"/>
        <v>---</v>
      </c>
      <c r="O139" s="377" t="str">
        <f t="shared" si="5"/>
        <v>---</v>
      </c>
      <c r="P139" s="461" t="str">
        <f>IF(Start!$C$16="x",(IF(L139 = "NA","NA", (IF(OR($H139 = "NA",H139=""), "NA",(IF(OR(ChemData!U139="NA",ChemData!U139=""),L139/((Data!$D$33+((1-Data!$D$33)*Data!$D$14*$H139))/((1-Data!$D$33)*Data!$D$14*1000)),(IF(L139/((Data!$D$33+((1-Data!$D$33)*Data!$D$14*$H139))/((1-Data!$D$33)*Data!$D$14*1000))&gt;ChemData!U139, ChemData!U139, L139/((Data!$D$33+((1-Data!$D$33)*Data!$D$14*$H139))/((1-Data!$D$33)*Data!$D$14*1000)))))))))),"---")</f>
        <v>---</v>
      </c>
      <c r="Q139" s="376" t="str">
        <f>IF(Start!$C$16="x",IF(OR($F139 = "NA",F139=""), "NA", IF(P139= "NA", "NA",(P139+(Data!$D$30*$F139))/(Data!$D$30+1))),"---")</f>
        <v>---</v>
      </c>
      <c r="R139" s="376" t="str">
        <f>IF(Start!$C$16="x",IF(O139 = "NA","NA", IF(OR($I139 = "NA",I139=""), "NA",(IF(OR(ChemData!U139="NA",ChemData!U139=""),O139/((Data!$D$35+((1-Data!$D$35)*Data!$D$14*$I139))/((1-Data!$D$35)*Data!$D$14*1000)),(IF(O139/((Data!$D$35+((1-Data!$D$35)*Data!$D$14*$I139))/((1-Data!$D$35)*Data!$D$14*1000))&gt;ChemData!U139, ChemData!U139, O139/((Data!$D$35+((1-Data!$D$35)*Data!$D$14*$I139))/((1-Data!$D$35)*Data!$D$14*1000)))))))),"---")</f>
        <v>---</v>
      </c>
      <c r="S139" s="377" t="str">
        <f>IF(Start!$C$16="x",IF(OR($F139 = "NA",F139=""), "NA", IF(R139= "NA", "NA",(R139+(Data!$D$30*$F139))/(Data!$D$30+1))),"---")</f>
        <v>---</v>
      </c>
      <c r="T139" s="343" t="str">
        <f>IF(Start!$C$16="x",IF(AND(D139= "",E139=""),"",IF(Q139="NA","NA",IF(G139="NA","NA",IF(G139=0,"NA",(Q139/G139))))),"Not Req.")</f>
        <v>Not Req.</v>
      </c>
      <c r="U139" s="343" t="str">
        <f>IF(Start!$C$16="x",IF(AND(D139= "",E139=""),"",IF(S139="NA","NA",IF(G139="NA","NA",IF(G139=0,"NA",(S139/G139))))),"Not Req.")</f>
        <v>Not Req.</v>
      </c>
      <c r="V139" s="11"/>
    </row>
    <row r="140" spans="1:22" s="10" customFormat="1" ht="13.8" thickBot="1" x14ac:dyDescent="0.3">
      <c r="A140" s="403" t="s">
        <v>458</v>
      </c>
      <c r="B140" s="348" t="str">
        <f>IF(Start!$C$16="x",IF(OR(D140 ="NA",E140="NA"),"NA",IF(AND(D140= "",E140=""),"",IF(AND(D140= "",E140&lt;&gt; ""),"Missing Data",                     IF(AND(D140&lt;&gt; "",E140= ""),"Missing Data",(IF(OR(G140="NA",G140=""),"No Criteria",(IF(AND(Q140="NA",D140&lt;&gt;"NA",G140&lt;&gt;"NA"),                                               "Missing Data",(IF(Q140&lt;G140,"No","Needed")))))))))),"---")</f>
        <v>---</v>
      </c>
      <c r="C140" s="350" t="str">
        <f>IF(Start!$C$16="x",IF(OR(D140 ="NA",E140="NA"),"NA",IF(AND(D140= "",E140=""),"",IF(AND(D140= "",E140&lt;&gt; ""),"Missing Data",                     IF(AND(D140&lt;&gt; "",E140= ""),"Missing Data",(IF(OR(G140="NA",G140=""),"No Criteria",(IF(AND(S140="NA",D140&lt;&gt;"NA",G140&lt;&gt;"NA"),                                               "Missing Data",(IF(S140&lt;G140,"No","Needed")))))))))),"---")</f>
        <v>---</v>
      </c>
      <c r="D140" s="372" t="str">
        <f>IF(TRUE=ISBLANK(ChemData!B140),"",(ChemData!B140))</f>
        <v/>
      </c>
      <c r="E140" s="373" t="str">
        <f>IF(TRUE=ISBLANK(ChemData!C140),"",(ChemData!C140))</f>
        <v/>
      </c>
      <c r="F140" s="374" t="str">
        <f>IF(TRUE=ISBLANK(ChemData!D140),"",(ChemData!D140))</f>
        <v/>
      </c>
      <c r="G140" s="289">
        <f>IF(TRUE=ISBLANK(ChemData!I140),"",(ChemData!I140))</f>
        <v>970</v>
      </c>
      <c r="H140" s="290">
        <f>IF(TRUE=ISBLANK(ChemData!Q140),"",(ChemData!Q140))</f>
        <v>73.689637269452419</v>
      </c>
      <c r="I140" s="290">
        <f>IF(TRUE=ISBLANK(ChemData!R140),"",(ChemData!R140))</f>
        <v>73.689637269452419</v>
      </c>
      <c r="J140" s="290">
        <f>IF(TRUE=ISBLANK(ChemData!S140),"",(ChemData!S140))</f>
        <v>1</v>
      </c>
      <c r="K140" s="291">
        <f>IF(TRUE=ISBLANK(ChemData!T140),"",(ChemData!T140))</f>
        <v>1</v>
      </c>
      <c r="L140" s="375" t="str">
        <f>IF(Start!$C$16="x",IF(OR(D140="NA",D140=""),"NA", IF(OR($J140 = "NA",J140=""),"NA",(D140*$J140))),"---")</f>
        <v>---</v>
      </c>
      <c r="M140" s="377" t="str">
        <f>IF(Start!$C$16="x",IF(OR(D140="NA",D140=""),"NA", IF(OR($K140 = "NA",K140=""),"NA",(D140*$K140))),"---")</f>
        <v>---</v>
      </c>
      <c r="N140" s="375" t="str">
        <f t="shared" si="5"/>
        <v>---</v>
      </c>
      <c r="O140" s="377" t="str">
        <f t="shared" si="5"/>
        <v>---</v>
      </c>
      <c r="P140" s="461" t="str">
        <f>IF(Start!$C$16="x",(IF(L140 = "NA","NA", (IF(OR($H140 = "NA",H140=""), "NA",(IF(OR(ChemData!U140="NA",ChemData!U140=""),L140/((Data!$D$33+((1-Data!$D$33)*Data!$D$14*$H140))/((1-Data!$D$33)*Data!$D$14*1000)),(IF(L140/((Data!$D$33+((1-Data!$D$33)*Data!$D$14*$H140))/((1-Data!$D$33)*Data!$D$14*1000))&gt;ChemData!U140, ChemData!U140, L140/((Data!$D$33+((1-Data!$D$33)*Data!$D$14*$H140))/((1-Data!$D$33)*Data!$D$14*1000)))))))))),"---")</f>
        <v>---</v>
      </c>
      <c r="Q140" s="376" t="str">
        <f>IF(Start!$C$16="x",IF(OR($F140 = "NA",F140=""), "NA", IF(P140= "NA", "NA",(P140+(Data!$D$30*$F140))/(Data!$D$30+1))),"---")</f>
        <v>---</v>
      </c>
      <c r="R140" s="376" t="str">
        <f>IF(Start!$C$16="x",IF(O140 = "NA","NA", IF(OR($I140 = "NA",I140=""), "NA",(IF(OR(ChemData!U140="NA",ChemData!U140=""),O140/((Data!$D$35+((1-Data!$D$35)*Data!$D$14*$I140))/((1-Data!$D$35)*Data!$D$14*1000)),(IF(O140/((Data!$D$35+((1-Data!$D$35)*Data!$D$14*$I140))/((1-Data!$D$35)*Data!$D$14*1000))&gt;ChemData!U140, ChemData!U140, O140/((Data!$D$35+((1-Data!$D$35)*Data!$D$14*$I140))/((1-Data!$D$35)*Data!$D$14*1000)))))))),"---")</f>
        <v>---</v>
      </c>
      <c r="S140" s="377" t="str">
        <f>IF(Start!$C$16="x",IF(OR($F140 = "NA",F140=""), "NA", IF(R140= "NA", "NA",(R140+(Data!$D$30*$F140))/(Data!$D$30+1))),"---")</f>
        <v>---</v>
      </c>
      <c r="T140" s="343" t="str">
        <f>IF(Start!$C$16="x",IF(AND(D140= "",E140=""),"",IF(Q140="NA","NA",IF(G140="NA","NA",IF(G140=0,"NA",(Q140/G140))))),"Not Req.")</f>
        <v>Not Req.</v>
      </c>
      <c r="U140" s="343" t="str">
        <f>IF(Start!$C$16="x",IF(AND(D140= "",E140=""),"",IF(S140="NA","NA",IF(G140="NA","NA",IF(G140=0,"NA",(S140/G140))))),"Not Req.")</f>
        <v>Not Req.</v>
      </c>
      <c r="V140" s="11"/>
    </row>
    <row r="141" spans="1:22" s="10" customFormat="1" x14ac:dyDescent="0.25">
      <c r="A141" s="554" t="s">
        <v>459</v>
      </c>
      <c r="B141" s="525"/>
      <c r="C141" s="526"/>
      <c r="D141" s="508"/>
      <c r="E141" s="509"/>
      <c r="F141" s="510"/>
      <c r="G141" s="511"/>
      <c r="H141" s="512"/>
      <c r="I141" s="512"/>
      <c r="J141" s="512"/>
      <c r="K141" s="513"/>
      <c r="L141" s="511"/>
      <c r="M141" s="513"/>
      <c r="N141" s="511"/>
      <c r="O141" s="513"/>
      <c r="P141" s="512"/>
      <c r="Q141" s="512"/>
      <c r="R141" s="512"/>
      <c r="S141" s="513"/>
      <c r="T141" s="511"/>
      <c r="U141" s="527"/>
      <c r="V141" s="11"/>
    </row>
    <row r="142" spans="1:22" s="10" customFormat="1" x14ac:dyDescent="0.25">
      <c r="A142" s="307" t="s">
        <v>460</v>
      </c>
      <c r="B142" s="348" t="str">
        <f>IF(Start!$C$16="x",IF(OR(D142 ="NA",E142="NA"),"NA",IF(AND(D142= "",E142=""),"",IF(AND(D142= "",E142&lt;&gt; ""),"Missing Data",                     IF(AND(D142&lt;&gt; "",E142= ""),"Missing Data",(IF(OR(G142="NA",G142=""),"No Criteria",(IF(AND(Q142="NA",D142&lt;&gt;"NA",G142&lt;&gt;"NA"),                                               "Missing Data",(IF(Q142&lt;G142,"No","Needed")))))))))),"---")</f>
        <v>---</v>
      </c>
      <c r="C142" s="350" t="str">
        <f>IF(Start!$C$16="x",IF(OR(D142 ="NA",E142="NA"),"NA",IF(AND(D142= "",E142=""),"",IF(AND(D142= "",E142&lt;&gt; ""),"Missing Data",                     IF(AND(D142&lt;&gt; "",E142= ""),"Missing Data",(IF(OR(G142="NA",G142=""),"No Criteria",(IF(AND(S142="NA",D142&lt;&gt;"NA",G142&lt;&gt;"NA"),                                               "Missing Data",(IF(S142&lt;G142,"No","Needed")))))))))),"---")</f>
        <v>---</v>
      </c>
      <c r="D142" s="372" t="str">
        <f>IF(TRUE=ISBLANK(ChemData!B142),"",(ChemData!B142))</f>
        <v/>
      </c>
      <c r="E142" s="373" t="str">
        <f>IF(TRUE=ISBLANK(ChemData!C142),"",(ChemData!C142))</f>
        <v/>
      </c>
      <c r="F142" s="374" t="str">
        <f>IF(TRUE=ISBLANK(ChemData!D142),"",(ChemData!D142))</f>
        <v/>
      </c>
      <c r="G142" s="289">
        <f>IF(TRUE=ISBLANK(ChemData!I142),"",(ChemData!I142))</f>
        <v>1500</v>
      </c>
      <c r="H142" s="290">
        <f>IF(TRUE=ISBLANK(ChemData!Q142),"",(ChemData!Q142))</f>
        <v>1.0651393240110774E-2</v>
      </c>
      <c r="I142" s="290">
        <f>IF(TRUE=ISBLANK(ChemData!R142),"",(ChemData!R142))</f>
        <v>1.0651393240110774E-2</v>
      </c>
      <c r="J142" s="290">
        <f>IF(TRUE=ISBLANK(ChemData!S142),"",(ChemData!S142))</f>
        <v>1</v>
      </c>
      <c r="K142" s="291">
        <f>IF(TRUE=ISBLANK(ChemData!T142),"",(ChemData!T142))</f>
        <v>1</v>
      </c>
      <c r="L142" s="375" t="str">
        <f>IF(Start!$C$16="x",IF(OR(D142="NA",D142=""),"NA", IF(OR($J142 = "NA",J142=""),"NA",(D142*$J142))),"---")</f>
        <v>---</v>
      </c>
      <c r="M142" s="377" t="str">
        <f>IF(Start!$C$16="x",IF(OR(D142="NA",D142=""),"NA", IF(OR($K142 = "NA",K142=""),"NA",(D142*$K142))),"---")</f>
        <v>---</v>
      </c>
      <c r="N142" s="375" t="str">
        <f t="shared" ref="N142:O193" si="6">L142</f>
        <v>---</v>
      </c>
      <c r="O142" s="377" t="str">
        <f t="shared" si="6"/>
        <v>---</v>
      </c>
      <c r="P142" s="461" t="str">
        <f>IF(Start!$C$16="x",(IF(L142 = "NA","NA", (IF(OR($H142 = "NA",H142=""), "NA",(IF(OR(ChemData!U142="NA",ChemData!U142=""),L142/((Data!$D$33+((1-Data!$D$33)*Data!$D$14*$H142))/((1-Data!$D$33)*Data!$D$14*1000)),(IF(L142/((Data!$D$33+((1-Data!$D$33)*Data!$D$14*$H142))/((1-Data!$D$33)*Data!$D$14*1000))&gt;ChemData!U142, ChemData!U142, L142/((Data!$D$33+((1-Data!$D$33)*Data!$D$14*$H142))/((1-Data!$D$33)*Data!$D$14*1000)))))))))),"---")</f>
        <v>---</v>
      </c>
      <c r="Q142" s="376" t="str">
        <f>IF(Start!$C$16="x",IF(OR($F142 = "NA",F142=""), "NA", IF(P142= "NA", "NA",(P142+(Data!$D$30*$F142))/(Data!$D$30+1))),"---")</f>
        <v>---</v>
      </c>
      <c r="R142" s="376" t="str">
        <f>IF(Start!$C$16="x",IF(O142 = "NA","NA", IF(OR($I142 = "NA",I142=""), "NA",(IF(OR(ChemData!U142="NA",ChemData!U142=""),O142/((Data!$D$35+((1-Data!$D$35)*Data!$D$14*$I142))/((1-Data!$D$35)*Data!$D$14*1000)),(IF(O142/((Data!$D$35+((1-Data!$D$35)*Data!$D$14*$I142))/((1-Data!$D$35)*Data!$D$14*1000))&gt;ChemData!U142, ChemData!U142, O142/((Data!$D$35+((1-Data!$D$35)*Data!$D$14*$I142))/((1-Data!$D$35)*Data!$D$14*1000)))))))),"---")</f>
        <v>---</v>
      </c>
      <c r="S142" s="377" t="str">
        <f>IF(Start!$C$16="x",IF(OR($F142 = "NA",F142=""), "NA", IF(R142= "NA", "NA",(R142+(Data!$D$30*$F142))/(Data!$D$30+1))),"---")</f>
        <v>---</v>
      </c>
      <c r="T142" s="343" t="str">
        <f>IF(Start!$C$16="x",IF(AND(D142= "",E142=""),"",IF(Q142="NA","NA",IF(G142="NA","NA",IF(G142=0,"NA",(Q142/G142))))),"Not Req.")</f>
        <v>Not Req.</v>
      </c>
      <c r="U142" s="343" t="str">
        <f>IF(Start!$C$16="x",IF(AND(D142= "",E142=""),"",IF(S142="NA","NA",IF(G142="NA","NA",IF(G142=0,"NA",(S142/G142))))),"Not Req.")</f>
        <v>Not Req.</v>
      </c>
      <c r="V142" s="11"/>
    </row>
    <row r="143" spans="1:22" s="10" customFormat="1" x14ac:dyDescent="0.25">
      <c r="A143" s="307" t="s">
        <v>461</v>
      </c>
      <c r="B143" s="348" t="str">
        <f>IF(Start!$C$16="x",IF(OR(D143 ="NA",E143="NA"),"NA",IF(AND(D143= "",E143=""),"",IF(AND(D143= "",E143&lt;&gt; ""),"Missing Data",                     IF(AND(D143&lt;&gt; "",E143= ""),"Missing Data",(IF(OR(G143="NA",G143=""),"No Criteria",(IF(AND(Q143="NA",D143&lt;&gt;"NA",G143&lt;&gt;"NA"),                                               "Missing Data",(IF(Q143&lt;G143,"No","Needed")))))))))),"---")</f>
        <v>---</v>
      </c>
      <c r="C143" s="350" t="str">
        <f>IF(Start!$C$16="x",IF(OR(D143 ="NA",E143="NA"),"NA",IF(AND(D143= "",E143=""),"",IF(AND(D143= "",E143&lt;&gt; ""),"Missing Data",                     IF(AND(D143&lt;&gt; "",E143= ""),"Missing Data",(IF(OR(G143="NA",G143=""),"No Criteria",(IF(AND(S143="NA",D143&lt;&gt;"NA",G143&lt;&gt;"NA"),                                               "Missing Data",(IF(S143&lt;G143,"No","Needed")))))))))),"---")</f>
        <v>---</v>
      </c>
      <c r="D143" s="372" t="str">
        <f>IF(TRUE=ISBLANK(ChemData!B143),"",(ChemData!B143))</f>
        <v/>
      </c>
      <c r="E143" s="373" t="str">
        <f>IF(TRUE=ISBLANK(ChemData!C143),"",(ChemData!C143))</f>
        <v/>
      </c>
      <c r="F143" s="374" t="str">
        <f>IF(TRUE=ISBLANK(ChemData!D143),"",(ChemData!D143))</f>
        <v/>
      </c>
      <c r="G143" s="289" t="str">
        <f>IF(TRUE=ISBLANK(ChemData!I143),"",(ChemData!I143))</f>
        <v>NA</v>
      </c>
      <c r="H143" s="290">
        <f>IF(TRUE=ISBLANK(ChemData!Q143),"",(ChemData!Q143))</f>
        <v>1.808427E-2</v>
      </c>
      <c r="I143" s="290">
        <f>IF(TRUE=ISBLANK(ChemData!R143),"",(ChemData!R143))</f>
        <v>1.808427E-2</v>
      </c>
      <c r="J143" s="290">
        <f>IF(TRUE=ISBLANK(ChemData!S143),"",(ChemData!S143))</f>
        <v>1</v>
      </c>
      <c r="K143" s="291">
        <f>IF(TRUE=ISBLANK(ChemData!T143),"",(ChemData!T143))</f>
        <v>1</v>
      </c>
      <c r="L143" s="375" t="str">
        <f>IF(Start!$C$16="x",IF(OR(D143="NA",D143=""),"NA", IF(OR($J143 = "NA",J143=""),"NA",(D143*$J143))),"---")</f>
        <v>---</v>
      </c>
      <c r="M143" s="377" t="str">
        <f>IF(Start!$C$16="x",IF(OR(D143="NA",D143=""),"NA", IF(OR($K143 = "NA",K143=""),"NA",(D143*$K143))),"---")</f>
        <v>---</v>
      </c>
      <c r="N143" s="375" t="str">
        <f t="shared" si="6"/>
        <v>---</v>
      </c>
      <c r="O143" s="377" t="str">
        <f t="shared" si="6"/>
        <v>---</v>
      </c>
      <c r="P143" s="461" t="str">
        <f>IF(Start!$C$16="x",(IF(L143 = "NA","NA", (IF(OR($H143 = "NA",H143=""), "NA",(IF(OR(ChemData!U143="NA",ChemData!U143=""),L143/((Data!$D$33+((1-Data!$D$33)*Data!$D$14*$H143))/((1-Data!$D$33)*Data!$D$14*1000)),(IF(L143/((Data!$D$33+((1-Data!$D$33)*Data!$D$14*$H143))/((1-Data!$D$33)*Data!$D$14*1000))&gt;ChemData!U143, ChemData!U143, L143/((Data!$D$33+((1-Data!$D$33)*Data!$D$14*$H143))/((1-Data!$D$33)*Data!$D$14*1000)))))))))),"---")</f>
        <v>---</v>
      </c>
      <c r="Q143" s="376" t="str">
        <f>IF(Start!$C$16="x",IF(OR($F143 = "NA",F143=""), "NA", IF(P143= "NA", "NA",(P143+(Data!$D$30*$F143))/(Data!$D$30+1))),"---")</f>
        <v>---</v>
      </c>
      <c r="R143" s="376" t="str">
        <f>IF(Start!$C$16="x",IF(O143 = "NA","NA", IF(OR($I143 = "NA",I143=""), "NA",(IF(OR(ChemData!U143="NA",ChemData!U143=""),O143/((Data!$D$35+((1-Data!$D$35)*Data!$D$14*$I143))/((1-Data!$D$35)*Data!$D$14*1000)),(IF(O143/((Data!$D$35+((1-Data!$D$35)*Data!$D$14*$I143))/((1-Data!$D$35)*Data!$D$14*1000))&gt;ChemData!U143, ChemData!U143, O143/((Data!$D$35+((1-Data!$D$35)*Data!$D$14*$I143))/((1-Data!$D$35)*Data!$D$14*1000)))))))),"---")</f>
        <v>---</v>
      </c>
      <c r="S143" s="377" t="str">
        <f>IF(Start!$C$16="x",IF(OR($F143 = "NA",F143=""), "NA", IF(R143= "NA", "NA",(R143+(Data!$D$30*$F143))/(Data!$D$30+1))),"---")</f>
        <v>---</v>
      </c>
      <c r="T143" s="343" t="str">
        <f>IF(Start!$C$16="x",IF(AND(D143= "",E143=""),"",IF(Q143="NA","NA",IF(G143="NA","NA",IF(G143=0,"NA",(Q143/G143))))),"Not Req.")</f>
        <v>Not Req.</v>
      </c>
      <c r="U143" s="343" t="str">
        <f>IF(Start!$C$16="x",IF(AND(D143= "",E143=""),"",IF(S143="NA","NA",IF(G143="NA","NA",IF(G143=0,"NA",(S143/G143))))),"Not Req.")</f>
        <v>Not Req.</v>
      </c>
      <c r="V143" s="11"/>
    </row>
    <row r="144" spans="1:22" s="10" customFormat="1" x14ac:dyDescent="0.25">
      <c r="A144" s="307" t="s">
        <v>462</v>
      </c>
      <c r="B144" s="348" t="str">
        <f>IF(Start!$C$16="x",IF(OR(D144 ="NA",E144="NA"),"NA",IF(AND(D144= "",E144=""),"",IF(AND(D144= "",E144&lt;&gt; ""),"Missing Data",                     IF(AND(D144&lt;&gt; "",E144= ""),"Missing Data",(IF(OR(G144="NA",G144=""),"No Criteria",(IF(AND(Q144="NA",D144&lt;&gt;"NA",G144&lt;&gt;"NA"),                                               "Missing Data",(IF(Q144&lt;G144,"No","Needed")))))))))),"---")</f>
        <v>---</v>
      </c>
      <c r="C144" s="350" t="str">
        <f>IF(Start!$C$16="x",IF(OR(D144 ="NA",E144="NA"),"NA",IF(AND(D144= "",E144=""),"",IF(AND(D144= "",E144&lt;&gt; ""),"Missing Data",                     IF(AND(D144&lt;&gt; "",E144= ""),"Missing Data",(IF(OR(G144="NA",G144=""),"No Criteria",(IF(AND(S144="NA",D144&lt;&gt;"NA",G144&lt;&gt;"NA"),                                               "Missing Data",(IF(S144&lt;G144,"No","Needed")))))))))),"---")</f>
        <v>---</v>
      </c>
      <c r="D144" s="372" t="str">
        <f>IF(TRUE=ISBLANK(ChemData!B144),"",(ChemData!B144))</f>
        <v/>
      </c>
      <c r="E144" s="373" t="str">
        <f>IF(TRUE=ISBLANK(ChemData!C144),"",(ChemData!C144))</f>
        <v/>
      </c>
      <c r="F144" s="374" t="str">
        <f>IF(TRUE=ISBLANK(ChemData!D144),"",(ChemData!D144))</f>
        <v/>
      </c>
      <c r="G144" s="289" t="str">
        <f>IF(TRUE=ISBLANK(ChemData!I144),"",(ChemData!I144))</f>
        <v>NA</v>
      </c>
      <c r="H144" s="290">
        <f>IF(TRUE=ISBLANK(ChemData!Q144),"",(ChemData!Q144))</f>
        <v>3.2910780000000001E-2</v>
      </c>
      <c r="I144" s="290">
        <f>IF(TRUE=ISBLANK(ChemData!R144),"",(ChemData!R144))</f>
        <v>3.2910780000000001E-2</v>
      </c>
      <c r="J144" s="290">
        <f>IF(TRUE=ISBLANK(ChemData!S144),"",(ChemData!S144))</f>
        <v>1</v>
      </c>
      <c r="K144" s="291">
        <f>IF(TRUE=ISBLANK(ChemData!T144),"",(ChemData!T144))</f>
        <v>1</v>
      </c>
      <c r="L144" s="375" t="str">
        <f>IF(Start!$C$16="x",IF(OR(D144="NA",D144=""),"NA", IF(OR($J144 = "NA",J144=""),"NA",(D144*$J144))),"---")</f>
        <v>---</v>
      </c>
      <c r="M144" s="377" t="str">
        <f>IF(Start!$C$16="x",IF(OR(D144="NA",D144=""),"NA", IF(OR($K144 = "NA",K144=""),"NA",(D144*$K144))),"---")</f>
        <v>---</v>
      </c>
      <c r="N144" s="375" t="str">
        <f t="shared" si="6"/>
        <v>---</v>
      </c>
      <c r="O144" s="377" t="str">
        <f t="shared" si="6"/>
        <v>---</v>
      </c>
      <c r="P144" s="461" t="str">
        <f>IF(Start!$C$16="x",(IF(L144 = "NA","NA", (IF(OR($H144 = "NA",H144=""), "NA",(IF(OR(ChemData!U144="NA",ChemData!U144=""),L144/((Data!$D$33+((1-Data!$D$33)*Data!$D$14*$H144))/((1-Data!$D$33)*Data!$D$14*1000)),(IF(L144/((Data!$D$33+((1-Data!$D$33)*Data!$D$14*$H144))/((1-Data!$D$33)*Data!$D$14*1000))&gt;ChemData!U144, ChemData!U144, L144/((Data!$D$33+((1-Data!$D$33)*Data!$D$14*$H144))/((1-Data!$D$33)*Data!$D$14*1000)))))))))),"---")</f>
        <v>---</v>
      </c>
      <c r="Q144" s="376" t="str">
        <f>IF(Start!$C$16="x",IF(OR($F144 = "NA",F144=""), "NA", IF(P144= "NA", "NA",(P144+(Data!$D$30*$F144))/(Data!$D$30+1))),"---")</f>
        <v>---</v>
      </c>
      <c r="R144" s="376" t="str">
        <f>IF(Start!$C$16="x",IF(O144 = "NA","NA", IF(OR($I144 = "NA",I144=""), "NA",(IF(OR(ChemData!U144="NA",ChemData!U144=""),O144/((Data!$D$35+((1-Data!$D$35)*Data!$D$14*$I144))/((1-Data!$D$35)*Data!$D$14*1000)),(IF(O144/((Data!$D$35+((1-Data!$D$35)*Data!$D$14*$I144))/((1-Data!$D$35)*Data!$D$14*1000))&gt;ChemData!U144, ChemData!U144, O144/((Data!$D$35+((1-Data!$D$35)*Data!$D$14*$I144))/((1-Data!$D$35)*Data!$D$14*1000)))))))),"---")</f>
        <v>---</v>
      </c>
      <c r="S144" s="377" t="str">
        <f>IF(Start!$C$16="x",IF(OR($F144 = "NA",F144=""), "NA", IF(R144= "NA", "NA",(R144+(Data!$D$30*$F144))/(Data!$D$30+1))),"---")</f>
        <v>---</v>
      </c>
      <c r="T144" s="343" t="str">
        <f>IF(Start!$C$16="x",IF(AND(D144= "",E144=""),"",IF(Q144="NA","NA",IF(G144="NA","NA",IF(G144=0,"NA",(Q144/G144))))),"Not Req.")</f>
        <v>Not Req.</v>
      </c>
      <c r="U144" s="343" t="str">
        <f>IF(Start!$C$16="x",IF(AND(D144= "",E144=""),"",IF(S144="NA","NA",IF(G144="NA","NA",IF(G144=0,"NA",(S144/G144))))),"Not Req.")</f>
        <v>Not Req.</v>
      </c>
      <c r="V144" s="11"/>
    </row>
    <row r="145" spans="1:22" s="10" customFormat="1" x14ac:dyDescent="0.25">
      <c r="A145" s="307" t="s">
        <v>463</v>
      </c>
      <c r="B145" s="348" t="str">
        <f>IF(Start!$C$16="x",IF(OR(D145 ="NA",E145="NA"),"NA",IF(AND(D145= "",E145=""),"",IF(AND(D145= "",E145&lt;&gt; ""),"Missing Data",                     IF(AND(D145&lt;&gt; "",E145= ""),"Missing Data",(IF(OR(G145="NA",G145=""),"No Criteria",(IF(AND(Q145="NA",D145&lt;&gt;"NA",G145&lt;&gt;"NA"),                                               "Missing Data",(IF(Q145&lt;G145,"No","Needed")))))))))),"---")</f>
        <v>---</v>
      </c>
      <c r="C145" s="350" t="str">
        <f>IF(Start!$C$16="x",IF(OR(D145 ="NA",E145="NA"),"NA",IF(AND(D145= "",E145=""),"",IF(AND(D145= "",E145&lt;&gt; ""),"Missing Data",                     IF(AND(D145&lt;&gt; "",E145= ""),"Missing Data",(IF(OR(G145="NA",G145=""),"No Criteria",(IF(AND(S145="NA",D145&lt;&gt;"NA",G145&lt;&gt;"NA"),                                               "Missing Data",(IF(S145&lt;G145,"No","Needed")))))))))),"---")</f>
        <v>---</v>
      </c>
      <c r="D145" s="372" t="str">
        <f>IF(TRUE=ISBLANK(ChemData!B145),"",(ChemData!B145))</f>
        <v/>
      </c>
      <c r="E145" s="373" t="str">
        <f>IF(TRUE=ISBLANK(ChemData!C145),"",(ChemData!C145))</f>
        <v/>
      </c>
      <c r="F145" s="374" t="str">
        <f>IF(TRUE=ISBLANK(ChemData!D145),"",(ChemData!D145))</f>
        <v/>
      </c>
      <c r="G145" s="289">
        <f>IF(TRUE=ISBLANK(ChemData!I145),"",(ChemData!I145))</f>
        <v>130</v>
      </c>
      <c r="H145" s="290">
        <f>IF(TRUE=ISBLANK(ChemData!Q145),"",(ChemData!Q145))</f>
        <v>2.4969302956771511</v>
      </c>
      <c r="I145" s="290">
        <f>IF(TRUE=ISBLANK(ChemData!R145),"",(ChemData!R145))</f>
        <v>2.4969302956771511</v>
      </c>
      <c r="J145" s="290">
        <f>IF(TRUE=ISBLANK(ChemData!S145),"",(ChemData!S145))</f>
        <v>1</v>
      </c>
      <c r="K145" s="291">
        <f>IF(TRUE=ISBLANK(ChemData!T145),"",(ChemData!T145))</f>
        <v>1</v>
      </c>
      <c r="L145" s="375" t="str">
        <f>IF(Start!$C$16="x",IF(OR(D145="NA",D145=""),"NA", IF(OR($J145 = "NA",J145=""),"NA",(D145*$J145))),"---")</f>
        <v>---</v>
      </c>
      <c r="M145" s="377" t="str">
        <f>IF(Start!$C$16="x",IF(OR(D145="NA",D145=""),"NA", IF(OR($K145 = "NA",K145=""),"NA",(D145*$K145))),"---")</f>
        <v>---</v>
      </c>
      <c r="N145" s="375" t="str">
        <f t="shared" si="6"/>
        <v>---</v>
      </c>
      <c r="O145" s="377" t="str">
        <f t="shared" si="6"/>
        <v>---</v>
      </c>
      <c r="P145" s="461" t="str">
        <f>IF(Start!$C$16="x",(IF(L145 = "NA","NA", (IF(OR($H145 = "NA",H145=""), "NA",(IF(OR(ChemData!U145="NA",ChemData!U145=""),L145/((Data!$D$33+((1-Data!$D$33)*Data!$D$14*$H145))/((1-Data!$D$33)*Data!$D$14*1000)),(IF(L145/((Data!$D$33+((1-Data!$D$33)*Data!$D$14*$H145))/((1-Data!$D$33)*Data!$D$14*1000))&gt;ChemData!U145, ChemData!U145, L145/((Data!$D$33+((1-Data!$D$33)*Data!$D$14*$H145))/((1-Data!$D$33)*Data!$D$14*1000)))))))))),"---")</f>
        <v>---</v>
      </c>
      <c r="Q145" s="376" t="str">
        <f>IF(Start!$C$16="x",IF(OR($F145 = "NA",F145=""), "NA", IF(P145= "NA", "NA",(P145+(Data!$D$30*$F145))/(Data!$D$30+1))),"---")</f>
        <v>---</v>
      </c>
      <c r="R145" s="376" t="str">
        <f>IF(Start!$C$16="x",IF(O145 = "NA","NA", IF(OR($I145 = "NA",I145=""), "NA",(IF(OR(ChemData!U145="NA",ChemData!U145=""),O145/((Data!$D$35+((1-Data!$D$35)*Data!$D$14*$I145))/((1-Data!$D$35)*Data!$D$14*1000)),(IF(O145/((Data!$D$35+((1-Data!$D$35)*Data!$D$14*$I145))/((1-Data!$D$35)*Data!$D$14*1000))&gt;ChemData!U145, ChemData!U145, O145/((Data!$D$35+((1-Data!$D$35)*Data!$D$14*$I145))/((1-Data!$D$35)*Data!$D$14*1000)))))))),"---")</f>
        <v>---</v>
      </c>
      <c r="S145" s="377" t="str">
        <f>IF(Start!$C$16="x",IF(OR($F145 = "NA",F145=""), "NA", IF(R145= "NA", "NA",(R145+(Data!$D$30*$F145))/(Data!$D$30+1))),"---")</f>
        <v>---</v>
      </c>
      <c r="T145" s="343" t="str">
        <f>IF(Start!$C$16="x",IF(AND(D145= "",E145=""),"",IF(Q145="NA","NA",IF(G145="NA","NA",IF(G145=0,"NA",(Q145/G145))))),"Not Req.")</f>
        <v>Not Req.</v>
      </c>
      <c r="U145" s="343" t="str">
        <f>IF(Start!$C$16="x",IF(AND(D145= "",E145=""),"",IF(S145="NA","NA",IF(G145="NA","NA",IF(G145=0,"NA",(S145/G145))))),"Not Req.")</f>
        <v>Not Req.</v>
      </c>
      <c r="V145" s="11"/>
    </row>
    <row r="146" spans="1:22" s="10" customFormat="1" x14ac:dyDescent="0.25">
      <c r="A146" s="307" t="s">
        <v>464</v>
      </c>
      <c r="B146" s="348" t="str">
        <f>IF(Start!$C$16="x",IF(OR(D146 ="NA",E146="NA"),"NA",IF(AND(D146= "",E146=""),"",IF(AND(D146= "",E146&lt;&gt; ""),"Missing Data",                     IF(AND(D146&lt;&gt; "",E146= ""),"Missing Data",(IF(OR(G146="NA",G146=""),"No Criteria",(IF(AND(Q146="NA",D146&lt;&gt;"NA",G146&lt;&gt;"NA"),                                               "Missing Data",(IF(Q146&lt;G146,"No","Needed")))))))))),"---")</f>
        <v>---</v>
      </c>
      <c r="C146" s="350" t="str">
        <f>IF(Start!$C$16="x",IF(OR(D146 ="NA",E146="NA"),"NA",IF(AND(D146= "",E146=""),"",IF(AND(D146= "",E146&lt;&gt; ""),"Missing Data",                     IF(AND(D146&lt;&gt; "",E146= ""),"Missing Data",(IF(OR(G146="NA",G146=""),"No Criteria",(IF(AND(S146="NA",D146&lt;&gt;"NA",G146&lt;&gt;"NA"),                                               "Missing Data",(IF(S146&lt;G146,"No","Needed")))))))))),"---")</f>
        <v>---</v>
      </c>
      <c r="D146" s="372" t="str">
        <f>IF(TRUE=ISBLANK(ChemData!B146),"",(ChemData!B146))</f>
        <v/>
      </c>
      <c r="E146" s="373" t="str">
        <f>IF(TRUE=ISBLANK(ChemData!C146),"",(ChemData!C146))</f>
        <v/>
      </c>
      <c r="F146" s="374" t="str">
        <f>IF(TRUE=ISBLANK(ChemData!D146),"",(ChemData!D146))</f>
        <v/>
      </c>
      <c r="G146" s="289" t="str">
        <f>IF(TRUE=ISBLANK(ChemData!I146),"",(ChemData!I146))</f>
        <v>NA</v>
      </c>
      <c r="H146" s="290">
        <f>IF(TRUE=ISBLANK(ChemData!Q146),"",(ChemData!Q146))</f>
        <v>2.3302709372310044</v>
      </c>
      <c r="I146" s="290">
        <f>IF(TRUE=ISBLANK(ChemData!R146),"",(ChemData!R146))</f>
        <v>2.3302709372310044</v>
      </c>
      <c r="J146" s="290">
        <f>IF(TRUE=ISBLANK(ChemData!S146),"",(ChemData!S146))</f>
        <v>1</v>
      </c>
      <c r="K146" s="291">
        <f>IF(TRUE=ISBLANK(ChemData!T146),"",(ChemData!T146))</f>
        <v>1</v>
      </c>
      <c r="L146" s="375" t="str">
        <f>IF(Start!$C$16="x",IF(OR(D146="NA",D146=""),"NA", IF(OR($J146 = "NA",J146=""),"NA",(D146*$J146))),"---")</f>
        <v>---</v>
      </c>
      <c r="M146" s="377" t="str">
        <f>IF(Start!$C$16="x",IF(OR(D146="NA",D146=""),"NA", IF(OR($K146 = "NA",K146=""),"NA",(D146*$K146))),"---")</f>
        <v>---</v>
      </c>
      <c r="N146" s="375" t="str">
        <f t="shared" si="6"/>
        <v>---</v>
      </c>
      <c r="O146" s="377" t="str">
        <f t="shared" si="6"/>
        <v>---</v>
      </c>
      <c r="P146" s="461" t="str">
        <f>IF(Start!$C$16="x",(IF(L146 = "NA","NA", (IF(OR($H146 = "NA",H146=""), "NA",(IF(OR(ChemData!U146="NA",ChemData!U146=""),L146/((Data!$D$33+((1-Data!$D$33)*Data!$D$14*$H146))/((1-Data!$D$33)*Data!$D$14*1000)),(IF(L146/((Data!$D$33+((1-Data!$D$33)*Data!$D$14*$H146))/((1-Data!$D$33)*Data!$D$14*1000))&gt;ChemData!U146, ChemData!U146, L146/((Data!$D$33+((1-Data!$D$33)*Data!$D$14*$H146))/((1-Data!$D$33)*Data!$D$14*1000)))))))))),"---")</f>
        <v>---</v>
      </c>
      <c r="Q146" s="376" t="str">
        <f>IF(Start!$C$16="x",IF(OR($F146 = "NA",F146=""), "NA", IF(P146= "NA", "NA",(P146+(Data!$D$30*$F146))/(Data!$D$30+1))),"---")</f>
        <v>---</v>
      </c>
      <c r="R146" s="376" t="str">
        <f>IF(Start!$C$16="x",IF(O146 = "NA","NA", IF(OR($I146 = "NA",I146=""), "NA",(IF(OR(ChemData!U146="NA",ChemData!U146=""),O146/((Data!$D$35+((1-Data!$D$35)*Data!$D$14*$I146))/((1-Data!$D$35)*Data!$D$14*1000)),(IF(O146/((Data!$D$35+((1-Data!$D$35)*Data!$D$14*$I146))/((1-Data!$D$35)*Data!$D$14*1000))&gt;ChemData!U146, ChemData!U146, O146/((Data!$D$35+((1-Data!$D$35)*Data!$D$14*$I146))/((1-Data!$D$35)*Data!$D$14*1000)))))))),"---")</f>
        <v>---</v>
      </c>
      <c r="S146" s="377" t="str">
        <f>IF(Start!$C$16="x",IF(OR($F146 = "NA",F146=""), "NA", IF(R146= "NA", "NA",(R146+(Data!$D$30*$F146))/(Data!$D$30+1))),"---")</f>
        <v>---</v>
      </c>
      <c r="T146" s="343" t="str">
        <f>IF(Start!$C$16="x",IF(AND(D146= "",E146=""),"",IF(Q146="NA","NA",IF(G146="NA","NA",IF(G146=0,"NA",(Q146/G146))))),"Not Req.")</f>
        <v>Not Req.</v>
      </c>
      <c r="U146" s="343" t="str">
        <f>IF(Start!$C$16="x",IF(AND(D146= "",E146=""),"",IF(S146="NA","NA",IF(G146="NA","NA",IF(G146=0,"NA",(S146/G146))))),"Not Req.")</f>
        <v>Not Req.</v>
      </c>
      <c r="V146" s="11"/>
    </row>
    <row r="147" spans="1:22" s="10" customFormat="1" x14ac:dyDescent="0.25">
      <c r="A147" s="307" t="s">
        <v>465</v>
      </c>
      <c r="B147" s="348" t="str">
        <f>IF(Start!$C$16="x",IF(OR(D147 ="NA",E147="NA"),"NA",IF(AND(D147= "",E147=""),"",IF(AND(D147= "",E147&lt;&gt; ""),"Missing Data",                     IF(AND(D147&lt;&gt; "",E147= ""),"Missing Data",(IF(OR(G147="NA",G147=""),"No Criteria",(IF(AND(Q147="NA",D147&lt;&gt;"NA",G147&lt;&gt;"NA"),                                               "Missing Data",(IF(Q147&lt;G147,"No","Needed")))))))))),"---")</f>
        <v>---</v>
      </c>
      <c r="C147" s="350" t="str">
        <f>IF(Start!$C$16="x",IF(OR(D147 ="NA",E147="NA"),"NA",IF(AND(D147= "",E147=""),"",IF(AND(D147= "",E147&lt;&gt; ""),"Missing Data",                     IF(AND(D147&lt;&gt; "",E147= ""),"Missing Data",(IF(OR(G147="NA",G147=""),"No Criteria",(IF(AND(S147="NA",D147&lt;&gt;"NA",G147&lt;&gt;"NA"),                                               "Missing Data",(IF(S147&lt;G147,"No","Needed")))))))))),"---")</f>
        <v>---</v>
      </c>
      <c r="D147" s="372" t="str">
        <f>IF(TRUE=ISBLANK(ChemData!B147),"",(ChemData!B147))</f>
        <v/>
      </c>
      <c r="E147" s="373" t="str">
        <f>IF(TRUE=ISBLANK(ChemData!C147),"",(ChemData!C147))</f>
        <v/>
      </c>
      <c r="F147" s="374" t="str">
        <f>IF(TRUE=ISBLANK(ChemData!D147),"",(ChemData!D147))</f>
        <v/>
      </c>
      <c r="G147" s="289">
        <f>IF(TRUE=ISBLANK(ChemData!I147),"",(ChemData!I147))</f>
        <v>320</v>
      </c>
      <c r="H147" s="290">
        <f>IF(TRUE=ISBLANK(ChemData!Q147),"",(ChemData!Q147))</f>
        <v>4.440239733105078</v>
      </c>
      <c r="I147" s="290">
        <f>IF(TRUE=ISBLANK(ChemData!R147),"",(ChemData!R147))</f>
        <v>4.440239733105078</v>
      </c>
      <c r="J147" s="290">
        <f>IF(TRUE=ISBLANK(ChemData!S147),"",(ChemData!S147))</f>
        <v>1</v>
      </c>
      <c r="K147" s="291">
        <f>IF(TRUE=ISBLANK(ChemData!T147),"",(ChemData!T147))</f>
        <v>1</v>
      </c>
      <c r="L147" s="375" t="str">
        <f>IF(Start!$C$16="x",IF(OR(D147="NA",D147=""),"NA", IF(OR($J147 = "NA",J147=""),"NA",(D147*$J147))),"---")</f>
        <v>---</v>
      </c>
      <c r="M147" s="377" t="str">
        <f>IF(Start!$C$16="x",IF(OR(D147="NA",D147=""),"NA", IF(OR($K147 = "NA",K147=""),"NA",(D147*$K147))),"---")</f>
        <v>---</v>
      </c>
      <c r="N147" s="375" t="str">
        <f t="shared" si="6"/>
        <v>---</v>
      </c>
      <c r="O147" s="377" t="str">
        <f t="shared" si="6"/>
        <v>---</v>
      </c>
      <c r="P147" s="461" t="str">
        <f>IF(Start!$C$16="x",(IF(L147 = "NA","NA", (IF(OR($H147 = "NA",H147=""), "NA",(IF(OR(ChemData!U147="NA",ChemData!U147=""),L147/((Data!$D$33+((1-Data!$D$33)*Data!$D$14*$H147))/((1-Data!$D$33)*Data!$D$14*1000)),(IF(L147/((Data!$D$33+((1-Data!$D$33)*Data!$D$14*$H147))/((1-Data!$D$33)*Data!$D$14*1000))&gt;ChemData!U147, ChemData!U147, L147/((Data!$D$33+((1-Data!$D$33)*Data!$D$14*$H147))/((1-Data!$D$33)*Data!$D$14*1000)))))))))),"---")</f>
        <v>---</v>
      </c>
      <c r="Q147" s="376" t="str">
        <f>IF(Start!$C$16="x",IF(OR($F147 = "NA",F147=""), "NA", IF(P147= "NA", "NA",(P147+(Data!$D$30*$F147))/(Data!$D$30+1))),"---")</f>
        <v>---</v>
      </c>
      <c r="R147" s="376" t="str">
        <f>IF(Start!$C$16="x",IF(O147 = "NA","NA", IF(OR($I147 = "NA",I147=""), "NA",(IF(OR(ChemData!U147="NA",ChemData!U147=""),O147/((Data!$D$35+((1-Data!$D$35)*Data!$D$14*$I147))/((1-Data!$D$35)*Data!$D$14*1000)),(IF(O147/((Data!$D$35+((1-Data!$D$35)*Data!$D$14*$I147))/((1-Data!$D$35)*Data!$D$14*1000))&gt;ChemData!U147, ChemData!U147, O147/((Data!$D$35+((1-Data!$D$35)*Data!$D$14*$I147))/((1-Data!$D$35)*Data!$D$14*1000)))))))),"---")</f>
        <v>---</v>
      </c>
      <c r="S147" s="377" t="str">
        <f>IF(Start!$C$16="x",IF(OR($F147 = "NA",F147=""), "NA", IF(R147= "NA", "NA",(R147+(Data!$D$30*$F147))/(Data!$D$30+1))),"---")</f>
        <v>---</v>
      </c>
      <c r="T147" s="343" t="str">
        <f>IF(Start!$C$16="x",IF(AND(D147= "",E147=""),"",IF(Q147="NA","NA",IF(G147="NA","NA",IF(G147=0,"NA",(Q147/G147))))),"Not Req.")</f>
        <v>Not Req.</v>
      </c>
      <c r="U147" s="343" t="str">
        <f>IF(Start!$C$16="x",IF(AND(D147= "",E147=""),"",IF(S147="NA","NA",IF(G147="NA","NA",IF(G147=0,"NA",(S147/G147))))),"Not Req.")</f>
        <v>Not Req.</v>
      </c>
      <c r="V147" s="11"/>
    </row>
    <row r="148" spans="1:22" s="10" customFormat="1" x14ac:dyDescent="0.25">
      <c r="A148" s="307" t="s">
        <v>466</v>
      </c>
      <c r="B148" s="348" t="str">
        <f>IF(Start!$C$16="x",IF(OR(D148 ="NA",E148="NA"),"NA",IF(AND(D148= "",E148=""),"",IF(AND(D148= "",E148&lt;&gt; ""),"Missing Data",                     IF(AND(D148&lt;&gt; "",E148= ""),"Missing Data",(IF(OR(G148="NA",G148=""),"No Criteria",(IF(AND(Q148="NA",D148&lt;&gt;"NA",G148&lt;&gt;"NA"),                                               "Missing Data",(IF(Q148&lt;G148,"No","Needed")))))))))),"---")</f>
        <v>---</v>
      </c>
      <c r="C148" s="350" t="str">
        <f>IF(Start!$C$16="x",IF(OR(D148 ="NA",E148="NA"),"NA",IF(AND(D148= "",E148=""),"",IF(AND(D148= "",E148&lt;&gt; ""),"Missing Data",                     IF(AND(D148&lt;&gt; "",E148= ""),"Missing Data",(IF(OR(G148="NA",G148=""),"No Criteria",(IF(AND(S148="NA",D148&lt;&gt;"NA",G148&lt;&gt;"NA"),                                               "Missing Data",(IF(S148&lt;G148,"No","Needed")))))))))),"---")</f>
        <v>---</v>
      </c>
      <c r="D148" s="372" t="str">
        <f>IF(TRUE=ISBLANK(ChemData!B148),"",(ChemData!B148))</f>
        <v/>
      </c>
      <c r="E148" s="373" t="str">
        <f>IF(TRUE=ISBLANK(ChemData!C148),"",(ChemData!C148))</f>
        <v/>
      </c>
      <c r="F148" s="374" t="str">
        <f>IF(TRUE=ISBLANK(ChemData!D148),"",(ChemData!D148))</f>
        <v/>
      </c>
      <c r="G148" s="289" t="str">
        <f>IF(TRUE=ISBLANK(ChemData!I148),"",(ChemData!I148))</f>
        <v>NA</v>
      </c>
      <c r="H148" s="290">
        <f>IF(TRUE=ISBLANK(ChemData!Q148),"",(ChemData!Q148))</f>
        <v>0.28668595616070036</v>
      </c>
      <c r="I148" s="290">
        <f>IF(TRUE=ISBLANK(ChemData!R148),"",(ChemData!R148))</f>
        <v>0.28668595616070036</v>
      </c>
      <c r="J148" s="290">
        <f>IF(TRUE=ISBLANK(ChemData!S148),"",(ChemData!S148))</f>
        <v>1</v>
      </c>
      <c r="K148" s="291">
        <f>IF(TRUE=ISBLANK(ChemData!T148),"",(ChemData!T148))</f>
        <v>1</v>
      </c>
      <c r="L148" s="375" t="str">
        <f>IF(Start!$C$16="x",IF(OR(D148="NA",D148=""),"NA", IF(OR($J148 = "NA",J148=""),"NA",(D148*$J148))),"---")</f>
        <v>---</v>
      </c>
      <c r="M148" s="377" t="str">
        <f>IF(Start!$C$16="x",IF(OR(D148="NA",D148=""),"NA", IF(OR($K148 = "NA",K148=""),"NA",(D148*$K148))),"---")</f>
        <v>---</v>
      </c>
      <c r="N148" s="375" t="str">
        <f t="shared" si="6"/>
        <v>---</v>
      </c>
      <c r="O148" s="377" t="str">
        <f t="shared" si="6"/>
        <v>---</v>
      </c>
      <c r="P148" s="461" t="str">
        <f>IF(Start!$C$16="x",(IF(L148 = "NA","NA", (IF(OR($H148 = "NA",H148=""), "NA",(IF(OR(ChemData!U148="NA",ChemData!U148=""),L148/((Data!$D$33+((1-Data!$D$33)*Data!$D$14*$H148))/((1-Data!$D$33)*Data!$D$14*1000)),(IF(L148/((Data!$D$33+((1-Data!$D$33)*Data!$D$14*$H148))/((1-Data!$D$33)*Data!$D$14*1000))&gt;ChemData!U148, ChemData!U148, L148/((Data!$D$33+((1-Data!$D$33)*Data!$D$14*$H148))/((1-Data!$D$33)*Data!$D$14*1000)))))))))),"---")</f>
        <v>---</v>
      </c>
      <c r="Q148" s="376" t="str">
        <f>IF(Start!$C$16="x",IF(OR($F148 = "NA",F148=""), "NA", IF(P148= "NA", "NA",(P148+(Data!$D$30*$F148))/(Data!$D$30+1))),"---")</f>
        <v>---</v>
      </c>
      <c r="R148" s="376" t="str">
        <f>IF(Start!$C$16="x",IF(O148 = "NA","NA", IF(OR($I148 = "NA",I148=""), "NA",(IF(OR(ChemData!U148="NA",ChemData!U148=""),O148/((Data!$D$35+((1-Data!$D$35)*Data!$D$14*$I148))/((1-Data!$D$35)*Data!$D$14*1000)),(IF(O148/((Data!$D$35+((1-Data!$D$35)*Data!$D$14*$I148))/((1-Data!$D$35)*Data!$D$14*1000))&gt;ChemData!U148, ChemData!U148, O148/((Data!$D$35+((1-Data!$D$35)*Data!$D$14*$I148))/((1-Data!$D$35)*Data!$D$14*1000)))))))),"---")</f>
        <v>---</v>
      </c>
      <c r="S148" s="377" t="str">
        <f>IF(Start!$C$16="x",IF(OR($F148 = "NA",F148=""), "NA", IF(R148= "NA", "NA",(R148+(Data!$D$30*$F148))/(Data!$D$30+1))),"---")</f>
        <v>---</v>
      </c>
      <c r="T148" s="343" t="str">
        <f>IF(Start!$C$16="x",IF(AND(D148= "",E148=""),"",IF(Q148="NA","NA",IF(G148="NA","NA",IF(G148=0,"NA",(Q148/G148))))),"Not Req.")</f>
        <v>Not Req.</v>
      </c>
      <c r="U148" s="343" t="str">
        <f>IF(Start!$C$16="x",IF(AND(D148= "",E148=""),"",IF(S148="NA","NA",IF(G148="NA","NA",IF(G148=0,"NA",(S148/G148))))),"Not Req.")</f>
        <v>Not Req.</v>
      </c>
      <c r="V148" s="11"/>
    </row>
    <row r="149" spans="1:22" s="10" customFormat="1" x14ac:dyDescent="0.25">
      <c r="A149" s="307" t="s">
        <v>670</v>
      </c>
      <c r="B149" s="348" t="str">
        <f>IF(Start!$C$16="x",IF(OR(D149 ="NA",E149="NA"),"NA",IF(AND(D149= "",E149=""),"",IF(AND(D149= "",E149&lt;&gt; ""),"Missing Data",                     IF(AND(D149&lt;&gt; "",E149= ""),"Missing Data",(IF(OR(G149="NA",G149=""),"No Criteria",(IF(AND(Q149="NA",D149&lt;&gt;"NA",G149&lt;&gt;"NA"),                                               "Missing Data",(IF(Q149&lt;G149,"No","Needed")))))))))),"---")</f>
        <v>---</v>
      </c>
      <c r="C149" s="350" t="str">
        <f>IF(Start!$C$16="x",IF(OR(D149 ="NA",E149="NA"),"NA",IF(AND(D149= "",E149=""),"",IF(AND(D149= "",E149&lt;&gt; ""),"Missing Data",                     IF(AND(D149&lt;&gt; "",E149= ""),"Missing Data",(IF(OR(G149="NA",G149=""),"No Criteria",(IF(AND(S149="NA",D149&lt;&gt;"NA",G149&lt;&gt;"NA"),                                               "Missing Data",(IF(S149&lt;G149,"No","Needed")))))))))),"---")</f>
        <v>---</v>
      </c>
      <c r="D149" s="372" t="str">
        <f>IF(TRUE=ISBLANK(ChemData!B149),"",(ChemData!B149))</f>
        <v/>
      </c>
      <c r="E149" s="373" t="str">
        <f>IF(TRUE=ISBLANK(ChemData!C149),"",(ChemData!C149))</f>
        <v/>
      </c>
      <c r="F149" s="374" t="str">
        <f>IF(TRUE=ISBLANK(ChemData!D149),"",(ChemData!D149))</f>
        <v/>
      </c>
      <c r="G149" s="289">
        <f>IF(TRUE=ISBLANK(ChemData!I149),"",(ChemData!I149))</f>
        <v>14000</v>
      </c>
      <c r="H149" s="290">
        <f>IF(TRUE=ISBLANK(ChemData!Q149),"",(ChemData!Q149))</f>
        <v>3.6091623541521421E-2</v>
      </c>
      <c r="I149" s="290">
        <f>IF(TRUE=ISBLANK(ChemData!R149),"",(ChemData!R149))</f>
        <v>3.6091623541521421E-2</v>
      </c>
      <c r="J149" s="290">
        <f>IF(TRUE=ISBLANK(ChemData!S149),"",(ChemData!S149))</f>
        <v>1</v>
      </c>
      <c r="K149" s="291">
        <f>IF(TRUE=ISBLANK(ChemData!T149),"",(ChemData!T149))</f>
        <v>1</v>
      </c>
      <c r="L149" s="375" t="str">
        <f>IF(Start!$C$16="x",IF(OR(D149="NA",D149=""),"NA", IF(OR($J149 = "NA",J149=""),"NA",(D149*$J149))),"---")</f>
        <v>---</v>
      </c>
      <c r="M149" s="377" t="str">
        <f>IF(Start!$C$16="x",IF(OR(D149="NA",D149=""),"NA", IF(OR($K149 = "NA",K149=""),"NA",(D149*$K149))),"---")</f>
        <v>---</v>
      </c>
      <c r="N149" s="375" t="str">
        <f t="shared" si="6"/>
        <v>---</v>
      </c>
      <c r="O149" s="377" t="str">
        <f t="shared" si="6"/>
        <v>---</v>
      </c>
      <c r="P149" s="461" t="str">
        <f>IF(Start!$C$16="x",(IF(L149 = "NA","NA", (IF(OR($H149 = "NA",H149=""), "NA",(IF(OR(ChemData!U149="NA",ChemData!U149=""),L149/((Data!$D$33+((1-Data!$D$33)*Data!$D$14*$H149))/((1-Data!$D$33)*Data!$D$14*1000)),(IF(L149/((Data!$D$33+((1-Data!$D$33)*Data!$D$14*$H149))/((1-Data!$D$33)*Data!$D$14*1000))&gt;ChemData!U149, ChemData!U149, L149/((Data!$D$33+((1-Data!$D$33)*Data!$D$14*$H149))/((1-Data!$D$33)*Data!$D$14*1000)))))))))),"---")</f>
        <v>---</v>
      </c>
      <c r="Q149" s="376" t="str">
        <f>IF(Start!$C$16="x",IF(OR($F149 = "NA",F149=""), "NA", IF(P149= "NA", "NA",(P149+(Data!$D$30*$F149))/(Data!$D$30+1))),"---")</f>
        <v>---</v>
      </c>
      <c r="R149" s="376" t="str">
        <f>IF(Start!$C$16="x",IF(O149 = "NA","NA", IF(OR($I149 = "NA",I149=""), "NA",(IF(OR(ChemData!U149="NA",ChemData!U149=""),O149/((Data!$D$35+((1-Data!$D$35)*Data!$D$14*$I149))/((1-Data!$D$35)*Data!$D$14*1000)),(IF(O149/((Data!$D$35+((1-Data!$D$35)*Data!$D$14*$I149))/((1-Data!$D$35)*Data!$D$14*1000))&gt;ChemData!U149, ChemData!U149, O149/((Data!$D$35+((1-Data!$D$35)*Data!$D$14*$I149))/((1-Data!$D$35)*Data!$D$14*1000)))))))),"---")</f>
        <v>---</v>
      </c>
      <c r="S149" s="377" t="str">
        <f>IF(Start!$C$16="x",IF(OR($F149 = "NA",F149=""), "NA", IF(R149= "NA", "NA",(R149+(Data!$D$30*$F149))/(Data!$D$30+1))),"---")</f>
        <v>---</v>
      </c>
      <c r="T149" s="343" t="str">
        <f>IF(Start!$C$16="x",IF(AND(D149= "",E149=""),"",IF(Q149="NA","NA",IF(G149="NA","NA",IF(G149=0,"NA",(Q149/G149))))),"Not Req.")</f>
        <v>Not Req.</v>
      </c>
      <c r="U149" s="343" t="str">
        <f>IF(Start!$C$16="x",IF(AND(D149= "",E149=""),"",IF(S149="NA","NA",IF(G149="NA","NA",IF(G149=0,"NA",(S149/G149))))),"Not Req.")</f>
        <v>Not Req.</v>
      </c>
      <c r="V149" s="11"/>
    </row>
    <row r="150" spans="1:22" s="10" customFormat="1" x14ac:dyDescent="0.25">
      <c r="A150" s="307" t="s">
        <v>468</v>
      </c>
      <c r="B150" s="348" t="str">
        <f>IF(Start!$C$16="x",IF(OR(D150 ="NA",E150="NA"),"NA",IF(AND(D150= "",E150=""),"",IF(AND(D150= "",E150&lt;&gt; ""),"Missing Data",                     IF(AND(D150&lt;&gt; "",E150= ""),"Missing Data",(IF(OR(G150="NA",G150=""),"No Criteria",(IF(AND(Q150="NA",D150&lt;&gt;"NA",G150&lt;&gt;"NA"),                                               "Missing Data",(IF(Q150&lt;G150,"No","Needed")))))))))),"---")</f>
        <v>---</v>
      </c>
      <c r="C150" s="350" t="str">
        <f>IF(Start!$C$16="x",IF(OR(D150 ="NA",E150="NA"),"NA",IF(AND(D150= "",E150=""),"",IF(AND(D150= "",E150&lt;&gt; ""),"Missing Data",                     IF(AND(D150&lt;&gt; "",E150= ""),"Missing Data",(IF(OR(G150="NA",G150=""),"No Criteria",(IF(AND(S150="NA",D150&lt;&gt;"NA",G150&lt;&gt;"NA"),                                               "Missing Data",(IF(S150&lt;G150,"No","Needed")))))))))),"---")</f>
        <v>---</v>
      </c>
      <c r="D150" s="372" t="str">
        <f>IF(TRUE=ISBLANK(ChemData!B150),"",(ChemData!B150))</f>
        <v/>
      </c>
      <c r="E150" s="373" t="str">
        <f>IF(TRUE=ISBLANK(ChemData!C150),"",(ChemData!C150))</f>
        <v/>
      </c>
      <c r="F150" s="374" t="str">
        <f>IF(TRUE=ISBLANK(ChemData!D150),"",(ChemData!D150))</f>
        <v/>
      </c>
      <c r="G150" s="289">
        <f>IF(TRUE=ISBLANK(ChemData!I150),"",(ChemData!I150))</f>
        <v>0.92</v>
      </c>
      <c r="H150" s="290">
        <f>IF(TRUE=ISBLANK(ChemData!Q150),"",(ChemData!Q150))</f>
        <v>1.6121536050087053</v>
      </c>
      <c r="I150" s="290">
        <f>IF(TRUE=ISBLANK(ChemData!R150),"",(ChemData!R150))</f>
        <v>1.6121536050087053</v>
      </c>
      <c r="J150" s="290">
        <f>IF(TRUE=ISBLANK(ChemData!S150),"",(ChemData!S150))</f>
        <v>1</v>
      </c>
      <c r="K150" s="291">
        <f>IF(TRUE=ISBLANK(ChemData!T150),"",(ChemData!T150))</f>
        <v>1</v>
      </c>
      <c r="L150" s="375" t="str">
        <f>IF(Start!$C$16="x",IF(OR(D150="NA",D150=""),"NA", IF(OR($J150 = "NA",J150=""),"NA",(D150*$J150))),"---")</f>
        <v>---</v>
      </c>
      <c r="M150" s="377" t="str">
        <f>IF(Start!$C$16="x",IF(OR(D150="NA",D150=""),"NA", IF(OR($K150 = "NA",K150=""),"NA",(D150*$K150))),"---")</f>
        <v>---</v>
      </c>
      <c r="N150" s="375" t="str">
        <f t="shared" si="6"/>
        <v>---</v>
      </c>
      <c r="O150" s="377" t="str">
        <f t="shared" si="6"/>
        <v>---</v>
      </c>
      <c r="P150" s="461" t="str">
        <f>IF(Start!$C$16="x",(IF(L150 = "NA","NA", (IF(OR($H150 = "NA",H150=""), "NA",(IF(OR(ChemData!U150="NA",ChemData!U150=""),L150/((Data!$D$33+((1-Data!$D$33)*Data!$D$14*$H150))/((1-Data!$D$33)*Data!$D$14*1000)),(IF(L150/((Data!$D$33+((1-Data!$D$33)*Data!$D$14*$H150))/((1-Data!$D$33)*Data!$D$14*1000))&gt;ChemData!U150, ChemData!U150, L150/((Data!$D$33+((1-Data!$D$33)*Data!$D$14*$H150))/((1-Data!$D$33)*Data!$D$14*1000)))))))))),"---")</f>
        <v>---</v>
      </c>
      <c r="Q150" s="376" t="str">
        <f>IF(Start!$C$16="x",IF(OR($F150 = "NA",F150=""), "NA", IF(P150= "NA", "NA",(P150+(Data!$D$30*$F150))/(Data!$D$30+1))),"---")</f>
        <v>---</v>
      </c>
      <c r="R150" s="376" t="str">
        <f>IF(Start!$C$16="x",IF(O150 = "NA","NA", IF(OR($I150 = "NA",I150=""), "NA",(IF(OR(ChemData!U150="NA",ChemData!U150=""),O150/((Data!$D$35+((1-Data!$D$35)*Data!$D$14*$I150))/((1-Data!$D$35)*Data!$D$14*1000)),(IF(O150/((Data!$D$35+((1-Data!$D$35)*Data!$D$14*$I150))/((1-Data!$D$35)*Data!$D$14*1000))&gt;ChemData!U150, ChemData!U150, O150/((Data!$D$35+((1-Data!$D$35)*Data!$D$14*$I150))/((1-Data!$D$35)*Data!$D$14*1000)))))))),"---")</f>
        <v>---</v>
      </c>
      <c r="S150" s="377" t="str">
        <f>IF(Start!$C$16="x",IF(OR($F150 = "NA",F150=""), "NA", IF(R150= "NA", "NA",(R150+(Data!$D$30*$F150))/(Data!$D$30+1))),"---")</f>
        <v>---</v>
      </c>
      <c r="T150" s="343" t="str">
        <f>IF(Start!$C$16="x",IF(AND(D150= "",E150=""),"",IF(Q150="NA","NA",IF(G150="NA","NA",IF(G150=0,"NA",(Q150/G150))))),"Not Req.")</f>
        <v>Not Req.</v>
      </c>
      <c r="U150" s="343" t="str">
        <f>IF(Start!$C$16="x",IF(AND(D150= "",E150=""),"",IF(S150="NA","NA",IF(G150="NA","NA",IF(G150=0,"NA",(S150/G150))))),"Not Req.")</f>
        <v>Not Req.</v>
      </c>
      <c r="V150" s="11"/>
    </row>
    <row r="151" spans="1:22" s="10" customFormat="1" x14ac:dyDescent="0.25">
      <c r="A151" s="307" t="s">
        <v>469</v>
      </c>
      <c r="B151" s="348" t="str">
        <f>IF(Start!$C$16="x",IF(OR(D151 ="NA",E151="NA"),"NA",IF(AND(D151= "",E151=""),"",IF(AND(D151= "",E151&lt;&gt; ""),"Missing Data",                     IF(AND(D151&lt;&gt; "",E151= ""),"Missing Data",(IF(OR(G151="NA",G151=""),"No Criteria",(IF(AND(Q151="NA",D151&lt;&gt;"NA",G151&lt;&gt;"NA"),                                               "Missing Data",(IF(Q151&lt;G151,"No","Needed")))))))))),"---")</f>
        <v>---</v>
      </c>
      <c r="C151" s="350" t="str">
        <f>IF(Start!$C$16="x",IF(OR(D151 ="NA",E151="NA"),"NA",IF(AND(D151= "",E151=""),"",IF(AND(D151= "",E151&lt;&gt; ""),"Missing Data",                     IF(AND(D151&lt;&gt; "",E151= ""),"Missing Data",(IF(OR(G151="NA",G151=""),"No Criteria",(IF(AND(S151="NA",D151&lt;&gt;"NA",G151&lt;&gt;"NA"),                                               "Missing Data",(IF(S151&lt;G151,"No","Needed")))))))))),"---")</f>
        <v>---</v>
      </c>
      <c r="D151" s="372" t="str">
        <f>IF(TRUE=ISBLANK(ChemData!B151),"",(ChemData!B151))</f>
        <v/>
      </c>
      <c r="E151" s="373" t="str">
        <f>IF(TRUE=ISBLANK(ChemData!C151),"",(ChemData!C151))</f>
        <v/>
      </c>
      <c r="F151" s="374" t="str">
        <f>IF(TRUE=ISBLANK(ChemData!D151),"",(ChemData!D151))</f>
        <v/>
      </c>
      <c r="G151" s="289">
        <f>IF(TRUE=ISBLANK(ChemData!I151),"",(ChemData!I151))</f>
        <v>9.8000000000000007</v>
      </c>
      <c r="H151" s="290">
        <f>IF(TRUE=ISBLANK(ChemData!Q151),"",(ChemData!Q151))</f>
        <v>16.881320636477891</v>
      </c>
      <c r="I151" s="290">
        <f>IF(TRUE=ISBLANK(ChemData!R151),"",(ChemData!R151))</f>
        <v>16.881320636477891</v>
      </c>
      <c r="J151" s="290">
        <f>IF(TRUE=ISBLANK(ChemData!S151),"",(ChemData!S151))</f>
        <v>1</v>
      </c>
      <c r="K151" s="291">
        <f>IF(TRUE=ISBLANK(ChemData!T151),"",(ChemData!T151))</f>
        <v>1</v>
      </c>
      <c r="L151" s="375" t="str">
        <f>IF(Start!$C$16="x",IF(OR(D151="NA",D151=""),"NA", IF(OR($J151 = "NA",J151=""),"NA",(D151*$J151))),"---")</f>
        <v>---</v>
      </c>
      <c r="M151" s="377" t="str">
        <f>IF(Start!$C$16="x",IF(OR(D151="NA",D151=""),"NA", IF(OR($K151 = "NA",K151=""),"NA",(D151*$K151))),"---")</f>
        <v>---</v>
      </c>
      <c r="N151" s="375" t="str">
        <f t="shared" si="6"/>
        <v>---</v>
      </c>
      <c r="O151" s="377" t="str">
        <f t="shared" si="6"/>
        <v>---</v>
      </c>
      <c r="P151" s="461" t="str">
        <f>IF(Start!$C$16="x",(IF(L151 = "NA","NA", (IF(OR($H151 = "NA",H151=""), "NA",(IF(OR(ChemData!U151="NA",ChemData!U151=""),L151/((Data!$D$33+((1-Data!$D$33)*Data!$D$14*$H151))/((1-Data!$D$33)*Data!$D$14*1000)),(IF(L151/((Data!$D$33+((1-Data!$D$33)*Data!$D$14*$H151))/((1-Data!$D$33)*Data!$D$14*1000))&gt;ChemData!U151, ChemData!U151, L151/((Data!$D$33+((1-Data!$D$33)*Data!$D$14*$H151))/((1-Data!$D$33)*Data!$D$14*1000)))))))))),"---")</f>
        <v>---</v>
      </c>
      <c r="Q151" s="376" t="str">
        <f>IF(Start!$C$16="x",IF(OR($F151 = "NA",F151=""), "NA", IF(P151= "NA", "NA",(P151+(Data!$D$30*$F151))/(Data!$D$30+1))),"---")</f>
        <v>---</v>
      </c>
      <c r="R151" s="376" t="str">
        <f>IF(Start!$C$16="x",IF(O151 = "NA","NA", IF(OR($I151 = "NA",I151=""), "NA",(IF(OR(ChemData!U151="NA",ChemData!U151=""),O151/((Data!$D$35+((1-Data!$D$35)*Data!$D$14*$I151))/((1-Data!$D$35)*Data!$D$14*1000)),(IF(O151/((Data!$D$35+((1-Data!$D$35)*Data!$D$14*$I151))/((1-Data!$D$35)*Data!$D$14*1000))&gt;ChemData!U151, ChemData!U151, O151/((Data!$D$35+((1-Data!$D$35)*Data!$D$14*$I151))/((1-Data!$D$35)*Data!$D$14*1000)))))))),"---")</f>
        <v>---</v>
      </c>
      <c r="S151" s="377" t="str">
        <f>IF(Start!$C$16="x",IF(OR($F151 = "NA",F151=""), "NA", IF(R151= "NA", "NA",(R151+(Data!$D$30*$F151))/(Data!$D$30+1))),"---")</f>
        <v>---</v>
      </c>
      <c r="T151" s="343" t="str">
        <f>IF(Start!$C$16="x",IF(AND(D151= "",E151=""),"",IF(Q151="NA","NA",IF(G151="NA","NA",IF(G151=0,"NA",(Q151/G151))))),"Not Req.")</f>
        <v>Not Req.</v>
      </c>
      <c r="U151" s="343" t="str">
        <f>IF(Start!$C$16="x",IF(AND(D151= "",E151=""),"",IF(S151="NA","NA",IF(G151="NA","NA",IF(G151=0,"NA",(S151/G151))))),"Not Req.")</f>
        <v>Not Req.</v>
      </c>
      <c r="V151" s="11"/>
    </row>
    <row r="152" spans="1:22" s="10" customFormat="1" x14ac:dyDescent="0.25">
      <c r="A152" s="307" t="s">
        <v>470</v>
      </c>
      <c r="B152" s="348" t="str">
        <f>IF(Start!$C$16="x",IF(OR(D152 ="NA",E152="NA"),"NA",IF(AND(D152= "",E152=""),"",IF(AND(D152= "",E152&lt;&gt; ""),"Missing Data",                     IF(AND(D152&lt;&gt; "",E152= ""),"Missing Data",(IF(OR(G152="NA",G152=""),"No Criteria",(IF(AND(Q152="NA",D152&lt;&gt;"NA",G152&lt;&gt;"NA"),                                               "Missing Data",(IF(Q152&lt;G152,"No","Needed")))))))))),"---")</f>
        <v>---</v>
      </c>
      <c r="C152" s="350" t="str">
        <f>IF(Start!$C$16="x",IF(OR(D152 ="NA",E152="NA"),"NA",IF(AND(D152= "",E152=""),"",IF(AND(D152= "",E152&lt;&gt; ""),"Missing Data",                     IF(AND(D152&lt;&gt; "",E152= ""),"Missing Data",(IF(OR(G152="NA",G152=""),"No Criteria",(IF(AND(S152="NA",D152&lt;&gt;"NA",G152&lt;&gt;"NA"),                                               "Missing Data",(IF(S152&lt;G152,"No","Needed")))))))))),"---")</f>
        <v>---</v>
      </c>
      <c r="D152" s="372" t="str">
        <f>IF(TRUE=ISBLANK(ChemData!B152),"",(ChemData!B152))</f>
        <v/>
      </c>
      <c r="E152" s="373" t="str">
        <f>IF(TRUE=ISBLANK(ChemData!C152),"",(ChemData!C152))</f>
        <v/>
      </c>
      <c r="F152" s="374" t="str">
        <f>IF(TRUE=ISBLANK(ChemData!D152),"",(ChemData!D152))</f>
        <v/>
      </c>
      <c r="G152" s="289">
        <f>IF(TRUE=ISBLANK(ChemData!I152),"",(ChemData!I152))</f>
        <v>64</v>
      </c>
      <c r="H152" s="290">
        <f>IF(TRUE=ISBLANK(ChemData!Q152),"",(ChemData!Q152))</f>
        <v>12.805791271709518</v>
      </c>
      <c r="I152" s="290">
        <f>IF(TRUE=ISBLANK(ChemData!R152),"",(ChemData!R152))</f>
        <v>12.805791271709518</v>
      </c>
      <c r="J152" s="290">
        <f>IF(TRUE=ISBLANK(ChemData!S152),"",(ChemData!S152))</f>
        <v>1</v>
      </c>
      <c r="K152" s="291">
        <f>IF(TRUE=ISBLANK(ChemData!T152),"",(ChemData!T152))</f>
        <v>1</v>
      </c>
      <c r="L152" s="375" t="str">
        <f>IF(Start!$C$16="x",IF(OR(D152="NA",D152=""),"NA", IF(OR($J152 = "NA",J152=""),"NA",(D152*$J152))),"---")</f>
        <v>---</v>
      </c>
      <c r="M152" s="377" t="str">
        <f>IF(Start!$C$16="x",IF(OR(D152="NA",D152=""),"NA", IF(OR($K152 = "NA",K152=""),"NA",(D152*$K152))),"---")</f>
        <v>---</v>
      </c>
      <c r="N152" s="375" t="str">
        <f t="shared" si="6"/>
        <v>---</v>
      </c>
      <c r="O152" s="377" t="str">
        <f t="shared" si="6"/>
        <v>---</v>
      </c>
      <c r="P152" s="461" t="str">
        <f>IF(Start!$C$16="x",(IF(L152 = "NA","NA", (IF(OR($H152 = "NA",H152=""), "NA",(IF(OR(ChemData!U152="NA",ChemData!U152=""),L152/((Data!$D$33+((1-Data!$D$33)*Data!$D$14*$H152))/((1-Data!$D$33)*Data!$D$14*1000)),(IF(L152/((Data!$D$33+((1-Data!$D$33)*Data!$D$14*$H152))/((1-Data!$D$33)*Data!$D$14*1000))&gt;ChemData!U152, ChemData!U152, L152/((Data!$D$33+((1-Data!$D$33)*Data!$D$14*$H152))/((1-Data!$D$33)*Data!$D$14*1000)))))))))),"---")</f>
        <v>---</v>
      </c>
      <c r="Q152" s="376" t="str">
        <f>IF(Start!$C$16="x",IF(OR($F152 = "NA",F152=""), "NA", IF(P152= "NA", "NA",(P152+(Data!$D$30*$F152))/(Data!$D$30+1))),"---")</f>
        <v>---</v>
      </c>
      <c r="R152" s="376" t="str">
        <f>IF(Start!$C$16="x",IF(O152 = "NA","NA", IF(OR($I152 = "NA",I152=""), "NA",(IF(OR(ChemData!U152="NA",ChemData!U152=""),O152/((Data!$D$35+((1-Data!$D$35)*Data!$D$14*$I152))/((1-Data!$D$35)*Data!$D$14*1000)),(IF(O152/((Data!$D$35+((1-Data!$D$35)*Data!$D$14*$I152))/((1-Data!$D$35)*Data!$D$14*1000))&gt;ChemData!U152, ChemData!U152, O152/((Data!$D$35+((1-Data!$D$35)*Data!$D$14*$I152))/((1-Data!$D$35)*Data!$D$14*1000)))))))),"---")</f>
        <v>---</v>
      </c>
      <c r="S152" s="377" t="str">
        <f>IF(Start!$C$16="x",IF(OR($F152 = "NA",F152=""), "NA", IF(R152= "NA", "NA",(R152+(Data!$D$30*$F152))/(Data!$D$30+1))),"---")</f>
        <v>---</v>
      </c>
      <c r="T152" s="343" t="str">
        <f>IF(Start!$C$16="x",IF(AND(D152= "",E152=""),"",IF(Q152="NA","NA",IF(G152="NA","NA",IF(G152=0,"NA",(Q152/G152))))),"Not Req.")</f>
        <v>Not Req.</v>
      </c>
      <c r="U152" s="343" t="str">
        <f>IF(Start!$C$16="x",IF(AND(D152= "",E152=""),"",IF(S152="NA","NA",IF(G152="NA","NA",IF(G152=0,"NA",(S152/G152))))),"Not Req.")</f>
        <v>Not Req.</v>
      </c>
      <c r="V152" s="11"/>
    </row>
    <row r="153" spans="1:22" s="10" customFormat="1" x14ac:dyDescent="0.25">
      <c r="A153" s="307" t="s">
        <v>471</v>
      </c>
      <c r="B153" s="348" t="str">
        <f>IF(Start!$C$16="x",IF(OR(D153 ="NA",E153="NA"),"NA",IF(AND(D153= "",E153=""),"",IF(AND(D153= "",E153&lt;&gt; ""),"Missing Data",                     IF(AND(D153&lt;&gt; "",E153= ""),"Missing Data",(IF(OR(G153="NA",G153=""),"No Criteria",(IF(AND(Q153="NA",D153&lt;&gt;"NA",G153&lt;&gt;"NA"),                                               "Missing Data",(IF(Q153&lt;G153,"No","Needed")))))))))),"---")</f>
        <v>---</v>
      </c>
      <c r="C153" s="350" t="str">
        <f>IF(Start!$C$16="x",IF(OR(D153 ="NA",E153="NA"),"NA",IF(AND(D153= "",E153=""),"",IF(AND(D153= "",E153&lt;&gt; ""),"Missing Data",                     IF(AND(D153&lt;&gt; "",E153= ""),"Missing Data",(IF(OR(G153="NA",G153=""),"No Criteria",(IF(AND(S153="NA",D153&lt;&gt;"NA",G153&lt;&gt;"NA"),                                               "Missing Data",(IF(S153&lt;G153,"No","Needed")))))))))),"---")</f>
        <v>---</v>
      </c>
      <c r="D153" s="372" t="str">
        <f>IF(TRUE=ISBLANK(ChemData!B153),"",(ChemData!B153))</f>
        <v/>
      </c>
      <c r="E153" s="373" t="str">
        <f>IF(TRUE=ISBLANK(ChemData!C153),"",(ChemData!C153))</f>
        <v/>
      </c>
      <c r="F153" s="374" t="str">
        <f>IF(TRUE=ISBLANK(ChemData!D153),"",(ChemData!D153))</f>
        <v/>
      </c>
      <c r="G153" s="289" t="str">
        <f>IF(TRUE=ISBLANK(ChemData!I153),"",(ChemData!I153))</f>
        <v>NA</v>
      </c>
      <c r="H153" s="290">
        <f>IF(TRUE=ISBLANK(ChemData!Q153),"",(ChemData!Q153))</f>
        <v>0.49820309220687214</v>
      </c>
      <c r="I153" s="290">
        <f>IF(TRUE=ISBLANK(ChemData!R153),"",(ChemData!R153))</f>
        <v>0.49820309220687214</v>
      </c>
      <c r="J153" s="290">
        <f>IF(TRUE=ISBLANK(ChemData!S153),"",(ChemData!S153))</f>
        <v>1</v>
      </c>
      <c r="K153" s="291">
        <f>IF(TRUE=ISBLANK(ChemData!T153),"",(ChemData!T153))</f>
        <v>1</v>
      </c>
      <c r="L153" s="375" t="str">
        <f>IF(Start!$C$16="x",IF(OR(D153="NA",D153=""),"NA", IF(OR($J153 = "NA",J153=""),"NA",(D153*$J153))),"---")</f>
        <v>---</v>
      </c>
      <c r="M153" s="377" t="str">
        <f>IF(Start!$C$16="x",IF(OR(D153="NA",D153=""),"NA", IF(OR($K153 = "NA",K153=""),"NA",(D153*$K153))),"---")</f>
        <v>---</v>
      </c>
      <c r="N153" s="375" t="str">
        <f t="shared" si="6"/>
        <v>---</v>
      </c>
      <c r="O153" s="377" t="str">
        <f t="shared" si="6"/>
        <v>---</v>
      </c>
      <c r="P153" s="461" t="str">
        <f>IF(Start!$C$16="x",(IF(L153 = "NA","NA", (IF(OR($H153 = "NA",H153=""), "NA",(IF(OR(ChemData!U153="NA",ChemData!U153=""),L153/((Data!$D$33+((1-Data!$D$33)*Data!$D$14*$H153))/((1-Data!$D$33)*Data!$D$14*1000)),(IF(L153/((Data!$D$33+((1-Data!$D$33)*Data!$D$14*$H153))/((1-Data!$D$33)*Data!$D$14*1000))&gt;ChemData!U153, ChemData!U153, L153/((Data!$D$33+((1-Data!$D$33)*Data!$D$14*$H153))/((1-Data!$D$33)*Data!$D$14*1000)))))))))),"---")</f>
        <v>---</v>
      </c>
      <c r="Q153" s="376" t="str">
        <f>IF(Start!$C$16="x",IF(OR($F153 = "NA",F153=""), "NA", IF(P153= "NA", "NA",(P153+(Data!$D$30*$F153))/(Data!$D$30+1))),"---")</f>
        <v>---</v>
      </c>
      <c r="R153" s="376" t="str">
        <f>IF(Start!$C$16="x",IF(O153 = "NA","NA", IF(OR($I153 = "NA",I153=""), "NA",(IF(OR(ChemData!U153="NA",ChemData!U153=""),O153/((Data!$D$35+((1-Data!$D$35)*Data!$D$14*$I153))/((1-Data!$D$35)*Data!$D$14*1000)),(IF(O153/((Data!$D$35+((1-Data!$D$35)*Data!$D$14*$I153))/((1-Data!$D$35)*Data!$D$14*1000))&gt;ChemData!U153, ChemData!U153, O153/((Data!$D$35+((1-Data!$D$35)*Data!$D$14*$I153))/((1-Data!$D$35)*Data!$D$14*1000)))))))),"---")</f>
        <v>---</v>
      </c>
      <c r="S153" s="377" t="str">
        <f>IF(Start!$C$16="x",IF(OR($F153 = "NA",F153=""), "NA", IF(R153= "NA", "NA",(R153+(Data!$D$30*$F153))/(Data!$D$30+1))),"---")</f>
        <v>---</v>
      </c>
      <c r="T153" s="343" t="str">
        <f>IF(Start!$C$16="x",IF(AND(D153= "",E153=""),"",IF(Q153="NA","NA",IF(G153="NA","NA",IF(G153=0,"NA",(Q153/G153))))),"Not Req.")</f>
        <v>Not Req.</v>
      </c>
      <c r="U153" s="343" t="str">
        <f>IF(Start!$C$16="x",IF(AND(D153= "",E153=""),"",IF(S153="NA","NA",IF(G153="NA","NA",IF(G153=0,"NA",(S153/G153))))),"Not Req.")</f>
        <v>Not Req.</v>
      </c>
      <c r="V153" s="11"/>
    </row>
    <row r="154" spans="1:22" s="10" customFormat="1" x14ac:dyDescent="0.25">
      <c r="A154" s="307" t="s">
        <v>472</v>
      </c>
      <c r="B154" s="348" t="str">
        <f>IF(Start!$C$16="x",IF(OR(D154 ="NA",E154="NA"),"NA",IF(AND(D154= "",E154=""),"",IF(AND(D154= "",E154&lt;&gt; ""),"Missing Data",                     IF(AND(D154&lt;&gt; "",E154= ""),"Missing Data",(IF(OR(G154="NA",G154=""),"No Criteria",(IF(AND(Q154="NA",D154&lt;&gt;"NA",G154&lt;&gt;"NA"),                                               "Missing Data",(IF(Q154&lt;G154,"No","Needed")))))))))),"---")</f>
        <v>---</v>
      </c>
      <c r="C154" s="350" t="str">
        <f>IF(Start!$C$16="x",IF(OR(D154 ="NA",E154="NA"),"NA",IF(AND(D154= "",E154=""),"",IF(AND(D154= "",E154&lt;&gt; ""),"Missing Data",                     IF(AND(D154&lt;&gt; "",E154= ""),"Missing Data",(IF(OR(G154="NA",G154=""),"No Criteria",(IF(AND(S154="NA",D154&lt;&gt;"NA",G154&lt;&gt;"NA"),                                               "Missing Data",(IF(S154&lt;G154,"No","Needed")))))))))),"---")</f>
        <v>---</v>
      </c>
      <c r="D154" s="372" t="str">
        <f>IF(TRUE=ISBLANK(ChemData!B154),"",(ChemData!B154))</f>
        <v/>
      </c>
      <c r="E154" s="373" t="str">
        <f>IF(TRUE=ISBLANK(ChemData!C154),"",(ChemData!C154))</f>
        <v/>
      </c>
      <c r="F154" s="374" t="str">
        <f>IF(TRUE=ISBLANK(ChemData!D154),"",(ChemData!D154))</f>
        <v/>
      </c>
      <c r="G154" s="289">
        <f>IF(TRUE=ISBLANK(ChemData!I154),"",(ChemData!I154))</f>
        <v>28</v>
      </c>
      <c r="H154" s="290">
        <f>IF(TRUE=ISBLANK(ChemData!Q154),"",(ChemData!Q154))</f>
        <v>1.5395947403110444</v>
      </c>
      <c r="I154" s="290">
        <f>IF(TRUE=ISBLANK(ChemData!R154),"",(ChemData!R154))</f>
        <v>1.5395947403110444</v>
      </c>
      <c r="J154" s="290">
        <f>IF(TRUE=ISBLANK(ChemData!S154),"",(ChemData!S154))</f>
        <v>1</v>
      </c>
      <c r="K154" s="291">
        <f>IF(TRUE=ISBLANK(ChemData!T154),"",(ChemData!T154))</f>
        <v>1</v>
      </c>
      <c r="L154" s="375" t="str">
        <f>IF(Start!$C$16="x",IF(OR(D154="NA",D154=""),"NA", IF(OR($J154 = "NA",J154=""),"NA",(D154*$J154))),"---")</f>
        <v>---</v>
      </c>
      <c r="M154" s="377" t="str">
        <f>IF(Start!$C$16="x",IF(OR(D154="NA",D154=""),"NA", IF(OR($K154 = "NA",K154=""),"NA",(D154*$K154))),"---")</f>
        <v>---</v>
      </c>
      <c r="N154" s="375" t="str">
        <f t="shared" si="6"/>
        <v>---</v>
      </c>
      <c r="O154" s="377" t="str">
        <f t="shared" si="6"/>
        <v>---</v>
      </c>
      <c r="P154" s="461" t="str">
        <f>IF(Start!$C$16="x",(IF(L154 = "NA","NA", (IF(OR($H154 = "NA",H154=""), "NA",(IF(OR(ChemData!U154="NA",ChemData!U154=""),L154/((Data!$D$33+((1-Data!$D$33)*Data!$D$14*$H154))/((1-Data!$D$33)*Data!$D$14*1000)),(IF(L154/((Data!$D$33+((1-Data!$D$33)*Data!$D$14*$H154))/((1-Data!$D$33)*Data!$D$14*1000))&gt;ChemData!U154, ChemData!U154, L154/((Data!$D$33+((1-Data!$D$33)*Data!$D$14*$H154))/((1-Data!$D$33)*Data!$D$14*1000)))))))))),"---")</f>
        <v>---</v>
      </c>
      <c r="Q154" s="376" t="str">
        <f>IF(Start!$C$16="x",IF(OR($F154 = "NA",F154=""), "NA", IF(P154= "NA", "NA",(P154+(Data!$D$30*$F154))/(Data!$D$30+1))),"---")</f>
        <v>---</v>
      </c>
      <c r="R154" s="376" t="str">
        <f>IF(Start!$C$16="x",IF(O154 = "NA","NA", IF(OR($I154 = "NA",I154=""), "NA",(IF(OR(ChemData!U154="NA",ChemData!U154=""),O154/((Data!$D$35+((1-Data!$D$35)*Data!$D$14*$I154))/((1-Data!$D$35)*Data!$D$14*1000)),(IF(O154/((Data!$D$35+((1-Data!$D$35)*Data!$D$14*$I154))/((1-Data!$D$35)*Data!$D$14*1000))&gt;ChemData!U154, ChemData!U154, O154/((Data!$D$35+((1-Data!$D$35)*Data!$D$14*$I154))/((1-Data!$D$35)*Data!$D$14*1000)))))))),"---")</f>
        <v>---</v>
      </c>
      <c r="S154" s="377" t="str">
        <f>IF(Start!$C$16="x",IF(OR($F154 = "NA",F154=""), "NA", IF(R154= "NA", "NA",(R154+(Data!$D$30*$F154))/(Data!$D$30+1))),"---")</f>
        <v>---</v>
      </c>
      <c r="T154" s="343" t="str">
        <f>IF(Start!$C$16="x",IF(AND(D154= "",E154=""),"",IF(Q154="NA","NA",IF(G154="NA","NA",IF(G154=0,"NA",(Q154/G154))))),"Not Req.")</f>
        <v>Not Req.</v>
      </c>
      <c r="U154" s="343" t="str">
        <f>IF(Start!$C$16="x",IF(AND(D154= "",E154=""),"",IF(S154="NA","NA",IF(G154="NA","NA",IF(G154=0,"NA",(S154/G154))))),"Not Req.")</f>
        <v>Not Req.</v>
      </c>
      <c r="V154" s="11"/>
    </row>
    <row r="155" spans="1:22" s="10" customFormat="1" x14ac:dyDescent="0.25">
      <c r="A155" s="307" t="s">
        <v>671</v>
      </c>
      <c r="B155" s="348" t="str">
        <f>IF(Start!$C$16="x",IF(OR(D155 ="NA",E155="NA"),"NA",IF(AND(D155= "",E155=""),"",IF(AND(D155= "",E155&lt;&gt; ""),"Missing Data",                     IF(AND(D155&lt;&gt; "",E155= ""),"Missing Data",(IF(OR(G155="NA",G155=""),"No Criteria",(IF(AND(Q155="NA",D155&lt;&gt;"NA",G155&lt;&gt;"NA"),                                               "Missing Data",(IF(Q155&lt;G155,"No","Needed")))))))))),"---")</f>
        <v>---</v>
      </c>
      <c r="C155" s="350" t="str">
        <f>IF(Start!$C$16="x",IF(OR(D155 ="NA",E155="NA"),"NA",IF(AND(D155= "",E155=""),"",IF(AND(D155= "",E155&lt;&gt; ""),"Missing Data",                     IF(AND(D155&lt;&gt; "",E155= ""),"Missing Data",(IF(OR(G155="NA",G155=""),"No Criteria",(IF(AND(S155="NA",D155&lt;&gt;"NA",G155&lt;&gt;"NA"),                                               "Missing Data",(IF(S155&lt;G155,"No","Needed")))))))))),"---")</f>
        <v>---</v>
      </c>
      <c r="D155" s="372" t="str">
        <f>IF(TRUE=ISBLANK(ChemData!B155),"",(ChemData!B155))</f>
        <v/>
      </c>
      <c r="E155" s="373" t="str">
        <f>IF(TRUE=ISBLANK(ChemData!C155),"",(ChemData!C155))</f>
        <v/>
      </c>
      <c r="F155" s="374" t="str">
        <f>IF(TRUE=ISBLANK(ChemData!D155),"",(ChemData!D155))</f>
        <v/>
      </c>
      <c r="G155" s="289" t="str">
        <f>IF(TRUE=ISBLANK(ChemData!I155),"",(ChemData!I155))</f>
        <v>NA</v>
      </c>
      <c r="H155" s="290">
        <f>IF(TRUE=ISBLANK(ChemData!Q155),"",(ChemData!Q155))</f>
        <v>0.15045492854197479</v>
      </c>
      <c r="I155" s="290">
        <f>IF(TRUE=ISBLANK(ChemData!R155),"",(ChemData!R155))</f>
        <v>0.15045492854197479</v>
      </c>
      <c r="J155" s="290">
        <f>IF(TRUE=ISBLANK(ChemData!S155),"",(ChemData!S155))</f>
        <v>1</v>
      </c>
      <c r="K155" s="291">
        <f>IF(TRUE=ISBLANK(ChemData!T155),"",(ChemData!T155))</f>
        <v>1</v>
      </c>
      <c r="L155" s="375" t="str">
        <f>IF(Start!$C$16="x",IF(OR(D155="NA",D155=""),"NA", IF(OR($J155 = "NA",J155=""),"NA",(D155*$J155))),"---")</f>
        <v>---</v>
      </c>
      <c r="M155" s="377" t="str">
        <f>IF(Start!$C$16="x",IF(OR(D155="NA",D155=""),"NA", IF(OR($K155 = "NA",K155=""),"NA",(D155*$K155))),"---")</f>
        <v>---</v>
      </c>
      <c r="N155" s="375" t="str">
        <f t="shared" si="6"/>
        <v>---</v>
      </c>
      <c r="O155" s="377" t="str">
        <f t="shared" si="6"/>
        <v>---</v>
      </c>
      <c r="P155" s="461" t="str">
        <f>IF(Start!$C$16="x",(IF(L155 = "NA","NA", (IF(OR($H155 = "NA",H155=""), "NA",(IF(OR(ChemData!U155="NA",ChemData!U155=""),L155/((Data!$D$33+((1-Data!$D$33)*Data!$D$14*$H155))/((1-Data!$D$33)*Data!$D$14*1000)),(IF(L155/((Data!$D$33+((1-Data!$D$33)*Data!$D$14*$H155))/((1-Data!$D$33)*Data!$D$14*1000))&gt;ChemData!U155, ChemData!U155, L155/((Data!$D$33+((1-Data!$D$33)*Data!$D$14*$H155))/((1-Data!$D$33)*Data!$D$14*1000)))))))))),"---")</f>
        <v>---</v>
      </c>
      <c r="Q155" s="376" t="str">
        <f>IF(Start!$C$16="x",IF(OR($F155 = "NA",F155=""), "NA", IF(P155= "NA", "NA",(P155+(Data!$D$30*$F155))/(Data!$D$30+1))),"---")</f>
        <v>---</v>
      </c>
      <c r="R155" s="376" t="str">
        <f>IF(Start!$C$16="x",IF(O155 = "NA","NA", IF(OR($I155 = "NA",I155=""), "NA",(IF(OR(ChemData!U155="NA",ChemData!U155=""),O155/((Data!$D$35+((1-Data!$D$35)*Data!$D$14*$I155))/((1-Data!$D$35)*Data!$D$14*1000)),(IF(O155/((Data!$D$35+((1-Data!$D$35)*Data!$D$14*$I155))/((1-Data!$D$35)*Data!$D$14*1000))&gt;ChemData!U155, ChemData!U155, O155/((Data!$D$35+((1-Data!$D$35)*Data!$D$14*$I155))/((1-Data!$D$35)*Data!$D$14*1000)))))))),"---")</f>
        <v>---</v>
      </c>
      <c r="S155" s="377" t="str">
        <f>IF(Start!$C$16="x",IF(OR($F155 = "NA",F155=""), "NA", IF(R155= "NA", "NA",(R155+(Data!$D$30*$F155))/(Data!$D$30+1))),"---")</f>
        <v>---</v>
      </c>
      <c r="T155" s="343" t="str">
        <f>IF(Start!$C$16="x",IF(AND(D155= "",E155=""),"",IF(Q155="NA","NA",IF(G155="NA","NA",IF(G155=0,"NA",(Q155/G155))))),"Not Req.")</f>
        <v>Not Req.</v>
      </c>
      <c r="U155" s="343" t="str">
        <f>IF(Start!$C$16="x",IF(AND(D155= "",E155=""),"",IF(S155="NA","NA",IF(G155="NA","NA",IF(G155=0,"NA",(S155/G155))))),"Not Req.")</f>
        <v>Not Req.</v>
      </c>
      <c r="V155" s="11"/>
    </row>
    <row r="156" spans="1:22" s="10" customFormat="1" x14ac:dyDescent="0.25">
      <c r="A156" s="307" t="s">
        <v>474</v>
      </c>
      <c r="B156" s="348" t="str">
        <f>IF(Start!$C$16="x",IF(OR(D156 ="NA",E156="NA"),"NA",IF(AND(D156= "",E156=""),"",IF(AND(D156= "",E156&lt;&gt; ""),"Missing Data",                     IF(AND(D156&lt;&gt; "",E156= ""),"Missing Data",(IF(OR(G156="NA",G156=""),"No Criteria",(IF(AND(Q156="NA",D156&lt;&gt;"NA",G156&lt;&gt;"NA"),                                               "Missing Data",(IF(Q156&lt;G156,"No","Needed")))))))))),"---")</f>
        <v>---</v>
      </c>
      <c r="C156" s="350" t="str">
        <f>IF(Start!$C$16="x",IF(OR(D156 ="NA",E156="NA"),"NA",IF(AND(D156= "",E156=""),"",IF(AND(D156= "",E156&lt;&gt; ""),"Missing Data",                     IF(AND(D156&lt;&gt; "",E156= ""),"Missing Data",(IF(OR(G156="NA",G156=""),"No Criteria",(IF(AND(S156="NA",D156&lt;&gt;"NA",G156&lt;&gt;"NA"),                                               "Missing Data",(IF(S156&lt;G156,"No","Needed")))))))))),"---")</f>
        <v>---</v>
      </c>
      <c r="D156" s="372" t="str">
        <f>IF(TRUE=ISBLANK(ChemData!B156),"",(ChemData!B156))</f>
        <v/>
      </c>
      <c r="E156" s="373" t="str">
        <f>IF(TRUE=ISBLANK(ChemData!C156),"",(ChemData!C156))</f>
        <v/>
      </c>
      <c r="F156" s="374" t="str">
        <f>IF(TRUE=ISBLANK(ChemData!D156),"",(ChemData!D156))</f>
        <v/>
      </c>
      <c r="G156" s="289">
        <f>IF(TRUE=ISBLANK(ChemData!I156),"",(ChemData!I156))</f>
        <v>49</v>
      </c>
      <c r="H156" s="290">
        <f>IF(TRUE=ISBLANK(ChemData!Q156),"",(ChemData!Q156))</f>
        <v>32915.951879820481</v>
      </c>
      <c r="I156" s="290">
        <f>IF(TRUE=ISBLANK(ChemData!R156),"",(ChemData!R156))</f>
        <v>32915.951879820481</v>
      </c>
      <c r="J156" s="290">
        <f>IF(TRUE=ISBLANK(ChemData!S156),"",(ChemData!S156))</f>
        <v>1</v>
      </c>
      <c r="K156" s="291">
        <f>IF(TRUE=ISBLANK(ChemData!T156),"",(ChemData!T156))</f>
        <v>1</v>
      </c>
      <c r="L156" s="375" t="str">
        <f>IF(Start!$C$16="x",IF(OR(D156="NA",D156=""),"NA", IF(OR($J156 = "NA",J156=""),"NA",(D156*$J156))),"---")</f>
        <v>---</v>
      </c>
      <c r="M156" s="377" t="str">
        <f>IF(Start!$C$16="x",IF(OR(D156="NA",D156=""),"NA", IF(OR($K156 = "NA",K156=""),"NA",(D156*$K156))),"---")</f>
        <v>---</v>
      </c>
      <c r="N156" s="375" t="str">
        <f>L156</f>
        <v>---</v>
      </c>
      <c r="O156" s="377" t="str">
        <f>M156</f>
        <v>---</v>
      </c>
      <c r="P156" s="461" t="str">
        <f>IF(Start!$C$16="x",(IF(L156 = "NA","NA", (IF(OR($H156 = "NA",H156=""), "NA",(IF(OR(ChemData!U156="NA",ChemData!U156=""),L156/((Data!$D$33+((1-Data!$D$33)*Data!$D$14*$H156))/((1-Data!$D$33)*Data!$D$14*1000)),(IF(L156/((Data!$D$33+((1-Data!$D$33)*Data!$D$14*$H156))/((1-Data!$D$33)*Data!$D$14*1000))&gt;ChemData!U156, ChemData!U156, L156/((Data!$D$33+((1-Data!$D$33)*Data!$D$14*$H156))/((1-Data!$D$33)*Data!$D$14*1000)))))))))),"---")</f>
        <v>---</v>
      </c>
      <c r="Q156" s="376" t="str">
        <f>IF(Start!$C$16="x",IF(OR($F156 = "NA",F156=""), "NA", IF(P156= "NA", "NA",(P156+(Data!$D$30*$F156))/(Data!$D$30+1))),"---")</f>
        <v>---</v>
      </c>
      <c r="R156" s="376" t="str">
        <f>IF(Start!$C$16="x",IF(O156 = "NA","NA", IF(OR($I156 = "NA",I156=""), "NA",(IF(OR(ChemData!U156="NA",ChemData!U156=""),O156/((Data!$D$35+((1-Data!$D$35)*Data!$D$14*$I156))/((1-Data!$D$35)*Data!$D$14*1000)),(IF(O156/((Data!$D$35+((1-Data!$D$35)*Data!$D$14*$I156))/((1-Data!$D$35)*Data!$D$14*1000))&gt;ChemData!U156, ChemData!U156, O156/((Data!$D$35+((1-Data!$D$35)*Data!$D$14*$I156))/((1-Data!$D$35)*Data!$D$14*1000)))))))),"---")</f>
        <v>---</v>
      </c>
      <c r="S156" s="377" t="str">
        <f>IF(Start!$C$16="x",IF(OR($F156 = "NA",F156=""), "NA", IF(R156= "NA", "NA",(R156+(Data!$D$30*$F156))/(Data!$D$30+1))),"---")</f>
        <v>---</v>
      </c>
      <c r="T156" s="343" t="str">
        <f>IF(Start!$C$16="x",IF(AND(D156= "",E156=""),"",IF(Q156="NA","NA",IF(G156="NA","NA",IF(G156=0,"NA",(Q156/G156))))),"Not Req.")</f>
        <v>Not Req.</v>
      </c>
      <c r="U156" s="343" t="str">
        <f>IF(Start!$C$16="x",IF(AND(D156= "",E156=""),"",IF(S156="NA","NA",IF(G156="NA","NA",IF(G156=0,"NA",(S156/G156))))),"Not Req.")</f>
        <v>Not Req.</v>
      </c>
      <c r="V156" s="11"/>
    </row>
    <row r="157" spans="1:22" s="10" customFormat="1" x14ac:dyDescent="0.25">
      <c r="A157" s="307" t="s">
        <v>475</v>
      </c>
      <c r="B157" s="348" t="str">
        <f>IF(Start!$C$16="x",IF(OR(D157 ="NA",E157="NA"),"NA",IF(AND(D157= "",E157=""),"",IF(AND(D157= "",E157&lt;&gt; ""),"Missing Data",                     IF(AND(D157&lt;&gt; "",E157= ""),"Missing Data",(IF(OR(G157="NA",G157=""),"No Criteria",(IF(AND(Q157="NA",D157&lt;&gt;"NA",G157&lt;&gt;"NA"),                                               "Missing Data",(IF(Q157&lt;G157,"No","Needed")))))))))),"---")</f>
        <v>---</v>
      </c>
      <c r="C157" s="350" t="str">
        <f>IF(Start!$C$16="x",IF(OR(D157 ="NA",E157="NA"),"NA",IF(AND(D157= "",E157=""),"",IF(AND(D157= "",E157&lt;&gt; ""),"Missing Data",                     IF(AND(D157&lt;&gt; "",E157= ""),"Missing Data",(IF(OR(G157="NA",G157=""),"No Criteria",(IF(AND(S157="NA",D157&lt;&gt;"NA",G157&lt;&gt;"NA"),                                               "Missing Data",(IF(S157&lt;G157,"No","Needed")))))))))),"---")</f>
        <v>---</v>
      </c>
      <c r="D157" s="372" t="str">
        <f>IF(TRUE=ISBLANK(ChemData!B157),"",(ChemData!B157))</f>
        <v/>
      </c>
      <c r="E157" s="373" t="str">
        <f>IF(TRUE=ISBLANK(ChemData!C157),"",(ChemData!C157))</f>
        <v/>
      </c>
      <c r="F157" s="374" t="str">
        <f>IF(TRUE=ISBLANK(ChemData!D157),"",(ChemData!D157))</f>
        <v/>
      </c>
      <c r="G157" s="289" t="str">
        <f>IF(TRUE=ISBLANK(ChemData!I157),"",(ChemData!I157))</f>
        <v>NA</v>
      </c>
      <c r="H157" s="290">
        <f>IF(TRUE=ISBLANK(ChemData!Q157),"",(ChemData!Q157))</f>
        <v>3.2166693340150965</v>
      </c>
      <c r="I157" s="290">
        <f>IF(TRUE=ISBLANK(ChemData!R157),"",(ChemData!R157))</f>
        <v>3.2166693340150965</v>
      </c>
      <c r="J157" s="290">
        <f>IF(TRUE=ISBLANK(ChemData!S157),"",(ChemData!S157))</f>
        <v>1</v>
      </c>
      <c r="K157" s="291">
        <f>IF(TRUE=ISBLANK(ChemData!T157),"",(ChemData!T157))</f>
        <v>1</v>
      </c>
      <c r="L157" s="375" t="str">
        <f>IF(Start!$C$16="x",IF(OR(D157="NA",D157=""),"NA", IF(OR($J157 = "NA",J157=""),"NA",(D157*$J157))),"---")</f>
        <v>---</v>
      </c>
      <c r="M157" s="377" t="str">
        <f>IF(Start!$C$16="x",IF(OR(D157="NA",D157=""),"NA", IF(OR($K157 = "NA",K157=""),"NA",(D157*$K157))),"---")</f>
        <v>---</v>
      </c>
      <c r="N157" s="375" t="str">
        <f t="shared" si="6"/>
        <v>---</v>
      </c>
      <c r="O157" s="377" t="str">
        <f t="shared" si="6"/>
        <v>---</v>
      </c>
      <c r="P157" s="461" t="str">
        <f>IF(Start!$C$16="x",(IF(L157 = "NA","NA", (IF(OR($H157 = "NA",H157=""), "NA",(IF(OR(ChemData!U157="NA",ChemData!U157=""),L157/((Data!$D$33+((1-Data!$D$33)*Data!$D$14*$H157))/((1-Data!$D$33)*Data!$D$14*1000)),(IF(L157/((Data!$D$33+((1-Data!$D$33)*Data!$D$14*$H157))/((1-Data!$D$33)*Data!$D$14*1000))&gt;ChemData!U157, ChemData!U157, L157/((Data!$D$33+((1-Data!$D$33)*Data!$D$14*$H157))/((1-Data!$D$33)*Data!$D$14*1000)))))))))),"---")</f>
        <v>---</v>
      </c>
      <c r="Q157" s="376" t="str">
        <f>IF(Start!$C$16="x",IF(OR($F157 = "NA",F157=""), "NA", IF(P157= "NA", "NA",(P157+(Data!$D$30*$F157))/(Data!$D$30+1))),"---")</f>
        <v>---</v>
      </c>
      <c r="R157" s="376" t="str">
        <f>IF(Start!$C$16="x",IF(O157 = "NA","NA", IF(OR($I157 = "NA",I157=""), "NA",(IF(OR(ChemData!U157="NA",ChemData!U157=""),O157/((Data!$D$35+((1-Data!$D$35)*Data!$D$14*$I157))/((1-Data!$D$35)*Data!$D$14*1000)),(IF(O157/((Data!$D$35+((1-Data!$D$35)*Data!$D$14*$I157))/((1-Data!$D$35)*Data!$D$14*1000))&gt;ChemData!U157, ChemData!U157, O157/((Data!$D$35+((1-Data!$D$35)*Data!$D$14*$I157))/((1-Data!$D$35)*Data!$D$14*1000)))))))),"---")</f>
        <v>---</v>
      </c>
      <c r="S157" s="377" t="str">
        <f>IF(Start!$C$16="x",IF(OR($F157 = "NA",F157=""), "NA", IF(R157= "NA", "NA",(R157+(Data!$D$30*$F157))/(Data!$D$30+1))),"---")</f>
        <v>---</v>
      </c>
      <c r="T157" s="343" t="str">
        <f>IF(Start!$C$16="x",IF(AND(D157= "",E157=""),"",IF(Q157="NA","NA",IF(G157="NA","NA",IF(G157=0,"NA",(Q157/G157))))),"Not Req.")</f>
        <v>Not Req.</v>
      </c>
      <c r="U157" s="343" t="str">
        <f>IF(Start!$C$16="x",IF(AND(D157= "",E157=""),"",IF(S157="NA","NA",IF(G157="NA","NA",IF(G157=0,"NA",(S157/G157))))),"Not Req.")</f>
        <v>Not Req.</v>
      </c>
      <c r="V157" s="11"/>
    </row>
    <row r="158" spans="1:22" s="10" customFormat="1" x14ac:dyDescent="0.25">
      <c r="A158" s="307" t="s">
        <v>476</v>
      </c>
      <c r="B158" s="348" t="str">
        <f>IF(Start!$C$16="x",IF(OR(D158 ="NA",E158="NA"),"NA",IF(AND(D158= "",E158=""),"",IF(AND(D158= "",E158&lt;&gt; ""),"Missing Data",                     IF(AND(D158&lt;&gt; "",E158= ""),"Missing Data",(IF(OR(G158="NA",G158=""),"No Criteria",(IF(AND(Q158="NA",D158&lt;&gt;"NA",G158&lt;&gt;"NA"),                                               "Missing Data",(IF(Q158&lt;G158,"No","Needed")))))))))),"---")</f>
        <v>---</v>
      </c>
      <c r="C158" s="350" t="str">
        <f>IF(Start!$C$16="x",IF(OR(D158 ="NA",E158="NA"),"NA",IF(AND(D158= "",E158=""),"",IF(AND(D158= "",E158&lt;&gt; ""),"Missing Data",                     IF(AND(D158&lt;&gt; "",E158= ""),"Missing Data",(IF(OR(G158="NA",G158=""),"No Criteria",(IF(AND(S158="NA",D158&lt;&gt;"NA",G158&lt;&gt;"NA"),                                               "Missing Data",(IF(S158&lt;G158,"No","Needed")))))))))),"---")</f>
        <v>---</v>
      </c>
      <c r="D158" s="372" t="str">
        <f>IF(TRUE=ISBLANK(ChemData!B158),"",(ChemData!B158))</f>
        <v/>
      </c>
      <c r="E158" s="373" t="str">
        <f>IF(TRUE=ISBLANK(ChemData!C158),"",(ChemData!C158))</f>
        <v/>
      </c>
      <c r="F158" s="374" t="str">
        <f>IF(TRUE=ISBLANK(ChemData!D158),"",(ChemData!D158))</f>
        <v/>
      </c>
      <c r="G158" s="289" t="str">
        <f>IF(TRUE=ISBLANK(ChemData!I158),"",(ChemData!I158))</f>
        <v>NA</v>
      </c>
      <c r="H158" s="290">
        <f>IF(TRUE=ISBLANK(ChemData!Q158),"",(ChemData!Q158))</f>
        <v>3.3682662892870785</v>
      </c>
      <c r="I158" s="290">
        <f>IF(TRUE=ISBLANK(ChemData!R158),"",(ChemData!R158))</f>
        <v>3.3682662892870785</v>
      </c>
      <c r="J158" s="290">
        <f>IF(TRUE=ISBLANK(ChemData!S158),"",(ChemData!S158))</f>
        <v>1</v>
      </c>
      <c r="K158" s="291">
        <f>IF(TRUE=ISBLANK(ChemData!T158),"",(ChemData!T158))</f>
        <v>1</v>
      </c>
      <c r="L158" s="375" t="str">
        <f>IF(Start!$C$16="x",IF(OR(D158="NA",D158=""),"NA", IF(OR($J158 = "NA",J158=""),"NA",(D158*$J158))),"---")</f>
        <v>---</v>
      </c>
      <c r="M158" s="377" t="str">
        <f>IF(Start!$C$16="x",IF(OR(D158="NA",D158=""),"NA", IF(OR($K158 = "NA",K158=""),"NA",(D158*$K158))),"---")</f>
        <v>---</v>
      </c>
      <c r="N158" s="375" t="str">
        <f t="shared" si="6"/>
        <v>---</v>
      </c>
      <c r="O158" s="377" t="str">
        <f t="shared" si="6"/>
        <v>---</v>
      </c>
      <c r="P158" s="461" t="str">
        <f>IF(Start!$C$16="x",(IF(L158 = "NA","NA", (IF(OR($H158 = "NA",H158=""), "NA",(IF(OR(ChemData!U158="NA",ChemData!U158=""),L158/((Data!$D$33+((1-Data!$D$33)*Data!$D$14*$H158))/((1-Data!$D$33)*Data!$D$14*1000)),(IF(L158/((Data!$D$33+((1-Data!$D$33)*Data!$D$14*$H158))/((1-Data!$D$33)*Data!$D$14*1000))&gt;ChemData!U158, ChemData!U158, L158/((Data!$D$33+((1-Data!$D$33)*Data!$D$14*$H158))/((1-Data!$D$33)*Data!$D$14*1000)))))))))),"---")</f>
        <v>---</v>
      </c>
      <c r="Q158" s="376" t="str">
        <f>IF(Start!$C$16="x",IF(OR($F158 = "NA",F158=""), "NA", IF(P158= "NA", "NA",(P158+(Data!$D$30*$F158))/(Data!$D$30+1))),"---")</f>
        <v>---</v>
      </c>
      <c r="R158" s="376" t="str">
        <f>IF(Start!$C$16="x",IF(O158 = "NA","NA", IF(OR($I158 = "NA",I158=""), "NA",(IF(OR(ChemData!U158="NA",ChemData!U158=""),O158/((Data!$D$35+((1-Data!$D$35)*Data!$D$14*$I158))/((1-Data!$D$35)*Data!$D$14*1000)),(IF(O158/((Data!$D$35+((1-Data!$D$35)*Data!$D$14*$I158))/((1-Data!$D$35)*Data!$D$14*1000))&gt;ChemData!U158, ChemData!U158, O158/((Data!$D$35+((1-Data!$D$35)*Data!$D$14*$I158))/((1-Data!$D$35)*Data!$D$14*1000)))))))),"---")</f>
        <v>---</v>
      </c>
      <c r="S158" s="377" t="str">
        <f>IF(Start!$C$16="x",IF(OR($F158 = "NA",F158=""), "NA", IF(R158= "NA", "NA",(R158+(Data!$D$30*$F158))/(Data!$D$30+1))),"---")</f>
        <v>---</v>
      </c>
      <c r="T158" s="343" t="str">
        <f>IF(Start!$C$16="x",IF(AND(D158= "",E158=""),"",IF(Q158="NA","NA",IF(G158="NA","NA",IF(G158=0,"NA",(Q158/G158))))),"Not Req.")</f>
        <v>Not Req.</v>
      </c>
      <c r="U158" s="343" t="str">
        <f>IF(Start!$C$16="x",IF(AND(D158= "",E158=""),"",IF(S158="NA","NA",IF(G158="NA","NA",IF(G158=0,"NA",(S158/G158))))),"Not Req.")</f>
        <v>Not Req.</v>
      </c>
      <c r="V158" s="11"/>
    </row>
    <row r="159" spans="1:22" s="10" customFormat="1" x14ac:dyDescent="0.25">
      <c r="A159" s="307" t="s">
        <v>672</v>
      </c>
      <c r="B159" s="348" t="str">
        <f>IF(Start!$C$16="x",IF(OR(D159 ="NA",E159="NA"),"NA",IF(AND(D159= "",E159=""),"",IF(AND(D159= "",E159&lt;&gt; ""),"Missing Data",                     IF(AND(D159&lt;&gt; "",E159= ""),"Missing Data",(IF(OR(G159="NA",G159=""),"No Criteria",(IF(AND(Q159="NA",D159&lt;&gt;"NA",G159&lt;&gt;"NA"),                                               "Missing Data",(IF(Q159&lt;G159,"No","Needed")))))))))),"---")</f>
        <v>---</v>
      </c>
      <c r="C159" s="350" t="str">
        <f>IF(Start!$C$16="x",IF(OR(D159 ="NA",E159="NA"),"NA",IF(AND(D159= "",E159=""),"",IF(AND(D159= "",E159&lt;&gt; ""),"Missing Data",                     IF(AND(D159&lt;&gt; "",E159= ""),"Missing Data",(IF(OR(G159="NA",G159=""),"No Criteria",(IF(AND(S159="NA",D159&lt;&gt;"NA",G159&lt;&gt;"NA"),                                               "Missing Data",(IF(S159&lt;G159,"No","Needed")))))))))),"---")</f>
        <v>---</v>
      </c>
      <c r="D159" s="372" t="str">
        <f>IF(TRUE=ISBLANK(ChemData!B159),"",(ChemData!B159))</f>
        <v/>
      </c>
      <c r="E159" s="373" t="str">
        <f>IF(TRUE=ISBLANK(ChemData!C159),"",(ChemData!C159))</f>
        <v/>
      </c>
      <c r="F159" s="374" t="str">
        <f>IF(TRUE=ISBLANK(ChemData!D159),"",(ChemData!D159))</f>
        <v/>
      </c>
      <c r="G159" s="289" t="str">
        <f>IF(TRUE=ISBLANK(ChemData!I159),"",(ChemData!I159))</f>
        <v>NA</v>
      </c>
      <c r="H159" s="290">
        <f>IF(TRUE=ISBLANK(ChemData!Q159),"",(ChemData!Q159))</f>
        <v>1.688132063647789</v>
      </c>
      <c r="I159" s="290">
        <f>IF(TRUE=ISBLANK(ChemData!R159),"",(ChemData!R159))</f>
        <v>1.688132063647789</v>
      </c>
      <c r="J159" s="290">
        <f>IF(TRUE=ISBLANK(ChemData!S159),"",(ChemData!S159))</f>
        <v>1</v>
      </c>
      <c r="K159" s="291">
        <f>IF(TRUE=ISBLANK(ChemData!T159),"",(ChemData!T159))</f>
        <v>1</v>
      </c>
      <c r="L159" s="375" t="str">
        <f>IF(Start!$C$16="x",IF(OR(D159="NA",D159=""),"NA", IF(OR($J159 = "NA",J159=""),"NA",(D159*$J159))),"---")</f>
        <v>---</v>
      </c>
      <c r="M159" s="377" t="str">
        <f>IF(Start!$C$16="x",IF(OR(D159="NA",D159=""),"NA", IF(OR($K159 = "NA",K159=""),"NA",(D159*$K159))),"---")</f>
        <v>---</v>
      </c>
      <c r="N159" s="375" t="str">
        <f t="shared" si="6"/>
        <v>---</v>
      </c>
      <c r="O159" s="377" t="str">
        <f t="shared" si="6"/>
        <v>---</v>
      </c>
      <c r="P159" s="461" t="str">
        <f>IF(Start!$C$16="x",(IF(L159 = "NA","NA", (IF(OR($H159 = "NA",H159=""), "NA",(IF(OR(ChemData!U159="NA",ChemData!U159=""),L159/((Data!$D$33+((1-Data!$D$33)*Data!$D$14*$H159))/((1-Data!$D$33)*Data!$D$14*1000)),(IF(L159/((Data!$D$33+((1-Data!$D$33)*Data!$D$14*$H159))/((1-Data!$D$33)*Data!$D$14*1000))&gt;ChemData!U159, ChemData!U159, L159/((Data!$D$33+((1-Data!$D$33)*Data!$D$14*$H159))/((1-Data!$D$33)*Data!$D$14*1000)))))))))),"---")</f>
        <v>---</v>
      </c>
      <c r="Q159" s="376" t="str">
        <f>IF(Start!$C$16="x",IF(OR($F159 = "NA",F159=""), "NA", IF(P159= "NA", "NA",(P159+(Data!$D$30*$F159))/(Data!$D$30+1))),"---")</f>
        <v>---</v>
      </c>
      <c r="R159" s="376" t="str">
        <f>IF(Start!$C$16="x",IF(O159 = "NA","NA", IF(OR($I159 = "NA",I159=""), "NA",(IF(OR(ChemData!U159="NA",ChemData!U159=""),O159/((Data!$D$35+((1-Data!$D$35)*Data!$D$14*$I159))/((1-Data!$D$35)*Data!$D$14*1000)),(IF(O159/((Data!$D$35+((1-Data!$D$35)*Data!$D$14*$I159))/((1-Data!$D$35)*Data!$D$14*1000))&gt;ChemData!U159, ChemData!U159, O159/((Data!$D$35+((1-Data!$D$35)*Data!$D$14*$I159))/((1-Data!$D$35)*Data!$D$14*1000)))))))),"---")</f>
        <v>---</v>
      </c>
      <c r="S159" s="377" t="str">
        <f>IF(Start!$C$16="x",IF(OR($F159 = "NA",F159=""), "NA", IF(R159= "NA", "NA",(R159+(Data!$D$30*$F159))/(Data!$D$30+1))),"---")</f>
        <v>---</v>
      </c>
      <c r="T159" s="343" t="str">
        <f>IF(Start!$C$16="x",IF(AND(D159= "",E159=""),"",IF(Q159="NA","NA",IF(G159="NA","NA",IF(G159=0,"NA",(Q159/G159))))),"Not Req.")</f>
        <v>Not Req.</v>
      </c>
      <c r="U159" s="343" t="str">
        <f>IF(Start!$C$16="x",IF(AND(D159= "",E159=""),"",IF(S159="NA","NA",IF(G159="NA","NA",IF(G159=0,"NA",(S159/G159))))),"Not Req.")</f>
        <v>Not Req.</v>
      </c>
      <c r="V159" s="11"/>
    </row>
    <row r="160" spans="1:22" s="10" customFormat="1" x14ac:dyDescent="0.25">
      <c r="A160" s="307" t="s">
        <v>673</v>
      </c>
      <c r="B160" s="348" t="str">
        <f>IF(Start!$C$16="x",IF(OR(D160 ="NA",E160="NA"),"NA",IF(AND(D160= "",E160=""),"",IF(AND(D160= "",E160&lt;&gt; ""),"Missing Data",                     IF(AND(D160&lt;&gt; "",E160= ""),"Missing Data",(IF(OR(G160="NA",G160=""),"No Criteria",(IF(AND(Q160="NA",D160&lt;&gt;"NA",G160&lt;&gt;"NA"),                                               "Missing Data",(IF(Q160&lt;G160,"No","Needed")))))))))),"---")</f>
        <v>---</v>
      </c>
      <c r="C160" s="350" t="str">
        <f>IF(Start!$C$16="x",IF(OR(D160 ="NA",E160="NA"),"NA",IF(AND(D160= "",E160=""),"",IF(AND(D160= "",E160&lt;&gt; ""),"Missing Data",                     IF(AND(D160&lt;&gt; "",E160= ""),"Missing Data",(IF(OR(G160="NA",G160=""),"No Criteria",(IF(AND(S160="NA",D160&lt;&gt;"NA",G160&lt;&gt;"NA"),                                               "Missing Data",(IF(S160&lt;G160,"No","Needed")))))))))),"---")</f>
        <v>---</v>
      </c>
      <c r="D160" s="372" t="str">
        <f>IF(TRUE=ISBLANK(ChemData!B160),"",(ChemData!B160))</f>
        <v/>
      </c>
      <c r="E160" s="373" t="str">
        <f>IF(TRUE=ISBLANK(ChemData!C160),"",(ChemData!C160))</f>
        <v/>
      </c>
      <c r="F160" s="374" t="str">
        <f>IF(TRUE=ISBLANK(ChemData!D160),"",(ChemData!D160))</f>
        <v/>
      </c>
      <c r="G160" s="289" t="str">
        <f>IF(TRUE=ISBLANK(ChemData!I160),"",(ChemData!I160))</f>
        <v>NA</v>
      </c>
      <c r="H160" s="290">
        <f>IF(TRUE=ISBLANK(ChemData!Q160),"",(ChemData!Q160))</f>
        <v>2.6755090156507135</v>
      </c>
      <c r="I160" s="290">
        <f>IF(TRUE=ISBLANK(ChemData!R160),"",(ChemData!R160))</f>
        <v>2.6755090156507135</v>
      </c>
      <c r="J160" s="290">
        <f>IF(TRUE=ISBLANK(ChemData!S160),"",(ChemData!S160))</f>
        <v>1</v>
      </c>
      <c r="K160" s="291">
        <f>IF(TRUE=ISBLANK(ChemData!T160),"",(ChemData!T160))</f>
        <v>1</v>
      </c>
      <c r="L160" s="375" t="str">
        <f>IF(Start!$C$16="x",IF(OR(D160="NA",D160=""),"NA", IF(OR($J160 = "NA",J160=""),"NA",(D160*$J160))),"---")</f>
        <v>---</v>
      </c>
      <c r="M160" s="377" t="str">
        <f>IF(Start!$C$16="x",IF(OR(D160="NA",D160=""),"NA", IF(OR($K160 = "NA",K160=""),"NA",(D160*$K160))),"---")</f>
        <v>---</v>
      </c>
      <c r="N160" s="375" t="str">
        <f t="shared" si="6"/>
        <v>---</v>
      </c>
      <c r="O160" s="377" t="str">
        <f t="shared" si="6"/>
        <v>---</v>
      </c>
      <c r="P160" s="461" t="str">
        <f>IF(Start!$C$16="x",(IF(L160 = "NA","NA", (IF(OR($H160 = "NA",H160=""), "NA",(IF(OR(ChemData!U160="NA",ChemData!U160=""),L160/((Data!$D$33+((1-Data!$D$33)*Data!$D$14*$H160))/((1-Data!$D$33)*Data!$D$14*1000)),(IF(L160/((Data!$D$33+((1-Data!$D$33)*Data!$D$14*$H160))/((1-Data!$D$33)*Data!$D$14*1000))&gt;ChemData!U160, ChemData!U160, L160/((Data!$D$33+((1-Data!$D$33)*Data!$D$14*$H160))/((1-Data!$D$33)*Data!$D$14*1000)))))))))),"---")</f>
        <v>---</v>
      </c>
      <c r="Q160" s="376" t="str">
        <f>IF(Start!$C$16="x",IF(OR($F160 = "NA",F160=""), "NA", IF(P160= "NA", "NA",(P160+(Data!$D$30*$F160))/(Data!$D$30+1))),"---")</f>
        <v>---</v>
      </c>
      <c r="R160" s="376" t="str">
        <f>IF(Start!$C$16="x",IF(O160 = "NA","NA", IF(OR($I160 = "NA",I160=""), "NA",(IF(OR(ChemData!U160="NA",ChemData!U160=""),O160/((Data!$D$35+((1-Data!$D$35)*Data!$D$14*$I160))/((1-Data!$D$35)*Data!$D$14*1000)),(IF(O160/((Data!$D$35+((1-Data!$D$35)*Data!$D$14*$I160))/((1-Data!$D$35)*Data!$D$14*1000))&gt;ChemData!U160, ChemData!U160, O160/((Data!$D$35+((1-Data!$D$35)*Data!$D$14*$I160))/((1-Data!$D$35)*Data!$D$14*1000)))))))),"---")</f>
        <v>---</v>
      </c>
      <c r="S160" s="377" t="str">
        <f>IF(Start!$C$16="x",IF(OR($F160 = "NA",F160=""), "NA", IF(R160= "NA", "NA",(R160+(Data!$D$30*$F160))/(Data!$D$30+1))),"---")</f>
        <v>---</v>
      </c>
      <c r="T160" s="343" t="str">
        <f>IF(Start!$C$16="x",IF(AND(D160= "",E160=""),"",IF(Q160="NA","NA",IF(G160="NA","NA",IF(G160=0,"NA",(Q160/G160))))),"Not Req.")</f>
        <v>Not Req.</v>
      </c>
      <c r="U160" s="343" t="str">
        <f>IF(Start!$C$16="x",IF(AND(D160= "",E160=""),"",IF(S160="NA","NA",IF(G160="NA","NA",IF(G160=0,"NA",(S160/G160))))),"Not Req.")</f>
        <v>Not Req.</v>
      </c>
      <c r="V160" s="11"/>
    </row>
    <row r="161" spans="1:22" s="10" customFormat="1" x14ac:dyDescent="0.25">
      <c r="A161" s="307" t="s">
        <v>479</v>
      </c>
      <c r="B161" s="348" t="str">
        <f>IF(Start!$C$16="x",IF(OR(D161 ="NA",E161="NA"),"NA",IF(AND(D161= "",E161=""),"",IF(AND(D161= "",E161&lt;&gt; ""),"Missing Data",                     IF(AND(D161&lt;&gt; "",E161= ""),"Missing Data",(IF(OR(G161="NA",G161=""),"No Criteria",(IF(AND(Q161="NA",D161&lt;&gt;"NA",G161&lt;&gt;"NA"),                                               "Missing Data",(IF(Q161&lt;G161,"No","Needed")))))))))),"---")</f>
        <v>---</v>
      </c>
      <c r="C161" s="350" t="str">
        <f>IF(Start!$C$16="x",IF(OR(D161 ="NA",E161="NA"),"NA",IF(AND(D161= "",E161=""),"",IF(AND(D161= "",E161&lt;&gt; ""),"Missing Data",                     IF(AND(D161&lt;&gt; "",E161= ""),"Missing Data",(IF(OR(G161="NA",G161=""),"No Criteria",(IF(AND(S161="NA",D161&lt;&gt;"NA",G161&lt;&gt;"NA"),                                               "Missing Data",(IF(S161&lt;G161,"No","Needed")))))))))),"---")</f>
        <v>---</v>
      </c>
      <c r="D161" s="372" t="str">
        <f>IF(TRUE=ISBLANK(ChemData!B161),"",(ChemData!B161))</f>
        <v/>
      </c>
      <c r="E161" s="373" t="str">
        <f>IF(TRUE=ISBLANK(ChemData!C161),"",(ChemData!C161))</f>
        <v/>
      </c>
      <c r="F161" s="374" t="str">
        <f>IF(TRUE=ISBLANK(ChemData!D161),"",(ChemData!D161))</f>
        <v/>
      </c>
      <c r="G161" s="289">
        <f>IF(TRUE=ISBLANK(ChemData!I161),"",(ChemData!I161))</f>
        <v>47</v>
      </c>
      <c r="H161" s="290">
        <f>IF(TRUE=ISBLANK(ChemData!Q161),"",(ChemData!Q161))</f>
        <v>1.1413173484456043</v>
      </c>
      <c r="I161" s="290">
        <f>IF(TRUE=ISBLANK(ChemData!R161),"",(ChemData!R161))</f>
        <v>1.1413173484456043</v>
      </c>
      <c r="J161" s="290">
        <f>IF(TRUE=ISBLANK(ChemData!S161),"",(ChemData!S161))</f>
        <v>1</v>
      </c>
      <c r="K161" s="291">
        <f>IF(TRUE=ISBLANK(ChemData!T161),"",(ChemData!T161))</f>
        <v>1</v>
      </c>
      <c r="L161" s="375" t="str">
        <f>IF(Start!$C$16="x",IF(OR(D161="NA",D161=""),"NA", IF(OR($J161 = "NA",J161=""),"NA",(D161*$J161))),"---")</f>
        <v>---</v>
      </c>
      <c r="M161" s="377" t="str">
        <f>IF(Start!$C$16="x",IF(OR(D161="NA",D161=""),"NA", IF(OR($K161 = "NA",K161=""),"NA",(D161*$K161))),"---")</f>
        <v>---</v>
      </c>
      <c r="N161" s="375" t="str">
        <f t="shared" si="6"/>
        <v>---</v>
      </c>
      <c r="O161" s="377" t="str">
        <f t="shared" si="6"/>
        <v>---</v>
      </c>
      <c r="P161" s="461" t="str">
        <f>IF(Start!$C$16="x",(IF(L161 = "NA","NA", (IF(OR($H161 = "NA",H161=""), "NA",(IF(OR(ChemData!U161="NA",ChemData!U161=""),L161/((Data!$D$33+((1-Data!$D$33)*Data!$D$14*$H161))/((1-Data!$D$33)*Data!$D$14*1000)),(IF(L161/((Data!$D$33+((1-Data!$D$33)*Data!$D$14*$H161))/((1-Data!$D$33)*Data!$D$14*1000))&gt;ChemData!U161, ChemData!U161, L161/((Data!$D$33+((1-Data!$D$33)*Data!$D$14*$H161))/((1-Data!$D$33)*Data!$D$14*1000)))))))))),"---")</f>
        <v>---</v>
      </c>
      <c r="Q161" s="376" t="str">
        <f>IF(Start!$C$16="x",IF(OR($F161 = "NA",F161=""), "NA", IF(P161= "NA", "NA",(P161+(Data!$D$30*$F161))/(Data!$D$30+1))),"---")</f>
        <v>---</v>
      </c>
      <c r="R161" s="376" t="str">
        <f>IF(Start!$C$16="x",IF(O161 = "NA","NA", IF(OR($I161 = "NA",I161=""), "NA",(IF(OR(ChemData!U161="NA",ChemData!U161=""),O161/((Data!$D$35+((1-Data!$D$35)*Data!$D$14*$I161))/((1-Data!$D$35)*Data!$D$14*1000)),(IF(O161/((Data!$D$35+((1-Data!$D$35)*Data!$D$14*$I161))/((1-Data!$D$35)*Data!$D$14*1000))&gt;ChemData!U161, ChemData!U161, O161/((Data!$D$35+((1-Data!$D$35)*Data!$D$14*$I161))/((1-Data!$D$35)*Data!$D$14*1000)))))))),"---")</f>
        <v>---</v>
      </c>
      <c r="S161" s="377" t="str">
        <f>IF(Start!$C$16="x",IF(OR($F161 = "NA",F161=""), "NA", IF(R161= "NA", "NA",(R161+(Data!$D$30*$F161))/(Data!$D$30+1))),"---")</f>
        <v>---</v>
      </c>
      <c r="T161" s="343" t="str">
        <f>IF(Start!$C$16="x",IF(AND(D161= "",E161=""),"",IF(Q161="NA","NA",IF(G161="NA","NA",IF(G161=0,"NA",(Q161/G161))))),"Not Req.")</f>
        <v>Not Req.</v>
      </c>
      <c r="U161" s="343" t="str">
        <f>IF(Start!$C$16="x",IF(AND(D161= "",E161=""),"",IF(S161="NA","NA",IF(G161="NA","NA",IF(G161=0,"NA",(S161/G161))))),"Not Req.")</f>
        <v>Not Req.</v>
      </c>
      <c r="V161" s="11"/>
    </row>
    <row r="162" spans="1:22" s="10" customFormat="1" x14ac:dyDescent="0.25">
      <c r="A162" s="307" t="s">
        <v>480</v>
      </c>
      <c r="B162" s="348" t="str">
        <f>IF(Start!$C$16="x",IF(OR(D162 ="NA",E162="NA"),"NA",IF(AND(D162= "",E162=""),"",IF(AND(D162= "",E162&lt;&gt; ""),"Missing Data",                     IF(AND(D162&lt;&gt; "",E162= ""),"Missing Data",(IF(OR(G162="NA",G162=""),"No Criteria",(IF(AND(Q162="NA",D162&lt;&gt;"NA",G162&lt;&gt;"NA"),                                               "Missing Data",(IF(Q162&lt;G162,"No","Needed")))))))))),"---")</f>
        <v>---</v>
      </c>
      <c r="C162" s="350" t="str">
        <f>IF(Start!$C$16="x",IF(OR(D162 ="NA",E162="NA"),"NA",IF(AND(D162= "",E162=""),"",IF(AND(D162= "",E162&lt;&gt; ""),"Missing Data",                     IF(AND(D162&lt;&gt; "",E162= ""),"Missing Data",(IF(OR(G162="NA",G162=""),"No Criteria",(IF(AND(S162="NA",D162&lt;&gt;"NA",G162&lt;&gt;"NA"),                                               "Missing Data",(IF(S162&lt;G162,"No","Needed")))))))))),"---")</f>
        <v>---</v>
      </c>
      <c r="D162" s="372" t="str">
        <f>IF(TRUE=ISBLANK(ChemData!B162),"",(ChemData!B162))</f>
        <v/>
      </c>
      <c r="E162" s="373" t="str">
        <f>IF(TRUE=ISBLANK(ChemData!C162),"",(ChemData!C162))</f>
        <v/>
      </c>
      <c r="F162" s="374" t="str">
        <f>IF(TRUE=ISBLANK(ChemData!D162),"",(ChemData!D162))</f>
        <v/>
      </c>
      <c r="G162" s="289">
        <f>IF(TRUE=ISBLANK(ChemData!I162),"",(ChemData!I162))</f>
        <v>910</v>
      </c>
      <c r="H162" s="290">
        <f>IF(TRUE=ISBLANK(ChemData!Q162),"",(ChemData!Q162))</f>
        <v>0.5589930634464132</v>
      </c>
      <c r="I162" s="290">
        <f>IF(TRUE=ISBLANK(ChemData!R162),"",(ChemData!R162))</f>
        <v>0.5589930634464132</v>
      </c>
      <c r="J162" s="290">
        <f>IF(TRUE=ISBLANK(ChemData!S162),"",(ChemData!S162))</f>
        <v>1</v>
      </c>
      <c r="K162" s="291">
        <f>IF(TRUE=ISBLANK(ChemData!T162),"",(ChemData!T162))</f>
        <v>1</v>
      </c>
      <c r="L162" s="375" t="str">
        <f>IF(Start!$C$16="x",IF(OR(D162="NA",D162=""),"NA", IF(OR($J162 = "NA",J162=""),"NA",(D162*$J162))),"---")</f>
        <v>---</v>
      </c>
      <c r="M162" s="377" t="str">
        <f>IF(Start!$C$16="x",IF(OR(D162="NA",D162=""),"NA", IF(OR($K162 = "NA",K162=""),"NA",(D162*$K162))),"---")</f>
        <v>---</v>
      </c>
      <c r="N162" s="375" t="str">
        <f t="shared" si="6"/>
        <v>---</v>
      </c>
      <c r="O162" s="377" t="str">
        <f t="shared" si="6"/>
        <v>---</v>
      </c>
      <c r="P162" s="461" t="str">
        <f>IF(Start!$C$16="x",(IF(L162 = "NA","NA", (IF(OR($H162 = "NA",H162=""), "NA",(IF(OR(ChemData!U162="NA",ChemData!U162=""),L162/((Data!$D$33+((1-Data!$D$33)*Data!$D$14*$H162))/((1-Data!$D$33)*Data!$D$14*1000)),(IF(L162/((Data!$D$33+((1-Data!$D$33)*Data!$D$14*$H162))/((1-Data!$D$33)*Data!$D$14*1000))&gt;ChemData!U162, ChemData!U162, L162/((Data!$D$33+((1-Data!$D$33)*Data!$D$14*$H162))/((1-Data!$D$33)*Data!$D$14*1000)))))))))),"---")</f>
        <v>---</v>
      </c>
      <c r="Q162" s="376" t="str">
        <f>IF(Start!$C$16="x",IF(OR($F162 = "NA",F162=""), "NA", IF(P162= "NA", "NA",(P162+(Data!$D$30*$F162))/(Data!$D$30+1))),"---")</f>
        <v>---</v>
      </c>
      <c r="R162" s="376" t="str">
        <f>IF(Start!$C$16="x",IF(O162 = "NA","NA", IF(OR($I162 = "NA",I162=""), "NA",(IF(OR(ChemData!U162="NA",ChemData!U162=""),O162/((Data!$D$35+((1-Data!$D$35)*Data!$D$14*$I162))/((1-Data!$D$35)*Data!$D$14*1000)),(IF(O162/((Data!$D$35+((1-Data!$D$35)*Data!$D$14*$I162))/((1-Data!$D$35)*Data!$D$14*1000))&gt;ChemData!U162, ChemData!U162, O162/((Data!$D$35+((1-Data!$D$35)*Data!$D$14*$I162))/((1-Data!$D$35)*Data!$D$14*1000)))))))),"---")</f>
        <v>---</v>
      </c>
      <c r="S162" s="377" t="str">
        <f>IF(Start!$C$16="x",IF(OR($F162 = "NA",F162=""), "NA", IF(R162= "NA", "NA",(R162+(Data!$D$30*$F162))/(Data!$D$30+1))),"---")</f>
        <v>---</v>
      </c>
      <c r="T162" s="343" t="str">
        <f>IF(Start!$C$16="x",IF(AND(D162= "",E162=""),"",IF(Q162="NA","NA",IF(G162="NA","NA",IF(G162=0,"NA",(Q162/G162))))),"Not Req.")</f>
        <v>Not Req.</v>
      </c>
      <c r="U162" s="343" t="str">
        <f>IF(Start!$C$16="x",IF(AND(D162= "",E162=""),"",IF(S162="NA","NA",IF(G162="NA","NA",IF(G162=0,"NA",(S162/G162))))),"Not Req.")</f>
        <v>Not Req.</v>
      </c>
      <c r="V162" s="11"/>
    </row>
    <row r="163" spans="1:22" s="10" customFormat="1" x14ac:dyDescent="0.25">
      <c r="A163" s="308" t="s">
        <v>481</v>
      </c>
      <c r="B163" s="348" t="str">
        <f>IF(Start!$C$16="x",IF(OR(D163 ="NA",E163="NA"),"NA",IF(AND(D163= "",E163=""),"",IF(AND(D163= "",E163&lt;&gt; ""),"Missing Data",                     IF(AND(D163&lt;&gt; "",E163= ""),"Missing Data",(IF(OR(G163="NA",G163=""),"No Criteria",(IF(AND(Q163="NA",D163&lt;&gt;"NA",G163&lt;&gt;"NA"),                                               "Missing Data",(IF(Q163&lt;G163,"No","Needed")))))))))),"---")</f>
        <v>---</v>
      </c>
      <c r="C163" s="350" t="str">
        <f>IF(Start!$C$16="x",IF(OR(D163 ="NA",E163="NA"),"NA",IF(AND(D163= "",E163=""),"",IF(AND(D163= "",E163&lt;&gt; ""),"Missing Data",                     IF(AND(D163&lt;&gt; "",E163= ""),"Missing Data",(IF(OR(G163="NA",G163=""),"No Criteria",(IF(AND(S163="NA",D163&lt;&gt;"NA",G163&lt;&gt;"NA"),                                               "Missing Data",(IF(S163&lt;G163,"No","Needed")))))))))),"---")</f>
        <v>---</v>
      </c>
      <c r="D163" s="372" t="str">
        <f>IF(TRUE=ISBLANK(ChemData!B163),"",(ChemData!B163))</f>
        <v/>
      </c>
      <c r="E163" s="373" t="str">
        <f>IF(TRUE=ISBLANK(ChemData!C163),"",(ChemData!C163))</f>
        <v/>
      </c>
      <c r="F163" s="374" t="str">
        <f>IF(TRUE=ISBLANK(ChemData!D163),"",(ChemData!D163))</f>
        <v/>
      </c>
      <c r="G163" s="289">
        <f>IF(TRUE=ISBLANK(ChemData!I163),"",(ChemData!I163))</f>
        <v>25</v>
      </c>
      <c r="H163" s="290">
        <f>IF(TRUE=ISBLANK(ChemData!Q163),"",(ChemData!Q163))</f>
        <v>2.4969302956771511</v>
      </c>
      <c r="I163" s="290">
        <f>IF(TRUE=ISBLANK(ChemData!R163),"",(ChemData!R163))</f>
        <v>2.4969302956771511</v>
      </c>
      <c r="J163" s="290">
        <f>IF(TRUE=ISBLANK(ChemData!S163),"",(ChemData!S163))</f>
        <v>1</v>
      </c>
      <c r="K163" s="291">
        <f>IF(TRUE=ISBLANK(ChemData!T163),"",(ChemData!T163))</f>
        <v>1</v>
      </c>
      <c r="L163" s="375" t="str">
        <f>IF(Start!$C$16="x",IF(OR(D163="NA",D163=""),"NA", IF(OR($J163 = "NA",J163=""),"NA",(D163*$J163))),"---")</f>
        <v>---</v>
      </c>
      <c r="M163" s="377" t="str">
        <f>IF(Start!$C$16="x",IF(OR(D163="NA",D163=""),"NA", IF(OR($K163 = "NA",K163=""),"NA",(D163*$K163))),"---")</f>
        <v>---</v>
      </c>
      <c r="N163" s="375" t="str">
        <f>L163</f>
        <v>---</v>
      </c>
      <c r="O163" s="377" t="str">
        <f>M163</f>
        <v>---</v>
      </c>
      <c r="P163" s="461" t="str">
        <f>IF(Start!$C$16="x",(IF(L163 = "NA","NA", (IF(OR($H163 = "NA",H163=""), "NA",(IF(OR(ChemData!U163="NA",ChemData!U163=""),L163/((Data!$D$33+((1-Data!$D$33)*Data!$D$14*$H163))/((1-Data!$D$33)*Data!$D$14*1000)),(IF(L163/((Data!$D$33+((1-Data!$D$33)*Data!$D$14*$H163))/((1-Data!$D$33)*Data!$D$14*1000))&gt;ChemData!U163, ChemData!U163, L163/((Data!$D$33+((1-Data!$D$33)*Data!$D$14*$H163))/((1-Data!$D$33)*Data!$D$14*1000)))))))))),"---")</f>
        <v>---</v>
      </c>
      <c r="Q163" s="376" t="str">
        <f>IF(Start!$C$16="x",IF(OR($F163 = "NA",F163=""), "NA", IF(P163= "NA", "NA",(P163+(Data!$D$30*$F163))/(Data!$D$30+1))),"---")</f>
        <v>---</v>
      </c>
      <c r="R163" s="376" t="str">
        <f>IF(Start!$C$16="x",IF(O163 = "NA","NA", IF(OR($I163 = "NA",I163=""), "NA",(IF(OR(ChemData!U163="NA",ChemData!U163=""),O163/((Data!$D$35+((1-Data!$D$35)*Data!$D$14*$I163))/((1-Data!$D$35)*Data!$D$14*1000)),(IF(O163/((Data!$D$35+((1-Data!$D$35)*Data!$D$14*$I163))/((1-Data!$D$35)*Data!$D$14*1000))&gt;ChemData!U163, ChemData!U163, O163/((Data!$D$35+((1-Data!$D$35)*Data!$D$14*$I163))/((1-Data!$D$35)*Data!$D$14*1000)))))))),"---")</f>
        <v>---</v>
      </c>
      <c r="S163" s="377" t="str">
        <f>IF(Start!$C$16="x",IF(OR($F163 = "NA",F163=""), "NA", IF(R163= "NA", "NA",(R163+(Data!$D$30*$F163))/(Data!$D$30+1))),"---")</f>
        <v>---</v>
      </c>
      <c r="T163" s="343" t="str">
        <f>IF(Start!$C$16="x",IF(AND(D163= "",E163=""),"",IF(Q163="NA","NA",IF(G163="NA","NA",IF(G163=0,"NA",(Q163/G163))))),"Not Req.")</f>
        <v>Not Req.</v>
      </c>
      <c r="U163" s="343" t="str">
        <f>IF(Start!$C$16="x",IF(AND(D163= "",E163=""),"",IF(S163="NA","NA",IF(G163="NA","NA",IF(G163=0,"NA",(S163/G163))))),"Not Req.")</f>
        <v>Not Req.</v>
      </c>
      <c r="V163" s="11"/>
    </row>
    <row r="164" spans="1:22" s="10" customFormat="1" x14ac:dyDescent="0.25">
      <c r="A164" s="307" t="s">
        <v>482</v>
      </c>
      <c r="B164" s="348" t="str">
        <f>IF(Start!$C$16="x",IF(OR(D164 ="NA",E164="NA"),"NA",IF(AND(D164= "",E164=""),"",IF(AND(D164= "",E164&lt;&gt; ""),"Missing Data",                     IF(AND(D164&lt;&gt; "",E164= ""),"Missing Data",(IF(OR(G164="NA",G164=""),"No Criteria",(IF(AND(Q164="NA",D164&lt;&gt;"NA",G164&lt;&gt;"NA"),                                               "Missing Data",(IF(Q164&lt;G164,"No","Needed")))))))))),"---")</f>
        <v>---</v>
      </c>
      <c r="C164" s="350" t="str">
        <f>IF(Start!$C$16="x",IF(OR(D164 ="NA",E164="NA"),"NA",IF(AND(D164= "",E164=""),"",IF(AND(D164= "",E164&lt;&gt; ""),"Missing Data",                     IF(AND(D164&lt;&gt; "",E164= ""),"Missing Data",(IF(OR(G164="NA",G164=""),"No Criteria",(IF(AND(S164="NA",D164&lt;&gt;"NA",G164&lt;&gt;"NA"),                                               "Missing Data",(IF(S164&lt;G164,"No","Needed")))))))))),"---")</f>
        <v>---</v>
      </c>
      <c r="D164" s="372" t="str">
        <f>IF(TRUE=ISBLANK(ChemData!B164),"",(ChemData!B164))</f>
        <v/>
      </c>
      <c r="E164" s="373" t="str">
        <f>IF(TRUE=ISBLANK(ChemData!C164),"",(ChemData!C164))</f>
        <v/>
      </c>
      <c r="F164" s="374" t="str">
        <f>IF(TRUE=ISBLANK(ChemData!D164),"",(ChemData!D164))</f>
        <v/>
      </c>
      <c r="G164" s="289">
        <f>IF(TRUE=ISBLANK(ChemData!I164),"",(ChemData!I164))</f>
        <v>590</v>
      </c>
      <c r="H164" s="290">
        <f>IF(TRUE=ISBLANK(ChemData!Q164),"",(ChemData!Q164))</f>
        <v>1.3409309620988077</v>
      </c>
      <c r="I164" s="290">
        <f>IF(TRUE=ISBLANK(ChemData!R164),"",(ChemData!R164))</f>
        <v>1.3409309620988077</v>
      </c>
      <c r="J164" s="290">
        <f>IF(TRUE=ISBLANK(ChemData!S164),"",(ChemData!S164))</f>
        <v>1</v>
      </c>
      <c r="K164" s="291">
        <f>IF(TRUE=ISBLANK(ChemData!T164),"",(ChemData!T164))</f>
        <v>1</v>
      </c>
      <c r="L164" s="375" t="str">
        <f>IF(Start!$C$16="x",IF(OR(D164="NA",D164=""),"NA", IF(OR($J164 = "NA",J164=""),"NA",(D164*$J164))),"---")</f>
        <v>---</v>
      </c>
      <c r="M164" s="377" t="str">
        <f>IF(Start!$C$16="x",IF(OR(D164="NA",D164=""),"NA", IF(OR($K164 = "NA",K164=""),"NA",(D164*$K164))),"---")</f>
        <v>---</v>
      </c>
      <c r="N164" s="375" t="str">
        <f t="shared" si="6"/>
        <v>---</v>
      </c>
      <c r="O164" s="377" t="str">
        <f t="shared" si="6"/>
        <v>---</v>
      </c>
      <c r="P164" s="461" t="str">
        <f>IF(Start!$C$16="x",(IF(L164 = "NA","NA", (IF(OR($H164 = "NA",H164=""), "NA",(IF(OR(ChemData!U164="NA",ChemData!U164=""),L164/((Data!$D$33+((1-Data!$D$33)*Data!$D$14*$H164))/((1-Data!$D$33)*Data!$D$14*1000)),(IF(L164/((Data!$D$33+((1-Data!$D$33)*Data!$D$14*$H164))/((1-Data!$D$33)*Data!$D$14*1000))&gt;ChemData!U164, ChemData!U164, L164/((Data!$D$33+((1-Data!$D$33)*Data!$D$14*$H164))/((1-Data!$D$33)*Data!$D$14*1000)))))))))),"---")</f>
        <v>---</v>
      </c>
      <c r="Q164" s="376" t="str">
        <f>IF(Start!$C$16="x",IF(OR($F164 = "NA",F164=""), "NA", IF(P164= "NA", "NA",(P164+(Data!$D$30*$F164))/(Data!$D$30+1))),"---")</f>
        <v>---</v>
      </c>
      <c r="R164" s="376" t="str">
        <f>IF(Start!$C$16="x",IF(O164 = "NA","NA", IF(OR($I164 = "NA",I164=""), "NA",(IF(OR(ChemData!U164="NA",ChemData!U164=""),O164/((Data!$D$35+((1-Data!$D$35)*Data!$D$14*$I164))/((1-Data!$D$35)*Data!$D$14*1000)),(IF(O164/((Data!$D$35+((1-Data!$D$35)*Data!$D$14*$I164))/((1-Data!$D$35)*Data!$D$14*1000))&gt;ChemData!U164, ChemData!U164, O164/((Data!$D$35+((1-Data!$D$35)*Data!$D$14*$I164))/((1-Data!$D$35)*Data!$D$14*1000)))))))),"---")</f>
        <v>---</v>
      </c>
      <c r="S164" s="377" t="str">
        <f>IF(Start!$C$16="x",IF(OR($F164 = "NA",F164=""), "NA", IF(R164= "NA", "NA",(R164+(Data!$D$30*$F164))/(Data!$D$30+1))),"---")</f>
        <v>---</v>
      </c>
      <c r="T164" s="343" t="str">
        <f>IF(Start!$C$16="x",IF(AND(D164= "",E164=""),"",IF(Q164="NA","NA",IF(G164="NA","NA",IF(G164=0,"NA",(Q164/G164))))),"Not Req.")</f>
        <v>Not Req.</v>
      </c>
      <c r="U164" s="343" t="str">
        <f>IF(Start!$C$16="x",IF(AND(D164= "",E164=""),"",IF(S164="NA","NA",IF(G164="NA","NA",IF(G164=0,"NA",(S164/G164))))),"Not Req.")</f>
        <v>Not Req.</v>
      </c>
      <c r="V164" s="11"/>
    </row>
    <row r="165" spans="1:22" s="10" customFormat="1" x14ac:dyDescent="0.25">
      <c r="A165" s="307" t="s">
        <v>483</v>
      </c>
      <c r="B165" s="348" t="str">
        <f>IF(Start!$C$16="x",IF(OR(D165 ="NA",E165="NA"),"NA",IF(AND(D165= "",E165=""),"",IF(AND(D165= "",E165&lt;&gt; ""),"Missing Data",                     IF(AND(D165&lt;&gt; "",E165= ""),"Missing Data",(IF(OR(G165="NA",G165=""),"No Criteria",(IF(AND(Q165="NA",D165&lt;&gt;"NA",G165&lt;&gt;"NA"),                                               "Missing Data",(IF(Q165&lt;G165,"No","Needed")))))))))),"---")</f>
        <v>---</v>
      </c>
      <c r="C165" s="350" t="str">
        <f>IF(Start!$C$16="x",IF(OR(D165 ="NA",E165="NA"),"NA",IF(AND(D165= "",E165=""),"",IF(AND(D165= "",E165&lt;&gt; ""),"Missing Data",                     IF(AND(D165&lt;&gt; "",E165= ""),"Missing Data",(IF(OR(G165="NA",G165=""),"No Criteria",(IF(AND(S165="NA",D165&lt;&gt;"NA",G165&lt;&gt;"NA"),                                               "Missing Data",(IF(S165&lt;G165,"No","Needed")))))))))),"---")</f>
        <v>---</v>
      </c>
      <c r="D165" s="372" t="str">
        <f>IF(TRUE=ISBLANK(ChemData!B165),"",(ChemData!B165))</f>
        <v/>
      </c>
      <c r="E165" s="373" t="str">
        <f>IF(TRUE=ISBLANK(ChemData!C165),"",(ChemData!C165))</f>
        <v/>
      </c>
      <c r="F165" s="374" t="str">
        <f>IF(TRUE=ISBLANK(ChemData!D165),"",(ChemData!D165))</f>
        <v/>
      </c>
      <c r="G165" s="289">
        <f>IF(TRUE=ISBLANK(ChemData!I165),"",(ChemData!I165))</f>
        <v>590</v>
      </c>
      <c r="H165" s="290">
        <f>IF(TRUE=ISBLANK(ChemData!Q165),"",(ChemData!Q165))</f>
        <v>1.5754565087125991</v>
      </c>
      <c r="I165" s="290">
        <f>IF(TRUE=ISBLANK(ChemData!R165),"",(ChemData!R165))</f>
        <v>1.5754565087125991</v>
      </c>
      <c r="J165" s="290">
        <f>IF(TRUE=ISBLANK(ChemData!S165),"",(ChemData!S165))</f>
        <v>1</v>
      </c>
      <c r="K165" s="291">
        <f>IF(TRUE=ISBLANK(ChemData!T165),"",(ChemData!T165))</f>
        <v>1</v>
      </c>
      <c r="L165" s="375" t="str">
        <f>IF(Start!$C$16="x",IF(OR(D165="NA",D165=""),"NA", IF(OR($J165 = "NA",J165=""),"NA",(D165*$J165))),"---")</f>
        <v>---</v>
      </c>
      <c r="M165" s="377" t="str">
        <f>IF(Start!$C$16="x",IF(OR(D165="NA",D165=""),"NA", IF(OR($K165 = "NA",K165=""),"NA",(D165*$K165))),"---")</f>
        <v>---</v>
      </c>
      <c r="N165" s="375" t="str">
        <f t="shared" si="6"/>
        <v>---</v>
      </c>
      <c r="O165" s="377" t="str">
        <f t="shared" si="6"/>
        <v>---</v>
      </c>
      <c r="P165" s="461" t="str">
        <f>IF(Start!$C$16="x",(IF(L165 = "NA","NA", (IF(OR($H165 = "NA",H165=""), "NA",(IF(OR(ChemData!U165="NA",ChemData!U165=""),L165/((Data!$D$33+((1-Data!$D$33)*Data!$D$14*$H165))/((1-Data!$D$33)*Data!$D$14*1000)),(IF(L165/((Data!$D$33+((1-Data!$D$33)*Data!$D$14*$H165))/((1-Data!$D$33)*Data!$D$14*1000))&gt;ChemData!U165, ChemData!U165, L165/((Data!$D$33+((1-Data!$D$33)*Data!$D$14*$H165))/((1-Data!$D$33)*Data!$D$14*1000)))))))))),"---")</f>
        <v>---</v>
      </c>
      <c r="Q165" s="376" t="str">
        <f>IF(Start!$C$16="x",IF(OR($F165 = "NA",F165=""), "NA", IF(P165= "NA", "NA",(P165+(Data!$D$30*$F165))/(Data!$D$30+1))),"---")</f>
        <v>---</v>
      </c>
      <c r="R165" s="376" t="str">
        <f>IF(Start!$C$16="x",IF(O165 = "NA","NA", IF(OR($I165 = "NA",I165=""), "NA",(IF(OR(ChemData!U165="NA",ChemData!U165=""),O165/((Data!$D$35+((1-Data!$D$35)*Data!$D$14*$I165))/((1-Data!$D$35)*Data!$D$14*1000)),(IF(O165/((Data!$D$35+((1-Data!$D$35)*Data!$D$14*$I165))/((1-Data!$D$35)*Data!$D$14*1000))&gt;ChemData!U165, ChemData!U165, O165/((Data!$D$35+((1-Data!$D$35)*Data!$D$14*$I165))/((1-Data!$D$35)*Data!$D$14*1000)))))))),"---")</f>
        <v>---</v>
      </c>
      <c r="S165" s="377" t="str">
        <f>IF(Start!$C$16="x",IF(OR($F165 = "NA",F165=""), "NA", IF(R165= "NA", "NA",(R165+(Data!$D$30*$F165))/(Data!$D$30+1))),"---")</f>
        <v>---</v>
      </c>
      <c r="T165" s="343" t="str">
        <f>IF(Start!$C$16="x",IF(AND(D165= "",E165=""),"",IF(Q165="NA","NA",IF(G165="NA","NA",IF(G165=0,"NA",(Q165/G165))))),"Not Req.")</f>
        <v>Not Req.</v>
      </c>
      <c r="U165" s="343" t="str">
        <f>IF(Start!$C$16="x",IF(AND(D165= "",E165=""),"",IF(S165="NA","NA",IF(G165="NA","NA",IF(G165=0,"NA",(S165/G165))))),"Not Req.")</f>
        <v>Not Req.</v>
      </c>
      <c r="V165" s="11"/>
    </row>
    <row r="166" spans="1:22" s="10" customFormat="1" x14ac:dyDescent="0.25">
      <c r="A166" s="307" t="s">
        <v>484</v>
      </c>
      <c r="B166" s="348" t="str">
        <f>IF(Start!$C$16="x",IF(OR(D166 ="NA",E166="NA"),"NA",IF(AND(D166= "",E166=""),"",IF(AND(D166= "",E166&lt;&gt; ""),"Missing Data",                     IF(AND(D166&lt;&gt; "",E166= ""),"Missing Data",(IF(OR(G166="NA",G166=""),"No Criteria",(IF(AND(Q166="NA",D166&lt;&gt;"NA",G166&lt;&gt;"NA"),                                               "Missing Data",(IF(Q166&lt;G166,"No","Needed")))))))))),"---")</f>
        <v>---</v>
      </c>
      <c r="C166" s="350" t="str">
        <f>IF(Start!$C$16="x",IF(OR(D166 ="NA",E166="NA"),"NA",IF(AND(D166= "",E166=""),"",IF(AND(D166= "",E166&lt;&gt; ""),"Missing Data",                     IF(AND(D166&lt;&gt; "",E166= ""),"Missing Data",(IF(OR(G166="NA",G166=""),"No Criteria",(IF(AND(S166="NA",D166&lt;&gt;"NA",G166&lt;&gt;"NA"),                                               "Missing Data",(IF(S166&lt;G166,"No","Needed")))))))))),"---")</f>
        <v>---</v>
      </c>
      <c r="D166" s="372" t="str">
        <f>IF(TRUE=ISBLANK(ChemData!B166),"",(ChemData!B166))</f>
        <v/>
      </c>
      <c r="E166" s="373" t="str">
        <f>IF(TRUE=ISBLANK(ChemData!C166),"",(ChemData!C166))</f>
        <v/>
      </c>
      <c r="F166" s="374" t="str">
        <f>IF(TRUE=ISBLANK(ChemData!D166),"",(ChemData!D166))</f>
        <v/>
      </c>
      <c r="G166" s="289" t="str">
        <f>IF(TRUE=ISBLANK(ChemData!I166),"",(ChemData!I166))</f>
        <v>NA</v>
      </c>
      <c r="H166" s="290">
        <f>IF(TRUE=ISBLANK(ChemData!Q166),"",(ChemData!Q166))</f>
        <v>1.9382349424422154</v>
      </c>
      <c r="I166" s="290">
        <f>IF(TRUE=ISBLANK(ChemData!R166),"",(ChemData!R166))</f>
        <v>1.9382349424422154</v>
      </c>
      <c r="J166" s="290">
        <f>IF(TRUE=ISBLANK(ChemData!S166),"",(ChemData!S166))</f>
        <v>1</v>
      </c>
      <c r="K166" s="291">
        <f>IF(TRUE=ISBLANK(ChemData!T166),"",(ChemData!T166))</f>
        <v>1</v>
      </c>
      <c r="L166" s="375" t="str">
        <f>IF(Start!$C$16="x",IF(OR(D166="NA",D166=""),"NA", IF(OR($J166 = "NA",J166=""),"NA",(D166*$J166))),"---")</f>
        <v>---</v>
      </c>
      <c r="M166" s="377" t="str">
        <f>IF(Start!$C$16="x",IF(OR(D166="NA",D166=""),"NA", IF(OR($K166 = "NA",K166=""),"NA",(D166*$K166))),"---")</f>
        <v>---</v>
      </c>
      <c r="N166" s="375" t="str">
        <f t="shared" si="6"/>
        <v>---</v>
      </c>
      <c r="O166" s="377" t="str">
        <f t="shared" si="6"/>
        <v>---</v>
      </c>
      <c r="P166" s="461" t="str">
        <f>IF(Start!$C$16="x",(IF(L166 = "NA","NA", (IF(OR($H166 = "NA",H166=""), "NA",(IF(OR(ChemData!U166="NA",ChemData!U166=""),L166/((Data!$D$33+((1-Data!$D$33)*Data!$D$14*$H166))/((1-Data!$D$33)*Data!$D$14*1000)),(IF(L166/((Data!$D$33+((1-Data!$D$33)*Data!$D$14*$H166))/((1-Data!$D$33)*Data!$D$14*1000))&gt;ChemData!U166, ChemData!U166, L166/((Data!$D$33+((1-Data!$D$33)*Data!$D$14*$H166))/((1-Data!$D$33)*Data!$D$14*1000)))))))))),"---")</f>
        <v>---</v>
      </c>
      <c r="Q166" s="376" t="str">
        <f>IF(Start!$C$16="x",IF(OR($F166 = "NA",F166=""), "NA", IF(P166= "NA", "NA",(P166+(Data!$D$30*$F166))/(Data!$D$30+1))),"---")</f>
        <v>---</v>
      </c>
      <c r="R166" s="376" t="str">
        <f>IF(Start!$C$16="x",IF(O166 = "NA","NA", IF(OR($I166 = "NA",I166=""), "NA",(IF(OR(ChemData!U166="NA",ChemData!U166=""),O166/((Data!$D$35+((1-Data!$D$35)*Data!$D$14*$I166))/((1-Data!$D$35)*Data!$D$14*1000)),(IF(O166/((Data!$D$35+((1-Data!$D$35)*Data!$D$14*$I166))/((1-Data!$D$35)*Data!$D$14*1000))&gt;ChemData!U166, ChemData!U166, O166/((Data!$D$35+((1-Data!$D$35)*Data!$D$14*$I166))/((1-Data!$D$35)*Data!$D$14*1000)))))))),"---")</f>
        <v>---</v>
      </c>
      <c r="S166" s="377" t="str">
        <f>IF(Start!$C$16="x",IF(OR($F166 = "NA",F166=""), "NA", IF(R166= "NA", "NA",(R166+(Data!$D$30*$F166))/(Data!$D$30+1))),"---")</f>
        <v>---</v>
      </c>
      <c r="T166" s="343" t="str">
        <f>IF(Start!$C$16="x",IF(AND(D166= "",E166=""),"",IF(Q166="NA","NA",IF(G166="NA","NA",IF(G166=0,"NA",(Q166/G166))))),"Not Req.")</f>
        <v>Not Req.</v>
      </c>
      <c r="U166" s="343" t="str">
        <f>IF(Start!$C$16="x",IF(AND(D166= "",E166=""),"",IF(S166="NA","NA",IF(G166="NA","NA",IF(G166=0,"NA",(S166/G166))))),"Not Req.")</f>
        <v>Not Req.</v>
      </c>
      <c r="V166" s="11"/>
    </row>
    <row r="167" spans="1:22" s="10" customFormat="1" x14ac:dyDescent="0.25">
      <c r="A167" s="307" t="s">
        <v>485</v>
      </c>
      <c r="B167" s="348" t="str">
        <f>IF(Start!$C$16="x",IF(OR(D167 ="NA",E167="NA"),"NA",IF(AND(D167= "",E167=""),"",IF(AND(D167= "",E167&lt;&gt; ""),"Missing Data",                     IF(AND(D167&lt;&gt; "",E167= ""),"Missing Data",(IF(OR(G167="NA",G167=""),"No Criteria",(IF(AND(Q167="NA",D167&lt;&gt;"NA",G167&lt;&gt;"NA"),                                               "Missing Data",(IF(Q167&lt;G167,"No","Needed")))))))))),"---")</f>
        <v>---</v>
      </c>
      <c r="C167" s="350" t="str">
        <f>IF(Start!$C$16="x",IF(OR(D167 ="NA",E167="NA"),"NA",IF(AND(D167= "",E167=""),"",IF(AND(D167= "",E167&lt;&gt; ""),"Missing Data",                     IF(AND(D167&lt;&gt; "",E167= ""),"Missing Data",(IF(OR(G167="NA",G167=""),"No Criteria",(IF(AND(S167="NA",D167&lt;&gt;"NA",G167&lt;&gt;"NA"),                                               "Missing Data",(IF(S167&lt;G167,"No","Needed")))))))))),"---")</f>
        <v>---</v>
      </c>
      <c r="D167" s="372" t="str">
        <f>IF(TRUE=ISBLANK(ChemData!B167),"",(ChemData!B167))</f>
        <v/>
      </c>
      <c r="E167" s="373" t="str">
        <f>IF(TRUE=ISBLANK(ChemData!C167),"",(ChemData!C167))</f>
        <v/>
      </c>
      <c r="F167" s="374" t="str">
        <f>IF(TRUE=ISBLANK(ChemData!D167),"",(ChemData!D167))</f>
        <v/>
      </c>
      <c r="G167" s="289">
        <f>IF(TRUE=ISBLANK(ChemData!I167),"",(ChemData!I167))</f>
        <v>5.5E-2</v>
      </c>
      <c r="H167" s="290">
        <f>IF(TRUE=ISBLANK(ChemData!Q167),"",(ChemData!Q167))</f>
        <v>0.47578025939051682</v>
      </c>
      <c r="I167" s="290">
        <f>IF(TRUE=ISBLANK(ChemData!R167),"",(ChemData!R167))</f>
        <v>0.47578025939051682</v>
      </c>
      <c r="J167" s="290">
        <f>IF(TRUE=ISBLANK(ChemData!S167),"",(ChemData!S167))</f>
        <v>1</v>
      </c>
      <c r="K167" s="291">
        <f>IF(TRUE=ISBLANK(ChemData!T167),"",(ChemData!T167))</f>
        <v>1</v>
      </c>
      <c r="L167" s="375" t="str">
        <f>IF(Start!$C$16="x",IF(OR(D167="NA",D167=""),"NA", IF(OR($J167 = "NA",J167=""),"NA",(D167*$J167))),"---")</f>
        <v>---</v>
      </c>
      <c r="M167" s="377" t="str">
        <f>IF(Start!$C$16="x",IF(OR(D167="NA",D167=""),"NA", IF(OR($K167 = "NA",K167=""),"NA",(D167*$K167))),"---")</f>
        <v>---</v>
      </c>
      <c r="N167" s="375" t="str">
        <f t="shared" si="6"/>
        <v>---</v>
      </c>
      <c r="O167" s="377" t="str">
        <f t="shared" si="6"/>
        <v>---</v>
      </c>
      <c r="P167" s="461" t="str">
        <f>IF(Start!$C$16="x",(IF(L167 = "NA","NA", (IF(OR($H167 = "NA",H167=""), "NA",(IF(OR(ChemData!U167="NA",ChemData!U167=""),L167/((Data!$D$33+((1-Data!$D$33)*Data!$D$14*$H167))/((1-Data!$D$33)*Data!$D$14*1000)),(IF(L167/((Data!$D$33+((1-Data!$D$33)*Data!$D$14*$H167))/((1-Data!$D$33)*Data!$D$14*1000))&gt;ChemData!U167, ChemData!U167, L167/((Data!$D$33+((1-Data!$D$33)*Data!$D$14*$H167))/((1-Data!$D$33)*Data!$D$14*1000)))))))))),"---")</f>
        <v>---</v>
      </c>
      <c r="Q167" s="376" t="str">
        <f>IF(Start!$C$16="x",IF(OR($F167 = "NA",F167=""), "NA", IF(P167= "NA", "NA",(P167+(Data!$D$30*$F167))/(Data!$D$30+1))),"---")</f>
        <v>---</v>
      </c>
      <c r="R167" s="376" t="str">
        <f>IF(Start!$C$16="x",IF(O167 = "NA","NA", IF(OR($I167 = "NA",I167=""), "NA",(IF(OR(ChemData!U167="NA",ChemData!U167=""),O167/((Data!$D$35+((1-Data!$D$35)*Data!$D$14*$I167))/((1-Data!$D$35)*Data!$D$14*1000)),(IF(O167/((Data!$D$35+((1-Data!$D$35)*Data!$D$14*$I167))/((1-Data!$D$35)*Data!$D$14*1000))&gt;ChemData!U167, ChemData!U167, O167/((Data!$D$35+((1-Data!$D$35)*Data!$D$14*$I167))/((1-Data!$D$35)*Data!$D$14*1000)))))))),"---")</f>
        <v>---</v>
      </c>
      <c r="S167" s="377" t="str">
        <f>IF(Start!$C$16="x",IF(OR($F167 = "NA",F167=""), "NA", IF(R167= "NA", "NA",(R167+(Data!$D$30*$F167))/(Data!$D$30+1))),"---")</f>
        <v>---</v>
      </c>
      <c r="T167" s="343" t="str">
        <f>IF(Start!$C$16="x",IF(AND(D167= "",E167=""),"",IF(Q167="NA","NA",IF(G167="NA","NA",IF(G167=0,"NA",(Q167/G167))))),"Not Req.")</f>
        <v>Not Req.</v>
      </c>
      <c r="U167" s="343" t="str">
        <f>IF(Start!$C$16="x",IF(AND(D167= "",E167=""),"",IF(S167="NA","NA",IF(G167="NA","NA",IF(G167=0,"NA",(S167/G167))))),"Not Req.")</f>
        <v>Not Req.</v>
      </c>
      <c r="V167" s="11"/>
    </row>
    <row r="168" spans="1:22" s="10" customFormat="1" x14ac:dyDescent="0.25">
      <c r="A168" s="307" t="s">
        <v>486</v>
      </c>
      <c r="B168" s="348" t="str">
        <f>IF(Start!$C$16="x",IF(OR(D168 ="NA",E168="NA"),"NA",IF(AND(D168= "",E168=""),"",IF(AND(D168= "",E168&lt;&gt; ""),"Missing Data",                     IF(AND(D168&lt;&gt; "",E168= ""),"Missing Data",(IF(OR(G168="NA",G168=""),"No Criteria",(IF(AND(Q168="NA",D168&lt;&gt;"NA",G168&lt;&gt;"NA"),                                               "Missing Data",(IF(Q168&lt;G168,"No","Needed")))))))))),"---")</f>
        <v>---</v>
      </c>
      <c r="C168" s="350" t="str">
        <f>IF(Start!$C$16="x",IF(OR(D168 ="NA",E168="NA"),"NA",IF(AND(D168= "",E168=""),"",IF(AND(D168= "",E168&lt;&gt; ""),"Missing Data",                     IF(AND(D168&lt;&gt; "",E168= ""),"Missing Data",(IF(OR(G168="NA",G168=""),"No Criteria",(IF(AND(S168="NA",D168&lt;&gt;"NA",G168&lt;&gt;"NA"),                                               "Missing Data",(IF(S168&lt;G168,"No","Needed")))))))))),"---")</f>
        <v>---</v>
      </c>
      <c r="D168" s="372" t="str">
        <f>IF(TRUE=ISBLANK(ChemData!B168),"",(ChemData!B168))</f>
        <v/>
      </c>
      <c r="E168" s="373" t="str">
        <f>IF(TRUE=ISBLANK(ChemData!C168),"",(ChemData!C168))</f>
        <v/>
      </c>
      <c r="F168" s="374" t="str">
        <f>IF(TRUE=ISBLANK(ChemData!D168),"",(ChemData!D168))</f>
        <v/>
      </c>
      <c r="G168" s="289">
        <f>IF(TRUE=ISBLANK(ChemData!I168),"",(ChemData!I168))</f>
        <v>5.5E-2</v>
      </c>
      <c r="H168" s="290">
        <f>IF(TRUE=ISBLANK(ChemData!Q168),"",(ChemData!Q168))</f>
        <v>0.47578025939051682</v>
      </c>
      <c r="I168" s="290">
        <f>IF(TRUE=ISBLANK(ChemData!R168),"",(ChemData!R168))</f>
        <v>0.47578025939051682</v>
      </c>
      <c r="J168" s="290">
        <f>IF(TRUE=ISBLANK(ChemData!S168),"",(ChemData!S168))</f>
        <v>1</v>
      </c>
      <c r="K168" s="291">
        <f>IF(TRUE=ISBLANK(ChemData!T168),"",(ChemData!T168))</f>
        <v>1</v>
      </c>
      <c r="L168" s="375" t="str">
        <f>IF(Start!$C$16="x",IF(OR(D168="NA",D168=""),"NA", IF(OR($J168 = "NA",J168=""),"NA",(D168*$J168))),"---")</f>
        <v>---</v>
      </c>
      <c r="M168" s="377" t="str">
        <f>IF(Start!$C$16="x",IF(OR(D168="NA",D168=""),"NA", IF(OR($K168 = "NA",K168=""),"NA",(D168*$K168))),"---")</f>
        <v>---</v>
      </c>
      <c r="N168" s="375" t="str">
        <f t="shared" si="6"/>
        <v>---</v>
      </c>
      <c r="O168" s="377" t="str">
        <f t="shared" si="6"/>
        <v>---</v>
      </c>
      <c r="P168" s="461" t="str">
        <f>IF(Start!$C$16="x",(IF(L168 = "NA","NA", (IF(OR($H168 = "NA",H168=""), "NA",(IF(OR(ChemData!U168="NA",ChemData!U168=""),L168/((Data!$D$33+((1-Data!$D$33)*Data!$D$14*$H168))/((1-Data!$D$33)*Data!$D$14*1000)),(IF(L168/((Data!$D$33+((1-Data!$D$33)*Data!$D$14*$H168))/((1-Data!$D$33)*Data!$D$14*1000))&gt;ChemData!U168, ChemData!U168, L168/((Data!$D$33+((1-Data!$D$33)*Data!$D$14*$H168))/((1-Data!$D$33)*Data!$D$14*1000)))))))))),"---")</f>
        <v>---</v>
      </c>
      <c r="Q168" s="376" t="str">
        <f>IF(Start!$C$16="x",IF(OR($F168 = "NA",F168=""), "NA", IF(P168= "NA", "NA",(P168+(Data!$D$30*$F168))/(Data!$D$30+1))),"---")</f>
        <v>---</v>
      </c>
      <c r="R168" s="376" t="str">
        <f>IF(Start!$C$16="x",IF(O168 = "NA","NA", IF(OR($I168 = "NA",I168=""), "NA",(IF(OR(ChemData!U168="NA",ChemData!U168=""),O168/((Data!$D$35+((1-Data!$D$35)*Data!$D$14*$I168))/((1-Data!$D$35)*Data!$D$14*1000)),(IF(O168/((Data!$D$35+((1-Data!$D$35)*Data!$D$14*$I168))/((1-Data!$D$35)*Data!$D$14*1000))&gt;ChemData!U168, ChemData!U168, O168/((Data!$D$35+((1-Data!$D$35)*Data!$D$14*$I168))/((1-Data!$D$35)*Data!$D$14*1000)))))))),"---")</f>
        <v>---</v>
      </c>
      <c r="S168" s="377" t="str">
        <f>IF(Start!$C$16="x",IF(OR($F168 = "NA",F168=""), "NA", IF(R168= "NA", "NA",(R168+(Data!$D$30*$F168))/(Data!$D$30+1))),"---")</f>
        <v>---</v>
      </c>
      <c r="T168" s="343" t="str">
        <f>IF(Start!$C$16="x",IF(AND(D168= "",E168=""),"",IF(Q168="NA","NA",IF(G168="NA","NA",IF(G168=0,"NA",(Q168/G168))))),"Not Req.")</f>
        <v>Not Req.</v>
      </c>
      <c r="U168" s="343" t="str">
        <f>IF(Start!$C$16="x",IF(AND(D168= "",E168=""),"",IF(S168="NA","NA",IF(G168="NA","NA",IF(G168=0,"NA",(S168/G168))))),"Not Req.")</f>
        <v>Not Req.</v>
      </c>
      <c r="V168" s="11"/>
    </row>
    <row r="169" spans="1:22" s="10" customFormat="1" x14ac:dyDescent="0.25">
      <c r="A169" s="307" t="s">
        <v>487</v>
      </c>
      <c r="B169" s="348" t="str">
        <f>IF(Start!$C$16="x",IF(OR(D169 ="NA",E169="NA"),"NA",IF(AND(D169= "",E169=""),"",IF(AND(D169= "",E169&lt;&gt; ""),"Missing Data",                     IF(AND(D169&lt;&gt; "",E169= ""),"Missing Data",(IF(OR(G169="NA",G169=""),"No Criteria",(IF(AND(Q169="NA",D169&lt;&gt;"NA",G169&lt;&gt;"NA"),                                               "Missing Data",(IF(Q169&lt;G169,"No","Needed")))))))))),"---")</f>
        <v>---</v>
      </c>
      <c r="C169" s="350" t="str">
        <f>IF(Start!$C$16="x",IF(OR(D169 ="NA",E169="NA"),"NA",IF(AND(D169= "",E169=""),"",IF(AND(D169= "",E169&lt;&gt; ""),"Missing Data",                     IF(AND(D169&lt;&gt; "",E169= ""),"Missing Data",(IF(OR(G169="NA",G169=""),"No Criteria",(IF(AND(S169="NA",D169&lt;&gt;"NA",G169&lt;&gt;"NA"),                                               "Missing Data",(IF(S169&lt;G169,"No","Needed")))))))))),"---")</f>
        <v>---</v>
      </c>
      <c r="D169" s="372" t="str">
        <f>IF(TRUE=ISBLANK(ChemData!B169),"",(ChemData!B169))</f>
        <v/>
      </c>
      <c r="E169" s="373" t="str">
        <f>IF(TRUE=ISBLANK(ChemData!C169),"",(ChemData!C169))</f>
        <v/>
      </c>
      <c r="F169" s="374" t="str">
        <f>IF(TRUE=ISBLANK(ChemData!D169),"",(ChemData!D169))</f>
        <v/>
      </c>
      <c r="G169" s="289">
        <f>IF(TRUE=ISBLANK(ChemData!I169),"",(ChemData!I169))</f>
        <v>7.3</v>
      </c>
      <c r="H169" s="290">
        <f>IF(TRUE=ISBLANK(ChemData!Q169),"",(ChemData!Q169))</f>
        <v>26.146069950967185</v>
      </c>
      <c r="I169" s="290">
        <f>IF(TRUE=ISBLANK(ChemData!R169),"",(ChemData!R169))</f>
        <v>26.146069950967185</v>
      </c>
      <c r="J169" s="290">
        <f>IF(TRUE=ISBLANK(ChemData!S169),"",(ChemData!S169))</f>
        <v>1</v>
      </c>
      <c r="K169" s="291">
        <f>IF(TRUE=ISBLANK(ChemData!T169),"",(ChemData!T169))</f>
        <v>1</v>
      </c>
      <c r="L169" s="375" t="str">
        <f>IF(Start!$C$16="x",IF(OR(D169="NA",D169=""),"NA", IF(OR($J169 = "NA",J169=""),"NA",(D169*$J169))),"---")</f>
        <v>---</v>
      </c>
      <c r="M169" s="377" t="str">
        <f>IF(Start!$C$16="x",IF(OR(D169="NA",D169=""),"NA", IF(OR($K169 = "NA",K169=""),"NA",(D169*$K169))),"---")</f>
        <v>---</v>
      </c>
      <c r="N169" s="375" t="str">
        <f t="shared" si="6"/>
        <v>---</v>
      </c>
      <c r="O169" s="377" t="str">
        <f t="shared" si="6"/>
        <v>---</v>
      </c>
      <c r="P169" s="461" t="str">
        <f>IF(Start!$C$16="x",(IF(L169 = "NA","NA", (IF(OR($H169 = "NA",H169=""), "NA",(IF(OR(ChemData!U169="NA",ChemData!U169=""),L169/((Data!$D$33+((1-Data!$D$33)*Data!$D$14*$H169))/((1-Data!$D$33)*Data!$D$14*1000)),(IF(L169/((Data!$D$33+((1-Data!$D$33)*Data!$D$14*$H169))/((1-Data!$D$33)*Data!$D$14*1000))&gt;ChemData!U169, ChemData!U169, L169/((Data!$D$33+((1-Data!$D$33)*Data!$D$14*$H169))/((1-Data!$D$33)*Data!$D$14*1000)))))))))),"---")</f>
        <v>---</v>
      </c>
      <c r="Q169" s="376" t="str">
        <f>IF(Start!$C$16="x",IF(OR($F169 = "NA",F169=""), "NA", IF(P169= "NA", "NA",(P169+(Data!$D$30*$F169))/(Data!$D$30+1))),"---")</f>
        <v>---</v>
      </c>
      <c r="R169" s="376" t="str">
        <f>IF(Start!$C$16="x",IF(O169 = "NA","NA", IF(OR($I169 = "NA",I169=""), "NA",(IF(OR(ChemData!U169="NA",ChemData!U169=""),O169/((Data!$D$35+((1-Data!$D$35)*Data!$D$14*$I169))/((1-Data!$D$35)*Data!$D$14*1000)),(IF(O169/((Data!$D$35+((1-Data!$D$35)*Data!$D$14*$I169))/((1-Data!$D$35)*Data!$D$14*1000))&gt;ChemData!U169, ChemData!U169, O169/((Data!$D$35+((1-Data!$D$35)*Data!$D$14*$I169))/((1-Data!$D$35)*Data!$D$14*1000)))))))),"---")</f>
        <v>---</v>
      </c>
      <c r="S169" s="377" t="str">
        <f>IF(Start!$C$16="x",IF(OR($F169 = "NA",F169=""), "NA", IF(R169= "NA", "NA",(R169+(Data!$D$30*$F169))/(Data!$D$30+1))),"---")</f>
        <v>---</v>
      </c>
      <c r="T169" s="343" t="str">
        <f>IF(Start!$C$16="x",IF(AND(D169= "",E169=""),"",IF(Q169="NA","NA",IF(G169="NA","NA",IF(G169=0,"NA",(Q169/G169))))),"Not Req.")</f>
        <v>Not Req.</v>
      </c>
      <c r="U169" s="343" t="str">
        <f>IF(Start!$C$16="x",IF(AND(D169= "",E169=""),"",IF(S169="NA","NA",IF(G169="NA","NA",IF(G169=0,"NA",(S169/G169))))),"Not Req.")</f>
        <v>Not Req.</v>
      </c>
      <c r="V169" s="11"/>
    </row>
    <row r="170" spans="1:22" s="10" customFormat="1" x14ac:dyDescent="0.25">
      <c r="A170" s="307" t="s">
        <v>488</v>
      </c>
      <c r="B170" s="348" t="str">
        <f>IF(Start!$C$16="x",IF(OR(D170 ="NA",E170="NA"),"NA",IF(AND(D170= "",E170=""),"",IF(AND(D170= "",E170&lt;&gt; ""),"Missing Data",                     IF(AND(D170&lt;&gt; "",E170= ""),"Missing Data",(IF(OR(G170="NA",G170=""),"No Criteria",(IF(AND(Q170="NA",D170&lt;&gt;"NA",G170&lt;&gt;"NA"),                                               "Missing Data",(IF(Q170&lt;G170,"No","Needed")))))))))),"---")</f>
        <v>---</v>
      </c>
      <c r="C170" s="350" t="str">
        <f>IF(Start!$C$16="x",IF(OR(D170 ="NA",E170="NA"),"NA",IF(AND(D170= "",E170=""),"",IF(AND(D170= "",E170&lt;&gt; ""),"Missing Data",                     IF(AND(D170&lt;&gt; "",E170= ""),"Missing Data",(IF(OR(G170="NA",G170=""),"No Criteria",(IF(AND(S170="NA",D170&lt;&gt;"NA",G170&lt;&gt;"NA"),                                               "Missing Data",(IF(S170&lt;G170,"No","Needed")))))))))),"---")</f>
        <v>---</v>
      </c>
      <c r="D170" s="372" t="str">
        <f>IF(TRUE=ISBLANK(ChemData!B170),"",(ChemData!B170))</f>
        <v/>
      </c>
      <c r="E170" s="373" t="str">
        <f>IF(TRUE=ISBLANK(ChemData!C170),"",(ChemData!C170))</f>
        <v/>
      </c>
      <c r="F170" s="374" t="str">
        <f>IF(TRUE=ISBLANK(ChemData!D170),"",(ChemData!D170))</f>
        <v/>
      </c>
      <c r="G170" s="289">
        <f>IF(TRUE=ISBLANK(ChemData!I170),"",(ChemData!I170))</f>
        <v>0.57999999999999996</v>
      </c>
      <c r="H170" s="290">
        <f>IF(TRUE=ISBLANK(ChemData!Q170),"",(ChemData!Q170))</f>
        <v>238.45499201839945</v>
      </c>
      <c r="I170" s="290">
        <f>IF(TRUE=ISBLANK(ChemData!R170),"",(ChemData!R170))</f>
        <v>238.45499201839945</v>
      </c>
      <c r="J170" s="290">
        <f>IF(TRUE=ISBLANK(ChemData!S170),"",(ChemData!S170))</f>
        <v>1</v>
      </c>
      <c r="K170" s="291">
        <f>IF(TRUE=ISBLANK(ChemData!T170),"",(ChemData!T170))</f>
        <v>1</v>
      </c>
      <c r="L170" s="375" t="str">
        <f>IF(Start!$C$16="x",IF(OR(D170="NA",D170=""),"NA", IF(OR($J170 = "NA",J170=""),"NA",(D170*$J170))),"---")</f>
        <v>---</v>
      </c>
      <c r="M170" s="377" t="str">
        <f>IF(Start!$C$16="x",IF(OR(D170="NA",D170=""),"NA", IF(OR($K170 = "NA",K170=""),"NA",(D170*$K170))),"---")</f>
        <v>---</v>
      </c>
      <c r="N170" s="375" t="str">
        <f>L170</f>
        <v>---</v>
      </c>
      <c r="O170" s="377" t="str">
        <f>M170</f>
        <v>---</v>
      </c>
      <c r="P170" s="461" t="str">
        <f>IF(Start!$C$16="x",(IF(L170 = "NA","NA", (IF(OR($H170 = "NA",H170=""), "NA",(IF(OR(ChemData!U170="NA",ChemData!U170=""),L170/((Data!$D$33+((1-Data!$D$33)*Data!$D$14*$H170))/((1-Data!$D$33)*Data!$D$14*1000)),(IF(L170/((Data!$D$33+((1-Data!$D$33)*Data!$D$14*$H170))/((1-Data!$D$33)*Data!$D$14*1000))&gt;ChemData!U170, ChemData!U170, L170/((Data!$D$33+((1-Data!$D$33)*Data!$D$14*$H170))/((1-Data!$D$33)*Data!$D$14*1000)))))))))),"---")</f>
        <v>---</v>
      </c>
      <c r="Q170" s="376" t="str">
        <f>IF(Start!$C$16="x",IF(OR($F170 = "NA",F170=""), "NA", IF(P170= "NA", "NA",(P170+(Data!$D$30*$F170))/(Data!$D$30+1))),"---")</f>
        <v>---</v>
      </c>
      <c r="R170" s="376" t="str">
        <f>IF(Start!$C$16="x",IF(O170 = "NA","NA", IF(OR($I170 = "NA",I170=""), "NA",(IF(OR(ChemData!U170="NA",ChemData!U170=""),O170/((Data!$D$35+((1-Data!$D$35)*Data!$D$14*$I170))/((1-Data!$D$35)*Data!$D$14*1000)),(IF(O170/((Data!$D$35+((1-Data!$D$35)*Data!$D$14*$I170))/((1-Data!$D$35)*Data!$D$14*1000))&gt;ChemData!U170, ChemData!U170, O170/((Data!$D$35+((1-Data!$D$35)*Data!$D$14*$I170))/((1-Data!$D$35)*Data!$D$14*1000)))))))),"---")</f>
        <v>---</v>
      </c>
      <c r="S170" s="377" t="str">
        <f>IF(Start!$C$16="x",IF(OR($F170 = "NA",F170=""), "NA", IF(R170= "NA", "NA",(R170+(Data!$D$30*$F170))/(Data!$D$30+1))),"---")</f>
        <v>---</v>
      </c>
      <c r="T170" s="343" t="str">
        <f>IF(Start!$C$16="x",IF(AND(D170= "",E170=""),"",IF(Q170="NA","NA",IF(G170="NA","NA",IF(G170=0,"NA",(Q170/G170))))),"Not Req.")</f>
        <v>Not Req.</v>
      </c>
      <c r="U170" s="343" t="str">
        <f>IF(Start!$C$16="x",IF(AND(D170= "",E170=""),"",IF(S170="NA","NA",IF(G170="NA","NA",IF(G170=0,"NA",(S170/G170))))),"Not Req.")</f>
        <v>Not Req.</v>
      </c>
      <c r="V170" s="11"/>
    </row>
    <row r="171" spans="1:22" s="10" customFormat="1" x14ac:dyDescent="0.25">
      <c r="A171" s="307" t="s">
        <v>674</v>
      </c>
      <c r="B171" s="348" t="str">
        <f>IF(Start!$C$16="x",IF(OR(D171 ="NA",E171="NA"),"NA",IF(AND(D171= "",E171=""),"",IF(AND(D171= "",E171&lt;&gt; ""),"Missing Data",                     IF(AND(D171&lt;&gt; "",E171= ""),"Missing Data",(IF(OR(G171="NA",G171=""),"No Criteria",(IF(AND(Q171="NA",D171&lt;&gt;"NA",G171&lt;&gt;"NA"),                                               "Missing Data",(IF(Q171&lt;G171,"No","Needed")))))))))),"---")</f>
        <v>---</v>
      </c>
      <c r="C171" s="350" t="str">
        <f>IF(Start!$C$16="x",IF(OR(D171 ="NA",E171="NA"),"NA",IF(AND(D171= "",E171=""),"",IF(AND(D171= "",E171&lt;&gt; ""),"Missing Data",                     IF(AND(D171&lt;&gt; "",E171= ""),"Missing Data",(IF(OR(G171="NA",G171=""),"No Criteria",(IF(AND(S171="NA",D171&lt;&gt;"NA",G171&lt;&gt;"NA"),                                               "Missing Data",(IF(S171&lt;G171,"No","Needed")))))))))),"---")</f>
        <v>---</v>
      </c>
      <c r="D171" s="372" t="str">
        <f>IF(TRUE=ISBLANK(ChemData!B171),"",(ChemData!B171))</f>
        <v/>
      </c>
      <c r="E171" s="373" t="str">
        <f>IF(TRUE=ISBLANK(ChemData!C171),"",(ChemData!C171))</f>
        <v/>
      </c>
      <c r="F171" s="374" t="str">
        <f>IF(TRUE=ISBLANK(ChemData!D171),"",(ChemData!D171))</f>
        <v/>
      </c>
      <c r="G171" s="289">
        <f>IF(TRUE=ISBLANK(ChemData!I171),"",(ChemData!I171))</f>
        <v>99</v>
      </c>
      <c r="H171" s="290">
        <f>IF(TRUE=ISBLANK(ChemData!Q171),"",(ChemData!Q171))</f>
        <v>0.45436662029329916</v>
      </c>
      <c r="I171" s="290">
        <f>IF(TRUE=ISBLANK(ChemData!R171),"",(ChemData!R171))</f>
        <v>0.45436662029329916</v>
      </c>
      <c r="J171" s="290">
        <f>IF(TRUE=ISBLANK(ChemData!S171),"",(ChemData!S171))</f>
        <v>1</v>
      </c>
      <c r="K171" s="291">
        <f>IF(TRUE=ISBLANK(ChemData!T171),"",(ChemData!T171))</f>
        <v>1</v>
      </c>
      <c r="L171" s="375" t="str">
        <f>IF(Start!$C$16="x",IF(OR(D171="NA",D171=""),"NA", IF(OR($J171 = "NA",J171=""),"NA",(D171*$J171))),"---")</f>
        <v>---</v>
      </c>
      <c r="M171" s="377" t="str">
        <f>IF(Start!$C$16="x",IF(OR(D171="NA",D171=""),"NA", IF(OR($K171 = "NA",K171=""),"NA",(D171*$K171))),"---")</f>
        <v>---</v>
      </c>
      <c r="N171" s="375" t="str">
        <f t="shared" si="6"/>
        <v>---</v>
      </c>
      <c r="O171" s="377" t="str">
        <f t="shared" si="6"/>
        <v>---</v>
      </c>
      <c r="P171" s="461" t="str">
        <f>IF(Start!$C$16="x",(IF(L171 = "NA","NA", (IF(OR($H171 = "NA",H171=""), "NA",(IF(OR(ChemData!U171="NA",ChemData!U171=""),L171/((Data!$D$33+((1-Data!$D$33)*Data!$D$14*$H171))/((1-Data!$D$33)*Data!$D$14*1000)),(IF(L171/((Data!$D$33+((1-Data!$D$33)*Data!$D$14*$H171))/((1-Data!$D$33)*Data!$D$14*1000))&gt;ChemData!U171, ChemData!U171, L171/((Data!$D$33+((1-Data!$D$33)*Data!$D$14*$H171))/((1-Data!$D$33)*Data!$D$14*1000)))))))))),"---")</f>
        <v>---</v>
      </c>
      <c r="Q171" s="376" t="str">
        <f>IF(Start!$C$16="x",IF(OR($F171 = "NA",F171=""), "NA", IF(P171= "NA", "NA",(P171+(Data!$D$30*$F171))/(Data!$D$30+1))),"---")</f>
        <v>---</v>
      </c>
      <c r="R171" s="376" t="str">
        <f>IF(Start!$C$16="x",IF(O171 = "NA","NA", IF(OR($I171 = "NA",I171=""), "NA",(IF(OR(ChemData!U171="NA",ChemData!U171=""),O171/((Data!$D$35+((1-Data!$D$35)*Data!$D$14*$I171))/((1-Data!$D$35)*Data!$D$14*1000)),(IF(O171/((Data!$D$35+((1-Data!$D$35)*Data!$D$14*$I171))/((1-Data!$D$35)*Data!$D$14*1000))&gt;ChemData!U171, ChemData!U171, O171/((Data!$D$35+((1-Data!$D$35)*Data!$D$14*$I171))/((1-Data!$D$35)*Data!$D$14*1000)))))))),"---")</f>
        <v>---</v>
      </c>
      <c r="S171" s="377" t="str">
        <f>IF(Start!$C$16="x",IF(OR($F171 = "NA",F171=""), "NA", IF(R171= "NA", "NA",(R171+(Data!$D$30*$F171))/(Data!$D$30+1))),"---")</f>
        <v>---</v>
      </c>
      <c r="T171" s="343" t="str">
        <f>IF(Start!$C$16="x",IF(AND(D171= "",E171=""),"",IF(Q171="NA","NA",IF(G171="NA","NA",IF(G171=0,"NA",(Q171/G171))))),"Not Req.")</f>
        <v>Not Req.</v>
      </c>
      <c r="U171" s="343" t="str">
        <f>IF(Start!$C$16="x",IF(AND(D171= "",E171=""),"",IF(S171="NA","NA",IF(G171="NA","NA",IF(G171=0,"NA",(S171/G171))))),"Not Req.")</f>
        <v>Not Req.</v>
      </c>
      <c r="V171" s="11"/>
    </row>
    <row r="172" spans="1:22" s="10" customFormat="1" x14ac:dyDescent="0.25">
      <c r="A172" s="307" t="s">
        <v>675</v>
      </c>
      <c r="B172" s="348" t="str">
        <f>IF(Start!$C$16="x",IF(OR(D172 ="NA",E172="NA"),"NA",IF(AND(D172= "",E172=""),"",IF(AND(D172= "",E172&lt;&gt; ""),"Missing Data",                     IF(AND(D172&lt;&gt; "",E172= ""),"Missing Data",(IF(OR(G172="NA",G172=""),"No Criteria",(IF(AND(Q172="NA",D172&lt;&gt;"NA",G172&lt;&gt;"NA"),                                               "Missing Data",(IF(Q172&lt;G172,"No","Needed")))))))))),"---")</f>
        <v>---</v>
      </c>
      <c r="C172" s="350" t="str">
        <f>IF(Start!$C$16="x",IF(OR(D172 ="NA",E172="NA"),"NA",IF(AND(D172= "",E172=""),"",IF(AND(D172= "",E172&lt;&gt; ""),"Missing Data",                     IF(AND(D172&lt;&gt; "",E172= ""),"Missing Data",(IF(OR(G172="NA",G172=""),"No Criteria",(IF(AND(S172="NA",D172&lt;&gt;"NA",G172&lt;&gt;"NA"),                                               "Missing Data",(IF(S172&lt;G172,"No","Needed")))))))))),"---")</f>
        <v>---</v>
      </c>
      <c r="D172" s="372" t="str">
        <f>IF(TRUE=ISBLANK(ChemData!B172),"",(ChemData!B172))</f>
        <v/>
      </c>
      <c r="E172" s="373" t="str">
        <f>IF(TRUE=ISBLANK(ChemData!C172),"",(ChemData!C172))</f>
        <v/>
      </c>
      <c r="F172" s="374" t="str">
        <f>IF(TRUE=ISBLANK(ChemData!D172),"",(ChemData!D172))</f>
        <v/>
      </c>
      <c r="G172" s="289" t="str">
        <f>IF(TRUE=ISBLANK(ChemData!I172),"",(ChemData!I172))</f>
        <v>NA</v>
      </c>
      <c r="H172" s="290">
        <f>IF(TRUE=ISBLANK(ChemData!Q172),"",(ChemData!Q172))</f>
        <v>84.607023897713418</v>
      </c>
      <c r="I172" s="290">
        <f>IF(TRUE=ISBLANK(ChemData!R172),"",(ChemData!R172))</f>
        <v>84.607023897713418</v>
      </c>
      <c r="J172" s="290">
        <f>IF(TRUE=ISBLANK(ChemData!S172),"",(ChemData!S172))</f>
        <v>1</v>
      </c>
      <c r="K172" s="291">
        <f>IF(TRUE=ISBLANK(ChemData!T172),"",(ChemData!T172))</f>
        <v>1</v>
      </c>
      <c r="L172" s="375" t="str">
        <f>IF(Start!$C$16="x",IF(OR(D172="NA",D172=""),"NA", IF(OR($J172 = "NA",J172=""),"NA",(D172*$J172))),"---")</f>
        <v>---</v>
      </c>
      <c r="M172" s="377" t="str">
        <f>IF(Start!$C$16="x",IF(OR(D172="NA",D172=""),"NA", IF(OR($K172 = "NA",K172=""),"NA",(D172*$K172))),"---")</f>
        <v>---</v>
      </c>
      <c r="N172" s="375" t="str">
        <f t="shared" si="6"/>
        <v>---</v>
      </c>
      <c r="O172" s="377" t="str">
        <f t="shared" si="6"/>
        <v>---</v>
      </c>
      <c r="P172" s="461" t="str">
        <f>IF(Start!$C$16="x",(IF(L172 = "NA","NA", (IF(OR($H172 = "NA",H172=""), "NA",(IF(OR(ChemData!U172="NA",ChemData!U172=""),L172/((Data!$D$33+((1-Data!$D$33)*Data!$D$14*$H172))/((1-Data!$D$33)*Data!$D$14*1000)),(IF(L172/((Data!$D$33+((1-Data!$D$33)*Data!$D$14*$H172))/((1-Data!$D$33)*Data!$D$14*1000))&gt;ChemData!U172, ChemData!U172, L172/((Data!$D$33+((1-Data!$D$33)*Data!$D$14*$H172))/((1-Data!$D$33)*Data!$D$14*1000)))))))))),"---")</f>
        <v>---</v>
      </c>
      <c r="Q172" s="376" t="str">
        <f>IF(Start!$C$16="x",IF(OR($F172 = "NA",F172=""), "NA", IF(P172= "NA", "NA",(P172+(Data!$D$30*$F172))/(Data!$D$30+1))),"---")</f>
        <v>---</v>
      </c>
      <c r="R172" s="376" t="str">
        <f>IF(Start!$C$16="x",IF(O172 = "NA","NA", IF(OR($I172 = "NA",I172=""), "NA",(IF(OR(ChemData!U172="NA",ChemData!U172=""),O172/((Data!$D$35+((1-Data!$D$35)*Data!$D$14*$I172))/((1-Data!$D$35)*Data!$D$14*1000)),(IF(O172/((Data!$D$35+((1-Data!$D$35)*Data!$D$14*$I172))/((1-Data!$D$35)*Data!$D$14*1000))&gt;ChemData!U172, ChemData!U172, O172/((Data!$D$35+((1-Data!$D$35)*Data!$D$14*$I172))/((1-Data!$D$35)*Data!$D$14*1000)))))))),"---")</f>
        <v>---</v>
      </c>
      <c r="S172" s="377" t="str">
        <f>IF(Start!$C$16="x",IF(OR($F172 = "NA",F172=""), "NA", IF(R172= "NA", "NA",(R172+(Data!$D$30*$F172))/(Data!$D$30+1))),"---")</f>
        <v>---</v>
      </c>
      <c r="T172" s="343" t="str">
        <f>IF(Start!$C$16="x",IF(AND(D172= "",E172=""),"",IF(Q172="NA","NA",IF(G172="NA","NA",IF(G172=0,"NA",(Q172/G172))))),"Not Req.")</f>
        <v>Not Req.</v>
      </c>
      <c r="U172" s="343" t="str">
        <f>IF(Start!$C$16="x",IF(AND(D172= "",E172=""),"",IF(S172="NA","NA",IF(G172="NA","NA",IF(G172=0,"NA",(S172/G172))))),"Not Req.")</f>
        <v>Not Req.</v>
      </c>
      <c r="V172" s="11"/>
    </row>
    <row r="173" spans="1:22" s="10" customFormat="1" x14ac:dyDescent="0.25">
      <c r="A173" s="307" t="s">
        <v>491</v>
      </c>
      <c r="B173" s="348" t="str">
        <f>IF(Start!$C$16="x",IF(OR(D173 ="NA",E173="NA"),"NA",IF(AND(D173= "",E173=""),"",IF(AND(D173= "",E173&lt;&gt; ""),"Missing Data",                     IF(AND(D173&lt;&gt; "",E173= ""),"Missing Data",(IF(OR(G173="NA",G173=""),"No Criteria",(IF(AND(Q173="NA",D173&lt;&gt;"NA",G173&lt;&gt;"NA"),                                               "Missing Data",(IF(Q173&lt;G173,"No","Needed")))))))))),"---")</f>
        <v>---</v>
      </c>
      <c r="C173" s="350" t="str">
        <f>IF(Start!$C$16="x",IF(OR(D173 ="NA",E173="NA"),"NA",IF(AND(D173= "",E173=""),"",IF(AND(D173= "",E173&lt;&gt; ""),"Missing Data",                     IF(AND(D173&lt;&gt; "",E173= ""),"Missing Data",(IF(OR(G173="NA",G173=""),"No Criteria",(IF(AND(S173="NA",D173&lt;&gt;"NA",G173&lt;&gt;"NA"),                                               "Missing Data",(IF(S173&lt;G173,"No","Needed")))))))))),"---")</f>
        <v>---</v>
      </c>
      <c r="D173" s="372" t="str">
        <f>IF(TRUE=ISBLANK(ChemData!B173),"",(ChemData!B173))</f>
        <v/>
      </c>
      <c r="E173" s="373" t="str">
        <f>IF(TRUE=ISBLANK(ChemData!C173),"",(ChemData!C173))</f>
        <v/>
      </c>
      <c r="F173" s="374" t="str">
        <f>IF(TRUE=ISBLANK(ChemData!D173),"",(ChemData!D173))</f>
        <v/>
      </c>
      <c r="G173" s="289" t="str">
        <f>IF(TRUE=ISBLANK(ChemData!I173),"",(ChemData!I173))</f>
        <v>NA</v>
      </c>
      <c r="H173" s="290">
        <f>IF(TRUE=ISBLANK(ChemData!Q173),"",(ChemData!Q173))</f>
        <v>2.8016018708554212E-2</v>
      </c>
      <c r="I173" s="290">
        <f>IF(TRUE=ISBLANK(ChemData!R173),"",(ChemData!R173))</f>
        <v>2.8016018708554212E-2</v>
      </c>
      <c r="J173" s="290">
        <f>IF(TRUE=ISBLANK(ChemData!S173),"",(ChemData!S173))</f>
        <v>1</v>
      </c>
      <c r="K173" s="291">
        <f>IF(TRUE=ISBLANK(ChemData!T173),"",(ChemData!T173))</f>
        <v>1</v>
      </c>
      <c r="L173" s="375" t="str">
        <f>IF(Start!$C$16="x",IF(OR(D173="NA",D173=""),"NA", IF(OR($J173 = "NA",J173=""),"NA",(D173*$J173))),"---")</f>
        <v>---</v>
      </c>
      <c r="M173" s="377" t="str">
        <f>IF(Start!$C$16="x",IF(OR(D173="NA",D173=""),"NA", IF(OR($K173 = "NA",K173=""),"NA",(D173*$K173))),"---")</f>
        <v>---</v>
      </c>
      <c r="N173" s="375" t="str">
        <f t="shared" si="6"/>
        <v>---</v>
      </c>
      <c r="O173" s="377" t="str">
        <f t="shared" si="6"/>
        <v>---</v>
      </c>
      <c r="P173" s="461" t="str">
        <f>IF(Start!$C$16="x",(IF(L173 = "NA","NA", (IF(OR($H173 = "NA",H173=""), "NA",(IF(OR(ChemData!U173="NA",ChemData!U173=""),L173/((Data!$D$33+((1-Data!$D$33)*Data!$D$14*$H173))/((1-Data!$D$33)*Data!$D$14*1000)),(IF(L173/((Data!$D$33+((1-Data!$D$33)*Data!$D$14*$H173))/((1-Data!$D$33)*Data!$D$14*1000))&gt;ChemData!U173, ChemData!U173, L173/((Data!$D$33+((1-Data!$D$33)*Data!$D$14*$H173))/((1-Data!$D$33)*Data!$D$14*1000)))))))))),"---")</f>
        <v>---</v>
      </c>
      <c r="Q173" s="376" t="str">
        <f>IF(Start!$C$16="x",IF(OR($F173 = "NA",F173=""), "NA", IF(P173= "NA", "NA",(P173+(Data!$D$30*$F173))/(Data!$D$30+1))),"---")</f>
        <v>---</v>
      </c>
      <c r="R173" s="376" t="str">
        <f>IF(Start!$C$16="x",IF(O173 = "NA","NA", IF(OR($I173 = "NA",I173=""), "NA",(IF(OR(ChemData!U173="NA",ChemData!U173=""),O173/((Data!$D$35+((1-Data!$D$35)*Data!$D$14*$I173))/((1-Data!$D$35)*Data!$D$14*1000)),(IF(O173/((Data!$D$35+((1-Data!$D$35)*Data!$D$14*$I173))/((1-Data!$D$35)*Data!$D$14*1000))&gt;ChemData!U173, ChemData!U173, O173/((Data!$D$35+((1-Data!$D$35)*Data!$D$14*$I173))/((1-Data!$D$35)*Data!$D$14*1000)))))))),"---")</f>
        <v>---</v>
      </c>
      <c r="S173" s="377" t="str">
        <f>IF(Start!$C$16="x",IF(OR($F173 = "NA",F173=""), "NA", IF(R173= "NA", "NA",(R173+(Data!$D$30*$F173))/(Data!$D$30+1))),"---")</f>
        <v>---</v>
      </c>
      <c r="T173" s="343" t="str">
        <f>IF(Start!$C$16="x",IF(AND(D173= "",E173=""),"",IF(Q173="NA","NA",IF(G173="NA","NA",IF(G173=0,"NA",(Q173/G173))))),"Not Req.")</f>
        <v>Not Req.</v>
      </c>
      <c r="U173" s="343" t="str">
        <f>IF(Start!$C$16="x",IF(AND(D173= "",E173=""),"",IF(S173="NA","NA",IF(G173="NA","NA",IF(G173=0,"NA",(S173/G173))))),"Not Req.")</f>
        <v>Not Req.</v>
      </c>
      <c r="V173" s="11"/>
    </row>
    <row r="174" spans="1:22" s="10" customFormat="1" x14ac:dyDescent="0.25">
      <c r="A174" s="307" t="s">
        <v>676</v>
      </c>
      <c r="B174" s="348" t="str">
        <f>IF(Start!$C$16="x",IF(OR(D174 ="NA",E174="NA"),"NA",IF(AND(D174= "",E174=""),"",IF(AND(D174= "",E174&lt;&gt; ""),"Missing Data",                     IF(AND(D174&lt;&gt; "",E174= ""),"Missing Data",(IF(OR(G174="NA",G174=""),"No Criteria",(IF(AND(Q174="NA",D174&lt;&gt;"NA",G174&lt;&gt;"NA"),                                               "Missing Data",(IF(Q174&lt;G174,"No","Needed")))))))))),"---")</f>
        <v>---</v>
      </c>
      <c r="C174" s="350" t="str">
        <f>IF(Start!$C$16="x",IF(OR(D174 ="NA",E174="NA"),"NA",IF(AND(D174= "",E174=""),"",IF(AND(D174= "",E174&lt;&gt; ""),"Missing Data",                     IF(AND(D174&lt;&gt; "",E174= ""),"Missing Data",(IF(OR(G174="NA",G174=""),"No Criteria",(IF(AND(S174="NA",D174&lt;&gt;"NA",G174&lt;&gt;"NA"),                                               "Missing Data",(IF(S174&lt;G174,"No","Needed")))))))))),"---")</f>
        <v>---</v>
      </c>
      <c r="D174" s="372" t="str">
        <f>IF(TRUE=ISBLANK(ChemData!B174),"",(ChemData!B174))</f>
        <v/>
      </c>
      <c r="E174" s="373" t="str">
        <f>IF(TRUE=ISBLANK(ChemData!C174),"",(ChemData!C174))</f>
        <v/>
      </c>
      <c r="F174" s="374" t="str">
        <f>IF(TRUE=ISBLANK(ChemData!D174),"",(ChemData!D174))</f>
        <v/>
      </c>
      <c r="G174" s="289" t="str">
        <f>IF(TRUE=ISBLANK(ChemData!I174),"",(ChemData!I174))</f>
        <v>NA</v>
      </c>
      <c r="H174" s="290">
        <f>IF(TRUE=ISBLANK(ChemData!Q174),"",(ChemData!Q174))</f>
        <v>0.32166693340150943</v>
      </c>
      <c r="I174" s="290">
        <f>IF(TRUE=ISBLANK(ChemData!R174),"",(ChemData!R174))</f>
        <v>0.32166693340150943</v>
      </c>
      <c r="J174" s="290">
        <f>IF(TRUE=ISBLANK(ChemData!S174),"",(ChemData!S174))</f>
        <v>1</v>
      </c>
      <c r="K174" s="291">
        <f>IF(TRUE=ISBLANK(ChemData!T174),"",(ChemData!T174))</f>
        <v>1</v>
      </c>
      <c r="L174" s="375" t="str">
        <f>IF(Start!$C$16="x",IF(OR(D174="NA",D174=""),"NA", IF(OR($J174 = "NA",J174=""),"NA",(D174*$J174))),"---")</f>
        <v>---</v>
      </c>
      <c r="M174" s="377" t="str">
        <f>IF(Start!$C$16="x",IF(OR(D174="NA",D174=""),"NA", IF(OR($K174 = "NA",K174=""),"NA",(D174*$K174))),"---")</f>
        <v>---</v>
      </c>
      <c r="N174" s="375" t="str">
        <f t="shared" si="6"/>
        <v>---</v>
      </c>
      <c r="O174" s="377" t="str">
        <f t="shared" si="6"/>
        <v>---</v>
      </c>
      <c r="P174" s="461" t="str">
        <f>IF(Start!$C$16="x",(IF(L174 = "NA","NA", (IF(OR($H174 = "NA",H174=""), "NA",(IF(OR(ChemData!U174="NA",ChemData!U174=""),L174/((Data!$D$33+((1-Data!$D$33)*Data!$D$14*$H174))/((1-Data!$D$33)*Data!$D$14*1000)),(IF(L174/((Data!$D$33+((1-Data!$D$33)*Data!$D$14*$H174))/((1-Data!$D$33)*Data!$D$14*1000))&gt;ChemData!U174, ChemData!U174, L174/((Data!$D$33+((1-Data!$D$33)*Data!$D$14*$H174))/((1-Data!$D$33)*Data!$D$14*1000)))))))))),"---")</f>
        <v>---</v>
      </c>
      <c r="Q174" s="376" t="str">
        <f>IF(Start!$C$16="x",IF(OR($F174 = "NA",F174=""), "NA", IF(P174= "NA", "NA",(P174+(Data!$D$30*$F174))/(Data!$D$30+1))),"---")</f>
        <v>---</v>
      </c>
      <c r="R174" s="376" t="str">
        <f>IF(Start!$C$16="x",IF(O174 = "NA","NA", IF(OR($I174 = "NA",I174=""), "NA",(IF(OR(ChemData!U174="NA",ChemData!U174=""),O174/((Data!$D$35+((1-Data!$D$35)*Data!$D$14*$I174))/((1-Data!$D$35)*Data!$D$14*1000)),(IF(O174/((Data!$D$35+((1-Data!$D$35)*Data!$D$14*$I174))/((1-Data!$D$35)*Data!$D$14*1000))&gt;ChemData!U174, ChemData!U174, O174/((Data!$D$35+((1-Data!$D$35)*Data!$D$14*$I174))/((1-Data!$D$35)*Data!$D$14*1000)))))))),"---")</f>
        <v>---</v>
      </c>
      <c r="S174" s="377" t="str">
        <f>IF(Start!$C$16="x",IF(OR($F174 = "NA",F174=""), "NA", IF(R174= "NA", "NA",(R174+(Data!$D$30*$F174))/(Data!$D$30+1))),"---")</f>
        <v>---</v>
      </c>
      <c r="T174" s="343" t="str">
        <f>IF(Start!$C$16="x",IF(AND(D174= "",E174=""),"",IF(Q174="NA","NA",IF(G174="NA","NA",IF(G174=0,"NA",(Q174/G174))))),"Not Req.")</f>
        <v>Not Req.</v>
      </c>
      <c r="U174" s="343" t="str">
        <f>IF(Start!$C$16="x",IF(AND(D174= "",E174=""),"",IF(S174="NA","NA",IF(G174="NA","NA",IF(G174=0,"NA",(S174/G174))))),"Not Req.")</f>
        <v>Not Req.</v>
      </c>
      <c r="V174" s="11"/>
    </row>
    <row r="175" spans="1:22" s="10" customFormat="1" x14ac:dyDescent="0.25">
      <c r="A175" s="307" t="s">
        <v>677</v>
      </c>
      <c r="B175" s="348" t="str">
        <f>IF(Start!$C$16="x",IF(OR(D175 ="NA",E175="NA"),"NA",IF(AND(D175= "",E175=""),"",IF(AND(D175= "",E175&lt;&gt; ""),"Missing Data",                     IF(AND(D175&lt;&gt; "",E175= ""),"Missing Data",(IF(OR(G175="NA",G175=""),"No Criteria",(IF(AND(Q175="NA",D175&lt;&gt;"NA",G175&lt;&gt;"NA"),                                               "Missing Data",(IF(Q175&lt;G175,"No","Needed")))))))))),"---")</f>
        <v>---</v>
      </c>
      <c r="C175" s="350" t="str">
        <f>IF(Start!$C$16="x",IF(OR(D175 ="NA",E175="NA"),"NA",IF(AND(D175= "",E175=""),"",IF(AND(D175= "",E175&lt;&gt; ""),"Missing Data",                     IF(AND(D175&lt;&gt; "",E175= ""),"Missing Data",(IF(OR(G175="NA",G175=""),"No Criteria",(IF(AND(S175="NA",D175&lt;&gt;"NA",G175&lt;&gt;"NA"),                                               "Missing Data",(IF(S175&lt;G175,"No","Needed")))))))))),"---")</f>
        <v>---</v>
      </c>
      <c r="D175" s="372" t="str">
        <f>IF(TRUE=ISBLANK(ChemData!B175),"",(ChemData!B175))</f>
        <v/>
      </c>
      <c r="E175" s="373" t="str">
        <f>IF(TRUE=ISBLANK(ChemData!C175),"",(ChemData!C175))</f>
        <v/>
      </c>
      <c r="F175" s="374" t="str">
        <f>IF(TRUE=ISBLANK(ChemData!D175),"",(ChemData!D175))</f>
        <v/>
      </c>
      <c r="G175" s="289">
        <f>IF(TRUE=ISBLANK(ChemData!I175),"",(ChemData!I175))</f>
        <v>170</v>
      </c>
      <c r="H175" s="290">
        <f>IF(TRUE=ISBLANK(ChemData!Q175),"",(ChemData!Q175))</f>
        <v>0.37792569355833</v>
      </c>
      <c r="I175" s="290">
        <f>IF(TRUE=ISBLANK(ChemData!R175),"",(ChemData!R175))</f>
        <v>0.37792569355833</v>
      </c>
      <c r="J175" s="290">
        <f>IF(TRUE=ISBLANK(ChemData!S175),"",(ChemData!S175))</f>
        <v>1</v>
      </c>
      <c r="K175" s="291">
        <f>IF(TRUE=ISBLANK(ChemData!T175),"",(ChemData!T175))</f>
        <v>1</v>
      </c>
      <c r="L175" s="375" t="str">
        <f>IF(Start!$C$16="x",IF(OR(D175="NA",D175=""),"NA", IF(OR($J175 = "NA",J175=""),"NA",(D175*$J175))),"---")</f>
        <v>---</v>
      </c>
      <c r="M175" s="377" t="str">
        <f>IF(Start!$C$16="x",IF(OR(D175="NA",D175=""),"NA", IF(OR($K175 = "NA",K175=""),"NA",(D175*$K175))),"---")</f>
        <v>---</v>
      </c>
      <c r="N175" s="375" t="str">
        <f t="shared" si="6"/>
        <v>---</v>
      </c>
      <c r="O175" s="377" t="str">
        <f t="shared" si="6"/>
        <v>---</v>
      </c>
      <c r="P175" s="461" t="str">
        <f>IF(Start!$C$16="x",(IF(L175 = "NA","NA", (IF(OR($H175 = "NA",H175=""), "NA",(IF(OR(ChemData!U175="NA",ChemData!U175=""),L175/((Data!$D$33+((1-Data!$D$33)*Data!$D$14*$H175))/((1-Data!$D$33)*Data!$D$14*1000)),(IF(L175/((Data!$D$33+((1-Data!$D$33)*Data!$D$14*$H175))/((1-Data!$D$33)*Data!$D$14*1000))&gt;ChemData!U175, ChemData!U175, L175/((Data!$D$33+((1-Data!$D$33)*Data!$D$14*$H175))/((1-Data!$D$33)*Data!$D$14*1000)))))))))),"---")</f>
        <v>---</v>
      </c>
      <c r="Q175" s="376" t="str">
        <f>IF(Start!$C$16="x",IF(OR($F175 = "NA",F175=""), "NA", IF(P175= "NA", "NA",(P175+(Data!$D$30*$F175))/(Data!$D$30+1))),"---")</f>
        <v>---</v>
      </c>
      <c r="R175" s="376" t="str">
        <f>IF(Start!$C$16="x",IF(O175 = "NA","NA", IF(OR($I175 = "NA",I175=""), "NA",(IF(OR(ChemData!U175="NA",ChemData!U175=""),O175/((Data!$D$35+((1-Data!$D$35)*Data!$D$14*$I175))/((1-Data!$D$35)*Data!$D$14*1000)),(IF(O175/((Data!$D$35+((1-Data!$D$35)*Data!$D$14*$I175))/((1-Data!$D$35)*Data!$D$14*1000))&gt;ChemData!U175, ChemData!U175, O175/((Data!$D$35+((1-Data!$D$35)*Data!$D$14*$I175))/((1-Data!$D$35)*Data!$D$14*1000)))))))),"---")</f>
        <v>---</v>
      </c>
      <c r="S175" s="377" t="str">
        <f>IF(Start!$C$16="x",IF(OR($F175 = "NA",F175=""), "NA", IF(R175= "NA", "NA",(R175+(Data!$D$30*$F175))/(Data!$D$30+1))),"---")</f>
        <v>---</v>
      </c>
      <c r="T175" s="343" t="str">
        <f>IF(Start!$C$16="x",IF(AND(D175= "",E175=""),"",IF(Q175="NA","NA",IF(G175="NA","NA",IF(G175=0,"NA",(Q175/G175))))),"Not Req.")</f>
        <v>Not Req.</v>
      </c>
      <c r="U175" s="343" t="str">
        <f>IF(Start!$C$16="x",IF(AND(D175= "",E175=""),"",IF(S175="NA","NA",IF(G175="NA","NA",IF(G175=0,"NA",(S175/G175))))),"Not Req.")</f>
        <v>Not Req.</v>
      </c>
      <c r="V175" s="11"/>
    </row>
    <row r="176" spans="1:22" s="10" customFormat="1" x14ac:dyDescent="0.25">
      <c r="A176" s="307" t="s">
        <v>678</v>
      </c>
      <c r="B176" s="348" t="str">
        <f>IF(Start!$C$16="x",IF(OR(D176 ="NA",E176="NA"),"NA",IF(AND(D176= "",E176=""),"",IF(AND(D176= "",E176&lt;&gt; ""),"Missing Data",                     IF(AND(D176&lt;&gt; "",E176= ""),"Missing Data",(IF(OR(G176="NA",G176=""),"No Criteria",(IF(AND(Q176="NA",D176&lt;&gt;"NA",G176&lt;&gt;"NA"),                                               "Missing Data",(IF(Q176&lt;G176,"No","Needed")))))))))),"---")</f>
        <v>---</v>
      </c>
      <c r="C176" s="350" t="str">
        <f>IF(Start!$C$16="x",IF(OR(D176 ="NA",E176="NA"),"NA",IF(AND(D176= "",E176=""),"",IF(AND(D176= "",E176&lt;&gt; ""),"Missing Data",                     IF(AND(D176&lt;&gt; "",E176= ""),"Missing Data",(IF(OR(G176="NA",G176=""),"No Criteria",(IF(AND(S176="NA",D176&lt;&gt;"NA",G176&lt;&gt;"NA"),                                               "Missing Data",(IF(S176&lt;G176,"No","Needed")))))))))),"---")</f>
        <v>---</v>
      </c>
      <c r="D176" s="372" t="str">
        <f>IF(TRUE=ISBLANK(ChemData!B176),"",(ChemData!B176))</f>
        <v/>
      </c>
      <c r="E176" s="373" t="str">
        <f>IF(TRUE=ISBLANK(ChemData!C176),"",(ChemData!C176))</f>
        <v/>
      </c>
      <c r="F176" s="374" t="str">
        <f>IF(TRUE=ISBLANK(ChemData!D176),"",(ChemData!D176))</f>
        <v/>
      </c>
      <c r="G176" s="289">
        <f>IF(TRUE=ISBLANK(ChemData!I176),"",(ChemData!I176))</f>
        <v>2200</v>
      </c>
      <c r="H176" s="290">
        <f>IF(TRUE=ISBLANK(ChemData!Q176),"",(ChemData!Q176))</f>
        <v>0.32915951879820476</v>
      </c>
      <c r="I176" s="290">
        <f>IF(TRUE=ISBLANK(ChemData!R176),"",(ChemData!R176))</f>
        <v>0.32915951879820476</v>
      </c>
      <c r="J176" s="290">
        <f>IF(TRUE=ISBLANK(ChemData!S176),"",(ChemData!S176))</f>
        <v>1</v>
      </c>
      <c r="K176" s="291">
        <f>IF(TRUE=ISBLANK(ChemData!T176),"",(ChemData!T176))</f>
        <v>1</v>
      </c>
      <c r="L176" s="375" t="str">
        <f>IF(Start!$C$16="x",IF(OR(D176="NA",D176=""),"NA", IF(OR($J176 = "NA",J176=""),"NA",(D176*$J176))),"---")</f>
        <v>---</v>
      </c>
      <c r="M176" s="377" t="str">
        <f>IF(Start!$C$16="x",IF(OR(D176="NA",D176=""),"NA", IF(OR($K176 = "NA",K176=""),"NA",(D176*$K176))),"---")</f>
        <v>---</v>
      </c>
      <c r="N176" s="375" t="str">
        <f t="shared" si="6"/>
        <v>---</v>
      </c>
      <c r="O176" s="377" t="str">
        <f t="shared" si="6"/>
        <v>---</v>
      </c>
      <c r="P176" s="461" t="str">
        <f>IF(Start!$C$16="x",(IF(L176 = "NA","NA", (IF(OR($H176 = "NA",H176=""), "NA",(IF(OR(ChemData!U176="NA",ChemData!U176=""),L176/((Data!$D$33+((1-Data!$D$33)*Data!$D$14*$H176))/((1-Data!$D$33)*Data!$D$14*1000)),(IF(L176/((Data!$D$33+((1-Data!$D$33)*Data!$D$14*$H176))/((1-Data!$D$33)*Data!$D$14*1000))&gt;ChemData!U176, ChemData!U176, L176/((Data!$D$33+((1-Data!$D$33)*Data!$D$14*$H176))/((1-Data!$D$33)*Data!$D$14*1000)))))))))),"---")</f>
        <v>---</v>
      </c>
      <c r="Q176" s="376" t="str">
        <f>IF(Start!$C$16="x",IF(OR($F176 = "NA",F176=""), "NA", IF(P176= "NA", "NA",(P176+(Data!$D$30*$F176))/(Data!$D$30+1))),"---")</f>
        <v>---</v>
      </c>
      <c r="R176" s="376" t="str">
        <f>IF(Start!$C$16="x",IF(O176 = "NA","NA", IF(OR($I176 = "NA",I176=""), "NA",(IF(OR(ChemData!U176="NA",ChemData!U176=""),O176/((Data!$D$35+((1-Data!$D$35)*Data!$D$14*$I176))/((1-Data!$D$35)*Data!$D$14*1000)),(IF(O176/((Data!$D$35+((1-Data!$D$35)*Data!$D$14*$I176))/((1-Data!$D$35)*Data!$D$14*1000))&gt;ChemData!U176, ChemData!U176, O176/((Data!$D$35+((1-Data!$D$35)*Data!$D$14*$I176))/((1-Data!$D$35)*Data!$D$14*1000)))))))),"---")</f>
        <v>---</v>
      </c>
      <c r="S176" s="377" t="str">
        <f>IF(Start!$C$16="x",IF(OR($F176 = "NA",F176=""), "NA", IF(R176= "NA", "NA",(R176+(Data!$D$30*$F176))/(Data!$D$30+1))),"---")</f>
        <v>---</v>
      </c>
      <c r="T176" s="343" t="str">
        <f>IF(Start!$C$16="x",IF(AND(D176= "",E176=""),"",IF(Q176="NA","NA",IF(G176="NA","NA",IF(G176=0,"NA",(Q176/G176))))),"Not Req.")</f>
        <v>Not Req.</v>
      </c>
      <c r="U176" s="343" t="str">
        <f>IF(Start!$C$16="x",IF(AND(D176= "",E176=""),"",IF(S176="NA","NA",IF(G176="NA","NA",IF(G176=0,"NA",(S176/G176))))),"Not Req.")</f>
        <v>Not Req.</v>
      </c>
      <c r="V176" s="11"/>
    </row>
    <row r="177" spans="1:22" s="10" customFormat="1" x14ac:dyDescent="0.25">
      <c r="A177" s="308" t="s">
        <v>679</v>
      </c>
      <c r="B177" s="348" t="str">
        <f>IF(Start!$C$16="x",IF(OR(D177 ="NA",E177="NA"),"NA",IF(AND(D177= "",E177=""),"",IF(AND(D177= "",E177&lt;&gt; ""),"Missing Data",                     IF(AND(D177&lt;&gt; "",E177= ""),"Missing Data",(IF(OR(G177="NA",G177=""),"No Criteria",(IF(AND(Q177="NA",D177&lt;&gt;"NA",G177&lt;&gt;"NA"),                                               "Missing Data",(IF(Q177&lt;G177,"No","Needed")))))))))),"---")</f>
        <v>---</v>
      </c>
      <c r="C177" s="350" t="str">
        <f>IF(Start!$C$16="x",IF(OR(D177 ="NA",E177="NA"),"NA",IF(AND(D177= "",E177=""),"",IF(AND(D177= "",E177&lt;&gt; ""),"Missing Data",                     IF(AND(D177&lt;&gt; "",E177= ""),"Missing Data",(IF(OR(G177="NA",G177=""),"No Criteria",(IF(AND(S177="NA",D177&lt;&gt;"NA",G177&lt;&gt;"NA"),                                               "Missing Data",(IF(S177&lt;G177,"No","Needed")))))))))),"---")</f>
        <v>---</v>
      </c>
      <c r="D177" s="372" t="str">
        <f>IF(TRUE=ISBLANK(ChemData!B177),"",(ChemData!B177))</f>
        <v/>
      </c>
      <c r="E177" s="373" t="str">
        <f>IF(TRUE=ISBLANK(ChemData!C177),"",(ChemData!C177))</f>
        <v/>
      </c>
      <c r="F177" s="374" t="str">
        <f>IF(TRUE=ISBLANK(ChemData!D177),"",(ChemData!D177))</f>
        <v/>
      </c>
      <c r="G177" s="289">
        <f>IF(TRUE=ISBLANK(ChemData!I177),"",(ChemData!I177))</f>
        <v>8.3000000000000007</v>
      </c>
      <c r="H177" s="290">
        <f>IF(TRUE=ISBLANK(ChemData!Q177),"",(ChemData!Q177))</f>
        <v>4.3391675371571781</v>
      </c>
      <c r="I177" s="290">
        <f>IF(TRUE=ISBLANK(ChemData!R177),"",(ChemData!R177))</f>
        <v>4.3391675371571781</v>
      </c>
      <c r="J177" s="290">
        <f>IF(TRUE=ISBLANK(ChemData!S177),"",(ChemData!S177))</f>
        <v>1</v>
      </c>
      <c r="K177" s="291">
        <f>IF(TRUE=ISBLANK(ChemData!T177),"",(ChemData!T177))</f>
        <v>1</v>
      </c>
      <c r="L177" s="375" t="str">
        <f>IF(Start!$C$16="x",IF(OR(D177="NA",D177=""),"NA", IF(OR($J177 = "NA",J177=""),"NA",(D177*$J177))),"---")</f>
        <v>---</v>
      </c>
      <c r="M177" s="377" t="str">
        <f>IF(Start!$C$16="x",IF(OR(D177="NA",D177=""),"NA", IF(OR($K177 = "NA",K177=""),"NA",(D177*$K177))),"---")</f>
        <v>---</v>
      </c>
      <c r="N177" s="375" t="str">
        <f t="shared" ref="N177:O179" si="7">L177</f>
        <v>---</v>
      </c>
      <c r="O177" s="377" t="str">
        <f t="shared" si="7"/>
        <v>---</v>
      </c>
      <c r="P177" s="461" t="str">
        <f>IF(Start!$C$16="x",(IF(L177 = "NA","NA", (IF(OR($H177 = "NA",H177=""), "NA",(IF(OR(ChemData!U177="NA",ChemData!U177=""),L177/((Data!$D$33+((1-Data!$D$33)*Data!$D$14*$H177))/((1-Data!$D$33)*Data!$D$14*1000)),(IF(L177/((Data!$D$33+((1-Data!$D$33)*Data!$D$14*$H177))/((1-Data!$D$33)*Data!$D$14*1000))&gt;ChemData!U177, ChemData!U177, L177/((Data!$D$33+((1-Data!$D$33)*Data!$D$14*$H177))/((1-Data!$D$33)*Data!$D$14*1000)))))))))),"---")</f>
        <v>---</v>
      </c>
      <c r="Q177" s="376" t="str">
        <f>IF(Start!$C$16="x",IF(OR($F177 = "NA",F177=""), "NA", IF(P177= "NA", "NA",(P177+(Data!$D$30*$F177))/(Data!$D$30+1))),"---")</f>
        <v>---</v>
      </c>
      <c r="R177" s="376" t="str">
        <f>IF(Start!$C$16="x",IF(O177 = "NA","NA", IF(OR($I177 = "NA",I177=""), "NA",(IF(OR(ChemData!U177="NA",ChemData!U177=""),O177/((Data!$D$35+((1-Data!$D$35)*Data!$D$14*$I177))/((1-Data!$D$35)*Data!$D$14*1000)),(IF(O177/((Data!$D$35+((1-Data!$D$35)*Data!$D$14*$I177))/((1-Data!$D$35)*Data!$D$14*1000))&gt;ChemData!U177, ChemData!U177, O177/((Data!$D$35+((1-Data!$D$35)*Data!$D$14*$I177))/((1-Data!$D$35)*Data!$D$14*1000)))))))),"---")</f>
        <v>---</v>
      </c>
      <c r="S177" s="377" t="str">
        <f>IF(Start!$C$16="x",IF(OR($F177 = "NA",F177=""), "NA", IF(R177= "NA", "NA",(R177+(Data!$D$30*$F177))/(Data!$D$30+1))),"---")</f>
        <v>---</v>
      </c>
      <c r="T177" s="343" t="str">
        <f>IF(Start!$C$16="x",IF(AND(D177= "",E177=""),"",IF(Q177="NA","NA",IF(G177="NA","NA",IF(G177=0,"NA",(Q177/G177))))),"Not Req.")</f>
        <v>Not Req.</v>
      </c>
      <c r="U177" s="343" t="str">
        <f>IF(Start!$C$16="x",IF(AND(D177= "",E177=""),"",IF(S177="NA","NA",IF(G177="NA","NA",IF(G177=0,"NA",(S177/G177))))),"Not Req.")</f>
        <v>Not Req.</v>
      </c>
      <c r="V177" s="11"/>
    </row>
    <row r="178" spans="1:22" s="10" customFormat="1" x14ac:dyDescent="0.25">
      <c r="A178" s="308" t="s">
        <v>496</v>
      </c>
      <c r="B178" s="348" t="str">
        <f>IF(Start!$C$16="x",IF(OR(D178 ="NA",E178="NA"),"NA",IF(AND(D178= "",E178=""),"",IF(AND(D178= "",E178&lt;&gt; ""),"Missing Data",                     IF(AND(D178&lt;&gt; "",E178= ""),"Missing Data",(IF(OR(G178="NA",G178=""),"No Criteria",(IF(AND(Q178="NA",D178&lt;&gt;"NA",G178&lt;&gt;"NA"),                                               "Missing Data",(IF(Q178&lt;G178,"No","Needed")))))))))),"---")</f>
        <v>---</v>
      </c>
      <c r="C178" s="350" t="str">
        <f>IF(Start!$C$16="x",IF(OR(D178 ="NA",E178="NA"),"NA",IF(AND(D178= "",E178=""),"",IF(AND(D178= "",E178&lt;&gt; ""),"Missing Data",                     IF(AND(D178&lt;&gt; "",E178= ""),"Missing Data",(IF(OR(G178="NA",G178=""),"No Criteria",(IF(AND(S178="NA",D178&lt;&gt;"NA",G178&lt;&gt;"NA"),                                               "Missing Data",(IF(S178&lt;G178,"No","Needed")))))))))),"---")</f>
        <v>---</v>
      </c>
      <c r="D178" s="372" t="str">
        <f>IF(TRUE=ISBLANK(ChemData!B178),"",(ChemData!B178))</f>
        <v/>
      </c>
      <c r="E178" s="373" t="str">
        <f>IF(TRUE=ISBLANK(ChemData!C178),"",(ChemData!C178))</f>
        <v/>
      </c>
      <c r="F178" s="374" t="str">
        <f>IF(TRUE=ISBLANK(ChemData!D178),"",(ChemData!D178))</f>
        <v/>
      </c>
      <c r="G178" s="289">
        <f>IF(TRUE=ISBLANK(ChemData!I178),"",(ChemData!I178))</f>
        <v>110</v>
      </c>
      <c r="H178" s="290">
        <f>IF(TRUE=ISBLANK(ChemData!Q178),"",(ChemData!Q178))</f>
        <v>0.5989718589767421</v>
      </c>
      <c r="I178" s="290">
        <f>IF(TRUE=ISBLANK(ChemData!R178),"",(ChemData!R178))</f>
        <v>0.5989718589767421</v>
      </c>
      <c r="J178" s="290">
        <f>IF(TRUE=ISBLANK(ChemData!S178),"",(ChemData!S178))</f>
        <v>1</v>
      </c>
      <c r="K178" s="291">
        <f>IF(TRUE=ISBLANK(ChemData!T178),"",(ChemData!T178))</f>
        <v>1</v>
      </c>
      <c r="L178" s="375" t="str">
        <f>IF(Start!$C$16="x",IF(OR(D178="NA",D178=""),"NA", IF(OR($J178 = "NA",J178=""),"NA",(D178*$J178))),"---")</f>
        <v>---</v>
      </c>
      <c r="M178" s="377" t="str">
        <f>IF(Start!$C$16="x",IF(OR(D178="NA",D178=""),"NA", IF(OR($K178 = "NA",K178=""),"NA",(D178*$K178))),"---")</f>
        <v>---</v>
      </c>
      <c r="N178" s="375" t="str">
        <f t="shared" si="7"/>
        <v>---</v>
      </c>
      <c r="O178" s="377" t="str">
        <f t="shared" si="7"/>
        <v>---</v>
      </c>
      <c r="P178" s="461" t="str">
        <f>IF(Start!$C$16="x",(IF(L178 = "NA","NA", (IF(OR($H178 = "NA",H178=""), "NA",(IF(OR(ChemData!U178="NA",ChemData!U178=""),L178/((Data!$D$33+((1-Data!$D$33)*Data!$D$14*$H178))/((1-Data!$D$33)*Data!$D$14*1000)),(IF(L178/((Data!$D$33+((1-Data!$D$33)*Data!$D$14*$H178))/((1-Data!$D$33)*Data!$D$14*1000))&gt;ChemData!U178, ChemData!U178, L178/((Data!$D$33+((1-Data!$D$33)*Data!$D$14*$H178))/((1-Data!$D$33)*Data!$D$14*1000)))))))))),"---")</f>
        <v>---</v>
      </c>
      <c r="Q178" s="376" t="str">
        <f>IF(Start!$C$16="x",IF(OR($F178 = "NA",F178=""), "NA", IF(P178= "NA", "NA",(P178+(Data!$D$30*$F178))/(Data!$D$30+1))),"---")</f>
        <v>---</v>
      </c>
      <c r="R178" s="376" t="str">
        <f>IF(Start!$C$16="x",IF(O178 = "NA","NA", IF(OR($I178 = "NA",I178=""), "NA",(IF(OR(ChemData!U178="NA",ChemData!U178=""),O178/((Data!$D$35+((1-Data!$D$35)*Data!$D$14*$I178))/((1-Data!$D$35)*Data!$D$14*1000)),(IF(O178/((Data!$D$35+((1-Data!$D$35)*Data!$D$14*$I178))/((1-Data!$D$35)*Data!$D$14*1000))&gt;ChemData!U178, ChemData!U178, O178/((Data!$D$35+((1-Data!$D$35)*Data!$D$14*$I178))/((1-Data!$D$35)*Data!$D$14*1000)))))))),"---")</f>
        <v>---</v>
      </c>
      <c r="S178" s="377" t="str">
        <f>IF(Start!$C$16="x",IF(OR($F178 = "NA",F178=""), "NA", IF(R178= "NA", "NA",(R178+(Data!$D$30*$F178))/(Data!$D$30+1))),"---")</f>
        <v>---</v>
      </c>
      <c r="T178" s="343" t="str">
        <f>IF(Start!$C$16="x",IF(AND(D178= "",E178=""),"",IF(Q178="NA","NA",IF(G178="NA","NA",IF(G178=0,"NA",(Q178/G178))))),"Not Req.")</f>
        <v>Not Req.</v>
      </c>
      <c r="U178" s="343" t="str">
        <f>IF(Start!$C$16="x",IF(AND(D178= "",E178=""),"",IF(S178="NA","NA",IF(G178="NA","NA",IF(G178=0,"NA",(S178/G178))))),"Not Req.")</f>
        <v>Not Req.</v>
      </c>
      <c r="V178" s="11"/>
    </row>
    <row r="179" spans="1:22" s="10" customFormat="1" x14ac:dyDescent="0.25">
      <c r="A179" s="308" t="s">
        <v>497</v>
      </c>
      <c r="B179" s="348" t="str">
        <f>IF(Start!$C$16="x",IF(OR(D179 ="NA",E179="NA"),"NA",IF(AND(D179= "",E179=""),"",IF(AND(D179= "",E179&lt;&gt; ""),"Missing Data",                     IF(AND(D179&lt;&gt; "",E179= ""),"Missing Data",(IF(OR(G179="NA",G179=""),"No Criteria",(IF(AND(Q179="NA",D179&lt;&gt;"NA",G179&lt;&gt;"NA"),                                               "Missing Data",(IF(Q179&lt;G179,"No","Needed")))))))))),"---")</f>
        <v>---</v>
      </c>
      <c r="C179" s="350" t="str">
        <f>IF(Start!$C$16="x",IF(OR(D179 ="NA",E179="NA"),"NA",IF(AND(D179= "",E179=""),"",IF(AND(D179= "",E179&lt;&gt; ""),"Missing Data",                     IF(AND(D179&lt;&gt; "",E179= ""),"Missing Data",(IF(OR(G179="NA",G179=""),"No Criteria",(IF(AND(S179="NA",D179&lt;&gt;"NA",G179&lt;&gt;"NA"),                                               "Missing Data",(IF(S179&lt;G179,"No","Needed")))))))))),"---")</f>
        <v>---</v>
      </c>
      <c r="D179" s="372" t="str">
        <f>IF(TRUE=ISBLANK(ChemData!B179),"",(ChemData!B179))</f>
        <v/>
      </c>
      <c r="E179" s="373" t="str">
        <f>IF(TRUE=ISBLANK(ChemData!C179),"",(ChemData!C179))</f>
        <v/>
      </c>
      <c r="F179" s="374" t="str">
        <f>IF(TRUE=ISBLANK(ChemData!D179),"",(ChemData!D179))</f>
        <v/>
      </c>
      <c r="G179" s="289">
        <f>IF(TRUE=ISBLANK(ChemData!I179),"",(ChemData!I179))</f>
        <v>7.5</v>
      </c>
      <c r="H179" s="290">
        <f>IF(TRUE=ISBLANK(ChemData!Q179),"",(ChemData!Q179))</f>
        <v>2.0768561589129347E-2</v>
      </c>
      <c r="I179" s="290">
        <f>IF(TRUE=ISBLANK(ChemData!R179),"",(ChemData!R179))</f>
        <v>2.0768561589129347E-2</v>
      </c>
      <c r="J179" s="290">
        <f>IF(TRUE=ISBLANK(ChemData!S179),"",(ChemData!S179))</f>
        <v>1</v>
      </c>
      <c r="K179" s="291">
        <f>IF(TRUE=ISBLANK(ChemData!T179),"",(ChemData!T179))</f>
        <v>1</v>
      </c>
      <c r="L179" s="375" t="str">
        <f>IF(Start!$C$16="x",IF(OR(D179="NA",D179=""),"NA", IF(OR($J179 = "NA",J179=""),"NA",(D179*$J179))),"---")</f>
        <v>---</v>
      </c>
      <c r="M179" s="377" t="str">
        <f>IF(Start!$C$16="x",IF(OR(D179="NA",D179=""),"NA", IF(OR($K179 = "NA",K179=""),"NA",(D179*$K179))),"---")</f>
        <v>---</v>
      </c>
      <c r="N179" s="375" t="str">
        <f t="shared" si="7"/>
        <v>---</v>
      </c>
      <c r="O179" s="377" t="str">
        <f t="shared" si="7"/>
        <v>---</v>
      </c>
      <c r="P179" s="461" t="str">
        <f>IF(Start!$C$16="x",(IF(L179 = "NA","NA", (IF(OR($H179 = "NA",H179=""), "NA",(IF(OR(ChemData!U179="NA",ChemData!U179=""),L179/((Data!$D$33+((1-Data!$D$33)*Data!$D$14*$H179))/((1-Data!$D$33)*Data!$D$14*1000)),(IF(L179/((Data!$D$33+((1-Data!$D$33)*Data!$D$14*$H179))/((1-Data!$D$33)*Data!$D$14*1000))&gt;ChemData!U179, ChemData!U179, L179/((Data!$D$33+((1-Data!$D$33)*Data!$D$14*$H179))/((1-Data!$D$33)*Data!$D$14*1000)))))))))),"---")</f>
        <v>---</v>
      </c>
      <c r="Q179" s="376" t="str">
        <f>IF(Start!$C$16="x",IF(OR($F179 = "NA",F179=""), "NA", IF(P179= "NA", "NA",(P179+(Data!$D$30*$F179))/(Data!$D$30+1))),"---")</f>
        <v>---</v>
      </c>
      <c r="R179" s="376" t="str">
        <f>IF(Start!$C$16="x",IF(O179 = "NA","NA", IF(OR($I179 = "NA",I179=""), "NA",(IF(OR(ChemData!U179="NA",ChemData!U179=""),O179/((Data!$D$35+((1-Data!$D$35)*Data!$D$14*$I179))/((1-Data!$D$35)*Data!$D$14*1000)),(IF(O179/((Data!$D$35+((1-Data!$D$35)*Data!$D$14*$I179))/((1-Data!$D$35)*Data!$D$14*1000))&gt;ChemData!U179, ChemData!U179, O179/((Data!$D$35+((1-Data!$D$35)*Data!$D$14*$I179))/((1-Data!$D$35)*Data!$D$14*1000)))))))),"---")</f>
        <v>---</v>
      </c>
      <c r="S179" s="377" t="str">
        <f>IF(Start!$C$16="x",IF(OR($F179 = "NA",F179=""), "NA", IF(R179= "NA", "NA",(R179+(Data!$D$30*$F179))/(Data!$D$30+1))),"---")</f>
        <v>---</v>
      </c>
      <c r="T179" s="343" t="str">
        <f>IF(Start!$C$16="x",IF(AND(D179= "",E179=""),"",IF(Q179="NA","NA",IF(G179="NA","NA",IF(G179=0,"NA",(Q179/G179))))),"Not Req.")</f>
        <v>Not Req.</v>
      </c>
      <c r="U179" s="343" t="str">
        <f>IF(Start!$C$16="x",IF(AND(D179= "",E179=""),"",IF(S179="NA","NA",IF(G179="NA","NA",IF(G179=0,"NA",(S179/G179))))),"Not Req.")</f>
        <v>Not Req.</v>
      </c>
      <c r="V179" s="11"/>
    </row>
    <row r="180" spans="1:22" s="10" customFormat="1" x14ac:dyDescent="0.25">
      <c r="A180" s="307" t="s">
        <v>498</v>
      </c>
      <c r="B180" s="348" t="str">
        <f>IF(Start!$C$16="x",IF(OR(D180 ="NA",E180="NA"),"NA",IF(AND(D180= "",E180=""),"",IF(AND(D180= "",E180&lt;&gt; ""),"Missing Data",                     IF(AND(D180&lt;&gt; "",E180= ""),"Missing Data",(IF(OR(G180="NA",G180=""),"No Criteria",(IF(AND(Q180="NA",D180&lt;&gt;"NA",G180&lt;&gt;"NA"),                                               "Missing Data",(IF(Q180&lt;G180,"No","Needed")))))))))),"---")</f>
        <v>---</v>
      </c>
      <c r="C180" s="350" t="str">
        <f>IF(Start!$C$16="x",IF(OR(D180 ="NA",E180="NA"),"NA",IF(AND(D180= "",E180=""),"",IF(AND(D180= "",E180&lt;&gt; ""),"Missing Data",                     IF(AND(D180&lt;&gt; "",E180= ""),"Missing Data",(IF(OR(G180="NA",G180=""),"No Criteria",(IF(AND(S180="NA",D180&lt;&gt;"NA",G180&lt;&gt;"NA"),                                               "Missing Data",(IF(S180&lt;G180,"No","Needed")))))))))),"---")</f>
        <v>---</v>
      </c>
      <c r="D180" s="372" t="str">
        <f>IF(TRUE=ISBLANK(ChemData!B180),"",(ChemData!B180))</f>
        <v/>
      </c>
      <c r="E180" s="373" t="str">
        <f>IF(TRUE=ISBLANK(ChemData!C180),"",(ChemData!C180))</f>
        <v/>
      </c>
      <c r="F180" s="374" t="str">
        <f>IF(TRUE=ISBLANK(ChemData!D180),"",(ChemData!D180))</f>
        <v/>
      </c>
      <c r="G180" s="289" t="str">
        <f>IF(TRUE=ISBLANK(ChemData!I180),"",(ChemData!I180))</f>
        <v>NA</v>
      </c>
      <c r="H180" s="290">
        <f>IF(TRUE=ISBLANK(ChemData!Q180),"",(ChemData!Q180))</f>
        <v>16.121536050087055</v>
      </c>
      <c r="I180" s="290">
        <f>IF(TRUE=ISBLANK(ChemData!R180),"",(ChemData!R180))</f>
        <v>16.121536050087055</v>
      </c>
      <c r="J180" s="290">
        <f>IF(TRUE=ISBLANK(ChemData!S180),"",(ChemData!S180))</f>
        <v>1</v>
      </c>
      <c r="K180" s="291">
        <f>IF(TRUE=ISBLANK(ChemData!T180),"",(ChemData!T180))</f>
        <v>1</v>
      </c>
      <c r="L180" s="375" t="str">
        <f>IF(Start!$C$16="x",IF(OR(D180="NA",D180=""),"NA", IF(OR($J180 = "NA",J180=""),"NA",(D180*$J180))),"---")</f>
        <v>---</v>
      </c>
      <c r="M180" s="377" t="str">
        <f>IF(Start!$C$16="x",IF(OR(D180="NA",D180=""),"NA", IF(OR($K180 = "NA",K180=""),"NA",(D180*$K180))),"---")</f>
        <v>---</v>
      </c>
      <c r="N180" s="375" t="str">
        <f t="shared" si="6"/>
        <v>---</v>
      </c>
      <c r="O180" s="377" t="str">
        <f t="shared" si="6"/>
        <v>---</v>
      </c>
      <c r="P180" s="461" t="str">
        <f>IF(Start!$C$16="x",(IF(L180 = "NA","NA", (IF(OR($H180 = "NA",H180=""), "NA",(IF(OR(ChemData!U180="NA",ChemData!U180=""),L180/((Data!$D$33+((1-Data!$D$33)*Data!$D$14*$H180))/((1-Data!$D$33)*Data!$D$14*1000)),(IF(L180/((Data!$D$33+((1-Data!$D$33)*Data!$D$14*$H180))/((1-Data!$D$33)*Data!$D$14*1000))&gt;ChemData!U180, ChemData!U180, L180/((Data!$D$33+((1-Data!$D$33)*Data!$D$14*$H180))/((1-Data!$D$33)*Data!$D$14*1000)))))))))),"---")</f>
        <v>---</v>
      </c>
      <c r="Q180" s="376" t="str">
        <f>IF(Start!$C$16="x",IF(OR($F180 = "NA",F180=""), "NA", IF(P180= "NA", "NA",(P180+(Data!$D$30*$F180))/(Data!$D$30+1))),"---")</f>
        <v>---</v>
      </c>
      <c r="R180" s="376" t="str">
        <f>IF(Start!$C$16="x",IF(O180 = "NA","NA", IF(OR($I180 = "NA",I180=""), "NA",(IF(OR(ChemData!U180="NA",ChemData!U180=""),O180/((Data!$D$35+((1-Data!$D$35)*Data!$D$14*$I180))/((1-Data!$D$35)*Data!$D$14*1000)),(IF(O180/((Data!$D$35+((1-Data!$D$35)*Data!$D$14*$I180))/((1-Data!$D$35)*Data!$D$14*1000))&gt;ChemData!U180, ChemData!U180, O180/((Data!$D$35+((1-Data!$D$35)*Data!$D$14*$I180))/((1-Data!$D$35)*Data!$D$14*1000)))))))),"---")</f>
        <v>---</v>
      </c>
      <c r="S180" s="377" t="str">
        <f>IF(Start!$C$16="x",IF(OR($F180 = "NA",F180=""), "NA", IF(R180= "NA", "NA",(R180+(Data!$D$30*$F180))/(Data!$D$30+1))),"---")</f>
        <v>---</v>
      </c>
      <c r="T180" s="343" t="str">
        <f>IF(Start!$C$16="x",IF(AND(D180= "",E180=""),"",IF(Q180="NA","NA",IF(G180="NA","NA",IF(G180=0,"NA",(Q180/G180))))),"Not Req.")</f>
        <v>Not Req.</v>
      </c>
      <c r="U180" s="343" t="str">
        <f>IF(Start!$C$16="x",IF(AND(D180= "",E180=""),"",IF(S180="NA","NA",IF(G180="NA","NA",IF(G180=0,"NA",(S180/G180))))),"Not Req.")</f>
        <v>Not Req.</v>
      </c>
      <c r="V180" s="11"/>
    </row>
    <row r="181" spans="1:22" s="10" customFormat="1" x14ac:dyDescent="0.25">
      <c r="A181" s="307" t="s">
        <v>499</v>
      </c>
      <c r="B181" s="348" t="str">
        <f>IF(Start!$C$16="x",IF(OR(D181 ="NA",E181="NA"),"NA",IF(AND(D181= "",E181=""),"",IF(AND(D181= "",E181&lt;&gt; ""),"Missing Data",                     IF(AND(D181&lt;&gt; "",E181= ""),"Missing Data",(IF(OR(G181="NA",G181=""),"No Criteria",(IF(AND(Q181="NA",D181&lt;&gt;"NA",G181&lt;&gt;"NA"),                                               "Missing Data",(IF(Q181&lt;G181,"No","Needed")))))))))),"---")</f>
        <v>---</v>
      </c>
      <c r="C181" s="350" t="str">
        <f>IF(Start!$C$16="x",IF(OR(D181 ="NA",E181="NA"),"NA",IF(AND(D181= "",E181=""),"",IF(AND(D181= "",E181&lt;&gt; ""),"Missing Data",                     IF(AND(D181&lt;&gt; "",E181= ""),"Missing Data",(IF(OR(G181="NA",G181=""),"No Criteria",(IF(AND(S181="NA",D181&lt;&gt;"NA",G181&lt;&gt;"NA"),                                               "Missing Data",(IF(S181&lt;G181,"No","Needed")))))))))),"---")</f>
        <v>---</v>
      </c>
      <c r="D181" s="372" t="str">
        <f>IF(TRUE=ISBLANK(ChemData!B181),"",(ChemData!B181))</f>
        <v/>
      </c>
      <c r="E181" s="373" t="str">
        <f>IF(TRUE=ISBLANK(ChemData!C181),"",(ChemData!C181))</f>
        <v/>
      </c>
      <c r="F181" s="374" t="str">
        <f>IF(TRUE=ISBLANK(ChemData!D181),"",(ChemData!D181))</f>
        <v/>
      </c>
      <c r="G181" s="289">
        <f>IF(TRUE=ISBLANK(ChemData!I181),"",(ChemData!I181))</f>
        <v>610</v>
      </c>
      <c r="H181" s="290">
        <f>IF(TRUE=ISBLANK(ChemData!Q181),"",(ChemData!Q181))</f>
        <v>4.5436662029329957</v>
      </c>
      <c r="I181" s="290">
        <f>IF(TRUE=ISBLANK(ChemData!R181),"",(ChemData!R181))</f>
        <v>4.5436662029329957</v>
      </c>
      <c r="J181" s="290">
        <f>IF(TRUE=ISBLANK(ChemData!S181),"",(ChemData!S181))</f>
        <v>1</v>
      </c>
      <c r="K181" s="291">
        <f>IF(TRUE=ISBLANK(ChemData!T181),"",(ChemData!T181))</f>
        <v>1</v>
      </c>
      <c r="L181" s="375" t="str">
        <f>IF(Start!$C$16="x",IF(OR(D181="NA",D181=""),"NA", IF(OR($J181 = "NA",J181=""),"NA",(D181*$J181))),"---")</f>
        <v>---</v>
      </c>
      <c r="M181" s="377" t="str">
        <f>IF(Start!$C$16="x",IF(OR(D181="NA",D181=""),"NA", IF(OR($K181 = "NA",K181=""),"NA",(D181*$K181))),"---")</f>
        <v>---</v>
      </c>
      <c r="N181" s="375" t="str">
        <f t="shared" si="6"/>
        <v>---</v>
      </c>
      <c r="O181" s="377" t="str">
        <f t="shared" si="6"/>
        <v>---</v>
      </c>
      <c r="P181" s="461" t="str">
        <f>IF(Start!$C$16="x",(IF(L181 = "NA","NA", (IF(OR($H181 = "NA",H181=""), "NA",(IF(OR(ChemData!U181="NA",ChemData!U181=""),L181/((Data!$D$33+((1-Data!$D$33)*Data!$D$14*$H181))/((1-Data!$D$33)*Data!$D$14*1000)),(IF(L181/((Data!$D$33+((1-Data!$D$33)*Data!$D$14*$H181))/((1-Data!$D$33)*Data!$D$14*1000))&gt;ChemData!U181, ChemData!U181, L181/((Data!$D$33+((1-Data!$D$33)*Data!$D$14*$H181))/((1-Data!$D$33)*Data!$D$14*1000)))))))))),"---")</f>
        <v>---</v>
      </c>
      <c r="Q181" s="376" t="str">
        <f>IF(Start!$C$16="x",IF(OR($F181 = "NA",F181=""), "NA", IF(P181= "NA", "NA",(P181+(Data!$D$30*$F181))/(Data!$D$30+1))),"---")</f>
        <v>---</v>
      </c>
      <c r="R181" s="376" t="str">
        <f>IF(Start!$C$16="x",IF(O181 = "NA","NA", IF(OR($I181 = "NA",I181=""), "NA",(IF(OR(ChemData!U181="NA",ChemData!U181=""),O181/((Data!$D$35+((1-Data!$D$35)*Data!$D$14*$I181))/((1-Data!$D$35)*Data!$D$14*1000)),(IF(O181/((Data!$D$35+((1-Data!$D$35)*Data!$D$14*$I181))/((1-Data!$D$35)*Data!$D$14*1000))&gt;ChemData!U181, ChemData!U181, O181/((Data!$D$35+((1-Data!$D$35)*Data!$D$14*$I181))/((1-Data!$D$35)*Data!$D$14*1000)))))))),"---")</f>
        <v>---</v>
      </c>
      <c r="S181" s="377" t="str">
        <f>IF(Start!$C$16="x",IF(OR($F181 = "NA",F181=""), "NA", IF(R181= "NA", "NA",(R181+(Data!$D$30*$F181))/(Data!$D$30+1))),"---")</f>
        <v>---</v>
      </c>
      <c r="T181" s="343" t="str">
        <f>IF(Start!$C$16="x",IF(AND(D181= "",E181=""),"",IF(Q181="NA","NA",IF(G181="NA","NA",IF(G181=0,"NA",(Q181/G181))))),"Not Req.")</f>
        <v>Not Req.</v>
      </c>
      <c r="U181" s="343" t="str">
        <f>IF(Start!$C$16="x",IF(AND(D181= "",E181=""),"",IF(S181="NA","NA",IF(G181="NA","NA",IF(G181=0,"NA",(S181/G181))))),"Not Req.")</f>
        <v>Not Req.</v>
      </c>
      <c r="V181" s="11"/>
    </row>
    <row r="182" spans="1:22" s="10" customFormat="1" x14ac:dyDescent="0.25">
      <c r="A182" s="307" t="s">
        <v>680</v>
      </c>
      <c r="B182" s="348" t="str">
        <f>IF(Start!$C$16="x",IF(OR(D182 ="NA",E182="NA"),"NA",IF(AND(D182= "",E182=""),"",IF(AND(D182= "",E182&lt;&gt; ""),"Missing Data",                     IF(AND(D182&lt;&gt; "",E182= ""),"Missing Data",(IF(OR(G182="NA",G182=""),"No Criteria",(IF(AND(Q182="NA",D182&lt;&gt;"NA",G182&lt;&gt;"NA"),                                               "Missing Data",(IF(Q182&lt;G182,"No","Needed")))))))))),"---")</f>
        <v>---</v>
      </c>
      <c r="C182" s="350" t="str">
        <f>IF(Start!$C$16="x",IF(OR(D182 ="NA",E182="NA"),"NA",IF(AND(D182= "",E182=""),"",IF(AND(D182= "",E182&lt;&gt; ""),"Missing Data",                     IF(AND(D182&lt;&gt; "",E182= ""),"Missing Data",(IF(OR(G182="NA",G182=""),"No Criteria",(IF(AND(S182="NA",D182&lt;&gt;"NA",G182&lt;&gt;"NA"),                                               "Missing Data",(IF(S182&lt;G182,"No","Needed")))))))))),"---")</f>
        <v>---</v>
      </c>
      <c r="D182" s="372" t="str">
        <f>IF(TRUE=ISBLANK(ChemData!B182),"",(ChemData!B182))</f>
        <v/>
      </c>
      <c r="E182" s="373" t="str">
        <f>IF(TRUE=ISBLANK(ChemData!C182),"",(ChemData!C182))</f>
        <v/>
      </c>
      <c r="F182" s="374" t="str">
        <f>IF(TRUE=ISBLANK(ChemData!D182),"",(ChemData!D182))</f>
        <v/>
      </c>
      <c r="G182" s="289">
        <f>IF(TRUE=ISBLANK(ChemData!I182),"",(ChemData!I182))</f>
        <v>98</v>
      </c>
      <c r="H182" s="290">
        <f>IF(TRUE=ISBLANK(ChemData!Q182),"",(ChemData!Q182))</f>
        <v>14.041270913790193</v>
      </c>
      <c r="I182" s="290">
        <f>IF(TRUE=ISBLANK(ChemData!R182),"",(ChemData!R182))</f>
        <v>14.041270913790193</v>
      </c>
      <c r="J182" s="290">
        <f>IF(TRUE=ISBLANK(ChemData!S182),"",(ChemData!S182))</f>
        <v>1</v>
      </c>
      <c r="K182" s="291">
        <f>IF(TRUE=ISBLANK(ChemData!T182),"",(ChemData!T182))</f>
        <v>1</v>
      </c>
      <c r="L182" s="375" t="str">
        <f>IF(Start!$C$16="x",IF(OR(D182="NA",D182=""),"NA", IF(OR($J182 = "NA",J182=""),"NA",(D182*$J182))),"---")</f>
        <v>---</v>
      </c>
      <c r="M182" s="377" t="str">
        <f>IF(Start!$C$16="x",IF(OR(D182="NA",D182=""),"NA", IF(OR($K182 = "NA",K182=""),"NA",(D182*$K182))),"---")</f>
        <v>---</v>
      </c>
      <c r="N182" s="375" t="str">
        <f t="shared" si="6"/>
        <v>---</v>
      </c>
      <c r="O182" s="377" t="str">
        <f t="shared" si="6"/>
        <v>---</v>
      </c>
      <c r="P182" s="461" t="str">
        <f>IF(Start!$C$16="x",(IF(L182 = "NA","NA", (IF(OR($H182 = "NA",H182=""), "NA",(IF(OR(ChemData!U182="NA",ChemData!U182=""),L182/((Data!$D$33+((1-Data!$D$33)*Data!$D$14*$H182))/((1-Data!$D$33)*Data!$D$14*1000)),(IF(L182/((Data!$D$33+((1-Data!$D$33)*Data!$D$14*$H182))/((1-Data!$D$33)*Data!$D$14*1000))&gt;ChemData!U182, ChemData!U182, L182/((Data!$D$33+((1-Data!$D$33)*Data!$D$14*$H182))/((1-Data!$D$33)*Data!$D$14*1000)))))))))),"---")</f>
        <v>---</v>
      </c>
      <c r="Q182" s="376" t="str">
        <f>IF(Start!$C$16="x",IF(OR($F182 = "NA",F182=""), "NA", IF(P182= "NA", "NA",(P182+(Data!$D$30*$F182))/(Data!$D$30+1))),"---")</f>
        <v>---</v>
      </c>
      <c r="R182" s="376" t="str">
        <f>IF(Start!$C$16="x",IF(O182 = "NA","NA", IF(OR($I182 = "NA",I182=""), "NA",(IF(OR(ChemData!U182="NA",ChemData!U182=""),O182/((Data!$D$35+((1-Data!$D$35)*Data!$D$14*$I182))/((1-Data!$D$35)*Data!$D$14*1000)),(IF(O182/((Data!$D$35+((1-Data!$D$35)*Data!$D$14*$I182))/((1-Data!$D$35)*Data!$D$14*1000))&gt;ChemData!U182, ChemData!U182, O182/((Data!$D$35+((1-Data!$D$35)*Data!$D$14*$I182))/((1-Data!$D$35)*Data!$D$14*1000)))))))),"---")</f>
        <v>---</v>
      </c>
      <c r="S182" s="377" t="str">
        <f>IF(Start!$C$16="x",IF(OR($F182 = "NA",F182=""), "NA", IF(R182= "NA", "NA",(R182+(Data!$D$30*$F182))/(Data!$D$30+1))),"---")</f>
        <v>---</v>
      </c>
      <c r="T182" s="343" t="str">
        <f>IF(Start!$C$16="x",IF(AND(D182= "",E182=""),"",IF(Q182="NA","NA",IF(G182="NA","NA",IF(G182=0,"NA",(Q182/G182))))),"Not Req.")</f>
        <v>Not Req.</v>
      </c>
      <c r="U182" s="343" t="str">
        <f>IF(Start!$C$16="x",IF(AND(D182= "",E182=""),"",IF(S182="NA","NA",IF(G182="NA","NA",IF(G182=0,"NA",(S182/G182))))),"Not Req.")</f>
        <v>Not Req.</v>
      </c>
      <c r="V182" s="11"/>
    </row>
    <row r="183" spans="1:22" s="10" customFormat="1" x14ac:dyDescent="0.25">
      <c r="A183" s="307" t="s">
        <v>501</v>
      </c>
      <c r="B183" s="348" t="str">
        <f>IF(Start!$C$16="x",IF(OR(D183 ="NA",E183="NA"),"NA",IF(AND(D183= "",E183=""),"",IF(AND(D183= "",E183&lt;&gt; ""),"Missing Data",                     IF(AND(D183&lt;&gt; "",E183= ""),"Missing Data",(IF(OR(G183="NA",G183=""),"No Criteria",(IF(AND(Q183="NA",D183&lt;&gt;"NA",G183&lt;&gt;"NA"),                                               "Missing Data",(IF(Q183&lt;G183,"No","Needed")))))))))),"---")</f>
        <v>---</v>
      </c>
      <c r="C183" s="350" t="str">
        <f>IF(Start!$C$16="x",IF(OR(D183 ="NA",E183="NA"),"NA",IF(AND(D183= "",E183=""),"",IF(AND(D183= "",E183&lt;&gt; ""),"Missing Data",                     IF(AND(D183&lt;&gt; "",E183= ""),"Missing Data",(IF(OR(G183="NA",G183=""),"No Criteria",(IF(AND(S183="NA",D183&lt;&gt;"NA",G183&lt;&gt;"NA"),                                               "Missing Data",(IF(S183&lt;G183,"No","Needed")))))))))),"---")</f>
        <v>---</v>
      </c>
      <c r="D183" s="372" t="str">
        <f>IF(TRUE=ISBLANK(ChemData!B183),"",(ChemData!B183))</f>
        <v/>
      </c>
      <c r="E183" s="373" t="str">
        <f>IF(TRUE=ISBLANK(ChemData!C183),"",(ChemData!C183))</f>
        <v/>
      </c>
      <c r="F183" s="374" t="str">
        <f>IF(TRUE=ISBLANK(ChemData!D183),"",(ChemData!D183))</f>
        <v/>
      </c>
      <c r="G183" s="289">
        <f>IF(TRUE=ISBLANK(ChemData!I183),"",(ChemData!I183))</f>
        <v>9.8000000000000007</v>
      </c>
      <c r="H183" s="290">
        <f>IF(TRUE=ISBLANK(ChemData!Q183),"",(ChemData!Q183))</f>
        <v>11.413173484456046</v>
      </c>
      <c r="I183" s="290">
        <f>IF(TRUE=ISBLANK(ChemData!R183),"",(ChemData!R183))</f>
        <v>11.413173484456046</v>
      </c>
      <c r="J183" s="290">
        <f>IF(TRUE=ISBLANK(ChemData!S183),"",(ChemData!S183))</f>
        <v>1</v>
      </c>
      <c r="K183" s="291">
        <f>IF(TRUE=ISBLANK(ChemData!T183),"",(ChemData!T183))</f>
        <v>1</v>
      </c>
      <c r="L183" s="375" t="str">
        <f>IF(Start!$C$16="x",IF(OR(D183="NA",D183=""),"NA", IF(OR($J183 = "NA",J183=""),"NA",(D183*$J183))),"---")</f>
        <v>---</v>
      </c>
      <c r="M183" s="377" t="str">
        <f>IF(Start!$C$16="x",IF(OR(D183="NA",D183=""),"NA", IF(OR($K183 = "NA",K183=""),"NA",(D183*$K183))),"---")</f>
        <v>---</v>
      </c>
      <c r="N183" s="375" t="str">
        <f t="shared" si="6"/>
        <v>---</v>
      </c>
      <c r="O183" s="377" t="str">
        <f t="shared" si="6"/>
        <v>---</v>
      </c>
      <c r="P183" s="461" t="str">
        <f>IF(Start!$C$16="x",(IF(L183 = "NA","NA", (IF(OR($H183 = "NA",H183=""), "NA",(IF(OR(ChemData!U183="NA",ChemData!U183=""),L183/((Data!$D$33+((1-Data!$D$33)*Data!$D$14*$H183))/((1-Data!$D$33)*Data!$D$14*1000)),(IF(L183/((Data!$D$33+((1-Data!$D$33)*Data!$D$14*$H183))/((1-Data!$D$33)*Data!$D$14*1000))&gt;ChemData!U183, ChemData!U183, L183/((Data!$D$33+((1-Data!$D$33)*Data!$D$14*$H183))/((1-Data!$D$33)*Data!$D$14*1000)))))))))),"---")</f>
        <v>---</v>
      </c>
      <c r="Q183" s="376" t="str">
        <f>IF(Start!$C$16="x",IF(OR($F183 = "NA",F183=""), "NA", IF(P183= "NA", "NA",(P183+(Data!$D$30*$F183))/(Data!$D$30+1))),"---")</f>
        <v>---</v>
      </c>
      <c r="R183" s="376" t="str">
        <f>IF(Start!$C$16="x",IF(O183 = "NA","NA", IF(OR($I183 = "NA",I183=""), "NA",(IF(OR(ChemData!U183="NA",ChemData!U183=""),O183/((Data!$D$35+((1-Data!$D$35)*Data!$D$14*$I183))/((1-Data!$D$35)*Data!$D$14*1000)),(IF(O183/((Data!$D$35+((1-Data!$D$35)*Data!$D$14*$I183))/((1-Data!$D$35)*Data!$D$14*1000))&gt;ChemData!U183, ChemData!U183, O183/((Data!$D$35+((1-Data!$D$35)*Data!$D$14*$I183))/((1-Data!$D$35)*Data!$D$14*1000)))))))),"---")</f>
        <v>---</v>
      </c>
      <c r="S183" s="377" t="str">
        <f>IF(Start!$C$16="x",IF(OR($F183 = "NA",F183=""), "NA", IF(R183= "NA", "NA",(R183+(Data!$D$30*$F183))/(Data!$D$30+1))),"---")</f>
        <v>---</v>
      </c>
      <c r="T183" s="343" t="str">
        <f>IF(Start!$C$16="x",IF(AND(D183= "",E183=""),"",IF(Q183="NA","NA",IF(G183="NA","NA",IF(G183=0,"NA",(Q183/G183))))),"Not Req.")</f>
        <v>Not Req.</v>
      </c>
      <c r="U183" s="343" t="str">
        <f>IF(Start!$C$16="x",IF(AND(D183= "",E183=""),"",IF(S183="NA","NA",IF(G183="NA","NA",IF(G183=0,"NA",(S183/G183))))),"Not Req.")</f>
        <v>Not Req.</v>
      </c>
      <c r="V183" s="11"/>
    </row>
    <row r="184" spans="1:22" s="10" customFormat="1" x14ac:dyDescent="0.25">
      <c r="A184" s="307" t="s">
        <v>502</v>
      </c>
      <c r="B184" s="348" t="str">
        <f>IF(Start!$C$16="x",IF(OR(D184 ="NA",E184="NA"),"NA",IF(AND(D184= "",E184=""),"",IF(AND(D184= "",E184&lt;&gt; ""),"Missing Data",                     IF(AND(D184&lt;&gt; "",E184= ""),"Missing Data",(IF(OR(G184="NA",G184=""),"No Criteria",(IF(AND(Q184="NA",D184&lt;&gt;"NA",G184&lt;&gt;"NA"),                                               "Missing Data",(IF(Q184&lt;G184,"No","Needed")))))))))),"---")</f>
        <v>---</v>
      </c>
      <c r="C184" s="350" t="str">
        <f>IF(Start!$C$16="x",IF(OR(D184 ="NA",E184="NA"),"NA",IF(AND(D184= "",E184=""),"",IF(AND(D184= "",E184&lt;&gt; ""),"Missing Data",                     IF(AND(D184&lt;&gt; "",E184= ""),"Missing Data",(IF(OR(G184="NA",G184=""),"No Criteria",(IF(AND(S184="NA",D184&lt;&gt;"NA",G184&lt;&gt;"NA"),                                               "Missing Data",(IF(S184&lt;G184,"No","Needed")))))))))),"---")</f>
        <v>---</v>
      </c>
      <c r="D184" s="372" t="str">
        <f>IF(TRUE=ISBLANK(ChemData!B184),"",(ChemData!B184))</f>
        <v/>
      </c>
      <c r="E184" s="373" t="str">
        <f>IF(TRUE=ISBLANK(ChemData!C184),"",(ChemData!C184))</f>
        <v/>
      </c>
      <c r="F184" s="374" t="str">
        <f>IF(TRUE=ISBLANK(ChemData!D184),"",(ChemData!D184))</f>
        <v/>
      </c>
      <c r="G184" s="289">
        <f>IF(TRUE=ISBLANK(ChemData!I184),"",(ChemData!I184))</f>
        <v>11</v>
      </c>
      <c r="H184" s="290">
        <f>IF(TRUE=ISBLANK(ChemData!Q184),"",(ChemData!Q184))</f>
        <v>5.7201368455826618</v>
      </c>
      <c r="I184" s="290">
        <f>IF(TRUE=ISBLANK(ChemData!R184),"",(ChemData!R184))</f>
        <v>5.7201368455826618</v>
      </c>
      <c r="J184" s="290">
        <f>IF(TRUE=ISBLANK(ChemData!S184),"",(ChemData!S184))</f>
        <v>1</v>
      </c>
      <c r="K184" s="291">
        <f>IF(TRUE=ISBLANK(ChemData!T184),"",(ChemData!T184))</f>
        <v>1</v>
      </c>
      <c r="L184" s="375" t="str">
        <f>IF(Start!$C$16="x",IF(OR(D184="NA",D184=""),"NA", IF(OR($J184 = "NA",J184=""),"NA",(D184*$J184))),"---")</f>
        <v>---</v>
      </c>
      <c r="M184" s="377" t="str">
        <f>IF(Start!$C$16="x",IF(OR(D184="NA",D184=""),"NA", IF(OR($K184 = "NA",K184=""),"NA",(D184*$K184))),"---")</f>
        <v>---</v>
      </c>
      <c r="N184" s="375" t="str">
        <f t="shared" si="6"/>
        <v>---</v>
      </c>
      <c r="O184" s="377" t="str">
        <f t="shared" si="6"/>
        <v>---</v>
      </c>
      <c r="P184" s="461" t="str">
        <f>IF(Start!$C$16="x",(IF(L184 = "NA","NA", (IF(OR($H184 = "NA",H184=""), "NA",(IF(OR(ChemData!U184="NA",ChemData!U184=""),L184/((Data!$D$33+((1-Data!$D$33)*Data!$D$14*$H184))/((1-Data!$D$33)*Data!$D$14*1000)),(IF(L184/((Data!$D$33+((1-Data!$D$33)*Data!$D$14*$H184))/((1-Data!$D$33)*Data!$D$14*1000))&gt;ChemData!U184, ChemData!U184, L184/((Data!$D$33+((1-Data!$D$33)*Data!$D$14*$H184))/((1-Data!$D$33)*Data!$D$14*1000)))))))))),"---")</f>
        <v>---</v>
      </c>
      <c r="Q184" s="376" t="str">
        <f>IF(Start!$C$16="x",IF(OR($F184 = "NA",F184=""), "NA", IF(P184= "NA", "NA",(P184+(Data!$D$30*$F184))/(Data!$D$30+1))),"---")</f>
        <v>---</v>
      </c>
      <c r="R184" s="376" t="str">
        <f>IF(Start!$C$16="x",IF(O184 = "NA","NA", IF(OR($I184 = "NA",I184=""), "NA",(IF(OR(ChemData!U184="NA",ChemData!U184=""),O184/((Data!$D$35+((1-Data!$D$35)*Data!$D$14*$I184))/((1-Data!$D$35)*Data!$D$14*1000)),(IF(O184/((Data!$D$35+((1-Data!$D$35)*Data!$D$14*$I184))/((1-Data!$D$35)*Data!$D$14*1000))&gt;ChemData!U184, ChemData!U184, O184/((Data!$D$35+((1-Data!$D$35)*Data!$D$14*$I184))/((1-Data!$D$35)*Data!$D$14*1000)))))))),"---")</f>
        <v>---</v>
      </c>
      <c r="S184" s="377" t="str">
        <f>IF(Start!$C$16="x",IF(OR($F184 = "NA",F184=""), "NA", IF(R184= "NA", "NA",(R184+(Data!$D$30*$F184))/(Data!$D$30+1))),"---")</f>
        <v>---</v>
      </c>
      <c r="T184" s="343" t="str">
        <f>IF(Start!$C$16="x",IF(AND(D184= "",E184=""),"",IF(Q184="NA","NA",IF(G184="NA","NA",IF(G184=0,"NA",(Q184/G184))))),"Not Req.")</f>
        <v>Not Req.</v>
      </c>
      <c r="U184" s="343" t="str">
        <f>IF(Start!$C$16="x",IF(AND(D184= "",E184=""),"",IF(S184="NA","NA",IF(G184="NA","NA",IF(G184=0,"NA",(S184/G184))))),"Not Req.")</f>
        <v>Not Req.</v>
      </c>
      <c r="V184" s="11"/>
    </row>
    <row r="185" spans="1:22" s="10" customFormat="1" x14ac:dyDescent="0.25">
      <c r="A185" s="307" t="s">
        <v>503</v>
      </c>
      <c r="B185" s="348" t="str">
        <f>IF(Start!$C$16="x",IF(OR(D185 ="NA",E185="NA"),"NA",IF(AND(D185= "",E185=""),"",IF(AND(D185= "",E185&lt;&gt; ""),"Missing Data",                     IF(AND(D185&lt;&gt; "",E185= ""),"Missing Data",(IF(OR(G185="NA",G185=""),"No Criteria",(IF(AND(Q185="NA",D185&lt;&gt;"NA",G185&lt;&gt;"NA"),                                               "Missing Data",(IF(Q185&lt;G185,"No","Needed")))))))))),"---")</f>
        <v>---</v>
      </c>
      <c r="C185" s="350" t="str">
        <f>IF(Start!$C$16="x",IF(OR(D185 ="NA",E185="NA"),"NA",IF(AND(D185= "",E185=""),"",IF(AND(D185= "",E185&lt;&gt; ""),"Missing Data",                     IF(AND(D185&lt;&gt; "",E185= ""),"Missing Data",(IF(OR(G185="NA",G185=""),"No Criteria",(IF(AND(S185="NA",D185&lt;&gt;"NA",G185&lt;&gt;"NA"),                                               "Missing Data",(IF(S185&lt;G185,"No","Needed")))))))))),"---")</f>
        <v>---</v>
      </c>
      <c r="D185" s="372" t="str">
        <f>IF(TRUE=ISBLANK(ChemData!B185),"",(ChemData!B185))</f>
        <v/>
      </c>
      <c r="E185" s="373" t="str">
        <f>IF(TRUE=ISBLANK(ChemData!C185),"",(ChemData!C185))</f>
        <v/>
      </c>
      <c r="F185" s="374" t="str">
        <f>IF(TRUE=ISBLANK(ChemData!D185),"",(ChemData!D185))</f>
        <v/>
      </c>
      <c r="G185" s="289">
        <f>IF(TRUE=ISBLANK(ChemData!I185),"",(ChemData!I185))</f>
        <v>1200</v>
      </c>
      <c r="H185" s="290">
        <f>IF(TRUE=ISBLANK(ChemData!Q185),"",(ChemData!Q185))</f>
        <v>2.1747353741930686</v>
      </c>
      <c r="I185" s="290">
        <f>IF(TRUE=ISBLANK(ChemData!R185),"",(ChemData!R185))</f>
        <v>2.1747353741930686</v>
      </c>
      <c r="J185" s="290">
        <f>IF(TRUE=ISBLANK(ChemData!S185),"",(ChemData!S185))</f>
        <v>1</v>
      </c>
      <c r="K185" s="291">
        <f>IF(TRUE=ISBLANK(ChemData!T185),"",(ChemData!T185))</f>
        <v>1</v>
      </c>
      <c r="L185" s="375" t="str">
        <f>IF(Start!$C$16="x",IF(OR(D185="NA",D185=""),"NA", IF(OR($J185 = "NA",J185=""),"NA",(D185*$J185))),"---")</f>
        <v>---</v>
      </c>
      <c r="M185" s="377" t="str">
        <f>IF(Start!$C$16="x",IF(OR(D185="NA",D185=""),"NA", IF(OR($K185 = "NA",K185=""),"NA",(D185*$K185))),"---")</f>
        <v>---</v>
      </c>
      <c r="N185" s="375" t="str">
        <f t="shared" si="6"/>
        <v>---</v>
      </c>
      <c r="O185" s="377" t="str">
        <f t="shared" si="6"/>
        <v>---</v>
      </c>
      <c r="P185" s="461" t="str">
        <f>IF(Start!$C$16="x",(IF(L185 = "NA","NA", (IF(OR($H185 = "NA",H185=""), "NA",(IF(OR(ChemData!U185="NA",ChemData!U185=""),L185/((Data!$D$33+((1-Data!$D$33)*Data!$D$14*$H185))/((1-Data!$D$33)*Data!$D$14*1000)),(IF(L185/((Data!$D$33+((1-Data!$D$33)*Data!$D$14*$H185))/((1-Data!$D$33)*Data!$D$14*1000))&gt;ChemData!U185, ChemData!U185, L185/((Data!$D$33+((1-Data!$D$33)*Data!$D$14*$H185))/((1-Data!$D$33)*Data!$D$14*1000)))))))))),"---")</f>
        <v>---</v>
      </c>
      <c r="Q185" s="376" t="str">
        <f>IF(Start!$C$16="x",IF(OR($F185 = "NA",F185=""), "NA", IF(P185= "NA", "NA",(P185+(Data!$D$30*$F185))/(Data!$D$30+1))),"---")</f>
        <v>---</v>
      </c>
      <c r="R185" s="376" t="str">
        <f>IF(Start!$C$16="x",IF(O185 = "NA","NA", IF(OR($I185 = "NA",I185=""), "NA",(IF(OR(ChemData!U185="NA",ChemData!U185=""),O185/((Data!$D$35+((1-Data!$D$35)*Data!$D$14*$I185))/((1-Data!$D$35)*Data!$D$14*1000)),(IF(O185/((Data!$D$35+((1-Data!$D$35)*Data!$D$14*$I185))/((1-Data!$D$35)*Data!$D$14*1000))&gt;ChemData!U185, ChemData!U185, O185/((Data!$D$35+((1-Data!$D$35)*Data!$D$14*$I185))/((1-Data!$D$35)*Data!$D$14*1000)))))))),"---")</f>
        <v>---</v>
      </c>
      <c r="S185" s="377" t="str">
        <f>IF(Start!$C$16="x",IF(OR($F185 = "NA",F185=""), "NA", IF(R185= "NA", "NA",(R185+(Data!$D$30*$F185))/(Data!$D$30+1))),"---")</f>
        <v>---</v>
      </c>
      <c r="T185" s="343" t="str">
        <f>IF(Start!$C$16="x",IF(AND(D185= "",E185=""),"",IF(Q185="NA","NA",IF(G185="NA","NA",IF(G185=0,"NA",(Q185/G185))))),"Not Req.")</f>
        <v>Not Req.</v>
      </c>
      <c r="U185" s="343" t="str">
        <f>IF(Start!$C$16="x",IF(AND(D185= "",E185=""),"",IF(S185="NA","NA",IF(G185="NA","NA",IF(G185=0,"NA",(S185/G185))))),"Not Req.")</f>
        <v>Not Req.</v>
      </c>
      <c r="V185" s="11"/>
    </row>
    <row r="186" spans="1:22" s="10" customFormat="1" x14ac:dyDescent="0.25">
      <c r="A186" s="307" t="s">
        <v>504</v>
      </c>
      <c r="B186" s="348" t="str">
        <f>IF(Start!$C$16="x",IF(OR(D186 ="NA",E186="NA"),"NA",IF(AND(D186= "",E186=""),"",IF(AND(D186= "",E186&lt;&gt; ""),"Missing Data",                     IF(AND(D186&lt;&gt; "",E186= ""),"Missing Data",(IF(OR(G186="NA",G186=""),"No Criteria",(IF(AND(Q186="NA",D186&lt;&gt;"NA",G186&lt;&gt;"NA"),                                               "Missing Data",(IF(Q186&lt;G186,"No","Needed")))))))))),"---")</f>
        <v>---</v>
      </c>
      <c r="C186" s="350" t="str">
        <f>IF(Start!$C$16="x",IF(OR(D186 ="NA",E186="NA"),"NA",IF(AND(D186= "",E186=""),"",IF(AND(D186= "",E186&lt;&gt; ""),"Missing Data",                     IF(AND(D186&lt;&gt; "",E186= ""),"Missing Data",(IF(OR(G186="NA",G186=""),"No Criteria",(IF(AND(S186="NA",D186&lt;&gt;"NA",G186&lt;&gt;"NA"),                                               "Missing Data",(IF(S186&lt;G186,"No","Needed")))))))))),"---")</f>
        <v>---</v>
      </c>
      <c r="D186" s="372" t="str">
        <f>IF(TRUE=ISBLANK(ChemData!B186),"",(ChemData!B186))</f>
        <v/>
      </c>
      <c r="E186" s="373" t="str">
        <f>IF(TRUE=ISBLANK(ChemData!C186),"",(ChemData!C186))</f>
        <v/>
      </c>
      <c r="F186" s="374" t="str">
        <f>IF(TRUE=ISBLANK(ChemData!D186),"",(ChemData!D186))</f>
        <v/>
      </c>
      <c r="G186" s="289" t="str">
        <f>IF(TRUE=ISBLANK(ChemData!I186),"",(ChemData!I186))</f>
        <v>NA</v>
      </c>
      <c r="H186" s="290">
        <f>IF(TRUE=ISBLANK(ChemData!Q186),"",(ChemData!Q186))</f>
        <v>26.755090156507144</v>
      </c>
      <c r="I186" s="290">
        <f>IF(TRUE=ISBLANK(ChemData!R186),"",(ChemData!R186))</f>
        <v>26.755090156507144</v>
      </c>
      <c r="J186" s="290">
        <f>IF(TRUE=ISBLANK(ChemData!S186),"",(ChemData!S186))</f>
        <v>1</v>
      </c>
      <c r="K186" s="291">
        <f>IF(TRUE=ISBLANK(ChemData!T186),"",(ChemData!T186))</f>
        <v>1</v>
      </c>
      <c r="L186" s="375" t="str">
        <f>IF(Start!$C$16="x",IF(OR(D186="NA",D186=""),"NA", IF(OR($J186 = "NA",J186=""),"NA",(D186*$J186))),"---")</f>
        <v>---</v>
      </c>
      <c r="M186" s="377" t="str">
        <f>IF(Start!$C$16="x",IF(OR(D186="NA",D186=""),"NA", IF(OR($K186 = "NA",K186=""),"NA",(D186*$K186))),"---")</f>
        <v>---</v>
      </c>
      <c r="N186" s="375" t="str">
        <f t="shared" si="6"/>
        <v>---</v>
      </c>
      <c r="O186" s="377" t="str">
        <f t="shared" si="6"/>
        <v>---</v>
      </c>
      <c r="P186" s="461" t="str">
        <f>IF(Start!$C$16="x",(IF(L186 = "NA","NA", (IF(OR($H186 = "NA",H186=""), "NA",(IF(OR(ChemData!U186="NA",ChemData!U186=""),L186/((Data!$D$33+((1-Data!$D$33)*Data!$D$14*$H186))/((1-Data!$D$33)*Data!$D$14*1000)),(IF(L186/((Data!$D$33+((1-Data!$D$33)*Data!$D$14*$H186))/((1-Data!$D$33)*Data!$D$14*1000))&gt;ChemData!U186, ChemData!U186, L186/((Data!$D$33+((1-Data!$D$33)*Data!$D$14*$H186))/((1-Data!$D$33)*Data!$D$14*1000)))))))))),"---")</f>
        <v>---</v>
      </c>
      <c r="Q186" s="376" t="str">
        <f>IF(Start!$C$16="x",IF(OR($F186 = "NA",F186=""), "NA", IF(P186= "NA", "NA",(P186+(Data!$D$30*$F186))/(Data!$D$30+1))),"---")</f>
        <v>---</v>
      </c>
      <c r="R186" s="376" t="str">
        <f>IF(Start!$C$16="x",IF(O186 = "NA","NA", IF(OR($I186 = "NA",I186=""), "NA",(IF(OR(ChemData!U186="NA",ChemData!U186=""),O186/((Data!$D$35+((1-Data!$D$35)*Data!$D$14*$I186))/((1-Data!$D$35)*Data!$D$14*1000)),(IF(O186/((Data!$D$35+((1-Data!$D$35)*Data!$D$14*$I186))/((1-Data!$D$35)*Data!$D$14*1000))&gt;ChemData!U186, ChemData!U186, O186/((Data!$D$35+((1-Data!$D$35)*Data!$D$14*$I186))/((1-Data!$D$35)*Data!$D$14*1000)))))))),"---")</f>
        <v>---</v>
      </c>
      <c r="S186" s="377" t="str">
        <f>IF(Start!$C$16="x",IF(OR($F186 = "NA",F186=""), "NA", IF(R186= "NA", "NA",(R186+(Data!$D$30*$F186))/(Data!$D$30+1))),"---")</f>
        <v>---</v>
      </c>
      <c r="T186" s="343" t="str">
        <f>IF(Start!$C$16="x",IF(AND(D186= "",E186=""),"",IF(Q186="NA","NA",IF(G186="NA","NA",IF(G186=0,"NA",(Q186/G186))))),"Not Req.")</f>
        <v>Not Req.</v>
      </c>
      <c r="U186" s="343" t="str">
        <f>IF(Start!$C$16="x",IF(AND(D186= "",E186=""),"",IF(S186="NA","NA",IF(G186="NA","NA",IF(G186=0,"NA",(S186/G186))))),"Not Req.")</f>
        <v>Not Req.</v>
      </c>
      <c r="V186" s="11"/>
    </row>
    <row r="187" spans="1:22" s="10" customFormat="1" x14ac:dyDescent="0.25">
      <c r="A187" s="307" t="s">
        <v>681</v>
      </c>
      <c r="B187" s="348" t="str">
        <f>IF(Start!$C$16="x",IF(OR(D187 ="NA",E187="NA"),"NA",IF(AND(D187= "",E187=""),"",IF(AND(D187= "",E187&lt;&gt; ""),"Missing Data",                     IF(AND(D187&lt;&gt; "",E187= ""),"Missing Data",(IF(OR(G187="NA",G187=""),"No Criteria",(IF(AND(Q187="NA",D187&lt;&gt;"NA",G187&lt;&gt;"NA"),                                               "Missing Data",(IF(Q187&lt;G187,"No","Needed")))))))))),"---")</f>
        <v>---</v>
      </c>
      <c r="C187" s="350" t="str">
        <f>IF(Start!$C$16="x",IF(OR(D187 ="NA",E187="NA"),"NA",IF(AND(D187= "",E187=""),"",IF(AND(D187= "",E187&lt;&gt; ""),"Missing Data",                     IF(AND(D187&lt;&gt; "",E187= ""),"Missing Data",(IF(OR(G187="NA",G187=""),"No Criteria",(IF(AND(S187="NA",D187&lt;&gt;"NA",G187&lt;&gt;"NA"),                                               "Missing Data",(IF(S187&lt;G187,"No","Needed")))))))))),"---")</f>
        <v>---</v>
      </c>
      <c r="D187" s="372" t="str">
        <f>IF(TRUE=ISBLANK(ChemData!B187),"",(ChemData!B187))</f>
        <v/>
      </c>
      <c r="E187" s="373" t="str">
        <f>IF(TRUE=ISBLANK(ChemData!C187),"",(ChemData!C187))</f>
        <v/>
      </c>
      <c r="F187" s="374" t="str">
        <f>IF(TRUE=ISBLANK(ChemData!D187),"",(ChemData!D187))</f>
        <v/>
      </c>
      <c r="G187" s="289">
        <f>IF(TRUE=ISBLANK(ChemData!I187),"",(ChemData!I187))</f>
        <v>47</v>
      </c>
      <c r="H187" s="290">
        <f>IF(TRUE=ISBLANK(ChemData!Q187),"",(ChemData!Q187))</f>
        <v>6.2720053301366372</v>
      </c>
      <c r="I187" s="290">
        <f>IF(TRUE=ISBLANK(ChemData!R187),"",(ChemData!R187))</f>
        <v>6.2720053301366372</v>
      </c>
      <c r="J187" s="290">
        <f>IF(TRUE=ISBLANK(ChemData!S187),"",(ChemData!S187))</f>
        <v>1</v>
      </c>
      <c r="K187" s="291">
        <f>IF(TRUE=ISBLANK(ChemData!T187),"",(ChemData!T187))</f>
        <v>1</v>
      </c>
      <c r="L187" s="375" t="str">
        <f>IF(Start!$C$16="x",IF(OR(D187="NA",D187=""),"NA", IF(OR($J187 = "NA",J187=""),"NA",(D187*$J187))),"---")</f>
        <v>---</v>
      </c>
      <c r="M187" s="377" t="str">
        <f>IF(Start!$C$16="x",IF(OR(D187="NA",D187=""),"NA", IF(OR($K187 = "NA",K187=""),"NA",(D187*$K187))),"---")</f>
        <v>---</v>
      </c>
      <c r="N187" s="375" t="str">
        <f t="shared" si="6"/>
        <v>---</v>
      </c>
      <c r="O187" s="377" t="str">
        <f t="shared" si="6"/>
        <v>---</v>
      </c>
      <c r="P187" s="461" t="str">
        <f>IF(Start!$C$16="x",(IF(L187 = "NA","NA", (IF(OR($H187 = "NA",H187=""), "NA",(IF(OR(ChemData!U187="NA",ChemData!U187=""),L187/((Data!$D$33+((1-Data!$D$33)*Data!$D$14*$H187))/((1-Data!$D$33)*Data!$D$14*1000)),(IF(L187/((Data!$D$33+((1-Data!$D$33)*Data!$D$14*$H187))/((1-Data!$D$33)*Data!$D$14*1000))&gt;ChemData!U187, ChemData!U187, L187/((Data!$D$33+((1-Data!$D$33)*Data!$D$14*$H187))/((1-Data!$D$33)*Data!$D$14*1000)))))))))),"---")</f>
        <v>---</v>
      </c>
      <c r="Q187" s="376" t="str">
        <f>IF(Start!$C$16="x",IF(OR($F187 = "NA",F187=""), "NA", IF(P187= "NA", "NA",(P187+(Data!$D$30*$F187))/(Data!$D$30+1))),"---")</f>
        <v>---</v>
      </c>
      <c r="R187" s="376" t="str">
        <f>IF(Start!$C$16="x",IF(O187 = "NA","NA", IF(OR($I187 = "NA",I187=""), "NA",(IF(OR(ChemData!U187="NA",ChemData!U187=""),O187/((Data!$D$35+((1-Data!$D$35)*Data!$D$14*$I187))/((1-Data!$D$35)*Data!$D$14*1000)),(IF(O187/((Data!$D$35+((1-Data!$D$35)*Data!$D$14*$I187))/((1-Data!$D$35)*Data!$D$14*1000))&gt;ChemData!U187, ChemData!U187, O187/((Data!$D$35+((1-Data!$D$35)*Data!$D$14*$I187))/((1-Data!$D$35)*Data!$D$14*1000)))))))),"---")</f>
        <v>---</v>
      </c>
      <c r="S187" s="377" t="str">
        <f>IF(Start!$C$16="x",IF(OR($F187 = "NA",F187=""), "NA", IF(R187= "NA", "NA",(R187+(Data!$D$30*$F187))/(Data!$D$30+1))),"---")</f>
        <v>---</v>
      </c>
      <c r="T187" s="343" t="str">
        <f>IF(Start!$C$16="x",IF(AND(D187= "",E187=""),"",IF(Q187="NA","NA",IF(G187="NA","NA",IF(G187=0,"NA",(Q187/G187))))),"Not Req.")</f>
        <v>Not Req.</v>
      </c>
      <c r="U187" s="343" t="str">
        <f>IF(Start!$C$16="x",IF(AND(D187= "",E187=""),"",IF(S187="NA","NA",IF(G187="NA","NA",IF(G187=0,"NA",(S187/G187))))),"Not Req.")</f>
        <v>Not Req.</v>
      </c>
      <c r="V187" s="11"/>
    </row>
    <row r="188" spans="1:22" s="10" customFormat="1" x14ac:dyDescent="0.25">
      <c r="A188" s="307" t="s">
        <v>682</v>
      </c>
      <c r="B188" s="348" t="str">
        <f>IF(Start!$C$16="x",IF(OR(D188 ="NA",E188="NA"),"NA",IF(AND(D188= "",E188=""),"",IF(AND(D188= "",E188&lt;&gt; ""),"Missing Data",                     IF(AND(D188&lt;&gt; "",E188= ""),"Missing Data",(IF(OR(G188="NA",G188=""),"No Criteria",(IF(AND(Q188="NA",D188&lt;&gt;"NA",G188&lt;&gt;"NA"),                                               "Missing Data",(IF(Q188&lt;G188,"No","Needed")))))))))),"---")</f>
        <v>---</v>
      </c>
      <c r="C188" s="350" t="str">
        <f>IF(Start!$C$16="x",IF(OR(D188 ="NA",E188="NA"),"NA",IF(AND(D188= "",E188=""),"",IF(AND(D188= "",E188&lt;&gt; ""),"Missing Data",                     IF(AND(D188&lt;&gt; "",E188= ""),"Missing Data",(IF(OR(G188="NA",G188=""),"No Criteria",(IF(AND(S188="NA",D188&lt;&gt;"NA",G188&lt;&gt;"NA"),                                               "Missing Data",(IF(S188&lt;G188,"No","Needed")))))))))),"---")</f>
        <v>---</v>
      </c>
      <c r="D188" s="372" t="str">
        <f>IF(TRUE=ISBLANK(ChemData!B188),"",(ChemData!B188))</f>
        <v/>
      </c>
      <c r="E188" s="373" t="str">
        <f>IF(TRUE=ISBLANK(ChemData!C188),"",(ChemData!C188))</f>
        <v/>
      </c>
      <c r="F188" s="374" t="str">
        <f>IF(TRUE=ISBLANK(ChemData!D188),"",(ChemData!D188))</f>
        <v/>
      </c>
      <c r="G188" s="289" t="str">
        <f>IF(TRUE=ISBLANK(ChemData!I188),"",(ChemData!I188))</f>
        <v>NA</v>
      </c>
      <c r="H188" s="290">
        <f>IF(TRUE=ISBLANK(ChemData!Q188),"",(ChemData!Q188))</f>
        <v>6.129237058642766</v>
      </c>
      <c r="I188" s="290">
        <f>IF(TRUE=ISBLANK(ChemData!R188),"",(ChemData!R188))</f>
        <v>6.129237058642766</v>
      </c>
      <c r="J188" s="290">
        <f>IF(TRUE=ISBLANK(ChemData!S188),"",(ChemData!S188))</f>
        <v>1</v>
      </c>
      <c r="K188" s="291">
        <f>IF(TRUE=ISBLANK(ChemData!T188),"",(ChemData!T188))</f>
        <v>1</v>
      </c>
      <c r="L188" s="375" t="str">
        <f>IF(Start!$C$16="x",IF(OR(D188="NA",D188=""),"NA", IF(OR($J188 = "NA",J188=""),"NA",(D188*$J188))),"---")</f>
        <v>---</v>
      </c>
      <c r="M188" s="377" t="str">
        <f>IF(Start!$C$16="x",IF(OR(D188="NA",D188=""),"NA", IF(OR($K188 = "NA",K188=""),"NA",(D188*$K188))),"---")</f>
        <v>---</v>
      </c>
      <c r="N188" s="375" t="str">
        <f t="shared" si="6"/>
        <v>---</v>
      </c>
      <c r="O188" s="377" t="str">
        <f t="shared" si="6"/>
        <v>---</v>
      </c>
      <c r="P188" s="461" t="str">
        <f>IF(Start!$C$16="x",(IF(L188 = "NA","NA", (IF(OR($H188 = "NA",H188=""), "NA",(IF(OR(ChemData!U188="NA",ChemData!U188=""),L188/((Data!$D$33+((1-Data!$D$33)*Data!$D$14*$H188))/((1-Data!$D$33)*Data!$D$14*1000)),(IF(L188/((Data!$D$33+((1-Data!$D$33)*Data!$D$14*$H188))/((1-Data!$D$33)*Data!$D$14*1000))&gt;ChemData!U188, ChemData!U188, L188/((Data!$D$33+((1-Data!$D$33)*Data!$D$14*$H188))/((1-Data!$D$33)*Data!$D$14*1000)))))))))),"---")</f>
        <v>---</v>
      </c>
      <c r="Q188" s="376" t="str">
        <f>IF(Start!$C$16="x",IF(OR($F188 = "NA",F188=""), "NA", IF(P188= "NA", "NA",(P188+(Data!$D$30*$F188))/(Data!$D$30+1))),"---")</f>
        <v>---</v>
      </c>
      <c r="R188" s="376" t="str">
        <f>IF(Start!$C$16="x",IF(O188 = "NA","NA", IF(OR($I188 = "NA",I188=""), "NA",(IF(OR(ChemData!U188="NA",ChemData!U188=""),O188/((Data!$D$35+((1-Data!$D$35)*Data!$D$14*$I188))/((1-Data!$D$35)*Data!$D$14*1000)),(IF(O188/((Data!$D$35+((1-Data!$D$35)*Data!$D$14*$I188))/((1-Data!$D$35)*Data!$D$14*1000))&gt;ChemData!U188, ChemData!U188, O188/((Data!$D$35+((1-Data!$D$35)*Data!$D$14*$I188))/((1-Data!$D$35)*Data!$D$14*1000)))))))),"---")</f>
        <v>---</v>
      </c>
      <c r="S188" s="377" t="str">
        <f>IF(Start!$C$16="x",IF(OR($F188 = "NA",F188=""), "NA", IF(R188= "NA", "NA",(R188+(Data!$D$30*$F188))/(Data!$D$30+1))),"---")</f>
        <v>---</v>
      </c>
      <c r="T188" s="343" t="str">
        <f>IF(Start!$C$16="x",IF(AND(D188= "",E188=""),"",IF(Q188="NA","NA",IF(G188="NA","NA",IF(G188=0,"NA",(Q188/G188))))),"Not Req.")</f>
        <v>Not Req.</v>
      </c>
      <c r="U188" s="343" t="str">
        <f>IF(Start!$C$16="x",IF(AND(D188= "",E188=""),"",IF(S188="NA","NA",IF(G188="NA","NA",IF(G188=0,"NA",(S188/G188))))),"Not Req.")</f>
        <v>Not Req.</v>
      </c>
      <c r="V188" s="11"/>
    </row>
    <row r="189" spans="1:22" s="10" customFormat="1" x14ac:dyDescent="0.25">
      <c r="A189" s="308" t="s">
        <v>507</v>
      </c>
      <c r="B189" s="348" t="str">
        <f>IF(Start!$C$16="x",IF(OR(D189 ="NA",E189="NA"),"NA",IF(AND(D189= "",E189=""),"",IF(AND(D189= "",E189&lt;&gt; ""),"Missing Data",                     IF(AND(D189&lt;&gt; "",E189= ""),"Missing Data",(IF(OR(G189="NA",G189=""),"No Criteria",(IF(AND(Q189="NA",D189&lt;&gt;"NA",G189&lt;&gt;"NA"),                                               "Missing Data",(IF(Q189&lt;G189,"No","Needed")))))))))),"---")</f>
        <v>---</v>
      </c>
      <c r="C189" s="350" t="str">
        <f>IF(Start!$C$16="x",IF(OR(D189 ="NA",E189="NA"),"NA",IF(AND(D189= "",E189=""),"",IF(AND(D189= "",E189&lt;&gt; ""),"Missing Data",                     IF(AND(D189&lt;&gt; "",E189= ""),"Missing Data",(IF(OR(G189="NA",G189=""),"No Criteria",(IF(AND(S189="NA",D189&lt;&gt;"NA",G189&lt;&gt;"NA"),                                               "Missing Data",(IF(S189&lt;G189,"No","Needed")))))))))),"---")</f>
        <v>---</v>
      </c>
      <c r="D189" s="372" t="str">
        <f>IF(TRUE=ISBLANK(ChemData!B189),"",(ChemData!B189))</f>
        <v/>
      </c>
      <c r="E189" s="373" t="str">
        <f>IF(TRUE=ISBLANK(ChemData!C189),"",(ChemData!C189))</f>
        <v/>
      </c>
      <c r="F189" s="374" t="str">
        <f>IF(TRUE=ISBLANK(ChemData!D189),"",(ChemData!D189))</f>
        <v/>
      </c>
      <c r="G189" s="289">
        <f>IF(TRUE=ISBLANK(ChemData!I189),"",(ChemData!I189))</f>
        <v>16</v>
      </c>
      <c r="H189" s="290">
        <f>IF(TRUE=ISBLANK(ChemData!Q189),"",(ChemData!Q189))</f>
        <v>9.9404585508133803E-2</v>
      </c>
      <c r="I189" s="290">
        <f>IF(TRUE=ISBLANK(ChemData!R189),"",(ChemData!R189))</f>
        <v>9.9404585508133803E-2</v>
      </c>
      <c r="J189" s="290">
        <f>IF(TRUE=ISBLANK(ChemData!S189),"",(ChemData!S189))</f>
        <v>1</v>
      </c>
      <c r="K189" s="291">
        <f>IF(TRUE=ISBLANK(ChemData!T189),"",(ChemData!T189))</f>
        <v>1</v>
      </c>
      <c r="L189" s="375" t="str">
        <f>IF(Start!$C$16="x",IF(OR(D189="NA",D189=""),"NA", IF(OR($J189 = "NA",J189=""),"NA",(D189*$J189))),"---")</f>
        <v>---</v>
      </c>
      <c r="M189" s="377" t="str">
        <f>IF(Start!$C$16="x",IF(OR(D189="NA",D189=""),"NA", IF(OR($K189 = "NA",K189=""),"NA",(D189*$K189))),"---")</f>
        <v>---</v>
      </c>
      <c r="N189" s="375" t="str">
        <f>L189</f>
        <v>---</v>
      </c>
      <c r="O189" s="377" t="str">
        <f>M189</f>
        <v>---</v>
      </c>
      <c r="P189" s="461" t="str">
        <f>IF(Start!$C$16="x",(IF(L189 = "NA","NA", (IF(OR($H189 = "NA",H189=""), "NA",(IF(OR(ChemData!U189="NA",ChemData!U189=""),L189/((Data!$D$33+((1-Data!$D$33)*Data!$D$14*$H189))/((1-Data!$D$33)*Data!$D$14*1000)),(IF(L189/((Data!$D$33+((1-Data!$D$33)*Data!$D$14*$H189))/((1-Data!$D$33)*Data!$D$14*1000))&gt;ChemData!U189, ChemData!U189, L189/((Data!$D$33+((1-Data!$D$33)*Data!$D$14*$H189))/((1-Data!$D$33)*Data!$D$14*1000)))))))))),"---")</f>
        <v>---</v>
      </c>
      <c r="Q189" s="376" t="str">
        <f>IF(Start!$C$16="x",IF(OR($F189 = "NA",F189=""), "NA", IF(P189= "NA", "NA",(P189+(Data!$D$30*$F189))/(Data!$D$30+1))),"---")</f>
        <v>---</v>
      </c>
      <c r="R189" s="376" t="str">
        <f>IF(Start!$C$16="x",IF(O189 = "NA","NA", IF(OR($I189 = "NA",I189=""), "NA",(IF(OR(ChemData!U189="NA",ChemData!U189=""),O189/((Data!$D$35+((1-Data!$D$35)*Data!$D$14*$I189))/((1-Data!$D$35)*Data!$D$14*1000)),(IF(O189/((Data!$D$35+((1-Data!$D$35)*Data!$D$14*$I189))/((1-Data!$D$35)*Data!$D$14*1000))&gt;ChemData!U189, ChemData!U189, O189/((Data!$D$35+((1-Data!$D$35)*Data!$D$14*$I189))/((1-Data!$D$35)*Data!$D$14*1000)))))))),"---")</f>
        <v>---</v>
      </c>
      <c r="S189" s="377" t="str">
        <f>IF(Start!$C$16="x",IF(OR($F189 = "NA",F189=""), "NA", IF(R189= "NA", "NA",(R189+(Data!$D$30*$F189))/(Data!$D$30+1))),"---")</f>
        <v>---</v>
      </c>
      <c r="T189" s="343" t="str">
        <f>IF(Start!$C$16="x",IF(AND(D189= "",E189=""),"",IF(Q189="NA","NA",IF(G189="NA","NA",IF(G189=0,"NA",(Q189/G189))))),"Not Req.")</f>
        <v>Not Req.</v>
      </c>
      <c r="U189" s="343" t="str">
        <f>IF(Start!$C$16="x",IF(AND(D189= "",E189=""),"",IF(S189="NA","NA",IF(G189="NA","NA",IF(G189=0,"NA",(S189/G189))))),"Not Req.")</f>
        <v>Not Req.</v>
      </c>
      <c r="V189" s="11"/>
    </row>
    <row r="190" spans="1:22" s="10" customFormat="1" x14ac:dyDescent="0.25">
      <c r="A190" s="307" t="s">
        <v>508</v>
      </c>
      <c r="B190" s="348" t="str">
        <f>IF(Start!$C$16="x",IF(OR(D190 ="NA",E190="NA"),"NA",IF(AND(D190= "",E190=""),"",IF(AND(D190= "",E190&lt;&gt; ""),"Missing Data",                     IF(AND(D190&lt;&gt; "",E190= ""),"Missing Data",(IF(OR(G190="NA",G190=""),"No Criteria",(IF(AND(Q190="NA",D190&lt;&gt;"NA",G190&lt;&gt;"NA"),                                               "Missing Data",(IF(Q190&lt;G190,"No","Needed")))))))))),"---")</f>
        <v>---</v>
      </c>
      <c r="C190" s="350" t="str">
        <f>IF(Start!$C$16="x",IF(OR(D190 ="NA",E190="NA"),"NA",IF(AND(D190= "",E190=""),"",IF(AND(D190= "",E190&lt;&gt; ""),"Missing Data",                     IF(AND(D190&lt;&gt; "",E190= ""),"Missing Data",(IF(OR(G190="NA",G190=""),"No Criteria",(IF(AND(S190="NA",D190&lt;&gt;"NA",G190&lt;&gt;"NA"),                                               "Missing Data",(IF(S190&lt;G190,"No","Needed")))))))))),"---")</f>
        <v>---</v>
      </c>
      <c r="D190" s="372" t="str">
        <f>IF(TRUE=ISBLANK(ChemData!B190),"",(ChemData!B190))</f>
        <v/>
      </c>
      <c r="E190" s="373" t="str">
        <f>IF(TRUE=ISBLANK(ChemData!C190),"",(ChemData!C190))</f>
        <v/>
      </c>
      <c r="F190" s="374" t="str">
        <f>IF(TRUE=ISBLANK(ChemData!D190),"",(ChemData!D190))</f>
        <v/>
      </c>
      <c r="G190" s="289" t="str">
        <f>IF(TRUE=ISBLANK(ChemData!I190),"",(ChemData!I190))</f>
        <v>NA</v>
      </c>
      <c r="H190" s="290">
        <f>IF(TRUE=ISBLANK(ChemData!Q190),"",(ChemData!Q190))</f>
        <v>0.31434490007066895</v>
      </c>
      <c r="I190" s="290">
        <f>IF(TRUE=ISBLANK(ChemData!R190),"",(ChemData!R190))</f>
        <v>0.31434490007066895</v>
      </c>
      <c r="J190" s="290">
        <f>IF(TRUE=ISBLANK(ChemData!S190),"",(ChemData!S190))</f>
        <v>1</v>
      </c>
      <c r="K190" s="291">
        <f>IF(TRUE=ISBLANK(ChemData!T190),"",(ChemData!T190))</f>
        <v>1</v>
      </c>
      <c r="L190" s="375" t="str">
        <f>IF(Start!$C$16="x",IF(OR(D190="NA",D190=""),"NA", IF(OR($J190 = "NA",J190=""),"NA",(D190*$J190))),"---")</f>
        <v>---</v>
      </c>
      <c r="M190" s="377" t="str">
        <f>IF(Start!$C$16="x",IF(OR(D190="NA",D190=""),"NA", IF(OR($K190 = "NA",K190=""),"NA",(D190*$K190))),"---")</f>
        <v>---</v>
      </c>
      <c r="N190" s="375" t="str">
        <f t="shared" si="6"/>
        <v>---</v>
      </c>
      <c r="O190" s="377" t="str">
        <f t="shared" si="6"/>
        <v>---</v>
      </c>
      <c r="P190" s="461" t="str">
        <f>IF(Start!$C$16="x",(IF(L190 = "NA","NA", (IF(OR($H190 = "NA",H190=""), "NA",(IF(OR(ChemData!U190="NA",ChemData!U190=""),L190/((Data!$D$33+((1-Data!$D$33)*Data!$D$14*$H190))/((1-Data!$D$33)*Data!$D$14*1000)),(IF(L190/((Data!$D$33+((1-Data!$D$33)*Data!$D$14*$H190))/((1-Data!$D$33)*Data!$D$14*1000))&gt;ChemData!U190, ChemData!U190, L190/((Data!$D$33+((1-Data!$D$33)*Data!$D$14*$H190))/((1-Data!$D$33)*Data!$D$14*1000)))))))))),"---")</f>
        <v>---</v>
      </c>
      <c r="Q190" s="376" t="str">
        <f>IF(Start!$C$16="x",IF(OR($F190 = "NA",F190=""), "NA", IF(P190= "NA", "NA",(P190+(Data!$D$30*$F190))/(Data!$D$30+1))),"---")</f>
        <v>---</v>
      </c>
      <c r="R190" s="376" t="str">
        <f>IF(Start!$C$16="x",IF(O190 = "NA","NA", IF(OR($I190 = "NA",I190=""), "NA",(IF(OR(ChemData!U190="NA",ChemData!U190=""),O190/((Data!$D$35+((1-Data!$D$35)*Data!$D$14*$I190))/((1-Data!$D$35)*Data!$D$14*1000)),(IF(O190/((Data!$D$35+((1-Data!$D$35)*Data!$D$14*$I190))/((1-Data!$D$35)*Data!$D$14*1000))&gt;ChemData!U190, ChemData!U190, O190/((Data!$D$35+((1-Data!$D$35)*Data!$D$14*$I190))/((1-Data!$D$35)*Data!$D$14*1000)))))))),"---")</f>
        <v>---</v>
      </c>
      <c r="S190" s="377" t="str">
        <f>IF(Start!$C$16="x",IF(OR($F190 = "NA",F190=""), "NA", IF(R190= "NA", "NA",(R190+(Data!$D$30*$F190))/(Data!$D$30+1))),"---")</f>
        <v>---</v>
      </c>
      <c r="T190" s="343" t="str">
        <f>IF(Start!$C$16="x",IF(AND(D190= "",E190=""),"",IF(Q190="NA","NA",IF(G190="NA","NA",IF(G190=0,"NA",(Q190/G190))))),"Not Req.")</f>
        <v>Not Req.</v>
      </c>
      <c r="U190" s="343" t="str">
        <f>IF(Start!$C$16="x",IF(AND(D190= "",E190=""),"",IF(S190="NA","NA",IF(G190="NA","NA",IF(G190=0,"NA",(S190/G190))))),"Not Req.")</f>
        <v>Not Req.</v>
      </c>
      <c r="V190" s="11"/>
    </row>
    <row r="191" spans="1:22" s="10" customFormat="1" x14ac:dyDescent="0.25">
      <c r="A191" s="307" t="s">
        <v>509</v>
      </c>
      <c r="B191" s="348" t="str">
        <f>IF(Start!$C$16="x",IF(OR(D191 ="NA",E191="NA"),"NA",IF(AND(D191= "",E191=""),"",IF(AND(D191= "",E191&lt;&gt; ""),"Missing Data",                     IF(AND(D191&lt;&gt; "",E191= ""),"Missing Data",(IF(OR(G191="NA",G191=""),"No Criteria",(IF(AND(Q191="NA",D191&lt;&gt;"NA",G191&lt;&gt;"NA"),                                               "Missing Data",(IF(Q191&lt;G191,"No","Needed")))))))))),"---")</f>
        <v>---</v>
      </c>
      <c r="C191" s="350" t="str">
        <f>IF(Start!$C$16="x",IF(OR(D191 ="NA",E191="NA"),"NA",IF(AND(D191= "",E191=""),"",IF(AND(D191= "",E191&lt;&gt; ""),"Missing Data",                     IF(AND(D191&lt;&gt; "",E191= ""),"Missing Data",(IF(OR(G191="NA",G191=""),"No Criteria",(IF(AND(S191="NA",D191&lt;&gt;"NA",G191&lt;&gt;"NA"),                                               "Missing Data",(IF(S191&lt;G191,"No","Needed")))))))))),"---")</f>
        <v>---</v>
      </c>
      <c r="D191" s="372" t="str">
        <f>IF(TRUE=ISBLANK(ChemData!B191),"",(ChemData!B191))</f>
        <v/>
      </c>
      <c r="E191" s="373" t="str">
        <f>IF(TRUE=ISBLANK(ChemData!C191),"",(ChemData!C191))</f>
        <v/>
      </c>
      <c r="F191" s="374" t="str">
        <f>IF(TRUE=ISBLANK(ChemData!D191),"",(ChemData!D191))</f>
        <v/>
      </c>
      <c r="G191" s="289">
        <f>IF(TRUE=ISBLANK(ChemData!I191),"",(ChemData!I191))</f>
        <v>1.8</v>
      </c>
      <c r="H191" s="290">
        <f>IF(TRUE=ISBLANK(ChemData!Q191),"",(ChemData!Q191))</f>
        <v>27.378296264993541</v>
      </c>
      <c r="I191" s="290">
        <f>IF(TRUE=ISBLANK(ChemData!R191),"",(ChemData!R191))</f>
        <v>27.378296264993541</v>
      </c>
      <c r="J191" s="290">
        <f>IF(TRUE=ISBLANK(ChemData!S191),"",(ChemData!S191))</f>
        <v>1</v>
      </c>
      <c r="K191" s="291">
        <f>IF(TRUE=ISBLANK(ChemData!T191),"",(ChemData!T191))</f>
        <v>1</v>
      </c>
      <c r="L191" s="375" t="str">
        <f>IF(Start!$C$16="x",IF(OR(D191="NA",D191=""),"NA", IF(OR($J191 = "NA",J191=""),"NA",(D191*$J191))),"---")</f>
        <v>---</v>
      </c>
      <c r="M191" s="377" t="str">
        <f>IF(Start!$C$16="x",IF(OR(D191="NA",D191=""),"NA", IF(OR($K191 = "NA",K191=""),"NA",(D191*$K191))),"---")</f>
        <v>---</v>
      </c>
      <c r="N191" s="375" t="str">
        <f t="shared" si="6"/>
        <v>---</v>
      </c>
      <c r="O191" s="377" t="str">
        <f t="shared" si="6"/>
        <v>---</v>
      </c>
      <c r="P191" s="461" t="str">
        <f>IF(Start!$C$16="x",(IF(L191 = "NA","NA", (IF(OR($H191 = "NA",H191=""), "NA",(IF(OR(ChemData!U191="NA",ChemData!U191=""),L191/((Data!$D$33+((1-Data!$D$33)*Data!$D$14*$H191))/((1-Data!$D$33)*Data!$D$14*1000)),(IF(L191/((Data!$D$33+((1-Data!$D$33)*Data!$D$14*$H191))/((1-Data!$D$33)*Data!$D$14*1000))&gt;ChemData!U191, ChemData!U191, L191/((Data!$D$33+((1-Data!$D$33)*Data!$D$14*$H191))/((1-Data!$D$33)*Data!$D$14*1000)))))))))),"---")</f>
        <v>---</v>
      </c>
      <c r="Q191" s="376" t="str">
        <f>IF(Start!$C$16="x",IF(OR($F191 = "NA",F191=""), "NA", IF(P191= "NA", "NA",(P191+(Data!$D$30*$F191))/(Data!$D$30+1))),"---")</f>
        <v>---</v>
      </c>
      <c r="R191" s="376" t="str">
        <f>IF(Start!$C$16="x",IF(O191 = "NA","NA", IF(OR($I191 = "NA",I191=""), "NA",(IF(OR(ChemData!U191="NA",ChemData!U191=""),O191/((Data!$D$35+((1-Data!$D$35)*Data!$D$14*$I191))/((1-Data!$D$35)*Data!$D$14*1000)),(IF(O191/((Data!$D$35+((1-Data!$D$35)*Data!$D$14*$I191))/((1-Data!$D$35)*Data!$D$14*1000))&gt;ChemData!U191, ChemData!U191, O191/((Data!$D$35+((1-Data!$D$35)*Data!$D$14*$I191))/((1-Data!$D$35)*Data!$D$14*1000)))))))),"---")</f>
        <v>---</v>
      </c>
      <c r="S191" s="377" t="str">
        <f>IF(Start!$C$16="x",IF(OR($F191 = "NA",F191=""), "NA", IF(R191= "NA", "NA",(R191+(Data!$D$30*$F191))/(Data!$D$30+1))),"---")</f>
        <v>---</v>
      </c>
      <c r="T191" s="343" t="str">
        <f>IF(Start!$C$16="x",IF(AND(D191= "",E191=""),"",IF(Q191="NA","NA",IF(G191="NA","NA",IF(G191=0,"NA",(Q191/G191))))),"Not Req.")</f>
        <v>Not Req.</v>
      </c>
      <c r="U191" s="343" t="str">
        <f>IF(Start!$C$16="x",IF(AND(D191= "",E191=""),"",IF(S191="NA","NA",IF(G191="NA","NA",IF(G191=0,"NA",(S191/G191))))),"Not Req.")</f>
        <v>Not Req.</v>
      </c>
      <c r="V191" s="11"/>
    </row>
    <row r="192" spans="1:22" s="10" customFormat="1" x14ac:dyDescent="0.25">
      <c r="A192" s="307" t="s">
        <v>510</v>
      </c>
      <c r="B192" s="348" t="str">
        <f>IF(Start!$C$16="x",IF(OR(D192 ="NA",E192="NA"),"NA",IF(AND(D192= "",E192=""),"",IF(AND(D192= "",E192&lt;&gt; ""),"Missing Data",                     IF(AND(D192&lt;&gt; "",E192= ""),"Missing Data",(IF(OR(G192="NA",G192=""),"No Criteria",(IF(AND(Q192="NA",D192&lt;&gt;"NA",G192&lt;&gt;"NA"),                                               "Missing Data",(IF(Q192&lt;G192,"No","Needed")))))))))),"---")</f>
        <v>---</v>
      </c>
      <c r="C192" s="350" t="str">
        <f>IF(Start!$C$16="x",IF(OR(D192 ="NA",E192="NA"),"NA",IF(AND(D192= "",E192=""),"",IF(AND(D192= "",E192&lt;&gt; ""),"Missing Data",                     IF(AND(D192&lt;&gt; "",E192= ""),"Missing Data",(IF(OR(G192="NA",G192=""),"No Criteria",(IF(AND(S192="NA",D192&lt;&gt;"NA",G192&lt;&gt;"NA"),                                               "Missing Data",(IF(S192&lt;G192,"No","Needed")))))))))),"---")</f>
        <v>---</v>
      </c>
      <c r="D192" s="372" t="str">
        <f>IF(TRUE=ISBLANK(ChemData!B192),"",(ChemData!B192))</f>
        <v/>
      </c>
      <c r="E192" s="373" t="str">
        <f>IF(TRUE=ISBLANK(ChemData!C192),"",(ChemData!C192))</f>
        <v/>
      </c>
      <c r="F192" s="374" t="str">
        <f>IF(TRUE=ISBLANK(ChemData!D192),"",(ChemData!D192))</f>
        <v/>
      </c>
      <c r="G192" s="289" t="str">
        <f>IF(TRUE=ISBLANK(ChemData!I192),"",(ChemData!I192))</f>
        <v>NA</v>
      </c>
      <c r="H192" s="290">
        <f>IF(TRUE=ISBLANK(ChemData!Q192),"",(ChemData!Q192))</f>
        <v>26.146069950967185</v>
      </c>
      <c r="I192" s="290">
        <f>IF(TRUE=ISBLANK(ChemData!R192),"",(ChemData!R192))</f>
        <v>26.146069950967185</v>
      </c>
      <c r="J192" s="290">
        <f>IF(TRUE=ISBLANK(ChemData!S192),"",(ChemData!S192))</f>
        <v>1</v>
      </c>
      <c r="K192" s="291">
        <f>IF(TRUE=ISBLANK(ChemData!T192),"",(ChemData!T192))</f>
        <v>1</v>
      </c>
      <c r="L192" s="375" t="str">
        <f>IF(Start!$C$16="x",IF(OR(D192="NA",D192=""),"NA", IF(OR($J192 = "NA",J192=""),"NA",(D192*$J192))),"---")</f>
        <v>---</v>
      </c>
      <c r="M192" s="377" t="str">
        <f>IF(Start!$C$16="x",IF(OR(D192="NA",D192=""),"NA", IF(OR($K192 = "NA",K192=""),"NA",(D192*$K192))),"---")</f>
        <v>---</v>
      </c>
      <c r="N192" s="375" t="str">
        <f t="shared" si="6"/>
        <v>---</v>
      </c>
      <c r="O192" s="377" t="str">
        <f t="shared" si="6"/>
        <v>---</v>
      </c>
      <c r="P192" s="461" t="str">
        <f>IF(Start!$C$16="x",(IF(L192 = "NA","NA", (IF(OR($H192 = "NA",H192=""), "NA",(IF(OR(ChemData!U192="NA",ChemData!U192=""),L192/((Data!$D$33+((1-Data!$D$33)*Data!$D$14*$H192))/((1-Data!$D$33)*Data!$D$14*1000)),(IF(L192/((Data!$D$33+((1-Data!$D$33)*Data!$D$14*$H192))/((1-Data!$D$33)*Data!$D$14*1000))&gt;ChemData!U192, ChemData!U192, L192/((Data!$D$33+((1-Data!$D$33)*Data!$D$14*$H192))/((1-Data!$D$33)*Data!$D$14*1000)))))))))),"---")</f>
        <v>---</v>
      </c>
      <c r="Q192" s="376" t="str">
        <f>IF(Start!$C$16="x",IF(OR($F192 = "NA",F192=""), "NA", IF(P192= "NA", "NA",(P192+(Data!$D$30*$F192))/(Data!$D$30+1))),"---")</f>
        <v>---</v>
      </c>
      <c r="R192" s="376" t="str">
        <f>IF(Start!$C$16="x",IF(O192 = "NA","NA", IF(OR($I192 = "NA",I192=""), "NA",(IF(OR(ChemData!U192="NA",ChemData!U192=""),O192/((Data!$D$35+((1-Data!$D$35)*Data!$D$14*$I192))/((1-Data!$D$35)*Data!$D$14*1000)),(IF(O192/((Data!$D$35+((1-Data!$D$35)*Data!$D$14*$I192))/((1-Data!$D$35)*Data!$D$14*1000))&gt;ChemData!U192, ChemData!U192, O192/((Data!$D$35+((1-Data!$D$35)*Data!$D$14*$I192))/((1-Data!$D$35)*Data!$D$14*1000)))))))),"---")</f>
        <v>---</v>
      </c>
      <c r="S192" s="377" t="str">
        <f>IF(Start!$C$16="x",IF(OR($F192 = "NA",F192=""), "NA", IF(R192= "NA", "NA",(R192+(Data!$D$30*$F192))/(Data!$D$30+1))),"---")</f>
        <v>---</v>
      </c>
      <c r="T192" s="343" t="str">
        <f>IF(Start!$C$16="x",IF(AND(D192= "",E192=""),"",IF(Q192="NA","NA",IF(G192="NA","NA",IF(G192=0,"NA",(Q192/G192))))),"Not Req.")</f>
        <v>Not Req.</v>
      </c>
      <c r="U192" s="343" t="str">
        <f>IF(Start!$C$16="x",IF(AND(D192= "",E192=""),"",IF(S192="NA","NA",IF(G192="NA","NA",IF(G192=0,"NA",(S192/G192))))),"Not Req.")</f>
        <v>Not Req.</v>
      </c>
      <c r="V192" s="11"/>
    </row>
    <row r="193" spans="1:22" s="10" customFormat="1" ht="13.8" thickBot="1" x14ac:dyDescent="0.3">
      <c r="A193" s="403" t="s">
        <v>511</v>
      </c>
      <c r="B193" s="348" t="str">
        <f>IF(Start!$C$16="x",IF(OR(D193 ="NA",E193="NA"),"NA",IF(AND(D193= "",E193=""),"",IF(AND(D193= "",E193&lt;&gt; ""),"Missing Data",                     IF(AND(D193&lt;&gt; "",E193= ""),"Missing Data",(IF(OR(G193="NA",G193=""),"No Criteria",(IF(AND(Q193="NA",D193&lt;&gt;"NA",G193&lt;&gt;"NA"),                                               "Missing Data",(IF(Q193&lt;G193,"No","Needed")))))))))),"---")</f>
        <v>---</v>
      </c>
      <c r="C193" s="350" t="str">
        <f>IF(Start!$C$16="x",IF(OR(D193 ="NA",E193="NA"),"NA",IF(AND(D193= "",E193=""),"",IF(AND(D193= "",E193&lt;&gt; ""),"Missing Data",                     IF(AND(D193&lt;&gt; "",E193= ""),"Missing Data",(IF(OR(G193="NA",G193=""),"No Criteria",(IF(AND(S193="NA",D193&lt;&gt;"NA",G193&lt;&gt;"NA"),                                               "Missing Data",(IF(S193&lt;G193,"No","Needed")))))))))),"---")</f>
        <v>---</v>
      </c>
      <c r="D193" s="372" t="str">
        <f>IF(TRUE=ISBLANK(ChemData!B193),"",(ChemData!B193))</f>
        <v/>
      </c>
      <c r="E193" s="373" t="str">
        <f>IF(TRUE=ISBLANK(ChemData!C193),"",(ChemData!C193))</f>
        <v/>
      </c>
      <c r="F193" s="374" t="str">
        <f>IF(TRUE=ISBLANK(ChemData!D193),"",(ChemData!D193))</f>
        <v/>
      </c>
      <c r="G193" s="289">
        <f>IF(TRUE=ISBLANK(ChemData!I193),"",(ChemData!I193))</f>
        <v>13</v>
      </c>
      <c r="H193" s="290">
        <f>IF(TRUE=ISBLANK(ChemData!Q193),"",(ChemData!Q193))</f>
        <v>24.400932230679128</v>
      </c>
      <c r="I193" s="290">
        <f>IF(TRUE=ISBLANK(ChemData!R193),"",(ChemData!R193))</f>
        <v>24.400932230679128</v>
      </c>
      <c r="J193" s="290">
        <f>IF(TRUE=ISBLANK(ChemData!S193),"",(ChemData!S193))</f>
        <v>1</v>
      </c>
      <c r="K193" s="291">
        <f>IF(TRUE=ISBLANK(ChemData!T193),"",(ChemData!T193))</f>
        <v>1</v>
      </c>
      <c r="L193" s="375" t="str">
        <f>IF(Start!$C$16="x",IF(OR(D193="NA",D193=""),"NA", IF(OR($J193 = "NA",J193=""),"NA",(D193*$J193))),"---")</f>
        <v>---</v>
      </c>
      <c r="M193" s="377" t="str">
        <f>IF(Start!$C$16="x",IF(OR(D193="NA",D193=""),"NA", IF(OR($K193 = "NA",K193=""),"NA",(D193*$K193))),"---")</f>
        <v>---</v>
      </c>
      <c r="N193" s="375" t="str">
        <f t="shared" si="6"/>
        <v>---</v>
      </c>
      <c r="O193" s="377" t="str">
        <f t="shared" si="6"/>
        <v>---</v>
      </c>
      <c r="P193" s="461" t="str">
        <f>IF(Start!$C$16="x",(IF(L193 = "NA","NA", (IF(OR($H193 = "NA",H193=""), "NA",(IF(OR(ChemData!U193="NA",ChemData!U193=""),L193/((Data!$D$33+((1-Data!$D$33)*Data!$D$14*$H193))/((1-Data!$D$33)*Data!$D$14*1000)),(IF(L193/((Data!$D$33+((1-Data!$D$33)*Data!$D$14*$H193))/((1-Data!$D$33)*Data!$D$14*1000))&gt;ChemData!U193, ChemData!U193, L193/((Data!$D$33+((1-Data!$D$33)*Data!$D$14*$H193))/((1-Data!$D$33)*Data!$D$14*1000)))))))))),"---")</f>
        <v>---</v>
      </c>
      <c r="Q193" s="376" t="str">
        <f>IF(Start!$C$16="x",IF(OR($F193 = "NA",F193=""), "NA", IF(P193= "NA", "NA",(P193+(Data!$D$30*$F193))/(Data!$D$30+1))),"---")</f>
        <v>---</v>
      </c>
      <c r="R193" s="376" t="str">
        <f>IF(Start!$C$16="x",IF(O193 = "NA","NA", IF(OR($I193 = "NA",I193=""), "NA",(IF(OR(ChemData!U193="NA",ChemData!U193=""),O193/((Data!$D$35+((1-Data!$D$35)*Data!$D$14*$I193))/((1-Data!$D$35)*Data!$D$14*1000)),(IF(O193/((Data!$D$35+((1-Data!$D$35)*Data!$D$14*$I193))/((1-Data!$D$35)*Data!$D$14*1000))&gt;ChemData!U193, ChemData!U193, O193/((Data!$D$35+((1-Data!$D$35)*Data!$D$14*$I193))/((1-Data!$D$35)*Data!$D$14*1000)))))))),"---")</f>
        <v>---</v>
      </c>
      <c r="S193" s="377" t="str">
        <f>IF(Start!$C$16="x",IF(OR($F193 = "NA",F193=""), "NA", IF(R193= "NA", "NA",(R193+(Data!$D$30*$F193))/(Data!$D$30+1))),"---")</f>
        <v>---</v>
      </c>
      <c r="T193" s="343" t="str">
        <f>IF(Start!$C$16="x",IF(AND(D193= "",E193=""),"",IF(Q193="NA","NA",IF(G193="NA","NA",IF(G193=0,"NA",(Q193/G193))))),"Not Req.")</f>
        <v>Not Req.</v>
      </c>
      <c r="U193" s="343" t="str">
        <f>IF(Start!$C$16="x",IF(AND(D193= "",E193=""),"",IF(S193="NA","NA",IF(G193="NA","NA",IF(G193=0,"NA",(S193/G193))))),"Not Req.")</f>
        <v>Not Req.</v>
      </c>
      <c r="V193" s="11"/>
    </row>
    <row r="194" spans="1:22" s="10" customFormat="1" x14ac:dyDescent="0.25">
      <c r="A194" s="524" t="s">
        <v>512</v>
      </c>
      <c r="B194" s="525"/>
      <c r="C194" s="526"/>
      <c r="D194" s="508"/>
      <c r="E194" s="509"/>
      <c r="F194" s="510"/>
      <c r="G194" s="511"/>
      <c r="H194" s="512"/>
      <c r="I194" s="512"/>
      <c r="J194" s="512"/>
      <c r="K194" s="513"/>
      <c r="L194" s="511"/>
      <c r="M194" s="513"/>
      <c r="N194" s="511"/>
      <c r="O194" s="513"/>
      <c r="P194" s="512"/>
      <c r="Q194" s="512"/>
      <c r="R194" s="512"/>
      <c r="S194" s="513"/>
      <c r="T194" s="511"/>
      <c r="U194" s="527"/>
      <c r="V194" s="11"/>
    </row>
    <row r="195" spans="1:22" s="10" customFormat="1" x14ac:dyDescent="0.25">
      <c r="A195" s="307" t="s">
        <v>513</v>
      </c>
      <c r="B195" s="348" t="str">
        <f>IF(Start!$C$16="x",IF(OR(D195 ="NA",E195="NA"),"NA",IF(AND(D195= "",E195=""),"",IF(AND(D195= "",E195&lt;&gt; ""),"Missing Data",                     IF(AND(D195&lt;&gt; "",E195= ""),"Missing Data",(IF(OR(G195="NA",G195=""),"No Criteria",(IF(AND(Q195="NA",D195&lt;&gt;"NA",G195&lt;&gt;"NA"),                                               "Missing Data",(IF(Q195&lt;G195,"No","Needed")))))))))),"---")</f>
        <v>---</v>
      </c>
      <c r="C195" s="350" t="str">
        <f>IF(Start!$C$16="x",IF(OR(D195 ="NA",E195="NA"),"NA",IF(AND(D195= "",E195=""),"",IF(AND(D195= "",E195&lt;&gt; ""),"Missing Data",                     IF(AND(D195&lt;&gt; "",E195= ""),"Missing Data",(IF(OR(G195="NA",G195=""),"No Criteria",(IF(AND(S195="NA",D195&lt;&gt;"NA",G195&lt;&gt;"NA"),                                               "Missing Data",(IF(S195&lt;G195,"No","Needed")))))))))),"---")</f>
        <v>---</v>
      </c>
      <c r="D195" s="372" t="str">
        <f>IF(TRUE=ISBLANK(ChemData!B195),"",(ChemData!B195))</f>
        <v/>
      </c>
      <c r="E195" s="373" t="str">
        <f>IF(TRUE=ISBLANK(ChemData!C195),"",(ChemData!C195))</f>
        <v/>
      </c>
      <c r="F195" s="374" t="str">
        <f>IF(TRUE=ISBLANK(ChemData!D195),"",(ChemData!D195))</f>
        <v/>
      </c>
      <c r="G195" s="289">
        <f>IF(TRUE=ISBLANK(ChemData!I195),"",(ChemData!I195))</f>
        <v>0.01</v>
      </c>
      <c r="H195" s="290">
        <f>IF(TRUE=ISBLANK(ChemData!Q195),"",(ChemData!Q195))</f>
        <v>9.2769756944408179</v>
      </c>
      <c r="I195" s="290">
        <f>IF(TRUE=ISBLANK(ChemData!R195),"",(ChemData!R195))</f>
        <v>9.2769756944408179</v>
      </c>
      <c r="J195" s="290">
        <f>IF(TRUE=ISBLANK(ChemData!S195),"",(ChemData!S195))</f>
        <v>1</v>
      </c>
      <c r="K195" s="291">
        <f>IF(TRUE=ISBLANK(ChemData!T195),"",(ChemData!T195))</f>
        <v>1</v>
      </c>
      <c r="L195" s="375" t="str">
        <f>IF(Start!$C$16="x",IF(OR(D195="NA",D195=""),"NA", IF(OR($J195 = "NA",J195=""),"NA",(D195*$J195))),"---")</f>
        <v>---</v>
      </c>
      <c r="M195" s="377" t="str">
        <f>IF(Start!$C$16="x",IF(OR(D195="NA",D195=""),"NA", IF(OR($K195 = "NA",K195=""),"NA",(D195*$K195))),"---")</f>
        <v>---</v>
      </c>
      <c r="N195" s="375" t="str">
        <f t="shared" ref="N195:O203" si="8">L195</f>
        <v>---</v>
      </c>
      <c r="O195" s="377" t="str">
        <f t="shared" si="8"/>
        <v>---</v>
      </c>
      <c r="P195" s="461" t="str">
        <f>IF(Start!$C$16="x",(IF(L195 = "NA","NA", (IF(OR($H195 = "NA",H195=""), "NA",(IF(OR(ChemData!U195="NA",ChemData!U195=""),L195/((Data!$D$33+((1-Data!$D$33)*Data!$D$14*$H195))/((1-Data!$D$33)*Data!$D$14*1000)),(IF(L195/((Data!$D$33+((1-Data!$D$33)*Data!$D$14*$H195))/((1-Data!$D$33)*Data!$D$14*1000))&gt;ChemData!U195, ChemData!U195, L195/((Data!$D$33+((1-Data!$D$33)*Data!$D$14*$H195))/((1-Data!$D$33)*Data!$D$14*1000)))))))))),"---")</f>
        <v>---</v>
      </c>
      <c r="Q195" s="376" t="str">
        <f>IF(Start!$C$16="x",IF(OR($F195 = "NA",F195=""), "NA", IF(P195= "NA", "NA",(P195+(Data!$D$30*$F195))/(Data!$D$30+1))),"---")</f>
        <v>---</v>
      </c>
      <c r="R195" s="376" t="str">
        <f>IF(Start!$C$16="x",IF(O195 = "NA","NA", IF(OR($I195 = "NA",I195=""), "NA",(IF(OR(ChemData!U195="NA",ChemData!U195=""),O195/((Data!$D$35+((1-Data!$D$35)*Data!$D$14*$I195))/((1-Data!$D$35)*Data!$D$14*1000)),(IF(O195/((Data!$D$35+((1-Data!$D$35)*Data!$D$14*$I195))/((1-Data!$D$35)*Data!$D$14*1000))&gt;ChemData!U195, ChemData!U195, O195/((Data!$D$35+((1-Data!$D$35)*Data!$D$14*$I195))/((1-Data!$D$35)*Data!$D$14*1000)))))))),"---")</f>
        <v>---</v>
      </c>
      <c r="S195" s="377" t="str">
        <f>IF(Start!$C$16="x",IF(OR($F195 = "NA",F195=""), "NA", IF(R195= "NA", "NA",(R195+(Data!$D$30*$F195))/(Data!$D$30+1))),"---")</f>
        <v>---</v>
      </c>
      <c r="T195" s="343" t="str">
        <f>IF(Start!$C$16="x",IF(AND(D195= "",E195=""),"",IF(Q195="NA","NA",IF(G195="NA","NA",IF(G195=0,"NA",(Q195/G195))))),"Not Req.")</f>
        <v>Not Req.</v>
      </c>
      <c r="U195" s="343" t="str">
        <f>IF(Start!$C$16="x",IF(AND(D195= "",E195=""),"",IF(S195="NA","NA",IF(G195="NA","NA",IF(G195=0,"NA",(S195/G195))))),"Not Req.")</f>
        <v>Not Req.</v>
      </c>
      <c r="V195" s="11"/>
    </row>
    <row r="196" spans="1:22" s="10" customFormat="1" x14ac:dyDescent="0.25">
      <c r="A196" s="379" t="s">
        <v>683</v>
      </c>
      <c r="B196" s="348" t="str">
        <f>IF(Start!$C$16="x",IF(OR(D196 ="NA",E196="NA"),"NA",IF(AND(D196= "",E196=""),"",IF(AND(D196= "",E196&lt;&gt; ""),"Missing Data",                     IF(AND(D196&lt;&gt; "",E196= ""),"Missing Data",(IF(OR(G196="NA",G196=""),"No Criteria",(IF(AND(Q196="NA",D196&lt;&gt;"NA",G196&lt;&gt;"NA"),                                               "Missing Data",(IF(Q196&lt;G196,"No","Needed")))))))))),"---")</f>
        <v>---</v>
      </c>
      <c r="C196" s="350" t="str">
        <f>IF(Start!$C$16="x",IF(OR(D196 ="NA",E196="NA"),"NA",IF(AND(D196= "",E196=""),"",IF(AND(D196= "",E196&lt;&gt; ""),"Missing Data",                     IF(AND(D196&lt;&gt; "",E196= ""),"Missing Data",(IF(OR(G196="NA",G196=""),"No Criteria",(IF(AND(S196="NA",D196&lt;&gt;"NA",G196&lt;&gt;"NA"),                                               "Missing Data",(IF(S196&lt;G196,"No","Needed")))))))))),"---")</f>
        <v>---</v>
      </c>
      <c r="D196" s="372" t="str">
        <f>IF(TRUE=ISBLANK(ChemData!B196),"",(ChemData!B196))</f>
        <v/>
      </c>
      <c r="E196" s="373" t="str">
        <f>IF(TRUE=ISBLANK(ChemData!C196),"",(ChemData!C196))</f>
        <v/>
      </c>
      <c r="F196" s="374" t="str">
        <f>IF(TRUE=ISBLANK(ChemData!D196),"",(ChemData!D196))</f>
        <v/>
      </c>
      <c r="G196" s="289">
        <f>IF(TRUE=ISBLANK(ChemData!I196),"",(ChemData!I196))</f>
        <v>4.1000000000000002E-2</v>
      </c>
      <c r="H196" s="290">
        <f>IF(TRUE=ISBLANK(ChemData!Q196),"",(ChemData!Q196))</f>
        <v>1808.8527299999998</v>
      </c>
      <c r="I196" s="290">
        <f>IF(TRUE=ISBLANK(ChemData!R196),"",(ChemData!R196))</f>
        <v>1808.8527299999998</v>
      </c>
      <c r="J196" s="290">
        <f>IF(TRUE=ISBLANK(ChemData!S196),"",(ChemData!S196))</f>
        <v>1</v>
      </c>
      <c r="K196" s="291">
        <f>IF(TRUE=ISBLANK(ChemData!T196),"",(ChemData!T196))</f>
        <v>1</v>
      </c>
      <c r="L196" s="375" t="str">
        <f>IF(Start!$C$16="x",IF(OR(D196="NA",D196=""),"NA", IF(OR($J196 = "NA",J196=""),"NA",(D196*$J196))),"---")</f>
        <v>---</v>
      </c>
      <c r="M196" s="377" t="str">
        <f>IF(Start!$C$16="x",IF(OR(D196="NA",D196=""),"NA", IF(OR($K196 = "NA",K196=""),"NA",(D196*$K196))),"---")</f>
        <v>---</v>
      </c>
      <c r="N196" s="375" t="str">
        <f t="shared" si="8"/>
        <v>---</v>
      </c>
      <c r="O196" s="377" t="str">
        <f t="shared" si="8"/>
        <v>---</v>
      </c>
      <c r="P196" s="461" t="str">
        <f>IF(Start!$C$16="x",(IF(L196 = "NA","NA", (IF(OR($H196 = "NA",H196=""), "NA",(IF(OR(ChemData!U196="NA",ChemData!U196=""),L196/((Data!$D$33+((1-Data!$D$33)*Data!$D$14*$H196))/((1-Data!$D$33)*Data!$D$14*1000)),(IF(L196/((Data!$D$33+((1-Data!$D$33)*Data!$D$14*$H196))/((1-Data!$D$33)*Data!$D$14*1000))&gt;ChemData!U196, ChemData!U196, L196/((Data!$D$33+((1-Data!$D$33)*Data!$D$14*$H196))/((1-Data!$D$33)*Data!$D$14*1000)))))))))),"---")</f>
        <v>---</v>
      </c>
      <c r="Q196" s="376" t="str">
        <f>IF(Start!$C$16="x",IF(OR($F196 = "NA",F196=""), "NA", IF(P196= "NA", "NA",(P196+(Data!$D$30*$F196))/(Data!$D$30+1))),"---")</f>
        <v>---</v>
      </c>
      <c r="R196" s="376" t="str">
        <f>IF(Start!$C$16="x",IF(O196 = "NA","NA", IF(OR($I196 = "NA",I196=""), "NA",(IF(OR(ChemData!U196="NA",ChemData!U196=""),O196/((Data!$D$35+((1-Data!$D$35)*Data!$D$14*$I196))/((1-Data!$D$35)*Data!$D$14*1000)),(IF(O196/((Data!$D$35+((1-Data!$D$35)*Data!$D$14*$I196))/((1-Data!$D$35)*Data!$D$14*1000))&gt;ChemData!U196, ChemData!U196, O196/((Data!$D$35+((1-Data!$D$35)*Data!$D$14*$I196))/((1-Data!$D$35)*Data!$D$14*1000)))))))),"---")</f>
        <v>---</v>
      </c>
      <c r="S196" s="377" t="str">
        <f>IF(Start!$C$16="x",IF(OR($F196 = "NA",F196=""), "NA", IF(R196= "NA", "NA",(R196+(Data!$D$30*$F196))/(Data!$D$30+1))),"---")</f>
        <v>---</v>
      </c>
      <c r="T196" s="343" t="str">
        <f>IF(Start!$C$16="x",IF(AND(D196= "",E196=""),"",IF(Q196="NA","NA",IF(G196="NA","NA",IF(G196=0,"NA",(Q196/G196))))),"Not Req.")</f>
        <v>Not Req.</v>
      </c>
      <c r="U196" s="343" t="str">
        <f>IF(Start!$C$16="x",IF(AND(D196= "",E196=""),"",IF(S196="NA","NA",IF(G196="NA","NA",IF(G196=0,"NA",(S196/G196))))),"Not Req.")</f>
        <v>Not Req.</v>
      </c>
      <c r="V196" s="11"/>
    </row>
    <row r="197" spans="1:22" s="10" customFormat="1" x14ac:dyDescent="0.25">
      <c r="A197" s="307" t="s">
        <v>515</v>
      </c>
      <c r="B197" s="348" t="str">
        <f>IF(Start!$C$16="x",IF(OR(D197 ="NA",E197="NA"),"NA",IF(AND(D197= "",E197=""),"",IF(AND(D197= "",E197&lt;&gt; ""),"Missing Data",                     IF(AND(D197&lt;&gt; "",E197= ""),"Missing Data",(IF(OR(G197="NA",G197=""),"No Criteria",(IF(AND(Q197="NA",D197&lt;&gt;"NA",G197&lt;&gt;"NA"),                                               "Missing Data",(IF(Q197&lt;G197,"No","Needed")))))))))),"---")</f>
        <v>---</v>
      </c>
      <c r="C197" s="350" t="str">
        <f>IF(Start!$C$16="x",IF(OR(D197 ="NA",E197="NA"),"NA",IF(AND(D197= "",E197=""),"",IF(AND(D197= "",E197&lt;&gt; ""),"Missing Data",                     IF(AND(D197&lt;&gt; "",E197= ""),"Missing Data",(IF(OR(G197="NA",G197=""),"No Criteria",(IF(AND(S197="NA",D197&lt;&gt;"NA",G197&lt;&gt;"NA"),                                               "Missing Data",(IF(S197&lt;G197,"No","Needed")))))))))),"---")</f>
        <v>---</v>
      </c>
      <c r="D197" s="372" t="str">
        <f>IF(TRUE=ISBLANK(ChemData!B197),"",(ChemData!B197))</f>
        <v/>
      </c>
      <c r="E197" s="373" t="str">
        <f>IF(TRUE=ISBLANK(ChemData!C197),"",(ChemData!C197))</f>
        <v/>
      </c>
      <c r="F197" s="374" t="str">
        <f>IF(TRUE=ISBLANK(ChemData!D197),"",(ChemData!D197))</f>
        <v/>
      </c>
      <c r="G197" s="289">
        <f>IF(TRUE=ISBLANK(ChemData!I197),"",(ChemData!I197))</f>
        <v>0.1</v>
      </c>
      <c r="H197" s="290">
        <f>IF(TRUE=ISBLANK(ChemData!Q197),"",(ChemData!Q197))</f>
        <v>2.2772274947737192</v>
      </c>
      <c r="I197" s="290">
        <f>IF(TRUE=ISBLANK(ChemData!R197),"",(ChemData!R197))</f>
        <v>2.2772274947737192</v>
      </c>
      <c r="J197" s="290">
        <f>IF(TRUE=ISBLANK(ChemData!S197),"",(ChemData!S197))</f>
        <v>1</v>
      </c>
      <c r="K197" s="291">
        <f>IF(TRUE=ISBLANK(ChemData!T197),"",(ChemData!T197))</f>
        <v>1</v>
      </c>
      <c r="L197" s="375" t="str">
        <f>IF(Start!$C$16="x",IF(OR(D197="NA",D197=""),"NA", IF(OR($J197 = "NA",J197=""),"NA",(D197*$J197))),"---")</f>
        <v>---</v>
      </c>
      <c r="M197" s="377" t="str">
        <f>IF(Start!$C$16="x",IF(OR(D197="NA",D197=""),"NA", IF(OR($K197 = "NA",K197=""),"NA",(D197*$K197))),"---")</f>
        <v>---</v>
      </c>
      <c r="N197" s="375" t="str">
        <f t="shared" si="8"/>
        <v>---</v>
      </c>
      <c r="O197" s="377" t="str">
        <f t="shared" si="8"/>
        <v>---</v>
      </c>
      <c r="P197" s="461" t="str">
        <f>IF(Start!$C$16="x",(IF(L197 = "NA","NA", (IF(OR($H197 = "NA",H197=""), "NA",(IF(OR(ChemData!U197="NA",ChemData!U197=""),L197/((Data!$D$33+((1-Data!$D$33)*Data!$D$14*$H197))/((1-Data!$D$33)*Data!$D$14*1000)),(IF(L197/((Data!$D$33+((1-Data!$D$33)*Data!$D$14*$H197))/((1-Data!$D$33)*Data!$D$14*1000))&gt;ChemData!U197, ChemData!U197, L197/((Data!$D$33+((1-Data!$D$33)*Data!$D$14*$H197))/((1-Data!$D$33)*Data!$D$14*1000)))))))))),"---")</f>
        <v>---</v>
      </c>
      <c r="Q197" s="376" t="str">
        <f>IF(Start!$C$16="x",IF(OR($F197 = "NA",F197=""), "NA", IF(P197= "NA", "NA",(P197+(Data!$D$30*$F197))/(Data!$D$30+1))),"---")</f>
        <v>---</v>
      </c>
      <c r="R197" s="376" t="str">
        <f>IF(Start!$C$16="x",IF(O197 = "NA","NA", IF(OR($I197 = "NA",I197=""), "NA",(IF(OR(ChemData!U197="NA",ChemData!U197=""),O197/((Data!$D$35+((1-Data!$D$35)*Data!$D$14*$I197))/((1-Data!$D$35)*Data!$D$14*1000)),(IF(O197/((Data!$D$35+((1-Data!$D$35)*Data!$D$14*$I197))/((1-Data!$D$35)*Data!$D$14*1000))&gt;ChemData!U197, ChemData!U197, O197/((Data!$D$35+((1-Data!$D$35)*Data!$D$14*$I197))/((1-Data!$D$35)*Data!$D$14*1000)))))))),"---")</f>
        <v>---</v>
      </c>
      <c r="S197" s="377" t="str">
        <f>IF(Start!$C$16="x",IF(OR($F197 = "NA",F197=""), "NA", IF(R197= "NA", "NA",(R197+(Data!$D$30*$F197))/(Data!$D$30+1))),"---")</f>
        <v>---</v>
      </c>
      <c r="T197" s="343" t="str">
        <f>IF(Start!$C$16="x",IF(AND(D197= "",E197=""),"",IF(Q197="NA","NA",IF(G197="NA","NA",IF(G197=0,"NA",(Q197/G197))))),"Not Req.")</f>
        <v>Not Req.</v>
      </c>
      <c r="U197" s="343" t="str">
        <f>IF(Start!$C$16="x",IF(AND(D197= "",E197=""),"",IF(S197="NA","NA",IF(G197="NA","NA",IF(G197=0,"NA",(S197/G197))))),"Not Req.")</f>
        <v>Not Req.</v>
      </c>
      <c r="V197" s="11"/>
    </row>
    <row r="198" spans="1:22" s="10" customFormat="1" x14ac:dyDescent="0.25">
      <c r="A198" s="307" t="s">
        <v>516</v>
      </c>
      <c r="B198" s="348" t="str">
        <f>IF(Start!$C$16="x",IF(OR(D198 ="NA",E198="NA"),"NA",IF(AND(D198= "",E198=""),"",IF(AND(D198= "",E198&lt;&gt; ""),"Missing Data",                     IF(AND(D198&lt;&gt; "",E198= ""),"Missing Data",(IF(OR(G198="NA",G198=""),"No Criteria",(IF(AND(Q198="NA",D198&lt;&gt;"NA",G198&lt;&gt;"NA"),                                               "Missing Data",(IF(Q198&lt;G198,"No","Needed")))))))))),"---")</f>
        <v>---</v>
      </c>
      <c r="C198" s="350" t="str">
        <f>IF(Start!$C$16="x",IF(OR(D198 ="NA",E198="NA"),"NA",IF(AND(D198= "",E198=""),"",IF(AND(D198= "",E198&lt;&gt; ""),"Missing Data",                     IF(AND(D198&lt;&gt; "",E198= ""),"Missing Data",(IF(OR(G198="NA",G198=""),"No Criteria",(IF(AND(S198="NA",D198&lt;&gt;"NA",G198&lt;&gt;"NA"),                                               "Missing Data",(IF(S198&lt;G198,"No","Needed")))))))))),"---")</f>
        <v>---</v>
      </c>
      <c r="D198" s="372" t="str">
        <f>IF(TRUE=ISBLANK(ChemData!B198),"",(ChemData!B198))</f>
        <v/>
      </c>
      <c r="E198" s="373" t="str">
        <f>IF(TRUE=ISBLANK(ChemData!C198),"",(ChemData!C198))</f>
        <v/>
      </c>
      <c r="F198" s="374" t="str">
        <f>IF(TRUE=ISBLANK(ChemData!D198),"",(ChemData!D198))</f>
        <v/>
      </c>
      <c r="G198" s="289">
        <f>IF(TRUE=ISBLANK(ChemData!I198),"",(ChemData!I198))</f>
        <v>0.17</v>
      </c>
      <c r="H198" s="290">
        <f>IF(TRUE=ISBLANK(ChemData!Q198),"",(ChemData!Q198))</f>
        <v>41.443890000000003</v>
      </c>
      <c r="I198" s="290">
        <f>IF(TRUE=ISBLANK(ChemData!R198),"",(ChemData!R198))</f>
        <v>41.443890000000003</v>
      </c>
      <c r="J198" s="290">
        <f>IF(TRUE=ISBLANK(ChemData!S198),"",(ChemData!S198))</f>
        <v>1</v>
      </c>
      <c r="K198" s="291">
        <f>IF(TRUE=ISBLANK(ChemData!T198),"",(ChemData!T198))</f>
        <v>1</v>
      </c>
      <c r="L198" s="375" t="str">
        <f>IF(Start!$C$16="x",IF(OR(D198="NA",D198=""),"NA", IF(OR($J198 = "NA",J198=""),"NA",(D198*$J198))),"---")</f>
        <v>---</v>
      </c>
      <c r="M198" s="377" t="str">
        <f>IF(Start!$C$16="x",IF(OR(D198="NA",D198=""),"NA", IF(OR($K198 = "NA",K198=""),"NA",(D198*$K198))),"---")</f>
        <v>---</v>
      </c>
      <c r="N198" s="375" t="str">
        <f t="shared" si="8"/>
        <v>---</v>
      </c>
      <c r="O198" s="377" t="str">
        <f t="shared" si="8"/>
        <v>---</v>
      </c>
      <c r="P198" s="461" t="str">
        <f>IF(Start!$C$16="x",(IF(L198 = "NA","NA", (IF(OR($H198 = "NA",H198=""), "NA",(IF(OR(ChemData!U198="NA",ChemData!U198=""),L198/((Data!$D$33+((1-Data!$D$33)*Data!$D$14*$H198))/((1-Data!$D$33)*Data!$D$14*1000)),(IF(L198/((Data!$D$33+((1-Data!$D$33)*Data!$D$14*$H198))/((1-Data!$D$33)*Data!$D$14*1000))&gt;ChemData!U198, ChemData!U198, L198/((Data!$D$33+((1-Data!$D$33)*Data!$D$14*$H198))/((1-Data!$D$33)*Data!$D$14*1000)))))))))),"---")</f>
        <v>---</v>
      </c>
      <c r="Q198" s="376" t="str">
        <f>IF(Start!$C$16="x",IF(OR($F198 = "NA",F198=""), "NA", IF(P198= "NA", "NA",(P198+(Data!$D$30*$F198))/(Data!$D$30+1))),"---")</f>
        <v>---</v>
      </c>
      <c r="R198" s="376" t="str">
        <f>IF(Start!$C$16="x",IF(O198 = "NA","NA", IF(OR($I198 = "NA",I198=""), "NA",(IF(OR(ChemData!U198="NA",ChemData!U198=""),O198/((Data!$D$35+((1-Data!$D$35)*Data!$D$14*$I198))/((1-Data!$D$35)*Data!$D$14*1000)),(IF(O198/((Data!$D$35+((1-Data!$D$35)*Data!$D$14*$I198))/((1-Data!$D$35)*Data!$D$14*1000))&gt;ChemData!U198, ChemData!U198, O198/((Data!$D$35+((1-Data!$D$35)*Data!$D$14*$I198))/((1-Data!$D$35)*Data!$D$14*1000)))))))),"---")</f>
        <v>---</v>
      </c>
      <c r="S198" s="377" t="str">
        <f>IF(Start!$C$16="x",IF(OR($F198 = "NA",F198=""), "NA", IF(R198= "NA", "NA",(R198+(Data!$D$30*$F198))/(Data!$D$30+1))),"---")</f>
        <v>---</v>
      </c>
      <c r="T198" s="343" t="str">
        <f>IF(Start!$C$16="x",IF(AND(D198= "",E198=""),"",IF(Q198="NA","NA",IF(G198="NA","NA",IF(G198=0,"NA",(Q198/G198))))),"Not Req.")</f>
        <v>Not Req.</v>
      </c>
      <c r="U198" s="343" t="str">
        <f>IF(Start!$C$16="x",IF(AND(D198= "",E198=""),"",IF(S198="NA","NA",IF(G198="NA","NA",IF(G198=0,"NA",(S198/G198))))),"Not Req.")</f>
        <v>Not Req.</v>
      </c>
      <c r="V198" s="11"/>
    </row>
    <row r="199" spans="1:22" s="10" customFormat="1" x14ac:dyDescent="0.25">
      <c r="A199" s="307" t="s">
        <v>684</v>
      </c>
      <c r="B199" s="348" t="str">
        <f>IF(Start!$C$16="x",IF(OR(D199 ="NA",E199="NA"),"NA",IF(AND(D199= "",E199=""),"",IF(AND(D199= "",E199&lt;&gt; ""),"Missing Data",                     IF(AND(D199&lt;&gt; "",E199= ""),"Missing Data",(IF(OR(G199="NA",G199=""),"No Criteria",(IF(AND(Q199="NA",D199&lt;&gt;"NA",G199&lt;&gt;"NA"),                                               "Missing Data",(IF(Q199&lt;G199,"No","Needed")))))))))),"---")</f>
        <v>---</v>
      </c>
      <c r="C199" s="350" t="str">
        <f>IF(Start!$C$16="x",IF(OR(D199 ="NA",E199="NA"),"NA",IF(AND(D199= "",E199=""),"",IF(AND(D199= "",E199&lt;&gt; ""),"Missing Data",                     IF(AND(D199&lt;&gt; "",E199= ""),"Missing Data",(IF(OR(G199="NA",G199=""),"No Criteria",(IF(AND(S199="NA",D199&lt;&gt;"NA",G199&lt;&gt;"NA"),                                               "Missing Data",(IF(S199&lt;G199,"No","Needed")))))))))),"---")</f>
        <v>---</v>
      </c>
      <c r="D199" s="372" t="str">
        <f>IF(TRUE=ISBLANK(ChemData!B199),"",(ChemData!B199))</f>
        <v/>
      </c>
      <c r="E199" s="373" t="str">
        <f>IF(TRUE=ISBLANK(ChemData!C199),"",(ChemData!C199))</f>
        <v/>
      </c>
      <c r="F199" s="374" t="str">
        <f>IF(TRUE=ISBLANK(ChemData!D199),"",(ChemData!D199))</f>
        <v/>
      </c>
      <c r="G199" s="289" t="str">
        <f>IF(TRUE=ISBLANK(ChemData!I199),"",(ChemData!I199))</f>
        <v>NA</v>
      </c>
      <c r="H199" s="290">
        <f>IF(TRUE=ISBLANK(ChemData!Q199),"",(ChemData!Q199))</f>
        <v>0.11153377938236365</v>
      </c>
      <c r="I199" s="290">
        <f>IF(TRUE=ISBLANK(ChemData!R199),"",(ChemData!R199))</f>
        <v>0.11153377938236365</v>
      </c>
      <c r="J199" s="290">
        <f>IF(TRUE=ISBLANK(ChemData!S199),"",(ChemData!S199))</f>
        <v>1</v>
      </c>
      <c r="K199" s="291">
        <f>IF(TRUE=ISBLANK(ChemData!T199),"",(ChemData!T199))</f>
        <v>1</v>
      </c>
      <c r="L199" s="375" t="str">
        <f>IF(Start!$C$16="x",IF(OR(D199="NA",D199=""),"NA", IF(OR($J199 = "NA",J199=""),"NA",(D199*$J199))),"---")</f>
        <v>---</v>
      </c>
      <c r="M199" s="377" t="str">
        <f>IF(Start!$C$16="x",IF(OR(D199="NA",D199=""),"NA", IF(OR($K199 = "NA",K199=""),"NA",(D199*$K199))),"---")</f>
        <v>---</v>
      </c>
      <c r="N199" s="375" t="str">
        <f t="shared" si="8"/>
        <v>---</v>
      </c>
      <c r="O199" s="377" t="str">
        <f t="shared" si="8"/>
        <v>---</v>
      </c>
      <c r="P199" s="461" t="str">
        <f>IF(Start!$C$16="x",(IF(L199 = "NA","NA", (IF(OR($H199 = "NA",H199=""), "NA",(IF(OR(ChemData!U199="NA",ChemData!U199=""),L199/((Data!$D$33+((1-Data!$D$33)*Data!$D$14*$H199))/((1-Data!$D$33)*Data!$D$14*1000)),(IF(L199/((Data!$D$33+((1-Data!$D$33)*Data!$D$14*$H199))/((1-Data!$D$33)*Data!$D$14*1000))&gt;ChemData!U199, ChemData!U199, L199/((Data!$D$33+((1-Data!$D$33)*Data!$D$14*$H199))/((1-Data!$D$33)*Data!$D$14*1000)))))))))),"---")</f>
        <v>---</v>
      </c>
      <c r="Q199" s="376" t="str">
        <f>IF(Start!$C$16="x",IF(OR($F199 = "NA",F199=""), "NA", IF(P199= "NA", "NA",(P199+(Data!$D$30*$F199))/(Data!$D$30+1))),"---")</f>
        <v>---</v>
      </c>
      <c r="R199" s="376" t="str">
        <f>IF(Start!$C$16="x",IF(O199 = "NA","NA", IF(OR($I199 = "NA",I199=""), "NA",(IF(OR(ChemData!U199="NA",ChemData!U199=""),O199/((Data!$D$35+((1-Data!$D$35)*Data!$D$14*$I199))/((1-Data!$D$35)*Data!$D$14*1000)),(IF(O199/((Data!$D$35+((1-Data!$D$35)*Data!$D$14*$I199))/((1-Data!$D$35)*Data!$D$14*1000))&gt;ChemData!U199, ChemData!U199, O199/((Data!$D$35+((1-Data!$D$35)*Data!$D$14*$I199))/((1-Data!$D$35)*Data!$D$14*1000)))))))),"---")</f>
        <v>---</v>
      </c>
      <c r="S199" s="377" t="str">
        <f>IF(Start!$C$16="x",IF(OR($F199 = "NA",F199=""), "NA", IF(R199= "NA", "NA",(R199+(Data!$D$30*$F199))/(Data!$D$30+1))),"---")</f>
        <v>---</v>
      </c>
      <c r="T199" s="343" t="str">
        <f>IF(Start!$C$16="x",IF(AND(D199= "",E199=""),"",IF(Q199="NA","NA",IF(G199="NA","NA",IF(G199=0,"NA",(Q199/G199))))),"Not Req.")</f>
        <v>Not Req.</v>
      </c>
      <c r="U199" s="343" t="str">
        <f>IF(Start!$C$16="x",IF(AND(D199= "",E199=""),"",IF(S199="NA","NA",IF(G199="NA","NA",IF(G199=0,"NA",(S199/G199))))),"Not Req.")</f>
        <v>Not Req.</v>
      </c>
      <c r="V199" s="11"/>
    </row>
    <row r="200" spans="1:22" s="10" customFormat="1" x14ac:dyDescent="0.25">
      <c r="A200" s="307" t="s">
        <v>685</v>
      </c>
      <c r="B200" s="348" t="str">
        <f>IF(Start!$C$16="x",IF(OR(D200 ="NA",E200="NA"),"NA",IF(AND(D200= "",E200=""),"",IF(AND(D200= "",E200&lt;&gt; ""),"Missing Data",                     IF(AND(D200&lt;&gt; "",E200= ""),"Missing Data",(IF(OR(G200="NA",G200=""),"No Criteria",(IF(AND(Q200="NA",D200&lt;&gt;"NA",G200&lt;&gt;"NA"),                                               "Missing Data",(IF(Q200&lt;G200,"No","Needed")))))))))),"---")</f>
        <v>---</v>
      </c>
      <c r="C200" s="350" t="str">
        <f>IF(Start!$C$16="x",IF(OR(D200 ="NA",E200="NA"),"NA",IF(AND(D200= "",E200=""),"",IF(AND(D200= "",E200&lt;&gt; ""),"Missing Data",                     IF(AND(D200&lt;&gt; "",E200= ""),"Missing Data",(IF(OR(G200="NA",G200=""),"No Criteria",(IF(AND(S200="NA",D200&lt;&gt;"NA",G200&lt;&gt;"NA"),                                               "Missing Data",(IF(S200&lt;G200,"No","Needed")))))))))),"---")</f>
        <v>---</v>
      </c>
      <c r="D200" s="372" t="str">
        <f>IF(TRUE=ISBLANK(ChemData!B200),"",(ChemData!B200))</f>
        <v/>
      </c>
      <c r="E200" s="373" t="str">
        <f>IF(TRUE=ISBLANK(ChemData!C200),"",(ChemData!C200))</f>
        <v/>
      </c>
      <c r="F200" s="374" t="str">
        <f>IF(TRUE=ISBLANK(ChemData!D200),"",(ChemData!D200))</f>
        <v/>
      </c>
      <c r="G200" s="289">
        <f>IF(TRUE=ISBLANK(ChemData!I200),"",(ChemData!I200))</f>
        <v>1.2999999999999999E-2</v>
      </c>
      <c r="H200" s="290">
        <f>IF(TRUE=ISBLANK(ChemData!Q200),"",(ChemData!Q200))</f>
        <v>99.404585508133763</v>
      </c>
      <c r="I200" s="290">
        <f>IF(TRUE=ISBLANK(ChemData!R200),"",(ChemData!R200))</f>
        <v>99.404585508133763</v>
      </c>
      <c r="J200" s="290">
        <f>IF(TRUE=ISBLANK(ChemData!S200),"",(ChemData!S200))</f>
        <v>1</v>
      </c>
      <c r="K200" s="291">
        <f>IF(TRUE=ISBLANK(ChemData!T200),"",(ChemData!T200))</f>
        <v>1</v>
      </c>
      <c r="L200" s="375" t="str">
        <f>IF(Start!$C$16="x",IF(OR(D200="NA",D200=""),"NA", IF(OR($J200 = "NA",J200=""),"NA",(D200*$J200))),"---")</f>
        <v>---</v>
      </c>
      <c r="M200" s="377" t="str">
        <f>IF(Start!$C$16="x",IF(OR(D200="NA",D200=""),"NA", IF(OR($K200 = "NA",K200=""),"NA",(D200*$K200))),"---")</f>
        <v>---</v>
      </c>
      <c r="N200" s="375" t="str">
        <f t="shared" si="8"/>
        <v>---</v>
      </c>
      <c r="O200" s="377" t="str">
        <f t="shared" si="8"/>
        <v>---</v>
      </c>
      <c r="P200" s="461" t="str">
        <f>IF(Start!$C$16="x",(IF(L200 = "NA","NA", (IF(OR($H200 = "NA",H200=""), "NA",(IF(OR(ChemData!U200="NA",ChemData!U200=""),L200/((Data!$D$33+((1-Data!$D$33)*Data!$D$14*$H200))/((1-Data!$D$33)*Data!$D$14*1000)),(IF(L200/((Data!$D$33+((1-Data!$D$33)*Data!$D$14*$H200))/((1-Data!$D$33)*Data!$D$14*1000))&gt;ChemData!U200, ChemData!U200, L200/((Data!$D$33+((1-Data!$D$33)*Data!$D$14*$H200))/((1-Data!$D$33)*Data!$D$14*1000)))))))))),"---")</f>
        <v>---</v>
      </c>
      <c r="Q200" s="376" t="str">
        <f>IF(Start!$C$16="x",IF(OR($F200 = "NA",F200=""), "NA", IF(P200= "NA", "NA",(P200+(Data!$D$30*$F200))/(Data!$D$30+1))),"---")</f>
        <v>---</v>
      </c>
      <c r="R200" s="376" t="str">
        <f>IF(Start!$C$16="x",IF(O200 = "NA","NA", IF(OR($I200 = "NA",I200=""), "NA",(IF(OR(ChemData!U200="NA",ChemData!U200=""),O200/((Data!$D$35+((1-Data!$D$35)*Data!$D$14*$I200))/((1-Data!$D$35)*Data!$D$14*1000)),(IF(O200/((Data!$D$35+((1-Data!$D$35)*Data!$D$14*$I200))/((1-Data!$D$35)*Data!$D$14*1000))&gt;ChemData!U200, ChemData!U200, O200/((Data!$D$35+((1-Data!$D$35)*Data!$D$14*$I200))/((1-Data!$D$35)*Data!$D$14*1000)))))))),"---")</f>
        <v>---</v>
      </c>
      <c r="S200" s="377" t="str">
        <f>IF(Start!$C$16="x",IF(OR($F200 = "NA",F200=""), "NA", IF(R200= "NA", "NA",(R200+(Data!$D$30*$F200))/(Data!$D$30+1))),"---")</f>
        <v>---</v>
      </c>
      <c r="T200" s="343" t="str">
        <f>IF(Start!$C$16="x",IF(AND(D200= "",E200=""),"",IF(Q200="NA","NA",IF(G200="NA","NA",IF(G200=0,"NA",(Q200/G200))))),"Not Req.")</f>
        <v>Not Req.</v>
      </c>
      <c r="U200" s="343" t="str">
        <f>IF(Start!$C$16="x",IF(AND(D200= "",E200=""),"",IF(S200="NA","NA",IF(G200="NA","NA",IF(G200=0,"NA",(S200/G200))))),"Not Req.")</f>
        <v>Not Req.</v>
      </c>
      <c r="V200" s="11"/>
    </row>
    <row r="201" spans="1:22" s="10" customFormat="1" x14ac:dyDescent="0.25">
      <c r="A201" s="307" t="s">
        <v>519</v>
      </c>
      <c r="B201" s="348" t="str">
        <f>IF(Start!$C$16="x",IF(OR(D201 ="NA",E201="NA"),"NA",IF(AND(D201= "",E201=""),"",IF(AND(D201= "",E201&lt;&gt; ""),"Missing Data",                     IF(AND(D201&lt;&gt; "",E201= ""),"Missing Data",(IF(OR(G201="NA",G201=""),"No Criteria",(IF(AND(Q201="NA",D201&lt;&gt;"NA",G201&lt;&gt;"NA"),                                               "Missing Data",(IF(Q201&lt;G201,"No","Needed")))))))))),"---")</f>
        <v>---</v>
      </c>
      <c r="C201" s="350" t="str">
        <f>IF(Start!$C$16="x",IF(OR(D201 ="NA",E201="NA"),"NA",IF(AND(D201= "",E201=""),"",IF(AND(D201= "",E201&lt;&gt; ""),"Missing Data",                     IF(AND(D201&lt;&gt; "",E201= ""),"Missing Data",(IF(OR(G201="NA",G201=""),"No Criteria",(IF(AND(S201="NA",D201&lt;&gt;"NA",G201&lt;&gt;"NA"),                                               "Missing Data",(IF(S201&lt;G201,"No","Needed")))))))))),"---")</f>
        <v>---</v>
      </c>
      <c r="D201" s="372" t="str">
        <f>IF(TRUE=ISBLANK(ChemData!B201),"",(ChemData!B201))</f>
        <v/>
      </c>
      <c r="E201" s="373" t="str">
        <f>IF(TRUE=ISBLANK(ChemData!C201),"",(ChemData!C201))</f>
        <v/>
      </c>
      <c r="F201" s="374" t="str">
        <f>IF(TRUE=ISBLANK(ChemData!D201),"",(ChemData!D201))</f>
        <v/>
      </c>
      <c r="G201" s="289">
        <f>IF(TRUE=ISBLANK(ChemData!I201),"",(ChemData!I201))</f>
        <v>0.1</v>
      </c>
      <c r="H201" s="290">
        <f>IF(TRUE=ISBLANK(ChemData!Q201),"",(ChemData!Q201))</f>
        <v>13.40930962098807</v>
      </c>
      <c r="I201" s="290">
        <f>IF(TRUE=ISBLANK(ChemData!R201),"",(ChemData!R201))</f>
        <v>13.40930962098807</v>
      </c>
      <c r="J201" s="290">
        <f>IF(TRUE=ISBLANK(ChemData!S201),"",(ChemData!S201))</f>
        <v>1</v>
      </c>
      <c r="K201" s="291">
        <f>IF(TRUE=ISBLANK(ChemData!T201),"",(ChemData!T201))</f>
        <v>1</v>
      </c>
      <c r="L201" s="375" t="str">
        <f>IF(Start!$C$16="x",IF(OR(D201="NA",D201=""),"NA", IF(OR($J201 = "NA",J201=""),"NA",(D201*$J201))),"---")</f>
        <v>---</v>
      </c>
      <c r="M201" s="377" t="str">
        <f>IF(Start!$C$16="x",IF(OR(D201="NA",D201=""),"NA", IF(OR($K201 = "NA",K201=""),"NA",(D201*$K201))),"---")</f>
        <v>---</v>
      </c>
      <c r="N201" s="375" t="str">
        <f t="shared" si="8"/>
        <v>---</v>
      </c>
      <c r="O201" s="377" t="str">
        <f t="shared" si="8"/>
        <v>---</v>
      </c>
      <c r="P201" s="461" t="str">
        <f>IF(Start!$C$16="x",(IF(L201 = "NA","NA", (IF(OR($H201 = "NA",H201=""), "NA",(IF(OR(ChemData!U201="NA",ChemData!U201=""),L201/((Data!$D$33+((1-Data!$D$33)*Data!$D$14*$H201))/((1-Data!$D$33)*Data!$D$14*1000)),(IF(L201/((Data!$D$33+((1-Data!$D$33)*Data!$D$14*$H201))/((1-Data!$D$33)*Data!$D$14*1000))&gt;ChemData!U201, ChemData!U201, L201/((Data!$D$33+((1-Data!$D$33)*Data!$D$14*$H201))/((1-Data!$D$33)*Data!$D$14*1000)))))))))),"---")</f>
        <v>---</v>
      </c>
      <c r="Q201" s="376" t="str">
        <f>IF(Start!$C$16="x",IF(OR($F201 = "NA",F201=""), "NA", IF(P201= "NA", "NA",(P201+(Data!$D$30*$F201))/(Data!$D$30+1))),"---")</f>
        <v>---</v>
      </c>
      <c r="R201" s="376" t="str">
        <f>IF(Start!$C$16="x",IF(O201 = "NA","NA", IF(OR($I201 = "NA",I201=""), "NA",(IF(OR(ChemData!U201="NA",ChemData!U201=""),O201/((Data!$D$35+((1-Data!$D$35)*Data!$D$14*$I201))/((1-Data!$D$35)*Data!$D$14*1000)),(IF(O201/((Data!$D$35+((1-Data!$D$35)*Data!$D$14*$I201))/((1-Data!$D$35)*Data!$D$14*1000))&gt;ChemData!U201, ChemData!U201, O201/((Data!$D$35+((1-Data!$D$35)*Data!$D$14*$I201))/((1-Data!$D$35)*Data!$D$14*1000)))))))),"---")</f>
        <v>---</v>
      </c>
      <c r="S201" s="377" t="str">
        <f>IF(Start!$C$16="x",IF(OR($F201 = "NA",F201=""), "NA", IF(R201= "NA", "NA",(R201+(Data!$D$30*$F201))/(Data!$D$30+1))),"---")</f>
        <v>---</v>
      </c>
      <c r="T201" s="343" t="str">
        <f>IF(Start!$C$16="x",IF(AND(D201= "",E201=""),"",IF(Q201="NA","NA",IF(G201="NA","NA",IF(G201=0,"NA",(Q201/G201))))),"Not Req.")</f>
        <v>Not Req.</v>
      </c>
      <c r="U201" s="343" t="str">
        <f>IF(Start!$C$16="x",IF(AND(D201= "",E201=""),"",IF(S201="NA","NA",IF(G201="NA","NA",IF(G201=0,"NA",(S201/G201))))),"Not Req.")</f>
        <v>Not Req.</v>
      </c>
      <c r="V201" s="11"/>
    </row>
    <row r="202" spans="1:22" s="10" customFormat="1" x14ac:dyDescent="0.25">
      <c r="A202" s="307" t="s">
        <v>520</v>
      </c>
      <c r="B202" s="348" t="str">
        <f>IF(Start!$C$16="x",IF(OR(D202 ="NA",E202="NA"),"NA",IF(AND(D202= "",E202=""),"",IF(AND(D202= "",E202&lt;&gt; ""),"Missing Data",                     IF(AND(D202&lt;&gt; "",E202= ""),"Missing Data",(IF(OR(G202="NA",G202=""),"No Criteria",(IF(AND(Q202="NA",D202&lt;&gt;"NA",G202&lt;&gt;"NA"),                                               "Missing Data",(IF(Q202&lt;G202,"No","Needed")))))))))),"---")</f>
        <v>---</v>
      </c>
      <c r="C202" s="350" t="str">
        <f>IF(Start!$C$16="x",IF(OR(D202 ="NA",E202="NA"),"NA",IF(AND(D202= "",E202=""),"",IF(AND(D202= "",E202&lt;&gt; ""),"Missing Data",                     IF(AND(D202&lt;&gt; "",E202= ""),"Missing Data",(IF(OR(G202="NA",G202=""),"No Criteria",(IF(AND(S202="NA",D202&lt;&gt;"NA",G202&lt;&gt;"NA"),                                               "Missing Data",(IF(S202&lt;G202,"No","Needed")))))))))),"---")</f>
        <v>---</v>
      </c>
      <c r="D202" s="372" t="str">
        <f>IF(TRUE=ISBLANK(ChemData!B202),"",(ChemData!B202))</f>
        <v/>
      </c>
      <c r="E202" s="373" t="str">
        <f>IF(TRUE=ISBLANK(ChemData!C202),"",(ChemData!C202))</f>
        <v/>
      </c>
      <c r="F202" s="374" t="str">
        <f>IF(TRUE=ISBLANK(ChemData!D202),"",(ChemData!D202))</f>
        <v/>
      </c>
      <c r="G202" s="289" t="str">
        <f>IF(TRUE=ISBLANK(ChemData!I202),"",(ChemData!I202))</f>
        <v>NA</v>
      </c>
      <c r="H202" s="290">
        <f>IF(TRUE=ISBLANK(ChemData!Q202),"",(ChemData!Q202))</f>
        <v>11.679020446328376</v>
      </c>
      <c r="I202" s="290">
        <f>IF(TRUE=ISBLANK(ChemData!R202),"",(ChemData!R202))</f>
        <v>11.679020446328376</v>
      </c>
      <c r="J202" s="290">
        <f>IF(TRUE=ISBLANK(ChemData!S202),"",(ChemData!S202))</f>
        <v>1</v>
      </c>
      <c r="K202" s="291">
        <f>IF(TRUE=ISBLANK(ChemData!T202),"",(ChemData!T202))</f>
        <v>1</v>
      </c>
      <c r="L202" s="375" t="str">
        <f>IF(Start!$C$16="x",IF(OR(D202="NA",D202=""),"NA", IF(OR($J202 = "NA",J202=""),"NA",(D202*$J202))),"---")</f>
        <v>---</v>
      </c>
      <c r="M202" s="377" t="str">
        <f>IF(Start!$C$16="x",IF(OR(D202="NA",D202=""),"NA", IF(OR($K202 = "NA",K202=""),"NA",(D202*$K202))),"---")</f>
        <v>---</v>
      </c>
      <c r="N202" s="375" t="str">
        <f t="shared" si="8"/>
        <v>---</v>
      </c>
      <c r="O202" s="377" t="str">
        <f t="shared" si="8"/>
        <v>---</v>
      </c>
      <c r="P202" s="461" t="str">
        <f>IF(Start!$C$16="x",(IF(L202 = "NA","NA", (IF(OR($H202 = "NA",H202=""), "NA",(IF(OR(ChemData!U202="NA",ChemData!U202=""),L202/((Data!$D$33+((1-Data!$D$33)*Data!$D$14*$H202))/((1-Data!$D$33)*Data!$D$14*1000)),(IF(L202/((Data!$D$33+((1-Data!$D$33)*Data!$D$14*$H202))/((1-Data!$D$33)*Data!$D$14*1000))&gt;ChemData!U202, ChemData!U202, L202/((Data!$D$33+((1-Data!$D$33)*Data!$D$14*$H202))/((1-Data!$D$33)*Data!$D$14*1000)))))))))),"---")</f>
        <v>---</v>
      </c>
      <c r="Q202" s="376" t="str">
        <f>IF(Start!$C$16="x",IF(OR($F202 = "NA",F202=""), "NA", IF(P202= "NA", "NA",(P202+(Data!$D$30*$F202))/(Data!$D$30+1))),"---")</f>
        <v>---</v>
      </c>
      <c r="R202" s="376" t="str">
        <f>IF(Start!$C$16="x",IF(O202 = "NA","NA", IF(OR($I202 = "NA",I202=""), "NA",(IF(OR(ChemData!U202="NA",ChemData!U202=""),O202/((Data!$D$35+((1-Data!$D$35)*Data!$D$14*$I202))/((1-Data!$D$35)*Data!$D$14*1000)),(IF(O202/((Data!$D$35+((1-Data!$D$35)*Data!$D$14*$I202))/((1-Data!$D$35)*Data!$D$14*1000))&gt;ChemData!U202, ChemData!U202, O202/((Data!$D$35+((1-Data!$D$35)*Data!$D$14*$I202))/((1-Data!$D$35)*Data!$D$14*1000)))))))),"---")</f>
        <v>---</v>
      </c>
      <c r="S202" s="377" t="str">
        <f>IF(Start!$C$16="x",IF(OR($F202 = "NA",F202=""), "NA", IF(R202= "NA", "NA",(R202+(Data!$D$30*$F202))/(Data!$D$30+1))),"---")</f>
        <v>---</v>
      </c>
      <c r="T202" s="343" t="str">
        <f>IF(Start!$C$16="x",IF(AND(D202= "",E202=""),"",IF(Q202="NA","NA",IF(G202="NA","NA",IF(G202=0,"NA",(Q202/G202))))),"Not Req.")</f>
        <v>Not Req.</v>
      </c>
      <c r="U202" s="343" t="str">
        <f>IF(Start!$C$16="x",IF(AND(D202= "",E202=""),"",IF(S202="NA","NA",IF(G202="NA","NA",IF(G202=0,"NA",(S202/G202))))),"Not Req.")</f>
        <v>Not Req.</v>
      </c>
      <c r="V202" s="11"/>
    </row>
    <row r="203" spans="1:22" s="10" customFormat="1" ht="13.8" thickBot="1" x14ac:dyDescent="0.3">
      <c r="A203" s="403" t="s">
        <v>521</v>
      </c>
      <c r="B203" s="348" t="str">
        <f>IF(Start!$C$16="x",IF(OR(D203 ="NA",E203="NA"),"NA",IF(AND(D203= "",E203=""),"",IF(AND(D203= "",E203&lt;&gt; ""),"Missing Data",                     IF(AND(D203&lt;&gt; "",E203= ""),"Missing Data",(IF(OR(G203="NA",G203=""),"No Criteria",(IF(AND(Q203="NA",D203&lt;&gt;"NA",G203&lt;&gt;"NA"),                                               "Missing Data",(IF(Q203&lt;G203,"No","Needed")))))))))),"---")</f>
        <v>---</v>
      </c>
      <c r="C203" s="350" t="str">
        <f>IF(Start!$C$16="x",IF(OR(D203 ="NA",E203="NA"),"NA",IF(AND(D203= "",E203=""),"",IF(AND(D203= "",E203&lt;&gt; ""),"Missing Data",                     IF(AND(D203&lt;&gt; "",E203= ""),"Missing Data",(IF(OR(G203="NA",G203=""),"No Criteria",(IF(AND(S203="NA",D203&lt;&gt;"NA",G203&lt;&gt;"NA"),                                               "Missing Data",(IF(S203&lt;G203,"No","Needed")))))))))),"---")</f>
        <v>---</v>
      </c>
      <c r="D203" s="372" t="str">
        <f>IF(TRUE=ISBLANK(ChemData!B203),"",(ChemData!B203))</f>
        <v/>
      </c>
      <c r="E203" s="373" t="str">
        <f>IF(TRUE=ISBLANK(ChemData!C203),"",(ChemData!C203))</f>
        <v/>
      </c>
      <c r="F203" s="374" t="str">
        <f>IF(TRUE=ISBLANK(ChemData!D203),"",(ChemData!D203))</f>
        <v/>
      </c>
      <c r="G203" s="289" t="str">
        <f>IF(TRUE=ISBLANK(ChemData!I203),"",(ChemData!I203))</f>
        <v>NA</v>
      </c>
      <c r="H203" s="290">
        <f>IF(TRUE=ISBLANK(ChemData!Q203),"",(ChemData!Q203))</f>
        <v>119.51907</v>
      </c>
      <c r="I203" s="290">
        <f>IF(TRUE=ISBLANK(ChemData!R203),"",(ChemData!R203))</f>
        <v>119.51907</v>
      </c>
      <c r="J203" s="290">
        <f>IF(TRUE=ISBLANK(ChemData!S203),"",(ChemData!S203))</f>
        <v>1</v>
      </c>
      <c r="K203" s="291">
        <f>IF(TRUE=ISBLANK(ChemData!T203),"",(ChemData!T203))</f>
        <v>1</v>
      </c>
      <c r="L203" s="375" t="str">
        <f>IF(Start!$C$16="x",IF(OR(D203="NA",D203=""),"NA", IF(OR($J203 = "NA",J203=""),"NA",(D203*$J203))),"---")</f>
        <v>---</v>
      </c>
      <c r="M203" s="377" t="str">
        <f>IF(Start!$C$16="x",IF(OR(D203="NA",D203=""),"NA", IF(OR($K203 = "NA",K203=""),"NA",(D203*$K203))),"---")</f>
        <v>---</v>
      </c>
      <c r="N203" s="375" t="str">
        <f t="shared" si="8"/>
        <v>---</v>
      </c>
      <c r="O203" s="377" t="str">
        <f t="shared" si="8"/>
        <v>---</v>
      </c>
      <c r="P203" s="461" t="str">
        <f>IF(Start!$C$16="x",(IF(L203 = "NA","NA", (IF(OR($H203 = "NA",H203=""), "NA",(IF(OR(ChemData!U203="NA",ChemData!U203=""),L203/((Data!$D$33+((1-Data!$D$33)*Data!$D$14*$H203))/((1-Data!$D$33)*Data!$D$14*1000)),(IF(L203/((Data!$D$33+((1-Data!$D$33)*Data!$D$14*$H203))/((1-Data!$D$33)*Data!$D$14*1000))&gt;ChemData!U203, ChemData!U203, L203/((Data!$D$33+((1-Data!$D$33)*Data!$D$14*$H203))/((1-Data!$D$33)*Data!$D$14*1000)))))))))),"---")</f>
        <v>---</v>
      </c>
      <c r="Q203" s="376" t="str">
        <f>IF(Start!$C$16="x",IF(OR($F203 = "NA",F203=""), "NA", IF(P203= "NA", "NA",(P203+(Data!$D$30*$F203))/(Data!$D$30+1))),"---")</f>
        <v>---</v>
      </c>
      <c r="R203" s="376" t="str">
        <f>IF(Start!$C$16="x",IF(O203 = "NA","NA", IF(OR($I203 = "NA",I203=""), "NA",(IF(OR(ChemData!U203="NA",ChemData!U203=""),O203/((Data!$D$35+((1-Data!$D$35)*Data!$D$14*$I203))/((1-Data!$D$35)*Data!$D$14*1000)),(IF(O203/((Data!$D$35+((1-Data!$D$35)*Data!$D$14*$I203))/((1-Data!$D$35)*Data!$D$14*1000))&gt;ChemData!U203, ChemData!U203, O203/((Data!$D$35+((1-Data!$D$35)*Data!$D$14*$I203))/((1-Data!$D$35)*Data!$D$14*1000)))))))),"---")</f>
        <v>---</v>
      </c>
      <c r="S203" s="377" t="str">
        <f>IF(Start!$C$16="x",IF(OR($F203 = "NA",F203=""), "NA", IF(R203= "NA", "NA",(R203+(Data!$D$30*$F203))/(Data!$D$30+1))),"---")</f>
        <v>---</v>
      </c>
      <c r="T203" s="343" t="str">
        <f>IF(Start!$C$16="x",IF(AND(D203= "",E203=""),"",IF(Q203="NA","NA",IF(G203="NA","NA",IF(G203=0,"NA",(Q203/G203))))),"Not Req.")</f>
        <v>Not Req.</v>
      </c>
      <c r="U203" s="343" t="str">
        <f>IF(Start!$C$16="x",IF(AND(D203= "",E203=""),"",IF(S203="NA","NA",IF(G203="NA","NA",IF(G203=0,"NA",(S203/G203))))),"Not Req.")</f>
        <v>Not Req.</v>
      </c>
      <c r="V203" s="11"/>
    </row>
    <row r="204" spans="1:22" s="10" customFormat="1" x14ac:dyDescent="0.25">
      <c r="A204" s="524" t="s">
        <v>522</v>
      </c>
      <c r="B204" s="525"/>
      <c r="C204" s="526"/>
      <c r="D204" s="508"/>
      <c r="E204" s="509"/>
      <c r="F204" s="510"/>
      <c r="G204" s="511"/>
      <c r="H204" s="512"/>
      <c r="I204" s="512"/>
      <c r="J204" s="512"/>
      <c r="K204" s="513"/>
      <c r="L204" s="511"/>
      <c r="M204" s="513"/>
      <c r="N204" s="511"/>
      <c r="O204" s="513"/>
      <c r="P204" s="512"/>
      <c r="Q204" s="512"/>
      <c r="R204" s="512"/>
      <c r="S204" s="513"/>
      <c r="T204" s="511"/>
      <c r="U204" s="527"/>
      <c r="V204" s="11"/>
    </row>
    <row r="205" spans="1:22" s="10" customFormat="1" x14ac:dyDescent="0.25">
      <c r="A205" s="307" t="s">
        <v>523</v>
      </c>
      <c r="B205" s="348" t="str">
        <f>IF(Start!$C$16="x",IF(OR(D205 ="NA",E205="NA"),"NA",IF(AND(D205= "",E205=""),"",IF(AND(D205= "",E205&lt;&gt; ""),"Missing Data",                     IF(AND(D205&lt;&gt; "",E205= ""),"Missing Data",(IF(OR(G205="NA",G205=""),"No Criteria",(IF(AND(Q205="NA",D205&lt;&gt;"NA",G205&lt;&gt;"NA"),                                               "Missing Data",(IF(Q205&lt;G205,"No","Needed")))))))))),"---")</f>
        <v>---</v>
      </c>
      <c r="C205" s="350" t="str">
        <f>IF(Start!$C$16="x",IF(OR(D205 ="NA",E205="NA"),"NA",IF(AND(D205= "",E205=""),"",IF(AND(D205= "",E205&lt;&gt; ""),"Missing Data",                     IF(AND(D205&lt;&gt; "",E205= ""),"Missing Data",(IF(OR(G205="NA",G205=""),"No Criteria",(IF(AND(S205="NA",D205&lt;&gt;"NA",G205&lt;&gt;"NA"),                                               "Missing Data",(IF(S205&lt;G205,"No","Needed")))))))))),"---")</f>
        <v>---</v>
      </c>
      <c r="D205" s="372" t="str">
        <f>IF(TRUE=ISBLANK(ChemData!B205),"",(ChemData!B205))</f>
        <v/>
      </c>
      <c r="E205" s="373" t="str">
        <f>IF(TRUE=ISBLANK(ChemData!C205),"",(ChemData!C205))</f>
        <v/>
      </c>
      <c r="F205" s="374" t="str">
        <f>IF(TRUE=ISBLANK(ChemData!D205),"",(ChemData!D205))</f>
        <v/>
      </c>
      <c r="G205" s="289" t="str">
        <f>IF(TRUE=ISBLANK(ChemData!I205),"",(ChemData!I205))</f>
        <v>NA</v>
      </c>
      <c r="H205" s="290">
        <f>IF(TRUE=ISBLANK(ChemData!Q205),"",(ChemData!Q205))</f>
        <v>3693.2305450073991</v>
      </c>
      <c r="I205" s="290">
        <f>IF(TRUE=ISBLANK(ChemData!R205),"",(ChemData!R205))</f>
        <v>3693.2305450073991</v>
      </c>
      <c r="J205" s="290">
        <f>IF(TRUE=ISBLANK(ChemData!S205),"",(ChemData!S205))</f>
        <v>1</v>
      </c>
      <c r="K205" s="291">
        <f>IF(TRUE=ISBLANK(ChemData!T205),"",(ChemData!T205))</f>
        <v>1</v>
      </c>
      <c r="L205" s="375" t="str">
        <f>IF(Start!$C$16="x",IF(OR(D205="NA",D205=""),"NA", IF(OR($J205 = "NA",J205=""),"NA",(D205*$J205))),"---")</f>
        <v>---</v>
      </c>
      <c r="M205" s="377" t="str">
        <f>IF(Start!$C$16="x",IF(OR(D205="NA",D205=""),"NA", IF(OR($K205 = "NA",K205=""),"NA",(D205*$K205))),"---")</f>
        <v>---</v>
      </c>
      <c r="N205" s="375" t="str">
        <f t="shared" ref="N205:O244" si="9">L205</f>
        <v>---</v>
      </c>
      <c r="O205" s="377" t="str">
        <f t="shared" si="9"/>
        <v>---</v>
      </c>
      <c r="P205" s="461" t="str">
        <f>IF(Start!$C$16="x",(IF(L205 = "NA","NA", (IF(OR($H205 = "NA",H205=""), "NA",(IF(OR(ChemData!U205="NA",ChemData!U205=""),L205/((Data!$D$33+((1-Data!$D$33)*Data!$D$14*$H205))/((1-Data!$D$33)*Data!$D$14*1000)),(IF(L205/((Data!$D$33+((1-Data!$D$33)*Data!$D$14*$H205))/((1-Data!$D$33)*Data!$D$14*1000))&gt;ChemData!U205, ChemData!U205, L205/((Data!$D$33+((1-Data!$D$33)*Data!$D$14*$H205))/((1-Data!$D$33)*Data!$D$14*1000)))))))))),"---")</f>
        <v>---</v>
      </c>
      <c r="Q205" s="376" t="str">
        <f>IF(Start!$C$16="x",IF(OR($F205 = "NA",F205=""), "NA", IF(P205= "NA", "NA",(P205+(Data!$D$30*$F205))/(Data!$D$30+1))),"---")</f>
        <v>---</v>
      </c>
      <c r="R205" s="376" t="str">
        <f>IF(Start!$C$16="x",IF(O205 = "NA","NA", IF(OR($I205 = "NA",I205=""), "NA",(IF(OR(ChemData!U205="NA",ChemData!U205=""),O205/((Data!$D$35+((1-Data!$D$35)*Data!$D$14*$I205))/((1-Data!$D$35)*Data!$D$14*1000)),(IF(O205/((Data!$D$35+((1-Data!$D$35)*Data!$D$14*$I205))/((1-Data!$D$35)*Data!$D$14*1000))&gt;ChemData!U205, ChemData!U205, O205/((Data!$D$35+((1-Data!$D$35)*Data!$D$14*$I205))/((1-Data!$D$35)*Data!$D$14*1000)))))))),"---")</f>
        <v>---</v>
      </c>
      <c r="S205" s="377" t="str">
        <f>IF(Start!$C$16="x",IF(OR($F205 = "NA",F205=""), "NA", IF(R205= "NA", "NA",(R205+(Data!$D$30*$F205))/(Data!$D$30+1))),"---")</f>
        <v>---</v>
      </c>
      <c r="T205" s="343" t="str">
        <f>IF(Start!$C$16="x",IF(AND(D205= "",E205=""),"",IF(Q205="NA","NA",IF(G205="NA","NA",IF(G205=0,"NA",(Q205/G205))))),"Not Req.")</f>
        <v>Not Req.</v>
      </c>
      <c r="U205" s="343" t="str">
        <f>IF(Start!$C$16="x",IF(AND(D205= "",E205=""),"",IF(S205="NA","NA",IF(G205="NA","NA",IF(G205=0,"NA",(S205/G205))))),"Not Req.")</f>
        <v>Not Req.</v>
      </c>
      <c r="V205" s="11"/>
    </row>
    <row r="206" spans="1:22" s="10" customFormat="1" x14ac:dyDescent="0.25">
      <c r="A206" s="307" t="s">
        <v>524</v>
      </c>
      <c r="B206" s="348" t="str">
        <f>IF(Start!$C$16="x",IF(OR(D206 ="NA",E206="NA"),"NA",IF(AND(D206= "",E206=""),"",IF(AND(D206= "",E206&lt;&gt; ""),"Missing Data",                     IF(AND(D206&lt;&gt; "",E206= ""),"Missing Data",(IF(OR(G206="NA",G206=""),"No Criteria",(IF(AND(Q206="NA",D206&lt;&gt;"NA",G206&lt;&gt;"NA"),                                               "Missing Data",(IF(Q206&lt;G206,"No","Needed")))))))))),"---")</f>
        <v>---</v>
      </c>
      <c r="C206" s="350" t="str">
        <f>IF(Start!$C$16="x",IF(OR(D206 ="NA",E206="NA"),"NA",IF(AND(D206= "",E206=""),"",IF(AND(D206= "",E206&lt;&gt; ""),"Missing Data",                     IF(AND(D206&lt;&gt; "",E206= ""),"Missing Data",(IF(OR(G206="NA",G206=""),"No Criteria",(IF(AND(S206="NA",D206&lt;&gt;"NA",G206&lt;&gt;"NA"),                                               "Missing Data",(IF(S206&lt;G206,"No","Needed")))))))))),"---")</f>
        <v>---</v>
      </c>
      <c r="D206" s="372" t="str">
        <f>IF(TRUE=ISBLANK(ChemData!B206),"",(ChemData!B206))</f>
        <v/>
      </c>
      <c r="E206" s="373" t="str">
        <f>IF(TRUE=ISBLANK(ChemData!C206),"",(ChemData!C206))</f>
        <v/>
      </c>
      <c r="F206" s="374" t="str">
        <f>IF(TRUE=ISBLANK(ChemData!D206),"",(ChemData!D206))</f>
        <v/>
      </c>
      <c r="G206" s="289" t="str">
        <f>IF(TRUE=ISBLANK(ChemData!I206),"",(ChemData!I206))</f>
        <v>NA</v>
      </c>
      <c r="H206" s="290">
        <f>IF(TRUE=ISBLANK(ChemData!Q206),"",(ChemData!Q206))</f>
        <v>10.408937929273366</v>
      </c>
      <c r="I206" s="290">
        <f>IF(TRUE=ISBLANK(ChemData!R206),"",(ChemData!R206))</f>
        <v>10.408937929273366</v>
      </c>
      <c r="J206" s="290">
        <f>IF(TRUE=ISBLANK(ChemData!S206),"",(ChemData!S206))</f>
        <v>1</v>
      </c>
      <c r="K206" s="291">
        <f>IF(TRUE=ISBLANK(ChemData!T206),"",(ChemData!T206))</f>
        <v>1</v>
      </c>
      <c r="L206" s="375" t="str">
        <f>IF(Start!$C$16="x",IF(OR(D206="NA",D206=""),"NA", IF(OR($J206 = "NA",J206=""),"NA",(D206*$J206))),"---")</f>
        <v>---</v>
      </c>
      <c r="M206" s="377" t="str">
        <f>IF(Start!$C$16="x",IF(OR(D206="NA",D206=""),"NA", IF(OR($K206 = "NA",K206=""),"NA",(D206*$K206))),"---")</f>
        <v>---</v>
      </c>
      <c r="N206" s="375" t="str">
        <f t="shared" si="9"/>
        <v>---</v>
      </c>
      <c r="O206" s="377" t="str">
        <f t="shared" si="9"/>
        <v>---</v>
      </c>
      <c r="P206" s="461" t="str">
        <f>IF(Start!$C$16="x",(IF(L206 = "NA","NA", (IF(OR($H206 = "NA",H206=""), "NA",(IF(OR(ChemData!U206="NA",ChemData!U206=""),L206/((Data!$D$33+((1-Data!$D$33)*Data!$D$14*$H206))/((1-Data!$D$33)*Data!$D$14*1000)),(IF(L206/((Data!$D$33+((1-Data!$D$33)*Data!$D$14*$H206))/((1-Data!$D$33)*Data!$D$14*1000))&gt;ChemData!U206, ChemData!U206, L206/((Data!$D$33+((1-Data!$D$33)*Data!$D$14*$H206))/((1-Data!$D$33)*Data!$D$14*1000)))))))))),"---")</f>
        <v>---</v>
      </c>
      <c r="Q206" s="376" t="str">
        <f>IF(Start!$C$16="x",IF(OR($F206 = "NA",F206=""), "NA", IF(P206= "NA", "NA",(P206+(Data!$D$30*$F206))/(Data!$D$30+1))),"---")</f>
        <v>---</v>
      </c>
      <c r="R206" s="376" t="str">
        <f>IF(Start!$C$16="x",IF(O206 = "NA","NA", IF(OR($I206 = "NA",I206=""), "NA",(IF(OR(ChemData!U206="NA",ChemData!U206=""),O206/((Data!$D$35+((1-Data!$D$35)*Data!$D$14*$I206))/((1-Data!$D$35)*Data!$D$14*1000)),(IF(O206/((Data!$D$35+((1-Data!$D$35)*Data!$D$14*$I206))/((1-Data!$D$35)*Data!$D$14*1000))&gt;ChemData!U206, ChemData!U206, O206/((Data!$D$35+((1-Data!$D$35)*Data!$D$14*$I206))/((1-Data!$D$35)*Data!$D$14*1000)))))))),"---")</f>
        <v>---</v>
      </c>
      <c r="S206" s="377" t="str">
        <f>IF(Start!$C$16="x",IF(OR($F206 = "NA",F206=""), "NA", IF(R206= "NA", "NA",(R206+(Data!$D$30*$F206))/(Data!$D$30+1))),"---")</f>
        <v>---</v>
      </c>
      <c r="T206" s="343" t="str">
        <f>IF(Start!$C$16="x",IF(AND(D206= "",E206=""),"",IF(Q206="NA","NA",IF(G206="NA","NA",IF(G206=0,"NA",(Q206/G206))))),"Not Req.")</f>
        <v>Not Req.</v>
      </c>
      <c r="U206" s="343" t="str">
        <f>IF(Start!$C$16="x",IF(AND(D206= "",E206=""),"",IF(S206="NA","NA",IF(G206="NA","NA",IF(G206=0,"NA",(S206/G206))))),"Not Req.")</f>
        <v>Not Req.</v>
      </c>
      <c r="V206" s="11"/>
    </row>
    <row r="207" spans="1:22" s="10" customFormat="1" x14ac:dyDescent="0.25">
      <c r="A207" s="307" t="s">
        <v>525</v>
      </c>
      <c r="B207" s="348" t="str">
        <f>IF(Start!$C$16="x",IF(OR(D207 ="NA",E207="NA"),"NA",IF(AND(D207= "",E207=""),"",IF(AND(D207= "",E207&lt;&gt; ""),"Missing Data",                     IF(AND(D207&lt;&gt; "",E207= ""),"Missing Data",(IF(OR(G207="NA",G207=""),"No Criteria",(IF(AND(Q207="NA",D207&lt;&gt;"NA",G207&lt;&gt;"NA"),                                               "Missing Data",(IF(Q207&lt;G207,"No","Needed")))))))))),"---")</f>
        <v>---</v>
      </c>
      <c r="C207" s="350" t="str">
        <f>IF(Start!$C$16="x",IF(OR(D207 ="NA",E207="NA"),"NA",IF(AND(D207= "",E207=""),"",IF(AND(D207= "",E207&lt;&gt; ""),"Missing Data",                     IF(AND(D207&lt;&gt; "",E207= ""),"Missing Data",(IF(OR(G207="NA",G207=""),"No Criteria",(IF(AND(S207="NA",D207&lt;&gt;"NA",G207&lt;&gt;"NA"),                                               "Missing Data",(IF(S207&lt;G207,"No","Needed")))))))))),"---")</f>
        <v>---</v>
      </c>
      <c r="D207" s="372" t="str">
        <f>IF(TRUE=ISBLANK(ChemData!B207),"",(ChemData!B207))</f>
        <v/>
      </c>
      <c r="E207" s="373" t="str">
        <f>IF(TRUE=ISBLANK(ChemData!C207),"",(ChemData!C207))</f>
        <v/>
      </c>
      <c r="F207" s="374" t="str">
        <f>IF(TRUE=ISBLANK(ChemData!D207),"",(ChemData!D207))</f>
        <v/>
      </c>
      <c r="G207" s="289">
        <f>IF(TRUE=ISBLANK(ChemData!I207),"",(ChemData!I207))</f>
        <v>2.2000000000000002</v>
      </c>
      <c r="H207" s="290">
        <f>IF(TRUE=ISBLANK(ChemData!Q207),"",(ChemData!Q207))</f>
        <v>116.79020446328389</v>
      </c>
      <c r="I207" s="290">
        <f>IF(TRUE=ISBLANK(ChemData!R207),"",(ChemData!R207))</f>
        <v>116.79020446328389</v>
      </c>
      <c r="J207" s="290">
        <f>IF(TRUE=ISBLANK(ChemData!S207),"",(ChemData!S207))</f>
        <v>1</v>
      </c>
      <c r="K207" s="291">
        <f>IF(TRUE=ISBLANK(ChemData!T207),"",(ChemData!T207))</f>
        <v>1</v>
      </c>
      <c r="L207" s="375" t="str">
        <f>IF(Start!$C$16="x",IF(OR(D207="NA",D207=""),"NA", IF(OR($J207 = "NA",J207=""),"NA",(D207*$J207))),"---")</f>
        <v>---</v>
      </c>
      <c r="M207" s="377" t="str">
        <f>IF(Start!$C$16="x",IF(OR(D207="NA",D207=""),"NA", IF(OR($K207 = "NA",K207=""),"NA",(D207*$K207))),"---")</f>
        <v>---</v>
      </c>
      <c r="N207" s="375" t="str">
        <f t="shared" si="9"/>
        <v>---</v>
      </c>
      <c r="O207" s="377" t="str">
        <f t="shared" si="9"/>
        <v>---</v>
      </c>
      <c r="P207" s="461" t="str">
        <f>IF(Start!$C$16="x",(IF(L207 = "NA","NA", (IF(OR($H207 = "NA",H207=""), "NA",(IF(OR(ChemData!U207="NA",ChemData!U207=""),L207/((Data!$D$33+((1-Data!$D$33)*Data!$D$14*$H207))/((1-Data!$D$33)*Data!$D$14*1000)),(IF(L207/((Data!$D$33+((1-Data!$D$33)*Data!$D$14*$H207))/((1-Data!$D$33)*Data!$D$14*1000))&gt;ChemData!U207, ChemData!U207, L207/((Data!$D$33+((1-Data!$D$33)*Data!$D$14*$H207))/((1-Data!$D$33)*Data!$D$14*1000)))))))))),"---")</f>
        <v>---</v>
      </c>
      <c r="Q207" s="376" t="str">
        <f>IF(Start!$C$16="x",IF(OR($F207 = "NA",F207=""), "NA", IF(P207= "NA", "NA",(P207+(Data!$D$30*$F207))/(Data!$D$30+1))),"---")</f>
        <v>---</v>
      </c>
      <c r="R207" s="376" t="str">
        <f>IF(Start!$C$16="x",IF(O207 = "NA","NA", IF(OR($I207 = "NA",I207=""), "NA",(IF(OR(ChemData!U207="NA",ChemData!U207=""),O207/((Data!$D$35+((1-Data!$D$35)*Data!$D$14*$I207))/((1-Data!$D$35)*Data!$D$14*1000)),(IF(O207/((Data!$D$35+((1-Data!$D$35)*Data!$D$14*$I207))/((1-Data!$D$35)*Data!$D$14*1000))&gt;ChemData!U207, ChemData!U207, O207/((Data!$D$35+((1-Data!$D$35)*Data!$D$14*$I207))/((1-Data!$D$35)*Data!$D$14*1000)))))))),"---")</f>
        <v>---</v>
      </c>
      <c r="S207" s="377" t="str">
        <f>IF(Start!$C$16="x",IF(OR($F207 = "NA",F207=""), "NA", IF(R207= "NA", "NA",(R207+(Data!$D$30*$F207))/(Data!$D$30+1))),"---")</f>
        <v>---</v>
      </c>
      <c r="T207" s="343" t="str">
        <f>IF(Start!$C$16="x",IF(AND(D207= "",E207=""),"",IF(Q207="NA","NA",IF(G207="NA","NA",IF(G207=0,"NA",(Q207/G207))))),"Not Req.")</f>
        <v>Not Req.</v>
      </c>
      <c r="U207" s="343" t="str">
        <f>IF(Start!$C$16="x",IF(AND(D207= "",E207=""),"",IF(S207="NA","NA",IF(G207="NA","NA",IF(G207=0,"NA",(S207/G207))))),"Not Req.")</f>
        <v>Not Req.</v>
      </c>
      <c r="V207" s="11"/>
    </row>
    <row r="208" spans="1:22" s="10" customFormat="1" x14ac:dyDescent="0.25">
      <c r="A208" s="307" t="s">
        <v>526</v>
      </c>
      <c r="B208" s="348" t="str">
        <f>IF(Start!$C$16="x",IF(OR(D208 ="NA",E208="NA"),"NA",IF(AND(D208= "",E208=""),"",IF(AND(D208= "",E208&lt;&gt; ""),"Missing Data",                     IF(AND(D208&lt;&gt; "",E208= ""),"Missing Data",(IF(OR(G208="NA",G208=""),"No Criteria",(IF(AND(Q208="NA",D208&lt;&gt;"NA",G208&lt;&gt;"NA"),                                               "Missing Data",(IF(Q208&lt;G208,"No","Needed")))))))))),"---")</f>
        <v>---</v>
      </c>
      <c r="C208" s="350" t="str">
        <f>IF(Start!$C$16="x",IF(OR(D208 ="NA",E208="NA"),"NA",IF(AND(D208= "",E208=""),"",IF(AND(D208= "",E208&lt;&gt; ""),"Missing Data",                     IF(AND(D208&lt;&gt; "",E208= ""),"Missing Data",(IF(OR(G208="NA",G208=""),"No Criteria",(IF(AND(S208="NA",D208&lt;&gt;"NA",G208&lt;&gt;"NA"),                                               "Missing Data",(IF(S208&lt;G208,"No","Needed")))))))))),"---")</f>
        <v>---</v>
      </c>
      <c r="D208" s="372" t="str">
        <f>IF(TRUE=ISBLANK(ChemData!B208),"",(ChemData!B208))</f>
        <v/>
      </c>
      <c r="E208" s="373" t="str">
        <f>IF(TRUE=ISBLANK(ChemData!C208),"",(ChemData!C208))</f>
        <v/>
      </c>
      <c r="F208" s="374" t="str">
        <f>IF(TRUE=ISBLANK(ChemData!D208),"",(ChemData!D208))</f>
        <v/>
      </c>
      <c r="G208" s="289">
        <f>IF(TRUE=ISBLANK(ChemData!I208),"",(ChemData!I208))</f>
        <v>2.2000000000000002</v>
      </c>
      <c r="H208" s="290">
        <f>IF(TRUE=ISBLANK(ChemData!Q208),"",(ChemData!Q208))</f>
        <v>116.79020446328389</v>
      </c>
      <c r="I208" s="290">
        <f>IF(TRUE=ISBLANK(ChemData!R208),"",(ChemData!R208))</f>
        <v>116.79020446328389</v>
      </c>
      <c r="J208" s="290">
        <f>IF(TRUE=ISBLANK(ChemData!S208),"",(ChemData!S208))</f>
        <v>1</v>
      </c>
      <c r="K208" s="291">
        <f>IF(TRUE=ISBLANK(ChemData!T208),"",(ChemData!T208))</f>
        <v>1</v>
      </c>
      <c r="L208" s="375" t="str">
        <f>IF(Start!$C$16="x",IF(OR(D208="NA",D208=""),"NA", IF(OR($J208 = "NA",J208=""),"NA",(D208*$J208))),"---")</f>
        <v>---</v>
      </c>
      <c r="M208" s="377" t="str">
        <f>IF(Start!$C$16="x",IF(OR(D208="NA",D208=""),"NA", IF(OR($K208 = "NA",K208=""),"NA",(D208*$K208))),"---")</f>
        <v>---</v>
      </c>
      <c r="N208" s="375" t="str">
        <f t="shared" si="9"/>
        <v>---</v>
      </c>
      <c r="O208" s="377" t="str">
        <f t="shared" si="9"/>
        <v>---</v>
      </c>
      <c r="P208" s="461" t="str">
        <f>IF(Start!$C$16="x",(IF(L208 = "NA","NA", (IF(OR($H208 = "NA",H208=""), "NA",(IF(OR(ChemData!U208="NA",ChemData!U208=""),L208/((Data!$D$33+((1-Data!$D$33)*Data!$D$14*$H208))/((1-Data!$D$33)*Data!$D$14*1000)),(IF(L208/((Data!$D$33+((1-Data!$D$33)*Data!$D$14*$H208))/((1-Data!$D$33)*Data!$D$14*1000))&gt;ChemData!U208, ChemData!U208, L208/((Data!$D$33+((1-Data!$D$33)*Data!$D$14*$H208))/((1-Data!$D$33)*Data!$D$14*1000)))))))))),"---")</f>
        <v>---</v>
      </c>
      <c r="Q208" s="376" t="str">
        <f>IF(Start!$C$16="x",IF(OR($F208 = "NA",F208=""), "NA", IF(P208= "NA", "NA",(P208+(Data!$D$30*$F208))/(Data!$D$30+1))),"---")</f>
        <v>---</v>
      </c>
      <c r="R208" s="376" t="str">
        <f>IF(Start!$C$16="x",IF(O208 = "NA","NA", IF(OR($I208 = "NA",I208=""), "NA",(IF(OR(ChemData!U208="NA",ChemData!U208=""),O208/((Data!$D$35+((1-Data!$D$35)*Data!$D$14*$I208))/((1-Data!$D$35)*Data!$D$14*1000)),(IF(O208/((Data!$D$35+((1-Data!$D$35)*Data!$D$14*$I208))/((1-Data!$D$35)*Data!$D$14*1000))&gt;ChemData!U208, ChemData!U208, O208/((Data!$D$35+((1-Data!$D$35)*Data!$D$14*$I208))/((1-Data!$D$35)*Data!$D$14*1000)))))))),"---")</f>
        <v>---</v>
      </c>
      <c r="S208" s="377" t="str">
        <f>IF(Start!$C$16="x",IF(OR($F208 = "NA",F208=""), "NA", IF(R208= "NA", "NA",(R208+(Data!$D$30*$F208))/(Data!$D$30+1))),"---")</f>
        <v>---</v>
      </c>
      <c r="T208" s="343" t="str">
        <f>IF(Start!$C$16="x",IF(AND(D208= "",E208=""),"",IF(Q208="NA","NA",IF(G208="NA","NA",IF(G208=0,"NA",(Q208/G208))))),"Not Req.")</f>
        <v>Not Req.</v>
      </c>
      <c r="U208" s="343" t="str">
        <f>IF(Start!$C$16="x",IF(AND(D208= "",E208=""),"",IF(S208="NA","NA",IF(G208="NA","NA",IF(G208=0,"NA",(S208/G208))))),"Not Req.")</f>
        <v>Not Req.</v>
      </c>
      <c r="V208" s="11"/>
    </row>
    <row r="209" spans="1:22" s="10" customFormat="1" x14ac:dyDescent="0.25">
      <c r="A209" s="307" t="s">
        <v>527</v>
      </c>
      <c r="B209" s="348" t="str">
        <f>IF(Start!$C$16="x",IF(OR(D209 ="NA",E209="NA"),"NA",IF(AND(D209= "",E209=""),"",IF(AND(D209= "",E209&lt;&gt; ""),"Missing Data",                     IF(AND(D209&lt;&gt; "",E209= ""),"Missing Data",(IF(OR(G209="NA",G209=""),"No Criteria",(IF(AND(Q209="NA",D209&lt;&gt;"NA",G209&lt;&gt;"NA"),                                               "Missing Data",(IF(Q209&lt;G209,"No","Needed")))))))))),"---")</f>
        <v>---</v>
      </c>
      <c r="C209" s="350" t="str">
        <f>IF(Start!$C$16="x",IF(OR(D209 ="NA",E209="NA"),"NA",IF(AND(D209= "",E209=""),"",IF(AND(D209= "",E209&lt;&gt; ""),"Missing Data",                     IF(AND(D209&lt;&gt; "",E209= ""),"Missing Data",(IF(OR(G209="NA",G209=""),"No Criteria",(IF(AND(S209="NA",D209&lt;&gt;"NA",G209&lt;&gt;"NA"),                                               "Missing Data",(IF(S209&lt;G209,"No","Needed")))))))))),"---")</f>
        <v>---</v>
      </c>
      <c r="D209" s="372" t="str">
        <f>IF(TRUE=ISBLANK(ChemData!B209),"",(ChemData!B209))</f>
        <v/>
      </c>
      <c r="E209" s="373" t="str">
        <f>IF(TRUE=ISBLANK(ChemData!C209),"",(ChemData!C209))</f>
        <v/>
      </c>
      <c r="F209" s="374" t="str">
        <f>IF(TRUE=ISBLANK(ChemData!D209),"",(ChemData!D209))</f>
        <v/>
      </c>
      <c r="G209" s="289">
        <f>IF(TRUE=ISBLANK(ChemData!I209),"",(ChemData!I209))</f>
        <v>2.2000000000000002</v>
      </c>
      <c r="H209" s="290">
        <f>IF(TRUE=ISBLANK(ChemData!Q209),"",(ChemData!Q209))</f>
        <v>255.50912737799382</v>
      </c>
      <c r="I209" s="290">
        <f>IF(TRUE=ISBLANK(ChemData!R209),"",(ChemData!R209))</f>
        <v>255.50912737799382</v>
      </c>
      <c r="J209" s="290">
        <f>IF(TRUE=ISBLANK(ChemData!S209),"",(ChemData!S209))</f>
        <v>1</v>
      </c>
      <c r="K209" s="291">
        <f>IF(TRUE=ISBLANK(ChemData!T209),"",(ChemData!T209))</f>
        <v>1</v>
      </c>
      <c r="L209" s="375" t="str">
        <f>IF(Start!$C$16="x",IF(OR(D209="NA",D209=""),"NA", IF(OR($J209 = "NA",J209=""),"NA",(D209*$J209))),"---")</f>
        <v>---</v>
      </c>
      <c r="M209" s="377" t="str">
        <f>IF(Start!$C$16="x",IF(OR(D209="NA",D209=""),"NA", IF(OR($K209 = "NA",K209=""),"NA",(D209*$K209))),"---")</f>
        <v>---</v>
      </c>
      <c r="N209" s="375" t="str">
        <f t="shared" si="9"/>
        <v>---</v>
      </c>
      <c r="O209" s="377" t="str">
        <f t="shared" si="9"/>
        <v>---</v>
      </c>
      <c r="P209" s="461" t="str">
        <f>IF(Start!$C$16="x",(IF(L209 = "NA","NA", (IF(OR($H209 = "NA",H209=""), "NA",(IF(OR(ChemData!U209="NA",ChemData!U209=""),L209/((Data!$D$33+((1-Data!$D$33)*Data!$D$14*$H209))/((1-Data!$D$33)*Data!$D$14*1000)),(IF(L209/((Data!$D$33+((1-Data!$D$33)*Data!$D$14*$H209))/((1-Data!$D$33)*Data!$D$14*1000))&gt;ChemData!U209, ChemData!U209, L209/((Data!$D$33+((1-Data!$D$33)*Data!$D$14*$H209))/((1-Data!$D$33)*Data!$D$14*1000)))))))))),"---")</f>
        <v>---</v>
      </c>
      <c r="Q209" s="376" t="str">
        <f>IF(Start!$C$16="x",IF(OR($F209 = "NA",F209=""), "NA", IF(P209= "NA", "NA",(P209+(Data!$D$30*$F209))/(Data!$D$30+1))),"---")</f>
        <v>---</v>
      </c>
      <c r="R209" s="376" t="str">
        <f>IF(Start!$C$16="x",IF(O209 = "NA","NA", IF(OR($I209 = "NA",I209=""), "NA",(IF(OR(ChemData!U209="NA",ChemData!U209=""),O209/((Data!$D$35+((1-Data!$D$35)*Data!$D$14*$I209))/((1-Data!$D$35)*Data!$D$14*1000)),(IF(O209/((Data!$D$35+((1-Data!$D$35)*Data!$D$14*$I209))/((1-Data!$D$35)*Data!$D$14*1000))&gt;ChemData!U209, ChemData!U209, O209/((Data!$D$35+((1-Data!$D$35)*Data!$D$14*$I209))/((1-Data!$D$35)*Data!$D$14*1000)))))))),"---")</f>
        <v>---</v>
      </c>
      <c r="S209" s="377" t="str">
        <f>IF(Start!$C$16="x",IF(OR($F209 = "NA",F209=""), "NA", IF(R209= "NA", "NA",(R209+(Data!$D$30*$F209))/(Data!$D$30+1))),"---")</f>
        <v>---</v>
      </c>
      <c r="T209" s="343" t="str">
        <f>IF(Start!$C$16="x",IF(AND(D209= "",E209=""),"",IF(Q209="NA","NA",IF(G209="NA","NA",IF(G209=0,"NA",(Q209/G209))))),"Not Req.")</f>
        <v>Not Req.</v>
      </c>
      <c r="U209" s="343" t="str">
        <f>IF(Start!$C$16="x",IF(AND(D209= "",E209=""),"",IF(S209="NA","NA",IF(G209="NA","NA",IF(G209=0,"NA",(S209/G209))))),"Not Req.")</f>
        <v>Not Req.</v>
      </c>
      <c r="V209" s="11"/>
    </row>
    <row r="210" spans="1:22" s="10" customFormat="1" x14ac:dyDescent="0.25">
      <c r="A210" s="307" t="s">
        <v>528</v>
      </c>
      <c r="B210" s="348" t="str">
        <f>IF(Start!$C$16="x",IF(OR(D210 ="NA",E210="NA"),"NA",IF(AND(D210= "",E210=""),"",IF(AND(D210= "",E210&lt;&gt; ""),"Missing Data",                     IF(AND(D210&lt;&gt; "",E210= ""),"Missing Data",(IF(OR(G210="NA",G210=""),"No Criteria",(IF(AND(Q210="NA",D210&lt;&gt;"NA",G210&lt;&gt;"NA"),                                               "Missing Data",(IF(Q210&lt;G210,"No","Needed")))))))))),"---")</f>
        <v>---</v>
      </c>
      <c r="C210" s="350" t="str">
        <f>IF(Start!$C$16="x",IF(OR(D210 ="NA",E210="NA"),"NA",IF(AND(D210= "",E210=""),"",IF(AND(D210= "",E210&lt;&gt; ""),"Missing Data",                     IF(AND(D210&lt;&gt; "",E210= ""),"Missing Data",(IF(OR(G210="NA",G210=""),"No Criteria",(IF(AND(S210="NA",D210&lt;&gt;"NA",G210&lt;&gt;"NA"),                                               "Missing Data",(IF(S210&lt;G210,"No","Needed")))))))))),"---")</f>
        <v>---</v>
      </c>
      <c r="D210" s="372" t="str">
        <f>IF(TRUE=ISBLANK(ChemData!B210),"",(ChemData!B210))</f>
        <v/>
      </c>
      <c r="E210" s="373" t="str">
        <f>IF(TRUE=ISBLANK(ChemData!C210),"",(ChemData!C210))</f>
        <v/>
      </c>
      <c r="F210" s="374" t="str">
        <f>IF(TRUE=ISBLANK(ChemData!D210),"",(ChemData!D210))</f>
        <v/>
      </c>
      <c r="G210" s="289" t="str">
        <f>IF(TRUE=ISBLANK(ChemData!I210),"",(ChemData!I210))</f>
        <v>NA</v>
      </c>
      <c r="H210" s="290">
        <f>IF(TRUE=ISBLANK(ChemData!Q210),"",(ChemData!Q210))</f>
        <v>92.769756944408272</v>
      </c>
      <c r="I210" s="290">
        <f>IF(TRUE=ISBLANK(ChemData!R210),"",(ChemData!R210))</f>
        <v>92.769756944408272</v>
      </c>
      <c r="J210" s="290">
        <f>IF(TRUE=ISBLANK(ChemData!S210),"",(ChemData!S210))</f>
        <v>1</v>
      </c>
      <c r="K210" s="291">
        <f>IF(TRUE=ISBLANK(ChemData!T210),"",(ChemData!T210))</f>
        <v>1</v>
      </c>
      <c r="L210" s="375" t="str">
        <f>IF(Start!$C$16="x",IF(OR(D210="NA",D210=""),"NA", IF(OR($J210 = "NA",J210=""),"NA",(D210*$J210))),"---")</f>
        <v>---</v>
      </c>
      <c r="M210" s="377" t="str">
        <f>IF(Start!$C$16="x",IF(OR(D210="NA",D210=""),"NA", IF(OR($K210 = "NA",K210=""),"NA",(D210*$K210))),"---")</f>
        <v>---</v>
      </c>
      <c r="N210" s="375" t="str">
        <f t="shared" si="9"/>
        <v>---</v>
      </c>
      <c r="O210" s="377" t="str">
        <f t="shared" si="9"/>
        <v>---</v>
      </c>
      <c r="P210" s="461" t="str">
        <f>IF(Start!$C$16="x",(IF(L210 = "NA","NA", (IF(OR($H210 = "NA",H210=""), "NA",(IF(OR(ChemData!U210="NA",ChemData!U210=""),L210/((Data!$D$33+((1-Data!$D$33)*Data!$D$14*$H210))/((1-Data!$D$33)*Data!$D$14*1000)),(IF(L210/((Data!$D$33+((1-Data!$D$33)*Data!$D$14*$H210))/((1-Data!$D$33)*Data!$D$14*1000))&gt;ChemData!U210, ChemData!U210, L210/((Data!$D$33+((1-Data!$D$33)*Data!$D$14*$H210))/((1-Data!$D$33)*Data!$D$14*1000)))))))))),"---")</f>
        <v>---</v>
      </c>
      <c r="Q210" s="376" t="str">
        <f>IF(Start!$C$16="x",IF(OR($F210 = "NA",F210=""), "NA", IF(P210= "NA", "NA",(P210+(Data!$D$30*$F210))/(Data!$D$30+1))),"---")</f>
        <v>---</v>
      </c>
      <c r="R210" s="376" t="str">
        <f>IF(Start!$C$16="x",IF(O210 = "NA","NA", IF(OR($I210 = "NA",I210=""), "NA",(IF(OR(ChemData!U210="NA",ChemData!U210=""),O210/((Data!$D$35+((1-Data!$D$35)*Data!$D$14*$I210))/((1-Data!$D$35)*Data!$D$14*1000)),(IF(O210/((Data!$D$35+((1-Data!$D$35)*Data!$D$14*$I210))/((1-Data!$D$35)*Data!$D$14*1000))&gt;ChemData!U210, ChemData!U210, O210/((Data!$D$35+((1-Data!$D$35)*Data!$D$14*$I210))/((1-Data!$D$35)*Data!$D$14*1000)))))))),"---")</f>
        <v>---</v>
      </c>
      <c r="S210" s="377" t="str">
        <f>IF(Start!$C$16="x",IF(OR($F210 = "NA",F210=""), "NA", IF(R210= "NA", "NA",(R210+(Data!$D$30*$F210))/(Data!$D$30+1))),"---")</f>
        <v>---</v>
      </c>
      <c r="T210" s="343" t="str">
        <f>IF(Start!$C$16="x",IF(AND(D210= "",E210=""),"",IF(Q210="NA","NA",IF(G210="NA","NA",IF(G210=0,"NA",(Q210/G210))))),"Not Req.")</f>
        <v>Not Req.</v>
      </c>
      <c r="U210" s="343" t="str">
        <f>IF(Start!$C$16="x",IF(AND(D210= "",E210=""),"",IF(S210="NA","NA",IF(G210="NA","NA",IF(G210=0,"NA",(S210/G210))))),"Not Req.")</f>
        <v>Not Req.</v>
      </c>
      <c r="V210" s="11"/>
    </row>
    <row r="211" spans="1:22" s="10" customFormat="1" x14ac:dyDescent="0.25">
      <c r="A211" s="307" t="s">
        <v>529</v>
      </c>
      <c r="B211" s="348" t="str">
        <f>IF(Start!$C$16="x",IF(OR(D211 ="NA",E211="NA"),"NA",IF(AND(D211= "",E211=""),"",IF(AND(D211= "",E211&lt;&gt; ""),"Missing Data",                     IF(AND(D211&lt;&gt; "",E211= ""),"Missing Data",(IF(OR(G211="NA",G211=""),"No Criteria",(IF(AND(Q211="NA",D211&lt;&gt;"NA",G211&lt;&gt;"NA"),                                               "Missing Data",(IF(Q211&lt;G211,"No","Needed")))))))))),"---")</f>
        <v>---</v>
      </c>
      <c r="C211" s="350" t="str">
        <f>IF(Start!$C$16="x",IF(OR(D211 ="NA",E211="NA"),"NA",IF(AND(D211= "",E211=""),"",IF(AND(D211= "",E211&lt;&gt; ""),"Missing Data",                     IF(AND(D211&lt;&gt; "",E211= ""),"Missing Data",(IF(OR(G211="NA",G211=""),"No Criteria",(IF(AND(S211="NA",D211&lt;&gt;"NA",G211&lt;&gt;"NA"),                                               "Missing Data",(IF(S211&lt;G211,"No","Needed")))))))))),"---")</f>
        <v>---</v>
      </c>
      <c r="D211" s="372" t="str">
        <f>IF(TRUE=ISBLANK(ChemData!B211),"",(ChemData!B211))</f>
        <v/>
      </c>
      <c r="E211" s="373" t="str">
        <f>IF(TRUE=ISBLANK(ChemData!C211),"",(ChemData!C211))</f>
        <v/>
      </c>
      <c r="F211" s="374" t="str">
        <f>IF(TRUE=ISBLANK(ChemData!D211),"",(ChemData!D211))</f>
        <v/>
      </c>
      <c r="G211" s="289">
        <f>IF(TRUE=ISBLANK(ChemData!I211),"",(ChemData!I211))</f>
        <v>4.3E-3</v>
      </c>
      <c r="H211" s="290">
        <f>IF(TRUE=ISBLANK(ChemData!Q211),"",(ChemData!Q211))</f>
        <v>18510</v>
      </c>
      <c r="I211" s="290">
        <f>IF(TRUE=ISBLANK(ChemData!R211),"",(ChemData!R211))</f>
        <v>18510</v>
      </c>
      <c r="J211" s="290">
        <f>IF(TRUE=ISBLANK(ChemData!S211),"",(ChemData!S211))</f>
        <v>1</v>
      </c>
      <c r="K211" s="291">
        <f>IF(TRUE=ISBLANK(ChemData!T211),"",(ChemData!T211))</f>
        <v>1</v>
      </c>
      <c r="L211" s="375" t="str">
        <f>IF(Start!$C$16="x",IF(OR(D211="NA",D211=""),"NA", IF(OR($J211 = "NA",J211=""),"NA",(D211*$J211))),"---")</f>
        <v>---</v>
      </c>
      <c r="M211" s="377" t="str">
        <f>IF(Start!$C$16="x",IF(OR(D211="NA",D211=""),"NA", IF(OR($K211 = "NA",K211=""),"NA",(D211*$K211))),"---")</f>
        <v>---</v>
      </c>
      <c r="N211" s="375" t="str">
        <f t="shared" si="9"/>
        <v>---</v>
      </c>
      <c r="O211" s="377" t="str">
        <f t="shared" si="9"/>
        <v>---</v>
      </c>
      <c r="P211" s="461" t="str">
        <f>IF(Start!$C$16="x",(IF(L211 = "NA","NA", (IF(OR($H211 = "NA",H211=""), "NA",(IF(OR(ChemData!U211="NA",ChemData!U211=""),L211/((Data!$D$33+((1-Data!$D$33)*Data!$D$14*$H211))/((1-Data!$D$33)*Data!$D$14*1000)),(IF(L211/((Data!$D$33+((1-Data!$D$33)*Data!$D$14*$H211))/((1-Data!$D$33)*Data!$D$14*1000))&gt;ChemData!U211, ChemData!U211, L211/((Data!$D$33+((1-Data!$D$33)*Data!$D$14*$H211))/((1-Data!$D$33)*Data!$D$14*1000)))))))))),"---")</f>
        <v>---</v>
      </c>
      <c r="Q211" s="376" t="str">
        <f>IF(Start!$C$16="x",IF(OR($F211 = "NA",F211=""), "NA", IF(P211= "NA", "NA",(P211+(Data!$D$30*$F211))/(Data!$D$30+1))),"---")</f>
        <v>---</v>
      </c>
      <c r="R211" s="376" t="str">
        <f>IF(Start!$C$16="x",IF(O211 = "NA","NA", IF(OR($I211 = "NA",I211=""), "NA",(IF(OR(ChemData!U211="NA",ChemData!U211=""),O211/((Data!$D$35+((1-Data!$D$35)*Data!$D$14*$I211))/((1-Data!$D$35)*Data!$D$14*1000)),(IF(O211/((Data!$D$35+((1-Data!$D$35)*Data!$D$14*$I211))/((1-Data!$D$35)*Data!$D$14*1000))&gt;ChemData!U211, ChemData!U211, O211/((Data!$D$35+((1-Data!$D$35)*Data!$D$14*$I211))/((1-Data!$D$35)*Data!$D$14*1000)))))))),"---")</f>
        <v>---</v>
      </c>
      <c r="S211" s="377" t="str">
        <f>IF(Start!$C$16="x",IF(OR($F211 = "NA",F211=""), "NA", IF(R211= "NA", "NA",(R211+(Data!$D$30*$F211))/(Data!$D$30+1))),"---")</f>
        <v>---</v>
      </c>
      <c r="T211" s="343" t="str">
        <f>IF(Start!$C$16="x",IF(AND(D211= "",E211=""),"",IF(Q211="NA","NA",IF(G211="NA","NA",IF(G211=0,"NA",(Q211/G211))))),"Not Req.")</f>
        <v>Not Req.</v>
      </c>
      <c r="U211" s="343" t="str">
        <f>IF(Start!$C$16="x",IF(AND(D211= "",E211=""),"",IF(S211="NA","NA",IF(G211="NA","NA",IF(G211=0,"NA",(S211/G211))))),"Not Req.")</f>
        <v>Not Req.</v>
      </c>
      <c r="V211" s="11"/>
    </row>
    <row r="212" spans="1:22" s="10" customFormat="1" x14ac:dyDescent="0.25">
      <c r="A212" s="307" t="s">
        <v>530</v>
      </c>
      <c r="B212" s="348" t="str">
        <f>IF(Start!$C$16="x",IF(OR(D212 ="NA",E212="NA"),"NA",IF(AND(D212= "",E212=""),"",IF(AND(D212= "",E212&lt;&gt; ""),"Missing Data",                     IF(AND(D212&lt;&gt; "",E212= ""),"Missing Data",(IF(OR(G212="NA",G212=""),"No Criteria",(IF(AND(Q212="NA",D212&lt;&gt;"NA",G212&lt;&gt;"NA"),                                               "Missing Data",(IF(Q212&lt;G212,"No","Needed")))))))))),"---")</f>
        <v>---</v>
      </c>
      <c r="C212" s="350" t="str">
        <f>IF(Start!$C$16="x",IF(OR(D212 ="NA",E212="NA"),"NA",IF(AND(D212= "",E212=""),"",IF(AND(D212= "",E212&lt;&gt; ""),"Missing Data",                     IF(AND(D212&lt;&gt; "",E212= ""),"Missing Data",(IF(OR(G212="NA",G212=""),"No Criteria",(IF(AND(S212="NA",D212&lt;&gt;"NA",G212&lt;&gt;"NA"),                                               "Missing Data",(IF(S212&lt;G212,"No","Needed")))))))))),"---")</f>
        <v>---</v>
      </c>
      <c r="D212" s="372" t="str">
        <f>IF(TRUE=ISBLANK(ChemData!B212),"",(ChemData!B212))</f>
        <v/>
      </c>
      <c r="E212" s="373" t="str">
        <f>IF(TRUE=ISBLANK(ChemData!C212),"",(ChemData!C212))</f>
        <v/>
      </c>
      <c r="F212" s="374" t="str">
        <f>IF(TRUE=ISBLANK(ChemData!D212),"",(ChemData!D212))</f>
        <v/>
      </c>
      <c r="G212" s="289">
        <f>IF(TRUE=ISBLANK(ChemData!I212),"",(ChemData!I212))</f>
        <v>4.3E-3</v>
      </c>
      <c r="H212" s="290">
        <f>IF(TRUE=ISBLANK(ChemData!Q212),"",(ChemData!Q212))</f>
        <v>47578.025939051717</v>
      </c>
      <c r="I212" s="290">
        <f>IF(TRUE=ISBLANK(ChemData!R212),"",(ChemData!R212))</f>
        <v>47578.025939051717</v>
      </c>
      <c r="J212" s="290">
        <f>IF(TRUE=ISBLANK(ChemData!S212),"",(ChemData!S212))</f>
        <v>1</v>
      </c>
      <c r="K212" s="291">
        <f>IF(TRUE=ISBLANK(ChemData!T212),"",(ChemData!T212))</f>
        <v>1</v>
      </c>
      <c r="L212" s="375" t="str">
        <f>IF(Start!$C$16="x",IF(OR(D212="NA",D212=""),"NA", IF(OR($J212 = "NA",J212=""),"NA",(D212*$J212))),"---")</f>
        <v>---</v>
      </c>
      <c r="M212" s="377" t="str">
        <f>IF(Start!$C$16="x",IF(OR(D212="NA",D212=""),"NA", IF(OR($K212 = "NA",K212=""),"NA",(D212*$K212))),"---")</f>
        <v>---</v>
      </c>
      <c r="N212" s="375" t="str">
        <f t="shared" si="9"/>
        <v>---</v>
      </c>
      <c r="O212" s="377" t="str">
        <f t="shared" si="9"/>
        <v>---</v>
      </c>
      <c r="P212" s="461" t="str">
        <f>IF(Start!$C$16="x",(IF(L212 = "NA","NA", (IF(OR($H212 = "NA",H212=""), "NA",(IF(OR(ChemData!U212="NA",ChemData!U212=""),L212/((Data!$D$33+((1-Data!$D$33)*Data!$D$14*$H212))/((1-Data!$D$33)*Data!$D$14*1000)),(IF(L212/((Data!$D$33+((1-Data!$D$33)*Data!$D$14*$H212))/((1-Data!$D$33)*Data!$D$14*1000))&gt;ChemData!U212, ChemData!U212, L212/((Data!$D$33+((1-Data!$D$33)*Data!$D$14*$H212))/((1-Data!$D$33)*Data!$D$14*1000)))))))))),"---")</f>
        <v>---</v>
      </c>
      <c r="Q212" s="376" t="str">
        <f>IF(Start!$C$16="x",IF(OR($F212 = "NA",F212=""), "NA", IF(P212= "NA", "NA",(P212+(Data!$D$30*$F212))/(Data!$D$30+1))),"---")</f>
        <v>---</v>
      </c>
      <c r="R212" s="376" t="str">
        <f>IF(Start!$C$16="x",IF(O212 = "NA","NA", IF(OR($I212 = "NA",I212=""), "NA",(IF(OR(ChemData!U212="NA",ChemData!U212=""),O212/((Data!$D$35+((1-Data!$D$35)*Data!$D$14*$I212))/((1-Data!$D$35)*Data!$D$14*1000)),(IF(O212/((Data!$D$35+((1-Data!$D$35)*Data!$D$14*$I212))/((1-Data!$D$35)*Data!$D$14*1000))&gt;ChemData!U212, ChemData!U212, O212/((Data!$D$35+((1-Data!$D$35)*Data!$D$14*$I212))/((1-Data!$D$35)*Data!$D$14*1000)))))))),"---")</f>
        <v>---</v>
      </c>
      <c r="S212" s="377" t="str">
        <f>IF(Start!$C$16="x",IF(OR($F212 = "NA",F212=""), "NA", IF(R212= "NA", "NA",(R212+(Data!$D$30*$F212))/(Data!$D$30+1))),"---")</f>
        <v>---</v>
      </c>
      <c r="T212" s="343" t="str">
        <f>IF(Start!$C$16="x",IF(AND(D212= "",E212=""),"",IF(Q212="NA","NA",IF(G212="NA","NA",IF(G212=0,"NA",(Q212/G212))))),"Not Req.")</f>
        <v>Not Req.</v>
      </c>
      <c r="U212" s="343" t="str">
        <f>IF(Start!$C$16="x",IF(AND(D212= "",E212=""),"",IF(S212="NA","NA",IF(G212="NA","NA",IF(G212=0,"NA",(S212/G212))))),"Not Req.")</f>
        <v>Not Req.</v>
      </c>
      <c r="V212" s="11"/>
    </row>
    <row r="213" spans="1:22" s="10" customFormat="1" x14ac:dyDescent="0.25">
      <c r="A213" s="307" t="s">
        <v>531</v>
      </c>
      <c r="B213" s="348" t="str">
        <f>IF(Start!$C$16="x",IF(OR(D213 ="NA",E213="NA"),"NA",IF(AND(D213= "",E213=""),"",IF(AND(D213= "",E213&lt;&gt; ""),"Missing Data",                     IF(AND(D213&lt;&gt; "",E213= ""),"Missing Data",(IF(OR(G213="NA",G213=""),"No Criteria",(IF(AND(Q213="NA",D213&lt;&gt;"NA",G213&lt;&gt;"NA"),                                               "Missing Data",(IF(Q213&lt;G213,"No","Needed")))))))))),"---")</f>
        <v>---</v>
      </c>
      <c r="C213" s="350" t="str">
        <f>IF(Start!$C$16="x",IF(OR(D213 ="NA",E213="NA"),"NA",IF(AND(D213= "",E213=""),"",IF(AND(D213= "",E213&lt;&gt; ""),"Missing Data",                     IF(AND(D213&lt;&gt; "",E213= ""),"Missing Data",(IF(OR(G213="NA",G213=""),"No Criteria",(IF(AND(S213="NA",D213&lt;&gt;"NA",G213&lt;&gt;"NA"),                                               "Missing Data",(IF(S213&lt;G213,"No","Needed")))))))))),"---")</f>
        <v>---</v>
      </c>
      <c r="D213" s="372" t="str">
        <f>IF(TRUE=ISBLANK(ChemData!B213),"",(ChemData!B213))</f>
        <v/>
      </c>
      <c r="E213" s="373" t="str">
        <f>IF(TRUE=ISBLANK(ChemData!C213),"",(ChemData!C213))</f>
        <v/>
      </c>
      <c r="F213" s="374" t="str">
        <f>IF(TRUE=ISBLANK(ChemData!D213),"",(ChemData!D213))</f>
        <v/>
      </c>
      <c r="G213" s="289">
        <f>IF(TRUE=ISBLANK(ChemData!I213),"",(ChemData!I213))</f>
        <v>4.3E-3</v>
      </c>
      <c r="H213" s="290">
        <f>IF(TRUE=ISBLANK(ChemData!Q213),"",(ChemData!Q213))</f>
        <v>1116.153</v>
      </c>
      <c r="I213" s="290">
        <f>IF(TRUE=ISBLANK(ChemData!R213),"",(ChemData!R213))</f>
        <v>1116.153</v>
      </c>
      <c r="J213" s="290">
        <f>IF(TRUE=ISBLANK(ChemData!S213),"",(ChemData!S213))</f>
        <v>1</v>
      </c>
      <c r="K213" s="291">
        <f>IF(TRUE=ISBLANK(ChemData!T213),"",(ChemData!T213))</f>
        <v>1</v>
      </c>
      <c r="L213" s="375" t="str">
        <f>IF(Start!$C$16="x",IF(OR(D213="NA",D213=""),"NA", IF(OR($J213 = "NA",J213=""),"NA",(D213*$J213))),"---")</f>
        <v>---</v>
      </c>
      <c r="M213" s="377" t="str">
        <f>IF(Start!$C$16="x",IF(OR(D213="NA",D213=""),"NA", IF(OR($K213 = "NA",K213=""),"NA",(D213*$K213))),"---")</f>
        <v>---</v>
      </c>
      <c r="N213" s="375" t="str">
        <f t="shared" si="9"/>
        <v>---</v>
      </c>
      <c r="O213" s="377" t="str">
        <f t="shared" si="9"/>
        <v>---</v>
      </c>
      <c r="P213" s="461" t="str">
        <f>IF(Start!$C$16="x",(IF(L213 = "NA","NA", (IF(OR($H213 = "NA",H213=""), "NA",(IF(OR(ChemData!U213="NA",ChemData!U213=""),L213/((Data!$D$33+((1-Data!$D$33)*Data!$D$14*$H213))/((1-Data!$D$33)*Data!$D$14*1000)),(IF(L213/((Data!$D$33+((1-Data!$D$33)*Data!$D$14*$H213))/((1-Data!$D$33)*Data!$D$14*1000))&gt;ChemData!U213, ChemData!U213, L213/((Data!$D$33+((1-Data!$D$33)*Data!$D$14*$H213))/((1-Data!$D$33)*Data!$D$14*1000)))))))))),"---")</f>
        <v>---</v>
      </c>
      <c r="Q213" s="376" t="str">
        <f>IF(Start!$C$16="x",IF(OR($F213 = "NA",F213=""), "NA", IF(P213= "NA", "NA",(P213+(Data!$D$30*$F213))/(Data!$D$30+1))),"---")</f>
        <v>---</v>
      </c>
      <c r="R213" s="376" t="str">
        <f>IF(Start!$C$16="x",IF(O213 = "NA","NA", IF(OR($I213 = "NA",I213=""), "NA",(IF(OR(ChemData!U213="NA",ChemData!U213=""),O213/((Data!$D$35+((1-Data!$D$35)*Data!$D$14*$I213))/((1-Data!$D$35)*Data!$D$14*1000)),(IF(O213/((Data!$D$35+((1-Data!$D$35)*Data!$D$14*$I213))/((1-Data!$D$35)*Data!$D$14*1000))&gt;ChemData!U213, ChemData!U213, O213/((Data!$D$35+((1-Data!$D$35)*Data!$D$14*$I213))/((1-Data!$D$35)*Data!$D$14*1000)))))))),"---")</f>
        <v>---</v>
      </c>
      <c r="S213" s="377" t="str">
        <f>IF(Start!$C$16="x",IF(OR($F213 = "NA",F213=""), "NA", IF(R213= "NA", "NA",(R213+(Data!$D$30*$F213))/(Data!$D$30+1))),"---")</f>
        <v>---</v>
      </c>
      <c r="T213" s="343" t="str">
        <f>IF(Start!$C$16="x",IF(AND(D213= "",E213=""),"",IF(Q213="NA","NA",IF(G213="NA","NA",IF(G213=0,"NA",(Q213/G213))))),"Not Req.")</f>
        <v>Not Req.</v>
      </c>
      <c r="U213" s="343" t="str">
        <f>IF(Start!$C$16="x",IF(AND(D213= "",E213=""),"",IF(S213="NA","NA",IF(G213="NA","NA",IF(G213=0,"NA",(S213/G213))))),"Not Req.")</f>
        <v>Not Req.</v>
      </c>
      <c r="V213" s="11"/>
    </row>
    <row r="214" spans="1:22" s="10" customFormat="1" x14ac:dyDescent="0.25">
      <c r="A214" s="307" t="s">
        <v>532</v>
      </c>
      <c r="B214" s="348" t="str">
        <f>IF(Start!$C$16="x",IF(OR(D214 ="NA",E214="NA"),"NA",IF(AND(D214= "",E214=""),"",IF(AND(D214= "",E214&lt;&gt; ""),"Missing Data",                     IF(AND(D214&lt;&gt; "",E214= ""),"Missing Data",(IF(OR(G214="NA",G214=""),"No Criteria",(IF(AND(Q214="NA",D214&lt;&gt;"NA",G214&lt;&gt;"NA"),                                               "Missing Data",(IF(Q214&lt;G214,"No","Needed")))))))))),"---")</f>
        <v>---</v>
      </c>
      <c r="C214" s="350" t="str">
        <f>IF(Start!$C$16="x",IF(OR(D214 ="NA",E214="NA"),"NA",IF(AND(D214= "",E214=""),"",IF(AND(D214= "",E214&lt;&gt; ""),"Missing Data",                     IF(AND(D214&lt;&gt; "",E214= ""),"Missing Data",(IF(OR(G214="NA",G214=""),"No Criteria",(IF(AND(S214="NA",D214&lt;&gt;"NA",G214&lt;&gt;"NA"),                                               "Missing Data",(IF(S214&lt;G214,"No","Needed")))))))))),"---")</f>
        <v>---</v>
      </c>
      <c r="D214" s="372" t="str">
        <f>IF(TRUE=ISBLANK(ChemData!B214),"",(ChemData!B214))</f>
        <v/>
      </c>
      <c r="E214" s="373" t="str">
        <f>IF(TRUE=ISBLANK(ChemData!C214),"",(ChemData!C214))</f>
        <v/>
      </c>
      <c r="F214" s="374" t="str">
        <f>IF(TRUE=ISBLANK(ChemData!D214),"",(ChemData!D214))</f>
        <v/>
      </c>
      <c r="G214" s="289" t="str">
        <f>IF(TRUE=ISBLANK(ChemData!I214),"",(ChemData!I214))</f>
        <v>NA</v>
      </c>
      <c r="H214" s="290">
        <f>IF(TRUE=ISBLANK(ChemData!Q214),"",(ChemData!Q214))</f>
        <v>7201.2256338441457</v>
      </c>
      <c r="I214" s="290">
        <f>IF(TRUE=ISBLANK(ChemData!R214),"",(ChemData!R214))</f>
        <v>7201.2256338441457</v>
      </c>
      <c r="J214" s="290">
        <f>IF(TRUE=ISBLANK(ChemData!S214),"",(ChemData!S214))</f>
        <v>1</v>
      </c>
      <c r="K214" s="291">
        <f>IF(TRUE=ISBLANK(ChemData!T214),"",(ChemData!T214))</f>
        <v>1</v>
      </c>
      <c r="L214" s="375" t="str">
        <f>IF(Start!$C$16="x",IF(OR(D214="NA",D214=""),"NA", IF(OR($J214 = "NA",J214=""),"NA",(D214*$J214))),"---")</f>
        <v>---</v>
      </c>
      <c r="M214" s="377" t="str">
        <f>IF(Start!$C$16="x",IF(OR(D214="NA",D214=""),"NA", IF(OR($K214 = "NA",K214=""),"NA",(D214*$K214))),"---")</f>
        <v>---</v>
      </c>
      <c r="N214" s="375" t="str">
        <f t="shared" si="9"/>
        <v>---</v>
      </c>
      <c r="O214" s="377" t="str">
        <f t="shared" si="9"/>
        <v>---</v>
      </c>
      <c r="P214" s="461" t="str">
        <f>IF(Start!$C$16="x",(IF(L214 = "NA","NA", (IF(OR($H214 = "NA",H214=""), "NA",(IF(OR(ChemData!U214="NA",ChemData!U214=""),L214/((Data!$D$33+((1-Data!$D$33)*Data!$D$14*$H214))/((1-Data!$D$33)*Data!$D$14*1000)),(IF(L214/((Data!$D$33+((1-Data!$D$33)*Data!$D$14*$H214))/((1-Data!$D$33)*Data!$D$14*1000))&gt;ChemData!U214, ChemData!U214, L214/((Data!$D$33+((1-Data!$D$33)*Data!$D$14*$H214))/((1-Data!$D$33)*Data!$D$14*1000)))))))))),"---")</f>
        <v>---</v>
      </c>
      <c r="Q214" s="376" t="str">
        <f>IF(Start!$C$16="x",IF(OR($F214 = "NA",F214=""), "NA", IF(P214= "NA", "NA",(P214+(Data!$D$30*$F214))/(Data!$D$30+1))),"---")</f>
        <v>---</v>
      </c>
      <c r="R214" s="376" t="str">
        <f>IF(Start!$C$16="x",IF(O214 = "NA","NA", IF(OR($I214 = "NA",I214=""), "NA",(IF(OR(ChemData!U214="NA",ChemData!U214=""),O214/((Data!$D$35+((1-Data!$D$35)*Data!$D$14*$I214))/((1-Data!$D$35)*Data!$D$14*1000)),(IF(O214/((Data!$D$35+((1-Data!$D$35)*Data!$D$14*$I214))/((1-Data!$D$35)*Data!$D$14*1000))&gt;ChemData!U214, ChemData!U214, O214/((Data!$D$35+((1-Data!$D$35)*Data!$D$14*$I214))/((1-Data!$D$35)*Data!$D$14*1000)))))))),"---")</f>
        <v>---</v>
      </c>
      <c r="S214" s="377" t="str">
        <f>IF(Start!$C$16="x",IF(OR($F214 = "NA",F214=""), "NA", IF(R214= "NA", "NA",(R214+(Data!$D$30*$F214))/(Data!$D$30+1))),"---")</f>
        <v>---</v>
      </c>
      <c r="T214" s="343" t="str">
        <f>IF(Start!$C$16="x",IF(AND(D214= "",E214=""),"",IF(Q214="NA","NA",IF(G214="NA","NA",IF(G214=0,"NA",(Q214/G214))))),"Not Req.")</f>
        <v>Not Req.</v>
      </c>
      <c r="U214" s="343" t="str">
        <f>IF(Start!$C$16="x",IF(AND(D214= "",E214=""),"",IF(S214="NA","NA",IF(G214="NA","NA",IF(G214=0,"NA",(S214/G214))))),"Not Req.")</f>
        <v>Not Req.</v>
      </c>
      <c r="V214" s="11"/>
    </row>
    <row r="215" spans="1:22" s="10" customFormat="1" x14ac:dyDescent="0.25">
      <c r="A215" s="306" t="s">
        <v>533</v>
      </c>
      <c r="B215" s="348" t="str">
        <f>IF(Start!$C$16="x",IF(OR(D215 ="NA",E215="NA"),"NA",IF(AND(D215= "",E215=""),"",IF(AND(D215= "",E215&lt;&gt; ""),"Missing Data",                     IF(AND(D215&lt;&gt; "",E215= ""),"Missing Data",(IF(OR(G215="NA",G215=""),"No Criteria",(IF(AND(Q215="NA",D215&lt;&gt;"NA",G215&lt;&gt;"NA"),                                               "Missing Data",(IF(Q215&lt;G215,"No","Needed")))))))))),"---")</f>
        <v>---</v>
      </c>
      <c r="C215" s="350" t="str">
        <f>IF(Start!$C$16="x",IF(OR(D215 ="NA",E215="NA"),"NA",IF(AND(D215= "",E215=""),"",IF(AND(D215= "",E215&lt;&gt; ""),"Missing Data",                     IF(AND(D215&lt;&gt; "",E215= ""),"Missing Data",(IF(OR(G215="NA",G215=""),"No Criteria",(IF(AND(S215="NA",D215&lt;&gt;"NA",G215&lt;&gt;"NA"),                                               "Missing Data",(IF(S215&lt;G215,"No","Needed")))))))))),"---")</f>
        <v>---</v>
      </c>
      <c r="D215" s="372" t="str">
        <f>IF(TRUE=ISBLANK(ChemData!B215),"",(ChemData!B215))</f>
        <v/>
      </c>
      <c r="E215" s="373" t="str">
        <f>IF(TRUE=ISBLANK(ChemData!C215),"",(ChemData!C215))</f>
        <v/>
      </c>
      <c r="F215" s="374" t="str">
        <f>IF(TRUE=ISBLANK(ChemData!D215),"",(ChemData!D215))</f>
        <v/>
      </c>
      <c r="G215" s="289" t="str">
        <f>IF(TRUE=ISBLANK(ChemData!I215),"",(ChemData!I215))</f>
        <v>NA</v>
      </c>
      <c r="H215" s="290">
        <f>IF(TRUE=ISBLANK(ChemData!Q215),"",(ChemData!Q215))</f>
        <v>8.0799080547654754</v>
      </c>
      <c r="I215" s="290">
        <f>IF(TRUE=ISBLANK(ChemData!R215),"",(ChemData!R215))</f>
        <v>8.0799080547654754</v>
      </c>
      <c r="J215" s="290">
        <f>IF(TRUE=ISBLANK(ChemData!S215),"",(ChemData!S215))</f>
        <v>1</v>
      </c>
      <c r="K215" s="291">
        <f>IF(TRUE=ISBLANK(ChemData!T215),"",(ChemData!T215))</f>
        <v>1</v>
      </c>
      <c r="L215" s="375" t="str">
        <f>IF(Start!$C$16="x",IF(OR(D215="NA",D215=""),"NA", IF(OR($J215 = "NA",J215=""),"NA",(D215*$J215))),"---")</f>
        <v>---</v>
      </c>
      <c r="M215" s="377" t="str">
        <f>IF(Start!$C$16="x",IF(OR(D215="NA",D215=""),"NA", IF(OR($K215 = "NA",K215=""),"NA",(D215*$K215))),"---")</f>
        <v>---</v>
      </c>
      <c r="N215" s="375" t="str">
        <f t="shared" si="9"/>
        <v>---</v>
      </c>
      <c r="O215" s="377" t="str">
        <f t="shared" si="9"/>
        <v>---</v>
      </c>
      <c r="P215" s="461" t="str">
        <f>IF(Start!$C$16="x",(IF(L215 = "NA","NA", (IF(OR($H215 = "NA",H215=""), "NA",(IF(OR(ChemData!U215="NA",ChemData!U215=""),L215/((Data!$D$33+((1-Data!$D$33)*Data!$D$14*$H215))/((1-Data!$D$33)*Data!$D$14*1000)),(IF(L215/((Data!$D$33+((1-Data!$D$33)*Data!$D$14*$H215))/((1-Data!$D$33)*Data!$D$14*1000))&gt;ChemData!U215, ChemData!U215, L215/((Data!$D$33+((1-Data!$D$33)*Data!$D$14*$H215))/((1-Data!$D$33)*Data!$D$14*1000)))))))))),"---")</f>
        <v>---</v>
      </c>
      <c r="Q215" s="376" t="str">
        <f>IF(Start!$C$16="x",IF(OR($F215 = "NA",F215=""), "NA", IF(P215= "NA", "NA",(P215+(Data!$D$30*$F215))/(Data!$D$30+1))),"---")</f>
        <v>---</v>
      </c>
      <c r="R215" s="376" t="str">
        <f>IF(Start!$C$16="x",IF(O215 = "NA","NA", IF(OR($I215 = "NA",I215=""), "NA",(IF(OR(ChemData!U215="NA",ChemData!U215=""),O215/((Data!$D$35+((1-Data!$D$35)*Data!$D$14*$I215))/((1-Data!$D$35)*Data!$D$14*1000)),(IF(O215/((Data!$D$35+((1-Data!$D$35)*Data!$D$14*$I215))/((1-Data!$D$35)*Data!$D$14*1000))&gt;ChemData!U215, ChemData!U215, O215/((Data!$D$35+((1-Data!$D$35)*Data!$D$14*$I215))/((1-Data!$D$35)*Data!$D$14*1000)))))))),"---")</f>
        <v>---</v>
      </c>
      <c r="S215" s="377" t="str">
        <f>IF(Start!$C$16="x",IF(OR($F215 = "NA",F215=""), "NA", IF(R215= "NA", "NA",(R215+(Data!$D$30*$F215))/(Data!$D$30+1))),"---")</f>
        <v>---</v>
      </c>
      <c r="T215" s="343" t="str">
        <f>IF(Start!$C$16="x",IF(AND(D215= "",E215=""),"",IF(Q215="NA","NA",IF(G215="NA","NA",IF(G215=0,"NA",(Q215/G215))))),"Not Req.")</f>
        <v>Not Req.</v>
      </c>
      <c r="U215" s="343" t="str">
        <f>IF(Start!$C$16="x",IF(AND(D215= "",E215=""),"",IF(S215="NA","NA",IF(G215="NA","NA",IF(G215=0,"NA",(S215/G215))))),"Not Req.")</f>
        <v>Not Req.</v>
      </c>
      <c r="V215" s="11"/>
    </row>
    <row r="216" spans="1:22" s="10" customFormat="1" x14ac:dyDescent="0.25">
      <c r="A216" s="306" t="s">
        <v>534</v>
      </c>
      <c r="B216" s="348" t="str">
        <f>IF(Start!$C$16="x",IF(OR(D216 ="NA",E216="NA"),"NA",IF(AND(D216= "",E216=""),"",IF(AND(D216= "",E216&lt;&gt; ""),"Missing Data",                     IF(AND(D216&lt;&gt; "",E216= ""),"Missing Data",(IF(OR(G216="NA",G216=""),"No Criteria",(IF(AND(Q216="NA",D216&lt;&gt;"NA",G216&lt;&gt;"NA"),                                               "Missing Data",(IF(Q216&lt;G216,"No","Needed")))))))))),"---")</f>
        <v>---</v>
      </c>
      <c r="C216" s="350" t="str">
        <f>IF(Start!$C$16="x",IF(OR(D216 ="NA",E216="NA"),"NA",IF(AND(D216= "",E216=""),"",IF(AND(D216= "",E216&lt;&gt; ""),"Missing Data",                     IF(AND(D216&lt;&gt; "",E216= ""),"Missing Data",(IF(OR(G216="NA",G216=""),"No Criteria",(IF(AND(S216="NA",D216&lt;&gt;"NA",G216&lt;&gt;"NA"),                                               "Missing Data",(IF(S216&lt;G216,"No","Needed")))))))))),"---")</f>
        <v>---</v>
      </c>
      <c r="D216" s="372" t="str">
        <f>IF(TRUE=ISBLANK(ChemData!B216),"",(ChemData!B216))</f>
        <v/>
      </c>
      <c r="E216" s="373" t="str">
        <f>IF(TRUE=ISBLANK(ChemData!C216),"",(ChemData!C216))</f>
        <v/>
      </c>
      <c r="F216" s="374" t="str">
        <f>IF(TRUE=ISBLANK(ChemData!D216),"",(ChemData!D216))</f>
        <v/>
      </c>
      <c r="G216" s="289" t="str">
        <f>IF(TRUE=ISBLANK(ChemData!I216),"",(ChemData!I216))</f>
        <v>NA</v>
      </c>
      <c r="H216" s="290">
        <f>IF(TRUE=ISBLANK(ChemData!Q216),"",(ChemData!Q216))</f>
        <v>13721.652566479994</v>
      </c>
      <c r="I216" s="290">
        <f>IF(TRUE=ISBLANK(ChemData!R216),"",(ChemData!R216))</f>
        <v>13721.652566479994</v>
      </c>
      <c r="J216" s="290">
        <f>IF(TRUE=ISBLANK(ChemData!S216),"",(ChemData!S216))</f>
        <v>1</v>
      </c>
      <c r="K216" s="291">
        <f>IF(TRUE=ISBLANK(ChemData!T216),"",(ChemData!T216))</f>
        <v>1</v>
      </c>
      <c r="L216" s="375" t="str">
        <f>IF(Start!$C$16="x",IF(OR(D216="NA",D216=""),"NA", IF(OR($J216 = "NA",J216=""),"NA",(D216*$J216))),"---")</f>
        <v>---</v>
      </c>
      <c r="M216" s="377" t="str">
        <f>IF(Start!$C$16="x",IF(OR(D216="NA",D216=""),"NA", IF(OR($K216 = "NA",K216=""),"NA",(D216*$K216))),"---")</f>
        <v>---</v>
      </c>
      <c r="N216" s="375" t="str">
        <f t="shared" si="9"/>
        <v>---</v>
      </c>
      <c r="O216" s="377" t="str">
        <f t="shared" si="9"/>
        <v>---</v>
      </c>
      <c r="P216" s="461" t="str">
        <f>IF(Start!$C$16="x",(IF(L216 = "NA","NA", (IF(OR($H216 = "NA",H216=""), "NA",(IF(OR(ChemData!U216="NA",ChemData!U216=""),L216/((Data!$D$33+((1-Data!$D$33)*Data!$D$14*$H216))/((1-Data!$D$33)*Data!$D$14*1000)),(IF(L216/((Data!$D$33+((1-Data!$D$33)*Data!$D$14*$H216))/((1-Data!$D$33)*Data!$D$14*1000))&gt;ChemData!U216, ChemData!U216, L216/((Data!$D$33+((1-Data!$D$33)*Data!$D$14*$H216))/((1-Data!$D$33)*Data!$D$14*1000)))))))))),"---")</f>
        <v>---</v>
      </c>
      <c r="Q216" s="376" t="str">
        <f>IF(Start!$C$16="x",IF(OR($F216 = "NA",F216=""), "NA", IF(P216= "NA", "NA",(P216+(Data!$D$30*$F216))/(Data!$D$30+1))),"---")</f>
        <v>---</v>
      </c>
      <c r="R216" s="376" t="str">
        <f>IF(Start!$C$16="x",IF(O216 = "NA","NA", IF(OR($I216 = "NA",I216=""), "NA",(IF(OR(ChemData!U216="NA",ChemData!U216=""),O216/((Data!$D$35+((1-Data!$D$35)*Data!$D$14*$I216))/((1-Data!$D$35)*Data!$D$14*1000)),(IF(O216/((Data!$D$35+((1-Data!$D$35)*Data!$D$14*$I216))/((1-Data!$D$35)*Data!$D$14*1000))&gt;ChemData!U216, ChemData!U216, O216/((Data!$D$35+((1-Data!$D$35)*Data!$D$14*$I216))/((1-Data!$D$35)*Data!$D$14*1000)))))))),"---")</f>
        <v>---</v>
      </c>
      <c r="S216" s="377" t="str">
        <f>IF(Start!$C$16="x",IF(OR($F216 = "NA",F216=""), "NA", IF(R216= "NA", "NA",(R216+(Data!$D$30*$F216))/(Data!$D$30+1))),"---")</f>
        <v>---</v>
      </c>
      <c r="T216" s="343" t="str">
        <f>IF(Start!$C$16="x",IF(AND(D216= "",E216=""),"",IF(Q216="NA","NA",IF(G216="NA","NA",IF(G216=0,"NA",(Q216/G216))))),"Not Req.")</f>
        <v>Not Req.</v>
      </c>
      <c r="U216" s="343" t="str">
        <f>IF(Start!$C$16="x",IF(AND(D216= "",E216=""),"",IF(S216="NA","NA",IF(G216="NA","NA",IF(G216=0,"NA",(S216/G216))))),"Not Req.")</f>
        <v>Not Req.</v>
      </c>
      <c r="V216" s="11"/>
    </row>
    <row r="217" spans="1:22" s="10" customFormat="1" x14ac:dyDescent="0.25">
      <c r="A217" s="306" t="s">
        <v>535</v>
      </c>
      <c r="B217" s="348" t="str">
        <f>IF(Start!$C$16="x",IF(OR(D217 ="NA",E217="NA"),"NA",IF(AND(D217= "",E217=""),"",IF(AND(D217= "",E217&lt;&gt; ""),"Missing Data",                     IF(AND(D217&lt;&gt; "",E217= ""),"Missing Data",(IF(OR(G217="NA",G217=""),"No Criteria",(IF(AND(Q217="NA",D217&lt;&gt;"NA",G217&lt;&gt;"NA"),                                               "Missing Data",(IF(Q217&lt;G217,"No","Needed")))))))))),"---")</f>
        <v>---</v>
      </c>
      <c r="C217" s="350" t="str">
        <f>IF(Start!$C$16="x",IF(OR(D217 ="NA",E217="NA"),"NA",IF(AND(D217= "",E217=""),"",IF(AND(D217= "",E217&lt;&gt; ""),"Missing Data",                     IF(AND(D217&lt;&gt; "",E217= ""),"Missing Data",(IF(OR(G217="NA",G217=""),"No Criteria",(IF(AND(S217="NA",D217&lt;&gt;"NA",G217&lt;&gt;"NA"),                                               "Missing Data",(IF(S217&lt;G217,"No","Needed")))))))))),"---")</f>
        <v>---</v>
      </c>
      <c r="D217" s="372" t="str">
        <f>IF(TRUE=ISBLANK(ChemData!B217),"",(ChemData!B217))</f>
        <v/>
      </c>
      <c r="E217" s="373" t="str">
        <f>IF(TRUE=ISBLANK(ChemData!C217),"",(ChemData!C217))</f>
        <v/>
      </c>
      <c r="F217" s="374" t="str">
        <f>IF(TRUE=ISBLANK(ChemData!D217),"",(ChemData!D217))</f>
        <v/>
      </c>
      <c r="G217" s="289">
        <f>IF(TRUE=ISBLANK(ChemData!I217),"",(ChemData!I217))</f>
        <v>1.0999999999999999E-2</v>
      </c>
      <c r="H217" s="290">
        <f>IF(TRUE=ISBLANK(ChemData!Q217),"",(ChemData!Q217))</f>
        <v>18510</v>
      </c>
      <c r="I217" s="290">
        <f>IF(TRUE=ISBLANK(ChemData!R217),"",(ChemData!R217))</f>
        <v>18510</v>
      </c>
      <c r="J217" s="290">
        <f>IF(TRUE=ISBLANK(ChemData!S217),"",(ChemData!S217))</f>
        <v>1</v>
      </c>
      <c r="K217" s="291">
        <f>IF(TRUE=ISBLANK(ChemData!T217),"",(ChemData!T217))</f>
        <v>1</v>
      </c>
      <c r="L217" s="375" t="str">
        <f>IF(Start!$C$16="x",IF(OR(D217="NA",D217=""),"NA", IF(OR($J217 = "NA",J217=""),"NA",(D217*$J217))),"---")</f>
        <v>---</v>
      </c>
      <c r="M217" s="377" t="str">
        <f>IF(Start!$C$16="x",IF(OR(D217="NA",D217=""),"NA", IF(OR($K217 = "NA",K217=""),"NA",(D217*$K217))),"---")</f>
        <v>---</v>
      </c>
      <c r="N217" s="375" t="str">
        <f t="shared" si="9"/>
        <v>---</v>
      </c>
      <c r="O217" s="377" t="str">
        <f t="shared" si="9"/>
        <v>---</v>
      </c>
      <c r="P217" s="461" t="str">
        <f>IF(Start!$C$16="x",(IF(L217 = "NA","NA", (IF(OR($H217 = "NA",H217=""), "NA",(IF(OR(ChemData!U217="NA",ChemData!U217=""),L217/((Data!$D$33+((1-Data!$D$33)*Data!$D$14*$H217))/((1-Data!$D$33)*Data!$D$14*1000)),(IF(L217/((Data!$D$33+((1-Data!$D$33)*Data!$D$14*$H217))/((1-Data!$D$33)*Data!$D$14*1000))&gt;ChemData!U217, ChemData!U217, L217/((Data!$D$33+((1-Data!$D$33)*Data!$D$14*$H217))/((1-Data!$D$33)*Data!$D$14*1000)))))))))),"---")</f>
        <v>---</v>
      </c>
      <c r="Q217" s="376" t="str">
        <f>IF(Start!$C$16="x",IF(OR($F217 = "NA",F217=""), "NA", IF(P217= "NA", "NA",(P217+(Data!$D$30*$F217))/(Data!$D$30+1))),"---")</f>
        <v>---</v>
      </c>
      <c r="R217" s="376" t="str">
        <f>IF(Start!$C$16="x",IF(O217 = "NA","NA", IF(OR($I217 = "NA",I217=""), "NA",(IF(OR(ChemData!U217="NA",ChemData!U217=""),O217/((Data!$D$35+((1-Data!$D$35)*Data!$D$14*$I217))/((1-Data!$D$35)*Data!$D$14*1000)),(IF(O217/((Data!$D$35+((1-Data!$D$35)*Data!$D$14*$I217))/((1-Data!$D$35)*Data!$D$14*1000))&gt;ChemData!U217, ChemData!U217, O217/((Data!$D$35+((1-Data!$D$35)*Data!$D$14*$I217))/((1-Data!$D$35)*Data!$D$14*1000)))))))),"---")</f>
        <v>---</v>
      </c>
      <c r="S217" s="377" t="str">
        <f>IF(Start!$C$16="x",IF(OR($F217 = "NA",F217=""), "NA", IF(R217= "NA", "NA",(R217+(Data!$D$30*$F217))/(Data!$D$30+1))),"---")</f>
        <v>---</v>
      </c>
      <c r="T217" s="343" t="str">
        <f>IF(Start!$C$16="x",IF(AND(D217= "",E217=""),"",IF(Q217="NA","NA",IF(G217="NA","NA",IF(G217=0,"NA",(Q217/G217))))),"Not Req.")</f>
        <v>Not Req.</v>
      </c>
      <c r="U217" s="343" t="str">
        <f>IF(Start!$C$16="x",IF(AND(D217= "",E217=""),"",IF(S217="NA","NA",IF(G217="NA","NA",IF(G217=0,"NA",(S217/G217))))),"Not Req.")</f>
        <v>Not Req.</v>
      </c>
      <c r="V217" s="11"/>
    </row>
    <row r="218" spans="1:22" s="10" customFormat="1" x14ac:dyDescent="0.25">
      <c r="A218" s="307" t="s">
        <v>686</v>
      </c>
      <c r="B218" s="348" t="str">
        <f>IF(Start!$C$16="x",IF(OR(D218 ="NA",E218="NA"),"NA",IF(AND(D218= "",E218=""),"",IF(AND(D218= "",E218&lt;&gt; ""),"Missing Data",                     IF(AND(D218&lt;&gt; "",E218= ""),"Missing Data",(IF(OR(G218="NA",G218=""),"No Criteria",(IF(AND(Q218="NA",D218&lt;&gt;"NA",G218&lt;&gt;"NA"),                                               "Missing Data",(IF(Q218&lt;G218,"No","Needed")))))))))),"---")</f>
        <v>---</v>
      </c>
      <c r="C218" s="350" t="str">
        <f>IF(Start!$C$16="x",IF(OR(D218 ="NA",E218="NA"),"NA",IF(AND(D218= "",E218=""),"",IF(AND(D218= "",E218&lt;&gt; ""),"Missing Data",                     IF(AND(D218&lt;&gt; "",E218= ""),"Missing Data",(IF(OR(G218="NA",G218=""),"No Criteria",(IF(AND(S218="NA",D218&lt;&gt;"NA",G218&lt;&gt;"NA"),                                               "Missing Data",(IF(S218&lt;G218,"No","Needed")))))))))),"---")</f>
        <v>---</v>
      </c>
      <c r="D218" s="372" t="str">
        <f>IF(TRUE=ISBLANK(ChemData!B218),"",(ChemData!B218))</f>
        <v/>
      </c>
      <c r="E218" s="373" t="str">
        <f>IF(TRUE=ISBLANK(ChemData!C218),"",(ChemData!C218))</f>
        <v/>
      </c>
      <c r="F218" s="374" t="str">
        <f>IF(TRUE=ISBLANK(ChemData!D218),"",(ChemData!D218))</f>
        <v/>
      </c>
      <c r="G218" s="289" t="str">
        <f>IF(TRUE=ISBLANK(ChemData!I218),"",(ChemData!I218))</f>
        <v>NA</v>
      </c>
      <c r="H218" s="290">
        <f>IF(TRUE=ISBLANK(ChemData!Q218),"",(ChemData!Q218))</f>
        <v>185100</v>
      </c>
      <c r="I218" s="290">
        <f>IF(TRUE=ISBLANK(ChemData!R218),"",(ChemData!R218))</f>
        <v>185100</v>
      </c>
      <c r="J218" s="290">
        <f>IF(TRUE=ISBLANK(ChemData!S218),"",(ChemData!S218))</f>
        <v>1</v>
      </c>
      <c r="K218" s="291">
        <f>IF(TRUE=ISBLANK(ChemData!T218),"",(ChemData!T218))</f>
        <v>1</v>
      </c>
      <c r="L218" s="375" t="str">
        <f>IF(Start!$C$16="x",IF(OR(D218="NA",D218=""),"NA", IF(OR($J218 = "NA",J218=""),"NA",(D218*$J218))),"---")</f>
        <v>---</v>
      </c>
      <c r="M218" s="377" t="str">
        <f>IF(Start!$C$16="x",IF(OR(D218="NA",D218=""),"NA", IF(OR($K218 = "NA",K218=""),"NA",(D218*$K218))),"---")</f>
        <v>---</v>
      </c>
      <c r="N218" s="375" t="str">
        <f t="shared" si="9"/>
        <v>---</v>
      </c>
      <c r="O218" s="377" t="str">
        <f t="shared" si="9"/>
        <v>---</v>
      </c>
      <c r="P218" s="461" t="str">
        <f>IF(Start!$C$16="x",(IF(L218 = "NA","NA", (IF(OR($H218 = "NA",H218=""), "NA",(IF(OR(ChemData!U218="NA",ChemData!U218=""),L218/((Data!$D$33+((1-Data!$D$33)*Data!$D$14*$H218))/((1-Data!$D$33)*Data!$D$14*1000)),(IF(L218/((Data!$D$33+((1-Data!$D$33)*Data!$D$14*$H218))/((1-Data!$D$33)*Data!$D$14*1000))&gt;ChemData!U218, ChemData!U218, L218/((Data!$D$33+((1-Data!$D$33)*Data!$D$14*$H218))/((1-Data!$D$33)*Data!$D$14*1000)))))))))),"---")</f>
        <v>---</v>
      </c>
      <c r="Q218" s="376" t="str">
        <f>IF(Start!$C$16="x",IF(OR($F218 = "NA",F218=""), "NA", IF(P218= "NA", "NA",(P218+(Data!$D$30*$F218))/(Data!$D$30+1))),"---")</f>
        <v>---</v>
      </c>
      <c r="R218" s="376" t="str">
        <f>IF(Start!$C$16="x",IF(O218 = "NA","NA", IF(OR($I218 = "NA",I218=""), "NA",(IF(OR(ChemData!U218="NA",ChemData!U218=""),O218/((Data!$D$35+((1-Data!$D$35)*Data!$D$14*$I218))/((1-Data!$D$35)*Data!$D$14*1000)),(IF(O218/((Data!$D$35+((1-Data!$D$35)*Data!$D$14*$I218))/((1-Data!$D$35)*Data!$D$14*1000))&gt;ChemData!U218, ChemData!U218, O218/((Data!$D$35+((1-Data!$D$35)*Data!$D$14*$I218))/((1-Data!$D$35)*Data!$D$14*1000)))))))),"---")</f>
        <v>---</v>
      </c>
      <c r="S218" s="377" t="str">
        <f>IF(Start!$C$16="x",IF(OR($F218 = "NA",F218=""), "NA", IF(R218= "NA", "NA",(R218+(Data!$D$30*$F218))/(Data!$D$30+1))),"---")</f>
        <v>---</v>
      </c>
      <c r="T218" s="343" t="str">
        <f>IF(Start!$C$16="x",IF(AND(D218= "",E218=""),"",IF(Q218="NA","NA",IF(G218="NA","NA",IF(G218=0,"NA",(Q218/G218))))),"Not Req.")</f>
        <v>Not Req.</v>
      </c>
      <c r="U218" s="343" t="str">
        <f>IF(Start!$C$16="x",IF(AND(D218= "",E218=""),"",IF(S218="NA","NA",IF(G218="NA","NA",IF(G218=0,"NA",(S218/G218))))),"Not Req.")</f>
        <v>Not Req.</v>
      </c>
      <c r="V218" s="11"/>
    </row>
    <row r="219" spans="1:22" s="10" customFormat="1" x14ac:dyDescent="0.25">
      <c r="A219" s="307" t="s">
        <v>687</v>
      </c>
      <c r="B219" s="348" t="str">
        <f>IF(Start!$C$16="x",IF(OR(D219 ="NA",E219="NA"),"NA",IF(AND(D219= "",E219=""),"",IF(AND(D219= "",E219&lt;&gt; ""),"Missing Data",                     IF(AND(D219&lt;&gt; "",E219= ""),"Missing Data",(IF(OR(G219="NA",G219=""),"No Criteria",(IF(AND(Q219="NA",D219&lt;&gt;"NA",G219&lt;&gt;"NA"),                                               "Missing Data",(IF(Q219&lt;G219,"No","Needed")))))))))),"---")</f>
        <v>---</v>
      </c>
      <c r="C219" s="350" t="str">
        <f>IF(Start!$C$16="x",IF(OR(D219 ="NA",E219="NA"),"NA",IF(AND(D219= "",E219=""),"",IF(AND(D219= "",E219&lt;&gt; ""),"Missing Data",                     IF(AND(D219&lt;&gt; "",E219= ""),"Missing Data",(IF(OR(G219="NA",G219=""),"No Criteria",(IF(AND(S219="NA",D219&lt;&gt;"NA",G219&lt;&gt;"NA"),                                               "Missing Data",(IF(S219&lt;G219,"No","Needed")))))))))),"---")</f>
        <v>---</v>
      </c>
      <c r="D219" s="372" t="str">
        <f>IF(TRUE=ISBLANK(ChemData!B219),"",(ChemData!B219))</f>
        <v/>
      </c>
      <c r="E219" s="373" t="str">
        <f>IF(TRUE=ISBLANK(ChemData!C219),"",(ChemData!C219))</f>
        <v/>
      </c>
      <c r="F219" s="374" t="str">
        <f>IF(TRUE=ISBLANK(ChemData!D219),"",(ChemData!D219))</f>
        <v/>
      </c>
      <c r="G219" s="289" t="str">
        <f>IF(TRUE=ISBLANK(ChemData!I219),"",(ChemData!I219))</f>
        <v>NA</v>
      </c>
      <c r="H219" s="290">
        <f>IF(TRUE=ISBLANK(ChemData!Q219),"",(ChemData!Q219))</f>
        <v>5098.0773298789536</v>
      </c>
      <c r="I219" s="290">
        <f>IF(TRUE=ISBLANK(ChemData!R219),"",(ChemData!R219))</f>
        <v>5098.0773298789536</v>
      </c>
      <c r="J219" s="290">
        <f>IF(TRUE=ISBLANK(ChemData!S219),"",(ChemData!S219))</f>
        <v>1</v>
      </c>
      <c r="K219" s="291">
        <f>IF(TRUE=ISBLANK(ChemData!T219),"",(ChemData!T219))</f>
        <v>1</v>
      </c>
      <c r="L219" s="375" t="str">
        <f>IF(Start!$C$16="x",IF(OR(D219="NA",D219=""),"NA", IF(OR($J219 = "NA",J219=""),"NA",(D219*$J219))),"---")</f>
        <v>---</v>
      </c>
      <c r="M219" s="377" t="str">
        <f>IF(Start!$C$16="x",IF(OR(D219="NA",D219=""),"NA", IF(OR($K219 = "NA",K219=""),"NA",(D219*$K219))),"---")</f>
        <v>---</v>
      </c>
      <c r="N219" s="375" t="str">
        <f t="shared" si="9"/>
        <v>---</v>
      </c>
      <c r="O219" s="377" t="str">
        <f t="shared" si="9"/>
        <v>---</v>
      </c>
      <c r="P219" s="461" t="str">
        <f>IF(Start!$C$16="x",(IF(L219 = "NA","NA", (IF(OR($H219 = "NA",H219=""), "NA",(IF(OR(ChemData!U219="NA",ChemData!U219=""),L219/((Data!$D$33+((1-Data!$D$33)*Data!$D$14*$H219))/((1-Data!$D$33)*Data!$D$14*1000)),(IF(L219/((Data!$D$33+((1-Data!$D$33)*Data!$D$14*$H219))/((1-Data!$D$33)*Data!$D$14*1000))&gt;ChemData!U219, ChemData!U219, L219/((Data!$D$33+((1-Data!$D$33)*Data!$D$14*$H219))/((1-Data!$D$33)*Data!$D$14*1000)))))))))),"---")</f>
        <v>---</v>
      </c>
      <c r="Q219" s="376" t="str">
        <f>IF(Start!$C$16="x",IF(OR($F219 = "NA",F219=""), "NA", IF(P219= "NA", "NA",(P219+(Data!$D$30*$F219))/(Data!$D$30+1))),"---")</f>
        <v>---</v>
      </c>
      <c r="R219" s="376" t="str">
        <f>IF(Start!$C$16="x",IF(O219 = "NA","NA", IF(OR($I219 = "NA",I219=""), "NA",(IF(OR(ChemData!U219="NA",ChemData!U219=""),O219/((Data!$D$35+((1-Data!$D$35)*Data!$D$14*$I219))/((1-Data!$D$35)*Data!$D$14*1000)),(IF(O219/((Data!$D$35+((1-Data!$D$35)*Data!$D$14*$I219))/((1-Data!$D$35)*Data!$D$14*1000))&gt;ChemData!U219, ChemData!U219, O219/((Data!$D$35+((1-Data!$D$35)*Data!$D$14*$I219))/((1-Data!$D$35)*Data!$D$14*1000)))))))),"---")</f>
        <v>---</v>
      </c>
      <c r="S219" s="377" t="str">
        <f>IF(Start!$C$16="x",IF(OR($F219 = "NA",F219=""), "NA", IF(R219= "NA", "NA",(R219+(Data!$D$30*$F219))/(Data!$D$30+1))),"---")</f>
        <v>---</v>
      </c>
      <c r="T219" s="343" t="str">
        <f>IF(Start!$C$16="x",IF(AND(D219= "",E219=""),"",IF(Q219="NA","NA",IF(G219="NA","NA",IF(G219=0,"NA",(Q219/G219))))),"Not Req.")</f>
        <v>Not Req.</v>
      </c>
      <c r="U219" s="343" t="str">
        <f>IF(Start!$C$16="x",IF(AND(D219= "",E219=""),"",IF(S219="NA","NA",IF(G219="NA","NA",IF(G219=0,"NA",(S219/G219))))),"Not Req.")</f>
        <v>Not Req.</v>
      </c>
      <c r="V219" s="11"/>
    </row>
    <row r="220" spans="1:22" s="10" customFormat="1" x14ac:dyDescent="0.25">
      <c r="A220" s="307" t="s">
        <v>538</v>
      </c>
      <c r="B220" s="348" t="str">
        <f>IF(Start!$C$16="x",IF(OR(D220 ="NA",E220="NA"),"NA",IF(AND(D220= "",E220=""),"",IF(AND(D220= "",E220&lt;&gt; ""),"Missing Data",                     IF(AND(D220&lt;&gt; "",E220= ""),"Missing Data",(IF(OR(G220="NA",G220=""),"No Criteria",(IF(AND(Q220="NA",D220&lt;&gt;"NA",G220&lt;&gt;"NA"),                                               "Missing Data",(IF(Q220&lt;G220,"No","Needed")))))))))),"---")</f>
        <v>---</v>
      </c>
      <c r="C220" s="350" t="str">
        <f>IF(Start!$C$16="x",IF(OR(D220 ="NA",E220="NA"),"NA",IF(AND(D220= "",E220=""),"",IF(AND(D220= "",E220&lt;&gt; ""),"Missing Data",                     IF(AND(D220&lt;&gt; "",E220= ""),"Missing Data",(IF(OR(G220="NA",G220=""),"No Criteria",(IF(AND(S220="NA",D220&lt;&gt;"NA",G220&lt;&gt;"NA"),                                               "Missing Data",(IF(S220&lt;G220,"No","Needed")))))))))),"---")</f>
        <v>---</v>
      </c>
      <c r="D220" s="372" t="str">
        <f>IF(TRUE=ISBLANK(ChemData!B220),"",(ChemData!B220))</f>
        <v/>
      </c>
      <c r="E220" s="373" t="str">
        <f>IF(TRUE=ISBLANK(ChemData!C220),"",(ChemData!C220))</f>
        <v/>
      </c>
      <c r="F220" s="374" t="str">
        <f>IF(TRUE=ISBLANK(ChemData!D220),"",(ChemData!D220))</f>
        <v/>
      </c>
      <c r="G220" s="289" t="str">
        <f>IF(TRUE=ISBLANK(ChemData!I220),"",(ChemData!I220))</f>
        <v>NA</v>
      </c>
      <c r="H220" s="290">
        <f>IF(TRUE=ISBLANK(ChemData!Q220),"",(ChemData!Q220))</f>
        <v>114131.73484456044</v>
      </c>
      <c r="I220" s="290">
        <f>IF(TRUE=ISBLANK(ChemData!R220),"",(ChemData!R220))</f>
        <v>114131.73484456044</v>
      </c>
      <c r="J220" s="290">
        <f>IF(TRUE=ISBLANK(ChemData!S220),"",(ChemData!S220))</f>
        <v>1</v>
      </c>
      <c r="K220" s="291">
        <f>IF(TRUE=ISBLANK(ChemData!T220),"",(ChemData!T220))</f>
        <v>1</v>
      </c>
      <c r="L220" s="375" t="str">
        <f>IF(Start!$C$16="x",IF(OR(D220="NA",D220=""),"NA", IF(OR($J220 = "NA",J220=""),"NA",(D220*$J220))),"---")</f>
        <v>---</v>
      </c>
      <c r="M220" s="377" t="str">
        <f>IF(Start!$C$16="x",IF(OR(D220="NA",D220=""),"NA", IF(OR($K220 = "NA",K220=""),"NA",(D220*$K220))),"---")</f>
        <v>---</v>
      </c>
      <c r="N220" s="375" t="str">
        <f t="shared" si="9"/>
        <v>---</v>
      </c>
      <c r="O220" s="377" t="str">
        <f t="shared" si="9"/>
        <v>---</v>
      </c>
      <c r="P220" s="461" t="str">
        <f>IF(Start!$C$16="x",(IF(L220 = "NA","NA", (IF(OR($H220 = "NA",H220=""), "NA",(IF(OR(ChemData!U220="NA",ChemData!U220=""),L220/((Data!$D$33+((1-Data!$D$33)*Data!$D$14*$H220))/((1-Data!$D$33)*Data!$D$14*1000)),(IF(L220/((Data!$D$33+((1-Data!$D$33)*Data!$D$14*$H220))/((1-Data!$D$33)*Data!$D$14*1000))&gt;ChemData!U220, ChemData!U220, L220/((Data!$D$33+((1-Data!$D$33)*Data!$D$14*$H220))/((1-Data!$D$33)*Data!$D$14*1000)))))))))),"---")</f>
        <v>---</v>
      </c>
      <c r="Q220" s="376" t="str">
        <f>IF(Start!$C$16="x",IF(OR($F220 = "NA",F220=""), "NA", IF(P220= "NA", "NA",(P220+(Data!$D$30*$F220))/(Data!$D$30+1))),"---")</f>
        <v>---</v>
      </c>
      <c r="R220" s="376" t="str">
        <f>IF(Start!$C$16="x",IF(O220 = "NA","NA", IF(OR($I220 = "NA",I220=""), "NA",(IF(OR(ChemData!U220="NA",ChemData!U220=""),O220/((Data!$D$35+((1-Data!$D$35)*Data!$D$14*$I220))/((1-Data!$D$35)*Data!$D$14*1000)),(IF(O220/((Data!$D$35+((1-Data!$D$35)*Data!$D$14*$I220))/((1-Data!$D$35)*Data!$D$14*1000))&gt;ChemData!U220, ChemData!U220, O220/((Data!$D$35+((1-Data!$D$35)*Data!$D$14*$I220))/((1-Data!$D$35)*Data!$D$14*1000)))))))),"---")</f>
        <v>---</v>
      </c>
      <c r="S220" s="377" t="str">
        <f>IF(Start!$C$16="x",IF(OR($F220 = "NA",F220=""), "NA", IF(R220= "NA", "NA",(R220+(Data!$D$30*$F220))/(Data!$D$30+1))),"---")</f>
        <v>---</v>
      </c>
      <c r="T220" s="343" t="str">
        <f>IF(Start!$C$16="x",IF(AND(D220= "",E220=""),"",IF(Q220="NA","NA",IF(G220="NA","NA",IF(G220=0,"NA",(Q220/G220))))),"Not Req.")</f>
        <v>Not Req.</v>
      </c>
      <c r="U220" s="343" t="str">
        <f>IF(Start!$C$16="x",IF(AND(D220= "",E220=""),"",IF(S220="NA","NA",IF(G220="NA","NA",IF(G220=0,"NA",(S220/G220))))),"Not Req.")</f>
        <v>Not Req.</v>
      </c>
      <c r="V220" s="11"/>
    </row>
    <row r="221" spans="1:22" s="10" customFormat="1" x14ac:dyDescent="0.25">
      <c r="A221" s="307" t="s">
        <v>688</v>
      </c>
      <c r="B221" s="348" t="str">
        <f>IF(Start!$C$16="x",IF(OR(D221 ="NA",E221="NA"),"NA",IF(AND(D221= "",E221=""),"",IF(AND(D221= "",E221&lt;&gt; ""),"Missing Data",                     IF(AND(D221&lt;&gt; "",E221= ""),"Missing Data",(IF(OR(G221="NA",G221=""),"No Criteria",(IF(AND(Q221="NA",D221&lt;&gt;"NA",G221&lt;&gt;"NA"),                                               "Missing Data",(IF(Q221&lt;G221,"No","Needed")))))))))),"---")</f>
        <v>---</v>
      </c>
      <c r="C221" s="350" t="str">
        <f>IF(Start!$C$16="x",IF(OR(D221 ="NA",E221="NA"),"NA",IF(AND(D221= "",E221=""),"",IF(AND(D221= "",E221&lt;&gt; ""),"Missing Data",                     IF(AND(D221&lt;&gt; "",E221= ""),"Missing Data",(IF(OR(G221="NA",G221=""),"No Criteria",(IF(AND(S221="NA",D221&lt;&gt;"NA",G221&lt;&gt;"NA"),                                               "Missing Data",(IF(S221&lt;G221,"No","Needed")))))))))),"---")</f>
        <v>---</v>
      </c>
      <c r="D221" s="372" t="str">
        <f>IF(TRUE=ISBLANK(ChemData!B221),"",(ChemData!B221))</f>
        <v/>
      </c>
      <c r="E221" s="373" t="str">
        <f>IF(TRUE=ISBLANK(ChemData!C221),"",(ChemData!C221))</f>
        <v/>
      </c>
      <c r="F221" s="374" t="str">
        <f>IF(TRUE=ISBLANK(ChemData!D221),"",(ChemData!D221))</f>
        <v/>
      </c>
      <c r="G221" s="289">
        <f>IF(TRUE=ISBLANK(ChemData!I221),"",(ChemData!I221))</f>
        <v>1E-3</v>
      </c>
      <c r="H221" s="290">
        <f>IF(TRUE=ISBLANK(ChemData!Q221),"",(ChemData!Q221))</f>
        <v>28690.5</v>
      </c>
      <c r="I221" s="290">
        <f>IF(TRUE=ISBLANK(ChemData!R221),"",(ChemData!R221))</f>
        <v>28690.5</v>
      </c>
      <c r="J221" s="290">
        <f>IF(TRUE=ISBLANK(ChemData!S221),"",(ChemData!S221))</f>
        <v>1</v>
      </c>
      <c r="K221" s="291">
        <f>IF(TRUE=ISBLANK(ChemData!T221),"",(ChemData!T221))</f>
        <v>1</v>
      </c>
      <c r="L221" s="375" t="str">
        <f>IF(Start!$C$16="x",IF(OR(D221="NA",D221=""),"NA", IF(OR($J221 = "NA",J221=""),"NA",(D221*$J221))),"---")</f>
        <v>---</v>
      </c>
      <c r="M221" s="377" t="str">
        <f>IF(Start!$C$16="x",IF(OR(D221="NA",D221=""),"NA", IF(OR($K221 = "NA",K221=""),"NA",(D221*$K221))),"---")</f>
        <v>---</v>
      </c>
      <c r="N221" s="375" t="str">
        <f t="shared" si="9"/>
        <v>---</v>
      </c>
      <c r="O221" s="377" t="str">
        <f t="shared" si="9"/>
        <v>---</v>
      </c>
      <c r="P221" s="461" t="str">
        <f>IF(Start!$C$16="x",(IF(L221 = "NA","NA", (IF(OR($H221 = "NA",H221=""), "NA",(IF(OR(ChemData!U221="NA",ChemData!U221=""),L221/((Data!$D$33+((1-Data!$D$33)*Data!$D$14*$H221))/((1-Data!$D$33)*Data!$D$14*1000)),(IF(L221/((Data!$D$33+((1-Data!$D$33)*Data!$D$14*$H221))/((1-Data!$D$33)*Data!$D$14*1000))&gt;ChemData!U221, ChemData!U221, L221/((Data!$D$33+((1-Data!$D$33)*Data!$D$14*$H221))/((1-Data!$D$33)*Data!$D$14*1000)))))))))),"---")</f>
        <v>---</v>
      </c>
      <c r="Q221" s="376" t="str">
        <f>IF(Start!$C$16="x",IF(OR($F221 = "NA",F221=""), "NA", IF(P221= "NA", "NA",(P221+(Data!$D$30*$F221))/(Data!$D$30+1))),"---")</f>
        <v>---</v>
      </c>
      <c r="R221" s="376" t="str">
        <f>IF(Start!$C$16="x",IF(O221 = "NA","NA", IF(OR($I221 = "NA",I221=""), "NA",(IF(OR(ChemData!U221="NA",ChemData!U221=""),O221/((Data!$D$35+((1-Data!$D$35)*Data!$D$14*$I221))/((1-Data!$D$35)*Data!$D$14*1000)),(IF(O221/((Data!$D$35+((1-Data!$D$35)*Data!$D$14*$I221))/((1-Data!$D$35)*Data!$D$14*1000))&gt;ChemData!U221, ChemData!U221, O221/((Data!$D$35+((1-Data!$D$35)*Data!$D$14*$I221))/((1-Data!$D$35)*Data!$D$14*1000)))))))),"---")</f>
        <v>---</v>
      </c>
      <c r="S221" s="377" t="str">
        <f>IF(Start!$C$16="x",IF(OR($F221 = "NA",F221=""), "NA", IF(R221= "NA", "NA",(R221+(Data!$D$30*$F221))/(Data!$D$30+1))),"---")</f>
        <v>---</v>
      </c>
      <c r="T221" s="343" t="str">
        <f>IF(Start!$C$16="x",IF(AND(D221= "",E221=""),"",IF(Q221="NA","NA",IF(G221="NA","NA",IF(G221=0,"NA",(Q221/G221))))),"Not Req.")</f>
        <v>Not Req.</v>
      </c>
      <c r="U221" s="343" t="str">
        <f>IF(Start!$C$16="x",IF(AND(D221= "",E221=""),"",IF(S221="NA","NA",IF(G221="NA","NA",IF(G221=0,"NA",(S221/G221))))),"Not Req.")</f>
        <v>Not Req.</v>
      </c>
      <c r="V221" s="11"/>
    </row>
    <row r="222" spans="1:22" s="10" customFormat="1" x14ac:dyDescent="0.25">
      <c r="A222" s="307" t="s">
        <v>689</v>
      </c>
      <c r="B222" s="348" t="str">
        <f>IF(Start!$C$16="x",IF(OR(D222 ="NA",E222="NA"),"NA",IF(AND(D222= "",E222=""),"",IF(AND(D222= "",E222&lt;&gt; ""),"Missing Data",                     IF(AND(D222&lt;&gt; "",E222= ""),"Missing Data",(IF(OR(G222="NA",G222=""),"No Criteria",(IF(AND(Q222="NA",D222&lt;&gt;"NA",G222&lt;&gt;"NA"),                                               "Missing Data",(IF(Q222&lt;G222,"No","Needed")))))))))),"---")</f>
        <v>---</v>
      </c>
      <c r="C222" s="350" t="str">
        <f>IF(Start!$C$16="x",IF(OR(D222 ="NA",E222="NA"),"NA",IF(AND(D222= "",E222=""),"",IF(AND(D222= "",E222&lt;&gt; ""),"Missing Data",                     IF(AND(D222&lt;&gt; "",E222= ""),"Missing Data",(IF(OR(G222="NA",G222=""),"No Criteria",(IF(AND(S222="NA",D222&lt;&gt;"NA",G222&lt;&gt;"NA"),                                               "Missing Data",(IF(S222&lt;G222,"No","Needed")))))))))),"---")</f>
        <v>---</v>
      </c>
      <c r="D222" s="372" t="str">
        <f>IF(TRUE=ISBLANK(ChemData!B222),"",(ChemData!B222))</f>
        <v/>
      </c>
      <c r="E222" s="373" t="str">
        <f>IF(TRUE=ISBLANK(ChemData!C222),"",(ChemData!C222))</f>
        <v/>
      </c>
      <c r="F222" s="374" t="str">
        <f>IF(TRUE=ISBLANK(ChemData!D222),"",(ChemData!D222))</f>
        <v/>
      </c>
      <c r="G222" s="289" t="str">
        <f>IF(TRUE=ISBLANK(ChemData!I222),"",(ChemData!I222))</f>
        <v>NA</v>
      </c>
      <c r="H222" s="290">
        <f>IF(TRUE=ISBLANK(ChemData!Q222),"",(ChemData!Q222))</f>
        <v>464.9501784724244</v>
      </c>
      <c r="I222" s="290">
        <f>IF(TRUE=ISBLANK(ChemData!R222),"",(ChemData!R222))</f>
        <v>464.9501784724244</v>
      </c>
      <c r="J222" s="290">
        <f>IF(TRUE=ISBLANK(ChemData!S222),"",(ChemData!S222))</f>
        <v>1</v>
      </c>
      <c r="K222" s="291">
        <f>IF(TRUE=ISBLANK(ChemData!T222),"",(ChemData!T222))</f>
        <v>1</v>
      </c>
      <c r="L222" s="375" t="str">
        <f>IF(Start!$C$16="x",IF(OR(D222="NA",D222=""),"NA", IF(OR($J222 = "NA",J222=""),"NA",(D222*$J222))),"---")</f>
        <v>---</v>
      </c>
      <c r="M222" s="377" t="str">
        <f>IF(Start!$C$16="x",IF(OR(D222="NA",D222=""),"NA", IF(OR($K222 = "NA",K222=""),"NA",(D222*$K222))),"---")</f>
        <v>---</v>
      </c>
      <c r="N222" s="375" t="str">
        <f t="shared" si="9"/>
        <v>---</v>
      </c>
      <c r="O222" s="377" t="str">
        <f t="shared" si="9"/>
        <v>---</v>
      </c>
      <c r="P222" s="461" t="str">
        <f>IF(Start!$C$16="x",(IF(L222 = "NA","NA", (IF(OR($H222 = "NA",H222=""), "NA",(IF(OR(ChemData!U222="NA",ChemData!U222=""),L222/((Data!$D$33+((1-Data!$D$33)*Data!$D$14*$H222))/((1-Data!$D$33)*Data!$D$14*1000)),(IF(L222/((Data!$D$33+((1-Data!$D$33)*Data!$D$14*$H222))/((1-Data!$D$33)*Data!$D$14*1000))&gt;ChemData!U222, ChemData!U222, L222/((Data!$D$33+((1-Data!$D$33)*Data!$D$14*$H222))/((1-Data!$D$33)*Data!$D$14*1000)))))))))),"---")</f>
        <v>---</v>
      </c>
      <c r="Q222" s="376" t="str">
        <f>IF(Start!$C$16="x",IF(OR($F222 = "NA",F222=""), "NA", IF(P222= "NA", "NA",(P222+(Data!$D$30*$F222))/(Data!$D$30+1))),"---")</f>
        <v>---</v>
      </c>
      <c r="R222" s="376" t="str">
        <f>IF(Start!$C$16="x",IF(O222 = "NA","NA", IF(OR($I222 = "NA",I222=""), "NA",(IF(OR(ChemData!U222="NA",ChemData!U222=""),O222/((Data!$D$35+((1-Data!$D$35)*Data!$D$14*$I222))/((1-Data!$D$35)*Data!$D$14*1000)),(IF(O222/((Data!$D$35+((1-Data!$D$35)*Data!$D$14*$I222))/((1-Data!$D$35)*Data!$D$14*1000))&gt;ChemData!U222, ChemData!U222, O222/((Data!$D$35+((1-Data!$D$35)*Data!$D$14*$I222))/((1-Data!$D$35)*Data!$D$14*1000)))))))),"---")</f>
        <v>---</v>
      </c>
      <c r="S222" s="377" t="str">
        <f>IF(Start!$C$16="x",IF(OR($F222 = "NA",F222=""), "NA", IF(R222= "NA", "NA",(R222+(Data!$D$30*$F222))/(Data!$D$30+1))),"---")</f>
        <v>---</v>
      </c>
      <c r="T222" s="343" t="str">
        <f>IF(Start!$C$16="x",IF(AND(D222= "",E222=""),"",IF(Q222="NA","NA",IF(G222="NA","NA",IF(G222=0,"NA",(Q222/G222))))),"Not Req.")</f>
        <v>Not Req.</v>
      </c>
      <c r="U222" s="343" t="str">
        <f>IF(Start!$C$16="x",IF(AND(D222= "",E222=""),"",IF(S222="NA","NA",IF(G222="NA","NA",IF(G222=0,"NA",(S222/G222))))),"Not Req.")</f>
        <v>Not Req.</v>
      </c>
      <c r="V222" s="11"/>
    </row>
    <row r="223" spans="1:22" s="10" customFormat="1" x14ac:dyDescent="0.25">
      <c r="A223" s="307" t="s">
        <v>541</v>
      </c>
      <c r="B223" s="348" t="str">
        <f>IF(Start!$C$16="x",IF(OR(D223 ="NA",E223="NA"),"NA",IF(AND(D223= "",E223=""),"",IF(AND(D223= "",E223&lt;&gt; ""),"Missing Data",                     IF(AND(D223&lt;&gt; "",E223= ""),"Missing Data",(IF(OR(G223="NA",G223=""),"No Criteria",(IF(AND(Q223="NA",D223&lt;&gt;"NA",G223&lt;&gt;"NA"),                                               "Missing Data",(IF(Q223&lt;G223,"No","Needed")))))))))),"---")</f>
        <v>---</v>
      </c>
      <c r="C223" s="350" t="str">
        <f>IF(Start!$C$16="x",IF(OR(D223 ="NA",E223="NA"),"NA",IF(AND(D223= "",E223=""),"",IF(AND(D223= "",E223&lt;&gt; ""),"Missing Data",                     IF(AND(D223&lt;&gt; "",E223= ""),"Missing Data",(IF(OR(G223="NA",G223=""),"No Criteria",(IF(AND(S223="NA",D223&lt;&gt;"NA",G223&lt;&gt;"NA"),                                               "Missing Data",(IF(S223&lt;G223,"No","Needed")))))))))),"---")</f>
        <v>---</v>
      </c>
      <c r="D223" s="372" t="str">
        <f>IF(TRUE=ISBLANK(ChemData!B223),"",(ChemData!B223))</f>
        <v/>
      </c>
      <c r="E223" s="373" t="str">
        <f>IF(TRUE=ISBLANK(ChemData!C223),"",(ChemData!C223))</f>
        <v/>
      </c>
      <c r="F223" s="374" t="str">
        <f>IF(TRUE=ISBLANK(ChemData!D223),"",(ChemData!D223))</f>
        <v/>
      </c>
      <c r="G223" s="289" t="str">
        <f>IF(TRUE=ISBLANK(ChemData!I223),"",(ChemData!I223))</f>
        <v>NA</v>
      </c>
      <c r="H223" s="290">
        <f>IF(TRUE=ISBLANK(ChemData!Q223),"",(ChemData!Q223))</f>
        <v>11.950056</v>
      </c>
      <c r="I223" s="290">
        <f>IF(TRUE=ISBLANK(ChemData!R223),"",(ChemData!R223))</f>
        <v>11.950056</v>
      </c>
      <c r="J223" s="290">
        <f>IF(TRUE=ISBLANK(ChemData!S223),"",(ChemData!S223))</f>
        <v>1</v>
      </c>
      <c r="K223" s="291">
        <f>IF(TRUE=ISBLANK(ChemData!T223),"",(ChemData!T223))</f>
        <v>1</v>
      </c>
      <c r="L223" s="375" t="str">
        <f>IF(Start!$C$16="x",IF(OR(D223="NA",D223=""),"NA", IF(OR($J223 = "NA",J223=""),"NA",(D223*$J223))),"---")</f>
        <v>---</v>
      </c>
      <c r="M223" s="377" t="str">
        <f>IF(Start!$C$16="x",IF(OR(D223="NA",D223=""),"NA", IF(OR($K223 = "NA",K223=""),"NA",(D223*$K223))),"---")</f>
        <v>---</v>
      </c>
      <c r="N223" s="375" t="str">
        <f t="shared" si="9"/>
        <v>---</v>
      </c>
      <c r="O223" s="377" t="str">
        <f t="shared" si="9"/>
        <v>---</v>
      </c>
      <c r="P223" s="461" t="str">
        <f>IF(Start!$C$16="x",(IF(L223 = "NA","NA", (IF(OR($H223 = "NA",H223=""), "NA",(IF(OR(ChemData!U223="NA",ChemData!U223=""),L223/((Data!$D$33+((1-Data!$D$33)*Data!$D$14*$H223))/((1-Data!$D$33)*Data!$D$14*1000)),(IF(L223/((Data!$D$33+((1-Data!$D$33)*Data!$D$14*$H223))/((1-Data!$D$33)*Data!$D$14*1000))&gt;ChemData!U223, ChemData!U223, L223/((Data!$D$33+((1-Data!$D$33)*Data!$D$14*$H223))/((1-Data!$D$33)*Data!$D$14*1000)))))))))),"---")</f>
        <v>---</v>
      </c>
      <c r="Q223" s="376" t="str">
        <f>IF(Start!$C$16="x",IF(OR($F223 = "NA",F223=""), "NA", IF(P223= "NA", "NA",(P223+(Data!$D$30*$F223))/(Data!$D$30+1))),"---")</f>
        <v>---</v>
      </c>
      <c r="R223" s="376" t="str">
        <f>IF(Start!$C$16="x",IF(O223 = "NA","NA", IF(OR($I223 = "NA",I223=""), "NA",(IF(OR(ChemData!U223="NA",ChemData!U223=""),O223/((Data!$D$35+((1-Data!$D$35)*Data!$D$14*$I223))/((1-Data!$D$35)*Data!$D$14*1000)),(IF(O223/((Data!$D$35+((1-Data!$D$35)*Data!$D$14*$I223))/((1-Data!$D$35)*Data!$D$14*1000))&gt;ChemData!U223, ChemData!U223, O223/((Data!$D$35+((1-Data!$D$35)*Data!$D$14*$I223))/((1-Data!$D$35)*Data!$D$14*1000)))))))),"---")</f>
        <v>---</v>
      </c>
      <c r="S223" s="377" t="str">
        <f>IF(Start!$C$16="x",IF(OR($F223 = "NA",F223=""), "NA", IF(R223= "NA", "NA",(R223+(Data!$D$30*$F223))/(Data!$D$30+1))),"---")</f>
        <v>---</v>
      </c>
      <c r="T223" s="343" t="str">
        <f>IF(Start!$C$16="x",IF(AND(D223= "",E223=""),"",IF(Q223="NA","NA",IF(G223="NA","NA",IF(G223=0,"NA",(Q223/G223))))),"Not Req.")</f>
        <v>Not Req.</v>
      </c>
      <c r="U223" s="343" t="str">
        <f>IF(Start!$C$16="x",IF(AND(D223= "",E223=""),"",IF(S223="NA","NA",IF(G223="NA","NA",IF(G223=0,"NA",(S223/G223))))),"Not Req.")</f>
        <v>Not Req.</v>
      </c>
      <c r="V223" s="11"/>
    </row>
    <row r="224" spans="1:22" s="10" customFormat="1" x14ac:dyDescent="0.25">
      <c r="A224" s="307" t="s">
        <v>542</v>
      </c>
      <c r="B224" s="348" t="str">
        <f>IF(Start!$C$16="x",IF(OR(D224 ="NA",E224="NA"),"NA",IF(AND(D224= "",E224=""),"",IF(AND(D224= "",E224&lt;&gt; ""),"Missing Data",                     IF(AND(D224&lt;&gt; "",E224= ""),"Missing Data",(IF(OR(G224="NA",G224=""),"No Criteria",(IF(AND(Q224="NA",D224&lt;&gt;"NA",G224&lt;&gt;"NA"),                                               "Missing Data",(IF(Q224&lt;G224,"No","Needed")))))))))),"---")</f>
        <v>---</v>
      </c>
      <c r="C224" s="350" t="str">
        <f>IF(Start!$C$16="x",IF(OR(D224 ="NA",E224="NA"),"NA",IF(AND(D224= "",E224=""),"",IF(AND(D224= "",E224&lt;&gt; ""),"Missing Data",                     IF(AND(D224&lt;&gt; "",E224= ""),"Missing Data",(IF(OR(G224="NA",G224=""),"No Criteria",(IF(AND(S224="NA",D224&lt;&gt;"NA",G224&lt;&gt;"NA"),                                               "Missing Data",(IF(S224&lt;G224,"No","Needed")))))))))),"---")</f>
        <v>---</v>
      </c>
      <c r="D224" s="372" t="str">
        <f>IF(TRUE=ISBLANK(ChemData!B224),"",(ChemData!B224))</f>
        <v/>
      </c>
      <c r="E224" s="373" t="str">
        <f>IF(TRUE=ISBLANK(ChemData!C224),"",(ChemData!C224))</f>
        <v/>
      </c>
      <c r="F224" s="374" t="str">
        <f>IF(TRUE=ISBLANK(ChemData!D224),"",(ChemData!D224))</f>
        <v/>
      </c>
      <c r="G224" s="289" t="str">
        <f>IF(TRUE=ISBLANK(ChemData!I224),"",(ChemData!I224))</f>
        <v>NA</v>
      </c>
      <c r="H224" s="290">
        <f>IF(TRUE=ISBLANK(ChemData!Q224),"",(ChemData!Q224))</f>
        <v>1938.234942442215</v>
      </c>
      <c r="I224" s="290">
        <f>IF(TRUE=ISBLANK(ChemData!R224),"",(ChemData!R224))</f>
        <v>1938.234942442215</v>
      </c>
      <c r="J224" s="290">
        <f>IF(TRUE=ISBLANK(ChemData!S224),"",(ChemData!S224))</f>
        <v>1</v>
      </c>
      <c r="K224" s="291">
        <f>IF(TRUE=ISBLANK(ChemData!T224),"",(ChemData!T224))</f>
        <v>1</v>
      </c>
      <c r="L224" s="375" t="str">
        <f>IF(Start!$C$16="x",IF(OR(D224="NA",D224=""),"NA", IF(OR($J224 = "NA",J224=""),"NA",(D224*$J224))),"---")</f>
        <v>---</v>
      </c>
      <c r="M224" s="377" t="str">
        <f>IF(Start!$C$16="x",IF(OR(D224="NA",D224=""),"NA", IF(OR($K224 = "NA",K224=""),"NA",(D224*$K224))),"---")</f>
        <v>---</v>
      </c>
      <c r="N224" s="375" t="str">
        <f t="shared" si="9"/>
        <v>---</v>
      </c>
      <c r="O224" s="377" t="str">
        <f t="shared" si="9"/>
        <v>---</v>
      </c>
      <c r="P224" s="461" t="str">
        <f>IF(Start!$C$16="x",(IF(L224 = "NA","NA", (IF(OR($H224 = "NA",H224=""), "NA",(IF(OR(ChemData!U224="NA",ChemData!U224=""),L224/((Data!$D$33+((1-Data!$D$33)*Data!$D$14*$H224))/((1-Data!$D$33)*Data!$D$14*1000)),(IF(L224/((Data!$D$33+((1-Data!$D$33)*Data!$D$14*$H224))/((1-Data!$D$33)*Data!$D$14*1000))&gt;ChemData!U224, ChemData!U224, L224/((Data!$D$33+((1-Data!$D$33)*Data!$D$14*$H224))/((1-Data!$D$33)*Data!$D$14*1000)))))))))),"---")</f>
        <v>---</v>
      </c>
      <c r="Q224" s="376" t="str">
        <f>IF(Start!$C$16="x",IF(OR($F224 = "NA",F224=""), "NA", IF(P224= "NA", "NA",(P224+(Data!$D$30*$F224))/(Data!$D$30+1))),"---")</f>
        <v>---</v>
      </c>
      <c r="R224" s="376" t="str">
        <f>IF(Start!$C$16="x",IF(O224 = "NA","NA", IF(OR($I224 = "NA",I224=""), "NA",(IF(OR(ChemData!U224="NA",ChemData!U224=""),O224/((Data!$D$35+((1-Data!$D$35)*Data!$D$14*$I224))/((1-Data!$D$35)*Data!$D$14*1000)),(IF(O224/((Data!$D$35+((1-Data!$D$35)*Data!$D$14*$I224))/((1-Data!$D$35)*Data!$D$14*1000))&gt;ChemData!U224, ChemData!U224, O224/((Data!$D$35+((1-Data!$D$35)*Data!$D$14*$I224))/((1-Data!$D$35)*Data!$D$14*1000)))))))),"---")</f>
        <v>---</v>
      </c>
      <c r="S224" s="377" t="str">
        <f>IF(Start!$C$16="x",IF(OR($F224 = "NA",F224=""), "NA", IF(R224= "NA", "NA",(R224+(Data!$D$30*$F224))/(Data!$D$30+1))),"---")</f>
        <v>---</v>
      </c>
      <c r="T224" s="343" t="str">
        <f>IF(Start!$C$16="x",IF(AND(D224= "",E224=""),"",IF(Q224="NA","NA",IF(G224="NA","NA",IF(G224=0,"NA",(Q224/G224))))),"Not Req.")</f>
        <v>Not Req.</v>
      </c>
      <c r="U224" s="343" t="str">
        <f>IF(Start!$C$16="x",IF(AND(D224= "",E224=""),"",IF(S224="NA","NA",IF(G224="NA","NA",IF(G224=0,"NA",(S224/G224))))),"Not Req.")</f>
        <v>Not Req.</v>
      </c>
      <c r="V224" s="11"/>
    </row>
    <row r="225" spans="1:22" s="10" customFormat="1" x14ac:dyDescent="0.25">
      <c r="A225" s="307" t="s">
        <v>543</v>
      </c>
      <c r="B225" s="348" t="str">
        <f>IF(Start!$C$16="x",IF(OR(D225 ="NA",E225="NA"),"NA",IF(AND(D225= "",E225=""),"",IF(AND(D225= "",E225&lt;&gt; ""),"Missing Data",                     IF(AND(D225&lt;&gt; "",E225= ""),"Missing Data",(IF(OR(G225="NA",G225=""),"No Criteria",(IF(AND(Q225="NA",D225&lt;&gt;"NA",G225&lt;&gt;"NA"),                                               "Missing Data",(IF(Q225&lt;G225,"No","Needed")))))))))),"---")</f>
        <v>---</v>
      </c>
      <c r="C225" s="350" t="str">
        <f>IF(Start!$C$16="x",IF(OR(D225 ="NA",E225="NA"),"NA",IF(AND(D225= "",E225=""),"",IF(AND(D225= "",E225&lt;&gt; ""),"Missing Data",                     IF(AND(D225&lt;&gt; "",E225= ""),"Missing Data",(IF(OR(G225="NA",G225=""),"No Criteria",(IF(AND(S225="NA",D225&lt;&gt;"NA",G225&lt;&gt;"NA"),                                               "Missing Data",(IF(S225&lt;G225,"No","Needed")))))))))),"---")</f>
        <v>---</v>
      </c>
      <c r="D225" s="372" t="str">
        <f>IF(TRUE=ISBLANK(ChemData!B225),"",(ChemData!B225))</f>
        <v/>
      </c>
      <c r="E225" s="373" t="str">
        <f>IF(TRUE=ISBLANK(ChemData!C225),"",(ChemData!C225))</f>
        <v/>
      </c>
      <c r="F225" s="374" t="str">
        <f>IF(TRUE=ISBLANK(ChemData!D225),"",(ChemData!D225))</f>
        <v/>
      </c>
      <c r="G225" s="289">
        <f>IF(TRUE=ISBLANK(ChemData!I225),"",(ChemData!I225))</f>
        <v>5.6000000000000001E-2</v>
      </c>
      <c r="H225" s="290">
        <f>IF(TRUE=ISBLANK(ChemData!Q225),"",(ChemData!Q225))</f>
        <v>4339.1675371571837</v>
      </c>
      <c r="I225" s="290">
        <f>IF(TRUE=ISBLANK(ChemData!R225),"",(ChemData!R225))</f>
        <v>4339.1675371571837</v>
      </c>
      <c r="J225" s="290">
        <f>IF(TRUE=ISBLANK(ChemData!S225),"",(ChemData!S225))</f>
        <v>1</v>
      </c>
      <c r="K225" s="291">
        <f>IF(TRUE=ISBLANK(ChemData!T225),"",(ChemData!T225))</f>
        <v>1</v>
      </c>
      <c r="L225" s="375" t="str">
        <f>IF(Start!$C$16="x",IF(OR(D225="NA",D225=""),"NA", IF(OR($J225 = "NA",J225=""),"NA",(D225*$J225))),"---")</f>
        <v>---</v>
      </c>
      <c r="M225" s="377" t="str">
        <f>IF(Start!$C$16="x",IF(OR(D225="NA",D225=""),"NA", IF(OR($K225 = "NA",K225=""),"NA",(D225*$K225))),"---")</f>
        <v>---</v>
      </c>
      <c r="N225" s="375" t="str">
        <f t="shared" si="9"/>
        <v>---</v>
      </c>
      <c r="O225" s="377" t="str">
        <f t="shared" si="9"/>
        <v>---</v>
      </c>
      <c r="P225" s="461" t="str">
        <f>IF(Start!$C$16="x",(IF(L225 = "NA","NA", (IF(OR($H225 = "NA",H225=""), "NA",(IF(OR(ChemData!U225="NA",ChemData!U225=""),L225/((Data!$D$33+((1-Data!$D$33)*Data!$D$14*$H225))/((1-Data!$D$33)*Data!$D$14*1000)),(IF(L225/((Data!$D$33+((1-Data!$D$33)*Data!$D$14*$H225))/((1-Data!$D$33)*Data!$D$14*1000))&gt;ChemData!U225, ChemData!U225, L225/((Data!$D$33+((1-Data!$D$33)*Data!$D$14*$H225))/((1-Data!$D$33)*Data!$D$14*1000)))))))))),"---")</f>
        <v>---</v>
      </c>
      <c r="Q225" s="376" t="str">
        <f>IF(Start!$C$16="x",IF(OR($F225 = "NA",F225=""), "NA", IF(P225= "NA", "NA",(P225+(Data!$D$30*$F225))/(Data!$D$30+1))),"---")</f>
        <v>---</v>
      </c>
      <c r="R225" s="376" t="str">
        <f>IF(Start!$C$16="x",IF(O225 = "NA","NA", IF(OR($I225 = "NA",I225=""), "NA",(IF(OR(ChemData!U225="NA",ChemData!U225=""),O225/((Data!$D$35+((1-Data!$D$35)*Data!$D$14*$I225))/((1-Data!$D$35)*Data!$D$14*1000)),(IF(O225/((Data!$D$35+((1-Data!$D$35)*Data!$D$14*$I225))/((1-Data!$D$35)*Data!$D$14*1000))&gt;ChemData!U225, ChemData!U225, O225/((Data!$D$35+((1-Data!$D$35)*Data!$D$14*$I225))/((1-Data!$D$35)*Data!$D$14*1000)))))))),"---")</f>
        <v>---</v>
      </c>
      <c r="S225" s="377" t="str">
        <f>IF(Start!$C$16="x",IF(OR($F225 = "NA",F225=""), "NA", IF(R225= "NA", "NA",(R225+(Data!$D$30*$F225))/(Data!$D$30+1))),"---")</f>
        <v>---</v>
      </c>
      <c r="T225" s="343" t="str">
        <f>IF(Start!$C$16="x",IF(AND(D225= "",E225=""),"",IF(Q225="NA","NA",IF(G225="NA","NA",IF(G225=0,"NA",(Q225/G225))))),"Not Req.")</f>
        <v>Not Req.</v>
      </c>
      <c r="U225" s="343" t="str">
        <f>IF(Start!$C$16="x",IF(AND(D225= "",E225=""),"",IF(S225="NA","NA",IF(G225="NA","NA",IF(G225=0,"NA",(S225/G225))))),"Not Req.")</f>
        <v>Not Req.</v>
      </c>
      <c r="V225" s="11"/>
    </row>
    <row r="226" spans="1:22" s="10" customFormat="1" x14ac:dyDescent="0.25">
      <c r="A226" s="307" t="s">
        <v>544</v>
      </c>
      <c r="B226" s="348" t="str">
        <f>IF(Start!$C$16="x",IF(OR(D226 ="NA",E226="NA"),"NA",IF(AND(D226= "",E226=""),"",IF(AND(D226= "",E226&lt;&gt; ""),"Missing Data",                     IF(AND(D226&lt;&gt; "",E226= ""),"Missing Data",(IF(OR(G226="NA",G226=""),"No Criteria",(IF(AND(Q226="NA",D226&lt;&gt;"NA",G226&lt;&gt;"NA"),                                               "Missing Data",(IF(Q226&lt;G226,"No","Needed")))))))))),"---")</f>
        <v>---</v>
      </c>
      <c r="C226" s="350" t="str">
        <f>IF(Start!$C$16="x",IF(OR(D226 ="NA",E226="NA"),"NA",IF(AND(D226= "",E226=""),"",IF(AND(D226= "",E226&lt;&gt; ""),"Missing Data",                     IF(AND(D226&lt;&gt; "",E226= ""),"Missing Data",(IF(OR(G226="NA",G226=""),"No Criteria",(IF(AND(S226="NA",D226&lt;&gt;"NA",G226&lt;&gt;"NA"),                                               "Missing Data",(IF(S226&lt;G226,"No","Needed")))))))))),"---")</f>
        <v>---</v>
      </c>
      <c r="D226" s="372" t="str">
        <f>IF(TRUE=ISBLANK(ChemData!B226),"",(ChemData!B226))</f>
        <v/>
      </c>
      <c r="E226" s="373" t="str">
        <f>IF(TRUE=ISBLANK(ChemData!C226),"",(ChemData!C226))</f>
        <v/>
      </c>
      <c r="F226" s="374" t="str">
        <f>IF(TRUE=ISBLANK(ChemData!D226),"",(ChemData!D226))</f>
        <v/>
      </c>
      <c r="G226" s="289">
        <f>IF(TRUE=ISBLANK(ChemData!I226),"",(ChemData!I226))</f>
        <v>5.6000000000000001E-2</v>
      </c>
      <c r="H226" s="290">
        <f>IF(TRUE=ISBLANK(ChemData!Q226),"",(ChemData!Q226))</f>
        <v>77.162522880359163</v>
      </c>
      <c r="I226" s="290">
        <f>IF(TRUE=ISBLANK(ChemData!R226),"",(ChemData!R226))</f>
        <v>77.162522880359163</v>
      </c>
      <c r="J226" s="290">
        <f>IF(TRUE=ISBLANK(ChemData!S226),"",(ChemData!S226))</f>
        <v>1</v>
      </c>
      <c r="K226" s="291">
        <f>IF(TRUE=ISBLANK(ChemData!T226),"",(ChemData!T226))</f>
        <v>1</v>
      </c>
      <c r="L226" s="375" t="str">
        <f>IF(Start!$C$16="x",IF(OR(D226="NA",D226=""),"NA", IF(OR($J226 = "NA",J226=""),"NA",(D226*$J226))),"---")</f>
        <v>---</v>
      </c>
      <c r="M226" s="377" t="str">
        <f>IF(Start!$C$16="x",IF(OR(D226="NA",D226=""),"NA", IF(OR($K226 = "NA",K226=""),"NA",(D226*$K226))),"---")</f>
        <v>---</v>
      </c>
      <c r="N226" s="375" t="str">
        <f t="shared" si="9"/>
        <v>---</v>
      </c>
      <c r="O226" s="377" t="str">
        <f t="shared" si="9"/>
        <v>---</v>
      </c>
      <c r="P226" s="461" t="str">
        <f>IF(Start!$C$16="x",(IF(L226 = "NA","NA", (IF(OR($H226 = "NA",H226=""), "NA",(IF(OR(ChemData!U226="NA",ChemData!U226=""),L226/((Data!$D$33+((1-Data!$D$33)*Data!$D$14*$H226))/((1-Data!$D$33)*Data!$D$14*1000)),(IF(L226/((Data!$D$33+((1-Data!$D$33)*Data!$D$14*$H226))/((1-Data!$D$33)*Data!$D$14*1000))&gt;ChemData!U226, ChemData!U226, L226/((Data!$D$33+((1-Data!$D$33)*Data!$D$14*$H226))/((1-Data!$D$33)*Data!$D$14*1000)))))))))),"---")</f>
        <v>---</v>
      </c>
      <c r="Q226" s="376" t="str">
        <f>IF(Start!$C$16="x",IF(OR($F226 = "NA",F226=""), "NA", IF(P226= "NA", "NA",(P226+(Data!$D$30*$F226))/(Data!$D$30+1))),"---")</f>
        <v>---</v>
      </c>
      <c r="R226" s="376" t="str">
        <f>IF(Start!$C$16="x",IF(O226 = "NA","NA", IF(OR($I226 = "NA",I226=""), "NA",(IF(OR(ChemData!U226="NA",ChemData!U226=""),O226/((Data!$D$35+((1-Data!$D$35)*Data!$D$14*$I226))/((1-Data!$D$35)*Data!$D$14*1000)),(IF(O226/((Data!$D$35+((1-Data!$D$35)*Data!$D$14*$I226))/((1-Data!$D$35)*Data!$D$14*1000))&gt;ChemData!U226, ChemData!U226, O226/((Data!$D$35+((1-Data!$D$35)*Data!$D$14*$I226))/((1-Data!$D$35)*Data!$D$14*1000)))))))),"---")</f>
        <v>---</v>
      </c>
      <c r="S226" s="377" t="str">
        <f>IF(Start!$C$16="x",IF(OR($F226 = "NA",F226=""), "NA", IF(R226= "NA", "NA",(R226+(Data!$D$30*$F226))/(Data!$D$30+1))),"---")</f>
        <v>---</v>
      </c>
      <c r="T226" s="343" t="str">
        <f>IF(Start!$C$16="x",IF(AND(D226= "",E226=""),"",IF(Q226="NA","NA",IF(G226="NA","NA",IF(G226=0,"NA",(Q226/G226))))),"Not Req.")</f>
        <v>Not Req.</v>
      </c>
      <c r="U226" s="343" t="str">
        <f>IF(Start!$C$16="x",IF(AND(D226= "",E226=""),"",IF(S226="NA","NA",IF(G226="NA","NA",IF(G226=0,"NA",(S226/G226))))),"Not Req.")</f>
        <v>Not Req.</v>
      </c>
      <c r="V226" s="11"/>
    </row>
    <row r="227" spans="1:22" s="10" customFormat="1" x14ac:dyDescent="0.25">
      <c r="A227" s="307" t="s">
        <v>545</v>
      </c>
      <c r="B227" s="348" t="str">
        <f>IF(Start!$C$16="x",IF(OR(D227 ="NA",E227="NA"),"NA",IF(AND(D227= "",E227=""),"",IF(AND(D227= "",E227&lt;&gt; ""),"Missing Data",                     IF(AND(D227&lt;&gt; "",E227= ""),"Missing Data",(IF(OR(G227="NA",G227=""),"No Criteria",(IF(AND(Q227="NA",D227&lt;&gt;"NA",G227&lt;&gt;"NA"),                                               "Missing Data",(IF(Q227&lt;G227,"No","Needed")))))))))),"---")</f>
        <v>---</v>
      </c>
      <c r="C227" s="350" t="str">
        <f>IF(Start!$C$16="x",IF(OR(D227 ="NA",E227="NA"),"NA",IF(AND(D227= "",E227=""),"",IF(AND(D227= "",E227&lt;&gt; ""),"Missing Data",                     IF(AND(D227&lt;&gt; "",E227= ""),"Missing Data",(IF(OR(G227="NA",G227=""),"No Criteria",(IF(AND(S227="NA",D227&lt;&gt;"NA",G227&lt;&gt;"NA"),                                               "Missing Data",(IF(S227&lt;G227,"No","Needed")))))))))),"---")</f>
        <v>---</v>
      </c>
      <c r="D227" s="372" t="str">
        <f>IF(TRUE=ISBLANK(ChemData!B227),"",(ChemData!B227))</f>
        <v/>
      </c>
      <c r="E227" s="373" t="str">
        <f>IF(TRUE=ISBLANK(ChemData!C227),"",(ChemData!C227))</f>
        <v/>
      </c>
      <c r="F227" s="374" t="str">
        <f>IF(TRUE=ISBLANK(ChemData!D227),"",(ChemData!D227))</f>
        <v/>
      </c>
      <c r="G227" s="289">
        <f>IF(TRUE=ISBLANK(ChemData!I227),"",(ChemData!I227))</f>
        <v>5.6000000000000001E-2</v>
      </c>
      <c r="H227" s="290">
        <f>IF(TRUE=ISBLANK(ChemData!Q227),"",(ChemData!Q227))</f>
        <v>125.14295874505591</v>
      </c>
      <c r="I227" s="290">
        <f>IF(TRUE=ISBLANK(ChemData!R227),"",(ChemData!R227))</f>
        <v>125.14295874505591</v>
      </c>
      <c r="J227" s="290">
        <f>IF(TRUE=ISBLANK(ChemData!S227),"",(ChemData!S227))</f>
        <v>1</v>
      </c>
      <c r="K227" s="291">
        <f>IF(TRUE=ISBLANK(ChemData!T227),"",(ChemData!T227))</f>
        <v>1</v>
      </c>
      <c r="L227" s="375" t="str">
        <f>IF(Start!$C$16="x",IF(OR(D227="NA",D227=""),"NA", IF(OR($J227 = "NA",J227=""),"NA",(D227*$J227))),"---")</f>
        <v>---</v>
      </c>
      <c r="M227" s="377" t="str">
        <f>IF(Start!$C$16="x",IF(OR(D227="NA",D227=""),"NA", IF(OR($K227 = "NA",K227=""),"NA",(D227*$K227))),"---")</f>
        <v>---</v>
      </c>
      <c r="N227" s="375" t="str">
        <f t="shared" si="9"/>
        <v>---</v>
      </c>
      <c r="O227" s="377" t="str">
        <f t="shared" si="9"/>
        <v>---</v>
      </c>
      <c r="P227" s="461" t="str">
        <f>IF(Start!$C$16="x",(IF(L227 = "NA","NA", (IF(OR($H227 = "NA",H227=""), "NA",(IF(OR(ChemData!U227="NA",ChemData!U227=""),L227/((Data!$D$33+((1-Data!$D$33)*Data!$D$14*$H227))/((1-Data!$D$33)*Data!$D$14*1000)),(IF(L227/((Data!$D$33+((1-Data!$D$33)*Data!$D$14*$H227))/((1-Data!$D$33)*Data!$D$14*1000))&gt;ChemData!U227, ChemData!U227, L227/((Data!$D$33+((1-Data!$D$33)*Data!$D$14*$H227))/((1-Data!$D$33)*Data!$D$14*1000)))))))))),"---")</f>
        <v>---</v>
      </c>
      <c r="Q227" s="376" t="str">
        <f>IF(Start!$C$16="x",IF(OR($F227 = "NA",F227=""), "NA", IF(P227= "NA", "NA",(P227+(Data!$D$30*$F227))/(Data!$D$30+1))),"---")</f>
        <v>---</v>
      </c>
      <c r="R227" s="376" t="str">
        <f>IF(Start!$C$16="x",IF(O227 = "NA","NA", IF(OR($I227 = "NA",I227=""), "NA",(IF(OR(ChemData!U227="NA",ChemData!U227=""),O227/((Data!$D$35+((1-Data!$D$35)*Data!$D$14*$I227))/((1-Data!$D$35)*Data!$D$14*1000)),(IF(O227/((Data!$D$35+((1-Data!$D$35)*Data!$D$14*$I227))/((1-Data!$D$35)*Data!$D$14*1000))&gt;ChemData!U227, ChemData!U227, O227/((Data!$D$35+((1-Data!$D$35)*Data!$D$14*$I227))/((1-Data!$D$35)*Data!$D$14*1000)))))))),"---")</f>
        <v>---</v>
      </c>
      <c r="S227" s="377" t="str">
        <f>IF(Start!$C$16="x",IF(OR($F227 = "NA",F227=""), "NA", IF(R227= "NA", "NA",(R227+(Data!$D$30*$F227))/(Data!$D$30+1))),"---")</f>
        <v>---</v>
      </c>
      <c r="T227" s="343" t="str">
        <f>IF(Start!$C$16="x",IF(AND(D227= "",E227=""),"",IF(Q227="NA","NA",IF(G227="NA","NA",IF(G227=0,"NA",(Q227/G227))))),"Not Req.")</f>
        <v>Not Req.</v>
      </c>
      <c r="U227" s="343" t="str">
        <f>IF(Start!$C$16="x",IF(AND(D227= "",E227=""),"",IF(S227="NA","NA",IF(G227="NA","NA",IF(G227=0,"NA",(S227/G227))))),"Not Req.")</f>
        <v>Not Req.</v>
      </c>
      <c r="V227" s="11"/>
    </row>
    <row r="228" spans="1:22" s="10" customFormat="1" x14ac:dyDescent="0.25">
      <c r="A228" s="307" t="s">
        <v>546</v>
      </c>
      <c r="B228" s="348" t="str">
        <f>IF(Start!$C$16="x",IF(OR(D228 ="NA",E228="NA"),"NA",IF(AND(D228= "",E228=""),"",IF(AND(D228= "",E228&lt;&gt; ""),"Missing Data",                     IF(AND(D228&lt;&gt; "",E228= ""),"Missing Data",(IF(OR(G228="NA",G228=""),"No Criteria",(IF(AND(Q228="NA",D228&lt;&gt;"NA",G228&lt;&gt;"NA"),                                               "Missing Data",(IF(Q228&lt;G228,"No","Needed")))))))))),"---")</f>
        <v>---</v>
      </c>
      <c r="C228" s="350" t="str">
        <f>IF(Start!$C$16="x",IF(OR(D228 ="NA",E228="NA"),"NA",IF(AND(D228= "",E228=""),"",IF(AND(D228= "",E228&lt;&gt; ""),"Missing Data",                     IF(AND(D228&lt;&gt; "",E228= ""),"Missing Data",(IF(OR(G228="NA",G228=""),"No Criteria",(IF(AND(S228="NA",D228&lt;&gt;"NA",G228&lt;&gt;"NA"),                                               "Missing Data",(IF(S228&lt;G228,"No","Needed")))))))))),"---")</f>
        <v>---</v>
      </c>
      <c r="D228" s="372" t="str">
        <f>IF(TRUE=ISBLANK(ChemData!B228),"",(ChemData!B228))</f>
        <v/>
      </c>
      <c r="E228" s="373" t="str">
        <f>IF(TRUE=ISBLANK(ChemData!C228),"",(ChemData!C228))</f>
        <v/>
      </c>
      <c r="F228" s="374" t="str">
        <f>IF(TRUE=ISBLANK(ChemData!D228),"",(ChemData!D228))</f>
        <v/>
      </c>
      <c r="G228" s="289" t="str">
        <f>IF(TRUE=ISBLANK(ChemData!I228),"",(ChemData!I228))</f>
        <v>NA</v>
      </c>
      <c r="H228" s="290">
        <f>IF(TRUE=ISBLANK(ChemData!Q228),"",(ChemData!Q228))</f>
        <v>84.607023897713418</v>
      </c>
      <c r="I228" s="290">
        <f>IF(TRUE=ISBLANK(ChemData!R228),"",(ChemData!R228))</f>
        <v>84.607023897713418</v>
      </c>
      <c r="J228" s="290">
        <f>IF(TRUE=ISBLANK(ChemData!S228),"",(ChemData!S228))</f>
        <v>1</v>
      </c>
      <c r="K228" s="291">
        <f>IF(TRUE=ISBLANK(ChemData!T228),"",(ChemData!T228))</f>
        <v>1</v>
      </c>
      <c r="L228" s="375" t="str">
        <f>IF(Start!$C$16="x",IF(OR(D228="NA",D228=""),"NA", IF(OR($J228 = "NA",J228=""),"NA",(D228*$J228))),"---")</f>
        <v>---</v>
      </c>
      <c r="M228" s="377" t="str">
        <f>IF(Start!$C$16="x",IF(OR(D228="NA",D228=""),"NA", IF(OR($K228 = "NA",K228=""),"NA",(D228*$K228))),"---")</f>
        <v>---</v>
      </c>
      <c r="N228" s="375" t="str">
        <f t="shared" si="9"/>
        <v>---</v>
      </c>
      <c r="O228" s="377" t="str">
        <f t="shared" si="9"/>
        <v>---</v>
      </c>
      <c r="P228" s="461" t="str">
        <f>IF(Start!$C$16="x",(IF(L228 = "NA","NA", (IF(OR($H228 = "NA",H228=""), "NA",(IF(OR(ChemData!U228="NA",ChemData!U228=""),L228/((Data!$D$33+((1-Data!$D$33)*Data!$D$14*$H228))/((1-Data!$D$33)*Data!$D$14*1000)),(IF(L228/((Data!$D$33+((1-Data!$D$33)*Data!$D$14*$H228))/((1-Data!$D$33)*Data!$D$14*1000))&gt;ChemData!U228, ChemData!U228, L228/((Data!$D$33+((1-Data!$D$33)*Data!$D$14*$H228))/((1-Data!$D$33)*Data!$D$14*1000)))))))))),"---")</f>
        <v>---</v>
      </c>
      <c r="Q228" s="376" t="str">
        <f>IF(Start!$C$16="x",IF(OR($F228 = "NA",F228=""), "NA", IF(P228= "NA", "NA",(P228+(Data!$D$30*$F228))/(Data!$D$30+1))),"---")</f>
        <v>---</v>
      </c>
      <c r="R228" s="376" t="str">
        <f>IF(Start!$C$16="x",IF(O228 = "NA","NA", IF(OR($I228 = "NA",I228=""), "NA",(IF(OR(ChemData!U228="NA",ChemData!U228=""),O228/((Data!$D$35+((1-Data!$D$35)*Data!$D$14*$I228))/((1-Data!$D$35)*Data!$D$14*1000)),(IF(O228/((Data!$D$35+((1-Data!$D$35)*Data!$D$14*$I228))/((1-Data!$D$35)*Data!$D$14*1000))&gt;ChemData!U228, ChemData!U228, O228/((Data!$D$35+((1-Data!$D$35)*Data!$D$14*$I228))/((1-Data!$D$35)*Data!$D$14*1000)))))))),"---")</f>
        <v>---</v>
      </c>
      <c r="S228" s="377" t="str">
        <f>IF(Start!$C$16="x",IF(OR($F228 = "NA",F228=""), "NA", IF(R228= "NA", "NA",(R228+(Data!$D$30*$F228))/(Data!$D$30+1))),"---")</f>
        <v>---</v>
      </c>
      <c r="T228" s="343" t="str">
        <f>IF(Start!$C$16="x",IF(AND(D228= "",E228=""),"",IF(Q228="NA","NA",IF(G228="NA","NA",IF(G228=0,"NA",(Q228/G228))))),"Not Req.")</f>
        <v>Not Req.</v>
      </c>
      <c r="U228" s="343" t="str">
        <f>IF(Start!$C$16="x",IF(AND(D228= "",E228=""),"",IF(S228="NA","NA",IF(G228="NA","NA",IF(G228=0,"NA",(S228/G228))))),"Not Req.")</f>
        <v>Not Req.</v>
      </c>
      <c r="V228" s="11"/>
    </row>
    <row r="229" spans="1:22" s="10" customFormat="1" x14ac:dyDescent="0.25">
      <c r="A229" s="307" t="s">
        <v>547</v>
      </c>
      <c r="B229" s="348" t="str">
        <f>IF(Start!$C$16="x",IF(OR(D229 ="NA",E229="NA"),"NA",IF(AND(D229= "",E229=""),"",IF(AND(D229= "",E229&lt;&gt; ""),"Missing Data",                     IF(AND(D229&lt;&gt; "",E229= ""),"Missing Data",(IF(OR(G229="NA",G229=""),"No Criteria",(IF(AND(Q229="NA",D229&lt;&gt;"NA",G229&lt;&gt;"NA"),                                               "Missing Data",(IF(Q229&lt;G229,"No","Needed")))))))))),"---")</f>
        <v>---</v>
      </c>
      <c r="C229" s="350" t="str">
        <f>IF(Start!$C$16="x",IF(OR(D229 ="NA",E229="NA"),"NA",IF(AND(D229= "",E229=""),"",IF(AND(D229= "",E229&lt;&gt; ""),"Missing Data",                     IF(AND(D229&lt;&gt; "",E229= ""),"Missing Data",(IF(OR(G229="NA",G229=""),"No Criteria",(IF(AND(S229="NA",D229&lt;&gt;"NA",G229&lt;&gt;"NA"),                                               "Missing Data",(IF(S229&lt;G229,"No","Needed")))))))))),"---")</f>
        <v>---</v>
      </c>
      <c r="D229" s="372" t="str">
        <f>IF(TRUE=ISBLANK(ChemData!B229),"",(ChemData!B229))</f>
        <v/>
      </c>
      <c r="E229" s="373" t="str">
        <f>IF(TRUE=ISBLANK(ChemData!C229),"",(ChemData!C229))</f>
        <v/>
      </c>
      <c r="F229" s="374" t="str">
        <f>IF(TRUE=ISBLANK(ChemData!D229),"",(ChemData!D229))</f>
        <v/>
      </c>
      <c r="G229" s="289">
        <f>IF(TRUE=ISBLANK(ChemData!I229),"",(ChemData!I229))</f>
        <v>3.5999999999999997E-2</v>
      </c>
      <c r="H229" s="290">
        <f>IF(TRUE=ISBLANK(ChemData!Q229),"",(ChemData!Q229))</f>
        <v>2933.6372992455267</v>
      </c>
      <c r="I229" s="290">
        <f>IF(TRUE=ISBLANK(ChemData!R229),"",(ChemData!R229))</f>
        <v>2933.6372992455267</v>
      </c>
      <c r="J229" s="290">
        <f>IF(TRUE=ISBLANK(ChemData!S229),"",(ChemData!S229))</f>
        <v>1</v>
      </c>
      <c r="K229" s="291">
        <f>IF(TRUE=ISBLANK(ChemData!T229),"",(ChemData!T229))</f>
        <v>1</v>
      </c>
      <c r="L229" s="375" t="str">
        <f>IF(Start!$C$16="x",IF(OR(D229="NA",D229=""),"NA", IF(OR($J229 = "NA",J229=""),"NA",(D229*$J229))),"---")</f>
        <v>---</v>
      </c>
      <c r="M229" s="377" t="str">
        <f>IF(Start!$C$16="x",IF(OR(D229="NA",D229=""),"NA", IF(OR($K229 = "NA",K229=""),"NA",(D229*$K229))),"---")</f>
        <v>---</v>
      </c>
      <c r="N229" s="375" t="str">
        <f t="shared" si="9"/>
        <v>---</v>
      </c>
      <c r="O229" s="377" t="str">
        <f t="shared" si="9"/>
        <v>---</v>
      </c>
      <c r="P229" s="461" t="str">
        <f>IF(Start!$C$16="x",(IF(L229 = "NA","NA", (IF(OR($H229 = "NA",H229=""), "NA",(IF(OR(ChemData!U229="NA",ChemData!U229=""),L229/((Data!$D$33+((1-Data!$D$33)*Data!$D$14*$H229))/((1-Data!$D$33)*Data!$D$14*1000)),(IF(L229/((Data!$D$33+((1-Data!$D$33)*Data!$D$14*$H229))/((1-Data!$D$33)*Data!$D$14*1000))&gt;ChemData!U229, ChemData!U229, L229/((Data!$D$33+((1-Data!$D$33)*Data!$D$14*$H229))/((1-Data!$D$33)*Data!$D$14*1000)))))))))),"---")</f>
        <v>---</v>
      </c>
      <c r="Q229" s="376" t="str">
        <f>IF(Start!$C$16="x",IF(OR($F229 = "NA",F229=""), "NA", IF(P229= "NA", "NA",(P229+(Data!$D$30*$F229))/(Data!$D$30+1))),"---")</f>
        <v>---</v>
      </c>
      <c r="R229" s="376" t="str">
        <f>IF(Start!$C$16="x",IF(O229 = "NA","NA", IF(OR($I229 = "NA",I229=""), "NA",(IF(OR(ChemData!U229="NA",ChemData!U229=""),O229/((Data!$D$35+((1-Data!$D$35)*Data!$D$14*$I229))/((1-Data!$D$35)*Data!$D$14*1000)),(IF(O229/((Data!$D$35+((1-Data!$D$35)*Data!$D$14*$I229))/((1-Data!$D$35)*Data!$D$14*1000))&gt;ChemData!U229, ChemData!U229, O229/((Data!$D$35+((1-Data!$D$35)*Data!$D$14*$I229))/((1-Data!$D$35)*Data!$D$14*1000)))))))),"---")</f>
        <v>---</v>
      </c>
      <c r="S229" s="377" t="str">
        <f>IF(Start!$C$16="x",IF(OR($F229 = "NA",F229=""), "NA", IF(R229= "NA", "NA",(R229+(Data!$D$30*$F229))/(Data!$D$30+1))),"---")</f>
        <v>---</v>
      </c>
      <c r="T229" s="343" t="str">
        <f>IF(Start!$C$16="x",IF(AND(D229= "",E229=""),"",IF(Q229="NA","NA",IF(G229="NA","NA",IF(G229=0,"NA",(Q229/G229))))),"Not Req.")</f>
        <v>Not Req.</v>
      </c>
      <c r="U229" s="343" t="str">
        <f>IF(Start!$C$16="x",IF(AND(D229= "",E229=""),"",IF(S229="NA","NA",IF(G229="NA","NA",IF(G229=0,"NA",(S229/G229))))),"Not Req.")</f>
        <v>Not Req.</v>
      </c>
      <c r="V229" s="11"/>
    </row>
    <row r="230" spans="1:22" s="10" customFormat="1" x14ac:dyDescent="0.25">
      <c r="A230" s="307" t="s">
        <v>548</v>
      </c>
      <c r="B230" s="348" t="str">
        <f>IF(Start!$C$16="x",IF(OR(D230 ="NA",E230="NA"),"NA",IF(AND(D230= "",E230=""),"",IF(AND(D230= "",E230&lt;&gt; ""),"Missing Data",                     IF(AND(D230&lt;&gt; "",E230= ""),"Missing Data",(IF(OR(G230="NA",G230=""),"No Criteria",(IF(AND(Q230="NA",D230&lt;&gt;"NA",G230&lt;&gt;"NA"),                                               "Missing Data",(IF(Q230&lt;G230,"No","Needed")))))))))),"---")</f>
        <v>---</v>
      </c>
      <c r="C230" s="350" t="str">
        <f>IF(Start!$C$16="x",IF(OR(D230 ="NA",E230="NA"),"NA",IF(AND(D230= "",E230=""),"",IF(AND(D230= "",E230&lt;&gt; ""),"Missing Data",                     IF(AND(D230&lt;&gt; "",E230= ""),"Missing Data",(IF(OR(G230="NA",G230=""),"No Criteria",(IF(AND(S230="NA",D230&lt;&gt;"NA",G230&lt;&gt;"NA"),                                               "Missing Data",(IF(S230&lt;G230,"No","Needed")))))))))),"---")</f>
        <v>---</v>
      </c>
      <c r="D230" s="372" t="str">
        <f>IF(TRUE=ISBLANK(ChemData!B230),"",(ChemData!B230))</f>
        <v/>
      </c>
      <c r="E230" s="373" t="str">
        <f>IF(TRUE=ISBLANK(ChemData!C230),"",(ChemData!C230))</f>
        <v/>
      </c>
      <c r="F230" s="374" t="str">
        <f>IF(TRUE=ISBLANK(ChemData!D230),"",(ChemData!D230))</f>
        <v/>
      </c>
      <c r="G230" s="289" t="str">
        <f>IF(TRUE=ISBLANK(ChemData!I230),"",(ChemData!I230))</f>
        <v>NA</v>
      </c>
      <c r="H230" s="290">
        <f>IF(TRUE=ISBLANK(ChemData!Q230),"",(ChemData!Q230))</f>
        <v>185.1</v>
      </c>
      <c r="I230" s="290">
        <f>IF(TRUE=ISBLANK(ChemData!R230),"",(ChemData!R230))</f>
        <v>185.1</v>
      </c>
      <c r="J230" s="290">
        <f>IF(TRUE=ISBLANK(ChemData!S230),"",(ChemData!S230))</f>
        <v>1</v>
      </c>
      <c r="K230" s="291">
        <f>IF(TRUE=ISBLANK(ChemData!T230),"",(ChemData!T230))</f>
        <v>1</v>
      </c>
      <c r="L230" s="375" t="str">
        <f>IF(Start!$C$16="x",IF(OR(D230="NA",D230=""),"NA", IF(OR($J230 = "NA",J230=""),"NA",(D230*$J230))),"---")</f>
        <v>---</v>
      </c>
      <c r="M230" s="377" t="str">
        <f>IF(Start!$C$16="x",IF(OR(D230="NA",D230=""),"NA", IF(OR($K230 = "NA",K230=""),"NA",(D230*$K230))),"---")</f>
        <v>---</v>
      </c>
      <c r="N230" s="375" t="str">
        <f t="shared" si="9"/>
        <v>---</v>
      </c>
      <c r="O230" s="377" t="str">
        <f t="shared" si="9"/>
        <v>---</v>
      </c>
      <c r="P230" s="461" t="str">
        <f>IF(Start!$C$16="x",(IF(L230 = "NA","NA", (IF(OR($H230 = "NA",H230=""), "NA",(IF(OR(ChemData!U230="NA",ChemData!U230=""),L230/((Data!$D$33+((1-Data!$D$33)*Data!$D$14*$H230))/((1-Data!$D$33)*Data!$D$14*1000)),(IF(L230/((Data!$D$33+((1-Data!$D$33)*Data!$D$14*$H230))/((1-Data!$D$33)*Data!$D$14*1000))&gt;ChemData!U230, ChemData!U230, L230/((Data!$D$33+((1-Data!$D$33)*Data!$D$14*$H230))/((1-Data!$D$33)*Data!$D$14*1000)))))))))),"---")</f>
        <v>---</v>
      </c>
      <c r="Q230" s="376" t="str">
        <f>IF(Start!$C$16="x",IF(OR($F230 = "NA",F230=""), "NA", IF(P230= "NA", "NA",(P230+(Data!$D$30*$F230))/(Data!$D$30+1))),"---")</f>
        <v>---</v>
      </c>
      <c r="R230" s="376" t="str">
        <f>IF(Start!$C$16="x",IF(O230 = "NA","NA", IF(OR($I230 = "NA",I230=""), "NA",(IF(OR(ChemData!U230="NA",ChemData!U230=""),O230/((Data!$D$35+((1-Data!$D$35)*Data!$D$14*$I230))/((1-Data!$D$35)*Data!$D$14*1000)),(IF(O230/((Data!$D$35+((1-Data!$D$35)*Data!$D$14*$I230))/((1-Data!$D$35)*Data!$D$14*1000))&gt;ChemData!U230, ChemData!U230, O230/((Data!$D$35+((1-Data!$D$35)*Data!$D$14*$I230))/((1-Data!$D$35)*Data!$D$14*1000)))))))),"---")</f>
        <v>---</v>
      </c>
      <c r="S230" s="377" t="str">
        <f>IF(Start!$C$16="x",IF(OR($F230 = "NA",F230=""), "NA", IF(R230= "NA", "NA",(R230+(Data!$D$30*$F230))/(Data!$D$30+1))),"---")</f>
        <v>---</v>
      </c>
      <c r="T230" s="343" t="str">
        <f>IF(Start!$C$16="x",IF(AND(D230= "",E230=""),"",IF(Q230="NA","NA",IF(G230="NA","NA",IF(G230=0,"NA",(Q230/G230))))),"Not Req.")</f>
        <v>Not Req.</v>
      </c>
      <c r="U230" s="343" t="str">
        <f>IF(Start!$C$16="x",IF(AND(D230= "",E230=""),"",IF(S230="NA","NA",IF(G230="NA","NA",IF(G230=0,"NA",(S230/G230))))),"Not Req.")</f>
        <v>Not Req.</v>
      </c>
      <c r="V230" s="11"/>
    </row>
    <row r="231" spans="1:22" s="10" customFormat="1" x14ac:dyDescent="0.25">
      <c r="A231" s="307" t="s">
        <v>549</v>
      </c>
      <c r="B231" s="348" t="str">
        <f>IF(Start!$C$16="x",IF(OR(D231 ="NA",E231="NA"),"NA",IF(AND(D231= "",E231=""),"",IF(AND(D231= "",E231&lt;&gt; ""),"Missing Data",                     IF(AND(D231&lt;&gt; "",E231= ""),"Missing Data",(IF(OR(G231="NA",G231=""),"No Criteria",(IF(AND(Q231="NA",D231&lt;&gt;"NA",G231&lt;&gt;"NA"),                                               "Missing Data",(IF(Q231&lt;G231,"No","Needed")))))))))),"---")</f>
        <v>---</v>
      </c>
      <c r="C231" s="350" t="str">
        <f>IF(Start!$C$16="x",IF(OR(D231 ="NA",E231="NA"),"NA",IF(AND(D231= "",E231=""),"",IF(AND(D231= "",E231&lt;&gt; ""),"Missing Data",                     IF(AND(D231&lt;&gt; "",E231= ""),"Missing Data",(IF(OR(G231="NA",G231=""),"No Criteria",(IF(AND(S231="NA",D231&lt;&gt;"NA",G231&lt;&gt;"NA"),                                               "Missing Data",(IF(S231&lt;G231,"No","Needed")))))))))),"---")</f>
        <v>---</v>
      </c>
      <c r="D231" s="372" t="str">
        <f>IF(TRUE=ISBLANK(ChemData!B231),"",(ChemData!B231))</f>
        <v/>
      </c>
      <c r="E231" s="373" t="str">
        <f>IF(TRUE=ISBLANK(ChemData!C231),"",(ChemData!C231))</f>
        <v/>
      </c>
      <c r="F231" s="374" t="str">
        <f>IF(TRUE=ISBLANK(ChemData!D231),"",(ChemData!D231))</f>
        <v/>
      </c>
      <c r="G231" s="289" t="str">
        <f>IF(TRUE=ISBLANK(ChemData!I231),"",(ChemData!I231))</f>
        <v>NA</v>
      </c>
      <c r="H231" s="290">
        <f>IF(TRUE=ISBLANK(ChemData!Q231),"",(ChemData!Q231))</f>
        <v>1808.866095989209</v>
      </c>
      <c r="I231" s="290">
        <f>IF(TRUE=ISBLANK(ChemData!R231),"",(ChemData!R231))</f>
        <v>1808.866095989209</v>
      </c>
      <c r="J231" s="290">
        <f>IF(TRUE=ISBLANK(ChemData!S231),"",(ChemData!S231))</f>
        <v>1</v>
      </c>
      <c r="K231" s="291">
        <f>IF(TRUE=ISBLANK(ChemData!T231),"",(ChemData!T231))</f>
        <v>1</v>
      </c>
      <c r="L231" s="375" t="str">
        <f>IF(Start!$C$16="x",IF(OR(D231="NA",D231=""),"NA", IF(OR($J231 = "NA",J231=""),"NA",(D231*$J231))),"---")</f>
        <v>---</v>
      </c>
      <c r="M231" s="377" t="str">
        <f>IF(Start!$C$16="x",IF(OR(D231="NA",D231=""),"NA", IF(OR($K231 = "NA",K231=""),"NA",(D231*$K231))),"---")</f>
        <v>---</v>
      </c>
      <c r="N231" s="375" t="str">
        <f t="shared" si="9"/>
        <v>---</v>
      </c>
      <c r="O231" s="377" t="str">
        <f t="shared" si="9"/>
        <v>---</v>
      </c>
      <c r="P231" s="461" t="str">
        <f>IF(Start!$C$16="x",(IF(L231 = "NA","NA", (IF(OR($H231 = "NA",H231=""), "NA",(IF(OR(ChemData!U231="NA",ChemData!U231=""),L231/((Data!$D$33+((1-Data!$D$33)*Data!$D$14*$H231))/((1-Data!$D$33)*Data!$D$14*1000)),(IF(L231/((Data!$D$33+((1-Data!$D$33)*Data!$D$14*$H231))/((1-Data!$D$33)*Data!$D$14*1000))&gt;ChemData!U231, ChemData!U231, L231/((Data!$D$33+((1-Data!$D$33)*Data!$D$14*$H231))/((1-Data!$D$33)*Data!$D$14*1000)))))))))),"---")</f>
        <v>---</v>
      </c>
      <c r="Q231" s="376" t="str">
        <f>IF(Start!$C$16="x",IF(OR($F231 = "NA",F231=""), "NA", IF(P231= "NA", "NA",(P231+(Data!$D$30*$F231))/(Data!$D$30+1))),"---")</f>
        <v>---</v>
      </c>
      <c r="R231" s="376" t="str">
        <f>IF(Start!$C$16="x",IF(O231 = "NA","NA", IF(OR($I231 = "NA",I231=""), "NA",(IF(OR(ChemData!U231="NA",ChemData!U231=""),O231/((Data!$D$35+((1-Data!$D$35)*Data!$D$14*$I231))/((1-Data!$D$35)*Data!$D$14*1000)),(IF(O231/((Data!$D$35+((1-Data!$D$35)*Data!$D$14*$I231))/((1-Data!$D$35)*Data!$D$14*1000))&gt;ChemData!U231, ChemData!U231, O231/((Data!$D$35+((1-Data!$D$35)*Data!$D$14*$I231))/((1-Data!$D$35)*Data!$D$14*1000)))))))),"---")</f>
        <v>---</v>
      </c>
      <c r="S231" s="377" t="str">
        <f>IF(Start!$C$16="x",IF(OR($F231 = "NA",F231=""), "NA", IF(R231= "NA", "NA",(R231+(Data!$D$30*$F231))/(Data!$D$30+1))),"---")</f>
        <v>---</v>
      </c>
      <c r="T231" s="343" t="str">
        <f>IF(Start!$C$16="x",IF(AND(D231= "",E231=""),"",IF(Q231="NA","NA",IF(G231="NA","NA",IF(G231=0,"NA",(Q231/G231))))),"Not Req.")</f>
        <v>Not Req.</v>
      </c>
      <c r="U231" s="343" t="str">
        <f>IF(Start!$C$16="x",IF(AND(D231= "",E231=""),"",IF(S231="NA","NA",IF(G231="NA","NA",IF(G231=0,"NA",(S231/G231))))),"Not Req.")</f>
        <v>Not Req.</v>
      </c>
      <c r="V231" s="11"/>
    </row>
    <row r="232" spans="1:22" s="10" customFormat="1" x14ac:dyDescent="0.25">
      <c r="A232" s="307" t="s">
        <v>550</v>
      </c>
      <c r="B232" s="348" t="str">
        <f>IF(Start!$C$16="x",IF(OR(D232 ="NA",E232="NA"),"NA",IF(AND(D232= "",E232=""),"",IF(AND(D232= "",E232&lt;&gt; ""),"Missing Data",                     IF(AND(D232&lt;&gt; "",E232= ""),"Missing Data",(IF(OR(G232="NA",G232=""),"No Criteria",(IF(AND(Q232="NA",D232&lt;&gt;"NA",G232&lt;&gt;"NA"),                                               "Missing Data",(IF(Q232&lt;G232,"No","Needed")))))))))),"---")</f>
        <v>---</v>
      </c>
      <c r="C232" s="350" t="str">
        <f>IF(Start!$C$16="x",IF(OR(D232 ="NA",E232="NA"),"NA",IF(AND(D232= "",E232=""),"",IF(AND(D232= "",E232&lt;&gt; ""),"Missing Data",                     IF(AND(D232&lt;&gt; "",E232= ""),"Missing Data",(IF(OR(G232="NA",G232=""),"No Criteria",(IF(AND(S232="NA",D232&lt;&gt;"NA",G232&lt;&gt;"NA"),                                               "Missing Data",(IF(S232&lt;G232,"No","Needed")))))))))),"---")</f>
        <v>---</v>
      </c>
      <c r="D232" s="372" t="str">
        <f>IF(TRUE=ISBLANK(ChemData!B232),"",(ChemData!B232))</f>
        <v/>
      </c>
      <c r="E232" s="373" t="str">
        <f>IF(TRUE=ISBLANK(ChemData!C232),"",(ChemData!C232))</f>
        <v/>
      </c>
      <c r="F232" s="374" t="str">
        <f>IF(TRUE=ISBLANK(ChemData!D232),"",(ChemData!D232))</f>
        <v/>
      </c>
      <c r="G232" s="289">
        <f>IF(TRUE=ISBLANK(ChemData!I232),"",(ChemData!I232))</f>
        <v>3.8E-3</v>
      </c>
      <c r="H232" s="290">
        <f>IF(TRUE=ISBLANK(ChemData!Q232),"",(ChemData!Q232))</f>
        <v>3446.7232899629657</v>
      </c>
      <c r="I232" s="290">
        <f>IF(TRUE=ISBLANK(ChemData!R232),"",(ChemData!R232))</f>
        <v>3446.7232899629657</v>
      </c>
      <c r="J232" s="290">
        <f>IF(TRUE=ISBLANK(ChemData!S232),"",(ChemData!S232))</f>
        <v>1</v>
      </c>
      <c r="K232" s="291">
        <f>IF(TRUE=ISBLANK(ChemData!T232),"",(ChemData!T232))</f>
        <v>1</v>
      </c>
      <c r="L232" s="375" t="str">
        <f>IF(Start!$C$16="x",IF(OR(D232="NA",D232=""),"NA", IF(OR($J232 = "NA",J232=""),"NA",(D232*$J232))),"---")</f>
        <v>---</v>
      </c>
      <c r="M232" s="377" t="str">
        <f>IF(Start!$C$16="x",IF(OR(D232="NA",D232=""),"NA", IF(OR($K232 = "NA",K232=""),"NA",(D232*$K232))),"---")</f>
        <v>---</v>
      </c>
      <c r="N232" s="375" t="str">
        <f t="shared" si="9"/>
        <v>---</v>
      </c>
      <c r="O232" s="377" t="str">
        <f t="shared" si="9"/>
        <v>---</v>
      </c>
      <c r="P232" s="461" t="str">
        <f>IF(Start!$C$16="x",(IF(L232 = "NA","NA", (IF(OR($H232 = "NA",H232=""), "NA",(IF(OR(ChemData!U232="NA",ChemData!U232=""),L232/((Data!$D$33+((1-Data!$D$33)*Data!$D$14*$H232))/((1-Data!$D$33)*Data!$D$14*1000)),(IF(L232/((Data!$D$33+((1-Data!$D$33)*Data!$D$14*$H232))/((1-Data!$D$33)*Data!$D$14*1000))&gt;ChemData!U232, ChemData!U232, L232/((Data!$D$33+((1-Data!$D$33)*Data!$D$14*$H232))/((1-Data!$D$33)*Data!$D$14*1000)))))))))),"---")</f>
        <v>---</v>
      </c>
      <c r="Q232" s="376" t="str">
        <f>IF(Start!$C$16="x",IF(OR($F232 = "NA",F232=""), "NA", IF(P232= "NA", "NA",(P232+(Data!$D$30*$F232))/(Data!$D$30+1))),"---")</f>
        <v>---</v>
      </c>
      <c r="R232" s="376" t="str">
        <f>IF(Start!$C$16="x",IF(O232 = "NA","NA", IF(OR($I232 = "NA",I232=""), "NA",(IF(OR(ChemData!U232="NA",ChemData!U232=""),O232/((Data!$D$35+((1-Data!$D$35)*Data!$D$14*$I232))/((1-Data!$D$35)*Data!$D$14*1000)),(IF(O232/((Data!$D$35+((1-Data!$D$35)*Data!$D$14*$I232))/((1-Data!$D$35)*Data!$D$14*1000))&gt;ChemData!U232, ChemData!U232, O232/((Data!$D$35+((1-Data!$D$35)*Data!$D$14*$I232))/((1-Data!$D$35)*Data!$D$14*1000)))))))),"---")</f>
        <v>---</v>
      </c>
      <c r="S232" s="377" t="str">
        <f>IF(Start!$C$16="x",IF(OR($F232 = "NA",F232=""), "NA", IF(R232= "NA", "NA",(R232+(Data!$D$30*$F232))/(Data!$D$30+1))),"---")</f>
        <v>---</v>
      </c>
      <c r="T232" s="343" t="str">
        <f>IF(Start!$C$16="x",IF(AND(D232= "",E232=""),"",IF(Q232="NA","NA",IF(G232="NA","NA",IF(G232=0,"NA",(Q232/G232))))),"Not Req.")</f>
        <v>Not Req.</v>
      </c>
      <c r="U232" s="343" t="str">
        <f>IF(Start!$C$16="x",IF(AND(D232= "",E232=""),"",IF(S232="NA","NA",IF(G232="NA","NA",IF(G232=0,"NA",(S232/G232))))),"Not Req.")</f>
        <v>Not Req.</v>
      </c>
      <c r="V232" s="11"/>
    </row>
    <row r="233" spans="1:22" s="10" customFormat="1" x14ac:dyDescent="0.25">
      <c r="A233" s="307" t="s">
        <v>551</v>
      </c>
      <c r="B233" s="348" t="str">
        <f>IF(Start!$C$16="x",IF(OR(D233 ="NA",E233="NA"),"NA",IF(AND(D233= "",E233=""),"",IF(AND(D233= "",E233&lt;&gt; ""),"Missing Data",                     IF(AND(D233&lt;&gt; "",E233= ""),"Missing Data",(IF(OR(G233="NA",G233=""),"No Criteria",(IF(AND(Q233="NA",D233&lt;&gt;"NA",G233&lt;&gt;"NA"),                                               "Missing Data",(IF(Q233&lt;G233,"No","Needed")))))))))),"---")</f>
        <v>---</v>
      </c>
      <c r="C233" s="350" t="str">
        <f>IF(Start!$C$16="x",IF(OR(D233 ="NA",E233="NA"),"NA",IF(AND(D233= "",E233=""),"",IF(AND(D233= "",E233&lt;&gt; ""),"Missing Data",                     IF(AND(D233&lt;&gt; "",E233= ""),"Missing Data",(IF(OR(G233="NA",G233=""),"No Criteria",(IF(AND(S233="NA",D233&lt;&gt;"NA",G233&lt;&gt;"NA"),                                               "Missing Data",(IF(S233&lt;G233,"No","Needed")))))))))),"---")</f>
        <v>---</v>
      </c>
      <c r="D233" s="372" t="str">
        <f>IF(TRUE=ISBLANK(ChemData!B233),"",(ChemData!B233))</f>
        <v/>
      </c>
      <c r="E233" s="373" t="str">
        <f>IF(TRUE=ISBLANK(ChemData!C233),"",(ChemData!C233))</f>
        <v/>
      </c>
      <c r="F233" s="374" t="str">
        <f>IF(TRUE=ISBLANK(ChemData!D233),"",(ChemData!D233))</f>
        <v/>
      </c>
      <c r="G233" s="289">
        <f>IF(TRUE=ISBLANK(ChemData!I233),"",(ChemData!I233))</f>
        <v>3.8E-3</v>
      </c>
      <c r="H233" s="290">
        <f>IF(TRUE=ISBLANK(ChemData!Q233),"",(ChemData!Q233))</f>
        <v>1851</v>
      </c>
      <c r="I233" s="290">
        <f>IF(TRUE=ISBLANK(ChemData!R233),"",(ChemData!R233))</f>
        <v>1851</v>
      </c>
      <c r="J233" s="290">
        <f>IF(TRUE=ISBLANK(ChemData!S233),"",(ChemData!S233))</f>
        <v>1</v>
      </c>
      <c r="K233" s="291">
        <f>IF(TRUE=ISBLANK(ChemData!T233),"",(ChemData!T233))</f>
        <v>1</v>
      </c>
      <c r="L233" s="375" t="str">
        <f>IF(Start!$C$16="x",IF(OR(D233="NA",D233=""),"NA", IF(OR($J233 = "NA",J233=""),"NA",(D233*$J233))),"---")</f>
        <v>---</v>
      </c>
      <c r="M233" s="377" t="str">
        <f>IF(Start!$C$16="x",IF(OR(D233="NA",D233=""),"NA", IF(OR($K233 = "NA",K233=""),"NA",(D233*$K233))),"---")</f>
        <v>---</v>
      </c>
      <c r="N233" s="375" t="str">
        <f t="shared" si="9"/>
        <v>---</v>
      </c>
      <c r="O233" s="377" t="str">
        <f t="shared" si="9"/>
        <v>---</v>
      </c>
      <c r="P233" s="461" t="str">
        <f>IF(Start!$C$16="x",(IF(L233 = "NA","NA", (IF(OR($H233 = "NA",H233=""), "NA",(IF(OR(ChemData!U233="NA",ChemData!U233=""),L233/((Data!$D$33+((1-Data!$D$33)*Data!$D$14*$H233))/((1-Data!$D$33)*Data!$D$14*1000)),(IF(L233/((Data!$D$33+((1-Data!$D$33)*Data!$D$14*$H233))/((1-Data!$D$33)*Data!$D$14*1000))&gt;ChemData!U233, ChemData!U233, L233/((Data!$D$33+((1-Data!$D$33)*Data!$D$14*$H233))/((1-Data!$D$33)*Data!$D$14*1000)))))))))),"---")</f>
        <v>---</v>
      </c>
      <c r="Q233" s="376" t="str">
        <f>IF(Start!$C$16="x",IF(OR($F233 = "NA",F233=""), "NA", IF(P233= "NA", "NA",(P233+(Data!$D$30*$F233))/(Data!$D$30+1))),"---")</f>
        <v>---</v>
      </c>
      <c r="R233" s="376" t="str">
        <f>IF(Start!$C$16="x",IF(O233 = "NA","NA", IF(OR($I233 = "NA",I233=""), "NA",(IF(OR(ChemData!U233="NA",ChemData!U233=""),O233/((Data!$D$35+((1-Data!$D$35)*Data!$D$14*$I233))/((1-Data!$D$35)*Data!$D$14*1000)),(IF(O233/((Data!$D$35+((1-Data!$D$35)*Data!$D$14*$I233))/((1-Data!$D$35)*Data!$D$14*1000))&gt;ChemData!U233, ChemData!U233, O233/((Data!$D$35+((1-Data!$D$35)*Data!$D$14*$I233))/((1-Data!$D$35)*Data!$D$14*1000)))))))),"---")</f>
        <v>---</v>
      </c>
      <c r="S233" s="377" t="str">
        <f>IF(Start!$C$16="x",IF(OR($F233 = "NA",F233=""), "NA", IF(R233= "NA", "NA",(R233+(Data!$D$30*$F233))/(Data!$D$30+1))),"---")</f>
        <v>---</v>
      </c>
      <c r="T233" s="343" t="str">
        <f>IF(Start!$C$16="x",IF(AND(D233= "",E233=""),"",IF(Q233="NA","NA",IF(G233="NA","NA",IF(G233=0,"NA",(Q233/G233))))),"Not Req.")</f>
        <v>Not Req.</v>
      </c>
      <c r="U233" s="343" t="str">
        <f>IF(Start!$C$16="x",IF(AND(D233= "",E233=""),"",IF(S233="NA","NA",IF(G233="NA","NA",IF(G233=0,"NA",(S233/G233))))),"Not Req.")</f>
        <v>Not Req.</v>
      </c>
      <c r="V233" s="11"/>
    </row>
    <row r="234" spans="1:22" s="10" customFormat="1" x14ac:dyDescent="0.25">
      <c r="A234" s="307" t="s">
        <v>552</v>
      </c>
      <c r="B234" s="348" t="str">
        <f>IF(Start!$C$16="x",IF(OR(D234 ="NA",E234="NA"),"NA",IF(AND(D234= "",E234=""),"",IF(AND(D234= "",E234&lt;&gt; ""),"Missing Data",                     IF(AND(D234&lt;&gt; "",E234= ""),"Missing Data",(IF(OR(G234="NA",G234=""),"No Criteria",(IF(AND(Q234="NA",D234&lt;&gt;"NA",G234&lt;&gt;"NA"),                                               "Missing Data",(IF(Q234&lt;G234,"No","Needed")))))))))),"---")</f>
        <v>---</v>
      </c>
      <c r="C234" s="350" t="str">
        <f>IF(Start!$C$16="x",IF(OR(D234 ="NA",E234="NA"),"NA",IF(AND(D234= "",E234=""),"",IF(AND(D234= "",E234&lt;&gt; ""),"Missing Data",                     IF(AND(D234&lt;&gt; "",E234= ""),"Missing Data",(IF(OR(G234="NA",G234=""),"No Criteria",(IF(AND(S234="NA",D234&lt;&gt;"NA",G234&lt;&gt;"NA"),                                               "Missing Data",(IF(S234&lt;G234,"No","Needed")))))))))),"---")</f>
        <v>---</v>
      </c>
      <c r="D234" s="372" t="str">
        <f>IF(TRUE=ISBLANK(ChemData!B234),"",(ChemData!B234))</f>
        <v/>
      </c>
      <c r="E234" s="373" t="str">
        <f>IF(TRUE=ISBLANK(ChemData!C234),"",(ChemData!C234))</f>
        <v/>
      </c>
      <c r="F234" s="374" t="str">
        <f>IF(TRUE=ISBLANK(ChemData!D234),"",(ChemData!D234))</f>
        <v/>
      </c>
      <c r="G234" s="289" t="str">
        <f>IF(TRUE=ISBLANK(ChemData!I234),"",(ChemData!I234))</f>
        <v>NA</v>
      </c>
      <c r="H234" s="290">
        <f>IF(TRUE=ISBLANK(ChemData!Q234),"",(ChemData!Q234))</f>
        <v>7.5406089421541254E-3</v>
      </c>
      <c r="I234" s="290">
        <f>IF(TRUE=ISBLANK(ChemData!R234),"",(ChemData!R234))</f>
        <v>7.5406089421541254E-3</v>
      </c>
      <c r="J234" s="290">
        <f>IF(TRUE=ISBLANK(ChemData!S234),"",(ChemData!S234))</f>
        <v>1</v>
      </c>
      <c r="K234" s="291">
        <f>IF(TRUE=ISBLANK(ChemData!T234),"",(ChemData!T234))</f>
        <v>1</v>
      </c>
      <c r="L234" s="375" t="str">
        <f>IF(Start!$C$16="x",IF(OR(D234="NA",D234=""),"NA", IF(OR($J234 = "NA",J234=""),"NA",(D234*$J234))),"---")</f>
        <v>---</v>
      </c>
      <c r="M234" s="377" t="str">
        <f>IF(Start!$C$16="x",IF(OR(D234="NA",D234=""),"NA", IF(OR($K234 = "NA",K234=""),"NA",(D234*$K234))),"---")</f>
        <v>---</v>
      </c>
      <c r="N234" s="375" t="str">
        <f t="shared" si="9"/>
        <v>---</v>
      </c>
      <c r="O234" s="377" t="str">
        <f t="shared" si="9"/>
        <v>---</v>
      </c>
      <c r="P234" s="461" t="str">
        <f>IF(Start!$C$16="x",(IF(L234 = "NA","NA", (IF(OR($H234 = "NA",H234=""), "NA",(IF(OR(ChemData!U235="NA",ChemData!U235=""),L234/((Data!$D$33+((1-Data!$D$33)*Data!$D$14*$H234))/((1-Data!$D$33)*Data!$D$14*1000)),(IF(L234/((Data!$D$33+((1-Data!$D$33)*Data!$D$14*$H234))/((1-Data!$D$33)*Data!$D$14*1000))&gt;ChemData!U235, ChemData!U235, L234/((Data!$D$33+((1-Data!$D$33)*Data!$D$14*$H234))/((1-Data!$D$33)*Data!$D$14*1000)))))))))),"---")</f>
        <v>---</v>
      </c>
      <c r="Q234" s="376" t="str">
        <f>IF(Start!$C$16="x",IF(OR($F234 = "NA",F234=""), "NA", IF(P234= "NA", "NA",(P234+(Data!$D$30*$F234))/(Data!$D$30+1))),"---")</f>
        <v>---</v>
      </c>
      <c r="R234" s="376" t="str">
        <f>IF(Start!$C$16="x",IF(O234 = "NA","NA", IF(OR($I234 = "NA",I234=""), "NA",(IF(OR(ChemData!U234="NA",ChemData!U234=""),O234/((Data!$D$35+((1-Data!$D$35)*Data!$D$14*$I234))/((1-Data!$D$35)*Data!$D$14*1000)),(IF(O234/((Data!$D$35+((1-Data!$D$35)*Data!$D$14*$I234))/((1-Data!$D$35)*Data!$D$14*1000))&gt;ChemData!U234, ChemData!U234, O234/((Data!$D$35+((1-Data!$D$35)*Data!$D$14*$I234))/((1-Data!$D$35)*Data!$D$14*1000)))))))),"---")</f>
        <v>---</v>
      </c>
      <c r="S234" s="377" t="str">
        <f>IF(Start!$C$16="x",IF(OR($F234 = "NA",F234=""), "NA", IF(R234= "NA", "NA",(R234+(Data!$D$30*$F234))/(Data!$D$30+1))),"---")</f>
        <v>---</v>
      </c>
      <c r="T234" s="343" t="str">
        <f>IF(Start!$C$16="x",IF(AND(D234= "",E234=""),"",IF(Q234="NA","NA",IF(G234="NA","NA",IF(G234=0,"NA",(Q234/G234))))),"Not Req.")</f>
        <v>Not Req.</v>
      </c>
      <c r="U234" s="343" t="str">
        <f>IF(Start!$C$16="x",IF(AND(D234= "",E234=""),"",IF(S234="NA","NA",IF(G234="NA","NA",IF(G234=0,"NA",(S234/G234))))),"Not Req.")</f>
        <v>Not Req.</v>
      </c>
      <c r="V234" s="11"/>
    </row>
    <row r="235" spans="1:22" s="10" customFormat="1" x14ac:dyDescent="0.25">
      <c r="A235" s="307" t="s">
        <v>553</v>
      </c>
      <c r="B235" s="348" t="str">
        <f>IF(Start!$C$16="x",IF(OR(D235 ="NA",E235="NA"),"NA",IF(AND(D235= "",E235=""),"",IF(AND(D235= "",E235&lt;&gt; ""),"Missing Data",                     IF(AND(D235&lt;&gt; "",E235= ""),"Missing Data",(IF(OR(G235="NA",G235=""),"No Criteria",(IF(AND(Q235="NA",D235&lt;&gt;"NA",G235&lt;&gt;"NA"),                                               "Missing Data",(IF(Q235&lt;G235,"No","Needed")))))))))),"---")</f>
        <v>---</v>
      </c>
      <c r="C235" s="350" t="str">
        <f>IF(Start!$C$16="x",IF(OR(D235 ="NA",E235="NA"),"NA",IF(AND(D235= "",E235=""),"",IF(AND(D235= "",E235&lt;&gt; ""),"Missing Data",                     IF(AND(D235&lt;&gt; "",E235= ""),"Missing Data",(IF(OR(G235="NA",G235=""),"No Criteria",(IF(AND(S235="NA",D235&lt;&gt;"NA",G235&lt;&gt;"NA"),                                               "Missing Data",(IF(S235&lt;G235,"No","Needed")))))))))),"---")</f>
        <v>---</v>
      </c>
      <c r="D235" s="372" t="str">
        <f>IF(TRUE=ISBLANK(ChemData!B235),"",(ChemData!B235))</f>
        <v/>
      </c>
      <c r="E235" s="373" t="str">
        <f>IF(TRUE=ISBLANK(ChemData!C235),"",(ChemData!C235))</f>
        <v/>
      </c>
      <c r="F235" s="374" t="str">
        <f>IF(TRUE=ISBLANK(ChemData!D235),"",(ChemData!D235))</f>
        <v/>
      </c>
      <c r="G235" s="289" t="str">
        <f>IF(TRUE=ISBLANK(ChemData!I235),"",(ChemData!I235))</f>
        <v>NA</v>
      </c>
      <c r="H235" s="290">
        <f>IF(TRUE=ISBLANK(ChemData!Q235),"",(ChemData!Q235))</f>
        <v>8.3294999999999994E-2</v>
      </c>
      <c r="I235" s="290">
        <f>IF(TRUE=ISBLANK(ChemData!R235),"",(ChemData!R235))</f>
        <v>8.3294999999999994E-2</v>
      </c>
      <c r="J235" s="290">
        <f>IF(TRUE=ISBLANK(ChemData!S235),"",(ChemData!S235))</f>
        <v>1</v>
      </c>
      <c r="K235" s="291">
        <f>IF(TRUE=ISBLANK(ChemData!T235),"",(ChemData!T235))</f>
        <v>1</v>
      </c>
      <c r="L235" s="375" t="str">
        <f>IF(Start!$C$16="x",IF(OR(D235="NA",D235=""),"NA", IF(OR($J235 = "NA",J235=""),"NA",(D235*$J235))),"---")</f>
        <v>---</v>
      </c>
      <c r="M235" s="377" t="str">
        <f>IF(Start!$C$16="x",IF(OR(D235="NA",D235=""),"NA", IF(OR($K235 = "NA",K235=""),"NA",(D235*$K235))),"---")</f>
        <v>---</v>
      </c>
      <c r="N235" s="375" t="str">
        <f t="shared" si="9"/>
        <v>---</v>
      </c>
      <c r="O235" s="377" t="str">
        <f t="shared" si="9"/>
        <v>---</v>
      </c>
      <c r="P235" s="461" t="str">
        <f>IF(Start!$C$16="x",(IF(L235 = "NA","NA", (IF(OR($H235 = "NA",H235=""), "NA",(IF(OR(ChemData!U236="NA",ChemData!U236=""),L235/((Data!$D$33+((1-Data!$D$33)*Data!$D$14*$H235))/((1-Data!$D$33)*Data!$D$14*1000)),(IF(L235/((Data!$D$33+((1-Data!$D$33)*Data!$D$14*$H235))/((1-Data!$D$33)*Data!$D$14*1000))&gt;ChemData!U236, ChemData!U236, L235/((Data!$D$33+((1-Data!$D$33)*Data!$D$14*$H235))/((1-Data!$D$33)*Data!$D$14*1000)))))))))),"---")</f>
        <v>---</v>
      </c>
      <c r="Q235" s="376" t="str">
        <f>IF(Start!$C$16="x",IF(OR($F235 = "NA",F235=""), "NA", IF(P235= "NA", "NA",(P235+(Data!$D$30*$F235))/(Data!$D$30+1))),"---")</f>
        <v>---</v>
      </c>
      <c r="R235" s="376" t="str">
        <f>IF(Start!$C$16="x",IF(O235 = "NA","NA", IF(OR($I235 = "NA",I235=""), "NA",(IF(OR(ChemData!U235="NA",ChemData!U235=""),O235/((Data!$D$35+((1-Data!$D$35)*Data!$D$14*$I235))/((1-Data!$D$35)*Data!$D$14*1000)),(IF(O235/((Data!$D$35+((1-Data!$D$35)*Data!$D$14*$I235))/((1-Data!$D$35)*Data!$D$14*1000))&gt;ChemData!U235, ChemData!U235, O235/((Data!$D$35+((1-Data!$D$35)*Data!$D$14*$I235))/((1-Data!$D$35)*Data!$D$14*1000)))))))),"---")</f>
        <v>---</v>
      </c>
      <c r="S235" s="377" t="str">
        <f>IF(Start!$C$16="x",IF(OR($F235 = "NA",F235=""), "NA", IF(R235= "NA", "NA",(R235+(Data!$D$30*$F235))/(Data!$D$30+1))),"---")</f>
        <v>---</v>
      </c>
      <c r="T235" s="343" t="str">
        <f>IF(Start!$C$16="x",IF(AND(D235= "",E235=""),"",IF(Q235="NA","NA",IF(G235="NA","NA",IF(G235=0,"NA",(Q235/G235))))),"Not Req.")</f>
        <v>Not Req.</v>
      </c>
      <c r="U235" s="343" t="str">
        <f>IF(Start!$C$16="x",IF(AND(D235= "",E235=""),"",IF(S235="NA","NA",IF(G235="NA","NA",IF(G235=0,"NA",(S235/G235))))),"Not Req.")</f>
        <v>Not Req.</v>
      </c>
      <c r="V235" s="11"/>
    </row>
    <row r="236" spans="1:22" s="10" customFormat="1" x14ac:dyDescent="0.25">
      <c r="A236" s="307" t="s">
        <v>554</v>
      </c>
      <c r="B236" s="348" t="str">
        <f>IF(Start!$C$16="x",IF(OR(D236 ="NA",E236="NA"),"NA",IF(AND(D236= "",E236=""),"",IF(AND(D236= "",E236&lt;&gt; ""),"Missing Data",                     IF(AND(D236&lt;&gt; "",E236= ""),"Missing Data",(IF(OR(G236="NA",G236=""),"No Criteria",(IF(AND(Q236="NA",D236&lt;&gt;"NA",G236&lt;&gt;"NA"),                                               "Missing Data",(IF(Q236&lt;G236,"No","Needed")))))))))),"---")</f>
        <v>---</v>
      </c>
      <c r="C236" s="350" t="str">
        <f>IF(Start!$C$16="x",IF(OR(D236 ="NA",E236="NA"),"NA",IF(AND(D236= "",E236=""),"",IF(AND(D236= "",E236&lt;&gt; ""),"Missing Data",                     IF(AND(D236&lt;&gt; "",E236= ""),"Missing Data",(IF(OR(G236="NA",G236=""),"No Criteria",(IF(AND(S236="NA",D236&lt;&gt;"NA",G236&lt;&gt;"NA"),                                               "Missing Data",(IF(S236&lt;G236,"No","Needed")))))))))),"---")</f>
        <v>---</v>
      </c>
      <c r="D236" s="372" t="str">
        <f>IF(TRUE=ISBLANK(ChemData!B236),"",(ChemData!B236))</f>
        <v/>
      </c>
      <c r="E236" s="373" t="str">
        <f>IF(TRUE=ISBLANK(ChemData!C236),"",(ChemData!C236))</f>
        <v/>
      </c>
      <c r="F236" s="374" t="str">
        <f>IF(TRUE=ISBLANK(ChemData!D236),"",(ChemData!D236))</f>
        <v/>
      </c>
      <c r="G236" s="289">
        <f>IF(TRUE=ISBLANK(ChemData!I236),"",(ChemData!I236))</f>
        <v>0.03</v>
      </c>
      <c r="H236" s="290">
        <f>IF(TRUE=ISBLANK(ChemData!Q236),"",(ChemData!Q236))</f>
        <v>2225.3914684768338</v>
      </c>
      <c r="I236" s="290">
        <f>IF(TRUE=ISBLANK(ChemData!R236),"",(ChemData!R236))</f>
        <v>2225.3914684768338</v>
      </c>
      <c r="J236" s="290">
        <f>IF(TRUE=ISBLANK(ChemData!S236),"",(ChemData!S236))</f>
        <v>1</v>
      </c>
      <c r="K236" s="291">
        <f>IF(TRUE=ISBLANK(ChemData!T236),"",(ChemData!T236))</f>
        <v>1</v>
      </c>
      <c r="L236" s="375" t="str">
        <f>IF(Start!$C$16="x",IF(OR(D236="NA",D236=""),"NA", IF(OR($J236 = "NA",J236=""),"NA",(D236*$J236))),"---")</f>
        <v>---</v>
      </c>
      <c r="M236" s="377" t="str">
        <f>IF(Start!$C$16="x",IF(OR(D236="NA",D236=""),"NA", IF(OR($K236 = "NA",K236=""),"NA",(D236*$K236))),"---")</f>
        <v>---</v>
      </c>
      <c r="N236" s="375" t="str">
        <f t="shared" si="9"/>
        <v>---</v>
      </c>
      <c r="O236" s="377" t="str">
        <f t="shared" si="9"/>
        <v>---</v>
      </c>
      <c r="P236" s="461" t="str">
        <f>IF(Start!$C$16="x",(IF(L236 = "NA","NA", (IF(OR($H236 = "NA",H236=""), "NA",(IF(OR(ChemData!U237="NA",ChemData!U237=""),L236/((Data!$D$33+((1-Data!$D$33)*Data!$D$14*$H236))/((1-Data!$D$33)*Data!$D$14*1000)),(IF(L236/((Data!$D$33+((1-Data!$D$33)*Data!$D$14*$H236))/((1-Data!$D$33)*Data!$D$14*1000))&gt;ChemData!U237, ChemData!U237, L236/((Data!$D$33+((1-Data!$D$33)*Data!$D$14*$H236))/((1-Data!$D$33)*Data!$D$14*1000)))))))))),"---")</f>
        <v>---</v>
      </c>
      <c r="Q236" s="376" t="str">
        <f>IF(Start!$C$16="x",IF(OR($F236 = "NA",F236=""), "NA", IF(P236= "NA", "NA",(P236+(Data!$D$30*$F236))/(Data!$D$30+1))),"---")</f>
        <v>---</v>
      </c>
      <c r="R236" s="376" t="str">
        <f>IF(Start!$C$16="x",IF(O236 = "NA","NA", IF(OR($I236 = "NA",I236=""), "NA",(IF(OR(ChemData!U236="NA",ChemData!U236=""),O236/((Data!$D$35+((1-Data!$D$35)*Data!$D$14*$I236))/((1-Data!$D$35)*Data!$D$14*1000)),(IF(O236/((Data!$D$35+((1-Data!$D$35)*Data!$D$14*$I236))/((1-Data!$D$35)*Data!$D$14*1000))&gt;ChemData!U236, ChemData!U236, O236/((Data!$D$35+((1-Data!$D$35)*Data!$D$14*$I236))/((1-Data!$D$35)*Data!$D$14*1000)))))))),"---")</f>
        <v>---</v>
      </c>
      <c r="S236" s="377" t="str">
        <f>IF(Start!$C$16="x",IF(OR($F236 = "NA",F236=""), "NA", IF(R236= "NA", "NA",(R236+(Data!$D$30*$F236))/(Data!$D$30+1))),"---")</f>
        <v>---</v>
      </c>
      <c r="T236" s="343" t="str">
        <f>IF(Start!$C$16="x",IF(AND(D236= "",E236=""),"",IF(Q236="NA","NA",IF(G236="NA","NA",IF(G236=0,"NA",(Q236/G236))))),"Not Req.")</f>
        <v>Not Req.</v>
      </c>
      <c r="U236" s="343" t="str">
        <f>IF(Start!$C$16="x",IF(AND(D236= "",E236=""),"",IF(S236="NA","NA",IF(G236="NA","NA",IF(G236=0,"NA",(S236/G236))))),"Not Req.")</f>
        <v>Not Req.</v>
      </c>
      <c r="V236" s="11"/>
    </row>
    <row r="237" spans="1:22" s="10" customFormat="1" x14ac:dyDescent="0.25">
      <c r="A237" s="307" t="s">
        <v>555</v>
      </c>
      <c r="B237" s="348" t="str">
        <f>IF(Start!$C$16="x",IF(OR(D237 ="NA",E237="NA"),"NA",IF(AND(D237= "",E237=""),"",IF(AND(D237= "",E237&lt;&gt; ""),"Missing Data",                     IF(AND(D237&lt;&gt; "",E237= ""),"Missing Data",(IF(OR(G237="NA",G237=""),"No Criteria",(IF(AND(Q237="NA",D237&lt;&gt;"NA",G237&lt;&gt;"NA"),                                               "Missing Data",(IF(Q237&lt;G237,"No","Needed")))))))))),"---")</f>
        <v>---</v>
      </c>
      <c r="C237" s="350" t="str">
        <f>IF(Start!$C$16="x",IF(OR(D237 ="NA",E237="NA"),"NA",IF(AND(D237= "",E237=""),"",IF(AND(D237= "",E237&lt;&gt; ""),"Missing Data",                     IF(AND(D237&lt;&gt; "",E237= ""),"Missing Data",(IF(OR(G237="NA",G237=""),"No Criteria",(IF(AND(S237="NA",D237&lt;&gt;"NA",G237&lt;&gt;"NA"),                                               "Missing Data",(IF(S237&lt;G237,"No","Needed")))))))))),"---")</f>
        <v>---</v>
      </c>
      <c r="D237" s="372" t="str">
        <f>IF(TRUE=ISBLANK(ChemData!B237),"",(ChemData!B237))</f>
        <v/>
      </c>
      <c r="E237" s="373" t="str">
        <f>IF(TRUE=ISBLANK(ChemData!C237),"",(ChemData!C237))</f>
        <v/>
      </c>
      <c r="F237" s="374" t="str">
        <f>IF(TRUE=ISBLANK(ChemData!D237),"",(ChemData!D237))</f>
        <v/>
      </c>
      <c r="G237" s="289">
        <f>IF(TRUE=ISBLANK(ChemData!I237),"",(ChemData!I237))</f>
        <v>1E-3</v>
      </c>
      <c r="H237" s="290">
        <f>IF(TRUE=ISBLANK(ChemData!Q237),"",(ChemData!Q237))</f>
        <v>147030.15624746474</v>
      </c>
      <c r="I237" s="290">
        <f>IF(TRUE=ISBLANK(ChemData!R237),"",(ChemData!R237))</f>
        <v>147030.15624746474</v>
      </c>
      <c r="J237" s="290">
        <f>IF(TRUE=ISBLANK(ChemData!S237),"",(ChemData!S237))</f>
        <v>1</v>
      </c>
      <c r="K237" s="291">
        <f>IF(TRUE=ISBLANK(ChemData!T237),"",(ChemData!T237))</f>
        <v>1</v>
      </c>
      <c r="L237" s="375" t="str">
        <f>IF(Start!$C$16="x",IF(OR(D237="NA",D237=""),"NA", IF(OR($J237 = "NA",J237=""),"NA",(D237*$J237))),"---")</f>
        <v>---</v>
      </c>
      <c r="M237" s="377" t="str">
        <f>IF(Start!$C$16="x",IF(OR(D237="NA",D237=""),"NA", IF(OR($K237 = "NA",K237=""),"NA",(D237*$K237))),"---")</f>
        <v>---</v>
      </c>
      <c r="N237" s="375" t="str">
        <f t="shared" si="9"/>
        <v>---</v>
      </c>
      <c r="O237" s="377" t="str">
        <f t="shared" si="9"/>
        <v>---</v>
      </c>
      <c r="P237" s="461" t="str">
        <f>IF(Start!$C$16="x",(IF(L237 = "NA","NA", (IF(OR($H237 = "NA",H237=""), "NA",(IF(OR(ChemData!U238="NA",ChemData!U238=""),L237/((Data!$D$33+((1-Data!$D$33)*Data!$D$14*$H237))/((1-Data!$D$33)*Data!$D$14*1000)),(IF(L237/((Data!$D$33+((1-Data!$D$33)*Data!$D$14*$H237))/((1-Data!$D$33)*Data!$D$14*1000))&gt;ChemData!U238, ChemData!U238, L237/((Data!$D$33+((1-Data!$D$33)*Data!$D$14*$H237))/((1-Data!$D$33)*Data!$D$14*1000)))))))))),"---")</f>
        <v>---</v>
      </c>
      <c r="Q237" s="376" t="str">
        <f>IF(Start!$C$16="x",IF(OR($F237 = "NA",F237=""), "NA", IF(P237= "NA", "NA",(P237+(Data!$D$30*$F237))/(Data!$D$30+1))),"---")</f>
        <v>---</v>
      </c>
      <c r="R237" s="376" t="str">
        <f>IF(Start!$C$16="x",IF(O237 = "NA","NA", IF(OR($I237 = "NA",I237=""), "NA",(IF(OR(ChemData!U237="NA",ChemData!U237=""),O237/((Data!$D$35+((1-Data!$D$35)*Data!$D$14*$I237))/((1-Data!$D$35)*Data!$D$14*1000)),(IF(O237/((Data!$D$35+((1-Data!$D$35)*Data!$D$14*$I237))/((1-Data!$D$35)*Data!$D$14*1000))&gt;ChemData!U237, ChemData!U237, O237/((Data!$D$35+((1-Data!$D$35)*Data!$D$14*$I237))/((1-Data!$D$35)*Data!$D$14*1000)))))))),"---")</f>
        <v>---</v>
      </c>
      <c r="S237" s="377" t="str">
        <f>IF(Start!$C$16="x",IF(OR($F237 = "NA",F237=""), "NA", IF(R237= "NA", "NA",(R237+(Data!$D$30*$F237))/(Data!$D$30+1))),"---")</f>
        <v>---</v>
      </c>
      <c r="T237" s="343" t="str">
        <f>IF(Start!$C$16="x",IF(AND(D237= "",E237=""),"",IF(Q237="NA","NA",IF(G237="NA","NA",IF(G237=0,"NA",(Q237/G237))))),"Not Req.")</f>
        <v>Not Req.</v>
      </c>
      <c r="U237" s="343" t="str">
        <f>IF(Start!$C$16="x",IF(AND(D237= "",E237=""),"",IF(S237="NA","NA",IF(G237="NA","NA",IF(G237=0,"NA",(S237/G237))))),"Not Req.")</f>
        <v>Not Req.</v>
      </c>
      <c r="V237" s="11"/>
    </row>
    <row r="238" spans="1:22" s="10" customFormat="1" x14ac:dyDescent="0.25">
      <c r="A238" s="307" t="s">
        <v>556</v>
      </c>
      <c r="B238" s="348" t="str">
        <f>IF(Start!$C$16="x",IF(OR(D238 ="NA",E238="NA"),"NA",IF(AND(D238= "",E238=""),"",IF(AND(D238= "",E238&lt;&gt; ""),"Missing Data",                     IF(AND(D238&lt;&gt; "",E238= ""),"Missing Data",(IF(OR(G238="NA",G238=""),"No Criteria",(IF(AND(Q238="NA",D238&lt;&gt;"NA",G238&lt;&gt;"NA"),                                               "Missing Data",(IF(Q238&lt;G238,"No","Needed")))))))))),"---")</f>
        <v>---</v>
      </c>
      <c r="C238" s="350" t="str">
        <f>IF(Start!$C$16="x",IF(OR(D238 ="NA",E238="NA"),"NA",IF(AND(D238= "",E238=""),"",IF(AND(D238= "",E238&lt;&gt; ""),"Missing Data",                     IF(AND(D238&lt;&gt; "",E238= ""),"Missing Data",(IF(OR(G238="NA",G238=""),"No Criteria",(IF(AND(S238="NA",D238&lt;&gt;"NA",G238&lt;&gt;"NA"),                                               "Missing Data",(IF(S238&lt;G238,"No","Needed")))))))))),"---")</f>
        <v>---</v>
      </c>
      <c r="D238" s="372" t="str">
        <f>IF(TRUE=ISBLANK(ChemData!B238),"",(ChemData!B238))</f>
        <v/>
      </c>
      <c r="E238" s="373" t="str">
        <f>IF(TRUE=ISBLANK(ChemData!C238),"",(ChemData!C238))</f>
        <v/>
      </c>
      <c r="F238" s="374" t="str">
        <f>IF(TRUE=ISBLANK(ChemData!D238),"",(ChemData!D238))</f>
        <v/>
      </c>
      <c r="G238" s="289" t="str">
        <f>IF(TRUE=ISBLANK(ChemData!I238),"",(ChemData!I238))</f>
        <v>NA</v>
      </c>
      <c r="H238" s="290">
        <f>IF(TRUE=ISBLANK(ChemData!Q238),"",(ChemData!Q238))</f>
        <v>22253.914684768366</v>
      </c>
      <c r="I238" s="290">
        <f>IF(TRUE=ISBLANK(ChemData!R238),"",(ChemData!R238))</f>
        <v>22253.914684768366</v>
      </c>
      <c r="J238" s="290">
        <f>IF(TRUE=ISBLANK(ChemData!S238),"",(ChemData!S238))</f>
        <v>1</v>
      </c>
      <c r="K238" s="291">
        <f>IF(TRUE=ISBLANK(ChemData!T238),"",(ChemData!T238))</f>
        <v>1</v>
      </c>
      <c r="L238" s="375" t="str">
        <f>IF(Start!$C$16="x",IF(OR(D238="NA",D238=""),"NA", IF(OR($J238 = "NA",J238=""),"NA",(D238*$J238))),"---")</f>
        <v>---</v>
      </c>
      <c r="M238" s="377" t="str">
        <f>IF(Start!$C$16="x",IF(OR(D238="NA",D238=""),"NA", IF(OR($K238 = "NA",K238=""),"NA",(D238*$K238))),"---")</f>
        <v>---</v>
      </c>
      <c r="N238" s="375" t="str">
        <f t="shared" si="9"/>
        <v>---</v>
      </c>
      <c r="O238" s="377" t="str">
        <f t="shared" si="9"/>
        <v>---</v>
      </c>
      <c r="P238" s="461" t="str">
        <f>IF(Start!$C$16="x",(IF(L238 = "NA","NA", (IF(OR($H238 = "NA",H238=""), "NA",(IF(OR(ChemData!U239="NA",ChemData!U239=""),L238/((Data!$D$33+((1-Data!$D$33)*Data!$D$14*$H238))/((1-Data!$D$33)*Data!$D$14*1000)),(IF(L238/((Data!$D$33+((1-Data!$D$33)*Data!$D$14*$H238))/((1-Data!$D$33)*Data!$D$14*1000))&gt;ChemData!U239, ChemData!U239, L238/((Data!$D$33+((1-Data!$D$33)*Data!$D$14*$H238))/((1-Data!$D$33)*Data!$D$14*1000)))))))))),"---")</f>
        <v>---</v>
      </c>
      <c r="Q238" s="376" t="str">
        <f>IF(Start!$C$16="x",IF(OR($F238 = "NA",F238=""), "NA", IF(P238= "NA", "NA",(P238+(Data!$D$30*$F238))/(Data!$D$30+1))),"---")</f>
        <v>---</v>
      </c>
      <c r="R238" s="376" t="str">
        <f>IF(Start!$C$16="x",IF(O238 = "NA","NA", IF(OR($I238 = "NA",I238=""), "NA",(IF(OR(ChemData!U238="NA",ChemData!U238=""),O238/((Data!$D$35+((1-Data!$D$35)*Data!$D$14*$I238))/((1-Data!$D$35)*Data!$D$14*1000)),(IF(O238/((Data!$D$35+((1-Data!$D$35)*Data!$D$14*$I238))/((1-Data!$D$35)*Data!$D$14*1000))&gt;ChemData!U238, ChemData!U238, O238/((Data!$D$35+((1-Data!$D$35)*Data!$D$14*$I238))/((1-Data!$D$35)*Data!$D$14*1000)))))))),"---")</f>
        <v>---</v>
      </c>
      <c r="S238" s="377" t="str">
        <f>IF(Start!$C$16="x",IF(OR($F238 = "NA",F238=""), "NA", IF(R238= "NA", "NA",(R238+(Data!$D$30*$F238))/(Data!$D$30+1))),"---")</f>
        <v>---</v>
      </c>
      <c r="T238" s="343" t="str">
        <f>IF(Start!$C$16="x",IF(AND(D238= "",E238=""),"",IF(Q238="NA","NA",IF(G238="NA","NA",IF(G238=0,"NA",(Q238/G238))))),"Not Req.")</f>
        <v>Not Req.</v>
      </c>
      <c r="U238" s="343" t="str">
        <f>IF(Start!$C$16="x",IF(AND(D238= "",E238=""),"",IF(S238="NA","NA",IF(G238="NA","NA",IF(G238=0,"NA",(S238/G238))))),"Not Req.")</f>
        <v>Not Req.</v>
      </c>
      <c r="V238" s="11"/>
    </row>
    <row r="239" spans="1:22" s="10" customFormat="1" x14ac:dyDescent="0.25">
      <c r="A239" s="307" t="s">
        <v>557</v>
      </c>
      <c r="B239" s="348" t="str">
        <f>IF(Start!$C$16="x",IF(OR(D239 ="NA",E239="NA"),"NA",IF(AND(D239= "",E239=""),"",IF(AND(D239= "",E239&lt;&gt; ""),"Missing Data",                     IF(AND(D239&lt;&gt; "",E239= ""),"Missing Data",(IF(OR(G239="NA",G239=""),"No Criteria",(IF(AND(Q239="NA",D239&lt;&gt;"NA",G239&lt;&gt;"NA"),                                               "Missing Data",(IF(Q239&lt;G239,"No","Needed")))))))))),"---")</f>
        <v>---</v>
      </c>
      <c r="C239" s="350" t="str">
        <f>IF(Start!$C$16="x",IF(OR(D239 ="NA",E239="NA"),"NA",IF(AND(D239= "",E239=""),"",IF(AND(D239= "",E239&lt;&gt; ""),"Missing Data",                     IF(AND(D239&lt;&gt; "",E239= ""),"Missing Data",(IF(OR(G239="NA",G239=""),"No Criteria",(IF(AND(S239="NA",D239&lt;&gt;"NA",G239&lt;&gt;"NA"),                                               "Missing Data",(IF(S239&lt;G239,"No","Needed")))))))))),"---")</f>
        <v>---</v>
      </c>
      <c r="D239" s="372" t="str">
        <f>IF(TRUE=ISBLANK(ChemData!B239),"",(ChemData!B239))</f>
        <v/>
      </c>
      <c r="E239" s="373" t="str">
        <f>IF(TRUE=ISBLANK(ChemData!C239),"",(ChemData!C239))</f>
        <v/>
      </c>
      <c r="F239" s="374" t="str">
        <f>IF(TRUE=ISBLANK(ChemData!D239),"",(ChemData!D239))</f>
        <v/>
      </c>
      <c r="G239" s="289" t="str">
        <f>IF(TRUE=ISBLANK(ChemData!I239),"",(ChemData!I239))</f>
        <v>NA</v>
      </c>
      <c r="H239" s="290">
        <f>IF(TRUE=ISBLANK(ChemData!Q239),"",(ChemData!Q239))</f>
        <v>41438.728274899957</v>
      </c>
      <c r="I239" s="290">
        <f>IF(TRUE=ISBLANK(ChemData!R239),"",(ChemData!R239))</f>
        <v>41438.728274899957</v>
      </c>
      <c r="J239" s="290">
        <f>IF(TRUE=ISBLANK(ChemData!S239),"",(ChemData!S239))</f>
        <v>1</v>
      </c>
      <c r="K239" s="291">
        <f>IF(TRUE=ISBLANK(ChemData!T239),"",(ChemData!T239))</f>
        <v>1</v>
      </c>
      <c r="L239" s="375" t="str">
        <f>IF(Start!$C$16="x",IF(OR(D239="NA",D239=""),"NA", IF(OR($J239 = "NA",J239=""),"NA",(D239*$J239))),"---")</f>
        <v>---</v>
      </c>
      <c r="M239" s="377" t="str">
        <f>IF(Start!$C$16="x",IF(OR(D239="NA",D239=""),"NA", IF(OR($K239 = "NA",K239=""),"NA",(D239*$K239))),"---")</f>
        <v>---</v>
      </c>
      <c r="N239" s="375" t="str">
        <f t="shared" si="9"/>
        <v>---</v>
      </c>
      <c r="O239" s="377" t="str">
        <f t="shared" si="9"/>
        <v>---</v>
      </c>
      <c r="P239" s="461" t="str">
        <f>IF(Start!$C$16="x",(IF(L239 = "NA","NA", (IF(OR($H239 = "NA",H239=""), "NA",(IF(OR(ChemData!U240="NA",ChemData!U240=""),L239/((Data!$D$33+((1-Data!$D$33)*Data!$D$14*$H239))/((1-Data!$D$33)*Data!$D$14*1000)),(IF(L239/((Data!$D$33+((1-Data!$D$33)*Data!$D$14*$H239))/((1-Data!$D$33)*Data!$D$14*1000))&gt;ChemData!U240, ChemData!U240, L239/((Data!$D$33+((1-Data!$D$33)*Data!$D$14*$H239))/((1-Data!$D$33)*Data!$D$14*1000)))))))))),"---")</f>
        <v>---</v>
      </c>
      <c r="Q239" s="376" t="str">
        <f>IF(Start!$C$16="x",IF(OR($F239 = "NA",F239=""), "NA", IF(P239= "NA", "NA",(P239+(Data!$D$30*$F239))/(Data!$D$30+1))),"---")</f>
        <v>---</v>
      </c>
      <c r="R239" s="376" t="str">
        <f>IF(Start!$C$16="x",IF(O239 = "NA","NA", IF(OR($I239 = "NA",I239=""), "NA",(IF(OR(ChemData!U239="NA",ChemData!U239=""),O239/((Data!$D$35+((1-Data!$D$35)*Data!$D$14*$I239))/((1-Data!$D$35)*Data!$D$14*1000)),(IF(O239/((Data!$D$35+((1-Data!$D$35)*Data!$D$14*$I239))/((1-Data!$D$35)*Data!$D$14*1000))&gt;ChemData!U239, ChemData!U239, O239/((Data!$D$35+((1-Data!$D$35)*Data!$D$14*$I239))/((1-Data!$D$35)*Data!$D$14*1000)))))))),"---")</f>
        <v>---</v>
      </c>
      <c r="S239" s="377" t="str">
        <f>IF(Start!$C$16="x",IF(OR($F239 = "NA",F239=""), "NA", IF(R239= "NA", "NA",(R239+(Data!$D$30*$F239))/(Data!$D$30+1))),"---")</f>
        <v>---</v>
      </c>
      <c r="T239" s="343" t="str">
        <f>IF(Start!$C$16="x",IF(AND(D239= "",E239=""),"",IF(Q239="NA","NA",IF(G239="NA","NA",IF(G239=0,"NA",(Q239/G239))))),"Not Req.")</f>
        <v>Not Req.</v>
      </c>
      <c r="U239" s="343" t="str">
        <f>IF(Start!$C$16="x",IF(AND(D239= "",E239=""),"",IF(S239="NA","NA",IF(G239="NA","NA",IF(G239=0,"NA",(S239/G239))))),"Not Req.")</f>
        <v>Not Req.</v>
      </c>
      <c r="V239" s="11"/>
    </row>
    <row r="240" spans="1:22" s="10" customFormat="1" x14ac:dyDescent="0.25">
      <c r="A240" s="307" t="s">
        <v>558</v>
      </c>
      <c r="B240" s="348" t="str">
        <f>IF(Start!$C$16="x",IF(OR(D240 ="NA",E240="NA"),"NA",IF(AND(D240= "",E240=""),"",IF(AND(D240= "",E240&lt;&gt; ""),"Missing Data",                     IF(AND(D240&lt;&gt; "",E240= ""),"Missing Data",(IF(OR(G240="NA",G240=""),"No Criteria",(IF(AND(Q240="NA",D240&lt;&gt;"NA",G240&lt;&gt;"NA"),                                               "Missing Data",(IF(Q240&lt;G240,"No","Needed")))))))))),"---")</f>
        <v>---</v>
      </c>
      <c r="C240" s="350" t="str">
        <f>IF(Start!$C$16="x",IF(OR(D240 ="NA",E240="NA"),"NA",IF(AND(D240= "",E240=""),"",IF(AND(D240= "",E240&lt;&gt; ""),"Missing Data",                     IF(AND(D240&lt;&gt; "",E240= ""),"Missing Data",(IF(OR(G240="NA",G240=""),"No Criteria",(IF(AND(S240="NA",D240&lt;&gt;"NA",G240&lt;&gt;"NA"),                                               "Missing Data",(IF(S240&lt;G240,"No","Needed")))))))))),"---")</f>
        <v>---</v>
      </c>
      <c r="D240" s="372" t="str">
        <f>IF(TRUE=ISBLANK(ChemData!B240),"",(ChemData!B240))</f>
        <v/>
      </c>
      <c r="E240" s="373" t="str">
        <f>IF(TRUE=ISBLANK(ChemData!C240),"",(ChemData!C240))</f>
        <v/>
      </c>
      <c r="F240" s="374" t="str">
        <f>IF(TRUE=ISBLANK(ChemData!D240),"",(ChemData!D240))</f>
        <v/>
      </c>
      <c r="G240" s="289" t="str">
        <f>IF(TRUE=ISBLANK(ChemData!I240),"",(ChemData!I240))</f>
        <v>NA</v>
      </c>
      <c r="H240" s="290">
        <f>IF(TRUE=ISBLANK(ChemData!Q240),"",(ChemData!Q240))</f>
        <v>12514.295874505597</v>
      </c>
      <c r="I240" s="290">
        <f>IF(TRUE=ISBLANK(ChemData!R240),"",(ChemData!R240))</f>
        <v>12514.295874505597</v>
      </c>
      <c r="J240" s="290">
        <f>IF(TRUE=ISBLANK(ChemData!S240),"",(ChemData!S240))</f>
        <v>1</v>
      </c>
      <c r="K240" s="291">
        <f>IF(TRUE=ISBLANK(ChemData!T240),"",(ChemData!T240))</f>
        <v>1</v>
      </c>
      <c r="L240" s="375" t="str">
        <f>IF(Start!$C$16="x",IF(OR(D240="NA",D240=""),"NA", IF(OR($J240 = "NA",J240=""),"NA",(D240*$J240))),"---")</f>
        <v>---</v>
      </c>
      <c r="M240" s="377" t="str">
        <f>IF(Start!$C$16="x",IF(OR(D240="NA",D240=""),"NA", IF(OR($K240 = "NA",K240=""),"NA",(D240*$K240))),"---")</f>
        <v>---</v>
      </c>
      <c r="N240" s="375" t="str">
        <f t="shared" si="9"/>
        <v>---</v>
      </c>
      <c r="O240" s="377" t="str">
        <f t="shared" si="9"/>
        <v>---</v>
      </c>
      <c r="P240" s="461" t="str">
        <f>IF(Start!$C$16="x",(IF(L240 = "NA","NA", (IF(OR($H240 = "NA",H240=""), "NA",(IF(OR(ChemData!U241="NA",ChemData!U241=""),L240/((Data!$D$33+((1-Data!$D$33)*Data!$D$14*$H240))/((1-Data!$D$33)*Data!$D$14*1000)),(IF(L240/((Data!$D$33+((1-Data!$D$33)*Data!$D$14*$H240))/((1-Data!$D$33)*Data!$D$14*1000))&gt;ChemData!U241, ChemData!U241, L240/((Data!$D$33+((1-Data!$D$33)*Data!$D$14*$H240))/((1-Data!$D$33)*Data!$D$14*1000)))))))))),"---")</f>
        <v>---</v>
      </c>
      <c r="Q240" s="376" t="str">
        <f>IF(Start!$C$16="x",IF(OR($F240 = "NA",F240=""), "NA", IF(P240= "NA", "NA",(P240+(Data!$D$30*$F240))/(Data!$D$30+1))),"---")</f>
        <v>---</v>
      </c>
      <c r="R240" s="376" t="str">
        <f>IF(Start!$C$16="x",IF(O240 = "NA","NA", IF(OR($I240 = "NA",I240=""), "NA",(IF(OR(ChemData!U240="NA",ChemData!U240=""),O240/((Data!$D$35+((1-Data!$D$35)*Data!$D$14*$I240))/((1-Data!$D$35)*Data!$D$14*1000)),(IF(O240/((Data!$D$35+((1-Data!$D$35)*Data!$D$14*$I240))/((1-Data!$D$35)*Data!$D$14*1000))&gt;ChemData!U240, ChemData!U240, O240/((Data!$D$35+((1-Data!$D$35)*Data!$D$14*$I240))/((1-Data!$D$35)*Data!$D$14*1000)))))))),"---")</f>
        <v>---</v>
      </c>
      <c r="S240" s="377" t="str">
        <f>IF(Start!$C$16="x",IF(OR($F240 = "NA",F240=""), "NA", IF(R240= "NA", "NA",(R240+(Data!$D$30*$F240))/(Data!$D$30+1))),"---")</f>
        <v>---</v>
      </c>
      <c r="T240" s="343" t="str">
        <f>IF(Start!$C$16="x",IF(AND(D240= "",E240=""),"",IF(Q240="NA","NA",IF(G240="NA","NA",IF(G240=0,"NA",(Q240/G240))))),"Not Req.")</f>
        <v>Not Req.</v>
      </c>
      <c r="U240" s="343" t="str">
        <f>IF(Start!$C$16="x",IF(AND(D240= "",E240=""),"",IF(S240="NA","NA",IF(G240="NA","NA",IF(G240=0,"NA",(S240/G240))))),"Not Req.")</f>
        <v>Not Req.</v>
      </c>
      <c r="V240" s="11"/>
    </row>
    <row r="241" spans="1:22" s="10" customFormat="1" x14ac:dyDescent="0.25">
      <c r="A241" s="307" t="s">
        <v>559</v>
      </c>
      <c r="B241" s="348" t="str">
        <f>IF(Start!$C$16="x",IF(OR(D241 ="NA",E241="NA"),"NA",IF(AND(D241= "",E241=""),"",IF(AND(D241= "",E241&lt;&gt; ""),"Missing Data",                     IF(AND(D241&lt;&gt; "",E241= ""),"Missing Data",(IF(OR(G241="NA",G241=""),"No Criteria",(IF(AND(Q241="NA",D241&lt;&gt;"NA",G241&lt;&gt;"NA"),                                               "Missing Data",(IF(Q241&lt;G241,"No","Needed")))))))))),"---")</f>
        <v>---</v>
      </c>
      <c r="C241" s="350" t="str">
        <f>IF(Start!$C$16="x",IF(OR(D241 ="NA",E241="NA"),"NA",IF(AND(D241= "",E241=""),"",IF(AND(D241= "",E241&lt;&gt; ""),"Missing Data",                     IF(AND(D241&lt;&gt; "",E241= ""),"Missing Data",(IF(OR(G241="NA",G241=""),"No Criteria",(IF(AND(S241="NA",D241&lt;&gt;"NA",G241&lt;&gt;"NA"),                                               "Missing Data",(IF(S241&lt;G241,"No","Needed")))))))))),"---")</f>
        <v>---</v>
      </c>
      <c r="D241" s="372" t="str">
        <f>IF(TRUE=ISBLANK(ChemData!B241),"",(ChemData!B241))</f>
        <v/>
      </c>
      <c r="E241" s="373" t="str">
        <f>IF(TRUE=ISBLANK(ChemData!C241),"",(ChemData!C241))</f>
        <v/>
      </c>
      <c r="F241" s="374" t="str">
        <f>IF(TRUE=ISBLANK(ChemData!D241),"",(ChemData!D241))</f>
        <v/>
      </c>
      <c r="G241" s="289" t="str">
        <f>IF(TRUE=ISBLANK(ChemData!I241),"",(ChemData!I241))</f>
        <v>NA</v>
      </c>
      <c r="H241" s="290">
        <f>IF(TRUE=ISBLANK(ChemData!Q241),"",(ChemData!Q241))</f>
        <v>23302.709372310041</v>
      </c>
      <c r="I241" s="290">
        <f>IF(TRUE=ISBLANK(ChemData!R241),"",(ChemData!R241))</f>
        <v>23302.709372310041</v>
      </c>
      <c r="J241" s="290">
        <f>IF(TRUE=ISBLANK(ChemData!S241),"",(ChemData!S241))</f>
        <v>1</v>
      </c>
      <c r="K241" s="291">
        <f>IF(TRUE=ISBLANK(ChemData!T241),"",(ChemData!T241))</f>
        <v>1</v>
      </c>
      <c r="L241" s="375" t="str">
        <f>IF(Start!$C$16="x",IF(OR(D241="NA",D241=""),"NA", IF(OR($J241 = "NA",J241=""),"NA",(D241*$J241))),"---")</f>
        <v>---</v>
      </c>
      <c r="M241" s="377" t="str">
        <f>IF(Start!$C$16="x",IF(OR(D241="NA",D241=""),"NA", IF(OR($K241 = "NA",K241=""),"NA",(D241*$K241))),"---")</f>
        <v>---</v>
      </c>
      <c r="N241" s="375" t="str">
        <f t="shared" si="9"/>
        <v>---</v>
      </c>
      <c r="O241" s="377" t="str">
        <f t="shared" si="9"/>
        <v>---</v>
      </c>
      <c r="P241" s="461" t="str">
        <f>IF(Start!$C$16="x",(IF(L241 = "NA","NA", (IF(OR($H241 = "NA",H241=""), "NA",(IF(OR(ChemData!U242="NA",ChemData!U242=""),L241/((Data!$D$33+((1-Data!$D$33)*Data!$D$14*$H241))/((1-Data!$D$33)*Data!$D$14*1000)),(IF(L241/((Data!$D$33+((1-Data!$D$33)*Data!$D$14*$H241))/((1-Data!$D$33)*Data!$D$14*1000))&gt;ChemData!U242, ChemData!U242, L241/((Data!$D$33+((1-Data!$D$33)*Data!$D$14*$H241))/((1-Data!$D$33)*Data!$D$14*1000)))))))))),"---")</f>
        <v>---</v>
      </c>
      <c r="Q241" s="376" t="str">
        <f>IF(Start!$C$16="x",IF(OR($F241 = "NA",F241=""), "NA", IF(P241= "NA", "NA",(P241+(Data!$D$30*$F241))/(Data!$D$30+1))),"---")</f>
        <v>---</v>
      </c>
      <c r="R241" s="376" t="str">
        <f>IF(Start!$C$16="x",IF(O241 = "NA","NA", IF(OR($I241 = "NA",I241=""), "NA",(IF(OR(ChemData!U241="NA",ChemData!U241=""),O241/((Data!$D$35+((1-Data!$D$35)*Data!$D$14*$I241))/((1-Data!$D$35)*Data!$D$14*1000)),(IF(O241/((Data!$D$35+((1-Data!$D$35)*Data!$D$14*$I241))/((1-Data!$D$35)*Data!$D$14*1000))&gt;ChemData!U241, ChemData!U241, O241/((Data!$D$35+((1-Data!$D$35)*Data!$D$14*$I241))/((1-Data!$D$35)*Data!$D$14*1000)))))))),"---")</f>
        <v>---</v>
      </c>
      <c r="S241" s="377" t="str">
        <f>IF(Start!$C$16="x",IF(OR($F241 = "NA",F241=""), "NA", IF(R241= "NA", "NA",(R241+(Data!$D$30*$F241))/(Data!$D$30+1))),"---")</f>
        <v>---</v>
      </c>
      <c r="T241" s="343" t="str">
        <f>IF(Start!$C$16="x",IF(AND(D241= "",E241=""),"",IF(Q241="NA","NA",IF(G241="NA","NA",IF(G241=0,"NA",(Q241/G241))))),"Not Req.")</f>
        <v>Not Req.</v>
      </c>
      <c r="U241" s="343" t="str">
        <f>IF(Start!$C$16="x",IF(AND(D241= "",E241=""),"",IF(S241="NA","NA",IF(G241="NA","NA",IF(G241=0,"NA",(S241/G241))))),"Not Req.")</f>
        <v>Not Req.</v>
      </c>
      <c r="V241" s="11"/>
    </row>
    <row r="242" spans="1:22" s="10" customFormat="1" x14ac:dyDescent="0.25">
      <c r="A242" s="307" t="s">
        <v>560</v>
      </c>
      <c r="B242" s="348" t="str">
        <f>IF(Start!$C$16="x",IF(OR(D242 ="NA",E242="NA"),"NA",IF(AND(D242= "",E242=""),"",IF(AND(D242= "",E242&lt;&gt; ""),"Missing Data",                     IF(AND(D242&lt;&gt; "",E242= ""),"Missing Data",(IF(OR(G242="NA",G242=""),"No Criteria",(IF(AND(Q242="NA",D242&lt;&gt;"NA",G242&lt;&gt;"NA"),                                               "Missing Data",(IF(Q242&lt;G242,"No","Needed")))))))))),"---")</f>
        <v>---</v>
      </c>
      <c r="C242" s="350" t="str">
        <f>IF(Start!$C$16="x",IF(OR(D242 ="NA",E242="NA"),"NA",IF(AND(D242= "",E242=""),"",IF(AND(D242= "",E242&lt;&gt; ""),"Missing Data",                     IF(AND(D242&lt;&gt; "",E242= ""),"Missing Data",(IF(OR(G242="NA",G242=""),"No Criteria",(IF(AND(S242="NA",D242&lt;&gt;"NA",G242&lt;&gt;"NA"),                                               "Missing Data",(IF(S242&lt;G242,"No","Needed")))))))))),"---")</f>
        <v>---</v>
      </c>
      <c r="D242" s="372" t="str">
        <f>IF(TRUE=ISBLANK(ChemData!B242),"",(ChemData!B242))</f>
        <v/>
      </c>
      <c r="E242" s="373" t="str">
        <f>IF(TRUE=ISBLANK(ChemData!C242),"",(ChemData!C242))</f>
        <v/>
      </c>
      <c r="F242" s="374" t="str">
        <f>IF(TRUE=ISBLANK(ChemData!D242),"",(ChemData!D242))</f>
        <v/>
      </c>
      <c r="G242" s="289" t="str">
        <f>IF(TRUE=ISBLANK(ChemData!I242),"",(ChemData!I242))</f>
        <v>NA</v>
      </c>
      <c r="H242" s="290">
        <f>IF(TRUE=ISBLANK(ChemData!Q242),"",(ChemData!Q242))</f>
        <v>23302.709372310041</v>
      </c>
      <c r="I242" s="290">
        <f>IF(TRUE=ISBLANK(ChemData!R242),"",(ChemData!R242))</f>
        <v>23302.709372310041</v>
      </c>
      <c r="J242" s="290">
        <f>IF(TRUE=ISBLANK(ChemData!S242),"",(ChemData!S242))</f>
        <v>1</v>
      </c>
      <c r="K242" s="291">
        <f>IF(TRUE=ISBLANK(ChemData!T242),"",(ChemData!T242))</f>
        <v>1</v>
      </c>
      <c r="L242" s="375" t="str">
        <f>IF(Start!$C$16="x",IF(OR(D242="NA",D242=""),"NA", IF(OR($J242 = "NA",J242=""),"NA",(D242*$J242))),"---")</f>
        <v>---</v>
      </c>
      <c r="M242" s="377" t="str">
        <f>IF(Start!$C$16="x",IF(OR(D242="NA",D242=""),"NA", IF(OR($K242 = "NA",K242=""),"NA",(D242*$K242))),"---")</f>
        <v>---</v>
      </c>
      <c r="N242" s="375" t="str">
        <f t="shared" si="9"/>
        <v>---</v>
      </c>
      <c r="O242" s="377" t="str">
        <f t="shared" si="9"/>
        <v>---</v>
      </c>
      <c r="P242" s="461" t="str">
        <f>IF(Start!$C$16="x",(IF(L242 = "NA","NA", (IF(OR($H242 = "NA",H242=""), "NA",(IF(OR(ChemData!U243="NA",ChemData!U243=""),L242/((Data!$D$33+((1-Data!$D$33)*Data!$D$14*$H242))/((1-Data!$D$33)*Data!$D$14*1000)),(IF(L242/((Data!$D$33+((1-Data!$D$33)*Data!$D$14*$H242))/((1-Data!$D$33)*Data!$D$14*1000))&gt;ChemData!U243, ChemData!U243, L242/((Data!$D$33+((1-Data!$D$33)*Data!$D$14*$H242))/((1-Data!$D$33)*Data!$D$14*1000)))))))))),"---")</f>
        <v>---</v>
      </c>
      <c r="Q242" s="376" t="str">
        <f>IF(Start!$C$16="x",IF(OR($F242 = "NA",F242=""), "NA", IF(P242= "NA", "NA",(P242+(Data!$D$30*$F242))/(Data!$D$30+1))),"---")</f>
        <v>---</v>
      </c>
      <c r="R242" s="376" t="str">
        <f>IF(Start!$C$16="x",IF(O242 = "NA","NA", IF(OR($I242 = "NA",I242=""), "NA",(IF(OR(ChemData!U242="NA",ChemData!U242=""),O242/((Data!$D$35+((1-Data!$D$35)*Data!$D$14*$I242))/((1-Data!$D$35)*Data!$D$14*1000)),(IF(O242/((Data!$D$35+((1-Data!$D$35)*Data!$D$14*$I242))/((1-Data!$D$35)*Data!$D$14*1000))&gt;ChemData!U242, ChemData!U242, O242/((Data!$D$35+((1-Data!$D$35)*Data!$D$14*$I242))/((1-Data!$D$35)*Data!$D$14*1000)))))))),"---")</f>
        <v>---</v>
      </c>
      <c r="S242" s="377" t="str">
        <f>IF(Start!$C$16="x",IF(OR($F242 = "NA",F242=""), "NA", IF(R242= "NA", "NA",(R242+(Data!$D$30*$F242))/(Data!$D$30+1))),"---")</f>
        <v>---</v>
      </c>
      <c r="T242" s="343" t="str">
        <f>IF(Start!$C$16="x",IF(AND(D242= "",E242=""),"",IF(Q242="NA","NA",IF(G242="NA","NA",IF(G242=0,"NA",(Q242/G242))))),"Not Req.")</f>
        <v>Not Req.</v>
      </c>
      <c r="U242" s="343" t="str">
        <f>IF(Start!$C$16="x",IF(AND(D242= "",E242=""),"",IF(S242="NA","NA",IF(G242="NA","NA",IF(G242=0,"NA",(S242/G242))))),"Not Req.")</f>
        <v>Not Req.</v>
      </c>
      <c r="V242" s="11"/>
    </row>
    <row r="243" spans="1:22" s="10" customFormat="1" x14ac:dyDescent="0.25">
      <c r="A243" s="307" t="s">
        <v>690</v>
      </c>
      <c r="B243" s="348" t="str">
        <f>IF(Start!$C$16="x",IF(OR(D243 ="NA",E243="NA"),"NA",IF(AND(D243= "",E243=""),"",IF(AND(D243= "",E243&lt;&gt; ""),"Missing Data",                     IF(AND(D243&lt;&gt; "",E243= ""),"Missing Data",(IF(OR(G243="NA",G243=""),"No Criteria",(IF(AND(Q243="NA",D243&lt;&gt;"NA",G243&lt;&gt;"NA"),                                               "Missing Data",(IF(Q243&lt;G243,"No","Needed")))))))))),"---")</f>
        <v>---</v>
      </c>
      <c r="C243" s="350" t="str">
        <f>IF(Start!$C$16="x",IF(OR(D243 ="NA",E243="NA"),"NA",IF(AND(D243= "",E243=""),"",IF(AND(D243= "",E243&lt;&gt; ""),"Missing Data",                     IF(AND(D243&lt;&gt; "",E243= ""),"Missing Data",(IF(OR(G243="NA",G243=""),"No Criteria",(IF(AND(S243="NA",D243&lt;&gt;"NA",G243&lt;&gt;"NA"),                                               "Missing Data",(IF(S243&lt;G243,"No","Needed")))))))))),"---")</f>
        <v>---</v>
      </c>
      <c r="D243" s="372" t="str">
        <f>IF(TRUE=ISBLANK(ChemData!B243),"",(ChemData!B243))</f>
        <v/>
      </c>
      <c r="E243" s="373" t="str">
        <f>IF(TRUE=ISBLANK(ChemData!C243),"",(ChemData!C243))</f>
        <v/>
      </c>
      <c r="F243" s="374" t="str">
        <f>IF(TRUE=ISBLANK(ChemData!D243),"",(ChemData!D243))</f>
        <v/>
      </c>
      <c r="G243" s="289" t="str">
        <f>IF(TRUE=ISBLANK(ChemData!I243),"",(ChemData!I243))</f>
        <v>NA</v>
      </c>
      <c r="H243" s="290">
        <f>IF(TRUE=ISBLANK(ChemData!Q243),"",(ChemData!Q243))</f>
        <v>47.570699999999995</v>
      </c>
      <c r="I243" s="290">
        <f>IF(TRUE=ISBLANK(ChemData!R243),"",(ChemData!R243))</f>
        <v>47.570699999999995</v>
      </c>
      <c r="J243" s="290">
        <f>IF(TRUE=ISBLANK(ChemData!S243),"",(ChemData!S243))</f>
        <v>1</v>
      </c>
      <c r="K243" s="291">
        <f>IF(TRUE=ISBLANK(ChemData!T243),"",(ChemData!T243))</f>
        <v>1</v>
      </c>
      <c r="L243" s="375" t="str">
        <f>IF(Start!$C$16="x",IF(OR(D243="NA",D243=""),"NA", IF(OR($J243 = "NA",J243=""),"NA",(D243*$J243))),"---")</f>
        <v>---</v>
      </c>
      <c r="M243" s="377" t="str">
        <f>IF(Start!$C$16="x",IF(OR(D243="NA",D243=""),"NA", IF(OR($K243 = "NA",K243=""),"NA",(D243*$K243))),"---")</f>
        <v>---</v>
      </c>
      <c r="N243" s="375" t="str">
        <f t="shared" si="9"/>
        <v>---</v>
      </c>
      <c r="O243" s="377" t="str">
        <f t="shared" si="9"/>
        <v>---</v>
      </c>
      <c r="P243" s="461" t="str">
        <f>IF(Start!$C$16="x",(IF(L243 = "NA","NA", (IF(OR($H243 = "NA",H243=""), "NA",(IF(OR(ChemData!U244="NA",ChemData!U244=""),L243/((Data!$D$33+((1-Data!$D$33)*Data!$D$14*$H243))/((1-Data!$D$33)*Data!$D$14*1000)),(IF(L243/((Data!$D$33+((1-Data!$D$33)*Data!$D$14*$H243))/((1-Data!$D$33)*Data!$D$14*1000))&gt;ChemData!U244, ChemData!U244, L243/((Data!$D$33+((1-Data!$D$33)*Data!$D$14*$H243))/((1-Data!$D$33)*Data!$D$14*1000)))))))))),"---")</f>
        <v>---</v>
      </c>
      <c r="Q243" s="376" t="str">
        <f>IF(Start!$C$16="x",IF(OR($F243 = "NA",F243=""), "NA", IF(P243= "NA", "NA",(P243+(Data!$D$30*$F243))/(Data!$D$30+1))),"---")</f>
        <v>---</v>
      </c>
      <c r="R243" s="376" t="str">
        <f>IF(Start!$C$16="x",IF(O243 = "NA","NA", IF(OR($I243 = "NA",I243=""), "NA",(IF(OR(ChemData!U243="NA",ChemData!U243=""),O243/((Data!$D$35+((1-Data!$D$35)*Data!$D$14*$I243))/((1-Data!$D$35)*Data!$D$14*1000)),(IF(O243/((Data!$D$35+((1-Data!$D$35)*Data!$D$14*$I243))/((1-Data!$D$35)*Data!$D$14*1000))&gt;ChemData!U243, ChemData!U243, O243/((Data!$D$35+((1-Data!$D$35)*Data!$D$14*$I243))/((1-Data!$D$35)*Data!$D$14*1000)))))))),"---")</f>
        <v>---</v>
      </c>
      <c r="S243" s="377" t="str">
        <f>IF(Start!$C$16="x",IF(OR($F243 = "NA",F243=""), "NA", IF(R243= "NA", "NA",(R243+(Data!$D$30*$F243))/(Data!$D$30+1))),"---")</f>
        <v>---</v>
      </c>
      <c r="T243" s="343" t="str">
        <f>IF(Start!$C$16="x",IF(AND(D243= "",E243=""),"",IF(Q243="NA","NA",IF(G243="NA","NA",IF(G243=0,"NA",(Q243/G243))))),"Not Req.")</f>
        <v>Not Req.</v>
      </c>
      <c r="U243" s="343" t="str">
        <f>IF(Start!$C$16="x",IF(AND(D243= "",E243=""),"",IF(S243="NA","NA",IF(G243="NA","NA",IF(G243=0,"NA",(S243/G243))))),"Not Req.")</f>
        <v>Not Req.</v>
      </c>
      <c r="V243" s="11"/>
    </row>
    <row r="244" spans="1:22" s="10" customFormat="1" ht="13.8" thickBot="1" x14ac:dyDescent="0.3">
      <c r="A244" s="403" t="s">
        <v>562</v>
      </c>
      <c r="B244" s="348" t="str">
        <f>IF(Start!$C$16="x",IF(OR(D244 ="NA",E244="NA"),"NA",IF(AND(D244= "",E244=""),"",IF(AND(D244= "",E244&lt;&gt; ""),"Missing Data",                     IF(AND(D244&lt;&gt; "",E244= ""),"Missing Data",(IF(OR(G244="NA",G244=""),"No Criteria",(IF(AND(Q244="NA",D244&lt;&gt;"NA",G244&lt;&gt;"NA"),                                               "Missing Data",(IF(Q244&lt;G244,"No","Needed")))))))))),"---")</f>
        <v>---</v>
      </c>
      <c r="C244" s="350" t="str">
        <f>IF(Start!$C$16="x",IF(OR(D244 ="NA",E244="NA"),"NA",IF(AND(D244= "",E244=""),"",IF(AND(D244= "",E244&lt;&gt; ""),"Missing Data",                     IF(AND(D244&lt;&gt; "",E244= ""),"Missing Data",(IF(OR(G244="NA",G244=""),"No Criteria",(IF(AND(S244="NA",D244&lt;&gt;"NA",G244&lt;&gt;"NA"),                                               "Missing Data",(IF(S244&lt;G244,"No","Needed")))))))))),"---")</f>
        <v>---</v>
      </c>
      <c r="D244" s="372" t="str">
        <f>IF(TRUE=ISBLANK(ChemData!B244),"",(ChemData!B244))</f>
        <v/>
      </c>
      <c r="E244" s="373" t="str">
        <f>IF(TRUE=ISBLANK(ChemData!C244),"",(ChemData!C244))</f>
        <v/>
      </c>
      <c r="F244" s="374" t="str">
        <f>IF(TRUE=ISBLANK(ChemData!D244),"",(ChemData!D244))</f>
        <v/>
      </c>
      <c r="G244" s="289">
        <f>IF(TRUE=ISBLANK(ChemData!I244),"",(ChemData!I244))</f>
        <v>2.0000000000000001E-4</v>
      </c>
      <c r="H244" s="290">
        <f>IF(TRUE=ISBLANK(ChemData!Q244),"",(ChemData!Q244))</f>
        <v>5853.3759489716749</v>
      </c>
      <c r="I244" s="290">
        <f>IF(TRUE=ISBLANK(ChemData!R244),"",(ChemData!R244))</f>
        <v>5853.3759489716749</v>
      </c>
      <c r="J244" s="290">
        <f>IF(TRUE=ISBLANK(ChemData!S244),"",(ChemData!S244))</f>
        <v>1</v>
      </c>
      <c r="K244" s="291">
        <f>IF(TRUE=ISBLANK(ChemData!T244),"",(ChemData!T244))</f>
        <v>1</v>
      </c>
      <c r="L244" s="375" t="str">
        <f>IF(Start!$C$16="x",IF(OR(D244="NA",D244=""),"NA", IF(OR($J244 = "NA",J244=""),"NA",(D244*$J244))),"---")</f>
        <v>---</v>
      </c>
      <c r="M244" s="377" t="str">
        <f>IF(Start!$C$16="x",IF(OR(D244="NA",D244=""),"NA", IF(OR($K244 = "NA",K244=""),"NA",(D244*$K244))),"---")</f>
        <v>---</v>
      </c>
      <c r="N244" s="375" t="str">
        <f t="shared" si="9"/>
        <v>---</v>
      </c>
      <c r="O244" s="377" t="str">
        <f t="shared" si="9"/>
        <v>---</v>
      </c>
      <c r="P244" s="461" t="str">
        <f>IF(Start!$C$16="x",(IF(L244 = "NA","NA", (IF(OR($H244 = "NA",H244=""), "NA",(IF(OR(ChemData!U244="NA",ChemData!U244=""),L244/((Data!$D$33+((1-Data!$D$33)*Data!$D$14*$H244))/((1-Data!$D$33)*Data!$D$14*1000)),(IF(L244/((Data!$D$33+((1-Data!$D$33)*Data!$D$14*$H244))/((1-Data!$D$33)*Data!$D$14*1000))&gt;ChemData!U244, ChemData!U244, L244/((Data!$D$33+((1-Data!$D$33)*Data!$D$14*$H244))/((1-Data!$D$33)*Data!$D$14*1000)))))))))),"---")</f>
        <v>---</v>
      </c>
      <c r="Q244" s="376" t="str">
        <f>IF(Start!$C$16="x",IF(OR($F244 = "NA",F244=""), "NA", IF(P244= "NA", "NA",(P244+(Data!$D$30*$F244))/(Data!$D$30+1))),"---")</f>
        <v>---</v>
      </c>
      <c r="R244" s="376" t="str">
        <f>IF(Start!$C$16="x",IF(O244 = "NA","NA", IF(OR($I244 = "NA",I244=""), "NA",(IF(OR(ChemData!U244="NA",ChemData!U244=""),O244/((Data!$D$35+((1-Data!$D$35)*Data!$D$14*$I244))/((1-Data!$D$35)*Data!$D$14*1000)),(IF(O244/((Data!$D$35+((1-Data!$D$35)*Data!$D$14*$I244))/((1-Data!$D$35)*Data!$D$14*1000))&gt;ChemData!U244, ChemData!U244, O244/((Data!$D$35+((1-Data!$D$35)*Data!$D$14*$I244))/((1-Data!$D$35)*Data!$D$14*1000)))))))),"---")</f>
        <v>---</v>
      </c>
      <c r="S244" s="377" t="str">
        <f>IF(Start!$C$16="x",IF(OR($F244 = "NA",F244=""), "NA", IF(R244= "NA", "NA",(R244+(Data!$D$30*$F244))/(Data!$D$30+1))),"---")</f>
        <v>---</v>
      </c>
      <c r="T244" s="343" t="str">
        <f>IF(Start!$C$16="x",IF(AND(D244= "",E244=""),"",IF(Q244="NA","NA",IF(G244="NA","NA",IF(G244=0,"NA",(Q244/G244))))),"Not Req.")</f>
        <v>Not Req.</v>
      </c>
      <c r="U244" s="343" t="str">
        <f>IF(Start!$C$16="x",IF(AND(D244= "",E244=""),"",IF(S244="NA","NA",IF(G244="NA","NA",IF(G244=0,"NA",(S244/G244))))),"Not Req.")</f>
        <v>Not Req.</v>
      </c>
      <c r="V244" s="11"/>
    </row>
    <row r="245" spans="1:22" s="10" customFormat="1" x14ac:dyDescent="0.25">
      <c r="A245" s="524" t="s">
        <v>563</v>
      </c>
      <c r="B245" s="525"/>
      <c r="C245" s="526"/>
      <c r="D245" s="508"/>
      <c r="E245" s="509"/>
      <c r="F245" s="510"/>
      <c r="G245" s="511"/>
      <c r="H245" s="512"/>
      <c r="I245" s="512"/>
      <c r="J245" s="512"/>
      <c r="K245" s="513"/>
      <c r="L245" s="511"/>
      <c r="M245" s="513"/>
      <c r="N245" s="511"/>
      <c r="O245" s="513"/>
      <c r="P245" s="512"/>
      <c r="Q245" s="512"/>
      <c r="R245" s="512"/>
      <c r="S245" s="513"/>
      <c r="T245" s="511"/>
      <c r="U245" s="527"/>
      <c r="V245" s="11"/>
    </row>
    <row r="246" spans="1:22" s="10" customFormat="1" x14ac:dyDescent="0.25">
      <c r="A246" s="307" t="s">
        <v>564</v>
      </c>
      <c r="B246" s="348" t="str">
        <f>IF(Start!$C$16="x",IF(OR(D246 ="NA",E246="NA"),"NA",IF(AND(D246= "",E246=""),"",IF(AND(D246= "",E246&lt;&gt; ""),"Missing Data",                     IF(AND(D246&lt;&gt; "",E246= ""),"Missing Data",(IF(OR(G246="NA",G246=""),"No Criteria",(IF(AND(Q246="NA",D246&lt;&gt;"NA",G246&lt;&gt;"NA"),                                               "Missing Data",(IF(Q246&lt;G246,"No","Needed")))))))))),"---")</f>
        <v>---</v>
      </c>
      <c r="C246" s="350" t="str">
        <f>IF(Start!$C$16="x",IF(OR(D246 ="NA",E246="NA"),"NA",IF(AND(D246= "",E246=""),"",IF(AND(D246= "",E246&lt;&gt; ""),"Missing Data",                     IF(AND(D246&lt;&gt; "",E246= ""),"Missing Data",(IF(OR(G246="NA",G246=""),"No Criteria",(IF(AND(S246="NA",D246&lt;&gt;"NA",G246&lt;&gt;"NA"),                                               "Missing Data",(IF(S246&lt;G246,"No","Needed")))))))))),"---")</f>
        <v>---</v>
      </c>
      <c r="D246" s="372" t="str">
        <f>IF(TRUE=ISBLANK(ChemData!B246),"",(ChemData!B246))</f>
        <v/>
      </c>
      <c r="E246" s="373" t="str">
        <f>IF(TRUE=ISBLANK(ChemData!C246),"",(ChemData!C246))</f>
        <v/>
      </c>
      <c r="F246" s="374" t="str">
        <f>IF(TRUE=ISBLANK(ChemData!D246),"",(ChemData!D246))</f>
        <v/>
      </c>
      <c r="G246" s="289" t="str">
        <f>IF(TRUE=ISBLANK(ChemData!I246),"",(ChemData!I246))</f>
        <v>NA</v>
      </c>
      <c r="H246" s="290">
        <f>IF(TRUE=ISBLANK(ChemData!Q246),"",(ChemData!Q246))</f>
        <v>1851000</v>
      </c>
      <c r="I246" s="290">
        <f>IF(TRUE=ISBLANK(ChemData!R246),"",(ChemData!R246))</f>
        <v>1851000</v>
      </c>
      <c r="J246" s="290">
        <f>IF(TRUE=ISBLANK(ChemData!S246),"",(ChemData!S246))</f>
        <v>1</v>
      </c>
      <c r="K246" s="291">
        <f>IF(TRUE=ISBLANK(ChemData!T246),"",(ChemData!T246))</f>
        <v>1</v>
      </c>
      <c r="L246" s="375" t="str">
        <f>IF(Start!$C$16="x",IF(OR(D246="NA",D246=""),"NA", IF(OR($J246 = "NA",J246=""),"NA",(D246*$J246))),"---")</f>
        <v>---</v>
      </c>
      <c r="M246" s="377" t="str">
        <f>IF(Start!$C$16="x",IF(OR(D246="NA",D246=""),"NA", IF(OR($K246 = "NA",K246=""),"NA",(D246*$K246))),"---")</f>
        <v>---</v>
      </c>
      <c r="N246" s="375" t="str">
        <f t="shared" ref="N246:O275" si="10">L246</f>
        <v>---</v>
      </c>
      <c r="O246" s="377" t="str">
        <f t="shared" si="10"/>
        <v>---</v>
      </c>
      <c r="P246" s="461" t="str">
        <f>IF(Start!$C$16="x",(IF(L246 = "NA","NA", (IF(OR($H246 = "NA",H246=""), "NA",(IF(OR(ChemData!U246="NA",ChemData!U246=""),L246/((Data!$D$33+((1-Data!$D$33)*Data!$D$14*$H246))/((1-Data!$D$33)*Data!$D$14*1000)),(IF(L246/((Data!$D$33+((1-Data!$D$33)*Data!$D$14*$H246))/((1-Data!$D$33)*Data!$D$14*1000))&gt;ChemData!U246, ChemData!U246, L246/((Data!$D$33+((1-Data!$D$33)*Data!$D$14*$H246))/((1-Data!$D$33)*Data!$D$14*1000)))))))))),"---")</f>
        <v>---</v>
      </c>
      <c r="Q246" s="376" t="str">
        <f>IF(Start!$C$16="x",IF(OR($F246 = "NA",F246=""), "NA", IF(P246= "NA", "NA",(P246+(Data!$D$30*$F246))/(Data!$D$30+1))),"---")</f>
        <v>---</v>
      </c>
      <c r="R246" s="376" t="str">
        <f>IF(Start!$C$16="x",IF(O246 = "NA","NA", IF(OR($I246 = "NA",I246=""), "NA",(IF(OR(ChemData!U246="NA",ChemData!U246=""),O246/((Data!$D$35+((1-Data!$D$35)*Data!$D$14*$I246))/((1-Data!$D$35)*Data!$D$14*1000)),(IF(O246/((Data!$D$35+((1-Data!$D$35)*Data!$D$14*$I246))/((1-Data!$D$35)*Data!$D$14*1000))&gt;ChemData!U246, ChemData!U246, O246/((Data!$D$35+((1-Data!$D$35)*Data!$D$14*$I246))/((1-Data!$D$35)*Data!$D$14*1000)))))))),"---")</f>
        <v>---</v>
      </c>
      <c r="S246" s="377" t="str">
        <f>IF(Start!$C$16="x",IF(OR($F246 = "NA",F246=""), "NA", IF(R246= "NA", "NA",(R246+(Data!$D$30*$F246))/(Data!$D$30+1))),"---")</f>
        <v>---</v>
      </c>
      <c r="T246" s="343" t="str">
        <f>IF(Start!$C$16="x",IF(AND(D246= "",E246=""),"",IF(Q246="NA","NA",IF(G246="NA","NA",IF(G246=0,"NA",(Q246/G246))))),"Not Req.")</f>
        <v>Not Req.</v>
      </c>
      <c r="U246" s="343" t="str">
        <f>IF(Start!$C$16="x",IF(AND(D246= "",E246=""),"",IF(S246="NA","NA",IF(G246="NA","NA",IF(G246=0,"NA",(S246/G246))))),"Not Req.")</f>
        <v>Not Req.</v>
      </c>
      <c r="V246" s="11"/>
    </row>
    <row r="247" spans="1:22" s="10" customFormat="1" x14ac:dyDescent="0.25">
      <c r="A247" s="307" t="s">
        <v>565</v>
      </c>
      <c r="B247" s="348" t="str">
        <f>IF(Start!$C$16="x",IF(OR(D247 ="NA",E247="NA"),"NA",IF(AND(D247= "",E247=""),"",IF(AND(D247= "",E247&lt;&gt; ""),"Missing Data",                     IF(AND(D247&lt;&gt; "",E247= ""),"Missing Data",(IF(OR(G247="NA",G247=""),"No Criteria",(IF(AND(Q247="NA",D247&lt;&gt;"NA",G247&lt;&gt;"NA"),                                               "Missing Data",(IF(Q247&lt;G247,"No","Needed")))))))))),"---")</f>
        <v>---</v>
      </c>
      <c r="C247" s="350" t="str">
        <f>IF(Start!$C$16="x",IF(OR(D247 ="NA",E247="NA"),"NA",IF(AND(D247= "",E247=""),"",IF(AND(D247= "",E247&lt;&gt; ""),"Missing Data",                     IF(AND(D247&lt;&gt; "",E247= ""),"Missing Data",(IF(OR(G247="NA",G247=""),"No Criteria",(IF(AND(S247="NA",D247&lt;&gt;"NA",G247&lt;&gt;"NA"),                                               "Missing Data",(IF(S247&lt;G247,"No","Needed")))))))))),"---")</f>
        <v>---</v>
      </c>
      <c r="D247" s="372" t="str">
        <f>IF(TRUE=ISBLANK(ChemData!B247),"",(ChemData!B247))</f>
        <v/>
      </c>
      <c r="E247" s="373" t="str">
        <f>IF(TRUE=ISBLANK(ChemData!C247),"",(ChemData!C247))</f>
        <v/>
      </c>
      <c r="F247" s="374" t="str">
        <f>IF(TRUE=ISBLANK(ChemData!D247),"",(ChemData!D247))</f>
        <v/>
      </c>
      <c r="G247" s="289" t="str">
        <f>IF(TRUE=ISBLANK(ChemData!I247),"",(ChemData!I247))</f>
        <v>NA</v>
      </c>
      <c r="H247" s="290">
        <f>IF(TRUE=ISBLANK(ChemData!Q247),"",(ChemData!Q247))</f>
        <v>1539594.740311048</v>
      </c>
      <c r="I247" s="290">
        <f>IF(TRUE=ISBLANK(ChemData!R247),"",(ChemData!R247))</f>
        <v>1539594.740311048</v>
      </c>
      <c r="J247" s="290">
        <f>IF(TRUE=ISBLANK(ChemData!S247),"",(ChemData!S247))</f>
        <v>1</v>
      </c>
      <c r="K247" s="291">
        <f>IF(TRUE=ISBLANK(ChemData!T247),"",(ChemData!T247))</f>
        <v>1</v>
      </c>
      <c r="L247" s="375" t="str">
        <f>IF(Start!$C$16="x",IF(OR(D247="NA",D247=""),"NA", IF(OR($J247 = "NA",J247=""),"NA",(D247*$J247))),"---")</f>
        <v>---</v>
      </c>
      <c r="M247" s="377" t="str">
        <f>IF(Start!$C$16="x",IF(OR(D247="NA",D247=""),"NA", IF(OR($K247 = "NA",K247=""),"NA",(D247*$K247))),"---")</f>
        <v>---</v>
      </c>
      <c r="N247" s="375" t="str">
        <f t="shared" si="10"/>
        <v>---</v>
      </c>
      <c r="O247" s="377" t="str">
        <f t="shared" si="10"/>
        <v>---</v>
      </c>
      <c r="P247" s="461" t="str">
        <f>IF(Start!$C$16="x",(IF(L247 = "NA","NA", (IF(OR($H247 = "NA",H247=""), "NA",(IF(OR(ChemData!U247="NA",ChemData!U247=""),L247/((Data!$D$33+((1-Data!$D$33)*Data!$D$14*$H247))/((1-Data!$D$33)*Data!$D$14*1000)),(IF(L247/((Data!$D$33+((1-Data!$D$33)*Data!$D$14*$H247))/((1-Data!$D$33)*Data!$D$14*1000))&gt;ChemData!U247, ChemData!U247, L247/((Data!$D$33+((1-Data!$D$33)*Data!$D$14*$H247))/((1-Data!$D$33)*Data!$D$14*1000)))))))))),"---")</f>
        <v>---</v>
      </c>
      <c r="Q247" s="376" t="str">
        <f>IF(Start!$C$16="x",IF(OR($F247 = "NA",F247=""), "NA", IF(P247= "NA", "NA",(P247+(Data!$D$30*$F247))/(Data!$D$30+1))),"---")</f>
        <v>---</v>
      </c>
      <c r="R247" s="376" t="str">
        <f>IF(Start!$C$16="x",IF(O247 = "NA","NA", IF(OR($I247 = "NA",I247=""), "NA",(IF(OR(ChemData!U247="NA",ChemData!U247=""),O247/((Data!$D$35+((1-Data!$D$35)*Data!$D$14*$I247))/((1-Data!$D$35)*Data!$D$14*1000)),(IF(O247/((Data!$D$35+((1-Data!$D$35)*Data!$D$14*$I247))/((1-Data!$D$35)*Data!$D$14*1000))&gt;ChemData!U247, ChemData!U247, O247/((Data!$D$35+((1-Data!$D$35)*Data!$D$14*$I247))/((1-Data!$D$35)*Data!$D$14*1000)))))))),"---")</f>
        <v>---</v>
      </c>
      <c r="S247" s="377" t="str">
        <f>IF(Start!$C$16="x",IF(OR($F247 = "NA",F247=""), "NA", IF(R247= "NA", "NA",(R247+(Data!$D$30*$F247))/(Data!$D$30+1))),"---")</f>
        <v>---</v>
      </c>
      <c r="T247" s="343" t="str">
        <f>IF(Start!$C$16="x",IF(AND(D247= "",E247=""),"",IF(Q247="NA","NA",IF(G247="NA","NA",IF(G247=0,"NA",(Q247/G247))))),"Not Req.")</f>
        <v>Not Req.</v>
      </c>
      <c r="U247" s="343" t="str">
        <f>IF(Start!$C$16="x",IF(AND(D247= "",E247=""),"",IF(S247="NA","NA",IF(G247="NA","NA",IF(G247=0,"NA",(S247/G247))))),"Not Req.")</f>
        <v>Not Req.</v>
      </c>
      <c r="V247" s="11"/>
    </row>
    <row r="248" spans="1:22" s="10" customFormat="1" x14ac:dyDescent="0.25">
      <c r="A248" s="307" t="s">
        <v>566</v>
      </c>
      <c r="B248" s="348" t="str">
        <f>IF(Start!$C$16="x",IF(OR(D248 ="NA",E248="NA"),"NA",IF(AND(D248= "",E248=""),"",IF(AND(D248= "",E248&lt;&gt; ""),"Missing Data",                     IF(AND(D248&lt;&gt; "",E248= ""),"Missing Data",(IF(OR(G248="NA",G248=""),"No Criteria",(IF(AND(Q248="NA",D248&lt;&gt;"NA",G248&lt;&gt;"NA"),                                               "Missing Data",(IF(Q248&lt;G248,"No","Needed")))))))))),"---")</f>
        <v>---</v>
      </c>
      <c r="C248" s="350" t="str">
        <f>IF(Start!$C$16="x",IF(OR(D248 ="NA",E248="NA"),"NA",IF(AND(D248= "",E248=""),"",IF(AND(D248= "",E248&lt;&gt; ""),"Missing Data",                     IF(AND(D248&lt;&gt; "",E248= ""),"Missing Data",(IF(OR(G248="NA",G248=""),"No Criteria",(IF(AND(S248="NA",D248&lt;&gt;"NA",G248&lt;&gt;"NA"),                                               "Missing Data",(IF(S248&lt;G248,"No","Needed")))))))))),"---")</f>
        <v>---</v>
      </c>
      <c r="D248" s="372" t="str">
        <f>IF(TRUE=ISBLANK(ChemData!B248),"",(ChemData!B248))</f>
        <v/>
      </c>
      <c r="E248" s="373" t="str">
        <f>IF(TRUE=ISBLANK(ChemData!C248),"",(ChemData!C248))</f>
        <v/>
      </c>
      <c r="F248" s="374" t="str">
        <f>IF(TRUE=ISBLANK(ChemData!D248),"",(ChemData!D248))</f>
        <v/>
      </c>
      <c r="G248" s="289" t="str">
        <f>IF(TRUE=ISBLANK(ChemData!I248),"",(ChemData!I248))</f>
        <v>NA</v>
      </c>
      <c r="H248" s="290" t="str">
        <f>IF(TRUE=ISBLANK(ChemData!Q248),"",(ChemData!Q248))</f>
        <v>NA</v>
      </c>
      <c r="I248" s="290" t="str">
        <f>IF(TRUE=ISBLANK(ChemData!R248),"",(ChemData!R248))</f>
        <v>NA</v>
      </c>
      <c r="J248" s="290">
        <f>IF(TRUE=ISBLANK(ChemData!S248),"",(ChemData!S248))</f>
        <v>1</v>
      </c>
      <c r="K248" s="291">
        <f>IF(TRUE=ISBLANK(ChemData!T248),"",(ChemData!T248))</f>
        <v>1</v>
      </c>
      <c r="L248" s="375" t="str">
        <f>IF(Start!$C$16="x",IF(OR(D248="NA",D248=""),"NA", IF(OR($J248 = "NA",J248=""),"NA",(D248*$J248))),"---")</f>
        <v>---</v>
      </c>
      <c r="M248" s="377" t="str">
        <f>IF(Start!$C$16="x",IF(OR(D248="NA",D248=""),"NA", IF(OR($K248 = "NA",K248=""),"NA",(D248*$K248))),"---")</f>
        <v>---</v>
      </c>
      <c r="N248" s="375" t="str">
        <f t="shared" si="10"/>
        <v>---</v>
      </c>
      <c r="O248" s="377" t="str">
        <f t="shared" si="10"/>
        <v>---</v>
      </c>
      <c r="P248" s="461" t="str">
        <f>IF(Start!$C$16="x",(IF(L248 = "NA","NA", (IF(OR($H248 = "NA",H248=""), "NA",(IF(OR(ChemData!U248="NA",ChemData!U248=""),L248/((Data!$D$33+((1-Data!$D$33)*Data!$D$14*$H248))/((1-Data!$D$33)*Data!$D$14*1000)),(IF(L248/((Data!$D$33+((1-Data!$D$33)*Data!$D$14*$H248))/((1-Data!$D$33)*Data!$D$14*1000))&gt;ChemData!U248, ChemData!U248, L248/((Data!$D$33+((1-Data!$D$33)*Data!$D$14*$H248))/((1-Data!$D$33)*Data!$D$14*1000)))))))))),"---")</f>
        <v>---</v>
      </c>
      <c r="Q248" s="376" t="str">
        <f>IF(Start!$C$16="x",IF(OR($F248 = "NA",F248=""), "NA", IF(P248= "NA", "NA",(P248+(Data!$D$30*$F248))/(Data!$D$30+1))),"---")</f>
        <v>---</v>
      </c>
      <c r="R248" s="376" t="str">
        <f>IF(Start!$C$16="x",IF(O248 = "NA","NA", IF(OR($I248 = "NA",I248=""), "NA",(IF(OR(ChemData!U248="NA",ChemData!U248=""),O248/((Data!$D$35+((1-Data!$D$35)*Data!$D$14*$I248))/((1-Data!$D$35)*Data!$D$14*1000)),(IF(O248/((Data!$D$35+((1-Data!$D$35)*Data!$D$14*$I248))/((1-Data!$D$35)*Data!$D$14*1000))&gt;ChemData!U248, ChemData!U248, O248/((Data!$D$35+((1-Data!$D$35)*Data!$D$14*$I248))/((1-Data!$D$35)*Data!$D$14*1000)))))))),"---")</f>
        <v>---</v>
      </c>
      <c r="S248" s="377" t="str">
        <f>IF(Start!$C$16="x",IF(OR($F248 = "NA",F248=""), "NA", IF(R248= "NA", "NA",(R248+(Data!$D$30*$F248))/(Data!$D$30+1))),"---")</f>
        <v>---</v>
      </c>
      <c r="T248" s="343" t="str">
        <f>IF(Start!$C$16="x",IF(AND(D248= "",E248=""),"",IF(Q248="NA","NA",IF(G248="NA","NA",IF(G248=0,"NA",(Q248/G248))))),"Not Req.")</f>
        <v>Not Req.</v>
      </c>
      <c r="U248" s="343" t="str">
        <f>IF(Start!$C$16="x",IF(AND(D248= "",E248=""),"",IF(S248="NA","NA",IF(G248="NA","NA",IF(G248=0,"NA",(S248/G248))))),"Not Req.")</f>
        <v>Not Req.</v>
      </c>
      <c r="V248" s="11"/>
    </row>
    <row r="249" spans="1:22" s="10" customFormat="1" x14ac:dyDescent="0.25">
      <c r="A249" s="307" t="s">
        <v>567</v>
      </c>
      <c r="B249" s="348" t="str">
        <f>IF(Start!$C$16="x",IF(OR(D249 ="NA",E249="NA"),"NA",IF(AND(D249= "",E249=""),"",IF(AND(D249= "",E249&lt;&gt; ""),"Missing Data",                     IF(AND(D249&lt;&gt; "",E249= ""),"Missing Data",(IF(OR(G249="NA",G249=""),"No Criteria",(IF(AND(Q249="NA",D249&lt;&gt;"NA",G249&lt;&gt;"NA"),                                               "Missing Data",(IF(Q249&lt;G249,"No","Needed")))))))))),"---")</f>
        <v>---</v>
      </c>
      <c r="C249" s="350" t="str">
        <f>IF(Start!$C$16="x",IF(OR(D249 ="NA",E249="NA"),"NA",IF(AND(D249= "",E249=""),"",IF(AND(D249= "",E249&lt;&gt; ""),"Missing Data",                     IF(AND(D249&lt;&gt; "",E249= ""),"Missing Data",(IF(OR(G249="NA",G249=""),"No Criteria",(IF(AND(S249="NA",D249&lt;&gt;"NA",G249&lt;&gt;"NA"),                                               "Missing Data",(IF(S249&lt;G249,"No","Needed")))))))))),"---")</f>
        <v>---</v>
      </c>
      <c r="D249" s="372" t="str">
        <f>IF(TRUE=ISBLANK(ChemData!B249),"",(ChemData!B249))</f>
        <v/>
      </c>
      <c r="E249" s="373" t="str">
        <f>IF(TRUE=ISBLANK(ChemData!C249),"",(ChemData!C249))</f>
        <v/>
      </c>
      <c r="F249" s="374" t="str">
        <f>IF(TRUE=ISBLANK(ChemData!D249),"",(ChemData!D249))</f>
        <v/>
      </c>
      <c r="G249" s="289" t="str">
        <f>IF(TRUE=ISBLANK(ChemData!I249),"",(ChemData!I249))</f>
        <v>NA</v>
      </c>
      <c r="H249" s="290">
        <f>IF(TRUE=ISBLANK(ChemData!Q249),"",(ChemData!Q249))</f>
        <v>1167902.0446328379</v>
      </c>
      <c r="I249" s="290">
        <f>IF(TRUE=ISBLANK(ChemData!R249),"",(ChemData!R249))</f>
        <v>1167902.0446328379</v>
      </c>
      <c r="J249" s="290">
        <f>IF(TRUE=ISBLANK(ChemData!S249),"",(ChemData!S249))</f>
        <v>1</v>
      </c>
      <c r="K249" s="291">
        <f>IF(TRUE=ISBLANK(ChemData!T249),"",(ChemData!T249))</f>
        <v>1</v>
      </c>
      <c r="L249" s="375" t="str">
        <f>IF(Start!$C$16="x",IF(OR(D249="NA",D249=""),"NA", IF(OR($J249 = "NA",J249=""),"NA",(D249*$J249))),"---")</f>
        <v>---</v>
      </c>
      <c r="M249" s="377" t="str">
        <f>IF(Start!$C$16="x",IF(OR(D249="NA",D249=""),"NA", IF(OR($K249 = "NA",K249=""),"NA",(D249*$K249))),"---")</f>
        <v>---</v>
      </c>
      <c r="N249" s="375" t="str">
        <f t="shared" si="10"/>
        <v>---</v>
      </c>
      <c r="O249" s="377" t="str">
        <f t="shared" si="10"/>
        <v>---</v>
      </c>
      <c r="P249" s="461" t="str">
        <f>IF(Start!$C$16="x",(IF(L249 = "NA","NA", (IF(OR($H249 = "NA",H249=""), "NA",(IF(OR(ChemData!U249="NA",ChemData!U249=""),L249/((Data!$D$33+((1-Data!$D$33)*Data!$D$14*$H249))/((1-Data!$D$33)*Data!$D$14*1000)),(IF(L249/((Data!$D$33+((1-Data!$D$33)*Data!$D$14*$H249))/((1-Data!$D$33)*Data!$D$14*1000))&gt;ChemData!U249, ChemData!U249, L249/((Data!$D$33+((1-Data!$D$33)*Data!$D$14*$H249))/((1-Data!$D$33)*Data!$D$14*1000)))))))))),"---")</f>
        <v>---</v>
      </c>
      <c r="Q249" s="376" t="str">
        <f>IF(Start!$C$16="x",IF(OR($F249 = "NA",F249=""), "NA", IF(P249= "NA", "NA",(P249+(Data!$D$30*$F249))/(Data!$D$30+1))),"---")</f>
        <v>---</v>
      </c>
      <c r="R249" s="376" t="str">
        <f>IF(Start!$C$16="x",IF(O249 = "NA","NA", IF(OR($I249 = "NA",I249=""), "NA",(IF(OR(ChemData!U249="NA",ChemData!U249=""),O249/((Data!$D$35+((1-Data!$D$35)*Data!$D$14*$I249))/((1-Data!$D$35)*Data!$D$14*1000)),(IF(O249/((Data!$D$35+((1-Data!$D$35)*Data!$D$14*$I249))/((1-Data!$D$35)*Data!$D$14*1000))&gt;ChemData!U249, ChemData!U249, O249/((Data!$D$35+((1-Data!$D$35)*Data!$D$14*$I249))/((1-Data!$D$35)*Data!$D$14*1000)))))))),"---")</f>
        <v>---</v>
      </c>
      <c r="S249" s="377" t="str">
        <f>IF(Start!$C$16="x",IF(OR($F249 = "NA",F249=""), "NA", IF(R249= "NA", "NA",(R249+(Data!$D$30*$F249))/(Data!$D$30+1))),"---")</f>
        <v>---</v>
      </c>
      <c r="T249" s="343" t="str">
        <f>IF(Start!$C$16="x",IF(AND(D249= "",E249=""),"",IF(Q249="NA","NA",IF(G249="NA","NA",IF(G249=0,"NA",(Q249/G249))))),"Not Req.")</f>
        <v>Not Req.</v>
      </c>
      <c r="U249" s="343" t="str">
        <f>IF(Start!$C$16="x",IF(AND(D249= "",E249=""),"",IF(S249="NA","NA",IF(G249="NA","NA",IF(G249=0,"NA",(S249/G249))))),"Not Req.")</f>
        <v>Not Req.</v>
      </c>
      <c r="V249" s="11"/>
    </row>
    <row r="250" spans="1:22" s="10" customFormat="1" x14ac:dyDescent="0.25">
      <c r="A250" s="307" t="s">
        <v>568</v>
      </c>
      <c r="B250" s="348" t="str">
        <f>IF(Start!$C$16="x",IF(OR(D250 ="NA",E250="NA"),"NA",IF(AND(D250= "",E250=""),"",IF(AND(D250= "",E250&lt;&gt; ""),"Missing Data",                     IF(AND(D250&lt;&gt; "",E250= ""),"Missing Data",(IF(OR(G250="NA",G250=""),"No Criteria",(IF(AND(Q250="NA",D250&lt;&gt;"NA",G250&lt;&gt;"NA"),                                               "Missing Data",(IF(Q250&lt;G250,"No","Needed")))))))))),"---")</f>
        <v>---</v>
      </c>
      <c r="C250" s="350" t="str">
        <f>IF(Start!$C$16="x",IF(OR(D250 ="NA",E250="NA"),"NA",IF(AND(D250= "",E250=""),"",IF(AND(D250= "",E250&lt;&gt; ""),"Missing Data",                     IF(AND(D250&lt;&gt; "",E250= ""),"Missing Data",(IF(OR(G250="NA",G250=""),"No Criteria",(IF(AND(S250="NA",D250&lt;&gt;"NA",G250&lt;&gt;"NA"),                                               "Missing Data",(IF(S250&lt;G250,"No","Needed")))))))))),"---")</f>
        <v>---</v>
      </c>
      <c r="D250" s="372" t="str">
        <f>IF(TRUE=ISBLANK(ChemData!B250),"",(ChemData!B250))</f>
        <v/>
      </c>
      <c r="E250" s="373" t="str">
        <f>IF(TRUE=ISBLANK(ChemData!C250),"",(ChemData!C250))</f>
        <v/>
      </c>
      <c r="F250" s="374" t="str">
        <f>IF(TRUE=ISBLANK(ChemData!D250),"",(ChemData!D250))</f>
        <v/>
      </c>
      <c r="G250" s="289" t="str">
        <f>IF(TRUE=ISBLANK(ChemData!I250),"",(ChemData!I250))</f>
        <v>NA</v>
      </c>
      <c r="H250" s="290">
        <f>IF(TRUE=ISBLANK(ChemData!Q250),"",(ChemData!Q250))</f>
        <v>62720053.301366471</v>
      </c>
      <c r="I250" s="290">
        <f>IF(TRUE=ISBLANK(ChemData!R250),"",(ChemData!R250))</f>
        <v>62720053.301366471</v>
      </c>
      <c r="J250" s="290">
        <f>IF(TRUE=ISBLANK(ChemData!S250),"",(ChemData!S250))</f>
        <v>1</v>
      </c>
      <c r="K250" s="291">
        <f>IF(TRUE=ISBLANK(ChemData!T250),"",(ChemData!T250))</f>
        <v>1</v>
      </c>
      <c r="L250" s="375" t="str">
        <f>IF(Start!$C$16="x",IF(OR(D250="NA",D250=""),"NA", IF(OR($J250 = "NA",J250=""),"NA",(D250*$J250))),"---")</f>
        <v>---</v>
      </c>
      <c r="M250" s="377" t="str">
        <f>IF(Start!$C$16="x",IF(OR(D250="NA",D250=""),"NA", IF(OR($K250 = "NA",K250=""),"NA",(D250*$K250))),"---")</f>
        <v>---</v>
      </c>
      <c r="N250" s="375" t="str">
        <f t="shared" si="10"/>
        <v>---</v>
      </c>
      <c r="O250" s="377" t="str">
        <f t="shared" si="10"/>
        <v>---</v>
      </c>
      <c r="P250" s="461" t="str">
        <f>IF(Start!$C$16="x",(IF(L250 = "NA","NA", (IF(OR($H250 = "NA",H250=""), "NA",(IF(OR(ChemData!U250="NA",ChemData!U250=""),L250/((Data!$D$33+((1-Data!$D$33)*Data!$D$14*$H250))/((1-Data!$D$33)*Data!$D$14*1000)),(IF(L250/((Data!$D$33+((1-Data!$D$33)*Data!$D$14*$H250))/((1-Data!$D$33)*Data!$D$14*1000))&gt;ChemData!U250, ChemData!U250, L250/((Data!$D$33+((1-Data!$D$33)*Data!$D$14*$H250))/((1-Data!$D$33)*Data!$D$14*1000)))))))))),"---")</f>
        <v>---</v>
      </c>
      <c r="Q250" s="376" t="str">
        <f>IF(Start!$C$16="x",IF(OR($F250 = "NA",F250=""), "NA", IF(P250= "NA", "NA",(P250+(Data!$D$30*$F250))/(Data!$D$30+1))),"---")</f>
        <v>---</v>
      </c>
      <c r="R250" s="376" t="str">
        <f>IF(Start!$C$16="x",IF(O250 = "NA","NA", IF(OR($I250 = "NA",I250=""), "NA",(IF(OR(ChemData!U250="NA",ChemData!U250=""),O250/((Data!$D$35+((1-Data!$D$35)*Data!$D$14*$I250))/((1-Data!$D$35)*Data!$D$14*1000)),(IF(O250/((Data!$D$35+((1-Data!$D$35)*Data!$D$14*$I250))/((1-Data!$D$35)*Data!$D$14*1000))&gt;ChemData!U250, ChemData!U250, O250/((Data!$D$35+((1-Data!$D$35)*Data!$D$14*$I250))/((1-Data!$D$35)*Data!$D$14*1000)))))))),"---")</f>
        <v>---</v>
      </c>
      <c r="S250" s="377" t="str">
        <f>IF(Start!$C$16="x",IF(OR($F250 = "NA",F250=""), "NA", IF(R250= "NA", "NA",(R250+(Data!$D$30*$F250))/(Data!$D$30+1))),"---")</f>
        <v>---</v>
      </c>
      <c r="T250" s="343" t="str">
        <f>IF(Start!$C$16="x",IF(AND(D250= "",E250=""),"",IF(Q250="NA","NA",IF(G250="NA","NA",IF(G250=0,"NA",(Q250/G250))))),"Not Req.")</f>
        <v>Not Req.</v>
      </c>
      <c r="U250" s="343" t="str">
        <f>IF(Start!$C$16="x",IF(AND(D250= "",E250=""),"",IF(S250="NA","NA",IF(G250="NA","NA",IF(G250=0,"NA",(S250/G250))))),"Not Req.")</f>
        <v>Not Req.</v>
      </c>
      <c r="V250" s="11"/>
    </row>
    <row r="251" spans="1:22" s="10" customFormat="1" x14ac:dyDescent="0.25">
      <c r="A251" s="307" t="s">
        <v>569</v>
      </c>
      <c r="B251" s="348" t="str">
        <f>IF(Start!$C$16="x",IF(OR(D251 ="NA",E251="NA"),"NA",IF(AND(D251= "",E251=""),"",IF(AND(D251= "",E251&lt;&gt; ""),"Missing Data",                     IF(AND(D251&lt;&gt; "",E251= ""),"Missing Data",(IF(OR(G251="NA",G251=""),"No Criteria",(IF(AND(Q251="NA",D251&lt;&gt;"NA",G251&lt;&gt;"NA"),                                               "Missing Data",(IF(Q251&lt;G251,"No","Needed")))))))))),"---")</f>
        <v>---</v>
      </c>
      <c r="C251" s="350" t="str">
        <f>IF(Start!$C$16="x",IF(OR(D251 ="NA",E251="NA"),"NA",IF(AND(D251= "",E251=""),"",IF(AND(D251= "",E251&lt;&gt; ""),"Missing Data",                     IF(AND(D251&lt;&gt; "",E251= ""),"Missing Data",(IF(OR(G251="NA",G251=""),"No Criteria",(IF(AND(S251="NA",D251&lt;&gt;"NA",G251&lt;&gt;"NA"),                                               "Missing Data",(IF(S251&lt;G251,"No","Needed")))))))))),"---")</f>
        <v>---</v>
      </c>
      <c r="D251" s="372" t="str">
        <f>IF(TRUE=ISBLANK(ChemData!B251),"",(ChemData!B251))</f>
        <v/>
      </c>
      <c r="E251" s="373" t="str">
        <f>IF(TRUE=ISBLANK(ChemData!C251),"",(ChemData!C251))</f>
        <v/>
      </c>
      <c r="F251" s="374" t="str">
        <f>IF(TRUE=ISBLANK(ChemData!D251),"",(ChemData!D251))</f>
        <v/>
      </c>
      <c r="G251" s="289" t="str">
        <f>IF(TRUE=ISBLANK(ChemData!I251),"",(ChemData!I251))</f>
        <v>NA</v>
      </c>
      <c r="H251" s="290">
        <f>IF(TRUE=ISBLANK(ChemData!Q251),"",(ChemData!Q251))</f>
        <v>1167902.0446328379</v>
      </c>
      <c r="I251" s="290">
        <f>IF(TRUE=ISBLANK(ChemData!R251),"",(ChemData!R251))</f>
        <v>1167902.0446328379</v>
      </c>
      <c r="J251" s="290">
        <f>IF(TRUE=ISBLANK(ChemData!S251),"",(ChemData!S251))</f>
        <v>1</v>
      </c>
      <c r="K251" s="291">
        <f>IF(TRUE=ISBLANK(ChemData!T251),"",(ChemData!T251))</f>
        <v>1</v>
      </c>
      <c r="L251" s="375" t="str">
        <f>IF(Start!$C$16="x",IF(OR(D251="NA",D251=""),"NA", IF(OR($J251 = "NA",J251=""),"NA",(D251*$J251))),"---")</f>
        <v>---</v>
      </c>
      <c r="M251" s="377" t="str">
        <f>IF(Start!$C$16="x",IF(OR(D251="NA",D251=""),"NA", IF(OR($K251 = "NA",K251=""),"NA",(D251*$K251))),"---")</f>
        <v>---</v>
      </c>
      <c r="N251" s="375" t="str">
        <f t="shared" si="10"/>
        <v>---</v>
      </c>
      <c r="O251" s="377" t="str">
        <f t="shared" si="10"/>
        <v>---</v>
      </c>
      <c r="P251" s="461" t="str">
        <f>IF(Start!$C$16="x",(IF(L251 = "NA","NA", (IF(OR($H251 = "NA",H251=""), "NA",(IF(OR(ChemData!U251="NA",ChemData!U251=""),L251/((Data!$D$33+((1-Data!$D$33)*Data!$D$14*$H251))/((1-Data!$D$33)*Data!$D$14*1000)),(IF(L251/((Data!$D$33+((1-Data!$D$33)*Data!$D$14*$H251))/((1-Data!$D$33)*Data!$D$14*1000))&gt;ChemData!U251, ChemData!U251, L251/((Data!$D$33+((1-Data!$D$33)*Data!$D$14*$H251))/((1-Data!$D$33)*Data!$D$14*1000)))))))))),"---")</f>
        <v>---</v>
      </c>
      <c r="Q251" s="376" t="str">
        <f>IF(Start!$C$16="x",IF(OR($F251 = "NA",F251=""), "NA", IF(P251= "NA", "NA",(P251+(Data!$D$30*$F251))/(Data!$D$30+1))),"---")</f>
        <v>---</v>
      </c>
      <c r="R251" s="376" t="str">
        <f>IF(Start!$C$16="x",IF(O251 = "NA","NA", IF(OR($I251 = "NA",I251=""), "NA",(IF(OR(ChemData!U251="NA",ChemData!U251=""),O251/((Data!$D$35+((1-Data!$D$35)*Data!$D$14*$I251))/((1-Data!$D$35)*Data!$D$14*1000)),(IF(O251/((Data!$D$35+((1-Data!$D$35)*Data!$D$14*$I251))/((1-Data!$D$35)*Data!$D$14*1000))&gt;ChemData!U251, ChemData!U251, O251/((Data!$D$35+((1-Data!$D$35)*Data!$D$14*$I251))/((1-Data!$D$35)*Data!$D$14*1000)))))))),"---")</f>
        <v>---</v>
      </c>
      <c r="S251" s="377" t="str">
        <f>IF(Start!$C$16="x",IF(OR($F251 = "NA",F251=""), "NA", IF(R251= "NA", "NA",(R251+(Data!$D$30*$F251))/(Data!$D$30+1))),"---")</f>
        <v>---</v>
      </c>
      <c r="T251" s="343" t="str">
        <f>IF(Start!$C$16="x",IF(AND(D251= "",E251=""),"",IF(Q251="NA","NA",IF(G251="NA","NA",IF(G251=0,"NA",(Q251/G251))))),"Not Req.")</f>
        <v>Not Req.</v>
      </c>
      <c r="U251" s="343" t="str">
        <f>IF(Start!$C$16="x",IF(AND(D251= "",E251=""),"",IF(S251="NA","NA",IF(G251="NA","NA",IF(G251=0,"NA",(S251/G251))))),"Not Req.")</f>
        <v>Not Req.</v>
      </c>
      <c r="V251" s="11"/>
    </row>
    <row r="252" spans="1:22" s="10" customFormat="1" x14ac:dyDescent="0.25">
      <c r="A252" s="307" t="s">
        <v>570</v>
      </c>
      <c r="B252" s="348" t="str">
        <f>IF(Start!$C$16="x",IF(OR(D252 ="NA",E252="NA"),"NA",IF(AND(D252= "",E252=""),"",IF(AND(D252= "",E252&lt;&gt; ""),"Missing Data",                     IF(AND(D252&lt;&gt; "",E252= ""),"Missing Data",(IF(OR(G252="NA",G252=""),"No Criteria",(IF(AND(Q252="NA",D252&lt;&gt;"NA",G252&lt;&gt;"NA"),                                               "Missing Data",(IF(Q252&lt;G252,"No","Needed")))))))))),"---")</f>
        <v>---</v>
      </c>
      <c r="C252" s="350" t="str">
        <f>IF(Start!$C$16="x",IF(OR(D252 ="NA",E252="NA"),"NA",IF(AND(D252= "",E252=""),"",IF(AND(D252= "",E252&lt;&gt; ""),"Missing Data",                     IF(AND(D252&lt;&gt; "",E252= ""),"Missing Data",(IF(OR(G252="NA",G252=""),"No Criteria",(IF(AND(S252="NA",D252&lt;&gt;"NA",G252&lt;&gt;"NA"),                                               "Missing Data",(IF(S252&lt;G252,"No","Needed")))))))))),"---")</f>
        <v>---</v>
      </c>
      <c r="D252" s="372" t="str">
        <f>IF(TRUE=ISBLANK(ChemData!B252),"",(ChemData!B252))</f>
        <v/>
      </c>
      <c r="E252" s="373" t="str">
        <f>IF(TRUE=ISBLANK(ChemData!C252),"",(ChemData!C252))</f>
        <v/>
      </c>
      <c r="F252" s="374" t="str">
        <f>IF(TRUE=ISBLANK(ChemData!D252),"",(ChemData!D252))</f>
        <v/>
      </c>
      <c r="G252" s="289" t="str">
        <f>IF(TRUE=ISBLANK(ChemData!I252),"",(ChemData!I252))</f>
        <v>NA</v>
      </c>
      <c r="H252" s="290">
        <f>IF(TRUE=ISBLANK(ChemData!Q252),"",(ChemData!Q252))</f>
        <v>1539594.740311048</v>
      </c>
      <c r="I252" s="290">
        <f>IF(TRUE=ISBLANK(ChemData!R252),"",(ChemData!R252))</f>
        <v>1539594.740311048</v>
      </c>
      <c r="J252" s="290">
        <f>IF(TRUE=ISBLANK(ChemData!S252),"",(ChemData!S252))</f>
        <v>1</v>
      </c>
      <c r="K252" s="291">
        <f>IF(TRUE=ISBLANK(ChemData!T252),"",(ChemData!T252))</f>
        <v>1</v>
      </c>
      <c r="L252" s="375" t="str">
        <f>IF(Start!$C$16="x",IF(OR(D252="NA",D252=""),"NA", IF(OR($J252 = "NA",J252=""),"NA",(D252*$J252))),"---")</f>
        <v>---</v>
      </c>
      <c r="M252" s="377" t="str">
        <f>IF(Start!$C$16="x",IF(OR(D252="NA",D252=""),"NA", IF(OR($K252 = "NA",K252=""),"NA",(D252*$K252))),"---")</f>
        <v>---</v>
      </c>
      <c r="N252" s="375" t="str">
        <f t="shared" si="10"/>
        <v>---</v>
      </c>
      <c r="O252" s="377" t="str">
        <f t="shared" si="10"/>
        <v>---</v>
      </c>
      <c r="P252" s="461" t="str">
        <f>IF(Start!$C$16="x",(IF(L252 = "NA","NA", (IF(OR($H252 = "NA",H252=""), "NA",(IF(OR(ChemData!U252="NA",ChemData!U252=""),L252/((Data!$D$33+((1-Data!$D$33)*Data!$D$14*$H252))/((1-Data!$D$33)*Data!$D$14*1000)),(IF(L252/((Data!$D$33+((1-Data!$D$33)*Data!$D$14*$H252))/((1-Data!$D$33)*Data!$D$14*1000))&gt;ChemData!U252, ChemData!U252, L252/((Data!$D$33+((1-Data!$D$33)*Data!$D$14*$H252))/((1-Data!$D$33)*Data!$D$14*1000)))))))))),"---")</f>
        <v>---</v>
      </c>
      <c r="Q252" s="376" t="str">
        <f>IF(Start!$C$16="x",IF(OR($F252 = "NA",F252=""), "NA", IF(P252= "NA", "NA",(P252+(Data!$D$30*$F252))/(Data!$D$30+1))),"---")</f>
        <v>---</v>
      </c>
      <c r="R252" s="376" t="str">
        <f>IF(Start!$C$16="x",IF(O252 = "NA","NA", IF(OR($I252 = "NA",I252=""), "NA",(IF(OR(ChemData!U252="NA",ChemData!U252=""),O252/((Data!$D$35+((1-Data!$D$35)*Data!$D$14*$I252))/((1-Data!$D$35)*Data!$D$14*1000)),(IF(O252/((Data!$D$35+((1-Data!$D$35)*Data!$D$14*$I252))/((1-Data!$D$35)*Data!$D$14*1000))&gt;ChemData!U252, ChemData!U252, O252/((Data!$D$35+((1-Data!$D$35)*Data!$D$14*$I252))/((1-Data!$D$35)*Data!$D$14*1000)))))))),"---")</f>
        <v>---</v>
      </c>
      <c r="S252" s="377" t="str">
        <f>IF(Start!$C$16="x",IF(OR($F252 = "NA",F252=""), "NA", IF(R252= "NA", "NA",(R252+(Data!$D$30*$F252))/(Data!$D$30+1))),"---")</f>
        <v>---</v>
      </c>
      <c r="T252" s="343" t="str">
        <f>IF(Start!$C$16="x",IF(AND(D252= "",E252=""),"",IF(Q252="NA","NA",IF(G252="NA","NA",IF(G252=0,"NA",(Q252/G252))))),"Not Req.")</f>
        <v>Not Req.</v>
      </c>
      <c r="U252" s="343" t="str">
        <f>IF(Start!$C$16="x",IF(AND(D252= "",E252=""),"",IF(S252="NA","NA",IF(G252="NA","NA",IF(G252=0,"NA",(S252/G252))))),"Not Req.")</f>
        <v>Not Req.</v>
      </c>
      <c r="V252" s="11"/>
    </row>
    <row r="253" spans="1:22" s="10" customFormat="1" x14ac:dyDescent="0.25">
      <c r="A253" s="307" t="s">
        <v>571</v>
      </c>
      <c r="B253" s="348" t="str">
        <f>IF(Start!$C$16="x",IF(OR(D253 ="NA",E253="NA"),"NA",IF(AND(D253= "",E253=""),"",IF(AND(D253= "",E253&lt;&gt; ""),"Missing Data",                     IF(AND(D253&lt;&gt; "",E253= ""),"Missing Data",(IF(OR(G253="NA",G253=""),"No Criteria",(IF(AND(Q253="NA",D253&lt;&gt;"NA",G253&lt;&gt;"NA"),                                               "Missing Data",(IF(Q253&lt;G253,"No","Needed")))))))))),"---")</f>
        <v>---</v>
      </c>
      <c r="C253" s="350" t="str">
        <f>IF(Start!$C$16="x",IF(OR(D253 ="NA",E253="NA"),"NA",IF(AND(D253= "",E253=""),"",IF(AND(D253= "",E253&lt;&gt; ""),"Missing Data",                     IF(AND(D253&lt;&gt; "",E253= ""),"Missing Data",(IF(OR(G253="NA",G253=""),"No Criteria",(IF(AND(S253="NA",D253&lt;&gt;"NA",G253&lt;&gt;"NA"),                                               "Missing Data",(IF(S253&lt;G253,"No","Needed")))))))))),"---")</f>
        <v>---</v>
      </c>
      <c r="D253" s="372" t="str">
        <f>IF(TRUE=ISBLANK(ChemData!B253),"",(ChemData!B253))</f>
        <v/>
      </c>
      <c r="E253" s="373" t="str">
        <f>IF(TRUE=ISBLANK(ChemData!C253),"",(ChemData!C253))</f>
        <v/>
      </c>
      <c r="F253" s="374" t="str">
        <f>IF(TRUE=ISBLANK(ChemData!D253),"",(ChemData!D253))</f>
        <v/>
      </c>
      <c r="G253" s="289" t="str">
        <f>IF(TRUE=ISBLANK(ChemData!I253),"",(ChemData!I253))</f>
        <v>NA</v>
      </c>
      <c r="H253" s="290" t="str">
        <f>IF(TRUE=ISBLANK(ChemData!Q253),"",(ChemData!Q253))</f>
        <v>NA</v>
      </c>
      <c r="I253" s="290" t="str">
        <f>IF(TRUE=ISBLANK(ChemData!R253),"",(ChemData!R253))</f>
        <v>NA</v>
      </c>
      <c r="J253" s="290">
        <f>IF(TRUE=ISBLANK(ChemData!S253),"",(ChemData!S253))</f>
        <v>1</v>
      </c>
      <c r="K253" s="291">
        <f>IF(TRUE=ISBLANK(ChemData!T253),"",(ChemData!T253))</f>
        <v>1</v>
      </c>
      <c r="L253" s="375" t="str">
        <f>IF(Start!$C$16="x",IF(OR(D253="NA",D253=""),"NA", IF(OR($J253 = "NA",J253=""),"NA",(D253*$J253))),"---")</f>
        <v>---</v>
      </c>
      <c r="M253" s="377" t="str">
        <f>IF(Start!$C$16="x",IF(OR(D253="NA",D253=""),"NA", IF(OR($K253 = "NA",K253=""),"NA",(D253*$K253))),"---")</f>
        <v>---</v>
      </c>
      <c r="N253" s="375" t="str">
        <f t="shared" si="10"/>
        <v>---</v>
      </c>
      <c r="O253" s="377" t="str">
        <f t="shared" si="10"/>
        <v>---</v>
      </c>
      <c r="P253" s="461" t="str">
        <f>IF(Start!$C$16="x",(IF(L253 = "NA","NA", (IF(OR($H253 = "NA",H253=""), "NA",(IF(OR(ChemData!U253="NA",ChemData!U253=""),L253/((Data!$D$33+((1-Data!$D$33)*Data!$D$14*$H253))/((1-Data!$D$33)*Data!$D$14*1000)),(IF(L253/((Data!$D$33+((1-Data!$D$33)*Data!$D$14*$H253))/((1-Data!$D$33)*Data!$D$14*1000))&gt;ChemData!U253, ChemData!U253, L253/((Data!$D$33+((1-Data!$D$33)*Data!$D$14*$H253))/((1-Data!$D$33)*Data!$D$14*1000)))))))))),"---")</f>
        <v>---</v>
      </c>
      <c r="Q253" s="376" t="str">
        <f>IF(Start!$C$16="x",IF(OR($F253 = "NA",F253=""), "NA", IF(P253= "NA", "NA",(P253+(Data!$D$30*$F253))/(Data!$D$30+1))),"---")</f>
        <v>---</v>
      </c>
      <c r="R253" s="376" t="str">
        <f>IF(Start!$C$16="x",IF(O253 = "NA","NA", IF(OR($I253 = "NA",I253=""), "NA",(IF(OR(ChemData!U253="NA",ChemData!U253=""),O253/((Data!$D$35+((1-Data!$D$35)*Data!$D$14*$I253))/((1-Data!$D$35)*Data!$D$14*1000)),(IF(O253/((Data!$D$35+((1-Data!$D$35)*Data!$D$14*$I253))/((1-Data!$D$35)*Data!$D$14*1000))&gt;ChemData!U253, ChemData!U253, O253/((Data!$D$35+((1-Data!$D$35)*Data!$D$14*$I253))/((1-Data!$D$35)*Data!$D$14*1000)))))))),"---")</f>
        <v>---</v>
      </c>
      <c r="S253" s="377" t="str">
        <f>IF(Start!$C$16="x",IF(OR($F253 = "NA",F253=""), "NA", IF(R253= "NA", "NA",(R253+(Data!$D$30*$F253))/(Data!$D$30+1))),"---")</f>
        <v>---</v>
      </c>
      <c r="T253" s="343" t="str">
        <f>IF(Start!$C$16="x",IF(AND(D253= "",E253=""),"",IF(Q253="NA","NA",IF(G253="NA","NA",IF(G253=0,"NA",(Q253/G253))))),"Not Req.")</f>
        <v>Not Req.</v>
      </c>
      <c r="U253" s="343" t="str">
        <f>IF(Start!$C$16="x",IF(AND(D253= "",E253=""),"",IF(S253="NA","NA",IF(G253="NA","NA",IF(G253=0,"NA",(S253/G253))))),"Not Req.")</f>
        <v>Not Req.</v>
      </c>
      <c r="V253" s="11"/>
    </row>
    <row r="254" spans="1:22" s="10" customFormat="1" x14ac:dyDescent="0.25">
      <c r="A254" s="307" t="s">
        <v>572</v>
      </c>
      <c r="B254" s="348" t="str">
        <f>IF(Start!$C$16="x",IF(OR(D254 ="NA",E254="NA"),"NA",IF(AND(D254= "",E254=""),"",IF(AND(D254= "",E254&lt;&gt; ""),"Missing Data",                     IF(AND(D254&lt;&gt; "",E254= ""),"Missing Data",(IF(OR(G254="NA",G254=""),"No Criteria",(IF(AND(Q254="NA",D254&lt;&gt;"NA",G254&lt;&gt;"NA"),                                               "Missing Data",(IF(Q254&lt;G254,"No","Needed")))))))))),"---")</f>
        <v>---</v>
      </c>
      <c r="C254" s="350" t="str">
        <f>IF(Start!$C$16="x",IF(OR(D254 ="NA",E254="NA"),"NA",IF(AND(D254= "",E254=""),"",IF(AND(D254= "",E254&lt;&gt; ""),"Missing Data",                     IF(AND(D254&lt;&gt; "",E254= ""),"Missing Data",(IF(OR(G254="NA",G254=""),"No Criteria",(IF(AND(S254="NA",D254&lt;&gt;"NA",G254&lt;&gt;"NA"),                                               "Missing Data",(IF(S254&lt;G254,"No","Needed")))))))))),"---")</f>
        <v>---</v>
      </c>
      <c r="D254" s="372" t="str">
        <f>IF(TRUE=ISBLANK(ChemData!B254),"",(ChemData!B254))</f>
        <v/>
      </c>
      <c r="E254" s="373" t="str">
        <f>IF(TRUE=ISBLANK(ChemData!C254),"",(ChemData!C254))</f>
        <v/>
      </c>
      <c r="F254" s="374" t="str">
        <f>IF(TRUE=ISBLANK(ChemData!D254),"",(ChemData!D254))</f>
        <v/>
      </c>
      <c r="G254" s="289" t="str">
        <f>IF(TRUE=ISBLANK(ChemData!I254),"",(ChemData!I254))</f>
        <v>NA</v>
      </c>
      <c r="H254" s="290">
        <f>IF(TRUE=ISBLANK(ChemData!Q254),"",(ChemData!Q254))</f>
        <v>703730.57258936029</v>
      </c>
      <c r="I254" s="290">
        <f>IF(TRUE=ISBLANK(ChemData!R254),"",(ChemData!R254))</f>
        <v>703730.57258936029</v>
      </c>
      <c r="J254" s="290">
        <f>IF(TRUE=ISBLANK(ChemData!S254),"",(ChemData!S254))</f>
        <v>1</v>
      </c>
      <c r="K254" s="291">
        <f>IF(TRUE=ISBLANK(ChemData!T254),"",(ChemData!T254))</f>
        <v>1</v>
      </c>
      <c r="L254" s="375" t="str">
        <f>IF(Start!$C$16="x",IF(OR(D254="NA",D254=""),"NA", IF(OR($J254 = "NA",J254=""),"NA",(D254*$J254))),"---")</f>
        <v>---</v>
      </c>
      <c r="M254" s="377" t="str">
        <f>IF(Start!$C$16="x",IF(OR(D254="NA",D254=""),"NA", IF(OR($K254 = "NA",K254=""),"NA",(D254*$K254))),"---")</f>
        <v>---</v>
      </c>
      <c r="N254" s="375" t="str">
        <f t="shared" si="10"/>
        <v>---</v>
      </c>
      <c r="O254" s="377" t="str">
        <f t="shared" si="10"/>
        <v>---</v>
      </c>
      <c r="P254" s="461" t="str">
        <f>IF(Start!$C$16="x",(IF(L254 = "NA","NA", (IF(OR($H254 = "NA",H254=""), "NA",(IF(OR(ChemData!U254="NA",ChemData!U254=""),L254/((Data!$D$33+((1-Data!$D$33)*Data!$D$14*$H254))/((1-Data!$D$33)*Data!$D$14*1000)),(IF(L254/((Data!$D$33+((1-Data!$D$33)*Data!$D$14*$H254))/((1-Data!$D$33)*Data!$D$14*1000))&gt;ChemData!U254, ChemData!U254, L254/((Data!$D$33+((1-Data!$D$33)*Data!$D$14*$H254))/((1-Data!$D$33)*Data!$D$14*1000)))))))))),"---")</f>
        <v>---</v>
      </c>
      <c r="Q254" s="376" t="str">
        <f>IF(Start!$C$16="x",IF(OR($F254 = "NA",F254=""), "NA", IF(P254= "NA", "NA",(P254+(Data!$D$30*$F254))/(Data!$D$30+1))),"---")</f>
        <v>---</v>
      </c>
      <c r="R254" s="376" t="str">
        <f>IF(Start!$C$16="x",IF(O254 = "NA","NA", IF(OR($I254 = "NA",I254=""), "NA",(IF(OR(ChemData!U254="NA",ChemData!U254=""),O254/((Data!$D$35+((1-Data!$D$35)*Data!$D$14*$I254))/((1-Data!$D$35)*Data!$D$14*1000)),(IF(O254/((Data!$D$35+((1-Data!$D$35)*Data!$D$14*$I254))/((1-Data!$D$35)*Data!$D$14*1000))&gt;ChemData!U254, ChemData!U254, O254/((Data!$D$35+((1-Data!$D$35)*Data!$D$14*$I254))/((1-Data!$D$35)*Data!$D$14*1000)))))))),"---")</f>
        <v>---</v>
      </c>
      <c r="S254" s="377" t="str">
        <f>IF(Start!$C$16="x",IF(OR($F254 = "NA",F254=""), "NA", IF(R254= "NA", "NA",(R254+(Data!$D$30*$F254))/(Data!$D$30+1))),"---")</f>
        <v>---</v>
      </c>
      <c r="T254" s="343" t="str">
        <f>IF(Start!$C$16="x",IF(AND(D254= "",E254=""),"",IF(Q254="NA","NA",IF(G254="NA","NA",IF(G254=0,"NA",(Q254/G254))))),"Not Req.")</f>
        <v>Not Req.</v>
      </c>
      <c r="U254" s="343" t="str">
        <f>IF(Start!$C$16="x",IF(AND(D254= "",E254=""),"",IF(S254="NA","NA",IF(G254="NA","NA",IF(G254=0,"NA",(S254/G254))))),"Not Req.")</f>
        <v>Not Req.</v>
      </c>
      <c r="V254" s="11"/>
    </row>
    <row r="255" spans="1:22" s="10" customFormat="1" x14ac:dyDescent="0.25">
      <c r="A255" s="307" t="s">
        <v>573</v>
      </c>
      <c r="B255" s="348" t="str">
        <f>IF(Start!$C$16="x",IF(OR(D255 ="NA",E255="NA"),"NA",IF(AND(D255= "",E255=""),"",IF(AND(D255= "",E255&lt;&gt; ""),"Missing Data",                     IF(AND(D255&lt;&gt; "",E255= ""),"Missing Data",(IF(OR(G255="NA",G255=""),"No Criteria",(IF(AND(Q255="NA",D255&lt;&gt;"NA",G255&lt;&gt;"NA"),                                               "Missing Data",(IF(Q255&lt;G255,"No","Needed")))))))))),"---")</f>
        <v>---</v>
      </c>
      <c r="C255" s="350" t="str">
        <f>IF(Start!$C$16="x",IF(OR(D255 ="NA",E255="NA"),"NA",IF(AND(D255= "",E255=""),"",IF(AND(D255= "",E255&lt;&gt; ""),"Missing Data",                     IF(AND(D255&lt;&gt; "",E255= ""),"Missing Data",(IF(OR(G255="NA",G255=""),"No Criteria",(IF(AND(S255="NA",D255&lt;&gt;"NA",G255&lt;&gt;"NA"),                                               "Missing Data",(IF(S255&lt;G255,"No","Needed")))))))))),"---")</f>
        <v>---</v>
      </c>
      <c r="D255" s="372" t="str">
        <f>IF(TRUE=ISBLANK(ChemData!B255),"",(ChemData!B255))</f>
        <v/>
      </c>
      <c r="E255" s="373" t="str">
        <f>IF(TRUE=ISBLANK(ChemData!C255),"",(ChemData!C255))</f>
        <v/>
      </c>
      <c r="F255" s="374" t="str">
        <f>IF(TRUE=ISBLANK(ChemData!D255),"",(ChemData!D255))</f>
        <v/>
      </c>
      <c r="G255" s="289" t="str">
        <f>IF(TRUE=ISBLANK(ChemData!I255),"",(ChemData!I255))</f>
        <v>NA</v>
      </c>
      <c r="H255" s="290">
        <f>IF(TRUE=ISBLANK(ChemData!Q255),"",(ChemData!Q255))</f>
        <v>80799.080547654768</v>
      </c>
      <c r="I255" s="290">
        <f>IF(TRUE=ISBLANK(ChemData!R255),"",(ChemData!R255))</f>
        <v>80799.080547654768</v>
      </c>
      <c r="J255" s="290">
        <f>IF(TRUE=ISBLANK(ChemData!S255),"",(ChemData!S255))</f>
        <v>1</v>
      </c>
      <c r="K255" s="291">
        <f>IF(TRUE=ISBLANK(ChemData!T255),"",(ChemData!T255))</f>
        <v>1</v>
      </c>
      <c r="L255" s="375" t="str">
        <f>IF(Start!$C$16="x",IF(OR(D255="NA",D255=""),"NA", IF(OR($J255 = "NA",J255=""),"NA",(D255*$J255))),"---")</f>
        <v>---</v>
      </c>
      <c r="M255" s="377" t="str">
        <f>IF(Start!$C$16="x",IF(OR(D255="NA",D255=""),"NA", IF(OR($K255 = "NA",K255=""),"NA",(D255*$K255))),"---")</f>
        <v>---</v>
      </c>
      <c r="N255" s="375" t="str">
        <f t="shared" si="10"/>
        <v>---</v>
      </c>
      <c r="O255" s="377" t="str">
        <f t="shared" si="10"/>
        <v>---</v>
      </c>
      <c r="P255" s="461" t="str">
        <f>IF(Start!$C$16="x",(IF(L255 = "NA","NA", (IF(OR($H255 = "NA",H255=""), "NA",(IF(OR(ChemData!U255="NA",ChemData!U255=""),L255/((Data!$D$33+((1-Data!$D$33)*Data!$D$14*$H255))/((1-Data!$D$33)*Data!$D$14*1000)),(IF(L255/((Data!$D$33+((1-Data!$D$33)*Data!$D$14*$H255))/((1-Data!$D$33)*Data!$D$14*1000))&gt;ChemData!U255, ChemData!U255, L255/((Data!$D$33+((1-Data!$D$33)*Data!$D$14*$H255))/((1-Data!$D$33)*Data!$D$14*1000)))))))))),"---")</f>
        <v>---</v>
      </c>
      <c r="Q255" s="376" t="str">
        <f>IF(Start!$C$16="x",IF(OR($F255 = "NA",F255=""), "NA", IF(P255= "NA", "NA",(P255+(Data!$D$30*$F255))/(Data!$D$30+1))),"---")</f>
        <v>---</v>
      </c>
      <c r="R255" s="376" t="str">
        <f>IF(Start!$C$16="x",IF(O255 = "NA","NA", IF(OR($I255 = "NA",I255=""), "NA",(IF(OR(ChemData!U255="NA",ChemData!U255=""),O255/((Data!$D$35+((1-Data!$D$35)*Data!$D$14*$I255))/((1-Data!$D$35)*Data!$D$14*1000)),(IF(O255/((Data!$D$35+((1-Data!$D$35)*Data!$D$14*$I255))/((1-Data!$D$35)*Data!$D$14*1000))&gt;ChemData!U255, ChemData!U255, O255/((Data!$D$35+((1-Data!$D$35)*Data!$D$14*$I255))/((1-Data!$D$35)*Data!$D$14*1000)))))))),"---")</f>
        <v>---</v>
      </c>
      <c r="S255" s="377" t="str">
        <f>IF(Start!$C$16="x",IF(OR($F255 = "NA",F255=""), "NA", IF(R255= "NA", "NA",(R255+(Data!$D$30*$F255))/(Data!$D$30+1))),"---")</f>
        <v>---</v>
      </c>
      <c r="T255" s="343" t="str">
        <f>IF(Start!$C$16="x",IF(AND(D255= "",E255=""),"",IF(Q255="NA","NA",IF(G255="NA","NA",IF(G255=0,"NA",(Q255/G255))))),"Not Req.")</f>
        <v>Not Req.</v>
      </c>
      <c r="U255" s="343" t="str">
        <f>IF(Start!$C$16="x",IF(AND(D255= "",E255=""),"",IF(S255="NA","NA",IF(G255="NA","NA",IF(G255=0,"NA",(S255/G255))))),"Not Req.")</f>
        <v>Not Req.</v>
      </c>
      <c r="V255" s="11"/>
    </row>
    <row r="256" spans="1:22" s="10" customFormat="1" x14ac:dyDescent="0.25">
      <c r="A256" s="307" t="s">
        <v>574</v>
      </c>
      <c r="B256" s="348" t="str">
        <f>IF(Start!$C$16="x",IF(OR(D256 ="NA",E256="NA"),"NA",IF(AND(D256= "",E256=""),"",IF(AND(D256= "",E256&lt;&gt; ""),"Missing Data",                     IF(AND(D256&lt;&gt; "",E256= ""),"Missing Data",(IF(OR(G256="NA",G256=""),"No Criteria",(IF(AND(Q256="NA",D256&lt;&gt;"NA",G256&lt;&gt;"NA"),                                               "Missing Data",(IF(Q256&lt;G256,"No","Needed")))))))))),"---")</f>
        <v>---</v>
      </c>
      <c r="C256" s="350" t="str">
        <f>IF(Start!$C$16="x",IF(OR(D256 ="NA",E256="NA"),"NA",IF(AND(D256= "",E256=""),"",IF(AND(D256= "",E256&lt;&gt; ""),"Missing Data",                     IF(AND(D256&lt;&gt; "",E256= ""),"Missing Data",(IF(OR(G256="NA",G256=""),"No Criteria",(IF(AND(S256="NA",D256&lt;&gt;"NA",G256&lt;&gt;"NA"),                                               "Missing Data",(IF(S256&lt;G256,"No","Needed")))))))))),"---")</f>
        <v>---</v>
      </c>
      <c r="D256" s="372" t="str">
        <f>IF(TRUE=ISBLANK(ChemData!B256),"",(ChemData!B256))</f>
        <v/>
      </c>
      <c r="E256" s="373" t="str">
        <f>IF(TRUE=ISBLANK(ChemData!C256),"",(ChemData!C256))</f>
        <v/>
      </c>
      <c r="F256" s="374" t="str">
        <f>IF(TRUE=ISBLANK(ChemData!D256),"",(ChemData!D256))</f>
        <v/>
      </c>
      <c r="G256" s="289" t="str">
        <f>IF(TRUE=ISBLANK(ChemData!I256),"",(ChemData!I256))</f>
        <v>NA</v>
      </c>
      <c r="H256" s="290">
        <f>IF(TRUE=ISBLANK(ChemData!Q256),"",(ChemData!Q256))</f>
        <v>104089.37929273375</v>
      </c>
      <c r="I256" s="290">
        <f>IF(TRUE=ISBLANK(ChemData!R256),"",(ChemData!R256))</f>
        <v>104089.37929273375</v>
      </c>
      <c r="J256" s="290">
        <f>IF(TRUE=ISBLANK(ChemData!S256),"",(ChemData!S256))</f>
        <v>1</v>
      </c>
      <c r="K256" s="291">
        <f>IF(TRUE=ISBLANK(ChemData!T256),"",(ChemData!T256))</f>
        <v>1</v>
      </c>
      <c r="L256" s="375" t="str">
        <f>IF(Start!$C$16="x",IF(OR(D256="NA",D256=""),"NA", IF(OR($J256 = "NA",J256=""),"NA",(D256*$J256))),"---")</f>
        <v>---</v>
      </c>
      <c r="M256" s="377" t="str">
        <f>IF(Start!$C$16="x",IF(OR(D256="NA",D256=""),"NA", IF(OR($K256 = "NA",K256=""),"NA",(D256*$K256))),"---")</f>
        <v>---</v>
      </c>
      <c r="N256" s="375" t="str">
        <f t="shared" si="10"/>
        <v>---</v>
      </c>
      <c r="O256" s="377" t="str">
        <f t="shared" si="10"/>
        <v>---</v>
      </c>
      <c r="P256" s="461" t="str">
        <f>IF(Start!$C$16="x",(IF(L256 = "NA","NA", (IF(OR($H256 = "NA",H256=""), "NA",(IF(OR(ChemData!U256="NA",ChemData!U256=""),L256/((Data!$D$33+((1-Data!$D$33)*Data!$D$14*$H256))/((1-Data!$D$33)*Data!$D$14*1000)),(IF(L256/((Data!$D$33+((1-Data!$D$33)*Data!$D$14*$H256))/((1-Data!$D$33)*Data!$D$14*1000))&gt;ChemData!U256, ChemData!U256, L256/((Data!$D$33+((1-Data!$D$33)*Data!$D$14*$H256))/((1-Data!$D$33)*Data!$D$14*1000)))))))))),"---")</f>
        <v>---</v>
      </c>
      <c r="Q256" s="376" t="str">
        <f>IF(Start!$C$16="x",IF(OR($F256 = "NA",F256=""), "NA", IF(P256= "NA", "NA",(P256+(Data!$D$30*$F256))/(Data!$D$30+1))),"---")</f>
        <v>---</v>
      </c>
      <c r="R256" s="376" t="str">
        <f>IF(Start!$C$16="x",IF(O256 = "NA","NA", IF(OR($I256 = "NA",I256=""), "NA",(IF(OR(ChemData!U256="NA",ChemData!U256=""),O256/((Data!$D$35+((1-Data!$D$35)*Data!$D$14*$I256))/((1-Data!$D$35)*Data!$D$14*1000)),(IF(O256/((Data!$D$35+((1-Data!$D$35)*Data!$D$14*$I256))/((1-Data!$D$35)*Data!$D$14*1000))&gt;ChemData!U256, ChemData!U256, O256/((Data!$D$35+((1-Data!$D$35)*Data!$D$14*$I256))/((1-Data!$D$35)*Data!$D$14*1000)))))))),"---")</f>
        <v>---</v>
      </c>
      <c r="S256" s="377" t="str">
        <f>IF(Start!$C$16="x",IF(OR($F256 = "NA",F256=""), "NA", IF(R256= "NA", "NA",(R256+(Data!$D$30*$F256))/(Data!$D$30+1))),"---")</f>
        <v>---</v>
      </c>
      <c r="T256" s="343" t="str">
        <f>IF(Start!$C$16="x",IF(AND(D256= "",E256=""),"",IF(Q256="NA","NA",IF(G256="NA","NA",IF(G256=0,"NA",(Q256/G256))))),"Not Req.")</f>
        <v>Not Req.</v>
      </c>
      <c r="U256" s="343" t="str">
        <f>IF(Start!$C$16="x",IF(AND(D256= "",E256=""),"",IF(S256="NA","NA",IF(G256="NA","NA",IF(G256=0,"NA",(S256/G256))))),"Not Req.")</f>
        <v>Not Req.</v>
      </c>
      <c r="V256" s="11"/>
    </row>
    <row r="257" spans="1:22" s="10" customFormat="1" x14ac:dyDescent="0.25">
      <c r="A257" s="307" t="s">
        <v>575</v>
      </c>
      <c r="B257" s="348" t="str">
        <f>IF(Start!$C$16="x",IF(OR(D257 ="NA",E257="NA"),"NA",IF(AND(D257= "",E257=""),"",IF(AND(D257= "",E257&lt;&gt; ""),"Missing Data",                     IF(AND(D257&lt;&gt; "",E257= ""),"Missing Data",(IF(OR(G257="NA",G257=""),"No Criteria",(IF(AND(Q257="NA",D257&lt;&gt;"NA",G257&lt;&gt;"NA"),                                               "Missing Data",(IF(Q257&lt;G257,"No","Needed")))))))))),"---")</f>
        <v>---</v>
      </c>
      <c r="C257" s="350" t="str">
        <f>IF(Start!$C$16="x",IF(OR(D257 ="NA",E257="NA"),"NA",IF(AND(D257= "",E257=""),"",IF(AND(D257= "",E257&lt;&gt; ""),"Missing Data",                     IF(AND(D257&lt;&gt; "",E257= ""),"Missing Data",(IF(OR(G257="NA",G257=""),"No Criteria",(IF(AND(S257="NA",D257&lt;&gt;"NA",G257&lt;&gt;"NA"),                                               "Missing Data",(IF(S257&lt;G257,"No","Needed")))))))))),"---")</f>
        <v>---</v>
      </c>
      <c r="D257" s="372" t="str">
        <f>IF(TRUE=ISBLANK(ChemData!B257),"",(ChemData!B257))</f>
        <v/>
      </c>
      <c r="E257" s="373" t="str">
        <f>IF(TRUE=ISBLANK(ChemData!C257),"",(ChemData!C257))</f>
        <v/>
      </c>
      <c r="F257" s="374" t="str">
        <f>IF(TRUE=ISBLANK(ChemData!D257),"",(ChemData!D257))</f>
        <v/>
      </c>
      <c r="G257" s="289" t="str">
        <f>IF(TRUE=ISBLANK(ChemData!I257),"",(ChemData!I257))</f>
        <v>NA</v>
      </c>
      <c r="H257" s="290">
        <f>IF(TRUE=ISBLANK(ChemData!Q257),"",(ChemData!Q257))</f>
        <v>1539594.740311048</v>
      </c>
      <c r="I257" s="290">
        <f>IF(TRUE=ISBLANK(ChemData!R257),"",(ChemData!R257))</f>
        <v>1539594.740311048</v>
      </c>
      <c r="J257" s="290">
        <f>IF(TRUE=ISBLANK(ChemData!S257),"",(ChemData!S257))</f>
        <v>1</v>
      </c>
      <c r="K257" s="291">
        <f>IF(TRUE=ISBLANK(ChemData!T257),"",(ChemData!T257))</f>
        <v>1</v>
      </c>
      <c r="L257" s="375" t="str">
        <f>IF(Start!$C$16="x",IF(OR(D257="NA",D257=""),"NA", IF(OR($J257 = "NA",J257=""),"NA",(D257*$J257))),"---")</f>
        <v>---</v>
      </c>
      <c r="M257" s="377" t="str">
        <f>IF(Start!$C$16="x",IF(OR(D257="NA",D257=""),"NA", IF(OR($K257 = "NA",K257=""),"NA",(D257*$K257))),"---")</f>
        <v>---</v>
      </c>
      <c r="N257" s="375" t="str">
        <f t="shared" si="10"/>
        <v>---</v>
      </c>
      <c r="O257" s="377" t="str">
        <f t="shared" si="10"/>
        <v>---</v>
      </c>
      <c r="P257" s="461" t="str">
        <f>IF(Start!$C$16="x",(IF(L257 = "NA","NA", (IF(OR($H257 = "NA",H257=""), "NA",(IF(OR(ChemData!U257="NA",ChemData!U257=""),L257/((Data!$D$33+((1-Data!$D$33)*Data!$D$14*$H257))/((1-Data!$D$33)*Data!$D$14*1000)),(IF(L257/((Data!$D$33+((1-Data!$D$33)*Data!$D$14*$H257))/((1-Data!$D$33)*Data!$D$14*1000))&gt;ChemData!U257, ChemData!U257, L257/((Data!$D$33+((1-Data!$D$33)*Data!$D$14*$H257))/((1-Data!$D$33)*Data!$D$14*1000)))))))))),"---")</f>
        <v>---</v>
      </c>
      <c r="Q257" s="376" t="str">
        <f>IF(Start!$C$16="x",IF(OR($F257 = "NA",F257=""), "NA", IF(P257= "NA", "NA",(P257+(Data!$D$30*$F257))/(Data!$D$30+1))),"---")</f>
        <v>---</v>
      </c>
      <c r="R257" s="376" t="str">
        <f>IF(Start!$C$16="x",IF(O257 = "NA","NA", IF(OR($I257 = "NA",I257=""), "NA",(IF(OR(ChemData!U257="NA",ChemData!U257=""),O257/((Data!$D$35+((1-Data!$D$35)*Data!$D$14*$I257))/((1-Data!$D$35)*Data!$D$14*1000)),(IF(O257/((Data!$D$35+((1-Data!$D$35)*Data!$D$14*$I257))/((1-Data!$D$35)*Data!$D$14*1000))&gt;ChemData!U257, ChemData!U257, O257/((Data!$D$35+((1-Data!$D$35)*Data!$D$14*$I257))/((1-Data!$D$35)*Data!$D$14*1000)))))))),"---")</f>
        <v>---</v>
      </c>
      <c r="S257" s="377" t="str">
        <f>IF(Start!$C$16="x",IF(OR($F257 = "NA",F257=""), "NA", IF(R257= "NA", "NA",(R257+(Data!$D$30*$F257))/(Data!$D$30+1))),"---")</f>
        <v>---</v>
      </c>
      <c r="T257" s="343" t="str">
        <f>IF(Start!$C$16="x",IF(AND(D257= "",E257=""),"",IF(Q257="NA","NA",IF(G257="NA","NA",IF(G257=0,"NA",(Q257/G257))))),"Not Req.")</f>
        <v>Not Req.</v>
      </c>
      <c r="U257" s="343" t="str">
        <f>IF(Start!$C$16="x",IF(AND(D257= "",E257=""),"",IF(S257="NA","NA",IF(G257="NA","NA",IF(G257=0,"NA",(S257/G257))))),"Not Req.")</f>
        <v>Not Req.</v>
      </c>
      <c r="V257" s="11"/>
    </row>
    <row r="258" spans="1:22" s="10" customFormat="1" x14ac:dyDescent="0.25">
      <c r="A258" s="307" t="s">
        <v>576</v>
      </c>
      <c r="B258" s="348" t="str">
        <f>IF(Start!$C$16="x",IF(OR(D258 ="NA",E258="NA"),"NA",IF(AND(D258= "",E258=""),"",IF(AND(D258= "",E258&lt;&gt; ""),"Missing Data",                     IF(AND(D258&lt;&gt; "",E258= ""),"Missing Data",(IF(OR(G258="NA",G258=""),"No Criteria",(IF(AND(Q258="NA",D258&lt;&gt;"NA",G258&lt;&gt;"NA"),                                               "Missing Data",(IF(Q258&lt;G258,"No","Needed")))))))))),"---")</f>
        <v>---</v>
      </c>
      <c r="C258" s="350" t="str">
        <f>IF(Start!$C$16="x",IF(OR(D258 ="NA",E258="NA"),"NA",IF(AND(D258= "",E258=""),"",IF(AND(D258= "",E258&lt;&gt; ""),"Missing Data",                     IF(AND(D258&lt;&gt; "",E258= ""),"Missing Data",(IF(OR(G258="NA",G258=""),"No Criteria",(IF(AND(S258="NA",D258&lt;&gt;"NA",G258&lt;&gt;"NA"),                                               "Missing Data",(IF(S258&lt;G258,"No","Needed")))))))))),"---")</f>
        <v>---</v>
      </c>
      <c r="D258" s="372" t="str">
        <f>IF(TRUE=ISBLANK(ChemData!B258),"",(ChemData!B258))</f>
        <v/>
      </c>
      <c r="E258" s="373" t="str">
        <f>IF(TRUE=ISBLANK(ChemData!C258),"",(ChemData!C258))</f>
        <v/>
      </c>
      <c r="F258" s="374" t="str">
        <f>IF(TRUE=ISBLANK(ChemData!D258),"",(ChemData!D258))</f>
        <v/>
      </c>
      <c r="G258" s="289" t="str">
        <f>IF(TRUE=ISBLANK(ChemData!I258),"",(ChemData!I258))</f>
        <v>NA</v>
      </c>
      <c r="H258" s="290">
        <f>IF(TRUE=ISBLANK(ChemData!Q258),"",(ChemData!Q258))</f>
        <v>153959.47403110462</v>
      </c>
      <c r="I258" s="290">
        <f>IF(TRUE=ISBLANK(ChemData!R258),"",(ChemData!R258))</f>
        <v>153959.47403110462</v>
      </c>
      <c r="J258" s="290">
        <f>IF(TRUE=ISBLANK(ChemData!S258),"",(ChemData!S258))</f>
        <v>1</v>
      </c>
      <c r="K258" s="291">
        <f>IF(TRUE=ISBLANK(ChemData!T258),"",(ChemData!T258))</f>
        <v>1</v>
      </c>
      <c r="L258" s="375" t="str">
        <f>IF(Start!$C$16="x",IF(OR(D258="NA",D258=""),"NA", IF(OR($J258 = "NA",J258=""),"NA",(D258*$J258))),"---")</f>
        <v>---</v>
      </c>
      <c r="M258" s="377" t="str">
        <f>IF(Start!$C$16="x",IF(OR(D258="NA",D258=""),"NA", IF(OR($K258 = "NA",K258=""),"NA",(D258*$K258))),"---")</f>
        <v>---</v>
      </c>
      <c r="N258" s="375" t="str">
        <f t="shared" si="10"/>
        <v>---</v>
      </c>
      <c r="O258" s="377" t="str">
        <f t="shared" si="10"/>
        <v>---</v>
      </c>
      <c r="P258" s="461" t="str">
        <f>IF(Start!$C$16="x",(IF(L258 = "NA","NA", (IF(OR($H258 = "NA",H258=""), "NA",(IF(OR(ChemData!U258="NA",ChemData!U258=""),L258/((Data!$D$33+((1-Data!$D$33)*Data!$D$14*$H258))/((1-Data!$D$33)*Data!$D$14*1000)),(IF(L258/((Data!$D$33+((1-Data!$D$33)*Data!$D$14*$H258))/((1-Data!$D$33)*Data!$D$14*1000))&gt;ChemData!U258, ChemData!U258, L258/((Data!$D$33+((1-Data!$D$33)*Data!$D$14*$H258))/((1-Data!$D$33)*Data!$D$14*1000)))))))))),"---")</f>
        <v>---</v>
      </c>
      <c r="Q258" s="376" t="str">
        <f>IF(Start!$C$16="x",IF(OR($F258 = "NA",F258=""), "NA", IF(P258= "NA", "NA",(P258+(Data!$D$30*$F258))/(Data!$D$30+1))),"---")</f>
        <v>---</v>
      </c>
      <c r="R258" s="376" t="str">
        <f>IF(Start!$C$16="x",IF(O258 = "NA","NA", IF(OR($I258 = "NA",I258=""), "NA",(IF(OR(ChemData!U258="NA",ChemData!U258=""),O258/((Data!$D$35+((1-Data!$D$35)*Data!$D$14*$I258))/((1-Data!$D$35)*Data!$D$14*1000)),(IF(O258/((Data!$D$35+((1-Data!$D$35)*Data!$D$14*$I258))/((1-Data!$D$35)*Data!$D$14*1000))&gt;ChemData!U258, ChemData!U258, O258/((Data!$D$35+((1-Data!$D$35)*Data!$D$14*$I258))/((1-Data!$D$35)*Data!$D$14*1000)))))))),"---")</f>
        <v>---</v>
      </c>
      <c r="S258" s="377" t="str">
        <f>IF(Start!$C$16="x",IF(OR($F258 = "NA",F258=""), "NA", IF(R258= "NA", "NA",(R258+(Data!$D$30*$F258))/(Data!$D$30+1))),"---")</f>
        <v>---</v>
      </c>
      <c r="T258" s="343" t="str">
        <f>IF(Start!$C$16="x",IF(AND(D258= "",E258=""),"",IF(Q258="NA","NA",IF(G258="NA","NA",IF(G258=0,"NA",(Q258/G258))))),"Not Req.")</f>
        <v>Not Req.</v>
      </c>
      <c r="U258" s="343" t="str">
        <f>IF(Start!$C$16="x",IF(AND(D258= "",E258=""),"",IF(S258="NA","NA",IF(G258="NA","NA",IF(G258=0,"NA",(S258/G258))))),"Not Req.")</f>
        <v>Not Req.</v>
      </c>
      <c r="V258" s="11"/>
    </row>
    <row r="259" spans="1:22" s="10" customFormat="1" x14ac:dyDescent="0.25">
      <c r="A259" s="307" t="s">
        <v>577</v>
      </c>
      <c r="B259" s="348" t="str">
        <f>IF(Start!$C$16="x",IF(OR(D259 ="NA",E259="NA"),"NA",IF(AND(D259= "",E259=""),"",IF(AND(D259= "",E259&lt;&gt; ""),"Missing Data",                     IF(AND(D259&lt;&gt; "",E259= ""),"Missing Data",(IF(OR(G259="NA",G259=""),"No Criteria",(IF(AND(Q259="NA",D259&lt;&gt;"NA",G259&lt;&gt;"NA"),                                               "Missing Data",(IF(Q259&lt;G259,"No","Needed")))))))))),"---")</f>
        <v>---</v>
      </c>
      <c r="C259" s="350" t="str">
        <f>IF(Start!$C$16="x",IF(OR(D259 ="NA",E259="NA"),"NA",IF(AND(D259= "",E259=""),"",IF(AND(D259= "",E259&lt;&gt; ""),"Missing Data",                     IF(AND(D259&lt;&gt; "",E259= ""),"Missing Data",(IF(OR(G259="NA",G259=""),"No Criteria",(IF(AND(S259="NA",D259&lt;&gt;"NA",G259&lt;&gt;"NA"),                                               "Missing Data",(IF(S259&lt;G259,"No","Needed")))))))))),"---")</f>
        <v>---</v>
      </c>
      <c r="D259" s="372" t="str">
        <f>IF(TRUE=ISBLANK(ChemData!B259),"",(ChemData!B259))</f>
        <v/>
      </c>
      <c r="E259" s="373" t="str">
        <f>IF(TRUE=ISBLANK(ChemData!C259),"",(ChemData!C259))</f>
        <v/>
      </c>
      <c r="F259" s="374" t="str">
        <f>IF(TRUE=ISBLANK(ChemData!D259),"",(ChemData!D259))</f>
        <v/>
      </c>
      <c r="G259" s="289">
        <f>IF(TRUE=ISBLANK(ChemData!I259),"",(ChemData!I259))</f>
        <v>1.0000000000000001E-5</v>
      </c>
      <c r="H259" s="290">
        <f>IF(TRUE=ISBLANK(ChemData!Q259),"",(ChemData!Q259))</f>
        <v>116790.20446328387</v>
      </c>
      <c r="I259" s="290">
        <f>IF(TRUE=ISBLANK(ChemData!R259),"",(ChemData!R259))</f>
        <v>116790.20446328387</v>
      </c>
      <c r="J259" s="290">
        <f>IF(TRUE=ISBLANK(ChemData!S259),"",(ChemData!S259))</f>
        <v>1</v>
      </c>
      <c r="K259" s="291">
        <f>IF(TRUE=ISBLANK(ChemData!T259),"",(ChemData!T259))</f>
        <v>1</v>
      </c>
      <c r="L259" s="375" t="str">
        <f>IF(Start!$C$16="x",IF(OR(D259="NA",D259=""),"NA", IF(OR($J259 = "NA",J259=""),"NA",(D259*$J259))),"---")</f>
        <v>---</v>
      </c>
      <c r="M259" s="377" t="str">
        <f>IF(Start!$C$16="x",IF(OR(D259="NA",D259=""),"NA", IF(OR($K259 = "NA",K259=""),"NA",(D259*$K259))),"---")</f>
        <v>---</v>
      </c>
      <c r="N259" s="375" t="str">
        <f t="shared" si="10"/>
        <v>---</v>
      </c>
      <c r="O259" s="377" t="str">
        <f t="shared" si="10"/>
        <v>---</v>
      </c>
      <c r="P259" s="461" t="str">
        <f>IF(Start!$C$16="x",(IF(L259 = "NA","NA", (IF(OR($H259 = "NA",H259=""), "NA",(IF(OR(ChemData!U259="NA",ChemData!U259=""),L259/((Data!$D$33+((1-Data!$D$33)*Data!$D$14*$H259))/((1-Data!$D$33)*Data!$D$14*1000)),(IF(L259/((Data!$D$33+((1-Data!$D$33)*Data!$D$14*$H259))/((1-Data!$D$33)*Data!$D$14*1000))&gt;ChemData!U259, ChemData!U259, L259/((Data!$D$33+((1-Data!$D$33)*Data!$D$14*$H259))/((1-Data!$D$33)*Data!$D$14*1000)))))))))),"---")</f>
        <v>---</v>
      </c>
      <c r="Q259" s="376" t="str">
        <f>IF(Start!$C$16="x",IF(OR($F259 = "NA",F259=""), "NA", IF(P259= "NA", "NA",(P259+(Data!$D$30*$F259))/(Data!$D$30+1))),"---")</f>
        <v>---</v>
      </c>
      <c r="R259" s="376" t="str">
        <f>IF(Start!$C$16="x",IF(O259 = "NA","NA", IF(OR($I259 = "NA",I259=""), "NA",(IF(OR(ChemData!U259="NA",ChemData!U259=""),O259/((Data!$D$35+((1-Data!$D$35)*Data!$D$14*$I259))/((1-Data!$D$35)*Data!$D$14*1000)),(IF(O259/((Data!$D$35+((1-Data!$D$35)*Data!$D$14*$I259))/((1-Data!$D$35)*Data!$D$14*1000))&gt;ChemData!U259, ChemData!U259, O259/((Data!$D$35+((1-Data!$D$35)*Data!$D$14*$I259))/((1-Data!$D$35)*Data!$D$14*1000)))))))),"---")</f>
        <v>---</v>
      </c>
      <c r="S259" s="377" t="str">
        <f>IF(Start!$C$16="x",IF(OR($F259 = "NA",F259=""), "NA", IF(R259= "NA", "NA",(R259+(Data!$D$30*$F259))/(Data!$D$30+1))),"---")</f>
        <v>---</v>
      </c>
      <c r="T259" s="343" t="str">
        <f>IF(Start!$C$16="x",IF(AND(D259= "",E259=""),"",IF(Q259="NA","NA",IF(G259="NA","NA",IF(G259=0,"NA",(Q259/G259))))),"Not Req.")</f>
        <v>Not Req.</v>
      </c>
      <c r="U259" s="343" t="str">
        <f>IF(Start!$C$16="x",IF(AND(D259= "",E259=""),"",IF(S259="NA","NA",IF(G259="NA","NA",IF(G259=0,"NA",(S259/G259))))),"Not Req.")</f>
        <v>Not Req.</v>
      </c>
      <c r="V259" s="11"/>
    </row>
    <row r="260" spans="1:22" s="10" customFormat="1" x14ac:dyDescent="0.25">
      <c r="A260" s="307" t="s">
        <v>578</v>
      </c>
      <c r="B260" s="348" t="str">
        <f>IF(Start!$C$16="x",IF(OR(D260 ="NA",E260="NA"),"NA",IF(AND(D260= "",E260=""),"",IF(AND(D260= "",E260&lt;&gt; ""),"Missing Data",                     IF(AND(D260&lt;&gt; "",E260= ""),"Missing Data",(IF(OR(G260="NA",G260=""),"No Criteria",(IF(AND(Q260="NA",D260&lt;&gt;"NA",G260&lt;&gt;"NA"),                                               "Missing Data",(IF(Q260&lt;G260,"No","Needed")))))))))),"---")</f>
        <v>---</v>
      </c>
      <c r="C260" s="350" t="str">
        <f>IF(Start!$C$16="x",IF(OR(D260 ="NA",E260="NA"),"NA",IF(AND(D260= "",E260=""),"",IF(AND(D260= "",E260&lt;&gt; ""),"Missing Data",                     IF(AND(D260&lt;&gt; "",E260= ""),"Missing Data",(IF(OR(G260="NA",G260=""),"No Criteria",(IF(AND(S260="NA",D260&lt;&gt;"NA",G260&lt;&gt;"NA"),                                               "Missing Data",(IF(S260&lt;G260,"No","Needed")))))))))),"---")</f>
        <v>---</v>
      </c>
      <c r="D260" s="372" t="str">
        <f>IF(TRUE=ISBLANK(ChemData!B260),"",(ChemData!B260))</f>
        <v/>
      </c>
      <c r="E260" s="373" t="str">
        <f>IF(TRUE=ISBLANK(ChemData!C260),"",(ChemData!C260))</f>
        <v/>
      </c>
      <c r="F260" s="374" t="str">
        <f>IF(TRUE=ISBLANK(ChemData!D260),"",(ChemData!D260))</f>
        <v/>
      </c>
      <c r="G260" s="289" t="str">
        <f>IF(TRUE=ISBLANK(ChemData!I260),"",(ChemData!I260))</f>
        <v>NA</v>
      </c>
      <c r="H260" s="290">
        <f>IF(TRUE=ISBLANK(ChemData!Q260),"",(ChemData!Q260))</f>
        <v>62720.053301366483</v>
      </c>
      <c r="I260" s="290">
        <f>IF(TRUE=ISBLANK(ChemData!R260),"",(ChemData!R260))</f>
        <v>62720.053301366483</v>
      </c>
      <c r="J260" s="290">
        <f>IF(TRUE=ISBLANK(ChemData!S260),"",(ChemData!S260))</f>
        <v>1</v>
      </c>
      <c r="K260" s="291">
        <f>IF(TRUE=ISBLANK(ChemData!T260),"",(ChemData!T260))</f>
        <v>1</v>
      </c>
      <c r="L260" s="375" t="str">
        <f>IF(Start!$C$16="x",IF(OR(D260="NA",D260=""),"NA", IF(OR($J260 = "NA",J260=""),"NA",(D260*$J260))),"---")</f>
        <v>---</v>
      </c>
      <c r="M260" s="377" t="str">
        <f>IF(Start!$C$16="x",IF(OR(D260="NA",D260=""),"NA", IF(OR($K260 = "NA",K260=""),"NA",(D260*$K260))),"---")</f>
        <v>---</v>
      </c>
      <c r="N260" s="375" t="str">
        <f t="shared" si="10"/>
        <v>---</v>
      </c>
      <c r="O260" s="377" t="str">
        <f t="shared" si="10"/>
        <v>---</v>
      </c>
      <c r="P260" s="461" t="str">
        <f>IF(Start!$C$16="x",(IF(L260 = "NA","NA", (IF(OR($H260 = "NA",H260=""), "NA",(IF(OR(ChemData!U260="NA",ChemData!U260=""),L260/((Data!$D$33+((1-Data!$D$33)*Data!$D$14*$H260))/((1-Data!$D$33)*Data!$D$14*1000)),(IF(L260/((Data!$D$33+((1-Data!$D$33)*Data!$D$14*$H260))/((1-Data!$D$33)*Data!$D$14*1000))&gt;ChemData!U260, ChemData!U260, L260/((Data!$D$33+((1-Data!$D$33)*Data!$D$14*$H260))/((1-Data!$D$33)*Data!$D$14*1000)))))))))),"---")</f>
        <v>---</v>
      </c>
      <c r="Q260" s="376" t="str">
        <f>IF(Start!$C$16="x",IF(OR($F260 = "NA",F260=""), "NA", IF(P260= "NA", "NA",(P260+(Data!$D$30*$F260))/(Data!$D$30+1))),"---")</f>
        <v>---</v>
      </c>
      <c r="R260" s="376" t="str">
        <f>IF(Start!$C$16="x",IF(O260 = "NA","NA", IF(OR($I260 = "NA",I260=""), "NA",(IF(OR(ChemData!U260="NA",ChemData!U260=""),O260/((Data!$D$35+((1-Data!$D$35)*Data!$D$14*$I260))/((1-Data!$D$35)*Data!$D$14*1000)),(IF(O260/((Data!$D$35+((1-Data!$D$35)*Data!$D$14*$I260))/((1-Data!$D$35)*Data!$D$14*1000))&gt;ChemData!U260, ChemData!U260, O260/((Data!$D$35+((1-Data!$D$35)*Data!$D$14*$I260))/((1-Data!$D$35)*Data!$D$14*1000)))))))),"---")</f>
        <v>---</v>
      </c>
      <c r="S260" s="377" t="str">
        <f>IF(Start!$C$16="x",IF(OR($F260 = "NA",F260=""), "NA", IF(R260= "NA", "NA",(R260+(Data!$D$30*$F260))/(Data!$D$30+1))),"---")</f>
        <v>---</v>
      </c>
      <c r="T260" s="343" t="str">
        <f>IF(Start!$C$16="x",IF(AND(D260= "",E260=""),"",IF(Q260="NA","NA",IF(G260="NA","NA",IF(G260=0,"NA",(Q260/G260))))),"Not Req.")</f>
        <v>Not Req.</v>
      </c>
      <c r="U260" s="343" t="str">
        <f>IF(Start!$C$16="x",IF(AND(D260= "",E260=""),"",IF(S260="NA","NA",IF(G260="NA","NA",IF(G260=0,"NA",(S260/G260))))),"Not Req.")</f>
        <v>Not Req.</v>
      </c>
      <c r="V260" s="11"/>
    </row>
    <row r="261" spans="1:22" s="10" customFormat="1" x14ac:dyDescent="0.25">
      <c r="A261" s="307" t="s">
        <v>579</v>
      </c>
      <c r="B261" s="348" t="str">
        <f>IF(Start!$C$16="x",IF(OR(D261 ="NA",E261="NA"),"NA",IF(AND(D261= "",E261=""),"",IF(AND(D261= "",E261&lt;&gt; ""),"Missing Data",                     IF(AND(D261&lt;&gt; "",E261= ""),"Missing Data",(IF(OR(G261="NA",G261=""),"No Criteria",(IF(AND(Q261="NA",D261&lt;&gt;"NA",G261&lt;&gt;"NA"),                                               "Missing Data",(IF(Q261&lt;G261,"No","Needed")))))))))),"---")</f>
        <v>---</v>
      </c>
      <c r="C261" s="350" t="str">
        <f>IF(Start!$C$16="x",IF(OR(D261 ="NA",E261="NA"),"NA",IF(AND(D261= "",E261=""),"",IF(AND(D261= "",E261&lt;&gt; ""),"Missing Data",                     IF(AND(D261&lt;&gt; "",E261= ""),"Missing Data",(IF(OR(G261="NA",G261=""),"No Criteria",(IF(AND(S261="NA",D261&lt;&gt;"NA",G261&lt;&gt;"NA"),                                               "Missing Data",(IF(S261&lt;G261,"No","Needed")))))))))),"---")</f>
        <v>---</v>
      </c>
      <c r="D261" s="372" t="str">
        <f>IF(TRUE=ISBLANK(ChemData!B261),"",(ChemData!B261))</f>
        <v/>
      </c>
      <c r="E261" s="373" t="str">
        <f>IF(TRUE=ISBLANK(ChemData!C261),"",(ChemData!C261))</f>
        <v/>
      </c>
      <c r="F261" s="374" t="str">
        <f>IF(TRUE=ISBLANK(ChemData!D261),"",(ChemData!D261))</f>
        <v/>
      </c>
      <c r="G261" s="289" t="str">
        <f>IF(TRUE=ISBLANK(ChemData!I261),"",(ChemData!I261))</f>
        <v>NA</v>
      </c>
      <c r="H261" s="290">
        <f>IF(TRUE=ISBLANK(ChemData!Q261),"",(ChemData!Q261))</f>
        <v>2933637.299245521</v>
      </c>
      <c r="I261" s="290">
        <f>IF(TRUE=ISBLANK(ChemData!R261),"",(ChemData!R261))</f>
        <v>2933637.299245521</v>
      </c>
      <c r="J261" s="290">
        <f>IF(TRUE=ISBLANK(ChemData!S261),"",(ChemData!S261))</f>
        <v>1</v>
      </c>
      <c r="K261" s="291">
        <f>IF(TRUE=ISBLANK(ChemData!T261),"",(ChemData!T261))</f>
        <v>1</v>
      </c>
      <c r="L261" s="375" t="str">
        <f>IF(Start!$C$16="x",IF(OR(D261="NA",D261=""),"NA", IF(OR($J261 = "NA",J261=""),"NA",(D261*$J261))),"---")</f>
        <v>---</v>
      </c>
      <c r="M261" s="377" t="str">
        <f>IF(Start!$C$16="x",IF(OR(D261="NA",D261=""),"NA", IF(OR($K261 = "NA",K261=""),"NA",(D261*$K261))),"---")</f>
        <v>---</v>
      </c>
      <c r="N261" s="375" t="str">
        <f t="shared" si="10"/>
        <v>---</v>
      </c>
      <c r="O261" s="377" t="str">
        <f t="shared" si="10"/>
        <v>---</v>
      </c>
      <c r="P261" s="461" t="str">
        <f>IF(Start!$C$16="x",(IF(L261 = "NA","NA", (IF(OR($H261 = "NA",H261=""), "NA",(IF(OR(ChemData!U261="NA",ChemData!U261=""),L261/((Data!$D$33+((1-Data!$D$33)*Data!$D$14*$H261))/((1-Data!$D$33)*Data!$D$14*1000)),(IF(L261/((Data!$D$33+((1-Data!$D$33)*Data!$D$14*$H261))/((1-Data!$D$33)*Data!$D$14*1000))&gt;ChemData!U261, ChemData!U261, L261/((Data!$D$33+((1-Data!$D$33)*Data!$D$14*$H261))/((1-Data!$D$33)*Data!$D$14*1000)))))))))),"---")</f>
        <v>---</v>
      </c>
      <c r="Q261" s="376" t="str">
        <f>IF(Start!$C$16="x",IF(OR($F261 = "NA",F261=""), "NA", IF(P261= "NA", "NA",(P261+(Data!$D$30*$F261))/(Data!$D$30+1))),"---")</f>
        <v>---</v>
      </c>
      <c r="R261" s="376" t="str">
        <f>IF(Start!$C$16="x",IF(O261 = "NA","NA", IF(OR($I261 = "NA",I261=""), "NA",(IF(OR(ChemData!U261="NA",ChemData!U261=""),O261/((Data!$D$35+((1-Data!$D$35)*Data!$D$14*$I261))/((1-Data!$D$35)*Data!$D$14*1000)),(IF(O261/((Data!$D$35+((1-Data!$D$35)*Data!$D$14*$I261))/((1-Data!$D$35)*Data!$D$14*1000))&gt;ChemData!U261, ChemData!U261, O261/((Data!$D$35+((1-Data!$D$35)*Data!$D$14*$I261))/((1-Data!$D$35)*Data!$D$14*1000)))))))),"---")</f>
        <v>---</v>
      </c>
      <c r="S261" s="377" t="str">
        <f>IF(Start!$C$16="x",IF(OR($F261 = "NA",F261=""), "NA", IF(R261= "NA", "NA",(R261+(Data!$D$30*$F261))/(Data!$D$30+1))),"---")</f>
        <v>---</v>
      </c>
      <c r="T261" s="343" t="str">
        <f>IF(Start!$C$16="x",IF(AND(D261= "",E261=""),"",IF(Q261="NA","NA",IF(G261="NA","NA",IF(G261=0,"NA",(Q261/G261))))),"Not Req.")</f>
        <v>Not Req.</v>
      </c>
      <c r="U261" s="343" t="str">
        <f>IF(Start!$C$16="x",IF(AND(D261= "",E261=""),"",IF(S261="NA","NA",IF(G261="NA","NA",IF(G261=0,"NA",(S261/G261))))),"Not Req.")</f>
        <v>Not Req.</v>
      </c>
      <c r="V261" s="11"/>
    </row>
    <row r="262" spans="1:22" s="10" customFormat="1" x14ac:dyDescent="0.25">
      <c r="A262" s="307" t="s">
        <v>580</v>
      </c>
      <c r="B262" s="348" t="str">
        <f>IF(Start!$C$16="x",IF(OR(D262 ="NA",E262="NA"),"NA",IF(AND(D262= "",E262=""),"",IF(AND(D262= "",E262&lt;&gt; ""),"Missing Data",                     IF(AND(D262&lt;&gt; "",E262= ""),"Missing Data",(IF(OR(G262="NA",G262=""),"No Criteria",(IF(AND(Q262="NA",D262&lt;&gt;"NA",G262&lt;&gt;"NA"),                                               "Missing Data",(IF(Q262&lt;G262,"No","Needed")))))))))),"---")</f>
        <v>---</v>
      </c>
      <c r="C262" s="350" t="str">
        <f>IF(Start!$C$16="x",IF(OR(D262 ="NA",E262="NA"),"NA",IF(AND(D262= "",E262=""),"",IF(AND(D262= "",E262&lt;&gt; ""),"Missing Data",                     IF(AND(D262&lt;&gt; "",E262= ""),"Missing Data",(IF(OR(G262="NA",G262=""),"No Criteria",(IF(AND(S262="NA",D262&lt;&gt;"NA",G262&lt;&gt;"NA"),                                               "Missing Data",(IF(S262&lt;G262,"No","Needed")))))))))),"---")</f>
        <v>---</v>
      </c>
      <c r="D262" s="372" t="str">
        <f>IF(TRUE=ISBLANK(ChemData!B262),"",(ChemData!B262))</f>
        <v/>
      </c>
      <c r="E262" s="373" t="str">
        <f>IF(TRUE=ISBLANK(ChemData!C262),"",(ChemData!C262))</f>
        <v/>
      </c>
      <c r="F262" s="374" t="str">
        <f>IF(TRUE=ISBLANK(ChemData!D262),"",(ChemData!D262))</f>
        <v/>
      </c>
      <c r="G262" s="289" t="str">
        <f>IF(TRUE=ISBLANK(ChemData!I262),"",(ChemData!I262))</f>
        <v>NA</v>
      </c>
      <c r="H262" s="290">
        <f>IF(TRUE=ISBLANK(ChemData!Q262),"",(ChemData!Q262))</f>
        <v>1851000</v>
      </c>
      <c r="I262" s="290">
        <f>IF(TRUE=ISBLANK(ChemData!R262),"",(ChemData!R262))</f>
        <v>1851000</v>
      </c>
      <c r="J262" s="290">
        <f>IF(TRUE=ISBLANK(ChemData!S262),"",(ChemData!S262))</f>
        <v>1</v>
      </c>
      <c r="K262" s="291">
        <f>IF(TRUE=ISBLANK(ChemData!T262),"",(ChemData!T262))</f>
        <v>1</v>
      </c>
      <c r="L262" s="375" t="str">
        <f>IF(Start!$C$16="x",IF(OR(D262="NA",D262=""),"NA", IF(OR($J262 = "NA",J262=""),"NA",(D262*$J262))),"---")</f>
        <v>---</v>
      </c>
      <c r="M262" s="377" t="str">
        <f>IF(Start!$C$16="x",IF(OR(D262="NA",D262=""),"NA", IF(OR($K262 = "NA",K262=""),"NA",(D262*$K262))),"---")</f>
        <v>---</v>
      </c>
      <c r="N262" s="375" t="str">
        <f t="shared" si="10"/>
        <v>---</v>
      </c>
      <c r="O262" s="377" t="str">
        <f t="shared" si="10"/>
        <v>---</v>
      </c>
      <c r="P262" s="461" t="str">
        <f>IF(Start!$C$16="x",(IF(L262 = "NA","NA", (IF(OR($H262 = "NA",H262=""), "NA",(IF(OR(ChemData!U262="NA",ChemData!U262=""),L262/((Data!$D$33+((1-Data!$D$33)*Data!$D$14*$H262))/((1-Data!$D$33)*Data!$D$14*1000)),(IF(L262/((Data!$D$33+((1-Data!$D$33)*Data!$D$14*$H262))/((1-Data!$D$33)*Data!$D$14*1000))&gt;ChemData!U262, ChemData!U262, L262/((Data!$D$33+((1-Data!$D$33)*Data!$D$14*$H262))/((1-Data!$D$33)*Data!$D$14*1000)))))))))),"---")</f>
        <v>---</v>
      </c>
      <c r="Q262" s="376" t="str">
        <f>IF(Start!$C$16="x",IF(OR($F262 = "NA",F262=""), "NA", IF(P262= "NA", "NA",(P262+(Data!$D$30*$F262))/(Data!$D$30+1))),"---")</f>
        <v>---</v>
      </c>
      <c r="R262" s="376" t="str">
        <f>IF(Start!$C$16="x",IF(O262 = "NA","NA", IF(OR($I262 = "NA",I262=""), "NA",(IF(OR(ChemData!U262="NA",ChemData!U262=""),O262/((Data!$D$35+((1-Data!$D$35)*Data!$D$14*$I262))/((1-Data!$D$35)*Data!$D$14*1000)),(IF(O262/((Data!$D$35+((1-Data!$D$35)*Data!$D$14*$I262))/((1-Data!$D$35)*Data!$D$14*1000))&gt;ChemData!U262, ChemData!U262, O262/((Data!$D$35+((1-Data!$D$35)*Data!$D$14*$I262))/((1-Data!$D$35)*Data!$D$14*1000)))))))),"---")</f>
        <v>---</v>
      </c>
      <c r="S262" s="377" t="str">
        <f>IF(Start!$C$16="x",IF(OR($F262 = "NA",F262=""), "NA", IF(R262= "NA", "NA",(R262+(Data!$D$30*$F262))/(Data!$D$30+1))),"---")</f>
        <v>---</v>
      </c>
      <c r="T262" s="343" t="str">
        <f>IF(Start!$C$16="x",IF(AND(D262= "",E262=""),"",IF(Q262="NA","NA",IF(G262="NA","NA",IF(G262=0,"NA",(Q262/G262))))),"Not Req.")</f>
        <v>Not Req.</v>
      </c>
      <c r="U262" s="343" t="str">
        <f>IF(Start!$C$16="x",IF(AND(D262= "",E262=""),"",IF(S262="NA","NA",IF(G262="NA","NA",IF(G262=0,"NA",(S262/G262))))),"Not Req.")</f>
        <v>Not Req.</v>
      </c>
      <c r="V262" s="11"/>
    </row>
    <row r="263" spans="1:22" s="10" customFormat="1" x14ac:dyDescent="0.25">
      <c r="A263" s="307" t="s">
        <v>581</v>
      </c>
      <c r="B263" s="348" t="str">
        <f>IF(Start!$C$16="x",IF(OR(D263 ="NA",E263="NA"),"NA",IF(AND(D263= "",E263=""),"",IF(AND(D263= "",E263&lt;&gt; ""),"Missing Data",                     IF(AND(D263&lt;&gt; "",E263= ""),"Missing Data",(IF(OR(G263="NA",G263=""),"No Criteria",(IF(AND(Q263="NA",D263&lt;&gt;"NA",G263&lt;&gt;"NA"),                                               "Missing Data",(IF(Q263&lt;G263,"No","Needed")))))))))),"---")</f>
        <v>---</v>
      </c>
      <c r="C263" s="350" t="str">
        <f>IF(Start!$C$16="x",IF(OR(D263 ="NA",E263="NA"),"NA",IF(AND(D263= "",E263=""),"",IF(AND(D263= "",E263&lt;&gt; ""),"Missing Data",                     IF(AND(D263&lt;&gt; "",E263= ""),"Missing Data",(IF(OR(G263="NA",G263=""),"No Criteria",(IF(AND(S263="NA",D263&lt;&gt;"NA",G263&lt;&gt;"NA"),                                               "Missing Data",(IF(S263&lt;G263,"No","Needed")))))))))),"---")</f>
        <v>---</v>
      </c>
      <c r="D263" s="372" t="str">
        <f>IF(TRUE=ISBLANK(ChemData!B263),"",(ChemData!B263))</f>
        <v/>
      </c>
      <c r="E263" s="373" t="str">
        <f>IF(TRUE=ISBLANK(ChemData!C263),"",(ChemData!C263))</f>
        <v/>
      </c>
      <c r="F263" s="374" t="str">
        <f>IF(TRUE=ISBLANK(ChemData!D263),"",(ChemData!D263))</f>
        <v/>
      </c>
      <c r="G263" s="289" t="str">
        <f>IF(TRUE=ISBLANK(ChemData!I263),"",(ChemData!I263))</f>
        <v>NA</v>
      </c>
      <c r="H263" s="290" t="str">
        <f>IF(TRUE=ISBLANK(ChemData!Q263),"",(ChemData!Q263))</f>
        <v>NA</v>
      </c>
      <c r="I263" s="290" t="str">
        <f>IF(TRUE=ISBLANK(ChemData!R263),"",(ChemData!R263))</f>
        <v>NA</v>
      </c>
      <c r="J263" s="290">
        <f>IF(TRUE=ISBLANK(ChemData!S263),"",(ChemData!S263))</f>
        <v>1</v>
      </c>
      <c r="K263" s="291">
        <f>IF(TRUE=ISBLANK(ChemData!T263),"",(ChemData!T263))</f>
        <v>1</v>
      </c>
      <c r="L263" s="375" t="str">
        <f>IF(Start!$C$16="x",IF(OR(D263="NA",D263=""),"NA", IF(OR($J263 = "NA",J263=""),"NA",(D263*$J263))),"---")</f>
        <v>---</v>
      </c>
      <c r="M263" s="377" t="str">
        <f>IF(Start!$C$16="x",IF(OR(D263="NA",D263=""),"NA", IF(OR($K263 = "NA",K263=""),"NA",(D263*$K263))),"---")</f>
        <v>---</v>
      </c>
      <c r="N263" s="375" t="str">
        <f t="shared" si="10"/>
        <v>---</v>
      </c>
      <c r="O263" s="377" t="str">
        <f t="shared" si="10"/>
        <v>---</v>
      </c>
      <c r="P263" s="461" t="str">
        <f>IF(Start!$C$16="x",(IF(L263 = "NA","NA", (IF(OR($H263 = "NA",H263=""), "NA",(IF(OR(ChemData!U263="NA",ChemData!U263=""),L263/((Data!$D$33+((1-Data!$D$33)*Data!$D$14*$H263))/((1-Data!$D$33)*Data!$D$14*1000)),(IF(L263/((Data!$D$33+((1-Data!$D$33)*Data!$D$14*$H263))/((1-Data!$D$33)*Data!$D$14*1000))&gt;ChemData!U263, ChemData!U263, L263/((Data!$D$33+((1-Data!$D$33)*Data!$D$14*$H263))/((1-Data!$D$33)*Data!$D$14*1000)))))))))),"---")</f>
        <v>---</v>
      </c>
      <c r="Q263" s="376" t="str">
        <f>IF(Start!$C$16="x",IF(OR($F263 = "NA",F263=""), "NA", IF(P263= "NA", "NA",(P263+(Data!$D$30*$F263))/(Data!$D$30+1))),"---")</f>
        <v>---</v>
      </c>
      <c r="R263" s="376" t="str">
        <f>IF(Start!$C$16="x",IF(O263 = "NA","NA", IF(OR($I263 = "NA",I263=""), "NA",(IF(OR(ChemData!U263="NA",ChemData!U263=""),O263/((Data!$D$35+((1-Data!$D$35)*Data!$D$14*$I263))/((1-Data!$D$35)*Data!$D$14*1000)),(IF(O263/((Data!$D$35+((1-Data!$D$35)*Data!$D$14*$I263))/((1-Data!$D$35)*Data!$D$14*1000))&gt;ChemData!U263, ChemData!U263, O263/((Data!$D$35+((1-Data!$D$35)*Data!$D$14*$I263))/((1-Data!$D$35)*Data!$D$14*1000)))))))),"---")</f>
        <v>---</v>
      </c>
      <c r="S263" s="377" t="str">
        <f>IF(Start!$C$16="x",IF(OR($F263 = "NA",F263=""), "NA", IF(R263= "NA", "NA",(R263+(Data!$D$30*$F263))/(Data!$D$30+1))),"---")</f>
        <v>---</v>
      </c>
      <c r="T263" s="343" t="str">
        <f>IF(Start!$C$16="x",IF(AND(D263= "",E263=""),"",IF(Q263="NA","NA",IF(G263="NA","NA",IF(G263=0,"NA",(Q263/G263))))),"Not Req.")</f>
        <v>Not Req.</v>
      </c>
      <c r="U263" s="343" t="str">
        <f>IF(Start!$C$16="x",IF(AND(D263= "",E263=""),"",IF(S263="NA","NA",IF(G263="NA","NA",IF(G263=0,"NA",(S263/G263))))),"Not Req.")</f>
        <v>Not Req.</v>
      </c>
      <c r="V263" s="11"/>
    </row>
    <row r="264" spans="1:22" s="10" customFormat="1" x14ac:dyDescent="0.25">
      <c r="A264" s="307" t="s">
        <v>582</v>
      </c>
      <c r="B264" s="348" t="str">
        <f>IF(Start!$C$16="x",IF(OR(D264 ="NA",E264="NA"),"NA",IF(AND(D264= "",E264=""),"",IF(AND(D264= "",E264&lt;&gt; ""),"Missing Data",                     IF(AND(D264&lt;&gt; "",E264= ""),"Missing Data",(IF(OR(G264="NA",G264=""),"No Criteria",(IF(AND(Q264="NA",D264&lt;&gt;"NA",G264&lt;&gt;"NA"),                                               "Missing Data",(IF(Q264&lt;G264,"No","Needed")))))))))),"---")</f>
        <v>---</v>
      </c>
      <c r="C264" s="350" t="str">
        <f>IF(Start!$C$16="x",IF(OR(D264 ="NA",E264="NA"),"NA",IF(AND(D264= "",E264=""),"",IF(AND(D264= "",E264&lt;&gt; ""),"Missing Data",                     IF(AND(D264&lt;&gt; "",E264= ""),"Missing Data",(IF(OR(G264="NA",G264=""),"No Criteria",(IF(AND(S264="NA",D264&lt;&gt;"NA",G264&lt;&gt;"NA"),                                               "Missing Data",(IF(S264&lt;G264,"No","Needed")))))))))),"---")</f>
        <v>---</v>
      </c>
      <c r="D264" s="372" t="str">
        <f>IF(TRUE=ISBLANK(ChemData!B264),"",(ChemData!B264))</f>
        <v/>
      </c>
      <c r="E264" s="373" t="str">
        <f>IF(TRUE=ISBLANK(ChemData!C264),"",(ChemData!C264))</f>
        <v/>
      </c>
      <c r="F264" s="374" t="str">
        <f>IF(TRUE=ISBLANK(ChemData!D264),"",(ChemData!D264))</f>
        <v/>
      </c>
      <c r="G264" s="289" t="str">
        <f>IF(TRUE=ISBLANK(ChemData!I264),"",(ChemData!I264))</f>
        <v>NA</v>
      </c>
      <c r="H264" s="290" t="str">
        <f>IF(TRUE=ISBLANK(ChemData!Q264),"",(ChemData!Q264))</f>
        <v>NA</v>
      </c>
      <c r="I264" s="290" t="str">
        <f>IF(TRUE=ISBLANK(ChemData!R264),"",(ChemData!R264))</f>
        <v>NA</v>
      </c>
      <c r="J264" s="290">
        <f>IF(TRUE=ISBLANK(ChemData!S264),"",(ChemData!S264))</f>
        <v>1</v>
      </c>
      <c r="K264" s="291">
        <f>IF(TRUE=ISBLANK(ChemData!T264),"",(ChemData!T264))</f>
        <v>1</v>
      </c>
      <c r="L264" s="375" t="str">
        <f>IF(Start!$C$16="x",IF(OR(D264="NA",D264=""),"NA", IF(OR($J264 = "NA",J264=""),"NA",(D264*$J264))),"---")</f>
        <v>---</v>
      </c>
      <c r="M264" s="377" t="str">
        <f>IF(Start!$C$16="x",IF(OR(D264="NA",D264=""),"NA", IF(OR($K264 = "NA",K264=""),"NA",(D264*$K264))),"---")</f>
        <v>---</v>
      </c>
      <c r="N264" s="375" t="str">
        <f t="shared" si="10"/>
        <v>---</v>
      </c>
      <c r="O264" s="377" t="str">
        <f t="shared" si="10"/>
        <v>---</v>
      </c>
      <c r="P264" s="461" t="str">
        <f>IF(Start!$C$16="x",(IF(L264 = "NA","NA", (IF(OR($H264 = "NA",H264=""), "NA",(IF(OR(ChemData!U264="NA",ChemData!U264=""),L264/((Data!$D$33+((1-Data!$D$33)*Data!$D$14*$H264))/((1-Data!$D$33)*Data!$D$14*1000)),(IF(L264/((Data!$D$33+((1-Data!$D$33)*Data!$D$14*$H264))/((1-Data!$D$33)*Data!$D$14*1000))&gt;ChemData!U264, ChemData!U264, L264/((Data!$D$33+((1-Data!$D$33)*Data!$D$14*$H264))/((1-Data!$D$33)*Data!$D$14*1000)))))))))),"---")</f>
        <v>---</v>
      </c>
      <c r="Q264" s="376" t="str">
        <f>IF(Start!$C$16="x",IF(OR($F264 = "NA",F264=""), "NA", IF(P264= "NA", "NA",(P264+(Data!$D$30*$F264))/(Data!$D$30+1))),"---")</f>
        <v>---</v>
      </c>
      <c r="R264" s="376" t="str">
        <f>IF(Start!$C$16="x",IF(O264 = "NA","NA", IF(OR($I264 = "NA",I264=""), "NA",(IF(OR(ChemData!U264="NA",ChemData!U264=""),O264/((Data!$D$35+((1-Data!$D$35)*Data!$D$14*$I264))/((1-Data!$D$35)*Data!$D$14*1000)),(IF(O264/((Data!$D$35+((1-Data!$D$35)*Data!$D$14*$I264))/((1-Data!$D$35)*Data!$D$14*1000))&gt;ChemData!U264, ChemData!U264, O264/((Data!$D$35+((1-Data!$D$35)*Data!$D$14*$I264))/((1-Data!$D$35)*Data!$D$14*1000)))))))),"---")</f>
        <v>---</v>
      </c>
      <c r="S264" s="377" t="str">
        <f>IF(Start!$C$16="x",IF(OR($F264 = "NA",F264=""), "NA", IF(R264= "NA", "NA",(R264+(Data!$D$30*$F264))/(Data!$D$30+1))),"---")</f>
        <v>---</v>
      </c>
      <c r="T264" s="343" t="str">
        <f>IF(Start!$C$16="x",IF(AND(D264= "",E264=""),"",IF(Q264="NA","NA",IF(G264="NA","NA",IF(G264=0,"NA",(Q264/G264))))),"Not Req.")</f>
        <v>Not Req.</v>
      </c>
      <c r="U264" s="343" t="str">
        <f>IF(Start!$C$16="x",IF(AND(D264= "",E264=""),"",IF(S264="NA","NA",IF(G264="NA","NA",IF(G264=0,"NA",(S264/G264))))),"Not Req.")</f>
        <v>Not Req.</v>
      </c>
      <c r="V264" s="11"/>
    </row>
    <row r="265" spans="1:22" s="10" customFormat="1" x14ac:dyDescent="0.25">
      <c r="A265" s="307" t="s">
        <v>583</v>
      </c>
      <c r="B265" s="348" t="str">
        <f>IF(Start!$C$16="x",IF(OR(D265 ="NA",E265="NA"),"NA",IF(AND(D265= "",E265=""),"",IF(AND(D265= "",E265&lt;&gt; ""),"Missing Data",                     IF(AND(D265&lt;&gt; "",E265= ""),"Missing Data",(IF(OR(G265="NA",G265=""),"No Criteria",(IF(AND(Q265="NA",D265&lt;&gt;"NA",G265&lt;&gt;"NA"),                                               "Missing Data",(IF(Q265&lt;G265,"No","Needed")))))))))),"---")</f>
        <v>---</v>
      </c>
      <c r="C265" s="350" t="str">
        <f>IF(Start!$C$16="x",IF(OR(D265 ="NA",E265="NA"),"NA",IF(AND(D265= "",E265=""),"",IF(AND(D265= "",E265&lt;&gt; ""),"Missing Data",                     IF(AND(D265&lt;&gt; "",E265= ""),"Missing Data",(IF(OR(G265="NA",G265=""),"No Criteria",(IF(AND(S265="NA",D265&lt;&gt;"NA",G265&lt;&gt;"NA"),                                               "Missing Data",(IF(S265&lt;G265,"No","Needed")))))))))),"---")</f>
        <v>---</v>
      </c>
      <c r="D265" s="372" t="str">
        <f>IF(TRUE=ISBLANK(ChemData!B265),"",(ChemData!B265))</f>
        <v/>
      </c>
      <c r="E265" s="373" t="str">
        <f>IF(TRUE=ISBLANK(ChemData!C265),"",(ChemData!C265))</f>
        <v/>
      </c>
      <c r="F265" s="374" t="str">
        <f>IF(TRUE=ISBLANK(ChemData!D265),"",(ChemData!D265))</f>
        <v/>
      </c>
      <c r="G265" s="289" t="str">
        <f>IF(TRUE=ISBLANK(ChemData!I265),"",(ChemData!I265))</f>
        <v>NA</v>
      </c>
      <c r="H265" s="290" t="str">
        <f>IF(TRUE=ISBLANK(ChemData!Q265),"",(ChemData!Q265))</f>
        <v>NA</v>
      </c>
      <c r="I265" s="290" t="str">
        <f>IF(TRUE=ISBLANK(ChemData!R265),"",(ChemData!R265))</f>
        <v>NA</v>
      </c>
      <c r="J265" s="290">
        <f>IF(TRUE=ISBLANK(ChemData!S265),"",(ChemData!S265))</f>
        <v>1</v>
      </c>
      <c r="K265" s="291">
        <f>IF(TRUE=ISBLANK(ChemData!T265),"",(ChemData!T265))</f>
        <v>1</v>
      </c>
      <c r="L265" s="375" t="str">
        <f>IF(Start!$C$16="x",IF(OR(D265="NA",D265=""),"NA", IF(OR($J265 = "NA",J265=""),"NA",(D265*$J265))),"---")</f>
        <v>---</v>
      </c>
      <c r="M265" s="377" t="str">
        <f>IF(Start!$C$16="x",IF(OR(D265="NA",D265=""),"NA", IF(OR($K265 = "NA",K265=""),"NA",(D265*$K265))),"---")</f>
        <v>---</v>
      </c>
      <c r="N265" s="375" t="str">
        <f t="shared" si="10"/>
        <v>---</v>
      </c>
      <c r="O265" s="377" t="str">
        <f t="shared" si="10"/>
        <v>---</v>
      </c>
      <c r="P265" s="461" t="str">
        <f>IF(Start!$C$16="x",(IF(L265 = "NA","NA", (IF(OR($H265 = "NA",H265=""), "NA",(IF(OR(ChemData!U265="NA",ChemData!U265=""),L265/((Data!$D$33+((1-Data!$D$33)*Data!$D$14*$H265))/((1-Data!$D$33)*Data!$D$14*1000)),(IF(L265/((Data!$D$33+((1-Data!$D$33)*Data!$D$14*$H265))/((1-Data!$D$33)*Data!$D$14*1000))&gt;ChemData!U265, ChemData!U265, L265/((Data!$D$33+((1-Data!$D$33)*Data!$D$14*$H265))/((1-Data!$D$33)*Data!$D$14*1000)))))))))),"---")</f>
        <v>---</v>
      </c>
      <c r="Q265" s="376" t="str">
        <f>IF(Start!$C$16="x",IF(OR($F265 = "NA",F265=""), "NA", IF(P265= "NA", "NA",(P265+(Data!$D$30*$F265))/(Data!$D$30+1))),"---")</f>
        <v>---</v>
      </c>
      <c r="R265" s="376" t="str">
        <f>IF(Start!$C$16="x",IF(O265 = "NA","NA", IF(OR($I265 = "NA",I265=""), "NA",(IF(OR(ChemData!U265="NA",ChemData!U265=""),O265/((Data!$D$35+((1-Data!$D$35)*Data!$D$14*$I265))/((1-Data!$D$35)*Data!$D$14*1000)),(IF(O265/((Data!$D$35+((1-Data!$D$35)*Data!$D$14*$I265))/((1-Data!$D$35)*Data!$D$14*1000))&gt;ChemData!U265, ChemData!U265, O265/((Data!$D$35+((1-Data!$D$35)*Data!$D$14*$I265))/((1-Data!$D$35)*Data!$D$14*1000)))))))),"---")</f>
        <v>---</v>
      </c>
      <c r="S265" s="377" t="str">
        <f>IF(Start!$C$16="x",IF(OR($F265 = "NA",F265=""), "NA", IF(R265= "NA", "NA",(R265+(Data!$D$30*$F265))/(Data!$D$30+1))),"---")</f>
        <v>---</v>
      </c>
      <c r="T265" s="343" t="str">
        <f>IF(Start!$C$16="x",IF(AND(D265= "",E265=""),"",IF(Q265="NA","NA",IF(G265="NA","NA",IF(G265=0,"NA",(Q265/G265))))),"Not Req.")</f>
        <v>Not Req.</v>
      </c>
      <c r="U265" s="343" t="str">
        <f>IF(Start!$C$16="x",IF(AND(D265= "",E265=""),"",IF(S265="NA","NA",IF(G265="NA","NA",IF(G265=0,"NA",(S265/G265))))),"Not Req.")</f>
        <v>Not Req.</v>
      </c>
      <c r="V265" s="11"/>
    </row>
    <row r="266" spans="1:22" s="10" customFormat="1" x14ac:dyDescent="0.25">
      <c r="A266" s="307" t="s">
        <v>584</v>
      </c>
      <c r="B266" s="348" t="str">
        <f>IF(Start!$C$16="x",IF(OR(D266 ="NA",E266="NA"),"NA",IF(AND(D266= "",E266=""),"",IF(AND(D266= "",E266&lt;&gt; ""),"Missing Data",                     IF(AND(D266&lt;&gt; "",E266= ""),"Missing Data",(IF(OR(G266="NA",G266=""),"No Criteria",(IF(AND(Q266="NA",D266&lt;&gt;"NA",G266&lt;&gt;"NA"),                                               "Missing Data",(IF(Q266&lt;G266,"No","Needed")))))))))),"---")</f>
        <v>---</v>
      </c>
      <c r="C266" s="350" t="str">
        <f>IF(Start!$C$16="x",IF(OR(D266 ="NA",E266="NA"),"NA",IF(AND(D266= "",E266=""),"",IF(AND(D266= "",E266&lt;&gt; ""),"Missing Data",                     IF(AND(D266&lt;&gt; "",E266= ""),"Missing Data",(IF(OR(G266="NA",G266=""),"No Criteria",(IF(AND(S266="NA",D266&lt;&gt;"NA",G266&lt;&gt;"NA"),                                               "Missing Data",(IF(S266&lt;G266,"No","Needed")))))))))),"---")</f>
        <v>---</v>
      </c>
      <c r="D266" s="372" t="str">
        <f>IF(TRUE=ISBLANK(ChemData!B266),"",(ChemData!B266))</f>
        <v/>
      </c>
      <c r="E266" s="373" t="str">
        <f>IF(TRUE=ISBLANK(ChemData!C266),"",(ChemData!C266))</f>
        <v/>
      </c>
      <c r="F266" s="374" t="str">
        <f>IF(TRUE=ISBLANK(ChemData!D266),"",(ChemData!D266))</f>
        <v/>
      </c>
      <c r="G266" s="289" t="str">
        <f>IF(TRUE=ISBLANK(ChemData!I266),"",(ChemData!I266))</f>
        <v>NA</v>
      </c>
      <c r="H266" s="290" t="str">
        <f>IF(TRUE=ISBLANK(ChemData!Q266),"",(ChemData!Q266))</f>
        <v>NA</v>
      </c>
      <c r="I266" s="290" t="str">
        <f>IF(TRUE=ISBLANK(ChemData!R266),"",(ChemData!R266))</f>
        <v>NA</v>
      </c>
      <c r="J266" s="290">
        <f>IF(TRUE=ISBLANK(ChemData!S266),"",(ChemData!S266))</f>
        <v>1</v>
      </c>
      <c r="K266" s="291">
        <f>IF(TRUE=ISBLANK(ChemData!T266),"",(ChemData!T266))</f>
        <v>1</v>
      </c>
      <c r="L266" s="375" t="str">
        <f>IF(Start!$C$16="x",IF(OR(D266="NA",D266=""),"NA", IF(OR($J266 = "NA",J266=""),"NA",(D266*$J266))),"---")</f>
        <v>---</v>
      </c>
      <c r="M266" s="377" t="str">
        <f>IF(Start!$C$16="x",IF(OR(D266="NA",D266=""),"NA", IF(OR($K266 = "NA",K266=""),"NA",(D266*$K266))),"---")</f>
        <v>---</v>
      </c>
      <c r="N266" s="375" t="str">
        <f t="shared" si="10"/>
        <v>---</v>
      </c>
      <c r="O266" s="377" t="str">
        <f t="shared" si="10"/>
        <v>---</v>
      </c>
      <c r="P266" s="461" t="str">
        <f>IF(Start!$C$16="x",(IF(L266 = "NA","NA", (IF(OR($H266 = "NA",H266=""), "NA",(IF(OR(ChemData!U266="NA",ChemData!U266=""),L266/((Data!$D$33+((1-Data!$D$33)*Data!$D$14*$H266))/((1-Data!$D$33)*Data!$D$14*1000)),(IF(L266/((Data!$D$33+((1-Data!$D$33)*Data!$D$14*$H266))/((1-Data!$D$33)*Data!$D$14*1000))&gt;ChemData!U266, ChemData!U266, L266/((Data!$D$33+((1-Data!$D$33)*Data!$D$14*$H266))/((1-Data!$D$33)*Data!$D$14*1000)))))))))),"---")</f>
        <v>---</v>
      </c>
      <c r="Q266" s="376" t="str">
        <f>IF(Start!$C$16="x",IF(OR($F266 = "NA",F266=""), "NA", IF(P266= "NA", "NA",(P266+(Data!$D$30*$F266))/(Data!$D$30+1))),"---")</f>
        <v>---</v>
      </c>
      <c r="R266" s="376" t="str">
        <f>IF(Start!$C$16="x",IF(O266 = "NA","NA", IF(OR($I266 = "NA",I266=""), "NA",(IF(OR(ChemData!U266="NA",ChemData!U266=""),O266/((Data!$D$35+((1-Data!$D$35)*Data!$D$14*$I266))/((1-Data!$D$35)*Data!$D$14*1000)),(IF(O266/((Data!$D$35+((1-Data!$D$35)*Data!$D$14*$I266))/((1-Data!$D$35)*Data!$D$14*1000))&gt;ChemData!U266, ChemData!U266, O266/((Data!$D$35+((1-Data!$D$35)*Data!$D$14*$I266))/((1-Data!$D$35)*Data!$D$14*1000)))))))),"---")</f>
        <v>---</v>
      </c>
      <c r="S266" s="377" t="str">
        <f>IF(Start!$C$16="x",IF(OR($F266 = "NA",F266=""), "NA", IF(R266= "NA", "NA",(R266+(Data!$D$30*$F266))/(Data!$D$30+1))),"---")</f>
        <v>---</v>
      </c>
      <c r="T266" s="343" t="str">
        <f>IF(Start!$C$16="x",IF(AND(D266= "",E266=""),"",IF(Q266="NA","NA",IF(G266="NA","NA",IF(G266=0,"NA",(Q266/G266))))),"Not Req.")</f>
        <v>Not Req.</v>
      </c>
      <c r="U266" s="343" t="str">
        <f>IF(Start!$C$16="x",IF(AND(D266= "",E266=""),"",IF(S266="NA","NA",IF(G266="NA","NA",IF(G266=0,"NA",(S266/G266))))),"Not Req.")</f>
        <v>Not Req.</v>
      </c>
      <c r="V266" s="11"/>
    </row>
    <row r="267" spans="1:22" s="10" customFormat="1" x14ac:dyDescent="0.25">
      <c r="A267" s="307" t="s">
        <v>585</v>
      </c>
      <c r="B267" s="348" t="str">
        <f>IF(Start!$C$16="x",IF(OR(D267 ="NA",E267="NA"),"NA",IF(AND(D267= "",E267=""),"",IF(AND(D267= "",E267&lt;&gt; ""),"Missing Data",                     IF(AND(D267&lt;&gt; "",E267= ""),"Missing Data",(IF(OR(G267="NA",G267=""),"No Criteria",(IF(AND(Q267="NA",D267&lt;&gt;"NA",G267&lt;&gt;"NA"),                                               "Missing Data",(IF(Q267&lt;G267,"No","Needed")))))))))),"---")</f>
        <v>---</v>
      </c>
      <c r="C267" s="350" t="str">
        <f>IF(Start!$C$16="x",IF(OR(D267 ="NA",E267="NA"),"NA",IF(AND(D267= "",E267=""),"",IF(AND(D267= "",E267&lt;&gt; ""),"Missing Data",                     IF(AND(D267&lt;&gt; "",E267= ""),"Missing Data",(IF(OR(G267="NA",G267=""),"No Criteria",(IF(AND(S267="NA",D267&lt;&gt;"NA",G267&lt;&gt;"NA"),                                               "Missing Data",(IF(S267&lt;G267,"No","Needed")))))))))),"---")</f>
        <v>---</v>
      </c>
      <c r="D267" s="372" t="str">
        <f>IF(TRUE=ISBLANK(ChemData!B267),"",(ChemData!B267))</f>
        <v/>
      </c>
      <c r="E267" s="373" t="str">
        <f>IF(TRUE=ISBLANK(ChemData!C267),"",(ChemData!C267))</f>
        <v/>
      </c>
      <c r="F267" s="374" t="str">
        <f>IF(TRUE=ISBLANK(ChemData!D267),"",(ChemData!D267))</f>
        <v/>
      </c>
      <c r="G267" s="289" t="str">
        <f>IF(TRUE=ISBLANK(ChemData!I267),"",(ChemData!I267))</f>
        <v>NA</v>
      </c>
      <c r="H267" s="290" t="str">
        <f>IF(TRUE=ISBLANK(ChemData!Q267),"",(ChemData!Q267))</f>
        <v>NA</v>
      </c>
      <c r="I267" s="290" t="str">
        <f>IF(TRUE=ISBLANK(ChemData!R267),"",(ChemData!R267))</f>
        <v>NA</v>
      </c>
      <c r="J267" s="290">
        <f>IF(TRUE=ISBLANK(ChemData!S267),"",(ChemData!S267))</f>
        <v>1</v>
      </c>
      <c r="K267" s="291">
        <f>IF(TRUE=ISBLANK(ChemData!T267),"",(ChemData!T267))</f>
        <v>1</v>
      </c>
      <c r="L267" s="375" t="str">
        <f>IF(Start!$C$16="x",IF(OR(D267="NA",D267=""),"NA", IF(OR($J267 = "NA",J267=""),"NA",(D267*$J267))),"---")</f>
        <v>---</v>
      </c>
      <c r="M267" s="377" t="str">
        <f>IF(Start!$C$16="x",IF(OR(D267="NA",D267=""),"NA", IF(OR($K267 = "NA",K267=""),"NA",(D267*$K267))),"---")</f>
        <v>---</v>
      </c>
      <c r="N267" s="375" t="str">
        <f t="shared" si="10"/>
        <v>---</v>
      </c>
      <c r="O267" s="377" t="str">
        <f t="shared" si="10"/>
        <v>---</v>
      </c>
      <c r="P267" s="461" t="str">
        <f>IF(Start!$C$16="x",(IF(L267 = "NA","NA", (IF(OR($H267 = "NA",H267=""), "NA",(IF(OR(ChemData!U267="NA",ChemData!U267=""),L267/((Data!$D$33+((1-Data!$D$33)*Data!$D$14*$H267))/((1-Data!$D$33)*Data!$D$14*1000)),(IF(L267/((Data!$D$33+((1-Data!$D$33)*Data!$D$14*$H267))/((1-Data!$D$33)*Data!$D$14*1000))&gt;ChemData!U267, ChemData!U267, L267/((Data!$D$33+((1-Data!$D$33)*Data!$D$14*$H267))/((1-Data!$D$33)*Data!$D$14*1000)))))))))),"---")</f>
        <v>---</v>
      </c>
      <c r="Q267" s="376" t="str">
        <f>IF(Start!$C$16="x",IF(OR($F267 = "NA",F267=""), "NA", IF(P267= "NA", "NA",(P267+(Data!$D$30*$F267))/(Data!$D$30+1))),"---")</f>
        <v>---</v>
      </c>
      <c r="R267" s="376" t="str">
        <f>IF(Start!$C$16="x",IF(O267 = "NA","NA", IF(OR($I267 = "NA",I267=""), "NA",(IF(OR(ChemData!U267="NA",ChemData!U267=""),O267/((Data!$D$35+((1-Data!$D$35)*Data!$D$14*$I267))/((1-Data!$D$35)*Data!$D$14*1000)),(IF(O267/((Data!$D$35+((1-Data!$D$35)*Data!$D$14*$I267))/((1-Data!$D$35)*Data!$D$14*1000))&gt;ChemData!U267, ChemData!U267, O267/((Data!$D$35+((1-Data!$D$35)*Data!$D$14*$I267))/((1-Data!$D$35)*Data!$D$14*1000)))))))),"---")</f>
        <v>---</v>
      </c>
      <c r="S267" s="377" t="str">
        <f>IF(Start!$C$16="x",IF(OR($F267 = "NA",F267=""), "NA", IF(R267= "NA", "NA",(R267+(Data!$D$30*$F267))/(Data!$D$30+1))),"---")</f>
        <v>---</v>
      </c>
      <c r="T267" s="343" t="str">
        <f>IF(Start!$C$16="x",IF(AND(D267= "",E267=""),"",IF(Q267="NA","NA",IF(G267="NA","NA",IF(G267=0,"NA",(Q267/G267))))),"Not Req.")</f>
        <v>Not Req.</v>
      </c>
      <c r="U267" s="343" t="str">
        <f>IF(Start!$C$16="x",IF(AND(D267= "",E267=""),"",IF(S267="NA","NA",IF(G267="NA","NA",IF(G267=0,"NA",(S267/G267))))),"Not Req.")</f>
        <v>Not Req.</v>
      </c>
      <c r="V267" s="11"/>
    </row>
    <row r="268" spans="1:22" s="10" customFormat="1" x14ac:dyDescent="0.25">
      <c r="A268" s="307" t="s">
        <v>586</v>
      </c>
      <c r="B268" s="348" t="str">
        <f>IF(Start!$C$16="x",IF(OR(D268 ="NA",E268="NA"),"NA",IF(AND(D268= "",E268=""),"",IF(AND(D268= "",E268&lt;&gt; ""),"Missing Data",                     IF(AND(D268&lt;&gt; "",E268= ""),"Missing Data",(IF(OR(G268="NA",G268=""),"No Criteria",(IF(AND(Q268="NA",D268&lt;&gt;"NA",G268&lt;&gt;"NA"),                                               "Missing Data",(IF(Q268&lt;G268,"No","Needed")))))))))),"---")</f>
        <v>---</v>
      </c>
      <c r="C268" s="350" t="str">
        <f>IF(Start!$C$16="x",IF(OR(D268 ="NA",E268="NA"),"NA",IF(AND(D268= "",E268=""),"",IF(AND(D268= "",E268&lt;&gt; ""),"Missing Data",                     IF(AND(D268&lt;&gt; "",E268= ""),"Missing Data",(IF(OR(G268="NA",G268=""),"No Criteria",(IF(AND(S268="NA",D268&lt;&gt;"NA",G268&lt;&gt;"NA"),                                               "Missing Data",(IF(S268&lt;G268,"No","Needed")))))))))),"---")</f>
        <v>---</v>
      </c>
      <c r="D268" s="372" t="str">
        <f>IF(TRUE=ISBLANK(ChemData!B268),"",(ChemData!B268))</f>
        <v/>
      </c>
      <c r="E268" s="373" t="str">
        <f>IF(TRUE=ISBLANK(ChemData!C268),"",(ChemData!C268))</f>
        <v/>
      </c>
      <c r="F268" s="374" t="str">
        <f>IF(TRUE=ISBLANK(ChemData!D268),"",(ChemData!D268))</f>
        <v/>
      </c>
      <c r="G268" s="289" t="str">
        <f>IF(TRUE=ISBLANK(ChemData!I268),"",(ChemData!I268))</f>
        <v>NA</v>
      </c>
      <c r="H268" s="290">
        <f>IF(TRUE=ISBLANK(ChemData!Q268),"",(ChemData!Q268))</f>
        <v>1115337.7938236406</v>
      </c>
      <c r="I268" s="290">
        <f>IF(TRUE=ISBLANK(ChemData!R268),"",(ChemData!R268))</f>
        <v>1115337.7938236406</v>
      </c>
      <c r="J268" s="290">
        <f>IF(TRUE=ISBLANK(ChemData!S268),"",(ChemData!S268))</f>
        <v>1</v>
      </c>
      <c r="K268" s="291">
        <f>IF(TRUE=ISBLANK(ChemData!T268),"",(ChemData!T268))</f>
        <v>1</v>
      </c>
      <c r="L268" s="375" t="str">
        <f>IF(Start!$C$16="x",IF(OR(D268="NA",D268=""),"NA", IF(OR($J268 = "NA",J268=""),"NA",(D268*$J268))),"---")</f>
        <v>---</v>
      </c>
      <c r="M268" s="377" t="str">
        <f>IF(Start!$C$16="x",IF(OR(D268="NA",D268=""),"NA", IF(OR($K268 = "NA",K268=""),"NA",(D268*$K268))),"---")</f>
        <v>---</v>
      </c>
      <c r="N268" s="375" t="str">
        <f t="shared" si="10"/>
        <v>---</v>
      </c>
      <c r="O268" s="377" t="str">
        <f t="shared" si="10"/>
        <v>---</v>
      </c>
      <c r="P268" s="461" t="str">
        <f>IF(Start!$C$16="x",(IF(L268 = "NA","NA", (IF(OR($H268 = "NA",H268=""), "NA",(IF(OR(ChemData!U268="NA",ChemData!U268=""),L268/((Data!$D$33+((1-Data!$D$33)*Data!$D$14*$H268))/((1-Data!$D$33)*Data!$D$14*1000)),(IF(L268/((Data!$D$33+((1-Data!$D$33)*Data!$D$14*$H268))/((1-Data!$D$33)*Data!$D$14*1000))&gt;ChemData!U268, ChemData!U268, L268/((Data!$D$33+((1-Data!$D$33)*Data!$D$14*$H268))/((1-Data!$D$33)*Data!$D$14*1000)))))))))),"---")</f>
        <v>---</v>
      </c>
      <c r="Q268" s="376" t="str">
        <f>IF(Start!$C$16="x",IF(OR($F268 = "NA",F268=""), "NA", IF(P268= "NA", "NA",(P268+(Data!$D$30*$F268))/(Data!$D$30+1))),"---")</f>
        <v>---</v>
      </c>
      <c r="R268" s="376" t="str">
        <f>IF(Start!$C$16="x",IF(O268 = "NA","NA", IF(OR($I268 = "NA",I268=""), "NA",(IF(OR(ChemData!U268="NA",ChemData!U268=""),O268/((Data!$D$35+((1-Data!$D$35)*Data!$D$14*$I268))/((1-Data!$D$35)*Data!$D$14*1000)),(IF(O268/((Data!$D$35+((1-Data!$D$35)*Data!$D$14*$I268))/((1-Data!$D$35)*Data!$D$14*1000))&gt;ChemData!U268, ChemData!U268, O268/((Data!$D$35+((1-Data!$D$35)*Data!$D$14*$I268))/((1-Data!$D$35)*Data!$D$14*1000)))))))),"---")</f>
        <v>---</v>
      </c>
      <c r="S268" s="377" t="str">
        <f>IF(Start!$C$16="x",IF(OR($F268 = "NA",F268=""), "NA", IF(R268= "NA", "NA",(R268+(Data!$D$30*$F268))/(Data!$D$30+1))),"---")</f>
        <v>---</v>
      </c>
      <c r="T268" s="343" t="str">
        <f>IF(Start!$C$16="x",IF(AND(D268= "",E268=""),"",IF(Q268="NA","NA",IF(G268="NA","NA",IF(G268=0,"NA",(Q268/G268))))),"Not Req.")</f>
        <v>Not Req.</v>
      </c>
      <c r="U268" s="343" t="str">
        <f>IF(Start!$C$16="x",IF(AND(D268= "",E268=""),"",IF(S268="NA","NA",IF(G268="NA","NA",IF(G268=0,"NA",(S268/G268))))),"Not Req.")</f>
        <v>Not Req.</v>
      </c>
      <c r="V268" s="11"/>
    </row>
    <row r="269" spans="1:22" s="10" customFormat="1" x14ac:dyDescent="0.25">
      <c r="A269" s="307" t="s">
        <v>587</v>
      </c>
      <c r="B269" s="348" t="str">
        <f>IF(Start!$C$16="x",IF(OR(D269 ="NA",E269="NA"),"NA",IF(AND(D269= "",E269=""),"",IF(AND(D269= "",E269&lt;&gt; ""),"Missing Data",                     IF(AND(D269&lt;&gt; "",E269= ""),"Missing Data",(IF(OR(G269="NA",G269=""),"No Criteria",(IF(AND(Q269="NA",D269&lt;&gt;"NA",G269&lt;&gt;"NA"),                                               "Missing Data",(IF(Q269&lt;G269,"No","Needed")))))))))),"---")</f>
        <v>---</v>
      </c>
      <c r="C269" s="350" t="str">
        <f>IF(Start!$C$16="x",IF(OR(D269 ="NA",E269="NA"),"NA",IF(AND(D269= "",E269=""),"",IF(AND(D269= "",E269&lt;&gt; ""),"Missing Data",                     IF(AND(D269&lt;&gt; "",E269= ""),"Missing Data",(IF(OR(G269="NA",G269=""),"No Criteria",(IF(AND(S269="NA",D269&lt;&gt;"NA",G269&lt;&gt;"NA"),                                               "Missing Data",(IF(S269&lt;G269,"No","Needed")))))))))),"---")</f>
        <v>---</v>
      </c>
      <c r="D269" s="372" t="str">
        <f>IF(TRUE=ISBLANK(ChemData!B269),"",(ChemData!B269))</f>
        <v/>
      </c>
      <c r="E269" s="373" t="str">
        <f>IF(TRUE=ISBLANK(ChemData!C269),"",(ChemData!C269))</f>
        <v/>
      </c>
      <c r="F269" s="374" t="str">
        <f>IF(TRUE=ISBLANK(ChemData!D269),"",(ChemData!D269))</f>
        <v/>
      </c>
      <c r="G269" s="289" t="str">
        <f>IF(TRUE=ISBLANK(ChemData!I269),"",(ChemData!I269))</f>
        <v>NA</v>
      </c>
      <c r="H269" s="290">
        <f>IF(TRUE=ISBLANK(ChemData!Q269),"",(ChemData!Q269))</f>
        <v>3143449.0007066983</v>
      </c>
      <c r="I269" s="290">
        <f>IF(TRUE=ISBLANK(ChemData!R269),"",(ChemData!R269))</f>
        <v>3143449.0007066983</v>
      </c>
      <c r="J269" s="290">
        <f>IF(TRUE=ISBLANK(ChemData!S269),"",(ChemData!S269))</f>
        <v>1</v>
      </c>
      <c r="K269" s="291">
        <f>IF(TRUE=ISBLANK(ChemData!T269),"",(ChemData!T269))</f>
        <v>1</v>
      </c>
      <c r="L269" s="375" t="str">
        <f>IF(Start!$C$16="x",IF(OR(D269="NA",D269=""),"NA", IF(OR($J269 = "NA",J269=""),"NA",(D269*$J269))),"---")</f>
        <v>---</v>
      </c>
      <c r="M269" s="377" t="str">
        <f>IF(Start!$C$16="x",IF(OR(D269="NA",D269=""),"NA", IF(OR($K269 = "NA",K269=""),"NA",(D269*$K269))),"---")</f>
        <v>---</v>
      </c>
      <c r="N269" s="375" t="str">
        <f t="shared" si="10"/>
        <v>---</v>
      </c>
      <c r="O269" s="377" t="str">
        <f t="shared" si="10"/>
        <v>---</v>
      </c>
      <c r="P269" s="461" t="str">
        <f>IF(Start!$C$16="x",(IF(L269 = "NA","NA", (IF(OR($H269 = "NA",H269=""), "NA",(IF(OR(ChemData!U269="NA",ChemData!U269=""),L269/((Data!$D$33+((1-Data!$D$33)*Data!$D$14*$H269))/((1-Data!$D$33)*Data!$D$14*1000)),(IF(L269/((Data!$D$33+((1-Data!$D$33)*Data!$D$14*$H269))/((1-Data!$D$33)*Data!$D$14*1000))&gt;ChemData!U269, ChemData!U269, L269/((Data!$D$33+((1-Data!$D$33)*Data!$D$14*$H269))/((1-Data!$D$33)*Data!$D$14*1000)))))))))),"---")</f>
        <v>---</v>
      </c>
      <c r="Q269" s="376" t="str">
        <f>IF(Start!$C$16="x",IF(OR($F269 = "NA",F269=""), "NA", IF(P269= "NA", "NA",(P269+(Data!$D$30*$F269))/(Data!$D$30+1))),"---")</f>
        <v>---</v>
      </c>
      <c r="R269" s="376" t="str">
        <f>IF(Start!$C$16="x",IF(O269 = "NA","NA", IF(OR($I269 = "NA",I269=""), "NA",(IF(OR(ChemData!U269="NA",ChemData!U269=""),O269/((Data!$D$35+((1-Data!$D$35)*Data!$D$14*$I269))/((1-Data!$D$35)*Data!$D$14*1000)),(IF(O269/((Data!$D$35+((1-Data!$D$35)*Data!$D$14*$I269))/((1-Data!$D$35)*Data!$D$14*1000))&gt;ChemData!U269, ChemData!U269, O269/((Data!$D$35+((1-Data!$D$35)*Data!$D$14*$I269))/((1-Data!$D$35)*Data!$D$14*1000)))))))),"---")</f>
        <v>---</v>
      </c>
      <c r="S269" s="377" t="str">
        <f>IF(Start!$C$16="x",IF(OR($F269 = "NA",F269=""), "NA", IF(R269= "NA", "NA",(R269+(Data!$D$30*$F269))/(Data!$D$30+1))),"---")</f>
        <v>---</v>
      </c>
      <c r="T269" s="343" t="str">
        <f>IF(Start!$C$16="x",IF(AND(D269= "",E269=""),"",IF(Q269="NA","NA",IF(G269="NA","NA",IF(G269=0,"NA",(Q269/G269))))),"Not Req.")</f>
        <v>Not Req.</v>
      </c>
      <c r="U269" s="343" t="str">
        <f>IF(Start!$C$16="x",IF(AND(D269= "",E269=""),"",IF(S269="NA","NA",IF(G269="NA","NA",IF(G269=0,"NA",(S269/G269))))),"Not Req.")</f>
        <v>Not Req.</v>
      </c>
      <c r="V269" s="11"/>
    </row>
    <row r="270" spans="1:22" s="10" customFormat="1" x14ac:dyDescent="0.25">
      <c r="A270" s="307" t="s">
        <v>588</v>
      </c>
      <c r="B270" s="348" t="str">
        <f>IF(Start!$C$16="x",IF(OR(D270 ="NA",E270="NA"),"NA",IF(AND(D270= "",E270=""),"",IF(AND(D270= "",E270&lt;&gt; ""),"Missing Data",                     IF(AND(D270&lt;&gt; "",E270= ""),"Missing Data",(IF(OR(G270="NA",G270=""),"No Criteria",(IF(AND(Q270="NA",D270&lt;&gt;"NA",G270&lt;&gt;"NA"),                                               "Missing Data",(IF(Q270&lt;G270,"No","Needed")))))))))),"---")</f>
        <v>---</v>
      </c>
      <c r="C270" s="350" t="str">
        <f>IF(Start!$C$16="x",IF(OR(D270 ="NA",E270="NA"),"NA",IF(AND(D270= "",E270=""),"",IF(AND(D270= "",E270&lt;&gt; ""),"Missing Data",                     IF(AND(D270&lt;&gt; "",E270= ""),"Missing Data",(IF(OR(G270="NA",G270=""),"No Criteria",(IF(AND(S270="NA",D270&lt;&gt;"NA",G270&lt;&gt;"NA"),                                               "Missing Data",(IF(S270&lt;G270,"No","Needed")))))))))),"---")</f>
        <v>---</v>
      </c>
      <c r="D270" s="372" t="str">
        <f>IF(TRUE=ISBLANK(ChemData!B270),"",(ChemData!B270))</f>
        <v/>
      </c>
      <c r="E270" s="373" t="str">
        <f>IF(TRUE=ISBLANK(ChemData!C270),"",(ChemData!C270))</f>
        <v/>
      </c>
      <c r="F270" s="374" t="str">
        <f>IF(TRUE=ISBLANK(ChemData!D270),"",(ChemData!D270))</f>
        <v/>
      </c>
      <c r="G270" s="289" t="str">
        <f>IF(TRUE=ISBLANK(ChemData!I270),"",(ChemData!I270))</f>
        <v>NA</v>
      </c>
      <c r="H270" s="290">
        <f>IF(TRUE=ISBLANK(ChemData!Q270),"",(ChemData!Q270))</f>
        <v>3001970.490211389</v>
      </c>
      <c r="I270" s="290">
        <f>IF(TRUE=ISBLANK(ChemData!R270),"",(ChemData!R270))</f>
        <v>3001970.490211389</v>
      </c>
      <c r="J270" s="290">
        <f>IF(TRUE=ISBLANK(ChemData!S270),"",(ChemData!S270))</f>
        <v>1</v>
      </c>
      <c r="K270" s="291">
        <f>IF(TRUE=ISBLANK(ChemData!T270),"",(ChemData!T270))</f>
        <v>1</v>
      </c>
      <c r="L270" s="375" t="str">
        <f>IF(Start!$C$16="x",IF(OR(D270="NA",D270=""),"NA", IF(OR($J270 = "NA",J270=""),"NA",(D270*$J270))),"---")</f>
        <v>---</v>
      </c>
      <c r="M270" s="377" t="str">
        <f>IF(Start!$C$16="x",IF(OR(D270="NA",D270=""),"NA", IF(OR($K270 = "NA",K270=""),"NA",(D270*$K270))),"---")</f>
        <v>---</v>
      </c>
      <c r="N270" s="375" t="str">
        <f t="shared" si="10"/>
        <v>---</v>
      </c>
      <c r="O270" s="377" t="str">
        <f t="shared" si="10"/>
        <v>---</v>
      </c>
      <c r="P270" s="461" t="str">
        <f>IF(Start!$C$16="x",(IF(L270 = "NA","NA", (IF(OR($H270 = "NA",H270=""), "NA",(IF(OR(ChemData!U270="NA",ChemData!U270=""),L270/((Data!$D$33+((1-Data!$D$33)*Data!$D$14*$H270))/((1-Data!$D$33)*Data!$D$14*1000)),(IF(L270/((Data!$D$33+((1-Data!$D$33)*Data!$D$14*$H270))/((1-Data!$D$33)*Data!$D$14*1000))&gt;ChemData!U270, ChemData!U270, L270/((Data!$D$33+((1-Data!$D$33)*Data!$D$14*$H270))/((1-Data!$D$33)*Data!$D$14*1000)))))))))),"---")</f>
        <v>---</v>
      </c>
      <c r="Q270" s="376" t="str">
        <f>IF(Start!$C$16="x",IF(OR($F270 = "NA",F270=""), "NA", IF(P270= "NA", "NA",(P270+(Data!$D$30*$F270))/(Data!$D$30+1))),"---")</f>
        <v>---</v>
      </c>
      <c r="R270" s="376" t="str">
        <f>IF(Start!$C$16="x",IF(O270 = "NA","NA", IF(OR($I270 = "NA",I270=""), "NA",(IF(OR(ChemData!U270="NA",ChemData!U270=""),O270/((Data!$D$35+((1-Data!$D$35)*Data!$D$14*$I270))/((1-Data!$D$35)*Data!$D$14*1000)),(IF(O270/((Data!$D$35+((1-Data!$D$35)*Data!$D$14*$I270))/((1-Data!$D$35)*Data!$D$14*1000))&gt;ChemData!U270, ChemData!U270, O270/((Data!$D$35+((1-Data!$D$35)*Data!$D$14*$I270))/((1-Data!$D$35)*Data!$D$14*1000)))))))),"---")</f>
        <v>---</v>
      </c>
      <c r="S270" s="377" t="str">
        <f>IF(Start!$C$16="x",IF(OR($F270 = "NA",F270=""), "NA", IF(R270= "NA", "NA",(R270+(Data!$D$30*$F270))/(Data!$D$30+1))),"---")</f>
        <v>---</v>
      </c>
      <c r="T270" s="343" t="str">
        <f>IF(Start!$C$16="x",IF(AND(D270= "",E270=""),"",IF(Q270="NA","NA",IF(G270="NA","NA",IF(G270=0,"NA",(Q270/G270))))),"Not Req.")</f>
        <v>Not Req.</v>
      </c>
      <c r="U270" s="343" t="str">
        <f>IF(Start!$C$16="x",IF(AND(D270= "",E270=""),"",IF(S270="NA","NA",IF(G270="NA","NA",IF(G270=0,"NA",(S270/G270))))),"Not Req.")</f>
        <v>Not Req.</v>
      </c>
      <c r="V270" s="11"/>
    </row>
    <row r="271" spans="1:22" s="10" customFormat="1" x14ac:dyDescent="0.25">
      <c r="A271" s="307" t="s">
        <v>589</v>
      </c>
      <c r="B271" s="348" t="str">
        <f>IF(Start!$C$16="x",IF(OR(D271 ="NA",E271="NA"),"NA",IF(AND(D271= "",E271=""),"",IF(AND(D271= "",E271&lt;&gt; ""),"Missing Data",                     IF(AND(D271&lt;&gt; "",E271= ""),"Missing Data",(IF(OR(G271="NA",G271=""),"No Criteria",(IF(AND(Q271="NA",D271&lt;&gt;"NA",G271&lt;&gt;"NA"),                                               "Missing Data",(IF(Q271&lt;G271,"No","Needed")))))))))),"---")</f>
        <v>---</v>
      </c>
      <c r="C271" s="350" t="str">
        <f>IF(Start!$C$16="x",IF(OR(D271 ="NA",E271="NA"),"NA",IF(AND(D271= "",E271=""),"",IF(AND(D271= "",E271&lt;&gt; ""),"Missing Data",                     IF(AND(D271&lt;&gt; "",E271= ""),"Missing Data",(IF(OR(G271="NA",G271=""),"No Criteria",(IF(AND(S271="NA",D271&lt;&gt;"NA",G271&lt;&gt;"NA"),                                               "Missing Data",(IF(S271&lt;G271,"No","Needed")))))))))),"---")</f>
        <v>---</v>
      </c>
      <c r="D271" s="372" t="str">
        <f>IF(TRUE=ISBLANK(ChemData!B271),"",(ChemData!B271))</f>
        <v/>
      </c>
      <c r="E271" s="373" t="str">
        <f>IF(TRUE=ISBLANK(ChemData!C271),"",(ChemData!C271))</f>
        <v/>
      </c>
      <c r="F271" s="374" t="str">
        <f>IF(TRUE=ISBLANK(ChemData!D271),"",(ChemData!D271))</f>
        <v/>
      </c>
      <c r="G271" s="289" t="str">
        <f>IF(TRUE=ISBLANK(ChemData!I271),"",(ChemData!I271))</f>
        <v>NA</v>
      </c>
      <c r="H271" s="290">
        <f>IF(TRUE=ISBLANK(ChemData!Q271),"",(ChemData!Q271))</f>
        <v>703730.57258936029</v>
      </c>
      <c r="I271" s="290">
        <f>IF(TRUE=ISBLANK(ChemData!R271),"",(ChemData!R271))</f>
        <v>703730.57258936029</v>
      </c>
      <c r="J271" s="290">
        <f>IF(TRUE=ISBLANK(ChemData!S271),"",(ChemData!S271))</f>
        <v>1</v>
      </c>
      <c r="K271" s="291">
        <f>IF(TRUE=ISBLANK(ChemData!T271),"",(ChemData!T271))</f>
        <v>1</v>
      </c>
      <c r="L271" s="375" t="str">
        <f>IF(Start!$C$16="x",IF(OR(D271="NA",D271=""),"NA", IF(OR($J271 = "NA",J271=""),"NA",(D271*$J271))),"---")</f>
        <v>---</v>
      </c>
      <c r="M271" s="377" t="str">
        <f>IF(Start!$C$16="x",IF(OR(D271="NA",D271=""),"NA", IF(OR($K271 = "NA",K271=""),"NA",(D271*$K271))),"---")</f>
        <v>---</v>
      </c>
      <c r="N271" s="375" t="str">
        <f t="shared" si="10"/>
        <v>---</v>
      </c>
      <c r="O271" s="377" t="str">
        <f t="shared" si="10"/>
        <v>---</v>
      </c>
      <c r="P271" s="461" t="str">
        <f>IF(Start!$C$16="x",(IF(L271 = "NA","NA", (IF(OR($H271 = "NA",H271=""), "NA",(IF(OR(ChemData!U271="NA",ChemData!U271=""),L271/((Data!$D$33+((1-Data!$D$33)*Data!$D$14*$H271))/((1-Data!$D$33)*Data!$D$14*1000)),(IF(L271/((Data!$D$33+((1-Data!$D$33)*Data!$D$14*$H271))/((1-Data!$D$33)*Data!$D$14*1000))&gt;ChemData!U271, ChemData!U271, L271/((Data!$D$33+((1-Data!$D$33)*Data!$D$14*$H271))/((1-Data!$D$33)*Data!$D$14*1000)))))))))),"---")</f>
        <v>---</v>
      </c>
      <c r="Q271" s="376" t="str">
        <f>IF(Start!$C$16="x",IF(OR($F271 = "NA",F271=""), "NA", IF(P271= "NA", "NA",(P271+(Data!$D$30*$F271))/(Data!$D$30+1))),"---")</f>
        <v>---</v>
      </c>
      <c r="R271" s="376" t="str">
        <f>IF(Start!$C$16="x",IF(O271 = "NA","NA", IF(OR($I271 = "NA",I271=""), "NA",(IF(OR(ChemData!U271="NA",ChemData!U271=""),O271/((Data!$D$35+((1-Data!$D$35)*Data!$D$14*$I271))/((1-Data!$D$35)*Data!$D$14*1000)),(IF(O271/((Data!$D$35+((1-Data!$D$35)*Data!$D$14*$I271))/((1-Data!$D$35)*Data!$D$14*1000))&gt;ChemData!U271, ChemData!U271, O271/((Data!$D$35+((1-Data!$D$35)*Data!$D$14*$I271))/((1-Data!$D$35)*Data!$D$14*1000)))))))),"---")</f>
        <v>---</v>
      </c>
      <c r="S271" s="377" t="str">
        <f>IF(Start!$C$16="x",IF(OR($F271 = "NA",F271=""), "NA", IF(R271= "NA", "NA",(R271+(Data!$D$30*$F271))/(Data!$D$30+1))),"---")</f>
        <v>---</v>
      </c>
      <c r="T271" s="343" t="str">
        <f>IF(Start!$C$16="x",IF(AND(D271= "",E271=""),"",IF(Q271="NA","NA",IF(G271="NA","NA",IF(G271=0,"NA",(Q271/G271))))),"Not Req.")</f>
        <v>Not Req.</v>
      </c>
      <c r="U271" s="343" t="str">
        <f>IF(Start!$C$16="x",IF(AND(D271= "",E271=""),"",IF(S271="NA","NA",IF(G271="NA","NA",IF(G271=0,"NA",(S271/G271))))),"Not Req.")</f>
        <v>Not Req.</v>
      </c>
      <c r="V271" s="11"/>
    </row>
    <row r="272" spans="1:22" s="10" customFormat="1" x14ac:dyDescent="0.25">
      <c r="A272" s="307" t="s">
        <v>590</v>
      </c>
      <c r="B272" s="348" t="str">
        <f>IF(Start!$C$16="x",IF(OR(D272 ="NA",E272="NA"),"NA",IF(AND(D272= "",E272=""),"",IF(AND(D272= "",E272&lt;&gt; ""),"Missing Data",                     IF(AND(D272&lt;&gt; "",E272= ""),"Missing Data",(IF(OR(G272="NA",G272=""),"No Criteria",(IF(AND(Q272="NA",D272&lt;&gt;"NA",G272&lt;&gt;"NA"),                                               "Missing Data",(IF(Q272&lt;G272,"No","Needed")))))))))),"---")</f>
        <v>---</v>
      </c>
      <c r="C272" s="350" t="str">
        <f>IF(Start!$C$16="x",IF(OR(D272 ="NA",E272="NA"),"NA",IF(AND(D272= "",E272=""),"",IF(AND(D272= "",E272&lt;&gt; ""),"Missing Data",                     IF(AND(D272&lt;&gt; "",E272= ""),"Missing Data",(IF(OR(G272="NA",G272=""),"No Criteria",(IF(AND(S272="NA",D272&lt;&gt;"NA",G272&lt;&gt;"NA"),                                               "Missing Data",(IF(S272&lt;G272,"No","Needed")))))))))),"---")</f>
        <v>---</v>
      </c>
      <c r="D272" s="372" t="str">
        <f>IF(TRUE=ISBLANK(ChemData!B272),"",(ChemData!B272))</f>
        <v/>
      </c>
      <c r="E272" s="373" t="str">
        <f>IF(TRUE=ISBLANK(ChemData!C272),"",(ChemData!C272))</f>
        <v/>
      </c>
      <c r="F272" s="374" t="str">
        <f>IF(TRUE=ISBLANK(ChemData!D272),"",(ChemData!D272))</f>
        <v/>
      </c>
      <c r="G272" s="289" t="str">
        <f>IF(TRUE=ISBLANK(ChemData!I272),"",(ChemData!I272))</f>
        <v>NA</v>
      </c>
      <c r="H272" s="290">
        <f>IF(TRUE=ISBLANK(ChemData!Q272),"",(ChemData!Q272))</f>
        <v>58533.759489716802</v>
      </c>
      <c r="I272" s="290">
        <f>IF(TRUE=ISBLANK(ChemData!R272),"",(ChemData!R272))</f>
        <v>58533.759489716802</v>
      </c>
      <c r="J272" s="290">
        <f>IF(TRUE=ISBLANK(ChemData!S272),"",(ChemData!S272))</f>
        <v>1</v>
      </c>
      <c r="K272" s="291">
        <f>IF(TRUE=ISBLANK(ChemData!T272),"",(ChemData!T272))</f>
        <v>1</v>
      </c>
      <c r="L272" s="375" t="str">
        <f>IF(Start!$C$16="x",IF(OR(D272="NA",D272=""),"NA", IF(OR($J272 = "NA",J272=""),"NA",(D272*$J272))),"---")</f>
        <v>---</v>
      </c>
      <c r="M272" s="377" t="str">
        <f>IF(Start!$C$16="x",IF(OR(D272="NA",D272=""),"NA", IF(OR($K272 = "NA",K272=""),"NA",(D272*$K272))),"---")</f>
        <v>---</v>
      </c>
      <c r="N272" s="375" t="str">
        <f t="shared" si="10"/>
        <v>---</v>
      </c>
      <c r="O272" s="377" t="str">
        <f t="shared" si="10"/>
        <v>---</v>
      </c>
      <c r="P272" s="461" t="str">
        <f>IF(Start!$C$16="x",(IF(L272 = "NA","NA", (IF(OR($H272 = "NA",H272=""), "NA",(IF(OR(ChemData!U272="NA",ChemData!U272=""),L272/((Data!$D$33+((1-Data!$D$33)*Data!$D$14*$H272))/((1-Data!$D$33)*Data!$D$14*1000)),(IF(L272/((Data!$D$33+((1-Data!$D$33)*Data!$D$14*$H272))/((1-Data!$D$33)*Data!$D$14*1000))&gt;ChemData!U272, ChemData!U272, L272/((Data!$D$33+((1-Data!$D$33)*Data!$D$14*$H272))/((1-Data!$D$33)*Data!$D$14*1000)))))))))),"---")</f>
        <v>---</v>
      </c>
      <c r="Q272" s="376" t="str">
        <f>IF(Start!$C$16="x",IF(OR($F272 = "NA",F272=""), "NA", IF(P272= "NA", "NA",(P272+(Data!$D$30*$F272))/(Data!$D$30+1))),"---")</f>
        <v>---</v>
      </c>
      <c r="R272" s="376" t="str">
        <f>IF(Start!$C$16="x",IF(O272 = "NA","NA", IF(OR($I272 = "NA",I272=""), "NA",(IF(OR(ChemData!U272="NA",ChemData!U272=""),O272/((Data!$D$35+((1-Data!$D$35)*Data!$D$14*$I272))/((1-Data!$D$35)*Data!$D$14*1000)),(IF(O272/((Data!$D$35+((1-Data!$D$35)*Data!$D$14*$I272))/((1-Data!$D$35)*Data!$D$14*1000))&gt;ChemData!U272, ChemData!U272, O272/((Data!$D$35+((1-Data!$D$35)*Data!$D$14*$I272))/((1-Data!$D$35)*Data!$D$14*1000)))))))),"---")</f>
        <v>---</v>
      </c>
      <c r="S272" s="377" t="str">
        <f>IF(Start!$C$16="x",IF(OR($F272 = "NA",F272=""), "NA", IF(R272= "NA", "NA",(R272+(Data!$D$30*$F272))/(Data!$D$30+1))),"---")</f>
        <v>---</v>
      </c>
      <c r="T272" s="343" t="str">
        <f>IF(Start!$C$16="x",IF(AND(D272= "",E272=""),"",IF(Q272="NA","NA",IF(G272="NA","NA",IF(G272=0,"NA",(Q272/G272))))),"Not Req.")</f>
        <v>Not Req.</v>
      </c>
      <c r="U272" s="343" t="str">
        <f>IF(Start!$C$16="x",IF(AND(D272= "",E272=""),"",IF(S272="NA","NA",IF(G272="NA","NA",IF(G272=0,"NA",(S272/G272))))),"Not Req.")</f>
        <v>Not Req.</v>
      </c>
      <c r="V272" s="11"/>
    </row>
    <row r="273" spans="1:22" s="10" customFormat="1" x14ac:dyDescent="0.25">
      <c r="A273" s="307" t="s">
        <v>591</v>
      </c>
      <c r="B273" s="348" t="str">
        <f>IF(Start!$C$16="x",IF(OR(D273 ="NA",E273="NA"),"NA",IF(AND(D273= "",E273=""),"",IF(AND(D273= "",E273&lt;&gt; ""),"Missing Data",                     IF(AND(D273&lt;&gt; "",E273= ""),"Missing Data",(IF(OR(G273="NA",G273=""),"No Criteria",(IF(AND(Q273="NA",D273&lt;&gt;"NA",G273&lt;&gt;"NA"),                                               "Missing Data",(IF(Q273&lt;G273,"No","Needed")))))))))),"---")</f>
        <v>---</v>
      </c>
      <c r="C273" s="350" t="str">
        <f>IF(Start!$C$16="x",IF(OR(D273 ="NA",E273="NA"),"NA",IF(AND(D273= "",E273=""),"",IF(AND(D273= "",E273&lt;&gt; ""),"Missing Data",                     IF(AND(D273&lt;&gt; "",E273= ""),"Missing Data",(IF(OR(G273="NA",G273=""),"No Criteria",(IF(AND(S273="NA",D273&lt;&gt;"NA",G273&lt;&gt;"NA"),                                               "Missing Data",(IF(S273&lt;G273,"No","Needed")))))))))),"---")</f>
        <v>---</v>
      </c>
      <c r="D273" s="372" t="str">
        <f>IF(TRUE=ISBLANK(ChemData!B273),"",(ChemData!B273))</f>
        <v/>
      </c>
      <c r="E273" s="373" t="str">
        <f>IF(TRUE=ISBLANK(ChemData!C273),"",(ChemData!C273))</f>
        <v/>
      </c>
      <c r="F273" s="374" t="str">
        <f>IF(TRUE=ISBLANK(ChemData!D273),"",(ChemData!D273))</f>
        <v/>
      </c>
      <c r="G273" s="289" t="str">
        <f>IF(TRUE=ISBLANK(ChemData!I273),"",(ChemData!I273))</f>
        <v>NA</v>
      </c>
      <c r="H273" s="290">
        <f>IF(TRUE=ISBLANK(ChemData!Q273),"",(ChemData!Q273))</f>
        <v>161215.36050087097</v>
      </c>
      <c r="I273" s="290">
        <f>IF(TRUE=ISBLANK(ChemData!R273),"",(ChemData!R273))</f>
        <v>161215.36050087097</v>
      </c>
      <c r="J273" s="290">
        <f>IF(TRUE=ISBLANK(ChemData!S273),"",(ChemData!S273))</f>
        <v>1</v>
      </c>
      <c r="K273" s="291">
        <f>IF(TRUE=ISBLANK(ChemData!T273),"",(ChemData!T273))</f>
        <v>1</v>
      </c>
      <c r="L273" s="375" t="str">
        <f>IF(Start!$C$16="x",IF(OR(D273="NA",D273=""),"NA", IF(OR($J273 = "NA",J273=""),"NA",(D273*$J273))),"---")</f>
        <v>---</v>
      </c>
      <c r="M273" s="377" t="str">
        <f>IF(Start!$C$16="x",IF(OR(D273="NA",D273=""),"NA", IF(OR($K273 = "NA",K273=""),"NA",(D273*$K273))),"---")</f>
        <v>---</v>
      </c>
      <c r="N273" s="375" t="str">
        <f t="shared" si="10"/>
        <v>---</v>
      </c>
      <c r="O273" s="377" t="str">
        <f t="shared" si="10"/>
        <v>---</v>
      </c>
      <c r="P273" s="461" t="str">
        <f>IF(Start!$C$16="x",(IF(L273 = "NA","NA", (IF(OR($H273 = "NA",H273=""), "NA",(IF(OR(ChemData!U273="NA",ChemData!U273=""),L273/((Data!$D$33+((1-Data!$D$33)*Data!$D$14*$H273))/((1-Data!$D$33)*Data!$D$14*1000)),(IF(L273/((Data!$D$33+((1-Data!$D$33)*Data!$D$14*$H273))/((1-Data!$D$33)*Data!$D$14*1000))&gt;ChemData!U273, ChemData!U273, L273/((Data!$D$33+((1-Data!$D$33)*Data!$D$14*$H273))/((1-Data!$D$33)*Data!$D$14*1000)))))))))),"---")</f>
        <v>---</v>
      </c>
      <c r="Q273" s="376" t="str">
        <f>IF(Start!$C$16="x",IF(OR($F273 = "NA",F273=""), "NA", IF(P273= "NA", "NA",(P273+(Data!$D$30*$F273))/(Data!$D$30+1))),"---")</f>
        <v>---</v>
      </c>
      <c r="R273" s="376" t="str">
        <f>IF(Start!$C$16="x",IF(O273 = "NA","NA", IF(OR($I273 = "NA",I273=""), "NA",(IF(OR(ChemData!U273="NA",ChemData!U273=""),O273/((Data!$D$35+((1-Data!$D$35)*Data!$D$14*$I273))/((1-Data!$D$35)*Data!$D$14*1000)),(IF(O273/((Data!$D$35+((1-Data!$D$35)*Data!$D$14*$I273))/((1-Data!$D$35)*Data!$D$14*1000))&gt;ChemData!U273, ChemData!U273, O273/((Data!$D$35+((1-Data!$D$35)*Data!$D$14*$I273))/((1-Data!$D$35)*Data!$D$14*1000)))))))),"---")</f>
        <v>---</v>
      </c>
      <c r="S273" s="377" t="str">
        <f>IF(Start!$C$16="x",IF(OR($F273 = "NA",F273=""), "NA", IF(R273= "NA", "NA",(R273+(Data!$D$30*$F273))/(Data!$D$30+1))),"---")</f>
        <v>---</v>
      </c>
      <c r="T273" s="343" t="str">
        <f>IF(Start!$C$16="x",IF(AND(D273= "",E273=""),"",IF(Q273="NA","NA",IF(G273="NA","NA",IF(G273=0,"NA",(Q273/G273))))),"Not Req.")</f>
        <v>Not Req.</v>
      </c>
      <c r="U273" s="343" t="str">
        <f>IF(Start!$C$16="x",IF(AND(D273= "",E273=""),"",IF(S273="NA","NA",IF(G273="NA","NA",IF(G273=0,"NA",(S273/G273))))),"Not Req.")</f>
        <v>Not Req.</v>
      </c>
      <c r="V273" s="11"/>
    </row>
    <row r="274" spans="1:22" s="10" customFormat="1" x14ac:dyDescent="0.25">
      <c r="A274" s="307" t="s">
        <v>592</v>
      </c>
      <c r="B274" s="348" t="str">
        <f>IF(Start!$C$16="x",IF(OR(D274 ="NA",E274="NA"),"NA",IF(AND(D274= "",E274=""),"",IF(AND(D274= "",E274&lt;&gt; ""),"Missing Data",                     IF(AND(D274&lt;&gt; "",E274= ""),"Missing Data",(IF(OR(G274="NA",G274=""),"No Criteria",(IF(AND(Q274="NA",D274&lt;&gt;"NA",G274&lt;&gt;"NA"),                                               "Missing Data",(IF(Q274&lt;G274,"No","Needed")))))))))),"---")</f>
        <v>---</v>
      </c>
      <c r="C274" s="350" t="str">
        <f>IF(Start!$C$16="x",IF(OR(D274 ="NA",E274="NA"),"NA",IF(AND(D274= "",E274=""),"",IF(AND(D274= "",E274&lt;&gt; ""),"Missing Data",                     IF(AND(D274&lt;&gt; "",E274= ""),"Missing Data",(IF(OR(G274="NA",G274=""),"No Criteria",(IF(AND(S274="NA",D274&lt;&gt;"NA",G274&lt;&gt;"NA"),                                               "Missing Data",(IF(S274&lt;G274,"No","Needed")))))))))),"---")</f>
        <v>---</v>
      </c>
      <c r="D274" s="372" t="str">
        <f>IF(TRUE=ISBLANK(ChemData!B274),"",(ChemData!B274))</f>
        <v/>
      </c>
      <c r="E274" s="373" t="str">
        <f>IF(TRUE=ISBLANK(ChemData!C274),"",(ChemData!C274))</f>
        <v/>
      </c>
      <c r="F274" s="374" t="str">
        <f>IF(TRUE=ISBLANK(ChemData!D274),"",(ChemData!D274))</f>
        <v/>
      </c>
      <c r="G274" s="289" t="str">
        <f>IF(TRUE=ISBLANK(ChemData!I274),"",(ChemData!I274))</f>
        <v>NA</v>
      </c>
      <c r="H274" s="290">
        <f>IF(TRUE=ISBLANK(ChemData!Q274),"",(ChemData!Q274))</f>
        <v>46495.01784724246</v>
      </c>
      <c r="I274" s="290">
        <f>IF(TRUE=ISBLANK(ChemData!R274),"",(ChemData!R274))</f>
        <v>46495.01784724246</v>
      </c>
      <c r="J274" s="290">
        <f>IF(TRUE=ISBLANK(ChemData!S274),"",(ChemData!S274))</f>
        <v>1</v>
      </c>
      <c r="K274" s="291">
        <f>IF(TRUE=ISBLANK(ChemData!T274),"",(ChemData!T274))</f>
        <v>1</v>
      </c>
      <c r="L274" s="375" t="str">
        <f>IF(Start!$C$16="x",IF(OR(D274="NA",D274=""),"NA", IF(OR($J274 = "NA",J274=""),"NA",(D274*$J274))),"---")</f>
        <v>---</v>
      </c>
      <c r="M274" s="377" t="str">
        <f>IF(Start!$C$16="x",IF(OR(D274="NA",D274=""),"NA", IF(OR($K274 = "NA",K274=""),"NA",(D274*$K274))),"---")</f>
        <v>---</v>
      </c>
      <c r="N274" s="375" t="str">
        <f t="shared" si="10"/>
        <v>---</v>
      </c>
      <c r="O274" s="377" t="str">
        <f t="shared" si="10"/>
        <v>---</v>
      </c>
      <c r="P274" s="461" t="str">
        <f>IF(Start!$C$16="x",(IF(L274 = "NA","NA", (IF(OR($H274 = "NA",H274=""), "NA",(IF(OR(ChemData!U274="NA",ChemData!U274=""),L274/((Data!$D$33+((1-Data!$D$33)*Data!$D$14*$H274))/((1-Data!$D$33)*Data!$D$14*1000)),(IF(L274/((Data!$D$33+((1-Data!$D$33)*Data!$D$14*$H274))/((1-Data!$D$33)*Data!$D$14*1000))&gt;ChemData!U274, ChemData!U274, L274/((Data!$D$33+((1-Data!$D$33)*Data!$D$14*$H274))/((1-Data!$D$33)*Data!$D$14*1000)))))))))),"---")</f>
        <v>---</v>
      </c>
      <c r="Q274" s="376" t="str">
        <f>IF(Start!$C$16="x",IF(OR($F274 = "NA",F274=""), "NA", IF(P274= "NA", "NA",(P274+(Data!$D$30*$F274))/(Data!$D$30+1))),"---")</f>
        <v>---</v>
      </c>
      <c r="R274" s="376" t="str">
        <f>IF(Start!$C$16="x",IF(O274 = "NA","NA", IF(OR($I274 = "NA",I274=""), "NA",(IF(OR(ChemData!U274="NA",ChemData!U274=""),O274/((Data!$D$35+((1-Data!$D$35)*Data!$D$14*$I274))/((1-Data!$D$35)*Data!$D$14*1000)),(IF(O274/((Data!$D$35+((1-Data!$D$35)*Data!$D$14*$I274))/((1-Data!$D$35)*Data!$D$14*1000))&gt;ChemData!U274, ChemData!U274, O274/((Data!$D$35+((1-Data!$D$35)*Data!$D$14*$I274))/((1-Data!$D$35)*Data!$D$14*1000)))))))),"---")</f>
        <v>---</v>
      </c>
      <c r="S274" s="377" t="str">
        <f>IF(Start!$C$16="x",IF(OR($F274 = "NA",F274=""), "NA", IF(R274= "NA", "NA",(R274+(Data!$D$30*$F274))/(Data!$D$30+1))),"---")</f>
        <v>---</v>
      </c>
      <c r="T274" s="343" t="str">
        <f>IF(Start!$C$16="x",IF(AND(D274= "",E274=""),"",IF(Q274="NA","NA",IF(G274="NA","NA",IF(G274=0,"NA",(Q274/G274))))),"Not Req.")</f>
        <v>Not Req.</v>
      </c>
      <c r="U274" s="343" t="str">
        <f>IF(Start!$C$16="x",IF(AND(D274= "",E274=""),"",IF(S274="NA","NA",IF(G274="NA","NA",IF(G274=0,"NA",(S274/G274))))),"Not Req.")</f>
        <v>Not Req.</v>
      </c>
      <c r="V274" s="11"/>
    </row>
    <row r="275" spans="1:22" s="10" customFormat="1" ht="13.8" thickBot="1" x14ac:dyDescent="0.3">
      <c r="A275" s="403" t="s">
        <v>593</v>
      </c>
      <c r="B275" s="348" t="str">
        <f>IF(Start!$C$16="x",IF(OR(D275 ="NA",E275="NA"),"NA",IF(AND(D275= "",E275=""),"",IF(AND(D275= "",E275&lt;&gt; ""),"Missing Data",                     IF(AND(D275&lt;&gt; "",E275= ""),"Missing Data",(IF(OR(G275="NA",G275=""),"No Criteria",(IF(AND(Q275="NA",D275&lt;&gt;"NA",G275&lt;&gt;"NA"),                                               "Missing Data",(IF(Q275&lt;G275,"No","Needed")))))))))),"---")</f>
        <v>---</v>
      </c>
      <c r="C275" s="350" t="str">
        <f>IF(Start!$C$16="x",IF(OR(D275 ="NA",E275="NA"),"NA",IF(AND(D275= "",E275=""),"",IF(AND(D275= "",E275&lt;&gt; ""),"Missing Data",                     IF(AND(D275&lt;&gt; "",E275= ""),"Missing Data",(IF(OR(G275="NA",G275=""),"No Criteria",(IF(AND(S275="NA",D275&lt;&gt;"NA",G275&lt;&gt;"NA"),                                               "Missing Data",(IF(S275&lt;G275,"No","Needed")))))))))),"---")</f>
        <v>---</v>
      </c>
      <c r="D275" s="372" t="str">
        <f>IF(TRUE=ISBLANK(ChemData!B275),"",(ChemData!B275))</f>
        <v/>
      </c>
      <c r="E275" s="373" t="str">
        <f>IF(TRUE=ISBLANK(ChemData!C275),"",(ChemData!C275))</f>
        <v/>
      </c>
      <c r="F275" s="374" t="str">
        <f>IF(TRUE=ISBLANK(ChemData!D275),"",(ChemData!D275))</f>
        <v/>
      </c>
      <c r="G275" s="289" t="str">
        <f>IF(TRUE=ISBLANK(ChemData!I275),"",(ChemData!I275))</f>
        <v>NA</v>
      </c>
      <c r="H275" s="290">
        <f>IF(TRUE=ISBLANK(ChemData!Q275),"",(ChemData!Q275))</f>
        <v>36091.623541521498</v>
      </c>
      <c r="I275" s="290">
        <f>IF(TRUE=ISBLANK(ChemData!R275),"",(ChemData!R275))</f>
        <v>36091.623541521498</v>
      </c>
      <c r="J275" s="290">
        <f>IF(TRUE=ISBLANK(ChemData!S275),"",(ChemData!S275))</f>
        <v>1</v>
      </c>
      <c r="K275" s="291">
        <f>IF(TRUE=ISBLANK(ChemData!T275),"",(ChemData!T275))</f>
        <v>1</v>
      </c>
      <c r="L275" s="375" t="str">
        <f>IF(Start!$C$16="x",IF(OR(D275="NA",D275=""),"NA", IF(OR($J275 = "NA",J275=""),"NA",(D275*$J275))),"---")</f>
        <v>---</v>
      </c>
      <c r="M275" s="377" t="str">
        <f>IF(Start!$C$16="x",IF(OR(D275="NA",D275=""),"NA", IF(OR($K275 = "NA",K275=""),"NA",(D275*$K275))),"---")</f>
        <v>---</v>
      </c>
      <c r="N275" s="375" t="str">
        <f t="shared" si="10"/>
        <v>---</v>
      </c>
      <c r="O275" s="377" t="str">
        <f t="shared" si="10"/>
        <v>---</v>
      </c>
      <c r="P275" s="461" t="str">
        <f>IF(Start!$C$16="x",(IF(L275 = "NA","NA", (IF(OR($H275 = "NA",H275=""), "NA",(IF(OR(ChemData!U275="NA",ChemData!U275=""),L275/((Data!$D$33+((1-Data!$D$33)*Data!$D$14*$H275))/((1-Data!$D$33)*Data!$D$14*1000)),(IF(L275/((Data!$D$33+((1-Data!$D$33)*Data!$D$14*$H275))/((1-Data!$D$33)*Data!$D$14*1000))&gt;ChemData!U275, ChemData!U275, L275/((Data!$D$33+((1-Data!$D$33)*Data!$D$14*$H275))/((1-Data!$D$33)*Data!$D$14*1000)))))))))),"---")</f>
        <v>---</v>
      </c>
      <c r="Q275" s="376" t="str">
        <f>IF(Start!$C$16="x",IF(OR($F275 = "NA",F275=""), "NA", IF(P275= "NA", "NA",(P275+(Data!$D$30*$F275))/(Data!$D$30+1))),"---")</f>
        <v>---</v>
      </c>
      <c r="R275" s="376" t="str">
        <f>IF(Start!$C$16="x",IF(O275 = "NA","NA", IF(OR($I275 = "NA",I275=""), "NA",(IF(OR(ChemData!U275="NA",ChemData!U275=""),O275/((Data!$D$35+((1-Data!$D$35)*Data!$D$14*$I275))/((1-Data!$D$35)*Data!$D$14*1000)),(IF(O275/((Data!$D$35+((1-Data!$D$35)*Data!$D$14*$I275))/((1-Data!$D$35)*Data!$D$14*1000))&gt;ChemData!U275, ChemData!U275, O275/((Data!$D$35+((1-Data!$D$35)*Data!$D$14*$I275))/((1-Data!$D$35)*Data!$D$14*1000)))))))),"---")</f>
        <v>---</v>
      </c>
      <c r="S275" s="377" t="str">
        <f>IF(Start!$C$16="x",IF(OR($F275 = "NA",F275=""), "NA", IF(R275= "NA", "NA",(R275+(Data!$D$30*$F275))/(Data!$D$30+1))),"---")</f>
        <v>---</v>
      </c>
      <c r="T275" s="343" t="str">
        <f>IF(Start!$C$16="x",IF(AND(D275= "",E275=""),"",IF(Q275="NA","NA",IF(G275="NA","NA",IF(G275=0,"NA",(Q275/G275))))),"Not Req.")</f>
        <v>Not Req.</v>
      </c>
      <c r="U275" s="343" t="str">
        <f>IF(Start!$C$16="x",IF(AND(D275= "",E275=""),"",IF(S275="NA","NA",IF(G275="NA","NA",IF(G275=0,"NA",(S275/G275))))),"Not Req.")</f>
        <v>Not Req.</v>
      </c>
      <c r="V275" s="11"/>
    </row>
    <row r="276" spans="1:22" s="10" customFormat="1" x14ac:dyDescent="0.25">
      <c r="A276" s="524" t="s">
        <v>594</v>
      </c>
      <c r="B276" s="525"/>
      <c r="C276" s="526"/>
      <c r="D276" s="508"/>
      <c r="E276" s="509"/>
      <c r="F276" s="510"/>
      <c r="G276" s="511"/>
      <c r="H276" s="512"/>
      <c r="I276" s="512"/>
      <c r="J276" s="512"/>
      <c r="K276" s="513"/>
      <c r="L276" s="511"/>
      <c r="M276" s="513"/>
      <c r="N276" s="511"/>
      <c r="O276" s="513"/>
      <c r="P276" s="512"/>
      <c r="Q276" s="512"/>
      <c r="R276" s="512"/>
      <c r="S276" s="513"/>
      <c r="T276" s="511"/>
      <c r="U276" s="527"/>
      <c r="V276" s="11"/>
    </row>
    <row r="277" spans="1:22" s="10" customFormat="1" x14ac:dyDescent="0.25">
      <c r="A277" s="307" t="s">
        <v>595</v>
      </c>
      <c r="B277" s="348" t="str">
        <f>IF(Start!$C$16="x",IF(OR(D277 ="NA",E277="NA"),"NA",IF(AND(D277= "",E277=""),"",IF(AND(D277= "",E277&lt;&gt; ""),"Missing Data",                     IF(AND(D277&lt;&gt; "",E277= ""),"Missing Data",(IF(OR(G277="NA",G277=""),"No Criteria",(IF(AND(Q277="NA",D277&lt;&gt;"NA",G277&lt;&gt;"NA"),                                               "Missing Data",(IF(Q277&lt;G277,"No","Needed")))))))))),"---")</f>
        <v>---</v>
      </c>
      <c r="C277" s="350" t="str">
        <f>IF(Start!$C$16="x",IF(OR(D277 ="NA",E277="NA"),"NA",IF(AND(D277= "",E277=""),"",IF(AND(D277= "",E277&lt;&gt; ""),"Missing Data",                     IF(AND(D277&lt;&gt; "",E277= ""),"Missing Data",(IF(OR(G277="NA",G277=""),"No Criteria",(IF(AND(S277="NA",D277&lt;&gt;"NA",G277&lt;&gt;"NA"),                                               "Missing Data",(IF(S277&lt;G277,"No","Needed")))))))))),"---")</f>
        <v>---</v>
      </c>
      <c r="D277" s="372" t="str">
        <f>IF(TRUE=ISBLANK(ChemData!B277),"",(ChemData!B277))</f>
        <v/>
      </c>
      <c r="E277" s="373" t="str">
        <f>IF(TRUE=ISBLANK(ChemData!C277),"",(ChemData!C277))</f>
        <v/>
      </c>
      <c r="F277" s="374" t="str">
        <f>IF(TRUE=ISBLANK(ChemData!D277),"",(ChemData!D277))</f>
        <v/>
      </c>
      <c r="G277" s="289" t="str">
        <f>IF(TRUE=ISBLANK(ChemData!I277),"",(ChemData!I277))</f>
        <v>NA</v>
      </c>
      <c r="H277" s="290">
        <f>IF(TRUE=ISBLANK(ChemData!Q277),"",(ChemData!Q277))</f>
        <v>2330.270937231006</v>
      </c>
      <c r="I277" s="290">
        <f>IF(TRUE=ISBLANK(ChemData!R277),"",(ChemData!R277))</f>
        <v>2330.270937231006</v>
      </c>
      <c r="J277" s="290">
        <f>IF(TRUE=ISBLANK(ChemData!S277),"",(ChemData!S277))</f>
        <v>1</v>
      </c>
      <c r="K277" s="291">
        <f>IF(TRUE=ISBLANK(ChemData!T277),"",(ChemData!T277))</f>
        <v>1</v>
      </c>
      <c r="L277" s="375" t="str">
        <f>IF(Start!$C$16="x",IF(OR(D277="NA",D277=""),"NA", IF(OR($J277 = "NA",J277=""),"NA",(D277*$J277))),"---")</f>
        <v>---</v>
      </c>
      <c r="M277" s="377" t="str">
        <f>IF(Start!$C$16="x",IF(OR(D277="NA",D277=""),"NA", IF(OR($K277 = "NA",K277=""),"NA",(D277*$K277))),"---")</f>
        <v>---</v>
      </c>
      <c r="N277" s="375" t="str">
        <f t="shared" ref="N277:N309" si="11">L277</f>
        <v>---</v>
      </c>
      <c r="O277" s="377" t="str">
        <f t="shared" ref="O277:O309" si="12">M277</f>
        <v>---</v>
      </c>
      <c r="P277" s="461" t="str">
        <f>IF(Start!$C$16="x",(IF(L277 = "NA","NA", (IF(OR($H277 = "NA",H277=""), "NA",(IF(OR(ChemData!U277="NA",ChemData!U277=""),L277/((Data!$D$33+((1-Data!$D$33)*Data!$D$14*$H277))/((1-Data!$D$33)*Data!$D$14*1000)),(IF(L277/((Data!$D$33+((1-Data!$D$33)*Data!$D$14*$H277))/((1-Data!$D$33)*Data!$D$14*1000))&gt;ChemData!U277, ChemData!U277, L277/((Data!$D$33+((1-Data!$D$33)*Data!$D$14*$H277))/((1-Data!$D$33)*Data!$D$14*1000)))))))))),"---")</f>
        <v>---</v>
      </c>
      <c r="Q277" s="376" t="str">
        <f>IF(Start!$C$16="x",IF(OR($F277 = "NA",F277=""), "NA", IF(P277= "NA", "NA",(P277+(Data!$D$30*$F277))/(Data!$D$30+1))),"---")</f>
        <v>---</v>
      </c>
      <c r="R277" s="376" t="str">
        <f>IF(Start!$C$16="x",IF(O277 = "NA","NA", IF(OR($I277 = "NA",I277=""), "NA",(IF(OR(ChemData!U277="NA",ChemData!U277=""),O277/((Data!$D$35+((1-Data!$D$35)*Data!$D$14*$I277))/((1-Data!$D$35)*Data!$D$14*1000)),(IF(O277/((Data!$D$35+((1-Data!$D$35)*Data!$D$14*$I277))/((1-Data!$D$35)*Data!$D$14*1000))&gt;ChemData!U277, ChemData!U277, O277/((Data!$D$35+((1-Data!$D$35)*Data!$D$14*$I277))/((1-Data!$D$35)*Data!$D$14*1000)))))))),"---")</f>
        <v>---</v>
      </c>
      <c r="S277" s="377" t="str">
        <f>IF(Start!$C$16="x",IF(OR($F277 = "NA",F277=""), "NA", IF(R277= "NA", "NA",(R277+(Data!$D$30*$F277))/(Data!$D$30+1))),"---")</f>
        <v>---</v>
      </c>
      <c r="T277" s="343" t="str">
        <f>IF(Start!$C$16="x",IF(AND(D277= "",E277=""),"",IF(Q277="NA","NA",IF(G277="NA","NA",IF(G277=0,"NA",(Q277/G277))))),"Not Req.")</f>
        <v>Not Req.</v>
      </c>
      <c r="U277" s="343" t="str">
        <f>IF(Start!$C$16="x",IF(AND(D277= "",E277=""),"",IF(S277="NA","NA",IF(G277="NA","NA",IF(G277=0,"NA",(S277/G277))))),"Not Req.")</f>
        <v>Not Req.</v>
      </c>
      <c r="V277" s="11"/>
    </row>
    <row r="278" spans="1:22" s="10" customFormat="1" x14ac:dyDescent="0.25">
      <c r="A278" s="307" t="s">
        <v>596</v>
      </c>
      <c r="B278" s="348" t="str">
        <f>IF(Start!$C$16="x",IF(OR(D278 ="NA",E278="NA"),"NA",IF(AND(D278= "",E278=""),"",IF(AND(D278= "",E278&lt;&gt; ""),"Missing Data",                     IF(AND(D278&lt;&gt; "",E278= ""),"Missing Data",(IF(OR(G278="NA",G278=""),"No Criteria",(IF(AND(Q278="NA",D278&lt;&gt;"NA",G278&lt;&gt;"NA"),                                               "Missing Data",(IF(Q278&lt;G278,"No","Needed")))))))))),"---")</f>
        <v>---</v>
      </c>
      <c r="C278" s="350" t="str">
        <f>IF(Start!$C$16="x",IF(OR(D278 ="NA",E278="NA"),"NA",IF(AND(D278= "",E278=""),"",IF(AND(D278= "",E278&lt;&gt; ""),"Missing Data",                     IF(AND(D278&lt;&gt; "",E278= ""),"Missing Data",(IF(OR(G278="NA",G278=""),"No Criteria",(IF(AND(S278="NA",D278&lt;&gt;"NA",G278&lt;&gt;"NA"),                                               "Missing Data",(IF(S278&lt;G278,"No","Needed")))))))))),"---")</f>
        <v>---</v>
      </c>
      <c r="D278" s="372" t="str">
        <f>IF(TRUE=ISBLANK(ChemData!B278),"",(ChemData!B278))</f>
        <v/>
      </c>
      <c r="E278" s="373" t="str">
        <f>IF(TRUE=ISBLANK(ChemData!C278),"",(ChemData!C278))</f>
        <v/>
      </c>
      <c r="F278" s="374" t="str">
        <f>IF(TRUE=ISBLANK(ChemData!D278),"",(ChemData!D278))</f>
        <v/>
      </c>
      <c r="G278" s="289" t="str">
        <f>IF(TRUE=ISBLANK(ChemData!I278),"",(ChemData!I278))</f>
        <v>NA</v>
      </c>
      <c r="H278" s="290">
        <f>IF(TRUE=ISBLANK(ChemData!Q278),"",(ChemData!Q278))</f>
        <v>7368.9637269452323</v>
      </c>
      <c r="I278" s="290">
        <f>IF(TRUE=ISBLANK(ChemData!R278),"",(ChemData!R278))</f>
        <v>7368.9637269452323</v>
      </c>
      <c r="J278" s="290">
        <f>IF(TRUE=ISBLANK(ChemData!S278),"",(ChemData!S278))</f>
        <v>1</v>
      </c>
      <c r="K278" s="291">
        <f>IF(TRUE=ISBLANK(ChemData!T278),"",(ChemData!T278))</f>
        <v>1</v>
      </c>
      <c r="L278" s="375" t="str">
        <f>IF(Start!$C$16="x",IF(OR(D278="NA",D278=""),"NA", IF(OR($J278 = "NA",J278=""),"NA",(D278*$J278))),"---")</f>
        <v>---</v>
      </c>
      <c r="M278" s="377" t="str">
        <f>IF(Start!$C$16="x",IF(OR(D278="NA",D278=""),"NA", IF(OR($K278 = "NA",K278=""),"NA",(D278*$K278))),"---")</f>
        <v>---</v>
      </c>
      <c r="N278" s="375" t="str">
        <f t="shared" si="11"/>
        <v>---</v>
      </c>
      <c r="O278" s="377" t="str">
        <f t="shared" si="12"/>
        <v>---</v>
      </c>
      <c r="P278" s="461" t="str">
        <f>IF(Start!$C$16="x",(IF(L278 = "NA","NA", (IF(OR($H278 = "NA",H278=""), "NA",(IF(OR(ChemData!U278="NA",ChemData!U278=""),L278/((Data!$D$33+((1-Data!$D$33)*Data!$D$14*$H278))/((1-Data!$D$33)*Data!$D$14*1000)),(IF(L278/((Data!$D$33+((1-Data!$D$33)*Data!$D$14*$H278))/((1-Data!$D$33)*Data!$D$14*1000))&gt;ChemData!U278, ChemData!U278, L278/((Data!$D$33+((1-Data!$D$33)*Data!$D$14*$H278))/((1-Data!$D$33)*Data!$D$14*1000)))))))))),"---")</f>
        <v>---</v>
      </c>
      <c r="Q278" s="376" t="str">
        <f>IF(Start!$C$16="x",IF(OR($F278 = "NA",F278=""), "NA", IF(P278= "NA", "NA",(P278+(Data!$D$30*$F278))/(Data!$D$30+1))),"---")</f>
        <v>---</v>
      </c>
      <c r="R278" s="376" t="str">
        <f>IF(Start!$C$16="x",IF(O278 = "NA","NA", IF(OR($I278 = "NA",I278=""), "NA",(IF(OR(ChemData!U278="NA",ChemData!U278=""),O278/((Data!$D$35+((1-Data!$D$35)*Data!$D$14*$I278))/((1-Data!$D$35)*Data!$D$14*1000)),(IF(O278/((Data!$D$35+((1-Data!$D$35)*Data!$D$14*$I278))/((1-Data!$D$35)*Data!$D$14*1000))&gt;ChemData!U278, ChemData!U278, O278/((Data!$D$35+((1-Data!$D$35)*Data!$D$14*$I278))/((1-Data!$D$35)*Data!$D$14*1000)))))))),"---")</f>
        <v>---</v>
      </c>
      <c r="S278" s="377" t="str">
        <f>IF(Start!$C$16="x",IF(OR($F278 = "NA",F278=""), "NA", IF(R278= "NA", "NA",(R278+(Data!$D$30*$F278))/(Data!$D$30+1))),"---")</f>
        <v>---</v>
      </c>
      <c r="T278" s="343" t="str">
        <f>IF(Start!$C$16="x",IF(AND(D278= "",E278=""),"",IF(Q278="NA","NA",IF(G278="NA","NA",IF(G278=0,"NA",(Q278/G278))))),"Not Req.")</f>
        <v>Not Req.</v>
      </c>
      <c r="U278" s="343" t="str">
        <f>IF(Start!$C$16="x",IF(AND(D278= "",E278=""),"",IF(S278="NA","NA",IF(G278="NA","NA",IF(G278=0,"NA",(S278/G278))))),"Not Req.")</f>
        <v>Not Req.</v>
      </c>
      <c r="V278" s="11"/>
    </row>
    <row r="279" spans="1:22" s="10" customFormat="1" x14ac:dyDescent="0.25">
      <c r="A279" s="307" t="s">
        <v>597</v>
      </c>
      <c r="B279" s="348" t="str">
        <f>IF(Start!$C$16="x",IF(OR(D279 ="NA",E279="NA"),"NA",IF(AND(D279= "",E279=""),"",IF(AND(D279= "",E279&lt;&gt; ""),"Missing Data",                     IF(AND(D279&lt;&gt; "",E279= ""),"Missing Data",(IF(OR(G279="NA",G279=""),"No Criteria",(IF(AND(Q279="NA",D279&lt;&gt;"NA",G279&lt;&gt;"NA"),                                               "Missing Data",(IF(Q279&lt;G279,"No","Needed")))))))))),"---")</f>
        <v>---</v>
      </c>
      <c r="C279" s="350" t="str">
        <f>IF(Start!$C$16="x",IF(OR(D279 ="NA",E279="NA"),"NA",IF(AND(D279= "",E279=""),"",IF(AND(D279= "",E279&lt;&gt; ""),"Missing Data",                     IF(AND(D279&lt;&gt; "",E279= ""),"Missing Data",(IF(OR(G279="NA",G279=""),"No Criteria",(IF(AND(S279="NA",D279&lt;&gt;"NA",G279&lt;&gt;"NA"),                                               "Missing Data",(IF(S279&lt;G279,"No","Needed")))))))))),"---")</f>
        <v>---</v>
      </c>
      <c r="D279" s="372" t="str">
        <f>IF(TRUE=ISBLANK(ChemData!B279),"",(ChemData!B279))</f>
        <v/>
      </c>
      <c r="E279" s="373" t="str">
        <f>IF(TRUE=ISBLANK(ChemData!C279),"",(ChemData!C279))</f>
        <v/>
      </c>
      <c r="F279" s="374" t="str">
        <f>IF(TRUE=ISBLANK(ChemData!D279),"",(ChemData!D279))</f>
        <v/>
      </c>
      <c r="G279" s="289" t="str">
        <f>IF(TRUE=ISBLANK(ChemData!I279),"",(ChemData!I279))</f>
        <v>NA</v>
      </c>
      <c r="H279" s="290">
        <f>IF(TRUE=ISBLANK(ChemData!Q279),"",(ChemData!Q279))</f>
        <v>11679.020446328394</v>
      </c>
      <c r="I279" s="290">
        <f>IF(TRUE=ISBLANK(ChemData!R279),"",(ChemData!R279))</f>
        <v>11679.020446328394</v>
      </c>
      <c r="J279" s="290">
        <f>IF(TRUE=ISBLANK(ChemData!S279),"",(ChemData!S279))</f>
        <v>1</v>
      </c>
      <c r="K279" s="291">
        <f>IF(TRUE=ISBLANK(ChemData!T279),"",(ChemData!T279))</f>
        <v>1</v>
      </c>
      <c r="L279" s="375" t="str">
        <f>IF(Start!$C$16="x",IF(OR(D279="NA",D279=""),"NA", IF(OR($J279 = "NA",J279=""),"NA",(D279*$J279))),"---")</f>
        <v>---</v>
      </c>
      <c r="M279" s="377" t="str">
        <f>IF(Start!$C$16="x",IF(OR(D279="NA",D279=""),"NA", IF(OR($K279 = "NA",K279=""),"NA",(D279*$K279))),"---")</f>
        <v>---</v>
      </c>
      <c r="N279" s="375" t="str">
        <f t="shared" si="11"/>
        <v>---</v>
      </c>
      <c r="O279" s="377" t="str">
        <f t="shared" si="12"/>
        <v>---</v>
      </c>
      <c r="P279" s="461" t="str">
        <f>IF(Start!$C$16="x",(IF(L279 = "NA","NA", (IF(OR($H279 = "NA",H279=""), "NA",(IF(OR(ChemData!U279="NA",ChemData!U279=""),L279/((Data!$D$33+((1-Data!$D$33)*Data!$D$14*$H279))/((1-Data!$D$33)*Data!$D$14*1000)),(IF(L279/((Data!$D$33+((1-Data!$D$33)*Data!$D$14*$H279))/((1-Data!$D$33)*Data!$D$14*1000))&gt;ChemData!U279, ChemData!U279, L279/((Data!$D$33+((1-Data!$D$33)*Data!$D$14*$H279))/((1-Data!$D$33)*Data!$D$14*1000)))))))))),"---")</f>
        <v>---</v>
      </c>
      <c r="Q279" s="376" t="str">
        <f>IF(Start!$C$16="x",IF(OR($F279 = "NA",F279=""), "NA", IF(P279= "NA", "NA",(P279+(Data!$D$30*$F279))/(Data!$D$30+1))),"---")</f>
        <v>---</v>
      </c>
      <c r="R279" s="376" t="str">
        <f>IF(Start!$C$16="x",IF(O279 = "NA","NA", IF(OR($I279 = "NA",I279=""), "NA",(IF(OR(ChemData!U279="NA",ChemData!U279=""),O279/((Data!$D$35+((1-Data!$D$35)*Data!$D$14*$I279))/((1-Data!$D$35)*Data!$D$14*1000)),(IF(O279/((Data!$D$35+((1-Data!$D$35)*Data!$D$14*$I279))/((1-Data!$D$35)*Data!$D$14*1000))&gt;ChemData!U279, ChemData!U279, O279/((Data!$D$35+((1-Data!$D$35)*Data!$D$14*$I279))/((1-Data!$D$35)*Data!$D$14*1000)))))))),"---")</f>
        <v>---</v>
      </c>
      <c r="S279" s="377" t="str">
        <f>IF(Start!$C$16="x",IF(OR($F279 = "NA",F279=""), "NA", IF(R279= "NA", "NA",(R279+(Data!$D$30*$F279))/(Data!$D$30+1))),"---")</f>
        <v>---</v>
      </c>
      <c r="T279" s="343" t="str">
        <f>IF(Start!$C$16="x",IF(AND(D279= "",E279=""),"",IF(Q279="NA","NA",IF(G279="NA","NA",IF(G279=0,"NA",(Q279/G279))))),"Not Req.")</f>
        <v>Not Req.</v>
      </c>
      <c r="U279" s="343" t="str">
        <f>IF(Start!$C$16="x",IF(AND(D279= "",E279=""),"",IF(S279="NA","NA",IF(G279="NA","NA",IF(G279=0,"NA",(S279/G279))))),"Not Req.")</f>
        <v>Not Req.</v>
      </c>
      <c r="V279" s="11"/>
    </row>
    <row r="280" spans="1:22" s="10" customFormat="1" x14ac:dyDescent="0.25">
      <c r="A280" s="307" t="s">
        <v>598</v>
      </c>
      <c r="B280" s="348" t="str">
        <f>IF(Start!$C$16="x",IF(OR(D280 ="NA",E280="NA"),"NA",IF(AND(D280= "",E280=""),"",IF(AND(D280= "",E280&lt;&gt; ""),"Missing Data",                     IF(AND(D280&lt;&gt; "",E280= ""),"Missing Data",(IF(OR(G280="NA",G280=""),"No Criteria",(IF(AND(Q280="NA",D280&lt;&gt;"NA",G280&lt;&gt;"NA"),                                               "Missing Data",(IF(Q280&lt;G280,"No","Needed")))))))))),"---")</f>
        <v>---</v>
      </c>
      <c r="C280" s="350" t="str">
        <f>IF(Start!$C$16="x",IF(OR(D280 ="NA",E280="NA"),"NA",IF(AND(D280= "",E280=""),"",IF(AND(D280= "",E280&lt;&gt; ""),"Missing Data",                     IF(AND(D280&lt;&gt; "",E280= ""),"Missing Data",(IF(OR(G280="NA",G280=""),"No Criteria",(IF(AND(S280="NA",D280&lt;&gt;"NA",G280&lt;&gt;"NA"),                                               "Missing Data",(IF(S280&lt;G280,"No","Needed")))))))))),"---")</f>
        <v>---</v>
      </c>
      <c r="D280" s="372" t="str">
        <f>IF(TRUE=ISBLANK(ChemData!B280),"",(ChemData!B280))</f>
        <v/>
      </c>
      <c r="E280" s="373" t="str">
        <f>IF(TRUE=ISBLANK(ChemData!C280),"",(ChemData!C280))</f>
        <v/>
      </c>
      <c r="F280" s="374" t="str">
        <f>IF(TRUE=ISBLANK(ChemData!D280),"",(ChemData!D280))</f>
        <v/>
      </c>
      <c r="G280" s="289" t="str">
        <f>IF(TRUE=ISBLANK(ChemData!I280),"",(ChemData!I280))</f>
        <v>NA</v>
      </c>
      <c r="H280" s="290">
        <f>IF(TRUE=ISBLANK(ChemData!Q280),"",(ChemData!Q280))</f>
        <v>18510</v>
      </c>
      <c r="I280" s="290">
        <f>IF(TRUE=ISBLANK(ChemData!R280),"",(ChemData!R280))</f>
        <v>18510</v>
      </c>
      <c r="J280" s="290">
        <f>IF(TRUE=ISBLANK(ChemData!S280),"",(ChemData!S280))</f>
        <v>1</v>
      </c>
      <c r="K280" s="291">
        <f>IF(TRUE=ISBLANK(ChemData!T280),"",(ChemData!T280))</f>
        <v>1</v>
      </c>
      <c r="L280" s="375" t="str">
        <f>IF(Start!$C$16="x",IF(OR(D280="NA",D280=""),"NA", IF(OR($J280 = "NA",J280=""),"NA",(D280*$J280))),"---")</f>
        <v>---</v>
      </c>
      <c r="M280" s="377" t="str">
        <f>IF(Start!$C$16="x",IF(OR(D280="NA",D280=""),"NA", IF(OR($K280 = "NA",K280=""),"NA",(D280*$K280))),"---")</f>
        <v>---</v>
      </c>
      <c r="N280" s="375" t="str">
        <f t="shared" si="11"/>
        <v>---</v>
      </c>
      <c r="O280" s="377" t="str">
        <f t="shared" si="12"/>
        <v>---</v>
      </c>
      <c r="P280" s="461" t="str">
        <f>IF(Start!$C$16="x",(IF(L280 = "NA","NA", (IF(OR($H280 = "NA",H280=""), "NA",(IF(OR(ChemData!U280="NA",ChemData!U280=""),L280/((Data!$D$33+((1-Data!$D$33)*Data!$D$14*$H280))/((1-Data!$D$33)*Data!$D$14*1000)),(IF(L280/((Data!$D$33+((1-Data!$D$33)*Data!$D$14*$H280))/((1-Data!$D$33)*Data!$D$14*1000))&gt;ChemData!U280, ChemData!U280, L280/((Data!$D$33+((1-Data!$D$33)*Data!$D$14*$H280))/((1-Data!$D$33)*Data!$D$14*1000)))))))))),"---")</f>
        <v>---</v>
      </c>
      <c r="Q280" s="376" t="str">
        <f>IF(Start!$C$16="x",IF(OR($F280 = "NA",F280=""), "NA", IF(P280= "NA", "NA",(P280+(Data!$D$30*$F280))/(Data!$D$30+1))),"---")</f>
        <v>---</v>
      </c>
      <c r="R280" s="376" t="str">
        <f>IF(Start!$C$16="x",IF(O280 = "NA","NA", IF(OR($I280 = "NA",I280=""), "NA",(IF(OR(ChemData!U280="NA",ChemData!U280=""),O280/((Data!$D$35+((1-Data!$D$35)*Data!$D$14*$I280))/((1-Data!$D$35)*Data!$D$14*1000)),(IF(O280/((Data!$D$35+((1-Data!$D$35)*Data!$D$14*$I280))/((1-Data!$D$35)*Data!$D$14*1000))&gt;ChemData!U280, ChemData!U280, O280/((Data!$D$35+((1-Data!$D$35)*Data!$D$14*$I280))/((1-Data!$D$35)*Data!$D$14*1000)))))))),"---")</f>
        <v>---</v>
      </c>
      <c r="S280" s="377" t="str">
        <f>IF(Start!$C$16="x",IF(OR($F280 = "NA",F280=""), "NA", IF(R280= "NA", "NA",(R280+(Data!$D$30*$F280))/(Data!$D$30+1))),"---")</f>
        <v>---</v>
      </c>
      <c r="T280" s="343" t="str">
        <f>IF(Start!$C$16="x",IF(AND(D280= "",E280=""),"",IF(Q280="NA","NA",IF(G280="NA","NA",IF(G280=0,"NA",(Q280/G280))))),"Not Req.")</f>
        <v>Not Req.</v>
      </c>
      <c r="U280" s="343" t="str">
        <f>IF(Start!$C$16="x",IF(AND(D280= "",E280=""),"",IF(S280="NA","NA",IF(G280="NA","NA",IF(G280=0,"NA",(S280/G280))))),"Not Req.")</f>
        <v>Not Req.</v>
      </c>
      <c r="V280" s="11"/>
    </row>
    <row r="281" spans="1:22" s="10" customFormat="1" x14ac:dyDescent="0.25">
      <c r="A281" s="307" t="s">
        <v>599</v>
      </c>
      <c r="B281" s="348" t="str">
        <f>IF(Start!$C$16="x",IF(OR(D281 ="NA",E281="NA"),"NA",IF(AND(D281= "",E281=""),"",IF(AND(D281= "",E281&lt;&gt; ""),"Missing Data",                     IF(AND(D281&lt;&gt; "",E281= ""),"Missing Data",(IF(OR(G281="NA",G281=""),"No Criteria",(IF(AND(Q281="NA",D281&lt;&gt;"NA",G281&lt;&gt;"NA"),                                               "Missing Data",(IF(Q281&lt;G281,"No","Needed")))))))))),"---")</f>
        <v>---</v>
      </c>
      <c r="C281" s="350" t="str">
        <f>IF(Start!$C$16="x",IF(OR(D281 ="NA",E281="NA"),"NA",IF(AND(D281= "",E281=""),"",IF(AND(D281= "",E281&lt;&gt; ""),"Missing Data",                     IF(AND(D281&lt;&gt; "",E281= ""),"Missing Data",(IF(OR(G281="NA",G281=""),"No Criteria",(IF(AND(S281="NA",D281&lt;&gt;"NA",G281&lt;&gt;"NA"),                                               "Missing Data",(IF(S281&lt;G281,"No","Needed")))))))))),"---")</f>
        <v>---</v>
      </c>
      <c r="D281" s="372" t="str">
        <f>IF(TRUE=ISBLANK(ChemData!B281),"",(ChemData!B281))</f>
        <v/>
      </c>
      <c r="E281" s="373" t="str">
        <f>IF(TRUE=ISBLANK(ChemData!C281),"",(ChemData!C281))</f>
        <v/>
      </c>
      <c r="F281" s="374" t="str">
        <f>IF(TRUE=ISBLANK(ChemData!D281),"",(ChemData!D281))</f>
        <v/>
      </c>
      <c r="G281" s="289" t="str">
        <f>IF(TRUE=ISBLANK(ChemData!I281),"",(ChemData!I281))</f>
        <v>NA</v>
      </c>
      <c r="H281" s="290">
        <f>IF(TRUE=ISBLANK(ChemData!Q281),"",(ChemData!Q281))</f>
        <v>23302.709372310041</v>
      </c>
      <c r="I281" s="290">
        <f>IF(TRUE=ISBLANK(ChemData!R281),"",(ChemData!R281))</f>
        <v>23302.709372310041</v>
      </c>
      <c r="J281" s="290">
        <f>IF(TRUE=ISBLANK(ChemData!S281),"",(ChemData!S281))</f>
        <v>1</v>
      </c>
      <c r="K281" s="291">
        <f>IF(TRUE=ISBLANK(ChemData!T281),"",(ChemData!T281))</f>
        <v>1</v>
      </c>
      <c r="L281" s="375" t="str">
        <f>IF(Start!$C$16="x",IF(OR(D281="NA",D281=""),"NA", IF(OR($J281 = "NA",J281=""),"NA",(D281*$J281))),"---")</f>
        <v>---</v>
      </c>
      <c r="M281" s="377" t="str">
        <f>IF(Start!$C$16="x",IF(OR(D281="NA",D281=""),"NA", IF(OR($K281 = "NA",K281=""),"NA",(D281*$K281))),"---")</f>
        <v>---</v>
      </c>
      <c r="N281" s="375" t="str">
        <f t="shared" si="11"/>
        <v>---</v>
      </c>
      <c r="O281" s="377" t="str">
        <f t="shared" si="12"/>
        <v>---</v>
      </c>
      <c r="P281" s="461" t="str">
        <f>IF(Start!$C$16="x",(IF(L281 = "NA","NA", (IF(OR($H281 = "NA",H281=""), "NA",(IF(OR(ChemData!U281="NA",ChemData!U281=""),L281/((Data!$D$33+((1-Data!$D$33)*Data!$D$14*$H281))/((1-Data!$D$33)*Data!$D$14*1000)),(IF(L281/((Data!$D$33+((1-Data!$D$33)*Data!$D$14*$H281))/((1-Data!$D$33)*Data!$D$14*1000))&gt;ChemData!U281, ChemData!U281, L281/((Data!$D$33+((1-Data!$D$33)*Data!$D$14*$H281))/((1-Data!$D$33)*Data!$D$14*1000)))))))))),"---")</f>
        <v>---</v>
      </c>
      <c r="Q281" s="376" t="str">
        <f>IF(Start!$C$16="x",IF(OR($F281 = "NA",F281=""), "NA", IF(P281= "NA", "NA",(P281+(Data!$D$30*$F281))/(Data!$D$30+1))),"---")</f>
        <v>---</v>
      </c>
      <c r="R281" s="376" t="str">
        <f>IF(Start!$C$16="x",IF(O281 = "NA","NA", IF(OR($I281 = "NA",I281=""), "NA",(IF(OR(ChemData!U281="NA",ChemData!U281=""),O281/((Data!$D$35+((1-Data!$D$35)*Data!$D$14*$I281))/((1-Data!$D$35)*Data!$D$14*1000)),(IF(O281/((Data!$D$35+((1-Data!$D$35)*Data!$D$14*$I281))/((1-Data!$D$35)*Data!$D$14*1000))&gt;ChemData!U281, ChemData!U281, O281/((Data!$D$35+((1-Data!$D$35)*Data!$D$14*$I281))/((1-Data!$D$35)*Data!$D$14*1000)))))))),"---")</f>
        <v>---</v>
      </c>
      <c r="S281" s="377" t="str">
        <f>IF(Start!$C$16="x",IF(OR($F281 = "NA",F281=""), "NA", IF(R281= "NA", "NA",(R281+(Data!$D$30*$F281))/(Data!$D$30+1))),"---")</f>
        <v>---</v>
      </c>
      <c r="T281" s="343" t="str">
        <f>IF(Start!$C$16="x",IF(AND(D281= "",E281=""),"",IF(Q281="NA","NA",IF(G281="NA","NA",IF(G281=0,"NA",(Q281/G281))))),"Not Req.")</f>
        <v>Not Req.</v>
      </c>
      <c r="U281" s="343" t="str">
        <f>IF(Start!$C$16="x",IF(AND(D281= "",E281=""),"",IF(S281="NA","NA",IF(G281="NA","NA",IF(G281=0,"NA",(S281/G281))))),"Not Req.")</f>
        <v>Not Req.</v>
      </c>
      <c r="V281" s="11"/>
    </row>
    <row r="282" spans="1:22" s="10" customFormat="1" x14ac:dyDescent="0.25">
      <c r="A282" s="307" t="s">
        <v>600</v>
      </c>
      <c r="B282" s="348" t="str">
        <f>IF(Start!$C$16="x",IF(OR(D282 ="NA",E282="NA"),"NA",IF(AND(D282= "",E282=""),"",IF(AND(D282= "",E282&lt;&gt; ""),"Missing Data",                     IF(AND(D282&lt;&gt; "",E282= ""),"Missing Data",(IF(OR(G282="NA",G282=""),"No Criteria",(IF(AND(Q282="NA",D282&lt;&gt;"NA",G282&lt;&gt;"NA"),                                               "Missing Data",(IF(Q282&lt;G282,"No","Needed")))))))))),"---")</f>
        <v>---</v>
      </c>
      <c r="C282" s="350" t="str">
        <f>IF(Start!$C$16="x",IF(OR(D282 ="NA",E282="NA"),"NA",IF(AND(D282= "",E282=""),"",IF(AND(D282= "",E282&lt;&gt; ""),"Missing Data",                     IF(AND(D282&lt;&gt; "",E282= ""),"Missing Data",(IF(OR(G282="NA",G282=""),"No Criteria",(IF(AND(S282="NA",D282&lt;&gt;"NA",G282&lt;&gt;"NA"),                                               "Missing Data",(IF(S282&lt;G282,"No","Needed")))))))))),"---")</f>
        <v>---</v>
      </c>
      <c r="D282" s="372" t="str">
        <f>IF(TRUE=ISBLANK(ChemData!B282),"",(ChemData!B282))</f>
        <v/>
      </c>
      <c r="E282" s="373" t="str">
        <f>IF(TRUE=ISBLANK(ChemData!C282),"",(ChemData!C282))</f>
        <v/>
      </c>
      <c r="F282" s="374" t="str">
        <f>IF(TRUE=ISBLANK(ChemData!D282),"",(ChemData!D282))</f>
        <v/>
      </c>
      <c r="G282" s="289" t="str">
        <f>IF(TRUE=ISBLANK(ChemData!I282),"",(ChemData!I282))</f>
        <v>NA</v>
      </c>
      <c r="H282" s="290">
        <f>IF(TRUE=ISBLANK(ChemData!Q282),"",(ChemData!Q282))</f>
        <v>23302.709372310041</v>
      </c>
      <c r="I282" s="290">
        <f>IF(TRUE=ISBLANK(ChemData!R282),"",(ChemData!R282))</f>
        <v>23302.709372310041</v>
      </c>
      <c r="J282" s="290">
        <f>IF(TRUE=ISBLANK(ChemData!S282),"",(ChemData!S282))</f>
        <v>1</v>
      </c>
      <c r="K282" s="291">
        <f>IF(TRUE=ISBLANK(ChemData!T282),"",(ChemData!T282))</f>
        <v>1</v>
      </c>
      <c r="L282" s="375" t="str">
        <f>IF(Start!$C$16="x",IF(OR(D282="NA",D282=""),"NA", IF(OR($J282 = "NA",J282=""),"NA",(D282*$J282))),"---")</f>
        <v>---</v>
      </c>
      <c r="M282" s="377" t="str">
        <f>IF(Start!$C$16="x",IF(OR(D282="NA",D282=""),"NA", IF(OR($K282 = "NA",K282=""),"NA",(D282*$K282))),"---")</f>
        <v>---</v>
      </c>
      <c r="N282" s="375" t="str">
        <f t="shared" si="11"/>
        <v>---</v>
      </c>
      <c r="O282" s="377" t="str">
        <f t="shared" si="12"/>
        <v>---</v>
      </c>
      <c r="P282" s="461" t="str">
        <f>IF(Start!$C$16="x",(IF(L282 = "NA","NA", (IF(OR($H282 = "NA",H282=""), "NA",(IF(OR(ChemData!U282="NA",ChemData!U282=""),L282/((Data!$D$33+((1-Data!$D$33)*Data!$D$14*$H282))/((1-Data!$D$33)*Data!$D$14*1000)),(IF(L282/((Data!$D$33+((1-Data!$D$33)*Data!$D$14*$H282))/((1-Data!$D$33)*Data!$D$14*1000))&gt;ChemData!U282, ChemData!U282, L282/((Data!$D$33+((1-Data!$D$33)*Data!$D$14*$H282))/((1-Data!$D$33)*Data!$D$14*1000)))))))))),"---")</f>
        <v>---</v>
      </c>
      <c r="Q282" s="376" t="str">
        <f>IF(Start!$C$16="x",IF(OR($F282 = "NA",F282=""), "NA", IF(P282= "NA", "NA",(P282+(Data!$D$30*$F282))/(Data!$D$30+1))),"---")</f>
        <v>---</v>
      </c>
      <c r="R282" s="376" t="str">
        <f>IF(Start!$C$16="x",IF(O282 = "NA","NA", IF(OR($I282 = "NA",I282=""), "NA",(IF(OR(ChemData!U282="NA",ChemData!U282=""),O282/((Data!$D$35+((1-Data!$D$35)*Data!$D$14*$I282))/((1-Data!$D$35)*Data!$D$14*1000)),(IF(O282/((Data!$D$35+((1-Data!$D$35)*Data!$D$14*$I282))/((1-Data!$D$35)*Data!$D$14*1000))&gt;ChemData!U282, ChemData!U282, O282/((Data!$D$35+((1-Data!$D$35)*Data!$D$14*$I282))/((1-Data!$D$35)*Data!$D$14*1000)))))))),"---")</f>
        <v>---</v>
      </c>
      <c r="S282" s="377" t="str">
        <f>IF(Start!$C$16="x",IF(OR($F282 = "NA",F282=""), "NA", IF(R282= "NA", "NA",(R282+(Data!$D$30*$F282))/(Data!$D$30+1))),"---")</f>
        <v>---</v>
      </c>
      <c r="T282" s="343" t="str">
        <f>IF(Start!$C$16="x",IF(AND(D282= "",E282=""),"",IF(Q282="NA","NA",IF(G282="NA","NA",IF(G282=0,"NA",(Q282/G282))))),"Not Req.")</f>
        <v>Not Req.</v>
      </c>
      <c r="U282" s="343" t="str">
        <f>IF(Start!$C$16="x",IF(AND(D282= "",E282=""),"",IF(S282="NA","NA",IF(G282="NA","NA",IF(G282=0,"NA",(S282/G282))))),"Not Req.")</f>
        <v>Not Req.</v>
      </c>
      <c r="V282" s="11"/>
    </row>
    <row r="283" spans="1:22" s="10" customFormat="1" x14ac:dyDescent="0.25">
      <c r="A283" s="307" t="s">
        <v>601</v>
      </c>
      <c r="B283" s="348" t="str">
        <f>IF(Start!$C$16="x",IF(OR(D283 ="NA",E283="NA"),"NA",IF(AND(D283= "",E283=""),"",IF(AND(D283= "",E283&lt;&gt; ""),"Missing Data",                     IF(AND(D283&lt;&gt; "",E283= ""),"Missing Data",(IF(OR(G283="NA",G283=""),"No Criteria",(IF(AND(Q283="NA",D283&lt;&gt;"NA",G283&lt;&gt;"NA"),                                               "Missing Data",(IF(Q283&lt;G283,"No","Needed")))))))))),"---")</f>
        <v>---</v>
      </c>
      <c r="C283" s="350" t="str">
        <f>IF(Start!$C$16="x",IF(OR(D283 ="NA",E283="NA"),"NA",IF(AND(D283= "",E283=""),"",IF(AND(D283= "",E283&lt;&gt; ""),"Missing Data",                     IF(AND(D283&lt;&gt; "",E283= ""),"Missing Data",(IF(OR(G283="NA",G283=""),"No Criteria",(IF(AND(S283="NA",D283&lt;&gt;"NA",G283&lt;&gt;"NA"),                                               "Missing Data",(IF(S283&lt;G283,"No","Needed")))))))))),"---")</f>
        <v>---</v>
      </c>
      <c r="D283" s="372" t="str">
        <f>IF(TRUE=ISBLANK(ChemData!B283),"",(ChemData!B283))</f>
        <v/>
      </c>
      <c r="E283" s="373" t="str">
        <f>IF(TRUE=ISBLANK(ChemData!C283),"",(ChemData!C283))</f>
        <v/>
      </c>
      <c r="F283" s="374" t="str">
        <f>IF(TRUE=ISBLANK(ChemData!D283),"",(ChemData!D283))</f>
        <v/>
      </c>
      <c r="G283" s="289" t="str">
        <f>IF(TRUE=ISBLANK(ChemData!I283),"",(ChemData!I283))</f>
        <v>NA</v>
      </c>
      <c r="H283" s="290">
        <f>IF(TRUE=ISBLANK(ChemData!Q283),"",(ChemData!Q283))</f>
        <v>11679.020446328394</v>
      </c>
      <c r="I283" s="290">
        <f>IF(TRUE=ISBLANK(ChemData!R283),"",(ChemData!R283))</f>
        <v>11679.020446328394</v>
      </c>
      <c r="J283" s="290">
        <f>IF(TRUE=ISBLANK(ChemData!S283),"",(ChemData!S283))</f>
        <v>1</v>
      </c>
      <c r="K283" s="291">
        <f>IF(TRUE=ISBLANK(ChemData!T283),"",(ChemData!T283))</f>
        <v>1</v>
      </c>
      <c r="L283" s="375" t="str">
        <f>IF(Start!$C$16="x",IF(OR(D283="NA",D283=""),"NA", IF(OR($J283 = "NA",J283=""),"NA",(D283*$J283))),"---")</f>
        <v>---</v>
      </c>
      <c r="M283" s="377" t="str">
        <f>IF(Start!$C$16="x",IF(OR(D283="NA",D283=""),"NA", IF(OR($K283 = "NA",K283=""),"NA",(D283*$K283))),"---")</f>
        <v>---</v>
      </c>
      <c r="N283" s="375" t="str">
        <f t="shared" si="11"/>
        <v>---</v>
      </c>
      <c r="O283" s="377" t="str">
        <f t="shared" si="12"/>
        <v>---</v>
      </c>
      <c r="P283" s="461" t="str">
        <f>IF(Start!$C$16="x",(IF(L283 = "NA","NA", (IF(OR($H283 = "NA",H283=""), "NA",(IF(OR(ChemData!U283="NA",ChemData!U283=""),L283/((Data!$D$33+((1-Data!$D$33)*Data!$D$14*$H283))/((1-Data!$D$33)*Data!$D$14*1000)),(IF(L283/((Data!$D$33+((1-Data!$D$33)*Data!$D$14*$H283))/((1-Data!$D$33)*Data!$D$14*1000))&gt;ChemData!U283, ChemData!U283, L283/((Data!$D$33+((1-Data!$D$33)*Data!$D$14*$H283))/((1-Data!$D$33)*Data!$D$14*1000)))))))))),"---")</f>
        <v>---</v>
      </c>
      <c r="Q283" s="376" t="str">
        <f>IF(Start!$C$16="x",IF(OR($F283 = "NA",F283=""), "NA", IF(P283= "NA", "NA",(P283+(Data!$D$30*$F283))/(Data!$D$30+1))),"---")</f>
        <v>---</v>
      </c>
      <c r="R283" s="376" t="str">
        <f>IF(Start!$C$16="x",IF(O283 = "NA","NA", IF(OR($I283 = "NA",I283=""), "NA",(IF(OR(ChemData!U283="NA",ChemData!U283=""),O283/((Data!$D$35+((1-Data!$D$35)*Data!$D$14*$I283))/((1-Data!$D$35)*Data!$D$14*1000)),(IF(O283/((Data!$D$35+((1-Data!$D$35)*Data!$D$14*$I283))/((1-Data!$D$35)*Data!$D$14*1000))&gt;ChemData!U283, ChemData!U283, O283/((Data!$D$35+((1-Data!$D$35)*Data!$D$14*$I283))/((1-Data!$D$35)*Data!$D$14*1000)))))))),"---")</f>
        <v>---</v>
      </c>
      <c r="S283" s="377" t="str">
        <f>IF(Start!$C$16="x",IF(OR($F283 = "NA",F283=""), "NA", IF(R283= "NA", "NA",(R283+(Data!$D$30*$F283))/(Data!$D$30+1))),"---")</f>
        <v>---</v>
      </c>
      <c r="T283" s="343" t="str">
        <f>IF(Start!$C$16="x",IF(AND(D283= "",E283=""),"",IF(Q283="NA","NA",IF(G283="NA","NA",IF(G283=0,"NA",(Q283/G283))))),"Not Req.")</f>
        <v>Not Req.</v>
      </c>
      <c r="U283" s="343" t="str">
        <f>IF(Start!$C$16="x",IF(AND(D283= "",E283=""),"",IF(S283="NA","NA",IF(G283="NA","NA",IF(G283=0,"NA",(S283/G283))))),"Not Req.")</f>
        <v>Not Req.</v>
      </c>
      <c r="V283" s="11"/>
    </row>
    <row r="284" spans="1:22" s="10" customFormat="1" x14ac:dyDescent="0.25">
      <c r="A284" s="307" t="s">
        <v>602</v>
      </c>
      <c r="B284" s="348" t="str">
        <f>IF(Start!$C$16="x",IF(OR(D284 ="NA",E284="NA"),"NA",IF(AND(D284= "",E284=""),"",IF(AND(D284= "",E284&lt;&gt; ""),"Missing Data",                     IF(AND(D284&lt;&gt; "",E284= ""),"Missing Data",(IF(OR(G284="NA",G284=""),"No Criteria",(IF(AND(Q284="NA",D284&lt;&gt;"NA",G284&lt;&gt;"NA"),                                               "Missing Data",(IF(Q284&lt;G284,"No","Needed")))))))))),"---")</f>
        <v>---</v>
      </c>
      <c r="C284" s="350" t="str">
        <f>IF(Start!$C$16="x",IF(OR(D284 ="NA",E284="NA"),"NA",IF(AND(D284= "",E284=""),"",IF(AND(D284= "",E284&lt;&gt; ""),"Missing Data",                     IF(AND(D284&lt;&gt; "",E284= ""),"Missing Data",(IF(OR(G284="NA",G284=""),"No Criteria",(IF(AND(S284="NA",D284&lt;&gt;"NA",G284&lt;&gt;"NA"),                                               "Missing Data",(IF(S284&lt;G284,"No","Needed")))))))))),"---")</f>
        <v>---</v>
      </c>
      <c r="D284" s="372" t="str">
        <f>IF(TRUE=ISBLANK(ChemData!B284),"",(ChemData!B284))</f>
        <v/>
      </c>
      <c r="E284" s="373" t="str">
        <f>IF(TRUE=ISBLANK(ChemData!C284),"",(ChemData!C284))</f>
        <v/>
      </c>
      <c r="F284" s="374" t="str">
        <f>IF(TRUE=ISBLANK(ChemData!D284),"",(ChemData!D284))</f>
        <v/>
      </c>
      <c r="G284" s="289" t="str">
        <f>IF(TRUE=ISBLANK(ChemData!I284),"",(ChemData!I284))</f>
        <v>NA</v>
      </c>
      <c r="H284" s="290">
        <f>IF(TRUE=ISBLANK(ChemData!Q284),"",(ChemData!Q284))</f>
        <v>58533.759489716802</v>
      </c>
      <c r="I284" s="290">
        <f>IF(TRUE=ISBLANK(ChemData!R284),"",(ChemData!R284))</f>
        <v>58533.759489716802</v>
      </c>
      <c r="J284" s="290">
        <f>IF(TRUE=ISBLANK(ChemData!S284),"",(ChemData!S284))</f>
        <v>1</v>
      </c>
      <c r="K284" s="291">
        <f>IF(TRUE=ISBLANK(ChemData!T284),"",(ChemData!T284))</f>
        <v>1</v>
      </c>
      <c r="L284" s="375" t="str">
        <f>IF(Start!$C$16="x",IF(OR(D284="NA",D284=""),"NA", IF(OR($J284 = "NA",J284=""),"NA",(D284*$J284))),"---")</f>
        <v>---</v>
      </c>
      <c r="M284" s="377" t="str">
        <f>IF(Start!$C$16="x",IF(OR(D284="NA",D284=""),"NA", IF(OR($K284 = "NA",K284=""),"NA",(D284*$K284))),"---")</f>
        <v>---</v>
      </c>
      <c r="N284" s="375" t="str">
        <f t="shared" si="11"/>
        <v>---</v>
      </c>
      <c r="O284" s="377" t="str">
        <f t="shared" si="12"/>
        <v>---</v>
      </c>
      <c r="P284" s="461" t="str">
        <f>IF(Start!$C$16="x",(IF(L284 = "NA","NA", (IF(OR($H284 = "NA",H284=""), "NA",(IF(OR(ChemData!U284="NA",ChemData!U284=""),L284/((Data!$D$33+((1-Data!$D$33)*Data!$D$14*$H284))/((1-Data!$D$33)*Data!$D$14*1000)),(IF(L284/((Data!$D$33+((1-Data!$D$33)*Data!$D$14*$H284))/((1-Data!$D$33)*Data!$D$14*1000))&gt;ChemData!U284, ChemData!U284, L284/((Data!$D$33+((1-Data!$D$33)*Data!$D$14*$H284))/((1-Data!$D$33)*Data!$D$14*1000)))))))))),"---")</f>
        <v>---</v>
      </c>
      <c r="Q284" s="376" t="str">
        <f>IF(Start!$C$16="x",IF(OR($F284 = "NA",F284=""), "NA", IF(P284= "NA", "NA",(P284+(Data!$D$30*$F284))/(Data!$D$30+1))),"---")</f>
        <v>---</v>
      </c>
      <c r="R284" s="376" t="str">
        <f>IF(Start!$C$16="x",IF(O284 = "NA","NA", IF(OR($I284 = "NA",I284=""), "NA",(IF(OR(ChemData!U284="NA",ChemData!U284=""),O284/((Data!$D$35+((1-Data!$D$35)*Data!$D$14*$I284))/((1-Data!$D$35)*Data!$D$14*1000)),(IF(O284/((Data!$D$35+((1-Data!$D$35)*Data!$D$14*$I284))/((1-Data!$D$35)*Data!$D$14*1000))&gt;ChemData!U284, ChemData!U284, O284/((Data!$D$35+((1-Data!$D$35)*Data!$D$14*$I284))/((1-Data!$D$35)*Data!$D$14*1000)))))))),"---")</f>
        <v>---</v>
      </c>
      <c r="S284" s="377" t="str">
        <f>IF(Start!$C$16="x",IF(OR($F284 = "NA",F284=""), "NA", IF(R284= "NA", "NA",(R284+(Data!$D$30*$F284))/(Data!$D$30+1))),"---")</f>
        <v>---</v>
      </c>
      <c r="T284" s="343" t="str">
        <f>IF(Start!$C$16="x",IF(AND(D284= "",E284=""),"",IF(Q284="NA","NA",IF(G284="NA","NA",IF(G284=0,"NA",(Q284/G284))))),"Not Req.")</f>
        <v>Not Req.</v>
      </c>
      <c r="U284" s="343" t="str">
        <f>IF(Start!$C$16="x",IF(AND(D284= "",E284=""),"",IF(S284="NA","NA",IF(G284="NA","NA",IF(G284=0,"NA",(S284/G284))))),"Not Req.")</f>
        <v>Not Req.</v>
      </c>
      <c r="V284" s="11"/>
    </row>
    <row r="285" spans="1:22" s="10" customFormat="1" x14ac:dyDescent="0.25">
      <c r="A285" s="307" t="s">
        <v>603</v>
      </c>
      <c r="B285" s="348" t="str">
        <f>IF(Start!$C$16="x",IF(OR(D285 ="NA",E285="NA"),"NA",IF(AND(D285= "",E285=""),"",IF(AND(D285= "",E285&lt;&gt; ""),"Missing Data",                     IF(AND(D285&lt;&gt; "",E285= ""),"Missing Data",(IF(OR(G285="NA",G285=""),"No Criteria",(IF(AND(Q285="NA",D285&lt;&gt;"NA",G285&lt;&gt;"NA"),                                               "Missing Data",(IF(Q285&lt;G285,"No","Needed")))))))))),"---")</f>
        <v>---</v>
      </c>
      <c r="C285" s="350" t="str">
        <f>IF(Start!$C$16="x",IF(OR(D285 ="NA",E285="NA"),"NA",IF(AND(D285= "",E285=""),"",IF(AND(D285= "",E285&lt;&gt; ""),"Missing Data",                     IF(AND(D285&lt;&gt; "",E285= ""),"Missing Data",(IF(OR(G285="NA",G285=""),"No Criteria",(IF(AND(S285="NA",D285&lt;&gt;"NA",G285&lt;&gt;"NA"),                                               "Missing Data",(IF(S285&lt;G285,"No","Needed")))))))))),"---")</f>
        <v>---</v>
      </c>
      <c r="D285" s="372" t="str">
        <f>IF(TRUE=ISBLANK(ChemData!B285),"",(ChemData!B285))</f>
        <v/>
      </c>
      <c r="E285" s="373" t="str">
        <f>IF(TRUE=ISBLANK(ChemData!C285),"",(ChemData!C285))</f>
        <v/>
      </c>
      <c r="F285" s="374" t="str">
        <f>IF(TRUE=ISBLANK(ChemData!D285),"",(ChemData!D285))</f>
        <v/>
      </c>
      <c r="G285" s="289" t="str">
        <f>IF(TRUE=ISBLANK(ChemData!I285),"",(ChemData!I285))</f>
        <v>NA</v>
      </c>
      <c r="H285" s="290">
        <f>IF(TRUE=ISBLANK(ChemData!Q285),"",(ChemData!Q285))</f>
        <v>58533.759489716802</v>
      </c>
      <c r="I285" s="290">
        <f>IF(TRUE=ISBLANK(ChemData!R285),"",(ChemData!R285))</f>
        <v>58533.759489716802</v>
      </c>
      <c r="J285" s="290">
        <f>IF(TRUE=ISBLANK(ChemData!S285),"",(ChemData!S285))</f>
        <v>1</v>
      </c>
      <c r="K285" s="291">
        <f>IF(TRUE=ISBLANK(ChemData!T285),"",(ChemData!T285))</f>
        <v>1</v>
      </c>
      <c r="L285" s="375" t="str">
        <f>IF(Start!$C$16="x",IF(OR(D285="NA",D285=""),"NA", IF(OR($J285 = "NA",J285=""),"NA",(D285*$J285))),"---")</f>
        <v>---</v>
      </c>
      <c r="M285" s="377" t="str">
        <f>IF(Start!$C$16="x",IF(OR(D285="NA",D285=""),"NA", IF(OR($K285 = "NA",K285=""),"NA",(D285*$K285))),"---")</f>
        <v>---</v>
      </c>
      <c r="N285" s="375" t="str">
        <f t="shared" si="11"/>
        <v>---</v>
      </c>
      <c r="O285" s="377" t="str">
        <f t="shared" si="12"/>
        <v>---</v>
      </c>
      <c r="P285" s="461" t="str">
        <f>IF(Start!$C$16="x",(IF(L285 = "NA","NA", (IF(OR($H285 = "NA",H285=""), "NA",(IF(OR(ChemData!U285="NA",ChemData!U285=""),L285/((Data!$D$33+((1-Data!$D$33)*Data!$D$14*$H285))/((1-Data!$D$33)*Data!$D$14*1000)),(IF(L285/((Data!$D$33+((1-Data!$D$33)*Data!$D$14*$H285))/((1-Data!$D$33)*Data!$D$14*1000))&gt;ChemData!U285, ChemData!U285, L285/((Data!$D$33+((1-Data!$D$33)*Data!$D$14*$H285))/((1-Data!$D$33)*Data!$D$14*1000)))))))))),"---")</f>
        <v>---</v>
      </c>
      <c r="Q285" s="376" t="str">
        <f>IF(Start!$C$16="x",IF(OR($F285 = "NA",F285=""), "NA", IF(P285= "NA", "NA",(P285+(Data!$D$30*$F285))/(Data!$D$30+1))),"---")</f>
        <v>---</v>
      </c>
      <c r="R285" s="376" t="str">
        <f>IF(Start!$C$16="x",IF(O285 = "NA","NA", IF(OR($I285 = "NA",I285=""), "NA",(IF(OR(ChemData!U285="NA",ChemData!U285=""),O285/((Data!$D$35+((1-Data!$D$35)*Data!$D$14*$I285))/((1-Data!$D$35)*Data!$D$14*1000)),(IF(O285/((Data!$D$35+((1-Data!$D$35)*Data!$D$14*$I285))/((1-Data!$D$35)*Data!$D$14*1000))&gt;ChemData!U285, ChemData!U285, O285/((Data!$D$35+((1-Data!$D$35)*Data!$D$14*$I285))/((1-Data!$D$35)*Data!$D$14*1000)))))))),"---")</f>
        <v>---</v>
      </c>
      <c r="S285" s="377" t="str">
        <f>IF(Start!$C$16="x",IF(OR($F285 = "NA",F285=""), "NA", IF(R285= "NA", "NA",(R285+(Data!$D$30*$F285))/(Data!$D$30+1))),"---")</f>
        <v>---</v>
      </c>
      <c r="T285" s="343" t="str">
        <f>IF(Start!$C$16="x",IF(AND(D285= "",E285=""),"",IF(Q285="NA","NA",IF(G285="NA","NA",IF(G285=0,"NA",(Q285/G285))))),"Not Req.")</f>
        <v>Not Req.</v>
      </c>
      <c r="U285" s="343" t="str">
        <f>IF(Start!$C$16="x",IF(AND(D285= "",E285=""),"",IF(S285="NA","NA",IF(G285="NA","NA",IF(G285=0,"NA",(S285/G285))))),"Not Req.")</f>
        <v>Not Req.</v>
      </c>
      <c r="V285" s="11"/>
    </row>
    <row r="286" spans="1:22" s="10" customFormat="1" x14ac:dyDescent="0.25">
      <c r="A286" s="307" t="s">
        <v>604</v>
      </c>
      <c r="B286" s="348" t="str">
        <f>IF(Start!$C$16="x",IF(OR(D286 ="NA",E286="NA"),"NA",IF(AND(D286= "",E286=""),"",IF(AND(D286= "",E286&lt;&gt; ""),"Missing Data",                     IF(AND(D286&lt;&gt; "",E286= ""),"Missing Data",(IF(OR(G286="NA",G286=""),"No Criteria",(IF(AND(Q286="NA",D286&lt;&gt;"NA",G286&lt;&gt;"NA"),                                               "Missing Data",(IF(Q286&lt;G286,"No","Needed")))))))))),"---")</f>
        <v>---</v>
      </c>
      <c r="C286" s="350" t="str">
        <f>IF(Start!$C$16="x",IF(OR(D286 ="NA",E286="NA"),"NA",IF(AND(D286= "",E286=""),"",IF(AND(D286= "",E286&lt;&gt; ""),"Missing Data",                     IF(AND(D286&lt;&gt; "",E286= ""),"Missing Data",(IF(OR(G286="NA",G286=""),"No Criteria",(IF(AND(S286="NA",D286&lt;&gt;"NA",G286&lt;&gt;"NA"),                                               "Missing Data",(IF(S286&lt;G286,"No","Needed")))))))))),"---")</f>
        <v>---</v>
      </c>
      <c r="D286" s="372" t="str">
        <f>IF(TRUE=ISBLANK(ChemData!B286),"",(ChemData!B286))</f>
        <v/>
      </c>
      <c r="E286" s="373" t="str">
        <f>IF(TRUE=ISBLANK(ChemData!C286),"",(ChemData!C286))</f>
        <v/>
      </c>
      <c r="F286" s="374" t="str">
        <f>IF(TRUE=ISBLANK(ChemData!D286),"",(ChemData!D286))</f>
        <v/>
      </c>
      <c r="G286" s="289" t="str">
        <f>IF(TRUE=ISBLANK(ChemData!I286),"",(ChemData!I286))</f>
        <v>NA</v>
      </c>
      <c r="H286" s="290">
        <f>IF(TRUE=ISBLANK(ChemData!Q286),"",(ChemData!Q286))</f>
        <v>46495.01784724246</v>
      </c>
      <c r="I286" s="290">
        <f>IF(TRUE=ISBLANK(ChemData!R286),"",(ChemData!R286))</f>
        <v>46495.01784724246</v>
      </c>
      <c r="J286" s="290">
        <f>IF(TRUE=ISBLANK(ChemData!S286),"",(ChemData!S286))</f>
        <v>1</v>
      </c>
      <c r="K286" s="291">
        <f>IF(TRUE=ISBLANK(ChemData!T286),"",(ChemData!T286))</f>
        <v>1</v>
      </c>
      <c r="L286" s="375" t="str">
        <f>IF(Start!$C$16="x",IF(OR(D286="NA",D286=""),"NA", IF(OR($J286 = "NA",J286=""),"NA",(D286*$J286))),"---")</f>
        <v>---</v>
      </c>
      <c r="M286" s="377" t="str">
        <f>IF(Start!$C$16="x",IF(OR(D286="NA",D286=""),"NA", IF(OR($K286 = "NA",K286=""),"NA",(D286*$K286))),"---")</f>
        <v>---</v>
      </c>
      <c r="N286" s="375" t="str">
        <f t="shared" si="11"/>
        <v>---</v>
      </c>
      <c r="O286" s="377" t="str">
        <f t="shared" si="12"/>
        <v>---</v>
      </c>
      <c r="P286" s="461" t="str">
        <f>IF(Start!$C$16="x",(IF(L286 = "NA","NA", (IF(OR($H286 = "NA",H286=""), "NA",(IF(OR(ChemData!U286="NA",ChemData!U286=""),L286/((Data!$D$33+((1-Data!$D$33)*Data!$D$14*$H286))/((1-Data!$D$33)*Data!$D$14*1000)),(IF(L286/((Data!$D$33+((1-Data!$D$33)*Data!$D$14*$H286))/((1-Data!$D$33)*Data!$D$14*1000))&gt;ChemData!U286, ChemData!U286, L286/((Data!$D$33+((1-Data!$D$33)*Data!$D$14*$H286))/((1-Data!$D$33)*Data!$D$14*1000)))))))))),"---")</f>
        <v>---</v>
      </c>
      <c r="Q286" s="376" t="str">
        <f>IF(Start!$C$16="x",IF(OR($F286 = "NA",F286=""), "NA", IF(P286= "NA", "NA",(P286+(Data!$D$30*$F286))/(Data!$D$30+1))),"---")</f>
        <v>---</v>
      </c>
      <c r="R286" s="376" t="str">
        <f>IF(Start!$C$16="x",IF(O286 = "NA","NA", IF(OR($I286 = "NA",I286=""), "NA",(IF(OR(ChemData!U286="NA",ChemData!U286=""),O286/((Data!$D$35+((1-Data!$D$35)*Data!$D$14*$I286))/((1-Data!$D$35)*Data!$D$14*1000)),(IF(O286/((Data!$D$35+((1-Data!$D$35)*Data!$D$14*$I286))/((1-Data!$D$35)*Data!$D$14*1000))&gt;ChemData!U286, ChemData!U286, O286/((Data!$D$35+((1-Data!$D$35)*Data!$D$14*$I286))/((1-Data!$D$35)*Data!$D$14*1000)))))))),"---")</f>
        <v>---</v>
      </c>
      <c r="S286" s="377" t="str">
        <f>IF(Start!$C$16="x",IF(OR($F286 = "NA",F286=""), "NA", IF(R286= "NA", "NA",(R286+(Data!$D$30*$F286))/(Data!$D$30+1))),"---")</f>
        <v>---</v>
      </c>
      <c r="T286" s="343" t="str">
        <f>IF(Start!$C$16="x",IF(AND(D286= "",E286=""),"",IF(Q286="NA","NA",IF(G286="NA","NA",IF(G286=0,"NA",(Q286/G286))))),"Not Req.")</f>
        <v>Not Req.</v>
      </c>
      <c r="U286" s="343" t="str">
        <f>IF(Start!$C$16="x",IF(AND(D286= "",E286=""),"",IF(S286="NA","NA",IF(G286="NA","NA",IF(G286=0,"NA",(S286/G286))))),"Not Req.")</f>
        <v>Not Req.</v>
      </c>
      <c r="V286" s="11"/>
    </row>
    <row r="287" spans="1:22" s="10" customFormat="1" x14ac:dyDescent="0.25">
      <c r="A287" s="307" t="s">
        <v>605</v>
      </c>
      <c r="B287" s="348" t="str">
        <f>IF(Start!$C$16="x",IF(OR(D287 ="NA",E287="NA"),"NA",IF(AND(D287= "",E287=""),"",IF(AND(D287= "",E287&lt;&gt; ""),"Missing Data",                     IF(AND(D287&lt;&gt; "",E287= ""),"Missing Data",(IF(OR(G287="NA",G287=""),"No Criteria",(IF(AND(Q287="NA",D287&lt;&gt;"NA",G287&lt;&gt;"NA"),                                               "Missing Data",(IF(Q287&lt;G287,"No","Needed")))))))))),"---")</f>
        <v>---</v>
      </c>
      <c r="C287" s="350" t="str">
        <f>IF(Start!$C$16="x",IF(OR(D287 ="NA",E287="NA"),"NA",IF(AND(D287= "",E287=""),"",IF(AND(D287= "",E287&lt;&gt; ""),"Missing Data",                     IF(AND(D287&lt;&gt; "",E287= ""),"Missing Data",(IF(OR(G287="NA",G287=""),"No Criteria",(IF(AND(S287="NA",D287&lt;&gt;"NA",G287&lt;&gt;"NA"),                                               "Missing Data",(IF(S287&lt;G287,"No","Needed")))))))))),"---")</f>
        <v>---</v>
      </c>
      <c r="D287" s="372" t="str">
        <f>IF(TRUE=ISBLANK(ChemData!B287),"",(ChemData!B287))</f>
        <v/>
      </c>
      <c r="E287" s="373" t="str">
        <f>IF(TRUE=ISBLANK(ChemData!C287),"",(ChemData!C287))</f>
        <v/>
      </c>
      <c r="F287" s="374" t="str">
        <f>IF(TRUE=ISBLANK(ChemData!D287),"",(ChemData!D287))</f>
        <v/>
      </c>
      <c r="G287" s="289" t="str">
        <f>IF(TRUE=ISBLANK(ChemData!I287),"",(ChemData!I287))</f>
        <v>NA</v>
      </c>
      <c r="H287" s="290">
        <f>IF(TRUE=ISBLANK(ChemData!Q287),"",(ChemData!Q287))</f>
        <v>114131.73484456044</v>
      </c>
      <c r="I287" s="290">
        <f>IF(TRUE=ISBLANK(ChemData!R287),"",(ChemData!R287))</f>
        <v>114131.73484456044</v>
      </c>
      <c r="J287" s="290">
        <f>IF(TRUE=ISBLANK(ChemData!S287),"",(ChemData!S287))</f>
        <v>1</v>
      </c>
      <c r="K287" s="291">
        <f>IF(TRUE=ISBLANK(ChemData!T287),"",(ChemData!T287))</f>
        <v>1</v>
      </c>
      <c r="L287" s="375" t="str">
        <f>IF(Start!$C$16="x",IF(OR(D287="NA",D287=""),"NA", IF(OR($J287 = "NA",J287=""),"NA",(D287*$J287))),"---")</f>
        <v>---</v>
      </c>
      <c r="M287" s="377" t="str">
        <f>IF(Start!$C$16="x",IF(OR(D287="NA",D287=""),"NA", IF(OR($K287 = "NA",K287=""),"NA",(D287*$K287))),"---")</f>
        <v>---</v>
      </c>
      <c r="N287" s="375" t="str">
        <f t="shared" si="11"/>
        <v>---</v>
      </c>
      <c r="O287" s="377" t="str">
        <f t="shared" si="12"/>
        <v>---</v>
      </c>
      <c r="P287" s="461" t="str">
        <f>IF(Start!$C$16="x",(IF(L287 = "NA","NA", (IF(OR($H287 = "NA",H287=""), "NA",(IF(OR(ChemData!U287="NA",ChemData!U287=""),L287/((Data!$D$33+((1-Data!$D$33)*Data!$D$14*$H287))/((1-Data!$D$33)*Data!$D$14*1000)),(IF(L287/((Data!$D$33+((1-Data!$D$33)*Data!$D$14*$H287))/((1-Data!$D$33)*Data!$D$14*1000))&gt;ChemData!U287, ChemData!U287, L287/((Data!$D$33+((1-Data!$D$33)*Data!$D$14*$H287))/((1-Data!$D$33)*Data!$D$14*1000)))))))))),"---")</f>
        <v>---</v>
      </c>
      <c r="Q287" s="376" t="str">
        <f>IF(Start!$C$16="x",IF(OR($F287 = "NA",F287=""), "NA", IF(P287= "NA", "NA",(P287+(Data!$D$30*$F287))/(Data!$D$30+1))),"---")</f>
        <v>---</v>
      </c>
      <c r="R287" s="376" t="str">
        <f>IF(Start!$C$16="x",IF(O287 = "NA","NA", IF(OR($I287 = "NA",I287=""), "NA",(IF(OR(ChemData!U287="NA",ChemData!U287=""),O287/((Data!$D$35+((1-Data!$D$35)*Data!$D$14*$I287))/((1-Data!$D$35)*Data!$D$14*1000)),(IF(O287/((Data!$D$35+((1-Data!$D$35)*Data!$D$14*$I287))/((1-Data!$D$35)*Data!$D$14*1000))&gt;ChemData!U287, ChemData!U287, O287/((Data!$D$35+((1-Data!$D$35)*Data!$D$14*$I287))/((1-Data!$D$35)*Data!$D$14*1000)))))))),"---")</f>
        <v>---</v>
      </c>
      <c r="S287" s="377" t="str">
        <f>IF(Start!$C$16="x",IF(OR($F287 = "NA",F287=""), "NA", IF(R287= "NA", "NA",(R287+(Data!$D$30*$F287))/(Data!$D$30+1))),"---")</f>
        <v>---</v>
      </c>
      <c r="T287" s="343" t="str">
        <f>IF(Start!$C$16="x",IF(AND(D287= "",E287=""),"",IF(Q287="NA","NA",IF(G287="NA","NA",IF(G287=0,"NA",(Q287/G287))))),"Not Req.")</f>
        <v>Not Req.</v>
      </c>
      <c r="U287" s="343" t="str">
        <f>IF(Start!$C$16="x",IF(AND(D287= "",E287=""),"",IF(S287="NA","NA",IF(G287="NA","NA",IF(G287=0,"NA",(S287/G287))))),"Not Req.")</f>
        <v>Not Req.</v>
      </c>
      <c r="V287" s="11"/>
    </row>
    <row r="288" spans="1:22" s="10" customFormat="1" x14ac:dyDescent="0.25">
      <c r="A288" s="307" t="s">
        <v>606</v>
      </c>
      <c r="B288" s="348" t="str">
        <f>IF(Start!$C$16="x",IF(OR(D288 ="NA",E288="NA"),"NA",IF(AND(D288= "",E288=""),"",IF(AND(D288= "",E288&lt;&gt; ""),"Missing Data",                     IF(AND(D288&lt;&gt; "",E288= ""),"Missing Data",(IF(OR(G288="NA",G288=""),"No Criteria",(IF(AND(Q288="NA",D288&lt;&gt;"NA",G288&lt;&gt;"NA"),                                               "Missing Data",(IF(Q288&lt;G288,"No","Needed")))))))))),"---")</f>
        <v>---</v>
      </c>
      <c r="C288" s="350" t="str">
        <f>IF(Start!$C$16="x",IF(OR(D288 ="NA",E288="NA"),"NA",IF(AND(D288= "",E288=""),"",IF(AND(D288= "",E288&lt;&gt; ""),"Missing Data",                     IF(AND(D288&lt;&gt; "",E288= ""),"Missing Data",(IF(OR(G288="NA",G288=""),"No Criteria",(IF(AND(S288="NA",D288&lt;&gt;"NA",G288&lt;&gt;"NA"),                                               "Missing Data",(IF(S288&lt;G288,"No","Needed")))))))))),"---")</f>
        <v>---</v>
      </c>
      <c r="D288" s="372" t="str">
        <f>IF(TRUE=ISBLANK(ChemData!B288),"",(ChemData!B288))</f>
        <v/>
      </c>
      <c r="E288" s="373" t="str">
        <f>IF(TRUE=ISBLANK(ChemData!C288),"",(ChemData!C288))</f>
        <v/>
      </c>
      <c r="F288" s="374" t="str">
        <f>IF(TRUE=ISBLANK(ChemData!D288),"",(ChemData!D288))</f>
        <v/>
      </c>
      <c r="G288" s="289" t="str">
        <f>IF(TRUE=ISBLANK(ChemData!I288),"",(ChemData!I288))</f>
        <v>NA</v>
      </c>
      <c r="H288" s="290">
        <f>IF(TRUE=ISBLANK(ChemData!Q288),"",(ChemData!Q288))</f>
        <v>53383.423122873501</v>
      </c>
      <c r="I288" s="290">
        <f>IF(TRUE=ISBLANK(ChemData!R288),"",(ChemData!R288))</f>
        <v>53383.423122873501</v>
      </c>
      <c r="J288" s="290">
        <f>IF(TRUE=ISBLANK(ChemData!S288),"",(ChemData!S288))</f>
        <v>1</v>
      </c>
      <c r="K288" s="291">
        <f>IF(TRUE=ISBLANK(ChemData!T288),"",(ChemData!T288))</f>
        <v>1</v>
      </c>
      <c r="L288" s="375" t="str">
        <f>IF(Start!$C$16="x",IF(OR(D288="NA",D288=""),"NA", IF(OR($J288 = "NA",J288=""),"NA",(D288*$J288))),"---")</f>
        <v>---</v>
      </c>
      <c r="M288" s="377" t="str">
        <f>IF(Start!$C$16="x",IF(OR(D288="NA",D288=""),"NA", IF(OR($K288 = "NA",K288=""),"NA",(D288*$K288))),"---")</f>
        <v>---</v>
      </c>
      <c r="N288" s="375" t="str">
        <f t="shared" si="11"/>
        <v>---</v>
      </c>
      <c r="O288" s="377" t="str">
        <f t="shared" si="12"/>
        <v>---</v>
      </c>
      <c r="P288" s="461" t="str">
        <f>IF(Start!$C$16="x",(IF(L288 = "NA","NA", (IF(OR($H288 = "NA",H288=""), "NA",(IF(OR(ChemData!U288="NA",ChemData!U288=""),L288/((Data!$D$33+((1-Data!$D$33)*Data!$D$14*$H288))/((1-Data!$D$33)*Data!$D$14*1000)),(IF(L288/((Data!$D$33+((1-Data!$D$33)*Data!$D$14*$H288))/((1-Data!$D$33)*Data!$D$14*1000))&gt;ChemData!U288, ChemData!U288, L288/((Data!$D$33+((1-Data!$D$33)*Data!$D$14*$H288))/((1-Data!$D$33)*Data!$D$14*1000)))))))))),"---")</f>
        <v>---</v>
      </c>
      <c r="Q288" s="376" t="str">
        <f>IF(Start!$C$16="x",IF(OR($F288 = "NA",F288=""), "NA", IF(P288= "NA", "NA",(P288+(Data!$D$30*$F288))/(Data!$D$30+1))),"---")</f>
        <v>---</v>
      </c>
      <c r="R288" s="376" t="str">
        <f>IF(Start!$C$16="x",IF(O288 = "NA","NA", IF(OR($I288 = "NA",I288=""), "NA",(IF(OR(ChemData!U288="NA",ChemData!U288=""),O288/((Data!$D$35+((1-Data!$D$35)*Data!$D$14*$I288))/((1-Data!$D$35)*Data!$D$14*1000)),(IF(O288/((Data!$D$35+((1-Data!$D$35)*Data!$D$14*$I288))/((1-Data!$D$35)*Data!$D$14*1000))&gt;ChemData!U288, ChemData!U288, O288/((Data!$D$35+((1-Data!$D$35)*Data!$D$14*$I288))/((1-Data!$D$35)*Data!$D$14*1000)))))))),"---")</f>
        <v>---</v>
      </c>
      <c r="S288" s="377" t="str">
        <f>IF(Start!$C$16="x",IF(OR($F288 = "NA",F288=""), "NA", IF(R288= "NA", "NA",(R288+(Data!$D$30*$F288))/(Data!$D$30+1))),"---")</f>
        <v>---</v>
      </c>
      <c r="T288" s="343" t="str">
        <f>IF(Start!$C$16="x",IF(AND(D288= "",E288=""),"",IF(Q288="NA","NA",IF(G288="NA","NA",IF(G288=0,"NA",(Q288/G288))))),"Not Req.")</f>
        <v>Not Req.</v>
      </c>
      <c r="U288" s="343" t="str">
        <f>IF(Start!$C$16="x",IF(AND(D288= "",E288=""),"",IF(S288="NA","NA",IF(G288="NA","NA",IF(G288=0,"NA",(S288/G288))))),"Not Req.")</f>
        <v>Not Req.</v>
      </c>
      <c r="V288" s="11"/>
    </row>
    <row r="289" spans="1:22" s="10" customFormat="1" x14ac:dyDescent="0.25">
      <c r="A289" s="307" t="s">
        <v>607</v>
      </c>
      <c r="B289" s="348" t="str">
        <f>IF(Start!$C$16="x",IF(OR(D289 ="NA",E289="NA"),"NA",IF(AND(D289= "",E289=""),"",IF(AND(D289= "",E289&lt;&gt; ""),"Missing Data",                     IF(AND(D289&lt;&gt; "",E289= ""),"Missing Data",(IF(OR(G289="NA",G289=""),"No Criteria",(IF(AND(Q289="NA",D289&lt;&gt;"NA",G289&lt;&gt;"NA"),                                               "Missing Data",(IF(Q289&lt;G289,"No","Needed")))))))))),"---")</f>
        <v>---</v>
      </c>
      <c r="C289" s="350" t="str">
        <f>IF(Start!$C$16="x",IF(OR(D289 ="NA",E289="NA"),"NA",IF(AND(D289= "",E289=""),"",IF(AND(D289= "",E289&lt;&gt; ""),"Missing Data",                     IF(AND(D289&lt;&gt; "",E289= ""),"Missing Data",(IF(OR(G289="NA",G289=""),"No Criteria",(IF(AND(S289="NA",D289&lt;&gt;"NA",G289&lt;&gt;"NA"),                                               "Missing Data",(IF(S289&lt;G289,"No","Needed")))))))))),"---")</f>
        <v>---</v>
      </c>
      <c r="D289" s="372" t="str">
        <f>IF(TRUE=ISBLANK(ChemData!B289),"",(ChemData!B289))</f>
        <v/>
      </c>
      <c r="E289" s="373" t="str">
        <f>IF(TRUE=ISBLANK(ChemData!C289),"",(ChemData!C289))</f>
        <v/>
      </c>
      <c r="F289" s="374" t="str">
        <f>IF(TRUE=ISBLANK(ChemData!D289),"",(ChemData!D289))</f>
        <v/>
      </c>
      <c r="G289" s="289" t="str">
        <f>IF(TRUE=ISBLANK(ChemData!I289),"",(ChemData!I289))</f>
        <v>NA</v>
      </c>
      <c r="H289" s="290">
        <f>IF(TRUE=ISBLANK(ChemData!Q289),"",(ChemData!Q289))</f>
        <v>73689.637269452403</v>
      </c>
      <c r="I289" s="290">
        <f>IF(TRUE=ISBLANK(ChemData!R289),"",(ChemData!R289))</f>
        <v>73689.637269452403</v>
      </c>
      <c r="J289" s="290">
        <f>IF(TRUE=ISBLANK(ChemData!S289),"",(ChemData!S289))</f>
        <v>1</v>
      </c>
      <c r="K289" s="291">
        <f>IF(TRUE=ISBLANK(ChemData!T289),"",(ChemData!T289))</f>
        <v>1</v>
      </c>
      <c r="L289" s="375" t="str">
        <f>IF(Start!$C$16="x",IF(OR(D289="NA",D289=""),"NA", IF(OR($J289 = "NA",J289=""),"NA",(D289*$J289))),"---")</f>
        <v>---</v>
      </c>
      <c r="M289" s="377" t="str">
        <f>IF(Start!$C$16="x",IF(OR(D289="NA",D289=""),"NA", IF(OR($K289 = "NA",K289=""),"NA",(D289*$K289))),"---")</f>
        <v>---</v>
      </c>
      <c r="N289" s="375" t="str">
        <f t="shared" si="11"/>
        <v>---</v>
      </c>
      <c r="O289" s="377" t="str">
        <f t="shared" si="12"/>
        <v>---</v>
      </c>
      <c r="P289" s="461" t="str">
        <f>IF(Start!$C$16="x",(IF(L289 = "NA","NA", (IF(OR($H289 = "NA",H289=""), "NA",(IF(OR(ChemData!U289="NA",ChemData!U289=""),L289/((Data!$D$33+((1-Data!$D$33)*Data!$D$14*$H289))/((1-Data!$D$33)*Data!$D$14*1000)),(IF(L289/((Data!$D$33+((1-Data!$D$33)*Data!$D$14*$H289))/((1-Data!$D$33)*Data!$D$14*1000))&gt;ChemData!U289, ChemData!U289, L289/((Data!$D$33+((1-Data!$D$33)*Data!$D$14*$H289))/((1-Data!$D$33)*Data!$D$14*1000)))))))))),"---")</f>
        <v>---</v>
      </c>
      <c r="Q289" s="376" t="str">
        <f>IF(Start!$C$16="x",IF(OR($F289 = "NA",F289=""), "NA", IF(P289= "NA", "NA",(P289+(Data!$D$30*$F289))/(Data!$D$30+1))),"---")</f>
        <v>---</v>
      </c>
      <c r="R289" s="376" t="str">
        <f>IF(Start!$C$16="x",IF(O289 = "NA","NA", IF(OR($I289 = "NA",I289=""), "NA",(IF(OR(ChemData!U289="NA",ChemData!U289=""),O289/((Data!$D$35+((1-Data!$D$35)*Data!$D$14*$I289))/((1-Data!$D$35)*Data!$D$14*1000)),(IF(O289/((Data!$D$35+((1-Data!$D$35)*Data!$D$14*$I289))/((1-Data!$D$35)*Data!$D$14*1000))&gt;ChemData!U289, ChemData!U289, O289/((Data!$D$35+((1-Data!$D$35)*Data!$D$14*$I289))/((1-Data!$D$35)*Data!$D$14*1000)))))))),"---")</f>
        <v>---</v>
      </c>
      <c r="S289" s="377" t="str">
        <f>IF(Start!$C$16="x",IF(OR($F289 = "NA",F289=""), "NA", IF(R289= "NA", "NA",(R289+(Data!$D$30*$F289))/(Data!$D$30+1))),"---")</f>
        <v>---</v>
      </c>
      <c r="T289" s="343" t="str">
        <f>IF(Start!$C$16="x",IF(AND(D289= "",E289=""),"",IF(Q289="NA","NA",IF(G289="NA","NA",IF(G289=0,"NA",(Q289/G289))))),"Not Req.")</f>
        <v>Not Req.</v>
      </c>
      <c r="U289" s="343" t="str">
        <f>IF(Start!$C$16="x",IF(AND(D289= "",E289=""),"",IF(S289="NA","NA",IF(G289="NA","NA",IF(G289=0,"NA",(S289/G289))))),"Not Req.")</f>
        <v>Not Req.</v>
      </c>
      <c r="V289" s="11"/>
    </row>
    <row r="290" spans="1:22" s="10" customFormat="1" x14ac:dyDescent="0.25">
      <c r="A290" s="307" t="s">
        <v>608</v>
      </c>
      <c r="B290" s="348" t="str">
        <f>IF(Start!$C$16="x",IF(OR(D290 ="NA",E290="NA"),"NA",IF(AND(D290= "",E290=""),"",IF(AND(D290= "",E290&lt;&gt; ""),"Missing Data",                     IF(AND(D290&lt;&gt; "",E290= ""),"Missing Data",(IF(OR(G290="NA",G290=""),"No Criteria",(IF(AND(Q290="NA",D290&lt;&gt;"NA",G290&lt;&gt;"NA"),                                               "Missing Data",(IF(Q290&lt;G290,"No","Needed")))))))))),"---")</f>
        <v>---</v>
      </c>
      <c r="C290" s="350" t="str">
        <f>IF(Start!$C$16="x",IF(OR(D290 ="NA",E290="NA"),"NA",IF(AND(D290= "",E290=""),"",IF(AND(D290= "",E290&lt;&gt; ""),"Missing Data",                     IF(AND(D290&lt;&gt; "",E290= ""),"Missing Data",(IF(OR(G290="NA",G290=""),"No Criteria",(IF(AND(S290="NA",D290&lt;&gt;"NA",G290&lt;&gt;"NA"),                                               "Missing Data",(IF(S290&lt;G290,"No","Needed")))))))))),"---")</f>
        <v>---</v>
      </c>
      <c r="D290" s="372" t="str">
        <f>IF(TRUE=ISBLANK(ChemData!B290),"",(ChemData!B290))</f>
        <v/>
      </c>
      <c r="E290" s="373" t="str">
        <f>IF(TRUE=ISBLANK(ChemData!C290),"",(ChemData!C290))</f>
        <v/>
      </c>
      <c r="F290" s="374" t="str">
        <f>IF(TRUE=ISBLANK(ChemData!D290),"",(ChemData!D290))</f>
        <v/>
      </c>
      <c r="G290" s="289" t="str">
        <f>IF(TRUE=ISBLANK(ChemData!I290),"",(ChemData!I290))</f>
        <v>NA</v>
      </c>
      <c r="H290" s="290">
        <f>IF(TRUE=ISBLANK(ChemData!Q290),"",(ChemData!Q290))</f>
        <v>377925.6935583303</v>
      </c>
      <c r="I290" s="290">
        <f>IF(TRUE=ISBLANK(ChemData!R290),"",(ChemData!R290))</f>
        <v>377925.6935583303</v>
      </c>
      <c r="J290" s="290">
        <f>IF(TRUE=ISBLANK(ChemData!S290),"",(ChemData!S290))</f>
        <v>1</v>
      </c>
      <c r="K290" s="291">
        <f>IF(TRUE=ISBLANK(ChemData!T290),"",(ChemData!T290))</f>
        <v>1</v>
      </c>
      <c r="L290" s="375" t="str">
        <f>IF(Start!$C$16="x",IF(OR(D290="NA",D290=""),"NA", IF(OR($J290 = "NA",J290=""),"NA",(D290*$J290))),"---")</f>
        <v>---</v>
      </c>
      <c r="M290" s="377" t="str">
        <f>IF(Start!$C$16="x",IF(OR(D290="NA",D290=""),"NA", IF(OR($K290 = "NA",K290=""),"NA",(D290*$K290))),"---")</f>
        <v>---</v>
      </c>
      <c r="N290" s="375" t="str">
        <f t="shared" si="11"/>
        <v>---</v>
      </c>
      <c r="O290" s="377" t="str">
        <f t="shared" si="12"/>
        <v>---</v>
      </c>
      <c r="P290" s="461" t="str">
        <f>IF(Start!$C$16="x",(IF(L290 = "NA","NA", (IF(OR($H290 = "NA",H290=""), "NA",(IF(OR(ChemData!U290="NA",ChemData!U290=""),L290/((Data!$D$33+((1-Data!$D$33)*Data!$D$14*$H290))/((1-Data!$D$33)*Data!$D$14*1000)),(IF(L290/((Data!$D$33+((1-Data!$D$33)*Data!$D$14*$H290))/((1-Data!$D$33)*Data!$D$14*1000))&gt;ChemData!U290, ChemData!U290, L290/((Data!$D$33+((1-Data!$D$33)*Data!$D$14*$H290))/((1-Data!$D$33)*Data!$D$14*1000)))))))))),"---")</f>
        <v>---</v>
      </c>
      <c r="Q290" s="376" t="str">
        <f>IF(Start!$C$16="x",IF(OR($F290 = "NA",F290=""), "NA", IF(P290= "NA", "NA",(P290+(Data!$D$30*$F290))/(Data!$D$30+1))),"---")</f>
        <v>---</v>
      </c>
      <c r="R290" s="376" t="str">
        <f>IF(Start!$C$16="x",IF(O290 = "NA","NA", IF(OR($I290 = "NA",I290=""), "NA",(IF(OR(ChemData!U290="NA",ChemData!U290=""),O290/((Data!$D$35+((1-Data!$D$35)*Data!$D$14*$I290))/((1-Data!$D$35)*Data!$D$14*1000)),(IF(O290/((Data!$D$35+((1-Data!$D$35)*Data!$D$14*$I290))/((1-Data!$D$35)*Data!$D$14*1000))&gt;ChemData!U290, ChemData!U290, O290/((Data!$D$35+((1-Data!$D$35)*Data!$D$14*$I290))/((1-Data!$D$35)*Data!$D$14*1000)))))))),"---")</f>
        <v>---</v>
      </c>
      <c r="S290" s="377" t="str">
        <f>IF(Start!$C$16="x",IF(OR($F290 = "NA",F290=""), "NA", IF(R290= "NA", "NA",(R290+(Data!$D$30*$F290))/(Data!$D$30+1))),"---")</f>
        <v>---</v>
      </c>
      <c r="T290" s="343" t="str">
        <f>IF(Start!$C$16="x",IF(AND(D290= "",E290=""),"",IF(Q290="NA","NA",IF(G290="NA","NA",IF(G290=0,"NA",(Q290/G290))))),"Not Req.")</f>
        <v>Not Req.</v>
      </c>
      <c r="U290" s="343" t="str">
        <f>IF(Start!$C$16="x",IF(AND(D290= "",E290=""),"",IF(S290="NA","NA",IF(G290="NA","NA",IF(G290=0,"NA",(S290/G290))))),"Not Req.")</f>
        <v>Not Req.</v>
      </c>
      <c r="V290" s="11"/>
    </row>
    <row r="291" spans="1:22" s="10" customFormat="1" x14ac:dyDescent="0.25">
      <c r="A291" s="307" t="s">
        <v>609</v>
      </c>
      <c r="B291" s="348" t="str">
        <f>IF(Start!$C$16="x",IF(OR(D291 ="NA",E291="NA"),"NA",IF(AND(D291= "",E291=""),"",IF(AND(D291= "",E291&lt;&gt; ""),"Missing Data",                     IF(AND(D291&lt;&gt; "",E291= ""),"Missing Data",(IF(OR(G291="NA",G291=""),"No Criteria",(IF(AND(Q291="NA",D291&lt;&gt;"NA",G291&lt;&gt;"NA"),                                               "Missing Data",(IF(Q291&lt;G291,"No","Needed")))))))))),"---")</f>
        <v>---</v>
      </c>
      <c r="C291" s="350" t="str">
        <f>IF(Start!$C$16="x",IF(OR(D291 ="NA",E291="NA"),"NA",IF(AND(D291= "",E291=""),"",IF(AND(D291= "",E291&lt;&gt; ""),"Missing Data",                     IF(AND(D291&lt;&gt; "",E291= ""),"Missing Data",(IF(OR(G291="NA",G291=""),"No Criteria",(IF(AND(S291="NA",D291&lt;&gt;"NA",G291&lt;&gt;"NA"),                                               "Missing Data",(IF(S291&lt;G291,"No","Needed")))))))))),"---")</f>
        <v>---</v>
      </c>
      <c r="D291" s="372" t="str">
        <f>IF(TRUE=ISBLANK(ChemData!B291),"",(ChemData!B291))</f>
        <v/>
      </c>
      <c r="E291" s="373" t="str">
        <f>IF(TRUE=ISBLANK(ChemData!C291),"",(ChemData!C291))</f>
        <v/>
      </c>
      <c r="F291" s="374" t="str">
        <f>IF(TRUE=ISBLANK(ChemData!D291),"",(ChemData!D291))</f>
        <v/>
      </c>
      <c r="G291" s="289" t="str">
        <f>IF(TRUE=ISBLANK(ChemData!I291),"",(ChemData!I291))</f>
        <v>NA</v>
      </c>
      <c r="H291" s="290">
        <f>IF(TRUE=ISBLANK(ChemData!Q291),"",(ChemData!Q291))</f>
        <v>94930.64217680179</v>
      </c>
      <c r="I291" s="290">
        <f>IF(TRUE=ISBLANK(ChemData!R291),"",(ChemData!R291))</f>
        <v>94930.64217680179</v>
      </c>
      <c r="J291" s="290">
        <f>IF(TRUE=ISBLANK(ChemData!S291),"",(ChemData!S291))</f>
        <v>1</v>
      </c>
      <c r="K291" s="291">
        <f>IF(TRUE=ISBLANK(ChemData!T291),"",(ChemData!T291))</f>
        <v>1</v>
      </c>
      <c r="L291" s="375" t="str">
        <f>IF(Start!$C$16="x",IF(OR(D291="NA",D291=""),"NA", IF(OR($J291 = "NA",J291=""),"NA",(D291*$J291))),"---")</f>
        <v>---</v>
      </c>
      <c r="M291" s="377" t="str">
        <f>IF(Start!$C$16="x",IF(OR(D291="NA",D291=""),"NA", IF(OR($K291 = "NA",K291=""),"NA",(D291*$K291))),"---")</f>
        <v>---</v>
      </c>
      <c r="N291" s="375" t="str">
        <f t="shared" si="11"/>
        <v>---</v>
      </c>
      <c r="O291" s="377" t="str">
        <f t="shared" si="12"/>
        <v>---</v>
      </c>
      <c r="P291" s="461" t="str">
        <f>IF(Start!$C$16="x",(IF(L291 = "NA","NA", (IF(OR($H291 = "NA",H291=""), "NA",(IF(OR(ChemData!U291="NA",ChemData!U291=""),L291/((Data!$D$33+((1-Data!$D$33)*Data!$D$14*$H291))/((1-Data!$D$33)*Data!$D$14*1000)),(IF(L291/((Data!$D$33+((1-Data!$D$33)*Data!$D$14*$H291))/((1-Data!$D$33)*Data!$D$14*1000))&gt;ChemData!U291, ChemData!U291, L291/((Data!$D$33+((1-Data!$D$33)*Data!$D$14*$H291))/((1-Data!$D$33)*Data!$D$14*1000)))))))))),"---")</f>
        <v>---</v>
      </c>
      <c r="Q291" s="376" t="str">
        <f>IF(Start!$C$16="x",IF(OR($F291 = "NA",F291=""), "NA", IF(P291= "NA", "NA",(P291+(Data!$D$30*$F291))/(Data!$D$30+1))),"---")</f>
        <v>---</v>
      </c>
      <c r="R291" s="376" t="str">
        <f>IF(Start!$C$16="x",IF(O291 = "NA","NA", IF(OR($I291 = "NA",I291=""), "NA",(IF(OR(ChemData!U291="NA",ChemData!U291=""),O291/((Data!$D$35+((1-Data!$D$35)*Data!$D$14*$I291))/((1-Data!$D$35)*Data!$D$14*1000)),(IF(O291/((Data!$D$35+((1-Data!$D$35)*Data!$D$14*$I291))/((1-Data!$D$35)*Data!$D$14*1000))&gt;ChemData!U291, ChemData!U291, O291/((Data!$D$35+((1-Data!$D$35)*Data!$D$14*$I291))/((1-Data!$D$35)*Data!$D$14*1000)))))))),"---")</f>
        <v>---</v>
      </c>
      <c r="S291" s="377" t="str">
        <f>IF(Start!$C$16="x",IF(OR($F291 = "NA",F291=""), "NA", IF(R291= "NA", "NA",(R291+(Data!$D$30*$F291))/(Data!$D$30+1))),"---")</f>
        <v>---</v>
      </c>
      <c r="T291" s="343" t="str">
        <f>IF(Start!$C$16="x",IF(AND(D291= "",E291=""),"",IF(Q291="NA","NA",IF(G291="NA","NA",IF(G291=0,"NA",(Q291/G291))))),"Not Req.")</f>
        <v>Not Req.</v>
      </c>
      <c r="U291" s="343" t="str">
        <f>IF(Start!$C$16="x",IF(AND(D291= "",E291=""),"",IF(S291="NA","NA",IF(G291="NA","NA",IF(G291=0,"NA",(S291/G291))))),"Not Req.")</f>
        <v>Not Req.</v>
      </c>
      <c r="V291" s="11"/>
    </row>
    <row r="292" spans="1:22" s="10" customFormat="1" x14ac:dyDescent="0.25">
      <c r="A292" s="307" t="s">
        <v>610</v>
      </c>
      <c r="B292" s="348" t="str">
        <f>IF(Start!$C$16="x",IF(OR(D292 ="NA",E292="NA"),"NA",IF(AND(D292= "",E292=""),"",IF(AND(D292= "",E292&lt;&gt; ""),"Missing Data",                     IF(AND(D292&lt;&gt; "",E292= ""),"Missing Data",(IF(OR(G292="NA",G292=""),"No Criteria",(IF(AND(Q292="NA",D292&lt;&gt;"NA",G292&lt;&gt;"NA"),                                               "Missing Data",(IF(Q292&lt;G292,"No","Needed")))))))))),"---")</f>
        <v>---</v>
      </c>
      <c r="C292" s="350" t="str">
        <f>IF(Start!$C$16="x",IF(OR(D292 ="NA",E292="NA"),"NA",IF(AND(D292= "",E292=""),"",IF(AND(D292= "",E292&lt;&gt; ""),"Missing Data",                     IF(AND(D292&lt;&gt; "",E292= ""),"Missing Data",(IF(OR(G292="NA",G292=""),"No Criteria",(IF(AND(S292="NA",D292&lt;&gt;"NA",G292&lt;&gt;"NA"),                                               "Missing Data",(IF(S292&lt;G292,"No","Needed")))))))))),"---")</f>
        <v>---</v>
      </c>
      <c r="D292" s="372" t="str">
        <f>IF(TRUE=ISBLANK(ChemData!B292),"",(ChemData!B292))</f>
        <v/>
      </c>
      <c r="E292" s="373" t="str">
        <f>IF(TRUE=ISBLANK(ChemData!C292),"",(ChemData!C292))</f>
        <v/>
      </c>
      <c r="F292" s="374" t="str">
        <f>IF(TRUE=ISBLANK(ChemData!D292),"",(ChemData!D292))</f>
        <v/>
      </c>
      <c r="G292" s="289" t="str">
        <f>IF(TRUE=ISBLANK(ChemData!I292),"",(ChemData!I292))</f>
        <v>NA</v>
      </c>
      <c r="H292" s="290">
        <f>IF(TRUE=ISBLANK(ChemData!Q292),"",(ChemData!Q292))</f>
        <v>147030.15624746474</v>
      </c>
      <c r="I292" s="290">
        <f>IF(TRUE=ISBLANK(ChemData!R292),"",(ChemData!R292))</f>
        <v>147030.15624746474</v>
      </c>
      <c r="J292" s="290">
        <f>IF(TRUE=ISBLANK(ChemData!S292),"",(ChemData!S292))</f>
        <v>1</v>
      </c>
      <c r="K292" s="291">
        <f>IF(TRUE=ISBLANK(ChemData!T292),"",(ChemData!T292))</f>
        <v>1</v>
      </c>
      <c r="L292" s="375" t="str">
        <f>IF(Start!$C$16="x",IF(OR(D292="NA",D292=""),"NA", IF(OR($J292 = "NA",J292=""),"NA",(D292*$J292))),"---")</f>
        <v>---</v>
      </c>
      <c r="M292" s="377" t="str">
        <f>IF(Start!$C$16="x",IF(OR(D292="NA",D292=""),"NA", IF(OR($K292 = "NA",K292=""),"NA",(D292*$K292))),"---")</f>
        <v>---</v>
      </c>
      <c r="N292" s="375" t="str">
        <f t="shared" si="11"/>
        <v>---</v>
      </c>
      <c r="O292" s="377" t="str">
        <f t="shared" si="12"/>
        <v>---</v>
      </c>
      <c r="P292" s="461" t="str">
        <f>IF(Start!$C$16="x",(IF(L292 = "NA","NA", (IF(OR($H292 = "NA",H292=""), "NA",(IF(OR(ChemData!U292="NA",ChemData!U292=""),L292/((Data!$D$33+((1-Data!$D$33)*Data!$D$14*$H292))/((1-Data!$D$33)*Data!$D$14*1000)),(IF(L292/((Data!$D$33+((1-Data!$D$33)*Data!$D$14*$H292))/((1-Data!$D$33)*Data!$D$14*1000))&gt;ChemData!U292, ChemData!U292, L292/((Data!$D$33+((1-Data!$D$33)*Data!$D$14*$H292))/((1-Data!$D$33)*Data!$D$14*1000)))))))))),"---")</f>
        <v>---</v>
      </c>
      <c r="Q292" s="376" t="str">
        <f>IF(Start!$C$16="x",IF(OR($F292 = "NA",F292=""), "NA", IF(P292= "NA", "NA",(P292+(Data!$D$30*$F292))/(Data!$D$30+1))),"---")</f>
        <v>---</v>
      </c>
      <c r="R292" s="376" t="str">
        <f>IF(Start!$C$16="x",IF(O292 = "NA","NA", IF(OR($I292 = "NA",I292=""), "NA",(IF(OR(ChemData!U292="NA",ChemData!U292=""),O292/((Data!$D$35+((1-Data!$D$35)*Data!$D$14*$I292))/((1-Data!$D$35)*Data!$D$14*1000)),(IF(O292/((Data!$D$35+((1-Data!$D$35)*Data!$D$14*$I292))/((1-Data!$D$35)*Data!$D$14*1000))&gt;ChemData!U292, ChemData!U292, O292/((Data!$D$35+((1-Data!$D$35)*Data!$D$14*$I292))/((1-Data!$D$35)*Data!$D$14*1000)))))))),"---")</f>
        <v>---</v>
      </c>
      <c r="S292" s="377" t="str">
        <f>IF(Start!$C$16="x",IF(OR($F292 = "NA",F292=""), "NA", IF(R292= "NA", "NA",(R292+(Data!$D$30*$F292))/(Data!$D$30+1))),"---")</f>
        <v>---</v>
      </c>
      <c r="T292" s="343" t="str">
        <f>IF(Start!$C$16="x",IF(AND(D292= "",E292=""),"",IF(Q292="NA","NA",IF(G292="NA","NA",IF(G292=0,"NA",(Q292/G292))))),"Not Req.")</f>
        <v>Not Req.</v>
      </c>
      <c r="U292" s="343" t="str">
        <f>IF(Start!$C$16="x",IF(AND(D292= "",E292=""),"",IF(S292="NA","NA",IF(G292="NA","NA",IF(G292=0,"NA",(S292/G292))))),"Not Req.")</f>
        <v>Not Req.</v>
      </c>
      <c r="V292" s="11"/>
    </row>
    <row r="293" spans="1:22" s="10" customFormat="1" x14ac:dyDescent="0.25">
      <c r="A293" s="307" t="s">
        <v>611</v>
      </c>
      <c r="B293" s="348" t="str">
        <f>IF(Start!$C$16="x",IF(OR(D293 ="NA",E293="NA"),"NA",IF(AND(D293= "",E293=""),"",IF(AND(D293= "",E293&lt;&gt; ""),"Missing Data",                     IF(AND(D293&lt;&gt; "",E293= ""),"Missing Data",(IF(OR(G293="NA",G293=""),"No Criteria",(IF(AND(Q293="NA",D293&lt;&gt;"NA",G293&lt;&gt;"NA"),                                               "Missing Data",(IF(Q293&lt;G293,"No","Needed")))))))))),"---")</f>
        <v>---</v>
      </c>
      <c r="C293" s="350" t="str">
        <f>IF(Start!$C$16="x",IF(OR(D293 ="NA",E293="NA"),"NA",IF(AND(D293= "",E293=""),"",IF(AND(D293= "",E293&lt;&gt; ""),"Missing Data",                     IF(AND(D293&lt;&gt; "",E293= ""),"Missing Data",(IF(OR(G293="NA",G293=""),"No Criteria",(IF(AND(S293="NA",D293&lt;&gt;"NA",G293&lt;&gt;"NA"),                                               "Missing Data",(IF(S293&lt;G293,"No","Needed")))))))))),"---")</f>
        <v>---</v>
      </c>
      <c r="D293" s="372" t="str">
        <f>IF(TRUE=ISBLANK(ChemData!B293),"",(ChemData!B293))</f>
        <v/>
      </c>
      <c r="E293" s="373" t="str">
        <f>IF(TRUE=ISBLANK(ChemData!C293),"",(ChemData!C293))</f>
        <v/>
      </c>
      <c r="F293" s="374" t="str">
        <f>IF(TRUE=ISBLANK(ChemData!D293),"",(ChemData!D293))</f>
        <v/>
      </c>
      <c r="G293" s="289" t="str">
        <f>IF(TRUE=ISBLANK(ChemData!I293),"",(ChemData!I293))</f>
        <v>NA</v>
      </c>
      <c r="H293" s="290">
        <f>IF(TRUE=ISBLANK(ChemData!Q293),"",(ChemData!Q293))</f>
        <v>128057.91271709518</v>
      </c>
      <c r="I293" s="290">
        <f>IF(TRUE=ISBLANK(ChemData!R293),"",(ChemData!R293))</f>
        <v>128057.91271709518</v>
      </c>
      <c r="J293" s="290">
        <f>IF(TRUE=ISBLANK(ChemData!S293),"",(ChemData!S293))</f>
        <v>1</v>
      </c>
      <c r="K293" s="291">
        <f>IF(TRUE=ISBLANK(ChemData!T293),"",(ChemData!T293))</f>
        <v>1</v>
      </c>
      <c r="L293" s="375" t="str">
        <f>IF(Start!$C$16="x",IF(OR(D293="NA",D293=""),"NA", IF(OR($J293 = "NA",J293=""),"NA",(D293*$J293))),"---")</f>
        <v>---</v>
      </c>
      <c r="M293" s="377" t="str">
        <f>IF(Start!$C$16="x",IF(OR(D293="NA",D293=""),"NA", IF(OR($K293 = "NA",K293=""),"NA",(D293*$K293))),"---")</f>
        <v>---</v>
      </c>
      <c r="N293" s="375" t="str">
        <f t="shared" si="11"/>
        <v>---</v>
      </c>
      <c r="O293" s="377" t="str">
        <f t="shared" si="12"/>
        <v>---</v>
      </c>
      <c r="P293" s="461" t="str">
        <f>IF(Start!$C$16="x",(IF(L293 = "NA","NA", (IF(OR($H293 = "NA",H293=""), "NA",(IF(OR(ChemData!U293="NA",ChemData!U293=""),L293/((Data!$D$33+((1-Data!$D$33)*Data!$D$14*$H293))/((1-Data!$D$33)*Data!$D$14*1000)),(IF(L293/((Data!$D$33+((1-Data!$D$33)*Data!$D$14*$H293))/((1-Data!$D$33)*Data!$D$14*1000))&gt;ChemData!U293, ChemData!U293, L293/((Data!$D$33+((1-Data!$D$33)*Data!$D$14*$H293))/((1-Data!$D$33)*Data!$D$14*1000)))))))))),"---")</f>
        <v>---</v>
      </c>
      <c r="Q293" s="376" t="str">
        <f>IF(Start!$C$16="x",IF(OR($F293 = "NA",F293=""), "NA", IF(P293= "NA", "NA",(P293+(Data!$D$30*$F293))/(Data!$D$30+1))),"---")</f>
        <v>---</v>
      </c>
      <c r="R293" s="376" t="str">
        <f>IF(Start!$C$16="x",IF(O293 = "NA","NA", IF(OR($I293 = "NA",I293=""), "NA",(IF(OR(ChemData!U293="NA",ChemData!U293=""),O293/((Data!$D$35+((1-Data!$D$35)*Data!$D$14*$I293))/((1-Data!$D$35)*Data!$D$14*1000)),(IF(O293/((Data!$D$35+((1-Data!$D$35)*Data!$D$14*$I293))/((1-Data!$D$35)*Data!$D$14*1000))&gt;ChemData!U293, ChemData!U293, O293/((Data!$D$35+((1-Data!$D$35)*Data!$D$14*$I293))/((1-Data!$D$35)*Data!$D$14*1000)))))))),"---")</f>
        <v>---</v>
      </c>
      <c r="S293" s="377" t="str">
        <f>IF(Start!$C$16="x",IF(OR($F293 = "NA",F293=""), "NA", IF(R293= "NA", "NA",(R293+(Data!$D$30*$F293))/(Data!$D$30+1))),"---")</f>
        <v>---</v>
      </c>
      <c r="T293" s="343" t="str">
        <f>IF(Start!$C$16="x",IF(AND(D293= "",E293=""),"",IF(Q293="NA","NA",IF(G293="NA","NA",IF(G293=0,"NA",(Q293/G293))))),"Not Req.")</f>
        <v>Not Req.</v>
      </c>
      <c r="U293" s="343" t="str">
        <f>IF(Start!$C$16="x",IF(AND(D293= "",E293=""),"",IF(S293="NA","NA",IF(G293="NA","NA",IF(G293=0,"NA",(S293/G293))))),"Not Req.")</f>
        <v>Not Req.</v>
      </c>
      <c r="V293" s="11"/>
    </row>
    <row r="294" spans="1:22" s="10" customFormat="1" x14ac:dyDescent="0.25">
      <c r="A294" s="307" t="s">
        <v>612</v>
      </c>
      <c r="B294" s="348" t="str">
        <f>IF(Start!$C$16="x",IF(OR(D294 ="NA",E294="NA"),"NA",IF(AND(D294= "",E294=""),"",IF(AND(D294= "",E294&lt;&gt; ""),"Missing Data",                     IF(AND(D294&lt;&gt; "",E294= ""),"Missing Data",(IF(OR(G294="NA",G294=""),"No Criteria",(IF(AND(Q294="NA",D294&lt;&gt;"NA",G294&lt;&gt;"NA"),                                               "Missing Data",(IF(Q294&lt;G294,"No","Needed")))))))))),"---")</f>
        <v>---</v>
      </c>
      <c r="C294" s="350" t="str">
        <f>IF(Start!$C$16="x",IF(OR(D294 ="NA",E294="NA"),"NA",IF(AND(D294= "",E294=""),"",IF(AND(D294= "",E294&lt;&gt; ""),"Missing Data",                     IF(AND(D294&lt;&gt; "",E294= ""),"Missing Data",(IF(OR(G294="NA",G294=""),"No Criteria",(IF(AND(S294="NA",D294&lt;&gt;"NA",G294&lt;&gt;"NA"),                                               "Missing Data",(IF(S294&lt;G294,"No","Needed")))))))))),"---")</f>
        <v>---</v>
      </c>
      <c r="D294" s="372" t="str">
        <f>IF(TRUE=ISBLANK(ChemData!B294),"",(ChemData!B294))</f>
        <v/>
      </c>
      <c r="E294" s="373" t="str">
        <f>IF(TRUE=ISBLANK(ChemData!C294),"",(ChemData!C294))</f>
        <v/>
      </c>
      <c r="F294" s="374" t="str">
        <f>IF(TRUE=ISBLANK(ChemData!D294),"",(ChemData!D294))</f>
        <v/>
      </c>
      <c r="G294" s="289" t="str">
        <f>IF(TRUE=ISBLANK(ChemData!I294),"",(ChemData!I294))</f>
        <v>NA</v>
      </c>
      <c r="H294" s="290">
        <f>IF(TRUE=ISBLANK(ChemData!Q294),"",(ChemData!Q294))</f>
        <v>212523.23533907303</v>
      </c>
      <c r="I294" s="290">
        <f>IF(TRUE=ISBLANK(ChemData!R294),"",(ChemData!R294))</f>
        <v>212523.23533907303</v>
      </c>
      <c r="J294" s="290">
        <f>IF(TRUE=ISBLANK(ChemData!S294),"",(ChemData!S294))</f>
        <v>1</v>
      </c>
      <c r="K294" s="291">
        <f>IF(TRUE=ISBLANK(ChemData!T294),"",(ChemData!T294))</f>
        <v>1</v>
      </c>
      <c r="L294" s="375" t="str">
        <f>IF(Start!$C$16="x",IF(OR(D294="NA",D294=""),"NA", IF(OR($J294 = "NA",J294=""),"NA",(D294*$J294))),"---")</f>
        <v>---</v>
      </c>
      <c r="M294" s="377" t="str">
        <f>IF(Start!$C$16="x",IF(OR(D294="NA",D294=""),"NA", IF(OR($K294 = "NA",K294=""),"NA",(D294*$K294))),"---")</f>
        <v>---</v>
      </c>
      <c r="N294" s="375" t="str">
        <f t="shared" si="11"/>
        <v>---</v>
      </c>
      <c r="O294" s="377" t="str">
        <f t="shared" si="12"/>
        <v>---</v>
      </c>
      <c r="P294" s="461" t="str">
        <f>IF(Start!$C$16="x",(IF(L294 = "NA","NA", (IF(OR($H294 = "NA",H294=""), "NA",(IF(OR(ChemData!U294="NA",ChemData!U294=""),L294/((Data!$D$33+((1-Data!$D$33)*Data!$D$14*$H294))/((1-Data!$D$33)*Data!$D$14*1000)),(IF(L294/((Data!$D$33+((1-Data!$D$33)*Data!$D$14*$H294))/((1-Data!$D$33)*Data!$D$14*1000))&gt;ChemData!U294, ChemData!U294, L294/((Data!$D$33+((1-Data!$D$33)*Data!$D$14*$H294))/((1-Data!$D$33)*Data!$D$14*1000)))))))))),"---")</f>
        <v>---</v>
      </c>
      <c r="Q294" s="376" t="str">
        <f>IF(Start!$C$16="x",IF(OR($F294 = "NA",F294=""), "NA", IF(P294= "NA", "NA",(P294+(Data!$D$30*$F294))/(Data!$D$30+1))),"---")</f>
        <v>---</v>
      </c>
      <c r="R294" s="376" t="str">
        <f>IF(Start!$C$16="x",IF(O294 = "NA","NA", IF(OR($I294 = "NA",I294=""), "NA",(IF(OR(ChemData!U294="NA",ChemData!U294=""),O294/((Data!$D$35+((1-Data!$D$35)*Data!$D$14*$I294))/((1-Data!$D$35)*Data!$D$14*1000)),(IF(O294/((Data!$D$35+((1-Data!$D$35)*Data!$D$14*$I294))/((1-Data!$D$35)*Data!$D$14*1000))&gt;ChemData!U294, ChemData!U294, O294/((Data!$D$35+((1-Data!$D$35)*Data!$D$14*$I294))/((1-Data!$D$35)*Data!$D$14*1000)))))))),"---")</f>
        <v>---</v>
      </c>
      <c r="S294" s="377" t="str">
        <f>IF(Start!$C$16="x",IF(OR($F294 = "NA",F294=""), "NA", IF(R294= "NA", "NA",(R294+(Data!$D$30*$F294))/(Data!$D$30+1))),"---")</f>
        <v>---</v>
      </c>
      <c r="T294" s="343" t="str">
        <f>IF(Start!$C$16="x",IF(AND(D294= "",E294=""),"",IF(Q294="NA","NA",IF(G294="NA","NA",IF(G294=0,"NA",(Q294/G294))))),"Not Req.")</f>
        <v>Not Req.</v>
      </c>
      <c r="U294" s="343" t="str">
        <f>IF(Start!$C$16="x",IF(AND(D294= "",E294=""),"",IF(S294="NA","NA",IF(G294="NA","NA",IF(G294=0,"NA",(S294/G294))))),"Not Req.")</f>
        <v>Not Req.</v>
      </c>
      <c r="V294" s="11"/>
    </row>
    <row r="295" spans="1:22" s="10" customFormat="1" x14ac:dyDescent="0.25">
      <c r="A295" s="307" t="s">
        <v>613</v>
      </c>
      <c r="B295" s="348" t="str">
        <f>IF(Start!$C$16="x",IF(OR(D295 ="NA",E295="NA"),"NA",IF(AND(D295= "",E295=""),"",IF(AND(D295= "",E295&lt;&gt; ""),"Missing Data",                     IF(AND(D295&lt;&gt; "",E295= ""),"Missing Data",(IF(OR(G295="NA",G295=""),"No Criteria",(IF(AND(Q295="NA",D295&lt;&gt;"NA",G295&lt;&gt;"NA"),                                               "Missing Data",(IF(Q295&lt;G295,"No","Needed")))))))))),"---")</f>
        <v>---</v>
      </c>
      <c r="C295" s="350" t="str">
        <f>IF(Start!$C$16="x",IF(OR(D295 ="NA",E295="NA"),"NA",IF(AND(D295= "",E295=""),"",IF(AND(D295= "",E295&lt;&gt; ""),"Missing Data",                     IF(AND(D295&lt;&gt; "",E295= ""),"Missing Data",(IF(OR(G295="NA",G295=""),"No Criteria",(IF(AND(S295="NA",D295&lt;&gt;"NA",G295&lt;&gt;"NA"),                                               "Missing Data",(IF(S295&lt;G295,"No","Needed")))))))))),"---")</f>
        <v>---</v>
      </c>
      <c r="D295" s="372" t="str">
        <f>IF(TRUE=ISBLANK(ChemData!B295),"",(ChemData!B295))</f>
        <v/>
      </c>
      <c r="E295" s="373" t="str">
        <f>IF(TRUE=ISBLANK(ChemData!C295),"",(ChemData!C295))</f>
        <v/>
      </c>
      <c r="F295" s="374" t="str">
        <f>IF(TRUE=ISBLANK(ChemData!D295),"",(ChemData!D295))</f>
        <v/>
      </c>
      <c r="G295" s="289" t="str">
        <f>IF(TRUE=ISBLANK(ChemData!I295),"",(ChemData!I295))</f>
        <v>NA</v>
      </c>
      <c r="H295" s="290">
        <f>IF(TRUE=ISBLANK(ChemData!Q295),"",(ChemData!Q295))</f>
        <v>227722.74947737175</v>
      </c>
      <c r="I295" s="290">
        <f>IF(TRUE=ISBLANK(ChemData!R295),"",(ChemData!R295))</f>
        <v>227722.74947737175</v>
      </c>
      <c r="J295" s="290">
        <f>IF(TRUE=ISBLANK(ChemData!S295),"",(ChemData!S295))</f>
        <v>1</v>
      </c>
      <c r="K295" s="291">
        <f>IF(TRUE=ISBLANK(ChemData!T295),"",(ChemData!T295))</f>
        <v>1</v>
      </c>
      <c r="L295" s="375" t="str">
        <f>IF(Start!$C$16="x",IF(OR(D295="NA",D295=""),"NA", IF(OR($J295 = "NA",J295=""),"NA",(D295*$J295))),"---")</f>
        <v>---</v>
      </c>
      <c r="M295" s="377" t="str">
        <f>IF(Start!$C$16="x",IF(OR(D295="NA",D295=""),"NA", IF(OR($K295 = "NA",K295=""),"NA",(D295*$K295))),"---")</f>
        <v>---</v>
      </c>
      <c r="N295" s="375" t="str">
        <f t="shared" si="11"/>
        <v>---</v>
      </c>
      <c r="O295" s="377" t="str">
        <f t="shared" si="12"/>
        <v>---</v>
      </c>
      <c r="P295" s="461" t="str">
        <f>IF(Start!$C$16="x",(IF(L295 = "NA","NA", (IF(OR($H295 = "NA",H295=""), "NA",(IF(OR(ChemData!U295="NA",ChemData!U295=""),L295/((Data!$D$33+((1-Data!$D$33)*Data!$D$14*$H295))/((1-Data!$D$33)*Data!$D$14*1000)),(IF(L295/((Data!$D$33+((1-Data!$D$33)*Data!$D$14*$H295))/((1-Data!$D$33)*Data!$D$14*1000))&gt;ChemData!U295, ChemData!U295, L295/((Data!$D$33+((1-Data!$D$33)*Data!$D$14*$H295))/((1-Data!$D$33)*Data!$D$14*1000)))))))))),"---")</f>
        <v>---</v>
      </c>
      <c r="Q295" s="376" t="str">
        <f>IF(Start!$C$16="x",IF(OR($F295 = "NA",F295=""), "NA", IF(P295= "NA", "NA",(P295+(Data!$D$30*$F295))/(Data!$D$30+1))),"---")</f>
        <v>---</v>
      </c>
      <c r="R295" s="376" t="str">
        <f>IF(Start!$C$16="x",IF(O295 = "NA","NA", IF(OR($I295 = "NA",I295=""), "NA",(IF(OR(ChemData!U295="NA",ChemData!U295=""),O295/((Data!$D$35+((1-Data!$D$35)*Data!$D$14*$I295))/((1-Data!$D$35)*Data!$D$14*1000)),(IF(O295/((Data!$D$35+((1-Data!$D$35)*Data!$D$14*$I295))/((1-Data!$D$35)*Data!$D$14*1000))&gt;ChemData!U295, ChemData!U295, O295/((Data!$D$35+((1-Data!$D$35)*Data!$D$14*$I295))/((1-Data!$D$35)*Data!$D$14*1000)))))))),"---")</f>
        <v>---</v>
      </c>
      <c r="S295" s="377" t="str">
        <f>IF(Start!$C$16="x",IF(OR($F295 = "NA",F295=""), "NA", IF(R295= "NA", "NA",(R295+(Data!$D$30*$F295))/(Data!$D$30+1))),"---")</f>
        <v>---</v>
      </c>
      <c r="T295" s="343" t="str">
        <f>IF(Start!$C$16="x",IF(AND(D295= "",E295=""),"",IF(Q295="NA","NA",IF(G295="NA","NA",IF(G295=0,"NA",(Q295/G295))))),"Not Req.")</f>
        <v>Not Req.</v>
      </c>
      <c r="U295" s="343" t="str">
        <f>IF(Start!$C$16="x",IF(AND(D295= "",E295=""),"",IF(S295="NA","NA",IF(G295="NA","NA",IF(G295=0,"NA",(S295/G295))))),"Not Req.")</f>
        <v>Not Req.</v>
      </c>
      <c r="V295" s="11"/>
    </row>
    <row r="296" spans="1:22" s="10" customFormat="1" x14ac:dyDescent="0.25">
      <c r="A296" s="307" t="s">
        <v>614</v>
      </c>
      <c r="B296" s="348" t="str">
        <f>IF(Start!$C$16="x",IF(OR(D296 ="NA",E296="NA"),"NA",IF(AND(D296= "",E296=""),"",IF(AND(D296= "",E296&lt;&gt; ""),"Missing Data",                     IF(AND(D296&lt;&gt; "",E296= ""),"Missing Data",(IF(OR(G296="NA",G296=""),"No Criteria",(IF(AND(Q296="NA",D296&lt;&gt;"NA",G296&lt;&gt;"NA"),                                               "Missing Data",(IF(Q296&lt;G296,"No","Needed")))))))))),"---")</f>
        <v>---</v>
      </c>
      <c r="C296" s="350" t="str">
        <f>IF(Start!$C$16="x",IF(OR(D296 ="NA",E296="NA"),"NA",IF(AND(D296= "",E296=""),"",IF(AND(D296= "",E296&lt;&gt; ""),"Missing Data",                     IF(AND(D296&lt;&gt; "",E296= ""),"Missing Data",(IF(OR(G296="NA",G296=""),"No Criteria",(IF(AND(S296="NA",D296&lt;&gt;"NA",G296&lt;&gt;"NA"),                                               "Missing Data",(IF(S296&lt;G296,"No","Needed")))))))))),"---")</f>
        <v>---</v>
      </c>
      <c r="D296" s="372" t="str">
        <f>IF(TRUE=ISBLANK(ChemData!B296),"",(ChemData!B296))</f>
        <v/>
      </c>
      <c r="E296" s="373" t="str">
        <f>IF(TRUE=ISBLANK(ChemData!C296),"",(ChemData!C296))</f>
        <v/>
      </c>
      <c r="F296" s="374" t="str">
        <f>IF(TRUE=ISBLANK(ChemData!D296),"",(ChemData!D296))</f>
        <v/>
      </c>
      <c r="G296" s="289" t="str">
        <f>IF(TRUE=ISBLANK(ChemData!I296),"",(ChemData!I296))</f>
        <v>NA</v>
      </c>
      <c r="H296" s="290">
        <f>IF(TRUE=ISBLANK(ChemData!Q296),"",(ChemData!Q296))</f>
        <v>273782.96264993591</v>
      </c>
      <c r="I296" s="290">
        <f>IF(TRUE=ISBLANK(ChemData!R296),"",(ChemData!R296))</f>
        <v>273782.96264993591</v>
      </c>
      <c r="J296" s="290">
        <f>IF(TRUE=ISBLANK(ChemData!S296),"",(ChemData!S296))</f>
        <v>1</v>
      </c>
      <c r="K296" s="291">
        <f>IF(TRUE=ISBLANK(ChemData!T296),"",(ChemData!T296))</f>
        <v>1</v>
      </c>
      <c r="L296" s="375" t="str">
        <f>IF(Start!$C$16="x",IF(OR(D296="NA",D296=""),"NA", IF(OR($J296 = "NA",J296=""),"NA",(D296*$J296))),"---")</f>
        <v>---</v>
      </c>
      <c r="M296" s="377" t="str">
        <f>IF(Start!$C$16="x",IF(OR(D296="NA",D296=""),"NA", IF(OR($K296 = "NA",K296=""),"NA",(D296*$K296))),"---")</f>
        <v>---</v>
      </c>
      <c r="N296" s="375" t="str">
        <f t="shared" si="11"/>
        <v>---</v>
      </c>
      <c r="O296" s="377" t="str">
        <f t="shared" si="12"/>
        <v>---</v>
      </c>
      <c r="P296" s="461" t="str">
        <f>IF(Start!$C$16="x",(IF(L296 = "NA","NA", (IF(OR($H296 = "NA",H296=""), "NA",(IF(OR(ChemData!U296="NA",ChemData!U296=""),L296/((Data!$D$33+((1-Data!$D$33)*Data!$D$14*$H296))/((1-Data!$D$33)*Data!$D$14*1000)),(IF(L296/((Data!$D$33+((1-Data!$D$33)*Data!$D$14*$H296))/((1-Data!$D$33)*Data!$D$14*1000))&gt;ChemData!U296, ChemData!U296, L296/((Data!$D$33+((1-Data!$D$33)*Data!$D$14*$H296))/((1-Data!$D$33)*Data!$D$14*1000)))))))))),"---")</f>
        <v>---</v>
      </c>
      <c r="Q296" s="376" t="str">
        <f>IF(Start!$C$16="x",IF(OR($F296 = "NA",F296=""), "NA", IF(P296= "NA", "NA",(P296+(Data!$D$30*$F296))/(Data!$D$30+1))),"---")</f>
        <v>---</v>
      </c>
      <c r="R296" s="376" t="str">
        <f>IF(Start!$C$16="x",IF(O296 = "NA","NA", IF(OR($I296 = "NA",I296=""), "NA",(IF(OR(ChemData!U296="NA",ChemData!U296=""),O296/((Data!$D$35+((1-Data!$D$35)*Data!$D$14*$I296))/((1-Data!$D$35)*Data!$D$14*1000)),(IF(O296/((Data!$D$35+((1-Data!$D$35)*Data!$D$14*$I296))/((1-Data!$D$35)*Data!$D$14*1000))&gt;ChemData!U296, ChemData!U296, O296/((Data!$D$35+((1-Data!$D$35)*Data!$D$14*$I296))/((1-Data!$D$35)*Data!$D$14*1000)))))))),"---")</f>
        <v>---</v>
      </c>
      <c r="S296" s="377" t="str">
        <f>IF(Start!$C$16="x",IF(OR($F296 = "NA",F296=""), "NA", IF(R296= "NA", "NA",(R296+(Data!$D$30*$F296))/(Data!$D$30+1))),"---")</f>
        <v>---</v>
      </c>
      <c r="T296" s="343" t="str">
        <f>IF(Start!$C$16="x",IF(AND(D296= "",E296=""),"",IF(Q296="NA","NA",IF(G296="NA","NA",IF(G296=0,"NA",(Q296/G296))))),"Not Req.")</f>
        <v>Not Req.</v>
      </c>
      <c r="U296" s="343" t="str">
        <f>IF(Start!$C$16="x",IF(AND(D296= "",E296=""),"",IF(S296="NA","NA",IF(G296="NA","NA",IF(G296=0,"NA",(S296/G296))))),"Not Req.")</f>
        <v>Not Req.</v>
      </c>
      <c r="V296" s="11"/>
    </row>
    <row r="297" spans="1:22" s="10" customFormat="1" x14ac:dyDescent="0.25">
      <c r="A297" s="307" t="s">
        <v>615</v>
      </c>
      <c r="B297" s="348" t="str">
        <f>IF(Start!$C$16="x",IF(OR(D297 ="NA",E297="NA"),"NA",IF(AND(D297= "",E297=""),"",IF(AND(D297= "",E297&lt;&gt; ""),"Missing Data",                     IF(AND(D297&lt;&gt; "",E297= ""),"Missing Data",(IF(OR(G297="NA",G297=""),"No Criteria",(IF(AND(Q297="NA",D297&lt;&gt;"NA",G297&lt;&gt;"NA"),                                               "Missing Data",(IF(Q297&lt;G297,"No","Needed")))))))))),"---")</f>
        <v>---</v>
      </c>
      <c r="C297" s="350" t="str">
        <f>IF(Start!$C$16="x",IF(OR(D297 ="NA",E297="NA"),"NA",IF(AND(D297= "",E297=""),"",IF(AND(D297= "",E297&lt;&gt; ""),"Missing Data",                     IF(AND(D297&lt;&gt; "",E297= ""),"Missing Data",(IF(OR(G297="NA",G297=""),"No Criteria",(IF(AND(S297="NA",D297&lt;&gt;"NA",G297&lt;&gt;"NA"),                                               "Missing Data",(IF(S297&lt;G297,"No","Needed")))))))))),"---")</f>
        <v>---</v>
      </c>
      <c r="D297" s="372" t="str">
        <f>IF(TRUE=ISBLANK(ChemData!B297),"",(ChemData!B297))</f>
        <v/>
      </c>
      <c r="E297" s="373" t="str">
        <f>IF(TRUE=ISBLANK(ChemData!C297),"",(ChemData!C297))</f>
        <v/>
      </c>
      <c r="F297" s="374" t="str">
        <f>IF(TRUE=ISBLANK(ChemData!D297),"",(ChemData!D297))</f>
        <v/>
      </c>
      <c r="G297" s="289" t="str">
        <f>IF(TRUE=ISBLANK(ChemData!I297),"",(ChemData!I297))</f>
        <v>NA</v>
      </c>
      <c r="H297" s="290">
        <f>IF(TRUE=ISBLANK(ChemData!Q297),"",(ChemData!Q297))</f>
        <v>198338.22339948098</v>
      </c>
      <c r="I297" s="290">
        <f>IF(TRUE=ISBLANK(ChemData!R297),"",(ChemData!R297))</f>
        <v>198338.22339948098</v>
      </c>
      <c r="J297" s="290">
        <f>IF(TRUE=ISBLANK(ChemData!S297),"",(ChemData!S297))</f>
        <v>1</v>
      </c>
      <c r="K297" s="291">
        <f>IF(TRUE=ISBLANK(ChemData!T297),"",(ChemData!T297))</f>
        <v>1</v>
      </c>
      <c r="L297" s="375" t="str">
        <f>IF(Start!$C$16="x",IF(OR(D297="NA",D297=""),"NA", IF(OR($J297 = "NA",J297=""),"NA",(D297*$J297))),"---")</f>
        <v>---</v>
      </c>
      <c r="M297" s="377" t="str">
        <f>IF(Start!$C$16="x",IF(OR(D297="NA",D297=""),"NA", IF(OR($K297 = "NA",K297=""),"NA",(D297*$K297))),"---")</f>
        <v>---</v>
      </c>
      <c r="N297" s="375" t="str">
        <f t="shared" si="11"/>
        <v>---</v>
      </c>
      <c r="O297" s="377" t="str">
        <f t="shared" si="12"/>
        <v>---</v>
      </c>
      <c r="P297" s="461" t="str">
        <f>IF(Start!$C$16="x",(IF(L297 = "NA","NA", (IF(OR($H297 = "NA",H297=""), "NA",(IF(OR(ChemData!U297="NA",ChemData!U297=""),L297/((Data!$D$33+((1-Data!$D$33)*Data!$D$14*$H297))/((1-Data!$D$33)*Data!$D$14*1000)),(IF(L297/((Data!$D$33+((1-Data!$D$33)*Data!$D$14*$H297))/((1-Data!$D$33)*Data!$D$14*1000))&gt;ChemData!U297, ChemData!U297, L297/((Data!$D$33+((1-Data!$D$33)*Data!$D$14*$H297))/((1-Data!$D$33)*Data!$D$14*1000)))))))))),"---")</f>
        <v>---</v>
      </c>
      <c r="Q297" s="376" t="str">
        <f>IF(Start!$C$16="x",IF(OR($F297 = "NA",F297=""), "NA", IF(P297= "NA", "NA",(P297+(Data!$D$30*$F297))/(Data!$D$30+1))),"---")</f>
        <v>---</v>
      </c>
      <c r="R297" s="376" t="str">
        <f>IF(Start!$C$16="x",IF(O297 = "NA","NA", IF(OR($I297 = "NA",I297=""), "NA",(IF(OR(ChemData!U297="NA",ChemData!U297=""),O297/((Data!$D$35+((1-Data!$D$35)*Data!$D$14*$I297))/((1-Data!$D$35)*Data!$D$14*1000)),(IF(O297/((Data!$D$35+((1-Data!$D$35)*Data!$D$14*$I297))/((1-Data!$D$35)*Data!$D$14*1000))&gt;ChemData!U297, ChemData!U297, O297/((Data!$D$35+((1-Data!$D$35)*Data!$D$14*$I297))/((1-Data!$D$35)*Data!$D$14*1000)))))))),"---")</f>
        <v>---</v>
      </c>
      <c r="S297" s="377" t="str">
        <f>IF(Start!$C$16="x",IF(OR($F297 = "NA",F297=""), "NA", IF(R297= "NA", "NA",(R297+(Data!$D$30*$F297))/(Data!$D$30+1))),"---")</f>
        <v>---</v>
      </c>
      <c r="T297" s="343" t="str">
        <f>IF(Start!$C$16="x",IF(AND(D297= "",E297=""),"",IF(Q297="NA","NA",IF(G297="NA","NA",IF(G297=0,"NA",(Q297/G297))))),"Not Req.")</f>
        <v>Not Req.</v>
      </c>
      <c r="U297" s="343" t="str">
        <f>IF(Start!$C$16="x",IF(AND(D297= "",E297=""),"",IF(S297="NA","NA",IF(G297="NA","NA",IF(G297=0,"NA",(S297/G297))))),"Not Req.")</f>
        <v>Not Req.</v>
      </c>
      <c r="V297" s="11"/>
    </row>
    <row r="298" spans="1:22" s="10" customFormat="1" x14ac:dyDescent="0.25">
      <c r="A298" s="307" t="s">
        <v>616</v>
      </c>
      <c r="B298" s="348" t="str">
        <f>IF(Start!$C$16="x",IF(OR(D298 ="NA",E298="NA"),"NA",IF(AND(D298= "",E298=""),"",IF(AND(D298= "",E298&lt;&gt; ""),"Missing Data",                     IF(AND(D298&lt;&gt; "",E298= ""),"Missing Data",(IF(OR(G298="NA",G298=""),"No Criteria",(IF(AND(Q298="NA",D298&lt;&gt;"NA",G298&lt;&gt;"NA"),                                               "Missing Data",(IF(Q298&lt;G298,"No","Needed")))))))))),"---")</f>
        <v>---</v>
      </c>
      <c r="C298" s="350" t="str">
        <f>IF(Start!$C$16="x",IF(OR(D298 ="NA",E298="NA"),"NA",IF(AND(D298= "",E298=""),"",IF(AND(D298= "",E298&lt;&gt; ""),"Missing Data",                     IF(AND(D298&lt;&gt; "",E298= ""),"Missing Data",(IF(OR(G298="NA",G298=""),"No Criteria",(IF(AND(S298="NA",D298&lt;&gt;"NA",G298&lt;&gt;"NA"),                                               "Missing Data",(IF(S298&lt;G298,"No","Needed")))))))))),"---")</f>
        <v>---</v>
      </c>
      <c r="D298" s="372" t="str">
        <f>IF(TRUE=ISBLANK(ChemData!B298),"",(ChemData!B298))</f>
        <v/>
      </c>
      <c r="E298" s="373" t="str">
        <f>IF(TRUE=ISBLANK(ChemData!C298),"",(ChemData!C298))</f>
        <v/>
      </c>
      <c r="F298" s="374" t="str">
        <f>IF(TRUE=ISBLANK(ChemData!D298),"",(ChemData!D298))</f>
        <v/>
      </c>
      <c r="G298" s="289" t="str">
        <f>IF(TRUE=ISBLANK(ChemData!I298),"",(ChemData!I298))</f>
        <v>NA</v>
      </c>
      <c r="H298" s="290">
        <f>IF(TRUE=ISBLANK(ChemData!Q298),"",(ChemData!Q298))</f>
        <v>99404.5855081341</v>
      </c>
      <c r="I298" s="290">
        <f>IF(TRUE=ISBLANK(ChemData!R298),"",(ChemData!R298))</f>
        <v>99404.5855081341</v>
      </c>
      <c r="J298" s="290">
        <f>IF(TRUE=ISBLANK(ChemData!S298),"",(ChemData!S298))</f>
        <v>1</v>
      </c>
      <c r="K298" s="291">
        <f>IF(TRUE=ISBLANK(ChemData!T298),"",(ChemData!T298))</f>
        <v>1</v>
      </c>
      <c r="L298" s="375" t="str">
        <f>IF(Start!$C$16="x",IF(OR(D298="NA",D298=""),"NA", IF(OR($J298 = "NA",J298=""),"NA",(D298*$J298))),"---")</f>
        <v>---</v>
      </c>
      <c r="M298" s="377" t="str">
        <f>IF(Start!$C$16="x",IF(OR(D298="NA",D298=""),"NA", IF(OR($K298 = "NA",K298=""),"NA",(D298*$K298))),"---")</f>
        <v>---</v>
      </c>
      <c r="N298" s="375" t="str">
        <f t="shared" si="11"/>
        <v>---</v>
      </c>
      <c r="O298" s="377" t="str">
        <f t="shared" si="12"/>
        <v>---</v>
      </c>
      <c r="P298" s="461" t="str">
        <f>IF(Start!$C$16="x",(IF(L298 = "NA","NA", (IF(OR($H298 = "NA",H298=""), "NA",(IF(OR(ChemData!U298="NA",ChemData!U298=""),L298/((Data!$D$33+((1-Data!$D$33)*Data!$D$14*$H298))/((1-Data!$D$33)*Data!$D$14*1000)),(IF(L298/((Data!$D$33+((1-Data!$D$33)*Data!$D$14*$H298))/((1-Data!$D$33)*Data!$D$14*1000))&gt;ChemData!U298, ChemData!U298, L298/((Data!$D$33+((1-Data!$D$33)*Data!$D$14*$H298))/((1-Data!$D$33)*Data!$D$14*1000)))))))))),"---")</f>
        <v>---</v>
      </c>
      <c r="Q298" s="376" t="str">
        <f>IF(Start!$C$16="x",IF(OR($F298 = "NA",F298=""), "NA", IF(P298= "NA", "NA",(P298+(Data!$D$30*$F298))/(Data!$D$30+1))),"---")</f>
        <v>---</v>
      </c>
      <c r="R298" s="376" t="str">
        <f>IF(Start!$C$16="x",IF(O298 = "NA","NA", IF(OR($I298 = "NA",I298=""), "NA",(IF(OR(ChemData!U298="NA",ChemData!U298=""),O298/((Data!$D$35+((1-Data!$D$35)*Data!$D$14*$I298))/((1-Data!$D$35)*Data!$D$14*1000)),(IF(O298/((Data!$D$35+((1-Data!$D$35)*Data!$D$14*$I298))/((1-Data!$D$35)*Data!$D$14*1000))&gt;ChemData!U298, ChemData!U298, O298/((Data!$D$35+((1-Data!$D$35)*Data!$D$14*$I298))/((1-Data!$D$35)*Data!$D$14*1000)))))))),"---")</f>
        <v>---</v>
      </c>
      <c r="S298" s="377" t="str">
        <f>IF(Start!$C$16="x",IF(OR($F298 = "NA",F298=""), "NA", IF(R298= "NA", "NA",(R298+(Data!$D$30*$F298))/(Data!$D$30+1))),"---")</f>
        <v>---</v>
      </c>
      <c r="T298" s="343" t="str">
        <f>IF(Start!$C$16="x",IF(AND(D298= "",E298=""),"",IF(Q298="NA","NA",IF(G298="NA","NA",IF(G298=0,"NA",(Q298/G298))))),"Not Req.")</f>
        <v>Not Req.</v>
      </c>
      <c r="U298" s="343" t="str">
        <f>IF(Start!$C$16="x",IF(AND(D298= "",E298=""),"",IF(S298="NA","NA",IF(G298="NA","NA",IF(G298=0,"NA",(S298/G298))))),"Not Req.")</f>
        <v>Not Req.</v>
      </c>
      <c r="V298" s="11"/>
    </row>
    <row r="299" spans="1:22" s="10" customFormat="1" x14ac:dyDescent="0.25">
      <c r="A299" s="307" t="s">
        <v>617</v>
      </c>
      <c r="B299" s="348" t="str">
        <f>IF(Start!$C$16="x",IF(OR(D299 ="NA",E299="NA"),"NA",IF(AND(D299= "",E299=""),"",IF(AND(D299= "",E299&lt;&gt; ""),"Missing Data",                     IF(AND(D299&lt;&gt; "",E299= ""),"Missing Data",(IF(OR(G299="NA",G299=""),"No Criteria",(IF(AND(Q299="NA",D299&lt;&gt;"NA",G299&lt;&gt;"NA"),                                               "Missing Data",(IF(Q299&lt;G299,"No","Needed")))))))))),"---")</f>
        <v>---</v>
      </c>
      <c r="C299" s="350" t="str">
        <f>IF(Start!$C$16="x",IF(OR(D299 ="NA",E299="NA"),"NA",IF(AND(D299= "",E299=""),"",IF(AND(D299= "",E299&lt;&gt; ""),"Missing Data",                     IF(AND(D299&lt;&gt; "",E299= ""),"Missing Data",(IF(OR(G299="NA",G299=""),"No Criteria",(IF(AND(S299="NA",D299&lt;&gt;"NA",G299&lt;&gt;"NA"),                                               "Missing Data",(IF(S299&lt;G299,"No","Needed")))))))))),"---")</f>
        <v>---</v>
      </c>
      <c r="D299" s="372" t="str">
        <f>IF(TRUE=ISBLANK(ChemData!B299),"",(ChemData!B299))</f>
        <v/>
      </c>
      <c r="E299" s="373" t="str">
        <f>IF(TRUE=ISBLANK(ChemData!C299),"",(ChemData!C299))</f>
        <v/>
      </c>
      <c r="F299" s="374" t="str">
        <f>IF(TRUE=ISBLANK(ChemData!D299),"",(ChemData!D299))</f>
        <v/>
      </c>
      <c r="G299" s="289" t="str">
        <f>IF(TRUE=ISBLANK(ChemData!I299),"",(ChemData!I299))</f>
        <v>NA</v>
      </c>
      <c r="H299" s="290">
        <f>IF(TRUE=ISBLANK(ChemData!Q299),"",(ChemData!Q299))</f>
        <v>189411.5328711677</v>
      </c>
      <c r="I299" s="290">
        <f>IF(TRUE=ISBLANK(ChemData!R299),"",(ChemData!R299))</f>
        <v>189411.5328711677</v>
      </c>
      <c r="J299" s="290">
        <f>IF(TRUE=ISBLANK(ChemData!S299),"",(ChemData!S299))</f>
        <v>1</v>
      </c>
      <c r="K299" s="291">
        <f>IF(TRUE=ISBLANK(ChemData!T299),"",(ChemData!T299))</f>
        <v>1</v>
      </c>
      <c r="L299" s="375" t="str">
        <f>IF(Start!$C$16="x",IF(OR(D299="NA",D299=""),"NA", IF(OR($J299 = "NA",J299=""),"NA",(D299*$J299))),"---")</f>
        <v>---</v>
      </c>
      <c r="M299" s="377" t="str">
        <f>IF(Start!$C$16="x",IF(OR(D299="NA",D299=""),"NA", IF(OR($K299 = "NA",K299=""),"NA",(D299*$K299))),"---")</f>
        <v>---</v>
      </c>
      <c r="N299" s="375" t="str">
        <f t="shared" si="11"/>
        <v>---</v>
      </c>
      <c r="O299" s="377" t="str">
        <f t="shared" si="12"/>
        <v>---</v>
      </c>
      <c r="P299" s="461" t="str">
        <f>IF(Start!$C$16="x",(IF(L299 = "NA","NA", (IF(OR($H299 = "NA",H299=""), "NA",(IF(OR(ChemData!U299="NA",ChemData!U299=""),L299/((Data!$D$33+((1-Data!$D$33)*Data!$D$14*$H299))/((1-Data!$D$33)*Data!$D$14*1000)),(IF(L299/((Data!$D$33+((1-Data!$D$33)*Data!$D$14*$H299))/((1-Data!$D$33)*Data!$D$14*1000))&gt;ChemData!U299, ChemData!U299, L299/((Data!$D$33+((1-Data!$D$33)*Data!$D$14*$H299))/((1-Data!$D$33)*Data!$D$14*1000)))))))))),"---")</f>
        <v>---</v>
      </c>
      <c r="Q299" s="376" t="str">
        <f>IF(Start!$C$16="x",IF(OR($F299 = "NA",F299=""), "NA", IF(P299= "NA", "NA",(P299+(Data!$D$30*$F299))/(Data!$D$30+1))),"---")</f>
        <v>---</v>
      </c>
      <c r="R299" s="376" t="str">
        <f>IF(Start!$C$16="x",IF(O299 = "NA","NA", IF(OR($I299 = "NA",I299=""), "NA",(IF(OR(ChemData!U299="NA",ChemData!U299=""),O299/((Data!$D$35+((1-Data!$D$35)*Data!$D$14*$I299))/((1-Data!$D$35)*Data!$D$14*1000)),(IF(O299/((Data!$D$35+((1-Data!$D$35)*Data!$D$14*$I299))/((1-Data!$D$35)*Data!$D$14*1000))&gt;ChemData!U299, ChemData!U299, O299/((Data!$D$35+((1-Data!$D$35)*Data!$D$14*$I299))/((1-Data!$D$35)*Data!$D$14*1000)))))))),"---")</f>
        <v>---</v>
      </c>
      <c r="S299" s="377" t="str">
        <f>IF(Start!$C$16="x",IF(OR($F299 = "NA",F299=""), "NA", IF(R299= "NA", "NA",(R299+(Data!$D$30*$F299))/(Data!$D$30+1))),"---")</f>
        <v>---</v>
      </c>
      <c r="T299" s="343" t="str">
        <f>IF(Start!$C$16="x",IF(AND(D299= "",E299=""),"",IF(Q299="NA","NA",IF(G299="NA","NA",IF(G299=0,"NA",(Q299/G299))))),"Not Req.")</f>
        <v>Not Req.</v>
      </c>
      <c r="U299" s="343" t="str">
        <f>IF(Start!$C$16="x",IF(AND(D299= "",E299=""),"",IF(S299="NA","NA",IF(G299="NA","NA",IF(G299=0,"NA",(S299/G299))))),"Not Req.")</f>
        <v>Not Req.</v>
      </c>
      <c r="V299" s="11"/>
    </row>
    <row r="300" spans="1:22" s="10" customFormat="1" x14ac:dyDescent="0.25">
      <c r="A300" s="307" t="s">
        <v>618</v>
      </c>
      <c r="B300" s="348" t="str">
        <f>IF(Start!$C$16="x",IF(OR(D300 ="NA",E300="NA"),"NA",IF(AND(D300= "",E300=""),"",IF(AND(D300= "",E300&lt;&gt; ""),"Missing Data",                     IF(AND(D300&lt;&gt; "",E300= ""),"Missing Data",(IF(OR(G300="NA",G300=""),"No Criteria",(IF(AND(Q300="NA",D300&lt;&gt;"NA",G300&lt;&gt;"NA"),                                               "Missing Data",(IF(Q300&lt;G300,"No","Needed")))))))))),"---")</f>
        <v>---</v>
      </c>
      <c r="C300" s="350" t="str">
        <f>IF(Start!$C$16="x",IF(OR(D300 ="NA",E300="NA"),"NA",IF(AND(D300= "",E300=""),"",IF(AND(D300= "",E300&lt;&gt; ""),"Missing Data",                     IF(AND(D300&lt;&gt; "",E300= ""),"Missing Data",(IF(OR(G300="NA",G300=""),"No Criteria",(IF(AND(S300="NA",D300&lt;&gt;"NA",G300&lt;&gt;"NA"),                                               "Missing Data",(IF(S300&lt;G300,"No","Needed")))))))))),"---")</f>
        <v>---</v>
      </c>
      <c r="D300" s="372" t="str">
        <f>IF(TRUE=ISBLANK(ChemData!B300),"",(ChemData!B300))</f>
        <v/>
      </c>
      <c r="E300" s="373" t="str">
        <f>IF(TRUE=ISBLANK(ChemData!C300),"",(ChemData!C300))</f>
        <v/>
      </c>
      <c r="F300" s="374" t="str">
        <f>IF(TRUE=ISBLANK(ChemData!D300),"",(ChemData!D300))</f>
        <v/>
      </c>
      <c r="G300" s="289" t="str">
        <f>IF(TRUE=ISBLANK(ChemData!I300),"",(ChemData!I300))</f>
        <v>NA</v>
      </c>
      <c r="H300" s="290">
        <f>IF(TRUE=ISBLANK(ChemData!Q300),"",(ChemData!Q300))</f>
        <v>404954.67659306258</v>
      </c>
      <c r="I300" s="290">
        <f>IF(TRUE=ISBLANK(ChemData!R300),"",(ChemData!R300))</f>
        <v>404954.67659306258</v>
      </c>
      <c r="J300" s="290">
        <f>IF(TRUE=ISBLANK(ChemData!S300),"",(ChemData!S300))</f>
        <v>1</v>
      </c>
      <c r="K300" s="291">
        <f>IF(TRUE=ISBLANK(ChemData!T300),"",(ChemData!T300))</f>
        <v>1</v>
      </c>
      <c r="L300" s="375" t="str">
        <f>IF(Start!$C$16="x",IF(OR(D300="NA",D300=""),"NA", IF(OR($J300 = "NA",J300=""),"NA",(D300*$J300))),"---")</f>
        <v>---</v>
      </c>
      <c r="M300" s="377" t="str">
        <f>IF(Start!$C$16="x",IF(OR(D300="NA",D300=""),"NA", IF(OR($K300 = "NA",K300=""),"NA",(D300*$K300))),"---")</f>
        <v>---</v>
      </c>
      <c r="N300" s="375" t="str">
        <f t="shared" si="11"/>
        <v>---</v>
      </c>
      <c r="O300" s="377" t="str">
        <f t="shared" si="12"/>
        <v>---</v>
      </c>
      <c r="P300" s="461" t="str">
        <f>IF(Start!$C$16="x",(IF(L300 = "NA","NA", (IF(OR($H300 = "NA",H300=""), "NA",(IF(OR(ChemData!U300="NA",ChemData!U300=""),L300/((Data!$D$33+((1-Data!$D$33)*Data!$D$14*$H300))/((1-Data!$D$33)*Data!$D$14*1000)),(IF(L300/((Data!$D$33+((1-Data!$D$33)*Data!$D$14*$H300))/((1-Data!$D$33)*Data!$D$14*1000))&gt;ChemData!U300, ChemData!U300, L300/((Data!$D$33+((1-Data!$D$33)*Data!$D$14*$H300))/((1-Data!$D$33)*Data!$D$14*1000)))))))))),"---")</f>
        <v>---</v>
      </c>
      <c r="Q300" s="376" t="str">
        <f>IF(Start!$C$16="x",IF(OR($F300 = "NA",F300=""), "NA", IF(P300= "NA", "NA",(P300+(Data!$D$30*$F300))/(Data!$D$30+1))),"---")</f>
        <v>---</v>
      </c>
      <c r="R300" s="376" t="str">
        <f>IF(Start!$C$16="x",IF(O300 = "NA","NA", IF(OR($I300 = "NA",I300=""), "NA",(IF(OR(ChemData!U300="NA",ChemData!U300=""),O300/((Data!$D$35+((1-Data!$D$35)*Data!$D$14*$I300))/((1-Data!$D$35)*Data!$D$14*1000)),(IF(O300/((Data!$D$35+((1-Data!$D$35)*Data!$D$14*$I300))/((1-Data!$D$35)*Data!$D$14*1000))&gt;ChemData!U300, ChemData!U300, O300/((Data!$D$35+((1-Data!$D$35)*Data!$D$14*$I300))/((1-Data!$D$35)*Data!$D$14*1000)))))))),"---")</f>
        <v>---</v>
      </c>
      <c r="S300" s="377" t="str">
        <f>IF(Start!$C$16="x",IF(OR($F300 = "NA",F300=""), "NA", IF(R300= "NA", "NA",(R300+(Data!$D$30*$F300))/(Data!$D$30+1))),"---")</f>
        <v>---</v>
      </c>
      <c r="T300" s="343" t="str">
        <f>IF(Start!$C$16="x",IF(AND(D300= "",E300=""),"",IF(Q300="NA","NA",IF(G300="NA","NA",IF(G300=0,"NA",(Q300/G300))))),"Not Req.")</f>
        <v>Not Req.</v>
      </c>
      <c r="U300" s="343" t="str">
        <f>IF(Start!$C$16="x",IF(AND(D300= "",E300=""),"",IF(S300="NA","NA",IF(G300="NA","NA",IF(G300=0,"NA",(S300/G300))))),"Not Req.")</f>
        <v>Not Req.</v>
      </c>
      <c r="V300" s="11"/>
    </row>
    <row r="301" spans="1:22" s="10" customFormat="1" x14ac:dyDescent="0.25">
      <c r="A301" s="307" t="s">
        <v>619</v>
      </c>
      <c r="B301" s="348" t="str">
        <f>IF(Start!$C$16="x",IF(OR(D301 ="NA",E301="NA"),"NA",IF(AND(D301= "",E301=""),"",IF(AND(D301= "",E301&lt;&gt; ""),"Missing Data",                     IF(AND(D301&lt;&gt; "",E301= ""),"Missing Data",(IF(OR(G301="NA",G301=""),"No Criteria",(IF(AND(Q301="NA",D301&lt;&gt;"NA",G301&lt;&gt;"NA"),                                               "Missing Data",(IF(Q301&lt;G301,"No","Needed")))))))))),"---")</f>
        <v>---</v>
      </c>
      <c r="C301" s="350" t="str">
        <f>IF(Start!$C$16="x",IF(OR(D301 ="NA",E301="NA"),"NA",IF(AND(D301= "",E301=""),"",IF(AND(D301= "",E301&lt;&gt; ""),"Missing Data",                     IF(AND(D301&lt;&gt; "",E301= ""),"Missing Data",(IF(OR(G301="NA",G301=""),"No Criteria",(IF(AND(S301="NA",D301&lt;&gt;"NA",G301&lt;&gt;"NA"),                                               "Missing Data",(IF(S301&lt;G301,"No","Needed")))))))))),"---")</f>
        <v>---</v>
      </c>
      <c r="D301" s="372" t="str">
        <f>IF(TRUE=ISBLANK(ChemData!B301),"",(ChemData!B301))</f>
        <v/>
      </c>
      <c r="E301" s="373" t="str">
        <f>IF(TRUE=ISBLANK(ChemData!C301),"",(ChemData!C301))</f>
        <v/>
      </c>
      <c r="F301" s="374" t="str">
        <f>IF(TRUE=ISBLANK(ChemData!D301),"",(ChemData!D301))</f>
        <v/>
      </c>
      <c r="G301" s="289" t="str">
        <f>IF(TRUE=ISBLANK(ChemData!I301),"",(ChemData!I301))</f>
        <v>NA</v>
      </c>
      <c r="H301" s="290">
        <f>IF(TRUE=ISBLANK(ChemData!Q301),"",(ChemData!Q301))</f>
        <v>293363.72992455278</v>
      </c>
      <c r="I301" s="290">
        <f>IF(TRUE=ISBLANK(ChemData!R301),"",(ChemData!R301))</f>
        <v>293363.72992455278</v>
      </c>
      <c r="J301" s="290">
        <f>IF(TRUE=ISBLANK(ChemData!S301),"",(ChemData!S301))</f>
        <v>1</v>
      </c>
      <c r="K301" s="291">
        <f>IF(TRUE=ISBLANK(ChemData!T301),"",(ChemData!T301))</f>
        <v>1</v>
      </c>
      <c r="L301" s="375" t="str">
        <f>IF(Start!$C$16="x",IF(OR(D301="NA",D301=""),"NA", IF(OR($J301 = "NA",J301=""),"NA",(D301*$J301))),"---")</f>
        <v>---</v>
      </c>
      <c r="M301" s="377" t="str">
        <f>IF(Start!$C$16="x",IF(OR(D301="NA",D301=""),"NA", IF(OR($K301 = "NA",K301=""),"NA",(D301*$K301))),"---")</f>
        <v>---</v>
      </c>
      <c r="N301" s="375" t="str">
        <f t="shared" si="11"/>
        <v>---</v>
      </c>
      <c r="O301" s="377" t="str">
        <f t="shared" si="12"/>
        <v>---</v>
      </c>
      <c r="P301" s="461" t="str">
        <f>IF(Start!$C$16="x",(IF(L301 = "NA","NA", (IF(OR($H301 = "NA",H301=""), "NA",(IF(OR(ChemData!U301="NA",ChemData!U301=""),L301/((Data!$D$33+((1-Data!$D$33)*Data!$D$14*$H301))/((1-Data!$D$33)*Data!$D$14*1000)),(IF(L301/((Data!$D$33+((1-Data!$D$33)*Data!$D$14*$H301))/((1-Data!$D$33)*Data!$D$14*1000))&gt;ChemData!U301, ChemData!U301, L301/((Data!$D$33+((1-Data!$D$33)*Data!$D$14*$H301))/((1-Data!$D$33)*Data!$D$14*1000)))))))))),"---")</f>
        <v>---</v>
      </c>
      <c r="Q301" s="376" t="str">
        <f>IF(Start!$C$16="x",IF(OR($F301 = "NA",F301=""), "NA", IF(P301= "NA", "NA",(P301+(Data!$D$30*$F301))/(Data!$D$30+1))),"---")</f>
        <v>---</v>
      </c>
      <c r="R301" s="376" t="str">
        <f>IF(Start!$C$16="x",IF(O301 = "NA","NA", IF(OR($I301 = "NA",I301=""), "NA",(IF(OR(ChemData!U301="NA",ChemData!U301=""),O301/((Data!$D$35+((1-Data!$D$35)*Data!$D$14*$I301))/((1-Data!$D$35)*Data!$D$14*1000)),(IF(O301/((Data!$D$35+((1-Data!$D$35)*Data!$D$14*$I301))/((1-Data!$D$35)*Data!$D$14*1000))&gt;ChemData!U301, ChemData!U301, O301/((Data!$D$35+((1-Data!$D$35)*Data!$D$14*$I301))/((1-Data!$D$35)*Data!$D$14*1000)))))))),"---")</f>
        <v>---</v>
      </c>
      <c r="S301" s="377" t="str">
        <f>IF(Start!$C$16="x",IF(OR($F301 = "NA",F301=""), "NA", IF(R301= "NA", "NA",(R301+(Data!$D$30*$F301))/(Data!$D$30+1))),"---")</f>
        <v>---</v>
      </c>
      <c r="T301" s="343" t="str">
        <f>IF(Start!$C$16="x",IF(AND(D301= "",E301=""),"",IF(Q301="NA","NA",IF(G301="NA","NA",IF(G301=0,"NA",(Q301/G301))))),"Not Req.")</f>
        <v>Not Req.</v>
      </c>
      <c r="U301" s="343" t="str">
        <f>IF(Start!$C$16="x",IF(AND(D301= "",E301=""),"",IF(S301="NA","NA",IF(G301="NA","NA",IF(G301=0,"NA",(S301/G301))))),"Not Req.")</f>
        <v>Not Req.</v>
      </c>
      <c r="V301" s="11"/>
    </row>
    <row r="302" spans="1:22" s="10" customFormat="1" x14ac:dyDescent="0.25">
      <c r="A302" s="307" t="s">
        <v>620</v>
      </c>
      <c r="B302" s="348" t="str">
        <f>IF(Start!$C$16="x",IF(OR(D302 ="NA",E302="NA"),"NA",IF(AND(D302= "",E302=""),"",IF(AND(D302= "",E302&lt;&gt; ""),"Missing Data",                     IF(AND(D302&lt;&gt; "",E302= ""),"Missing Data",(IF(OR(G302="NA",G302=""),"No Criteria",(IF(AND(Q302="NA",D302&lt;&gt;"NA",G302&lt;&gt;"NA"),                                               "Missing Data",(IF(Q302&lt;G302,"No","Needed")))))))))),"---")</f>
        <v>---</v>
      </c>
      <c r="C302" s="350" t="str">
        <f>IF(Start!$C$16="x",IF(OR(D302 ="NA",E302="NA"),"NA",IF(AND(D302= "",E302=""),"",IF(AND(D302= "",E302&lt;&gt; ""),"Missing Data",                     IF(AND(D302&lt;&gt; "",E302= ""),"Missing Data",(IF(OR(G302="NA",G302=""),"No Criteria",(IF(AND(S302="NA",D302&lt;&gt;"NA",G302&lt;&gt;"NA"),                                               "Missing Data",(IF(S302&lt;G302,"No","Needed")))))))))),"---")</f>
        <v>---</v>
      </c>
      <c r="D302" s="372" t="str">
        <f>IF(TRUE=ISBLANK(ChemData!B302),"",(ChemData!B302))</f>
        <v/>
      </c>
      <c r="E302" s="373" t="str">
        <f>IF(TRUE=ISBLANK(ChemData!C302),"",(ChemData!C302))</f>
        <v/>
      </c>
      <c r="F302" s="374" t="str">
        <f>IF(TRUE=ISBLANK(ChemData!D302),"",(ChemData!D302))</f>
        <v/>
      </c>
      <c r="G302" s="289" t="str">
        <f>IF(TRUE=ISBLANK(ChemData!I302),"",(ChemData!I302))</f>
        <v>NA</v>
      </c>
      <c r="H302" s="290">
        <f>IF(TRUE=ISBLANK(ChemData!Q302),"",(ChemData!Q302))</f>
        <v>3368266.2892870889</v>
      </c>
      <c r="I302" s="290">
        <f>IF(TRUE=ISBLANK(ChemData!R302),"",(ChemData!R302))</f>
        <v>3368266.2892870889</v>
      </c>
      <c r="J302" s="290">
        <f>IF(TRUE=ISBLANK(ChemData!S302),"",(ChemData!S302))</f>
        <v>1</v>
      </c>
      <c r="K302" s="291">
        <f>IF(TRUE=ISBLANK(ChemData!T302),"",(ChemData!T302))</f>
        <v>1</v>
      </c>
      <c r="L302" s="375" t="str">
        <f>IF(Start!$C$16="x",IF(OR(D302="NA",D302=""),"NA", IF(OR($J302 = "NA",J302=""),"NA",(D302*$J302))),"---")</f>
        <v>---</v>
      </c>
      <c r="M302" s="377" t="str">
        <f>IF(Start!$C$16="x",IF(OR(D302="NA",D302=""),"NA", IF(OR($K302 = "NA",K302=""),"NA",(D302*$K302))),"---")</f>
        <v>---</v>
      </c>
      <c r="N302" s="375" t="str">
        <f t="shared" si="11"/>
        <v>---</v>
      </c>
      <c r="O302" s="377" t="str">
        <f t="shared" si="12"/>
        <v>---</v>
      </c>
      <c r="P302" s="461" t="str">
        <f>IF(Start!$C$16="x",(IF(L302 = "NA","NA", (IF(OR($H302 = "NA",H302=""), "NA",(IF(OR(ChemData!U302="NA",ChemData!U302=""),L302/((Data!$D$33+((1-Data!$D$33)*Data!$D$14*$H302))/((1-Data!$D$33)*Data!$D$14*1000)),(IF(L302/((Data!$D$33+((1-Data!$D$33)*Data!$D$14*$H302))/((1-Data!$D$33)*Data!$D$14*1000))&gt;ChemData!U302, ChemData!U302, L302/((Data!$D$33+((1-Data!$D$33)*Data!$D$14*$H302))/((1-Data!$D$33)*Data!$D$14*1000)))))))))),"---")</f>
        <v>---</v>
      </c>
      <c r="Q302" s="376" t="str">
        <f>IF(Start!$C$16="x",IF(OR($F302 = "NA",F302=""), "NA", IF(P302= "NA", "NA",(P302+(Data!$D$30*$F302))/(Data!$D$30+1))),"---")</f>
        <v>---</v>
      </c>
      <c r="R302" s="376" t="str">
        <f>IF(Start!$C$16="x",IF(O302 = "NA","NA", IF(OR($I302 = "NA",I302=""), "NA",(IF(OR(ChemData!U302="NA",ChemData!U302=""),O302/((Data!$D$35+((1-Data!$D$35)*Data!$D$14*$I302))/((1-Data!$D$35)*Data!$D$14*1000)),(IF(O302/((Data!$D$35+((1-Data!$D$35)*Data!$D$14*$I302))/((1-Data!$D$35)*Data!$D$14*1000))&gt;ChemData!U302, ChemData!U302, O302/((Data!$D$35+((1-Data!$D$35)*Data!$D$14*$I302))/((1-Data!$D$35)*Data!$D$14*1000)))))))),"---")</f>
        <v>---</v>
      </c>
      <c r="S302" s="377" t="str">
        <f>IF(Start!$C$16="x",IF(OR($F302 = "NA",F302=""), "NA", IF(R302= "NA", "NA",(R302+(Data!$D$30*$F302))/(Data!$D$30+1))),"---")</f>
        <v>---</v>
      </c>
      <c r="T302" s="343" t="str">
        <f>IF(Start!$C$16="x",IF(AND(D302= "",E302=""),"",IF(Q302="NA","NA",IF(G302="NA","NA",IF(G302=0,"NA",(Q302/G302))))),"Not Req.")</f>
        <v>Not Req.</v>
      </c>
      <c r="U302" s="343" t="str">
        <f>IF(Start!$C$16="x",IF(AND(D302= "",E302=""),"",IF(S302="NA","NA",IF(G302="NA","NA",IF(G302=0,"NA",(S302/G302))))),"Not Req.")</f>
        <v>Not Req.</v>
      </c>
      <c r="V302" s="11"/>
    </row>
    <row r="303" spans="1:22" s="10" customFormat="1" x14ac:dyDescent="0.25">
      <c r="A303" s="307" t="s">
        <v>621</v>
      </c>
      <c r="B303" s="348" t="str">
        <f>IF(Start!$C$16="x",IF(OR(D303 ="NA",E303="NA"),"NA",IF(AND(D303= "",E303=""),"",IF(AND(D303= "",E303&lt;&gt; ""),"Missing Data",                     IF(AND(D303&lt;&gt; "",E303= ""),"Missing Data",(IF(OR(G303="NA",G303=""),"No Criteria",(IF(AND(Q303="NA",D303&lt;&gt;"NA",G303&lt;&gt;"NA"),                                               "Missing Data",(IF(Q303&lt;G303,"No","Needed")))))))))),"---")</f>
        <v>---</v>
      </c>
      <c r="C303" s="350" t="str">
        <f>IF(Start!$C$16="x",IF(OR(D303 ="NA",E303="NA"),"NA",IF(AND(D303= "",E303=""),"",IF(AND(D303= "",E303&lt;&gt; ""),"Missing Data",                     IF(AND(D303&lt;&gt; "",E303= ""),"Missing Data",(IF(OR(G303="NA",G303=""),"No Criteria",(IF(AND(S303="NA",D303&lt;&gt;"NA",G303&lt;&gt;"NA"),                                               "Missing Data",(IF(S303&lt;G303,"No","Needed")))))))))),"---")</f>
        <v>---</v>
      </c>
      <c r="D303" s="372" t="str">
        <f>IF(TRUE=ISBLANK(ChemData!B303),"",(ChemData!B303))</f>
        <v/>
      </c>
      <c r="E303" s="373" t="str">
        <f>IF(TRUE=ISBLANK(ChemData!C303),"",(ChemData!C303))</f>
        <v/>
      </c>
      <c r="F303" s="374" t="str">
        <f>IF(TRUE=ISBLANK(ChemData!D303),"",(ChemData!D303))</f>
        <v/>
      </c>
      <c r="G303" s="289" t="str">
        <f>IF(TRUE=ISBLANK(ChemData!I303),"",(ChemData!I303))</f>
        <v>NA</v>
      </c>
      <c r="H303" s="290">
        <f>IF(TRUE=ISBLANK(ChemData!Q303),"",(ChemData!Q303))</f>
        <v>7037.3057258936005</v>
      </c>
      <c r="I303" s="290">
        <f>IF(TRUE=ISBLANK(ChemData!R303),"",(ChemData!R303))</f>
        <v>7037.3057258936005</v>
      </c>
      <c r="J303" s="290">
        <f>IF(TRUE=ISBLANK(ChemData!S303),"",(ChemData!S303))</f>
        <v>1</v>
      </c>
      <c r="K303" s="291">
        <f>IF(TRUE=ISBLANK(ChemData!T303),"",(ChemData!T303))</f>
        <v>1</v>
      </c>
      <c r="L303" s="375" t="str">
        <f>IF(Start!$C$16="x",IF(OR(D303="NA",D303=""),"NA", IF(OR($J303 = "NA",J303=""),"NA",(D303*$J303))),"---")</f>
        <v>---</v>
      </c>
      <c r="M303" s="377" t="str">
        <f>IF(Start!$C$16="x",IF(OR(D303="NA",D303=""),"NA", IF(OR($K303 = "NA",K303=""),"NA",(D303*$K303))),"---")</f>
        <v>---</v>
      </c>
      <c r="N303" s="375" t="str">
        <f t="shared" si="11"/>
        <v>---</v>
      </c>
      <c r="O303" s="377" t="str">
        <f t="shared" si="12"/>
        <v>---</v>
      </c>
      <c r="P303" s="461" t="str">
        <f>IF(Start!$C$16="x",(IF(L303 = "NA","NA", (IF(OR($H303 = "NA",H303=""), "NA",(IF(OR(ChemData!U303="NA",ChemData!U303=""),L303/((Data!$D$33+((1-Data!$D$33)*Data!$D$14*$H303))/((1-Data!$D$33)*Data!$D$14*1000)),(IF(L303/((Data!$D$33+((1-Data!$D$33)*Data!$D$14*$H303))/((1-Data!$D$33)*Data!$D$14*1000))&gt;ChemData!U303, ChemData!U303, L303/((Data!$D$33+((1-Data!$D$33)*Data!$D$14*$H303))/((1-Data!$D$33)*Data!$D$14*1000)))))))))),"---")</f>
        <v>---</v>
      </c>
      <c r="Q303" s="376" t="str">
        <f>IF(Start!$C$16="x",IF(OR($F303 = "NA",F303=""), "NA", IF(P303= "NA", "NA",(P303+(Data!$D$30*$F303))/(Data!$D$30+1))),"---")</f>
        <v>---</v>
      </c>
      <c r="R303" s="376" t="str">
        <f>IF(Start!$C$16="x",IF(O303 = "NA","NA", IF(OR($I303 = "NA",I303=""), "NA",(IF(OR(ChemData!U303="NA",ChemData!U303=""),O303/((Data!$D$35+((1-Data!$D$35)*Data!$D$14*$I303))/((1-Data!$D$35)*Data!$D$14*1000)),(IF(O303/((Data!$D$35+((1-Data!$D$35)*Data!$D$14*$I303))/((1-Data!$D$35)*Data!$D$14*1000))&gt;ChemData!U303, ChemData!U303, O303/((Data!$D$35+((1-Data!$D$35)*Data!$D$14*$I303))/((1-Data!$D$35)*Data!$D$14*1000)))))))),"---")</f>
        <v>---</v>
      </c>
      <c r="S303" s="377" t="str">
        <f>IF(Start!$C$16="x",IF(OR($F303 = "NA",F303=""), "NA", IF(R303= "NA", "NA",(R303+(Data!$D$30*$F303))/(Data!$D$30+1))),"---")</f>
        <v>---</v>
      </c>
      <c r="T303" s="343" t="str">
        <f>IF(Start!$C$16="x",IF(AND(D303= "",E303=""),"",IF(Q303="NA","NA",IF(G303="NA","NA",IF(G303=0,"NA",(Q303/G303))))),"Not Req.")</f>
        <v>Not Req.</v>
      </c>
      <c r="U303" s="343" t="str">
        <f>IF(Start!$C$16="x",IF(AND(D303= "",E303=""),"",IF(S303="NA","NA",IF(G303="NA","NA",IF(G303=0,"NA",(S303/G303))))),"Not Req.")</f>
        <v>Not Req.</v>
      </c>
      <c r="V303" s="11"/>
    </row>
    <row r="304" spans="1:22" s="10" customFormat="1" x14ac:dyDescent="0.25">
      <c r="A304" s="307" t="s">
        <v>622</v>
      </c>
      <c r="B304" s="348" t="str">
        <f>IF(Start!$C$16="x",IF(OR(D304 ="NA",E304="NA"),"NA",IF(AND(D304= "",E304=""),"",IF(AND(D304= "",E304&lt;&gt; ""),"Missing Data",                     IF(AND(D304&lt;&gt; "",E304= ""),"Missing Data",(IF(OR(G304="NA",G304=""),"No Criteria",(IF(AND(Q304="NA",D304&lt;&gt;"NA",G304&lt;&gt;"NA"),                                               "Missing Data",(IF(Q304&lt;G304,"No","Needed")))))))))),"---")</f>
        <v>---</v>
      </c>
      <c r="C304" s="350" t="str">
        <f>IF(Start!$C$16="x",IF(OR(D304 ="NA",E304="NA"),"NA",IF(AND(D304= "",E304=""),"",IF(AND(D304= "",E304&lt;&gt; ""),"Missing Data",                     IF(AND(D304&lt;&gt; "",E304= ""),"Missing Data",(IF(OR(G304="NA",G304=""),"No Criteria",(IF(AND(S304="NA",D304&lt;&gt;"NA",G304&lt;&gt;"NA"),                                               "Missing Data",(IF(S304&lt;G304,"No","Needed")))))))))),"---")</f>
        <v>---</v>
      </c>
      <c r="D304" s="372" t="str">
        <f>IF(TRUE=ISBLANK(ChemData!B304),"",(ChemData!B304))</f>
        <v/>
      </c>
      <c r="E304" s="373" t="str">
        <f>IF(TRUE=ISBLANK(ChemData!C304),"",(ChemData!C304))</f>
        <v/>
      </c>
      <c r="F304" s="374" t="str">
        <f>IF(TRUE=ISBLANK(ChemData!D304),"",(ChemData!D304))</f>
        <v/>
      </c>
      <c r="G304" s="289">
        <f>IF(TRUE=ISBLANK(ChemData!I304),"",(ChemData!I304))</f>
        <v>0.28000000000000003</v>
      </c>
      <c r="H304" s="290">
        <f>IF(TRUE=ISBLANK(ChemData!Q304),"",(ChemData!Q304))</f>
        <v>222.53914684768353</v>
      </c>
      <c r="I304" s="290">
        <f>IF(TRUE=ISBLANK(ChemData!R304),"",(ChemData!R304))</f>
        <v>222.53914684768353</v>
      </c>
      <c r="J304" s="290">
        <f>IF(TRUE=ISBLANK(ChemData!S304),"",(ChemData!S304))</f>
        <v>1</v>
      </c>
      <c r="K304" s="291">
        <f>IF(TRUE=ISBLANK(ChemData!T304),"",(ChemData!T304))</f>
        <v>1</v>
      </c>
      <c r="L304" s="375" t="str">
        <f>IF(Start!$C$16="x",IF(OR(D304="NA",D304=""),"NA", IF(OR($J304 = "NA",J304=""),"NA",(D304*$J304))),"---")</f>
        <v>---</v>
      </c>
      <c r="M304" s="377" t="str">
        <f>IF(Start!$C$16="x",IF(OR(D304="NA",D304=""),"NA", IF(OR($K304 = "NA",K304=""),"NA",(D304*$K304))),"---")</f>
        <v>---</v>
      </c>
      <c r="N304" s="375" t="str">
        <f t="shared" si="11"/>
        <v>---</v>
      </c>
      <c r="O304" s="377" t="str">
        <f t="shared" si="12"/>
        <v>---</v>
      </c>
      <c r="P304" s="461" t="str">
        <f>IF(Start!$C$16="x",(IF(L304 = "NA","NA", (IF(OR($H304 = "NA",H304=""), "NA",(IF(OR(ChemData!U304="NA",ChemData!U304=""),L304/((Data!$D$33+((1-Data!$D$33)*Data!$D$14*$H304))/((1-Data!$D$33)*Data!$D$14*1000)),(IF(L304/((Data!$D$33+((1-Data!$D$33)*Data!$D$14*$H304))/((1-Data!$D$33)*Data!$D$14*1000))&gt;ChemData!U304, ChemData!U304, L304/((Data!$D$33+((1-Data!$D$33)*Data!$D$14*$H304))/((1-Data!$D$33)*Data!$D$14*1000)))))))))),"---")</f>
        <v>---</v>
      </c>
      <c r="Q304" s="376" t="str">
        <f>IF(Start!$C$16="x",IF(OR($F304 = "NA",F304=""), "NA", IF(P304= "NA", "NA",(P304+(Data!$D$30*$F304))/(Data!$D$30+1))),"---")</f>
        <v>---</v>
      </c>
      <c r="R304" s="376" t="str">
        <f>IF(Start!$C$16="x",IF(O304 = "NA","NA", IF(OR($I304 = "NA",I304=""), "NA",(IF(OR(ChemData!U304="NA",ChemData!U304=""),O304/((Data!$D$35+((1-Data!$D$35)*Data!$D$14*$I304))/((1-Data!$D$35)*Data!$D$14*1000)),(IF(O304/((Data!$D$35+((1-Data!$D$35)*Data!$D$14*$I304))/((1-Data!$D$35)*Data!$D$14*1000))&gt;ChemData!U304, ChemData!U304, O304/((Data!$D$35+((1-Data!$D$35)*Data!$D$14*$I304))/((1-Data!$D$35)*Data!$D$14*1000)))))))),"---")</f>
        <v>---</v>
      </c>
      <c r="S304" s="377" t="str">
        <f>IF(Start!$C$16="x",IF(OR($F304 = "NA",F304=""), "NA", IF(R304= "NA", "NA",(R304+(Data!$D$30*$F304))/(Data!$D$30+1))),"---")</f>
        <v>---</v>
      </c>
      <c r="T304" s="343" t="str">
        <f>IF(Start!$C$16="x",IF(AND(D304= "",E304=""),"",IF(Q304="NA","NA",IF(G304="NA","NA",IF(G304=0,"NA",(Q304/G304))))),"Not Req.")</f>
        <v>Not Req.</v>
      </c>
      <c r="U304" s="343" t="str">
        <f>IF(Start!$C$16="x",IF(AND(D304= "",E304=""),"",IF(S304="NA","NA",IF(G304="NA","NA",IF(G304=0,"NA",(S304/G304))))),"Not Req.")</f>
        <v>Not Req.</v>
      </c>
      <c r="V304" s="11"/>
    </row>
    <row r="305" spans="1:22" s="10" customFormat="1" x14ac:dyDescent="0.25">
      <c r="A305" s="307" t="s">
        <v>623</v>
      </c>
      <c r="B305" s="348" t="str">
        <f>IF(Start!$C$16="x",IF(OR(D305 ="NA",E305="NA"),"NA",IF(AND(D305= "",E305=""),"",IF(AND(D305= "",E305&lt;&gt; ""),"Missing Data",                     IF(AND(D305&lt;&gt; "",E305= ""),"Missing Data",(IF(OR(G305="NA",G305=""),"No Criteria",(IF(AND(Q305="NA",D305&lt;&gt;"NA",G305&lt;&gt;"NA"),                                               "Missing Data",(IF(Q305&lt;G305,"No","Needed")))))))))),"---")</f>
        <v>---</v>
      </c>
      <c r="C305" s="350" t="str">
        <f>IF(Start!$C$16="x",IF(OR(D305 ="NA",E305="NA"),"NA",IF(AND(D305= "",E305=""),"",IF(AND(D305= "",E305&lt;&gt; ""),"Missing Data",                     IF(AND(D305&lt;&gt; "",E305= ""),"Missing Data",(IF(OR(G305="NA",G305=""),"No Criteria",(IF(AND(S305="NA",D305&lt;&gt;"NA",G305&lt;&gt;"NA"),                                               "Missing Data",(IF(S305&lt;G305,"No","Needed")))))))))),"---")</f>
        <v>---</v>
      </c>
      <c r="D305" s="372" t="str">
        <f>IF(TRUE=ISBLANK(ChemData!B305),"",(ChemData!B305))</f>
        <v/>
      </c>
      <c r="E305" s="373" t="str">
        <f>IF(TRUE=ISBLANK(ChemData!C305),"",(ChemData!C305))</f>
        <v/>
      </c>
      <c r="F305" s="374" t="str">
        <f>IF(TRUE=ISBLANK(ChemData!D305),"",(ChemData!D305))</f>
        <v/>
      </c>
      <c r="G305" s="289">
        <f>IF(TRUE=ISBLANK(ChemData!I305),"",(ChemData!I305))</f>
        <v>0.57999999999999996</v>
      </c>
      <c r="H305" s="290">
        <f>IF(TRUE=ISBLANK(ChemData!Q305),"",(ChemData!Q305))</f>
        <v>29.336372992455249</v>
      </c>
      <c r="I305" s="290">
        <f>IF(TRUE=ISBLANK(ChemData!R305),"",(ChemData!R305))</f>
        <v>29.336372992455249</v>
      </c>
      <c r="J305" s="290">
        <f>IF(TRUE=ISBLANK(ChemData!S305),"",(ChemData!S305))</f>
        <v>1</v>
      </c>
      <c r="K305" s="291">
        <f>IF(TRUE=ISBLANK(ChemData!T305),"",(ChemData!T305))</f>
        <v>1</v>
      </c>
      <c r="L305" s="375" t="str">
        <f>IF(Start!$C$16="x",IF(OR(D305="NA",D305=""),"NA", IF(OR($J305 = "NA",J305=""),"NA",(D305*$J305))),"---")</f>
        <v>---</v>
      </c>
      <c r="M305" s="377" t="str">
        <f>IF(Start!$C$16="x",IF(OR(D305="NA",D305=""),"NA", IF(OR($K305 = "NA",K305=""),"NA",(D305*$K305))),"---")</f>
        <v>---</v>
      </c>
      <c r="N305" s="375" t="str">
        <f t="shared" si="11"/>
        <v>---</v>
      </c>
      <c r="O305" s="377" t="str">
        <f t="shared" si="12"/>
        <v>---</v>
      </c>
      <c r="P305" s="461" t="str">
        <f>IF(Start!$C$16="x",(IF(L305 = "NA","NA", (IF(OR($H305 = "NA",H305=""), "NA",(IF(OR(ChemData!U305="NA",ChemData!U305=""),L305/((Data!$D$33+((1-Data!$D$33)*Data!$D$14*$H305))/((1-Data!$D$33)*Data!$D$14*1000)),(IF(L305/((Data!$D$33+((1-Data!$D$33)*Data!$D$14*$H305))/((1-Data!$D$33)*Data!$D$14*1000))&gt;ChemData!U305, ChemData!U305, L305/((Data!$D$33+((1-Data!$D$33)*Data!$D$14*$H305))/((1-Data!$D$33)*Data!$D$14*1000)))))))))),"---")</f>
        <v>---</v>
      </c>
      <c r="Q305" s="376" t="str">
        <f>IF(Start!$C$16="x",IF(OR($F305 = "NA",F305=""), "NA", IF(P305= "NA", "NA",(P305+(Data!$D$30*$F305))/(Data!$D$30+1))),"---")</f>
        <v>---</v>
      </c>
      <c r="R305" s="376" t="str">
        <f>IF(Start!$C$16="x",IF(O305 = "NA","NA", IF(OR($I305 = "NA",I305=""), "NA",(IF(OR(ChemData!U305="NA",ChemData!U305=""),O305/((Data!$D$35+((1-Data!$D$35)*Data!$D$14*$I305))/((1-Data!$D$35)*Data!$D$14*1000)),(IF(O305/((Data!$D$35+((1-Data!$D$35)*Data!$D$14*$I305))/((1-Data!$D$35)*Data!$D$14*1000))&gt;ChemData!U305, ChemData!U305, O305/((Data!$D$35+((1-Data!$D$35)*Data!$D$14*$I305))/((1-Data!$D$35)*Data!$D$14*1000)))))))),"---")</f>
        <v>---</v>
      </c>
      <c r="S305" s="377" t="str">
        <f>IF(Start!$C$16="x",IF(OR($F305 = "NA",F305=""), "NA", IF(R305= "NA", "NA",(R305+(Data!$D$30*$F305))/(Data!$D$30+1))),"---")</f>
        <v>---</v>
      </c>
      <c r="T305" s="343" t="str">
        <f>IF(Start!$C$16="x",IF(AND(D305= "",E305=""),"",IF(Q305="NA","NA",IF(G305="NA","NA",IF(G305=0,"NA",(Q305/G305))))),"Not Req.")</f>
        <v>Not Req.</v>
      </c>
      <c r="U305" s="343" t="str">
        <f>IF(Start!$C$16="x",IF(AND(D305= "",E305=""),"",IF(S305="NA","NA",IF(G305="NA","NA",IF(G305=0,"NA",(S305/G305))))),"Not Req.")</f>
        <v>Not Req.</v>
      </c>
      <c r="V305" s="11"/>
    </row>
    <row r="306" spans="1:22" s="10" customFormat="1" x14ac:dyDescent="0.25">
      <c r="A306" s="307" t="s">
        <v>624</v>
      </c>
      <c r="B306" s="348" t="str">
        <f>IF(Start!$C$16="x",IF(OR(D306 ="NA",E306="NA"),"NA",IF(AND(D306= "",E306=""),"",IF(AND(D306= "",E306&lt;&gt; ""),"Missing Data",                     IF(AND(D306&lt;&gt; "",E306= ""),"Missing Data",(IF(OR(G306="NA",G306=""),"No Criteria",(IF(AND(Q306="NA",D306&lt;&gt;"NA",G306&lt;&gt;"NA"),                                               "Missing Data",(IF(Q306&lt;G306,"No","Needed")))))))))),"---")</f>
        <v>---</v>
      </c>
      <c r="C306" s="350" t="str">
        <f>IF(Start!$C$16="x",IF(OR(D306 ="NA",E306="NA"),"NA",IF(AND(D306= "",E306=""),"",IF(AND(D306= "",E306&lt;&gt; ""),"Missing Data",                     IF(AND(D306&lt;&gt; "",E306= ""),"Missing Data",(IF(OR(G306="NA",G306=""),"No Criteria",(IF(AND(S306="NA",D306&lt;&gt;"NA",G306&lt;&gt;"NA"),                                               "Missing Data",(IF(S306&lt;G306,"No","Needed")))))))))),"---")</f>
        <v>---</v>
      </c>
      <c r="D306" s="372" t="str">
        <f>IF(TRUE=ISBLANK(ChemData!B306),"",(ChemData!B306))</f>
        <v/>
      </c>
      <c r="E306" s="373" t="str">
        <f>IF(TRUE=ISBLANK(ChemData!C306),"",(ChemData!C306))</f>
        <v/>
      </c>
      <c r="F306" s="374" t="str">
        <f>IF(TRUE=ISBLANK(ChemData!D306),"",(ChemData!D306))</f>
        <v/>
      </c>
      <c r="G306" s="289">
        <f>IF(TRUE=ISBLANK(ChemData!I306),"",(ChemData!I306))</f>
        <v>0.53</v>
      </c>
      <c r="H306" s="290">
        <f>IF(TRUE=ISBLANK(ChemData!Q306),"",(ChemData!Q306))</f>
        <v>238.45499201839945</v>
      </c>
      <c r="I306" s="290">
        <f>IF(TRUE=ISBLANK(ChemData!R306),"",(ChemData!R306))</f>
        <v>238.45499201839945</v>
      </c>
      <c r="J306" s="290">
        <f>IF(TRUE=ISBLANK(ChemData!S306),"",(ChemData!S306))</f>
        <v>1</v>
      </c>
      <c r="K306" s="291">
        <f>IF(TRUE=ISBLANK(ChemData!T306),"",(ChemData!T306))</f>
        <v>1</v>
      </c>
      <c r="L306" s="375" t="str">
        <f>IF(Start!$C$16="x",IF(OR(D306="NA",D306=""),"NA", IF(OR($J306 = "NA",J306=""),"NA",(D306*$J306))),"---")</f>
        <v>---</v>
      </c>
      <c r="M306" s="377" t="str">
        <f>IF(Start!$C$16="x",IF(OR(D306="NA",D306=""),"NA", IF(OR($K306 = "NA",K306=""),"NA",(D306*$K306))),"---")</f>
        <v>---</v>
      </c>
      <c r="N306" s="375" t="str">
        <f t="shared" si="11"/>
        <v>---</v>
      </c>
      <c r="O306" s="377" t="str">
        <f t="shared" si="12"/>
        <v>---</v>
      </c>
      <c r="P306" s="461" t="str">
        <f>IF(Start!$C$16="x",(IF(L306 = "NA","NA", (IF(OR($H306 = "NA",H306=""), "NA",(IF(OR(ChemData!U306="NA",ChemData!U306=""),L306/((Data!$D$33+((1-Data!$D$33)*Data!$D$14*$H306))/((1-Data!$D$33)*Data!$D$14*1000)),(IF(L306/((Data!$D$33+((1-Data!$D$33)*Data!$D$14*$H306))/((1-Data!$D$33)*Data!$D$14*1000))&gt;ChemData!U306, ChemData!U306, L306/((Data!$D$33+((1-Data!$D$33)*Data!$D$14*$H306))/((1-Data!$D$33)*Data!$D$14*1000)))))))))),"---")</f>
        <v>---</v>
      </c>
      <c r="Q306" s="376" t="str">
        <f>IF(Start!$C$16="x",IF(OR($F306 = "NA",F306=""), "NA", IF(P306= "NA", "NA",(P306+(Data!$D$30*$F306))/(Data!$D$30+1))),"---")</f>
        <v>---</v>
      </c>
      <c r="R306" s="376" t="str">
        <f>IF(Start!$C$16="x",IF(O306 = "NA","NA", IF(OR($I306 = "NA",I306=""), "NA",(IF(OR(ChemData!U306="NA",ChemData!U306=""),O306/((Data!$D$35+((1-Data!$D$35)*Data!$D$14*$I306))/((1-Data!$D$35)*Data!$D$14*1000)),(IF(O306/((Data!$D$35+((1-Data!$D$35)*Data!$D$14*$I306))/((1-Data!$D$35)*Data!$D$14*1000))&gt;ChemData!U306, ChemData!U306, O306/((Data!$D$35+((1-Data!$D$35)*Data!$D$14*$I306))/((1-Data!$D$35)*Data!$D$14*1000)))))))),"---")</f>
        <v>---</v>
      </c>
      <c r="S306" s="377" t="str">
        <f>IF(Start!$C$16="x",IF(OR($F306 = "NA",F306=""), "NA", IF(R306= "NA", "NA",(R306+(Data!$D$30*$F306))/(Data!$D$30+1))),"---")</f>
        <v>---</v>
      </c>
      <c r="T306" s="343" t="str">
        <f>IF(Start!$C$16="x",IF(AND(D306= "",E306=""),"",IF(Q306="NA","NA",IF(G306="NA","NA",IF(G306=0,"NA",(Q306/G306))))),"Not Req.")</f>
        <v>Not Req.</v>
      </c>
      <c r="U306" s="343" t="str">
        <f>IF(Start!$C$16="x",IF(AND(D306= "",E306=""),"",IF(S306="NA","NA",IF(G306="NA","NA",IF(G306=0,"NA",(S306/G306))))),"Not Req.")</f>
        <v>Not Req.</v>
      </c>
      <c r="V306" s="11"/>
    </row>
    <row r="307" spans="1:22" s="10" customFormat="1" x14ac:dyDescent="0.25">
      <c r="A307" s="307" t="s">
        <v>625</v>
      </c>
      <c r="B307" s="348" t="str">
        <f>IF(Start!$C$16="x",IF(OR(D307 ="NA",E307="NA"),"NA",IF(AND(D307= "",E307=""),"",IF(AND(D307= "",E307&lt;&gt; ""),"Missing Data",                     IF(AND(D307&lt;&gt; "",E307= ""),"Missing Data",(IF(OR(G307="NA",G307=""),"No Criteria",(IF(AND(Q307="NA",D307&lt;&gt;"NA",G307&lt;&gt;"NA"),                                               "Missing Data",(IF(Q307&lt;G307,"No","Needed")))))))))),"---")</f>
        <v>---</v>
      </c>
      <c r="C307" s="350" t="str">
        <f>IF(Start!$C$16="x",IF(OR(D307 ="NA",E307="NA"),"NA",IF(AND(D307= "",E307=""),"",IF(AND(D307= "",E307&lt;&gt; ""),"Missing Data",                     IF(AND(D307&lt;&gt; "",E307= ""),"Missing Data",(IF(OR(G307="NA",G307=""),"No Criteria",(IF(AND(S307="NA",D307&lt;&gt;"NA",G307&lt;&gt;"NA"),                                               "Missing Data",(IF(S307&lt;G307,"No","Needed")))))))))),"---")</f>
        <v>---</v>
      </c>
      <c r="D307" s="372" t="str">
        <f>IF(TRUE=ISBLANK(ChemData!B307),"",(ChemData!B307))</f>
        <v/>
      </c>
      <c r="E307" s="373" t="str">
        <f>IF(TRUE=ISBLANK(ChemData!C307),"",(ChemData!C307))</f>
        <v/>
      </c>
      <c r="F307" s="374" t="str">
        <f>IF(TRUE=ISBLANK(ChemData!D307),"",(ChemData!D307))</f>
        <v/>
      </c>
      <c r="G307" s="289">
        <f>IF(TRUE=ISBLANK(ChemData!I307),"",(ChemData!I307))</f>
        <v>8.1000000000000003E-2</v>
      </c>
      <c r="H307" s="290">
        <f>IF(TRUE=ISBLANK(ChemData!Q307),"",(ChemData!Q307))</f>
        <v>10651.393240110776</v>
      </c>
      <c r="I307" s="290">
        <f>IF(TRUE=ISBLANK(ChemData!R307),"",(ChemData!R307))</f>
        <v>10651.393240110776</v>
      </c>
      <c r="J307" s="290">
        <f>IF(TRUE=ISBLANK(ChemData!S307),"",(ChemData!S307))</f>
        <v>1</v>
      </c>
      <c r="K307" s="291">
        <f>IF(TRUE=ISBLANK(ChemData!T307),"",(ChemData!T307))</f>
        <v>1</v>
      </c>
      <c r="L307" s="375" t="str">
        <f>IF(Start!$C$16="x",IF(OR(D307="NA",D307=""),"NA", IF(OR($J307 = "NA",J307=""),"NA",(D307*$J307))),"---")</f>
        <v>---</v>
      </c>
      <c r="M307" s="377" t="str">
        <f>IF(Start!$C$16="x",IF(OR(D307="NA",D307=""),"NA", IF(OR($K307 = "NA",K307=""),"NA",(D307*$K307))),"---")</f>
        <v>---</v>
      </c>
      <c r="N307" s="375" t="str">
        <f t="shared" si="11"/>
        <v>---</v>
      </c>
      <c r="O307" s="377" t="str">
        <f t="shared" si="12"/>
        <v>---</v>
      </c>
      <c r="P307" s="461" t="str">
        <f>IF(Start!$C$16="x",(IF(L307 = "NA","NA", (IF(OR($H307 = "NA",H307=""), "NA",(IF(OR(ChemData!U307="NA",ChemData!U307=""),L307/((Data!$D$33+((1-Data!$D$33)*Data!$D$14*$H307))/((1-Data!$D$33)*Data!$D$14*1000)),(IF(L307/((Data!$D$33+((1-Data!$D$33)*Data!$D$14*$H307))/((1-Data!$D$33)*Data!$D$14*1000))&gt;ChemData!U307, ChemData!U307, L307/((Data!$D$33+((1-Data!$D$33)*Data!$D$14*$H307))/((1-Data!$D$33)*Data!$D$14*1000)))))))))),"---")</f>
        <v>---</v>
      </c>
      <c r="Q307" s="376" t="str">
        <f>IF(Start!$C$16="x",IF(OR($F307 = "NA",F307=""), "NA", IF(P307= "NA", "NA",(P307+(Data!$D$30*$F307))/(Data!$D$30+1))),"---")</f>
        <v>---</v>
      </c>
      <c r="R307" s="376" t="str">
        <f>IF(Start!$C$16="x",IF(O307 = "NA","NA", IF(OR($I307 = "NA",I307=""), "NA",(IF(OR(ChemData!U307="NA",ChemData!U307=""),O307/((Data!$D$35+((1-Data!$D$35)*Data!$D$14*$I307))/((1-Data!$D$35)*Data!$D$14*1000)),(IF(O307/((Data!$D$35+((1-Data!$D$35)*Data!$D$14*$I307))/((1-Data!$D$35)*Data!$D$14*1000))&gt;ChemData!U307, ChemData!U307, O307/((Data!$D$35+((1-Data!$D$35)*Data!$D$14*$I307))/((1-Data!$D$35)*Data!$D$14*1000)))))))),"---")</f>
        <v>---</v>
      </c>
      <c r="S307" s="377" t="str">
        <f>IF(Start!$C$16="x",IF(OR($F307 = "NA",F307=""), "NA", IF(R307= "NA", "NA",(R307+(Data!$D$30*$F307))/(Data!$D$30+1))),"---")</f>
        <v>---</v>
      </c>
      <c r="T307" s="343" t="str">
        <f>IF(Start!$C$16="x",IF(AND(D307= "",E307=""),"",IF(Q307="NA","NA",IF(G307="NA","NA",IF(G307=0,"NA",(Q307/G307))))),"Not Req.")</f>
        <v>Not Req.</v>
      </c>
      <c r="U307" s="343" t="str">
        <f>IF(Start!$C$16="x",IF(AND(D307= "",E307=""),"",IF(S307="NA","NA",IF(G307="NA","NA",IF(G307=0,"NA",(S307/G307))))),"Not Req.")</f>
        <v>Not Req.</v>
      </c>
      <c r="V307" s="11"/>
    </row>
    <row r="308" spans="1:22" s="10" customFormat="1" x14ac:dyDescent="0.25">
      <c r="A308" s="307" t="s">
        <v>626</v>
      </c>
      <c r="B308" s="348" t="str">
        <f>IF(Start!$C$16="x",IF(OR(D308 ="NA",E308="NA"),"NA",IF(AND(D308= "",E308=""),"",IF(AND(D308= "",E308&lt;&gt; ""),"Missing Data",                     IF(AND(D308&lt;&gt; "",E308= ""),"Missing Data",(IF(OR(G308="NA",G308=""),"No Criteria",(IF(AND(Q308="NA",D308&lt;&gt;"NA",G308&lt;&gt;"NA"),                                               "Missing Data",(IF(Q308&lt;G308,"No","Needed")))))))))),"---")</f>
        <v>---</v>
      </c>
      <c r="C308" s="350" t="str">
        <f>IF(Start!$C$16="x",IF(OR(D308 ="NA",E308="NA"),"NA",IF(AND(D308= "",E308=""),"",IF(AND(D308= "",E308&lt;&gt; ""),"Missing Data",                     IF(AND(D308&lt;&gt; "",E308= ""),"Missing Data",(IF(OR(G308="NA",G308=""),"No Criteria",(IF(AND(S308="NA",D308&lt;&gt;"NA",G308&lt;&gt;"NA"),                                               "Missing Data",(IF(S308&lt;G308,"No","Needed")))))))))),"---")</f>
        <v>---</v>
      </c>
      <c r="D308" s="372" t="str">
        <f>IF(TRUE=ISBLANK(ChemData!B308),"",(ChemData!B308))</f>
        <v/>
      </c>
      <c r="E308" s="373" t="str">
        <f>IF(TRUE=ISBLANK(ChemData!C308),"",(ChemData!C308))</f>
        <v/>
      </c>
      <c r="F308" s="374" t="str">
        <f>IF(TRUE=ISBLANK(ChemData!D308),"",(ChemData!D308))</f>
        <v/>
      </c>
      <c r="G308" s="289">
        <f>IF(TRUE=ISBLANK(ChemData!I308),"",(ChemData!I308))</f>
        <v>3.3000000000000002E-2</v>
      </c>
      <c r="H308" s="290">
        <f>IF(TRUE=ISBLANK(ChemData!Q308),"",(ChemData!Q308))</f>
        <v>20295.811410610371</v>
      </c>
      <c r="I308" s="290">
        <f>IF(TRUE=ISBLANK(ChemData!R308),"",(ChemData!R308))</f>
        <v>20295.811410610371</v>
      </c>
      <c r="J308" s="290">
        <f>IF(TRUE=ISBLANK(ChemData!S308),"",(ChemData!S308))</f>
        <v>1</v>
      </c>
      <c r="K308" s="291">
        <f>IF(TRUE=ISBLANK(ChemData!T308),"",(ChemData!T308))</f>
        <v>1</v>
      </c>
      <c r="L308" s="375" t="str">
        <f>IF(Start!$C$16="x",IF(OR(D308="NA",D308=""),"NA", IF(OR($J308 = "NA",J308=""),"NA",(D308*$J308))),"---")</f>
        <v>---</v>
      </c>
      <c r="M308" s="377" t="str">
        <f>IF(Start!$C$16="x",IF(OR(D308="NA",D308=""),"NA", IF(OR($K308 = "NA",K308=""),"NA",(D308*$K308))),"---")</f>
        <v>---</v>
      </c>
      <c r="N308" s="375" t="str">
        <f t="shared" si="11"/>
        <v>---</v>
      </c>
      <c r="O308" s="377" t="str">
        <f t="shared" si="12"/>
        <v>---</v>
      </c>
      <c r="P308" s="461" t="str">
        <f>IF(Start!$C$16="x",(IF(L308 = "NA","NA", (IF(OR($H308 = "NA",H308=""), "NA",(IF(OR(ChemData!U308="NA",ChemData!U308=""),L308/((Data!$D$33+((1-Data!$D$33)*Data!$D$14*$H308))/((1-Data!$D$33)*Data!$D$14*1000)),(IF(L308/((Data!$D$33+((1-Data!$D$33)*Data!$D$14*$H308))/((1-Data!$D$33)*Data!$D$14*1000))&gt;ChemData!U308, ChemData!U308, L308/((Data!$D$33+((1-Data!$D$33)*Data!$D$14*$H308))/((1-Data!$D$33)*Data!$D$14*1000)))))))))),"---")</f>
        <v>---</v>
      </c>
      <c r="Q308" s="376" t="str">
        <f>IF(Start!$C$16="x",IF(OR($F308 = "NA",F308=""), "NA", IF(P308= "NA", "NA",(P308+(Data!$D$30*$F308))/(Data!$D$30+1))),"---")</f>
        <v>---</v>
      </c>
      <c r="R308" s="376" t="str">
        <f>IF(Start!$C$16="x",IF(O308 = "NA","NA", IF(OR($I308 = "NA",I308=""), "NA",(IF(OR(ChemData!U308="NA",ChemData!U308=""),O308/((Data!$D$35+((1-Data!$D$35)*Data!$D$14*$I308))/((1-Data!$D$35)*Data!$D$14*1000)),(IF(O308/((Data!$D$35+((1-Data!$D$35)*Data!$D$14*$I308))/((1-Data!$D$35)*Data!$D$14*1000))&gt;ChemData!U308, ChemData!U308, O308/((Data!$D$35+((1-Data!$D$35)*Data!$D$14*$I308))/((1-Data!$D$35)*Data!$D$14*1000)))))))),"---")</f>
        <v>---</v>
      </c>
      <c r="S308" s="377" t="str">
        <f>IF(Start!$C$16="x",IF(OR($F308 = "NA",F308=""), "NA", IF(R308= "NA", "NA",(R308+(Data!$D$30*$F308))/(Data!$D$30+1))),"---")</f>
        <v>---</v>
      </c>
      <c r="T308" s="343" t="str">
        <f>IF(Start!$C$16="x",IF(AND(D308= "",E308=""),"",IF(Q308="NA","NA",IF(G308="NA","NA",IF(G308=0,"NA",(Q308/G308))))),"Not Req.")</f>
        <v>Not Req.</v>
      </c>
      <c r="U308" s="343" t="str">
        <f>IF(Start!$C$16="x",IF(AND(D308= "",E308=""),"",IF(S308="NA","NA",IF(G308="NA","NA",IF(G308=0,"NA",(S308/G308))))),"Not Req.")</f>
        <v>Not Req.</v>
      </c>
      <c r="V308" s="11"/>
    </row>
    <row r="309" spans="1:22" s="10" customFormat="1" x14ac:dyDescent="0.25">
      <c r="A309" s="307" t="s">
        <v>627</v>
      </c>
      <c r="B309" s="348" t="str">
        <f>IF(Start!$C$16="x",IF(OR(D309 ="NA",E309="NA"),"NA",IF(AND(D309= "",E309=""),"",IF(AND(D309= "",E309&lt;&gt; ""),"Missing Data",                     IF(AND(D309&lt;&gt; "",E309= ""),"Missing Data",(IF(OR(G309="NA",G309=""),"No Criteria",(IF(AND(Q309="NA",D309&lt;&gt;"NA",G309&lt;&gt;"NA"),                                               "Missing Data",(IF(Q309&lt;G309,"No","Needed")))))))))),"---")</f>
        <v>---</v>
      </c>
      <c r="C309" s="350" t="str">
        <f>IF(Start!$C$16="x",IF(OR(D309 ="NA",E309="NA"),"NA",IF(AND(D309= "",E309=""),"",IF(AND(D309= "",E309&lt;&gt; ""),"Missing Data",                     IF(AND(D309&lt;&gt; "",E309= ""),"Missing Data",(IF(OR(G309="NA",G309=""),"No Criteria",(IF(AND(S309="NA",D309&lt;&gt;"NA",G309&lt;&gt;"NA"),                                               "Missing Data",(IF(S309&lt;G309,"No","Needed")))))))))),"---")</f>
        <v>---</v>
      </c>
      <c r="D309" s="372" t="str">
        <f>IF(TRUE=ISBLANK(ChemData!B309),"",(ChemData!B309))</f>
        <v/>
      </c>
      <c r="E309" s="373" t="str">
        <f>IF(TRUE=ISBLANK(ChemData!C309),"",(ChemData!C309))</f>
        <v/>
      </c>
      <c r="F309" s="374" t="str">
        <f>IF(TRUE=ISBLANK(ChemData!D309),"",(ChemData!D309))</f>
        <v/>
      </c>
      <c r="G309" s="289">
        <f>IF(TRUE=ISBLANK(ChemData!I309),"",(ChemData!I309))</f>
        <v>94</v>
      </c>
      <c r="H309" s="290">
        <f>IF(TRUE=ISBLANK(ChemData!Q309),"",(ChemData!Q309))</f>
        <v>233027.09372310026</v>
      </c>
      <c r="I309" s="290">
        <f>IF(TRUE=ISBLANK(ChemData!R309),"",(ChemData!R309))</f>
        <v>233027.09372310026</v>
      </c>
      <c r="J309" s="290">
        <f>IF(TRUE=ISBLANK(ChemData!S309),"",(ChemData!S309))</f>
        <v>1</v>
      </c>
      <c r="K309" s="291">
        <f>IF(TRUE=ISBLANK(ChemData!T309),"",(ChemData!T309))</f>
        <v>1</v>
      </c>
      <c r="L309" s="375" t="str">
        <f>IF(Start!$C$16="x",IF(OR(D309="NA",D309=""),"NA", IF(OR($J309 = "NA",J309=""),"NA",(D309*$J309))),"---")</f>
        <v>---</v>
      </c>
      <c r="M309" s="377" t="str">
        <f>IF(Start!$C$16="x",IF(OR(D309="NA",D309=""),"NA", IF(OR($K309 = "NA",K309=""),"NA",(D309*$K309))),"---")</f>
        <v>---</v>
      </c>
      <c r="N309" s="375" t="str">
        <f t="shared" si="11"/>
        <v>---</v>
      </c>
      <c r="O309" s="377" t="str">
        <f t="shared" si="12"/>
        <v>---</v>
      </c>
      <c r="P309" s="461" t="str">
        <f>IF(Start!$C$16="x",(IF(L309 = "NA","NA", (IF(OR($H309 = "NA",H309=""), "NA",(IF(OR(ChemData!U309="NA",ChemData!U309=""),L309/((Data!$D$33+((1-Data!$D$33)*Data!$D$14*$H309))/((1-Data!$D$33)*Data!$D$14*1000)),(IF(L309/((Data!$D$33+((1-Data!$D$33)*Data!$D$14*$H309))/((1-Data!$D$33)*Data!$D$14*1000))&gt;ChemData!U309, ChemData!U309, L309/((Data!$D$33+((1-Data!$D$33)*Data!$D$14*$H309))/((1-Data!$D$33)*Data!$D$14*1000)))))))))),"---")</f>
        <v>---</v>
      </c>
      <c r="Q309" s="376" t="str">
        <f>IF(Start!$C$16="x",IF(OR($F309 = "NA",F309=""), "NA", IF(P309= "NA", "NA",(P309+(Data!$D$30*$F309))/(Data!$D$30+1))),"---")</f>
        <v>---</v>
      </c>
      <c r="R309" s="376" t="str">
        <f>IF(Start!$C$16="x",IF(O309 = "NA","NA", IF(OR($I309 = "NA",I309=""), "NA",(IF(OR(ChemData!U309="NA",ChemData!U309=""),O309/((Data!$D$35+((1-Data!$D$35)*Data!$D$14*$I309))/((1-Data!$D$35)*Data!$D$14*1000)),(IF(O309/((Data!$D$35+((1-Data!$D$35)*Data!$D$14*$I309))/((1-Data!$D$35)*Data!$D$14*1000))&gt;ChemData!U309, ChemData!U309, O309/((Data!$D$35+((1-Data!$D$35)*Data!$D$14*$I309))/((1-Data!$D$35)*Data!$D$14*1000)))))))),"---")</f>
        <v>---</v>
      </c>
      <c r="S309" s="377" t="str">
        <f>IF(Start!$C$16="x",IF(OR($F309 = "NA",F309=""), "NA", IF(R309= "NA", "NA",(R309+(Data!$D$30*$F309))/(Data!$D$30+1))),"---")</f>
        <v>---</v>
      </c>
      <c r="T309" s="343" t="str">
        <f>IF(Start!$C$16="x",IF(AND(D309= "",E309=""),"",IF(Q309="NA","NA",IF(G309="NA","NA",IF(G309=0,"NA",(Q309/G309))))),"Not Req.")</f>
        <v>Not Req.</v>
      </c>
      <c r="U309" s="343" t="str">
        <f>IF(Start!$C$16="x",IF(AND(D309= "",E309=""),"",IF(S309="NA","NA",IF(G309="NA","NA",IF(G309=0,"NA",(S309/G309))))),"Not Req.")</f>
        <v>Not Req.</v>
      </c>
      <c r="V309" s="11"/>
    </row>
    <row r="310" spans="1:22" s="10" customFormat="1" ht="13.8" thickBot="1" x14ac:dyDescent="0.3">
      <c r="A310" s="380" t="s">
        <v>628</v>
      </c>
      <c r="B310" s="348" t="str">
        <f>IF(Start!$C$16="x",IF(OR(D310 ="NA",E310="NA"),"NA",IF(AND(D310= "",E310=""),"",IF(AND(D310= "",E310&lt;&gt; ""),"Missing Data",                     IF(AND(D310&lt;&gt; "",E310= ""),"Missing Data",(IF(OR(G310="NA",G310=""),"No Criteria",(IF(AND(Q310="NA",D310&lt;&gt;"NA",G310&lt;&gt;"NA"),                                               "Missing Data",(IF(Q310&lt;G310,"No","Needed")))))))))),"---")</f>
        <v>---</v>
      </c>
      <c r="C310" s="350" t="str">
        <f>IF(Start!$C$16="x",IF(OR(D310 ="NA",E310="NA"),"NA",IF(AND(D310= "",E310=""),"",IF(AND(D310= "",E310&lt;&gt; ""),"Missing Data",                     IF(AND(D310&lt;&gt; "",E310= ""),"Missing Data",(IF(OR(G310="NA",G310=""),"No Criteria",(IF(AND(S310="NA",D310&lt;&gt;"NA",G310&lt;&gt;"NA"),                                               "Missing Data",(IF(S310&lt;G310,"No","Needed")))))))))),"---")</f>
        <v>---</v>
      </c>
      <c r="D310" s="372">
        <f>IF(TRUE=ISBLANK(ChemData!B310),"",(ChemData!B310))</f>
        <v>4.32</v>
      </c>
      <c r="E310" s="373">
        <f>IF(TRUE=ISBLANK(ChemData!C310),"",(ChemData!C310))</f>
        <v>0</v>
      </c>
      <c r="F310" s="374">
        <f>IF(TRUE=ISBLANK(ChemData!D310),"",(ChemData!D310))</f>
        <v>0</v>
      </c>
      <c r="G310" s="289">
        <f>IF(TRUE=ISBLANK(ChemData!I310),"",(ChemData!I310))</f>
        <v>1.4E-2</v>
      </c>
      <c r="H310" s="290">
        <f>IF(TRUE=ISBLANK(ChemData!Q310),"",(ChemData!Q310))</f>
        <v>58533.759489716802</v>
      </c>
      <c r="I310" s="290">
        <f>IF(TRUE=ISBLANK(ChemData!R310),"",(ChemData!R310))</f>
        <v>58533.759489716802</v>
      </c>
      <c r="J310" s="290">
        <f>IF(TRUE=ISBLANK(ChemData!S310),"",(ChemData!S310))</f>
        <v>1</v>
      </c>
      <c r="K310" s="291">
        <f>IF(TRUE=ISBLANK(ChemData!T310),"",(ChemData!T310))</f>
        <v>1</v>
      </c>
      <c r="L310" s="375" t="str">
        <f>IF(Start!$C$16="x",IF(OR(D310="NA",D310=""),"NA", IF(OR($J310 = "NA",J310=""),"NA",(D310*$J310))),"---")</f>
        <v>---</v>
      </c>
      <c r="M310" s="377" t="str">
        <f>IF(Start!$C$16="x",IF(OR(D310="NA",D310=""),"NA", IF(OR($K310 = "NA",K310=""),"NA",(D310*$K310))),"---")</f>
        <v>---</v>
      </c>
      <c r="N310" s="375" t="str">
        <f>L310</f>
        <v>---</v>
      </c>
      <c r="O310" s="377" t="str">
        <f>M310</f>
        <v>---</v>
      </c>
      <c r="P310" s="461" t="str">
        <f>IF(Start!$C$16="x",(IF(L310 = "NA","NA", (IF(OR($H310 = "NA",H310=""), "NA",(IF(OR(ChemData!U310="NA",ChemData!U310=""),L310/((Data!$D$33+((1-Data!$D$33)*Data!$D$14*$H310))/((1-Data!$D$33)*Data!$D$14*1000)),(IF(L310/((Data!$D$33+((1-Data!$D$33)*Data!$D$14*$H310))/((1-Data!$D$33)*Data!$D$14*1000))&gt;ChemData!U310, ChemData!U310, L310/((Data!$D$33+((1-Data!$D$33)*Data!$D$14*$H310))/((1-Data!$D$33)*Data!$D$14*1000)))))))))),"---")</f>
        <v>---</v>
      </c>
      <c r="Q310" s="376" t="str">
        <f>IF(Start!$C$16="x",IF(OR($F310 = "NA",F310=""), "NA", IF(P310= "NA", "NA",(P310+(Data!$D$30*$F310))/(Data!$D$30+1))),"---")</f>
        <v>---</v>
      </c>
      <c r="R310" s="376" t="str">
        <f>IF(Start!$C$16="x",IF(O310 = "NA","NA", IF(OR($I310 = "NA",I310=""), "NA",(IF(OR(ChemData!U310="NA",ChemData!U310=""),O310/((Data!$D$35+((1-Data!$D$35)*Data!$D$14*$I310))/((1-Data!$D$35)*Data!$D$14*1000)),(IF(O310/((Data!$D$35+((1-Data!$D$35)*Data!$D$14*$I310))/((1-Data!$D$35)*Data!$D$14*1000))&gt;ChemData!U310, ChemData!U310, O310/((Data!$D$35+((1-Data!$D$35)*Data!$D$14*$I310))/((1-Data!$D$35)*Data!$D$14*1000)))))))),"---")</f>
        <v>---</v>
      </c>
      <c r="S310" s="377" t="str">
        <f>IF(Start!$C$16="x",IF(OR($F310 = "NA",F310=""), "NA", IF(R310= "NA", "NA",(R310+(Data!$D$30*$F310))/(Data!$D$30+1))),"---")</f>
        <v>---</v>
      </c>
      <c r="T310" s="518" t="str">
        <f>IF(Start!$C$16="x",IF(AND(D310= "",E310=""),"",IF(Q310="NA","NA",IF(G310="NA","NA",IF(G310=0,"NA",(Q310/G310))))),"Not Req.")</f>
        <v>Not Req.</v>
      </c>
      <c r="U310" s="518" t="str">
        <f>IF(Start!$C$16="x",IF(AND(D310= "",E310=""),"",IF(S310="NA","NA",IF(G310="NA","NA",IF(G310=0,"NA",(S310/G310))))),"Not Req.")</f>
        <v>Not Req.</v>
      </c>
      <c r="V310" s="11"/>
    </row>
    <row r="311" spans="1:22" s="10" customFormat="1" x14ac:dyDescent="0.25">
      <c r="A311" s="8"/>
      <c r="B311" s="6"/>
      <c r="C311" s="6"/>
      <c r="D311" s="6"/>
      <c r="E311" s="6"/>
      <c r="F311" s="6"/>
      <c r="G311" s="6"/>
      <c r="H311" s="6"/>
      <c r="I311" s="6"/>
      <c r="J311" s="6"/>
      <c r="K311" s="6"/>
      <c r="L311" s="178"/>
      <c r="M311" s="178"/>
      <c r="N311" s="178"/>
      <c r="O311" s="178"/>
      <c r="P311" s="178"/>
      <c r="Q311" s="178"/>
      <c r="R311" s="178"/>
      <c r="S311" s="178"/>
    </row>
    <row r="312" spans="1:22" s="10" customFormat="1" x14ac:dyDescent="0.25">
      <c r="A312"/>
      <c r="B312"/>
      <c r="C312"/>
      <c r="D312"/>
      <c r="E312"/>
      <c r="F312"/>
      <c r="G312"/>
      <c r="H312"/>
      <c r="I312"/>
      <c r="J312"/>
      <c r="K312"/>
      <c r="L312" s="5"/>
      <c r="M312" s="5"/>
      <c r="N312" s="5"/>
      <c r="O312" s="5"/>
      <c r="P312" s="5"/>
      <c r="Q312" s="5"/>
      <c r="R312" s="5"/>
      <c r="S312" s="5"/>
    </row>
    <row r="313" spans="1:22" s="10" customFormat="1" x14ac:dyDescent="0.25">
      <c r="A313"/>
      <c r="B313"/>
      <c r="C313"/>
      <c r="D313"/>
      <c r="E313"/>
      <c r="F313"/>
      <c r="G313"/>
      <c r="H313"/>
      <c r="I313"/>
      <c r="J313"/>
      <c r="K313"/>
      <c r="L313" s="5"/>
      <c r="M313" s="5"/>
      <c r="N313" s="5"/>
      <c r="O313" s="5"/>
      <c r="P313" s="5"/>
      <c r="Q313" s="5"/>
      <c r="R313" s="5"/>
      <c r="S313" s="5"/>
    </row>
    <row r="314" spans="1:22" s="10" customFormat="1" x14ac:dyDescent="0.25">
      <c r="A314"/>
      <c r="B314"/>
      <c r="C314"/>
      <c r="D314"/>
      <c r="E314"/>
      <c r="F314"/>
      <c r="G314"/>
      <c r="H314"/>
      <c r="I314"/>
      <c r="J314"/>
      <c r="K314"/>
      <c r="L314" s="5"/>
      <c r="M314" s="5"/>
      <c r="N314" s="5"/>
      <c r="O314" s="5"/>
      <c r="P314" s="5"/>
      <c r="Q314" s="5"/>
      <c r="R314" s="5"/>
      <c r="S314" s="5"/>
    </row>
    <row r="315" spans="1:22" s="10" customFormat="1" x14ac:dyDescent="0.25">
      <c r="A315"/>
      <c r="B315"/>
      <c r="C315"/>
      <c r="D315"/>
      <c r="E315"/>
      <c r="F315"/>
      <c r="G315"/>
      <c r="H315"/>
      <c r="I315"/>
      <c r="J315"/>
      <c r="K315"/>
      <c r="L315" s="5"/>
      <c r="M315" s="5"/>
      <c r="N315" s="5"/>
      <c r="O315" s="5"/>
      <c r="P315" s="5"/>
      <c r="Q315" s="5"/>
      <c r="R315" s="5"/>
      <c r="S315" s="5"/>
    </row>
    <row r="316" spans="1:22" s="10" customFormat="1" x14ac:dyDescent="0.25">
      <c r="A316"/>
      <c r="B316"/>
      <c r="C316"/>
      <c r="D316"/>
      <c r="E316"/>
      <c r="F316"/>
      <c r="G316"/>
      <c r="H316"/>
      <c r="I316"/>
      <c r="J316"/>
      <c r="K316"/>
      <c r="L316" s="5"/>
      <c r="M316" s="5"/>
      <c r="N316" s="5"/>
      <c r="O316" s="5"/>
      <c r="P316" s="5"/>
      <c r="Q316" s="5"/>
      <c r="R316" s="5"/>
      <c r="S316" s="5"/>
    </row>
    <row r="317" spans="1:22" s="10" customFormat="1" x14ac:dyDescent="0.25">
      <c r="A317"/>
      <c r="B317"/>
      <c r="C317"/>
      <c r="D317"/>
      <c r="E317"/>
      <c r="F317"/>
      <c r="G317"/>
      <c r="H317"/>
      <c r="I317"/>
      <c r="J317"/>
      <c r="K317"/>
      <c r="L317" s="5"/>
      <c r="M317" s="5"/>
      <c r="N317" s="5"/>
      <c r="O317" s="5"/>
      <c r="P317" s="5"/>
      <c r="Q317" s="5"/>
      <c r="R317" s="5"/>
      <c r="S317" s="5"/>
    </row>
    <row r="318" spans="1:22" s="10" customFormat="1" x14ac:dyDescent="0.25">
      <c r="A318"/>
      <c r="B318"/>
      <c r="C318"/>
      <c r="D318"/>
      <c r="E318"/>
      <c r="F318"/>
      <c r="G318"/>
      <c r="H318"/>
      <c r="I318"/>
      <c r="J318"/>
      <c r="K318"/>
      <c r="L318" s="5"/>
      <c r="M318" s="5"/>
      <c r="N318" s="5"/>
      <c r="O318" s="5"/>
      <c r="P318" s="5"/>
      <c r="Q318" s="5"/>
      <c r="R318" s="5"/>
      <c r="S318" s="5"/>
    </row>
    <row r="319" spans="1:22" s="10" customFormat="1" x14ac:dyDescent="0.25">
      <c r="A319"/>
      <c r="B319"/>
      <c r="C319"/>
      <c r="D319"/>
      <c r="E319"/>
      <c r="F319"/>
      <c r="G319"/>
      <c r="H319"/>
      <c r="I319"/>
      <c r="J319"/>
      <c r="K319"/>
      <c r="L319" s="5"/>
      <c r="M319" s="5"/>
      <c r="N319" s="5"/>
      <c r="O319" s="5"/>
      <c r="P319" s="5"/>
      <c r="Q319" s="5"/>
      <c r="R319" s="5"/>
      <c r="S319" s="5"/>
    </row>
    <row r="320" spans="1:22" s="10" customFormat="1" x14ac:dyDescent="0.25">
      <c r="A320"/>
      <c r="B320"/>
      <c r="C320"/>
      <c r="D320"/>
      <c r="E320"/>
      <c r="F320"/>
      <c r="G320"/>
      <c r="H320"/>
      <c r="I320"/>
      <c r="J320"/>
      <c r="K320"/>
      <c r="L320" s="5"/>
      <c r="M320" s="5"/>
      <c r="N320" s="5"/>
      <c r="O320" s="5"/>
      <c r="P320" s="5"/>
      <c r="Q320" s="5"/>
      <c r="R320" s="5"/>
      <c r="S320" s="5"/>
    </row>
    <row r="321" spans="1:19" s="10" customFormat="1" x14ac:dyDescent="0.25">
      <c r="A321"/>
      <c r="B321"/>
      <c r="C321"/>
      <c r="D321"/>
      <c r="E321"/>
      <c r="F321"/>
      <c r="G321"/>
      <c r="H321"/>
      <c r="I321"/>
      <c r="J321"/>
      <c r="K321"/>
      <c r="L321" s="5"/>
      <c r="M321" s="5"/>
      <c r="N321" s="5"/>
      <c r="O321" s="5"/>
      <c r="P321" s="5"/>
      <c r="Q321" s="5"/>
      <c r="R321" s="5"/>
      <c r="S321" s="5"/>
    </row>
    <row r="322" spans="1:19" s="10" customFormat="1" x14ac:dyDescent="0.25">
      <c r="A322"/>
      <c r="B322"/>
      <c r="C322"/>
      <c r="D322"/>
      <c r="E322"/>
      <c r="F322"/>
      <c r="G322"/>
      <c r="H322"/>
      <c r="I322"/>
      <c r="J322"/>
      <c r="K322"/>
      <c r="L322" s="5"/>
      <c r="M322" s="5"/>
      <c r="N322" s="5"/>
      <c r="O322" s="5"/>
      <c r="P322" s="5"/>
      <c r="Q322" s="5"/>
      <c r="R322" s="5"/>
      <c r="S322" s="5"/>
    </row>
    <row r="323" spans="1:19" s="10" customFormat="1" x14ac:dyDescent="0.25">
      <c r="A323"/>
      <c r="B323"/>
      <c r="C323"/>
      <c r="D323"/>
      <c r="E323"/>
      <c r="F323"/>
      <c r="G323"/>
      <c r="H323"/>
      <c r="I323"/>
      <c r="J323"/>
      <c r="K323"/>
      <c r="L323" s="5"/>
      <c r="M323" s="5"/>
      <c r="N323" s="5"/>
      <c r="O323" s="5"/>
      <c r="P323" s="5"/>
      <c r="Q323" s="5"/>
      <c r="R323" s="5"/>
      <c r="S323" s="5"/>
    </row>
    <row r="324" spans="1:19" s="10" customFormat="1" x14ac:dyDescent="0.25">
      <c r="A324"/>
      <c r="B324"/>
      <c r="C324"/>
      <c r="D324"/>
      <c r="E324"/>
      <c r="F324"/>
      <c r="G324"/>
      <c r="H324"/>
      <c r="I324"/>
      <c r="J324"/>
      <c r="K324"/>
      <c r="L324" s="5"/>
      <c r="M324" s="5"/>
      <c r="N324" s="5"/>
      <c r="O324" s="5"/>
      <c r="P324" s="5"/>
      <c r="Q324" s="5"/>
      <c r="R324" s="5"/>
      <c r="S324" s="5"/>
    </row>
    <row r="325" spans="1:19" s="10" customFormat="1" x14ac:dyDescent="0.25">
      <c r="A325"/>
      <c r="B325"/>
      <c r="C325"/>
      <c r="D325"/>
      <c r="E325"/>
      <c r="F325"/>
      <c r="G325"/>
      <c r="H325"/>
      <c r="I325"/>
      <c r="J325"/>
      <c r="K325"/>
      <c r="L325" s="5"/>
      <c r="M325" s="5"/>
      <c r="N325" s="5"/>
      <c r="O325" s="5"/>
      <c r="P325" s="5"/>
      <c r="Q325" s="5"/>
      <c r="R325" s="5"/>
      <c r="S325" s="5"/>
    </row>
    <row r="326" spans="1:19" s="10" customFormat="1" x14ac:dyDescent="0.25">
      <c r="A326"/>
      <c r="B326"/>
      <c r="C326"/>
      <c r="D326"/>
      <c r="E326"/>
      <c r="F326"/>
      <c r="G326"/>
      <c r="H326"/>
      <c r="I326"/>
      <c r="J326"/>
      <c r="K326"/>
      <c r="L326" s="5"/>
      <c r="M326" s="5"/>
      <c r="N326" s="5"/>
      <c r="O326" s="5"/>
      <c r="P326" s="5"/>
      <c r="Q326" s="5"/>
      <c r="R326" s="5"/>
      <c r="S326" s="5"/>
    </row>
    <row r="327" spans="1:19" s="10" customFormat="1" x14ac:dyDescent="0.25">
      <c r="A327"/>
      <c r="B327"/>
      <c r="C327"/>
      <c r="D327"/>
      <c r="E327"/>
      <c r="F327"/>
      <c r="G327"/>
      <c r="H327"/>
      <c r="I327"/>
      <c r="J327"/>
      <c r="K327"/>
      <c r="L327" s="5"/>
      <c r="M327" s="5"/>
      <c r="N327" s="5"/>
      <c r="O327" s="5"/>
      <c r="P327" s="5"/>
      <c r="Q327" s="5"/>
      <c r="R327" s="5"/>
      <c r="S327" s="5"/>
    </row>
    <row r="328" spans="1:19" s="10" customFormat="1" x14ac:dyDescent="0.25">
      <c r="A328"/>
      <c r="B328"/>
      <c r="C328"/>
      <c r="D328"/>
      <c r="E328"/>
      <c r="F328"/>
      <c r="G328"/>
      <c r="H328"/>
      <c r="I328"/>
      <c r="J328"/>
      <c r="K328"/>
      <c r="L328" s="5"/>
      <c r="M328" s="5"/>
      <c r="N328" s="5"/>
      <c r="O328" s="5"/>
      <c r="P328" s="5"/>
      <c r="Q328" s="5"/>
      <c r="R328" s="5"/>
      <c r="S328" s="5"/>
    </row>
    <row r="329" spans="1:19" s="10" customFormat="1" x14ac:dyDescent="0.25">
      <c r="A329"/>
      <c r="B329"/>
      <c r="C329"/>
      <c r="D329"/>
      <c r="E329"/>
      <c r="F329"/>
      <c r="G329"/>
      <c r="H329"/>
      <c r="I329"/>
      <c r="J329"/>
      <c r="K329"/>
      <c r="L329" s="5"/>
      <c r="M329" s="5"/>
      <c r="N329" s="5"/>
      <c r="O329" s="5"/>
      <c r="P329" s="5"/>
      <c r="Q329" s="5"/>
      <c r="R329" s="5"/>
      <c r="S329" s="5"/>
    </row>
    <row r="330" spans="1:19" s="10" customFormat="1" x14ac:dyDescent="0.25">
      <c r="A330"/>
      <c r="B330"/>
      <c r="C330"/>
      <c r="D330"/>
      <c r="E330"/>
      <c r="F330"/>
      <c r="G330"/>
      <c r="H330"/>
      <c r="I330"/>
      <c r="J330"/>
      <c r="K330"/>
      <c r="L330" s="5"/>
      <c r="M330" s="5"/>
      <c r="N330" s="5"/>
      <c r="O330" s="5"/>
      <c r="P330" s="5"/>
      <c r="Q330" s="5"/>
      <c r="R330" s="5"/>
      <c r="S330" s="5"/>
    </row>
    <row r="331" spans="1:19" s="10" customFormat="1" x14ac:dyDescent="0.25">
      <c r="A331"/>
      <c r="B331"/>
      <c r="C331"/>
      <c r="D331"/>
      <c r="E331"/>
      <c r="F331"/>
      <c r="G331"/>
      <c r="H331"/>
      <c r="I331"/>
      <c r="J331"/>
      <c r="K331"/>
      <c r="L331" s="5"/>
      <c r="M331" s="5"/>
      <c r="N331" s="5"/>
      <c r="O331" s="5"/>
      <c r="P331" s="5"/>
      <c r="Q331" s="5"/>
      <c r="R331" s="5"/>
      <c r="S331" s="5"/>
    </row>
    <row r="332" spans="1:19" s="10" customFormat="1" x14ac:dyDescent="0.25">
      <c r="A332"/>
      <c r="B332"/>
      <c r="C332"/>
      <c r="D332"/>
      <c r="E332"/>
      <c r="F332"/>
      <c r="G332"/>
      <c r="H332"/>
      <c r="I332"/>
      <c r="J332"/>
      <c r="K332"/>
      <c r="L332" s="5"/>
      <c r="M332" s="5"/>
      <c r="N332" s="5"/>
      <c r="O332" s="5"/>
      <c r="P332" s="5"/>
      <c r="Q332" s="5"/>
      <c r="R332" s="5"/>
      <c r="S332" s="5"/>
    </row>
    <row r="333" spans="1:19" s="10" customFormat="1" x14ac:dyDescent="0.25">
      <c r="A333"/>
      <c r="B333"/>
      <c r="C333"/>
      <c r="D333"/>
      <c r="E333"/>
      <c r="F333"/>
      <c r="G333"/>
      <c r="H333"/>
      <c r="I333"/>
      <c r="J333"/>
      <c r="K333"/>
      <c r="L333" s="5"/>
      <c r="M333" s="5"/>
      <c r="N333" s="5"/>
      <c r="O333" s="5"/>
      <c r="P333" s="5"/>
      <c r="Q333" s="5"/>
      <c r="R333" s="5"/>
      <c r="S333" s="5"/>
    </row>
    <row r="334" spans="1:19" s="10" customFormat="1" x14ac:dyDescent="0.25">
      <c r="A334"/>
      <c r="B334"/>
      <c r="C334"/>
      <c r="D334"/>
      <c r="E334"/>
      <c r="F334"/>
      <c r="G334"/>
      <c r="H334"/>
      <c r="I334"/>
      <c r="J334"/>
      <c r="K334"/>
      <c r="L334" s="5"/>
      <c r="M334" s="5"/>
      <c r="N334" s="5"/>
      <c r="O334" s="5"/>
      <c r="P334" s="5"/>
      <c r="Q334" s="5"/>
      <c r="R334" s="5"/>
      <c r="S334" s="5"/>
    </row>
    <row r="335" spans="1:19" s="10" customFormat="1" x14ac:dyDescent="0.25">
      <c r="A335"/>
      <c r="B335"/>
      <c r="C335"/>
      <c r="D335"/>
      <c r="E335"/>
      <c r="F335"/>
      <c r="G335"/>
      <c r="H335"/>
      <c r="I335"/>
      <c r="J335"/>
      <c r="K335"/>
      <c r="L335" s="5"/>
      <c r="M335" s="5"/>
      <c r="N335" s="5"/>
      <c r="O335" s="5"/>
      <c r="P335" s="5"/>
      <c r="Q335" s="5"/>
      <c r="R335" s="5"/>
      <c r="S335" s="5"/>
    </row>
    <row r="336" spans="1:19" s="10" customFormat="1" x14ac:dyDescent="0.25">
      <c r="A336"/>
      <c r="B336"/>
      <c r="C336"/>
      <c r="D336"/>
      <c r="E336"/>
      <c r="F336"/>
      <c r="G336"/>
      <c r="H336"/>
      <c r="I336"/>
      <c r="J336"/>
      <c r="K336"/>
      <c r="L336" s="5"/>
      <c r="M336" s="5"/>
      <c r="N336" s="5"/>
      <c r="O336" s="5"/>
      <c r="P336" s="5"/>
      <c r="Q336" s="5"/>
      <c r="R336" s="5"/>
      <c r="S336" s="5"/>
    </row>
    <row r="337" spans="1:19" s="10" customFormat="1" x14ac:dyDescent="0.25">
      <c r="A337"/>
      <c r="B337"/>
      <c r="C337"/>
      <c r="D337"/>
      <c r="E337"/>
      <c r="F337"/>
      <c r="G337"/>
      <c r="H337"/>
      <c r="I337"/>
      <c r="J337"/>
      <c r="K337"/>
      <c r="L337" s="5"/>
      <c r="M337" s="5"/>
      <c r="N337" s="5"/>
      <c r="O337" s="5"/>
      <c r="P337" s="5"/>
      <c r="Q337" s="5"/>
      <c r="R337" s="5"/>
      <c r="S337" s="5"/>
    </row>
    <row r="338" spans="1:19" s="10" customFormat="1" x14ac:dyDescent="0.25">
      <c r="A338"/>
      <c r="B338"/>
      <c r="C338"/>
      <c r="D338"/>
      <c r="E338"/>
      <c r="F338"/>
      <c r="G338"/>
      <c r="H338"/>
      <c r="I338"/>
      <c r="J338"/>
      <c r="K338"/>
      <c r="L338" s="5"/>
      <c r="M338" s="5"/>
      <c r="N338" s="5"/>
      <c r="O338" s="5"/>
      <c r="P338" s="5"/>
      <c r="Q338" s="5"/>
      <c r="R338" s="5"/>
      <c r="S338" s="5"/>
    </row>
    <row r="339" spans="1:19" s="10" customFormat="1" x14ac:dyDescent="0.25">
      <c r="A339"/>
      <c r="B339"/>
      <c r="C339"/>
      <c r="D339"/>
      <c r="E339"/>
      <c r="F339"/>
      <c r="G339"/>
      <c r="H339"/>
      <c r="I339"/>
      <c r="J339"/>
      <c r="K339"/>
      <c r="L339" s="5"/>
      <c r="M339" s="5"/>
      <c r="N339" s="5"/>
      <c r="O339" s="5"/>
      <c r="P339" s="5"/>
      <c r="Q339" s="5"/>
      <c r="R339" s="5"/>
      <c r="S339" s="5"/>
    </row>
    <row r="340" spans="1:19" s="10" customFormat="1" x14ac:dyDescent="0.25">
      <c r="A340"/>
      <c r="B340"/>
      <c r="C340"/>
      <c r="D340"/>
      <c r="E340"/>
      <c r="F340"/>
      <c r="G340"/>
      <c r="H340"/>
      <c r="I340"/>
      <c r="J340"/>
      <c r="K340"/>
      <c r="L340" s="5"/>
      <c r="M340" s="5"/>
      <c r="N340" s="5"/>
      <c r="O340" s="5"/>
      <c r="P340" s="5"/>
      <c r="Q340" s="5"/>
      <c r="R340" s="5"/>
      <c r="S340" s="5"/>
    </row>
    <row r="341" spans="1:19" s="10" customFormat="1" x14ac:dyDescent="0.25">
      <c r="A341"/>
      <c r="B341"/>
      <c r="C341"/>
      <c r="D341"/>
      <c r="E341"/>
      <c r="F341"/>
      <c r="G341"/>
      <c r="H341"/>
      <c r="I341"/>
      <c r="J341"/>
      <c r="K341"/>
      <c r="L341" s="5"/>
      <c r="M341" s="5"/>
      <c r="N341" s="5"/>
      <c r="O341" s="5"/>
      <c r="P341" s="5"/>
      <c r="Q341" s="5"/>
      <c r="R341" s="5"/>
      <c r="S341" s="5"/>
    </row>
    <row r="342" spans="1:19" s="10" customFormat="1" x14ac:dyDescent="0.25">
      <c r="A342"/>
      <c r="B342"/>
      <c r="C342"/>
      <c r="D342"/>
      <c r="E342"/>
      <c r="F342"/>
      <c r="G342"/>
      <c r="H342"/>
      <c r="I342"/>
      <c r="J342"/>
      <c r="K342"/>
      <c r="L342" s="5"/>
      <c r="M342" s="5"/>
      <c r="N342" s="5"/>
      <c r="O342" s="5"/>
      <c r="P342" s="5"/>
      <c r="Q342" s="5"/>
      <c r="R342" s="5"/>
      <c r="S342" s="5"/>
    </row>
    <row r="343" spans="1:19" s="10" customFormat="1" x14ac:dyDescent="0.25">
      <c r="A343"/>
      <c r="B343"/>
      <c r="C343"/>
      <c r="D343"/>
      <c r="E343"/>
      <c r="F343"/>
      <c r="G343"/>
      <c r="H343"/>
      <c r="I343"/>
      <c r="J343"/>
      <c r="K343"/>
      <c r="L343" s="5"/>
      <c r="M343" s="5"/>
      <c r="N343" s="5"/>
      <c r="O343" s="5"/>
      <c r="P343" s="5"/>
      <c r="Q343" s="5"/>
      <c r="R343" s="5"/>
      <c r="S343" s="5"/>
    </row>
    <row r="344" spans="1:19" s="10" customFormat="1" x14ac:dyDescent="0.25">
      <c r="A344"/>
      <c r="B344"/>
      <c r="C344"/>
      <c r="D344"/>
      <c r="E344"/>
      <c r="F344"/>
      <c r="G344"/>
      <c r="H344"/>
      <c r="I344"/>
      <c r="J344"/>
      <c r="K344"/>
      <c r="L344" s="5"/>
      <c r="M344" s="5"/>
      <c r="N344" s="5"/>
      <c r="O344" s="5"/>
      <c r="P344" s="5"/>
      <c r="Q344" s="5"/>
      <c r="R344" s="5"/>
      <c r="S344" s="5"/>
    </row>
    <row r="345" spans="1:19" s="10" customFormat="1" x14ac:dyDescent="0.25">
      <c r="A345"/>
      <c r="B345"/>
      <c r="C345"/>
      <c r="D345"/>
      <c r="E345"/>
      <c r="F345"/>
      <c r="G345"/>
      <c r="H345"/>
      <c r="I345"/>
      <c r="J345"/>
      <c r="K345"/>
      <c r="L345" s="5"/>
      <c r="M345" s="5"/>
      <c r="N345" s="5"/>
      <c r="O345" s="5"/>
      <c r="P345" s="5"/>
      <c r="Q345" s="5"/>
      <c r="R345" s="5"/>
      <c r="S345" s="5"/>
    </row>
    <row r="346" spans="1:19" s="10" customFormat="1" x14ac:dyDescent="0.25">
      <c r="A346"/>
      <c r="B346"/>
      <c r="C346"/>
      <c r="D346"/>
      <c r="E346"/>
      <c r="F346"/>
      <c r="G346"/>
      <c r="H346"/>
      <c r="I346"/>
      <c r="J346"/>
      <c r="K346"/>
      <c r="L346" s="5"/>
      <c r="M346" s="5"/>
      <c r="N346" s="5"/>
      <c r="O346" s="5"/>
      <c r="P346" s="5"/>
      <c r="Q346" s="5"/>
      <c r="R346" s="5"/>
      <c r="S346" s="5"/>
    </row>
    <row r="347" spans="1:19" s="10" customFormat="1" x14ac:dyDescent="0.25">
      <c r="A347"/>
      <c r="B347"/>
      <c r="C347"/>
      <c r="D347"/>
      <c r="E347"/>
      <c r="F347"/>
      <c r="G347"/>
      <c r="H347"/>
      <c r="I347"/>
      <c r="J347"/>
      <c r="K347"/>
      <c r="L347" s="5"/>
      <c r="M347" s="5"/>
      <c r="N347" s="5"/>
      <c r="O347" s="5"/>
      <c r="P347" s="5"/>
      <c r="Q347" s="5"/>
      <c r="R347" s="5"/>
      <c r="S347" s="5"/>
    </row>
    <row r="348" spans="1:19" s="10" customFormat="1" x14ac:dyDescent="0.25">
      <c r="A348"/>
      <c r="B348"/>
      <c r="C348"/>
      <c r="D348"/>
      <c r="E348"/>
      <c r="F348"/>
      <c r="G348"/>
      <c r="H348"/>
      <c r="I348"/>
      <c r="J348"/>
      <c r="K348"/>
      <c r="L348" s="5"/>
      <c r="M348" s="5"/>
      <c r="N348" s="5"/>
      <c r="O348" s="5"/>
      <c r="P348" s="5"/>
      <c r="Q348" s="5"/>
      <c r="R348" s="5"/>
      <c r="S348" s="5"/>
    </row>
    <row r="349" spans="1:19" s="10" customFormat="1" x14ac:dyDescent="0.25">
      <c r="A349"/>
      <c r="B349"/>
      <c r="C349"/>
      <c r="D349"/>
      <c r="E349"/>
      <c r="F349"/>
      <c r="G349"/>
      <c r="H349"/>
      <c r="I349"/>
      <c r="J349"/>
      <c r="K349"/>
      <c r="L349" s="5"/>
      <c r="M349" s="5"/>
      <c r="N349" s="5"/>
      <c r="O349" s="5"/>
      <c r="P349" s="5"/>
      <c r="Q349" s="5"/>
      <c r="R349" s="5"/>
      <c r="S349" s="5"/>
    </row>
    <row r="350" spans="1:19" s="10" customFormat="1" x14ac:dyDescent="0.25">
      <c r="A350"/>
      <c r="B350"/>
      <c r="C350"/>
      <c r="D350"/>
      <c r="E350"/>
      <c r="F350"/>
      <c r="G350"/>
      <c r="H350"/>
      <c r="I350"/>
      <c r="J350"/>
      <c r="K350"/>
      <c r="L350" s="5"/>
      <c r="M350" s="5"/>
      <c r="N350" s="5"/>
      <c r="O350" s="5"/>
      <c r="P350" s="5"/>
      <c r="Q350" s="5"/>
      <c r="R350" s="5"/>
      <c r="S350" s="5"/>
    </row>
    <row r="351" spans="1:19" s="10" customFormat="1" x14ac:dyDescent="0.25">
      <c r="A351"/>
      <c r="B351"/>
      <c r="C351"/>
      <c r="D351"/>
      <c r="E351"/>
      <c r="F351"/>
      <c r="G351"/>
      <c r="H351"/>
      <c r="I351"/>
      <c r="J351"/>
      <c r="K351"/>
      <c r="L351" s="5"/>
      <c r="M351" s="5"/>
      <c r="N351" s="5"/>
      <c r="O351" s="5"/>
      <c r="P351" s="5"/>
      <c r="Q351" s="5"/>
      <c r="R351" s="5"/>
      <c r="S351" s="5"/>
    </row>
    <row r="352" spans="1:19" s="10" customFormat="1" x14ac:dyDescent="0.25">
      <c r="A352"/>
      <c r="B352"/>
      <c r="C352"/>
      <c r="D352"/>
      <c r="E352"/>
      <c r="F352"/>
      <c r="G352"/>
      <c r="H352"/>
      <c r="I352"/>
      <c r="J352"/>
      <c r="K352"/>
      <c r="L352" s="5"/>
      <c r="M352" s="5"/>
      <c r="N352" s="5"/>
      <c r="O352" s="5"/>
      <c r="P352" s="5"/>
      <c r="Q352" s="5"/>
      <c r="R352" s="5"/>
      <c r="S352" s="5"/>
    </row>
    <row r="353" spans="1:19" s="10" customFormat="1" x14ac:dyDescent="0.25">
      <c r="A353"/>
      <c r="B353"/>
      <c r="C353"/>
      <c r="D353"/>
      <c r="E353"/>
      <c r="F353"/>
      <c r="G353"/>
      <c r="H353"/>
      <c r="I353"/>
      <c r="J353"/>
      <c r="K353"/>
      <c r="L353" s="5"/>
      <c r="M353" s="5"/>
      <c r="N353" s="5"/>
      <c r="O353" s="5"/>
      <c r="P353" s="5"/>
      <c r="Q353" s="5"/>
      <c r="R353" s="5"/>
      <c r="S353" s="5"/>
    </row>
    <row r="354" spans="1:19" s="10" customFormat="1" x14ac:dyDescent="0.25">
      <c r="A354"/>
      <c r="B354"/>
      <c r="C354"/>
      <c r="D354"/>
      <c r="E354"/>
      <c r="F354"/>
      <c r="G354"/>
      <c r="H354"/>
      <c r="I354"/>
      <c r="J354"/>
      <c r="K354"/>
      <c r="L354" s="5"/>
      <c r="M354" s="5"/>
      <c r="N354" s="5"/>
      <c r="O354" s="5"/>
      <c r="P354" s="5"/>
      <c r="Q354" s="5"/>
      <c r="R354" s="5"/>
      <c r="S354" s="5"/>
    </row>
    <row r="355" spans="1:19" s="10" customFormat="1" x14ac:dyDescent="0.25">
      <c r="A355"/>
      <c r="B355"/>
      <c r="C355"/>
      <c r="D355"/>
      <c r="E355"/>
      <c r="F355"/>
      <c r="G355"/>
      <c r="H355"/>
      <c r="I355"/>
      <c r="J355"/>
      <c r="K355"/>
      <c r="L355" s="5"/>
      <c r="M355" s="5"/>
      <c r="N355" s="5"/>
      <c r="O355" s="5"/>
      <c r="P355" s="5"/>
      <c r="Q355" s="5"/>
      <c r="R355" s="5"/>
      <c r="S355" s="5"/>
    </row>
    <row r="356" spans="1:19" s="10" customFormat="1" x14ac:dyDescent="0.25">
      <c r="A356"/>
      <c r="B356"/>
      <c r="C356"/>
      <c r="D356"/>
      <c r="E356"/>
      <c r="F356"/>
      <c r="G356"/>
      <c r="H356"/>
      <c r="I356"/>
      <c r="J356"/>
      <c r="K356"/>
      <c r="L356" s="5"/>
      <c r="M356" s="5"/>
      <c r="N356" s="5"/>
      <c r="O356" s="5"/>
      <c r="P356" s="5"/>
      <c r="Q356" s="5"/>
      <c r="R356" s="5"/>
      <c r="S356" s="5"/>
    </row>
    <row r="357" spans="1:19" s="10" customFormat="1" x14ac:dyDescent="0.25">
      <c r="A357"/>
      <c r="B357"/>
      <c r="C357"/>
      <c r="D357"/>
      <c r="E357"/>
      <c r="F357"/>
      <c r="G357"/>
      <c r="H357"/>
      <c r="I357"/>
      <c r="J357"/>
      <c r="K357"/>
      <c r="L357" s="5"/>
      <c r="M357" s="5"/>
      <c r="N357" s="5"/>
      <c r="O357" s="5"/>
      <c r="P357" s="5"/>
      <c r="Q357" s="5"/>
      <c r="R357" s="5"/>
      <c r="S357" s="5"/>
    </row>
    <row r="358" spans="1:19" s="10" customFormat="1" x14ac:dyDescent="0.25">
      <c r="A358"/>
      <c r="B358"/>
      <c r="C358"/>
      <c r="D358"/>
      <c r="E358"/>
      <c r="F358"/>
      <c r="G358"/>
      <c r="H358"/>
      <c r="I358"/>
      <c r="J358"/>
      <c r="K358"/>
      <c r="L358" s="5"/>
      <c r="M358" s="5"/>
      <c r="N358" s="5"/>
      <c r="O358" s="5"/>
      <c r="P358" s="5"/>
      <c r="Q358" s="5"/>
      <c r="R358" s="5"/>
      <c r="S358" s="5"/>
    </row>
    <row r="359" spans="1:19" s="10" customFormat="1" x14ac:dyDescent="0.25">
      <c r="A359"/>
      <c r="B359"/>
      <c r="C359"/>
      <c r="D359"/>
      <c r="E359"/>
      <c r="F359"/>
      <c r="G359"/>
      <c r="H359"/>
      <c r="I359"/>
      <c r="J359"/>
      <c r="K359"/>
      <c r="L359" s="5"/>
      <c r="M359" s="5"/>
      <c r="N359" s="5"/>
      <c r="O359" s="5"/>
      <c r="P359" s="5"/>
      <c r="Q359" s="5"/>
      <c r="R359" s="5"/>
      <c r="S359" s="5"/>
    </row>
    <row r="360" spans="1:19" s="10" customFormat="1" x14ac:dyDescent="0.25">
      <c r="A360"/>
      <c r="B360"/>
      <c r="C360"/>
      <c r="D360"/>
      <c r="E360"/>
      <c r="F360"/>
      <c r="G360"/>
      <c r="H360"/>
      <c r="I360"/>
      <c r="J360"/>
      <c r="K360"/>
      <c r="L360" s="5"/>
      <c r="M360" s="5"/>
      <c r="N360" s="5"/>
      <c r="O360" s="5"/>
      <c r="P360" s="5"/>
      <c r="Q360" s="5"/>
      <c r="R360" s="5"/>
      <c r="S360" s="5"/>
    </row>
    <row r="361" spans="1:19" s="10" customFormat="1" x14ac:dyDescent="0.25">
      <c r="A361"/>
      <c r="B361"/>
      <c r="C361"/>
      <c r="D361"/>
      <c r="E361"/>
      <c r="F361"/>
      <c r="G361"/>
      <c r="H361"/>
      <c r="I361"/>
      <c r="J361"/>
      <c r="K361"/>
      <c r="L361" s="5"/>
      <c r="M361" s="5"/>
      <c r="N361" s="5"/>
      <c r="O361" s="5"/>
      <c r="P361" s="5"/>
      <c r="Q361" s="5"/>
      <c r="R361" s="5"/>
      <c r="S361" s="5"/>
    </row>
    <row r="362" spans="1:19" s="10" customFormat="1" x14ac:dyDescent="0.25">
      <c r="A362"/>
      <c r="B362"/>
      <c r="C362"/>
      <c r="D362"/>
      <c r="E362"/>
      <c r="F362"/>
      <c r="G362"/>
      <c r="H362"/>
      <c r="I362"/>
      <c r="J362"/>
      <c r="K362"/>
      <c r="L362" s="5"/>
      <c r="M362" s="5"/>
      <c r="N362" s="5"/>
      <c r="O362" s="5"/>
      <c r="P362" s="5"/>
      <c r="Q362" s="5"/>
      <c r="R362" s="5"/>
      <c r="S362" s="5"/>
    </row>
    <row r="363" spans="1:19" s="10" customFormat="1" x14ac:dyDescent="0.25">
      <c r="A363"/>
      <c r="B363"/>
      <c r="C363"/>
      <c r="D363"/>
      <c r="E363"/>
      <c r="F363"/>
      <c r="G363"/>
      <c r="H363"/>
      <c r="I363"/>
      <c r="J363"/>
      <c r="K363"/>
      <c r="L363" s="5"/>
      <c r="M363" s="5"/>
      <c r="N363" s="5"/>
      <c r="O363" s="5"/>
      <c r="P363" s="5"/>
      <c r="Q363" s="5"/>
      <c r="R363" s="5"/>
      <c r="S363" s="5"/>
    </row>
    <row r="364" spans="1:19" s="10" customFormat="1" x14ac:dyDescent="0.25">
      <c r="A364"/>
      <c r="B364"/>
      <c r="C364"/>
      <c r="D364"/>
      <c r="E364"/>
      <c r="F364"/>
      <c r="G364"/>
      <c r="H364"/>
      <c r="I364"/>
      <c r="J364"/>
      <c r="K364"/>
      <c r="L364" s="5"/>
      <c r="M364" s="5"/>
      <c r="N364" s="5"/>
      <c r="O364" s="5"/>
      <c r="P364" s="5"/>
      <c r="Q364" s="5"/>
      <c r="R364" s="5"/>
      <c r="S364" s="5"/>
    </row>
    <row r="365" spans="1:19" s="10" customFormat="1" x14ac:dyDescent="0.25">
      <c r="A365"/>
      <c r="B365"/>
      <c r="C365"/>
      <c r="D365"/>
      <c r="E365"/>
      <c r="F365"/>
      <c r="G365"/>
      <c r="H365"/>
      <c r="I365"/>
      <c r="J365"/>
      <c r="K365"/>
      <c r="L365" s="5"/>
      <c r="M365" s="5"/>
      <c r="N365" s="5"/>
      <c r="O365" s="5"/>
      <c r="P365" s="5"/>
      <c r="Q365" s="5"/>
      <c r="R365" s="5"/>
      <c r="S365" s="5"/>
    </row>
    <row r="366" spans="1:19" s="10" customFormat="1" x14ac:dyDescent="0.25">
      <c r="A366"/>
      <c r="B366"/>
      <c r="C366"/>
      <c r="D366"/>
      <c r="E366"/>
      <c r="F366"/>
      <c r="G366"/>
      <c r="H366"/>
      <c r="I366"/>
      <c r="J366"/>
      <c r="K366"/>
      <c r="L366" s="5"/>
      <c r="M366" s="5"/>
      <c r="N366" s="5"/>
      <c r="O366" s="5"/>
      <c r="P366" s="5"/>
      <c r="Q366" s="5"/>
      <c r="R366" s="5"/>
      <c r="S366" s="5"/>
    </row>
    <row r="367" spans="1:19" s="10" customFormat="1" x14ac:dyDescent="0.25">
      <c r="A367"/>
      <c r="B367"/>
      <c r="C367"/>
      <c r="D367"/>
      <c r="E367"/>
      <c r="F367"/>
      <c r="G367"/>
      <c r="H367"/>
      <c r="I367"/>
      <c r="J367"/>
      <c r="K367"/>
      <c r="L367" s="5"/>
      <c r="M367" s="5"/>
      <c r="N367" s="5"/>
      <c r="O367" s="5"/>
      <c r="P367" s="5"/>
      <c r="Q367" s="5"/>
      <c r="R367" s="5"/>
      <c r="S367" s="5"/>
    </row>
    <row r="368" spans="1:19" s="10" customFormat="1" x14ac:dyDescent="0.25">
      <c r="A368"/>
      <c r="B368"/>
      <c r="C368"/>
      <c r="D368"/>
      <c r="E368"/>
      <c r="F368"/>
      <c r="G368"/>
      <c r="H368"/>
      <c r="I368"/>
      <c r="J368"/>
      <c r="K368"/>
      <c r="L368" s="5"/>
      <c r="M368" s="5"/>
      <c r="N368" s="5"/>
      <c r="O368" s="5"/>
      <c r="P368" s="5"/>
      <c r="Q368" s="5"/>
      <c r="R368" s="5"/>
      <c r="S368" s="5"/>
    </row>
    <row r="369" spans="1:19" s="10" customFormat="1" x14ac:dyDescent="0.25">
      <c r="A369"/>
      <c r="B369"/>
      <c r="C369"/>
      <c r="D369"/>
      <c r="E369"/>
      <c r="F369"/>
      <c r="G369"/>
      <c r="H369"/>
      <c r="I369"/>
      <c r="J369"/>
      <c r="K369"/>
      <c r="L369" s="5"/>
      <c r="M369" s="5"/>
      <c r="N369" s="5"/>
      <c r="O369" s="5"/>
      <c r="P369" s="5"/>
      <c r="Q369" s="5"/>
      <c r="R369" s="5"/>
      <c r="S369" s="5"/>
    </row>
    <row r="370" spans="1:19" s="10" customFormat="1" x14ac:dyDescent="0.25">
      <c r="A370"/>
      <c r="B370"/>
      <c r="C370"/>
      <c r="D370"/>
      <c r="E370"/>
      <c r="F370"/>
      <c r="G370"/>
      <c r="H370"/>
      <c r="I370"/>
      <c r="J370"/>
      <c r="K370"/>
      <c r="L370" s="5"/>
      <c r="M370" s="5"/>
      <c r="N370" s="5"/>
      <c r="O370" s="5"/>
      <c r="P370" s="5"/>
      <c r="Q370" s="5"/>
      <c r="R370" s="5"/>
      <c r="S370" s="5"/>
    </row>
    <row r="371" spans="1:19" s="10" customFormat="1" x14ac:dyDescent="0.25">
      <c r="A371"/>
      <c r="B371"/>
      <c r="C371"/>
      <c r="D371"/>
      <c r="E371"/>
      <c r="F371"/>
      <c r="G371"/>
      <c r="H371"/>
      <c r="I371"/>
      <c r="J371"/>
      <c r="K371"/>
      <c r="L371" s="5"/>
      <c r="M371" s="5"/>
      <c r="N371" s="5"/>
      <c r="O371" s="5"/>
      <c r="P371" s="5"/>
      <c r="Q371" s="5"/>
      <c r="R371" s="5"/>
      <c r="S371" s="5"/>
    </row>
    <row r="372" spans="1:19" s="10" customFormat="1" x14ac:dyDescent="0.25">
      <c r="A372"/>
      <c r="B372"/>
      <c r="C372"/>
      <c r="D372"/>
      <c r="E372"/>
      <c r="F372"/>
      <c r="G372"/>
      <c r="H372"/>
      <c r="I372"/>
      <c r="J372"/>
      <c r="K372"/>
      <c r="L372" s="5"/>
      <c r="M372" s="5"/>
      <c r="N372" s="5"/>
      <c r="O372" s="5"/>
      <c r="P372" s="5"/>
      <c r="Q372" s="5"/>
      <c r="R372" s="5"/>
      <c r="S372" s="5"/>
    </row>
    <row r="373" spans="1:19" s="10" customFormat="1" x14ac:dyDescent="0.25">
      <c r="A373"/>
      <c r="B373"/>
      <c r="C373"/>
      <c r="D373"/>
      <c r="E373"/>
      <c r="F373"/>
      <c r="G373"/>
      <c r="H373"/>
      <c r="I373"/>
      <c r="J373"/>
      <c r="K373"/>
      <c r="L373" s="5"/>
      <c r="M373" s="5"/>
      <c r="N373" s="5"/>
      <c r="O373" s="5"/>
      <c r="P373" s="5"/>
      <c r="Q373" s="5"/>
      <c r="R373" s="5"/>
      <c r="S373" s="5"/>
    </row>
    <row r="374" spans="1:19" s="10" customFormat="1" x14ac:dyDescent="0.25">
      <c r="A374"/>
      <c r="B374"/>
      <c r="C374"/>
      <c r="D374"/>
      <c r="E374"/>
      <c r="F374"/>
      <c r="G374"/>
      <c r="H374"/>
      <c r="I374"/>
      <c r="J374"/>
      <c r="K374"/>
      <c r="L374" s="5"/>
      <c r="M374" s="5"/>
      <c r="N374" s="5"/>
      <c r="O374" s="5"/>
      <c r="P374" s="5"/>
      <c r="Q374" s="5"/>
      <c r="R374" s="5"/>
      <c r="S374" s="5"/>
    </row>
    <row r="375" spans="1:19" s="10" customFormat="1" x14ac:dyDescent="0.25">
      <c r="A375"/>
      <c r="B375"/>
      <c r="C375"/>
      <c r="D375"/>
      <c r="E375"/>
      <c r="F375"/>
      <c r="G375"/>
      <c r="H375"/>
      <c r="I375"/>
      <c r="J375"/>
      <c r="K375"/>
      <c r="L375" s="5"/>
      <c r="M375" s="5"/>
      <c r="N375" s="5"/>
      <c r="O375" s="5"/>
      <c r="P375" s="5"/>
      <c r="Q375" s="5"/>
      <c r="R375" s="5"/>
      <c r="S375" s="5"/>
    </row>
    <row r="376" spans="1:19" s="10" customFormat="1" x14ac:dyDescent="0.25">
      <c r="A376"/>
      <c r="B376"/>
      <c r="C376"/>
      <c r="D376"/>
      <c r="E376"/>
      <c r="F376"/>
      <c r="G376"/>
      <c r="H376"/>
      <c r="I376"/>
      <c r="J376"/>
      <c r="K376"/>
      <c r="L376" s="5"/>
      <c r="M376" s="5"/>
      <c r="N376" s="5"/>
      <c r="O376" s="5"/>
      <c r="P376" s="5"/>
      <c r="Q376" s="5"/>
      <c r="R376" s="5"/>
      <c r="S376" s="5"/>
    </row>
    <row r="377" spans="1:19" s="10" customFormat="1" x14ac:dyDescent="0.25">
      <c r="A377"/>
      <c r="B377"/>
      <c r="C377"/>
      <c r="D377"/>
      <c r="E377"/>
      <c r="F377"/>
      <c r="G377"/>
      <c r="H377"/>
      <c r="I377"/>
      <c r="J377"/>
      <c r="K377"/>
      <c r="L377" s="5"/>
      <c r="M377" s="5"/>
      <c r="N377" s="5"/>
      <c r="O377" s="5"/>
      <c r="P377" s="5"/>
      <c r="Q377" s="5"/>
      <c r="R377" s="5"/>
      <c r="S377" s="5"/>
    </row>
    <row r="378" spans="1:19" s="10" customFormat="1" x14ac:dyDescent="0.25">
      <c r="A378"/>
      <c r="B378"/>
      <c r="C378"/>
      <c r="D378"/>
      <c r="E378"/>
      <c r="F378"/>
      <c r="G378"/>
      <c r="H378"/>
      <c r="I378"/>
      <c r="J378"/>
      <c r="K378"/>
      <c r="L378" s="5"/>
      <c r="M378" s="5"/>
      <c r="N378" s="5"/>
      <c r="O378" s="5"/>
      <c r="P378" s="5"/>
      <c r="Q378" s="5"/>
      <c r="R378" s="5"/>
      <c r="S378" s="5"/>
    </row>
    <row r="379" spans="1:19" s="10" customFormat="1" x14ac:dyDescent="0.25">
      <c r="A379"/>
      <c r="B379"/>
      <c r="C379"/>
      <c r="D379"/>
      <c r="E379"/>
      <c r="F379"/>
      <c r="G379"/>
      <c r="H379"/>
      <c r="I379"/>
      <c r="J379"/>
      <c r="K379"/>
      <c r="L379" s="5"/>
      <c r="M379" s="5"/>
      <c r="N379" s="5"/>
      <c r="O379" s="5"/>
      <c r="P379" s="5"/>
      <c r="Q379" s="5"/>
      <c r="R379" s="5"/>
      <c r="S379" s="5"/>
    </row>
    <row r="380" spans="1:19" s="10" customFormat="1" x14ac:dyDescent="0.25">
      <c r="A380"/>
      <c r="B380"/>
      <c r="C380"/>
      <c r="D380"/>
      <c r="E380"/>
      <c r="F380"/>
      <c r="G380"/>
      <c r="H380"/>
      <c r="I380"/>
      <c r="J380"/>
      <c r="K380"/>
      <c r="L380" s="5"/>
      <c r="M380" s="5"/>
      <c r="N380" s="5"/>
      <c r="O380" s="5"/>
      <c r="P380" s="5"/>
      <c r="Q380" s="5"/>
      <c r="R380" s="5"/>
      <c r="S380" s="5"/>
    </row>
    <row r="381" spans="1:19" s="10" customFormat="1" x14ac:dyDescent="0.25">
      <c r="A381"/>
      <c r="B381"/>
      <c r="C381"/>
      <c r="D381"/>
      <c r="E381"/>
      <c r="F381"/>
      <c r="G381"/>
      <c r="H381"/>
      <c r="I381"/>
      <c r="J381"/>
      <c r="K381"/>
      <c r="L381" s="5"/>
      <c r="M381" s="5"/>
      <c r="N381" s="5"/>
      <c r="O381" s="5"/>
      <c r="P381" s="5"/>
      <c r="Q381" s="5"/>
      <c r="R381" s="5"/>
      <c r="S381" s="5"/>
    </row>
    <row r="382" spans="1:19" s="10" customFormat="1" x14ac:dyDescent="0.25">
      <c r="A382"/>
      <c r="B382"/>
      <c r="C382"/>
      <c r="D382"/>
      <c r="E382"/>
      <c r="F382"/>
      <c r="G382"/>
      <c r="H382"/>
      <c r="I382"/>
      <c r="J382"/>
      <c r="K382"/>
      <c r="L382" s="5"/>
      <c r="M382" s="5"/>
      <c r="N382" s="5"/>
      <c r="O382" s="5"/>
      <c r="P382" s="5"/>
      <c r="Q382" s="5"/>
      <c r="R382" s="5"/>
      <c r="S382" s="5"/>
    </row>
    <row r="383" spans="1:19" s="10" customFormat="1" x14ac:dyDescent="0.25">
      <c r="A383"/>
      <c r="B383"/>
      <c r="C383"/>
      <c r="D383"/>
      <c r="E383"/>
      <c r="F383"/>
      <c r="G383"/>
      <c r="H383"/>
      <c r="I383"/>
      <c r="J383"/>
      <c r="K383"/>
      <c r="L383" s="5"/>
      <c r="M383" s="5"/>
      <c r="N383" s="5"/>
      <c r="O383" s="5"/>
      <c r="P383" s="5"/>
      <c r="Q383" s="5"/>
      <c r="R383" s="5"/>
      <c r="S383" s="5"/>
    </row>
    <row r="384" spans="1:19" s="10" customFormat="1" x14ac:dyDescent="0.25">
      <c r="A384"/>
      <c r="B384"/>
      <c r="C384"/>
      <c r="D384"/>
      <c r="E384"/>
      <c r="F384"/>
      <c r="G384"/>
      <c r="H384"/>
      <c r="I384"/>
      <c r="J384"/>
      <c r="K384"/>
      <c r="L384" s="5"/>
      <c r="M384" s="5"/>
      <c r="N384" s="5"/>
      <c r="O384" s="5"/>
      <c r="P384" s="5"/>
      <c r="Q384" s="5"/>
      <c r="R384" s="5"/>
      <c r="S384" s="5"/>
    </row>
    <row r="385" spans="1:19" s="10" customFormat="1" x14ac:dyDescent="0.25">
      <c r="A385"/>
      <c r="B385"/>
      <c r="C385"/>
      <c r="D385"/>
      <c r="E385"/>
      <c r="F385"/>
      <c r="G385"/>
      <c r="H385"/>
      <c r="I385"/>
      <c r="J385"/>
      <c r="K385"/>
      <c r="L385" s="5"/>
      <c r="M385" s="5"/>
      <c r="N385" s="5"/>
      <c r="O385" s="5"/>
      <c r="P385" s="5"/>
      <c r="Q385" s="5"/>
      <c r="R385" s="5"/>
      <c r="S385" s="5"/>
    </row>
    <row r="386" spans="1:19" s="10" customFormat="1" x14ac:dyDescent="0.25">
      <c r="A386"/>
      <c r="B386"/>
      <c r="C386"/>
      <c r="D386"/>
      <c r="E386"/>
      <c r="F386"/>
      <c r="G386"/>
      <c r="H386"/>
      <c r="I386"/>
      <c r="J386"/>
      <c r="K386"/>
      <c r="L386" s="5"/>
      <c r="M386" s="5"/>
      <c r="N386" s="5"/>
      <c r="O386" s="5"/>
      <c r="P386" s="5"/>
      <c r="Q386" s="5"/>
      <c r="R386" s="5"/>
      <c r="S386" s="5"/>
    </row>
    <row r="387" spans="1:19" s="10" customFormat="1" x14ac:dyDescent="0.25">
      <c r="A387"/>
      <c r="B387"/>
      <c r="C387"/>
      <c r="D387"/>
      <c r="E387"/>
      <c r="F387"/>
      <c r="G387"/>
      <c r="H387"/>
      <c r="I387"/>
      <c r="J387"/>
      <c r="K387"/>
      <c r="L387" s="5"/>
      <c r="M387" s="5"/>
      <c r="N387" s="5"/>
      <c r="O387" s="5"/>
      <c r="P387" s="5"/>
      <c r="Q387" s="5"/>
      <c r="R387" s="5"/>
      <c r="S387" s="5"/>
    </row>
    <row r="388" spans="1:19" s="10" customFormat="1" x14ac:dyDescent="0.25">
      <c r="A388"/>
      <c r="B388"/>
      <c r="C388"/>
      <c r="D388"/>
      <c r="E388"/>
      <c r="F388"/>
      <c r="G388"/>
      <c r="H388"/>
      <c r="I388"/>
      <c r="J388"/>
      <c r="K388"/>
      <c r="L388" s="5"/>
      <c r="M388" s="5"/>
      <c r="N388" s="5"/>
      <c r="O388" s="5"/>
      <c r="P388" s="5"/>
      <c r="Q388" s="5"/>
      <c r="R388" s="5"/>
      <c r="S388" s="5"/>
    </row>
    <row r="389" spans="1:19" s="10" customFormat="1" x14ac:dyDescent="0.25">
      <c r="A389"/>
      <c r="B389"/>
      <c r="C389"/>
      <c r="D389"/>
      <c r="E389"/>
      <c r="F389"/>
      <c r="G389"/>
      <c r="H389"/>
      <c r="I389"/>
      <c r="J389"/>
      <c r="K389"/>
      <c r="L389" s="5"/>
      <c r="M389" s="5"/>
      <c r="N389" s="5"/>
      <c r="O389" s="5"/>
      <c r="P389" s="5"/>
      <c r="Q389" s="5"/>
      <c r="R389" s="5"/>
      <c r="S389" s="5"/>
    </row>
    <row r="390" spans="1:19" s="10" customFormat="1" x14ac:dyDescent="0.25">
      <c r="A390"/>
      <c r="B390"/>
      <c r="C390"/>
      <c r="D390"/>
      <c r="E390"/>
      <c r="F390"/>
      <c r="G390"/>
      <c r="H390"/>
      <c r="I390"/>
      <c r="J390"/>
      <c r="K390"/>
      <c r="L390" s="5"/>
      <c r="M390" s="5"/>
      <c r="N390" s="5"/>
      <c r="O390" s="5"/>
      <c r="P390" s="5"/>
      <c r="Q390" s="5"/>
      <c r="R390" s="5"/>
      <c r="S390" s="5"/>
    </row>
    <row r="391" spans="1:19" s="10" customFormat="1" x14ac:dyDescent="0.25">
      <c r="A391"/>
      <c r="B391"/>
      <c r="C391"/>
      <c r="D391"/>
      <c r="E391"/>
      <c r="F391"/>
      <c r="G391"/>
      <c r="H391"/>
      <c r="I391"/>
      <c r="J391"/>
      <c r="K391"/>
      <c r="L391" s="5"/>
      <c r="M391" s="5"/>
      <c r="N391" s="5"/>
      <c r="O391" s="5"/>
      <c r="P391" s="5"/>
      <c r="Q391" s="5"/>
      <c r="R391" s="5"/>
      <c r="S391" s="5"/>
    </row>
    <row r="392" spans="1:19" s="10" customFormat="1" x14ac:dyDescent="0.25">
      <c r="A392"/>
      <c r="B392"/>
      <c r="C392"/>
      <c r="D392"/>
      <c r="E392"/>
      <c r="F392"/>
      <c r="G392"/>
      <c r="H392"/>
      <c r="I392"/>
      <c r="J392"/>
      <c r="K392"/>
      <c r="L392" s="5"/>
      <c r="M392" s="5"/>
      <c r="N392" s="5"/>
      <c r="O392" s="5"/>
      <c r="P392" s="5"/>
      <c r="Q392" s="5"/>
      <c r="R392" s="5"/>
      <c r="S392" s="5"/>
    </row>
    <row r="393" spans="1:19" s="10" customFormat="1" x14ac:dyDescent="0.25">
      <c r="A393"/>
      <c r="B393"/>
      <c r="C393"/>
      <c r="D393"/>
      <c r="E393"/>
      <c r="F393"/>
      <c r="G393"/>
      <c r="H393"/>
      <c r="I393"/>
      <c r="J393"/>
      <c r="K393"/>
      <c r="L393" s="5"/>
      <c r="M393" s="5"/>
      <c r="N393" s="5"/>
      <c r="O393" s="5"/>
      <c r="P393" s="5"/>
      <c r="Q393" s="5"/>
      <c r="R393" s="5"/>
      <c r="S393" s="5"/>
    </row>
    <row r="394" spans="1:19" s="10" customFormat="1" x14ac:dyDescent="0.25">
      <c r="A394"/>
      <c r="B394"/>
      <c r="C394"/>
      <c r="D394"/>
      <c r="E394"/>
      <c r="F394"/>
      <c r="G394"/>
      <c r="H394"/>
      <c r="I394"/>
      <c r="J394"/>
      <c r="K394"/>
      <c r="L394" s="5"/>
      <c r="M394" s="5"/>
      <c r="N394" s="5"/>
      <c r="O394" s="5"/>
      <c r="P394" s="5"/>
      <c r="Q394" s="5"/>
      <c r="R394" s="5"/>
      <c r="S394" s="5"/>
    </row>
  </sheetData>
  <mergeCells count="5">
    <mergeCell ref="B3:C3"/>
    <mergeCell ref="R3:S3"/>
    <mergeCell ref="P3:Q3"/>
    <mergeCell ref="T3:U3"/>
    <mergeCell ref="L3:M3"/>
  </mergeCells>
  <phoneticPr fontId="2" type="noConversion"/>
  <conditionalFormatting sqref="B10:C310 B318:C325 B327:C331 B334:C432">
    <cfRule type="cellIs" dxfId="35" priority="5" stopIfTrue="1" operator="equal">
      <formula>"No"</formula>
    </cfRule>
    <cfRule type="cellIs" dxfId="34" priority="6" stopIfTrue="1" operator="equal">
      <formula>"Needed"</formula>
    </cfRule>
  </conditionalFormatting>
  <conditionalFormatting sqref="C1:C2 B1:B9 C4:C9 B433:C65536">
    <cfRule type="cellIs" dxfId="33" priority="2" stopIfTrue="1" operator="equal">
      <formula>"NA"</formula>
    </cfRule>
    <cfRule type="cellIs" dxfId="32" priority="3" stopIfTrue="1" operator="equal">
      <formula>"Needed"</formula>
    </cfRule>
  </conditionalFormatting>
  <conditionalFormatting sqref="D1:D9 D433:D65536">
    <cfRule type="cellIs" dxfId="31" priority="4" stopIfTrue="1" operator="equal">
      <formula>0</formula>
    </cfRule>
  </conditionalFormatting>
  <conditionalFormatting sqref="I1:I2 L1:S2 G1:H9 J1:K9 R3:R9 I4:I9 L4:P9 Q8:Q9 S8:S9 G10:U82 G84:U140 G142:U310 G318:U325 G327:U331 G334:U432 G433:S65536">
    <cfRule type="cellIs" dxfId="30" priority="1" stopIfTrue="1" operator="equal">
      <formula>"NA"</formula>
    </cfRule>
  </conditionalFormatting>
  <conditionalFormatting sqref="I3 Q4:Q7 S4:S7">
    <cfRule type="cellIs" dxfId="29" priority="7" stopIfTrue="1" operator="equal">
      <formula>"NA"</formula>
    </cfRule>
  </conditionalFormatting>
  <pageMargins left="0.25" right="0.25" top="0.25" bottom="0.25" header="0" footer="0"/>
  <pageSetup paperSize="17" scale="60" fitToHeight="3" orientation="landscape" horizontalDpi="4294967292"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O435"/>
  <sheetViews>
    <sheetView showGridLines="0" zoomScaleNormal="100" workbookViewId="0">
      <pane xSplit="1" ySplit="9" topLeftCell="B22" activePane="bottomRight" state="frozen"/>
      <selection pane="topRight" activeCell="B228" sqref="B228"/>
      <selection pane="bottomLeft" activeCell="B228" sqref="B228"/>
      <selection pane="bottomRight" activeCell="B46" sqref="B46"/>
    </sheetView>
  </sheetViews>
  <sheetFormatPr defaultRowHeight="13.2" x14ac:dyDescent="0.25"/>
  <cols>
    <col min="1" max="1" width="30.109375" customWidth="1"/>
    <col min="2" max="14" width="10.5546875" style="15" customWidth="1"/>
    <col min="15" max="15" width="10.5546875" customWidth="1"/>
  </cols>
  <sheetData>
    <row r="1" spans="1:15" x14ac:dyDescent="0.25">
      <c r="A1" s="23"/>
      <c r="G1" s="43"/>
      <c r="H1" s="43"/>
      <c r="I1" s="43"/>
      <c r="J1" s="43"/>
      <c r="K1" s="43"/>
      <c r="L1" s="43"/>
      <c r="M1" s="43"/>
      <c r="N1" s="43"/>
    </row>
    <row r="2" spans="1:15" ht="13.8" thickBot="1" x14ac:dyDescent="0.3">
      <c r="A2" s="23"/>
      <c r="D2" s="43"/>
      <c r="I2" s="17"/>
    </row>
    <row r="3" spans="1:15" s="10" customFormat="1" ht="13.8" thickBot="1" x14ac:dyDescent="0.3">
      <c r="A3" s="35"/>
      <c r="B3" s="1175" t="str">
        <f>IF(Start!C17="x","","Testing")</f>
        <v/>
      </c>
      <c r="C3" s="1177" t="s">
        <v>211</v>
      </c>
      <c r="D3" s="1179" t="s">
        <v>725</v>
      </c>
      <c r="E3" s="1180"/>
      <c r="F3" s="1180"/>
      <c r="G3" s="1181"/>
      <c r="H3" s="738"/>
      <c r="I3" s="736"/>
      <c r="J3" s="1182" t="s">
        <v>746</v>
      </c>
      <c r="K3" s="1183"/>
      <c r="L3" s="1183"/>
      <c r="M3" s="1184"/>
      <c r="N3" s="736" t="s">
        <v>641</v>
      </c>
      <c r="O3" s="409" t="s">
        <v>694</v>
      </c>
    </row>
    <row r="4" spans="1:15" s="10" customFormat="1" x14ac:dyDescent="0.25">
      <c r="A4" s="205"/>
      <c r="B4" s="1176"/>
      <c r="C4" s="1178"/>
      <c r="D4" s="388"/>
      <c r="E4" s="410"/>
      <c r="F4" s="410"/>
      <c r="G4" s="740" t="s">
        <v>747</v>
      </c>
      <c r="H4" s="356" t="s">
        <v>641</v>
      </c>
      <c r="I4" s="356" t="s">
        <v>641</v>
      </c>
      <c r="J4" s="737" t="s">
        <v>227</v>
      </c>
      <c r="K4" s="378" t="s">
        <v>748</v>
      </c>
      <c r="L4" s="416" t="s">
        <v>749</v>
      </c>
      <c r="M4" s="416" t="s">
        <v>227</v>
      </c>
      <c r="N4" s="416" t="s">
        <v>749</v>
      </c>
      <c r="O4" s="411" t="s">
        <v>641</v>
      </c>
    </row>
    <row r="5" spans="1:15" s="10" customFormat="1" x14ac:dyDescent="0.25">
      <c r="A5" s="205"/>
      <c r="B5" s="412" t="str">
        <f>IF(Start!$C$17="x","","Not Required")</f>
        <v/>
      </c>
      <c r="C5" s="413" t="s">
        <v>750</v>
      </c>
      <c r="D5" s="388"/>
      <c r="E5" s="414" t="s">
        <v>236</v>
      </c>
      <c r="F5" s="415" t="s">
        <v>236</v>
      </c>
      <c r="G5" s="388" t="s">
        <v>239</v>
      </c>
      <c r="H5" s="356" t="s">
        <v>275</v>
      </c>
      <c r="I5" s="216" t="s">
        <v>212</v>
      </c>
      <c r="J5" s="378" t="s">
        <v>748</v>
      </c>
      <c r="K5" s="378" t="s">
        <v>751</v>
      </c>
      <c r="L5" s="416" t="s">
        <v>248</v>
      </c>
      <c r="M5" s="416" t="s">
        <v>749</v>
      </c>
      <c r="N5" s="416" t="s">
        <v>248</v>
      </c>
      <c r="O5" s="417" t="s">
        <v>749</v>
      </c>
    </row>
    <row r="6" spans="1:15" s="10" customFormat="1" x14ac:dyDescent="0.25">
      <c r="A6" s="205"/>
      <c r="B6" s="412" t="str">
        <f>IF(Start!$C$17="x","Leachate","based on")</f>
        <v>Leachate</v>
      </c>
      <c r="C6" s="413" t="s">
        <v>212</v>
      </c>
      <c r="D6" s="388" t="s">
        <v>8</v>
      </c>
      <c r="E6" s="414" t="s">
        <v>256</v>
      </c>
      <c r="F6" s="415" t="s">
        <v>275</v>
      </c>
      <c r="G6" s="388" t="s">
        <v>259</v>
      </c>
      <c r="H6" s="356" t="s">
        <v>212</v>
      </c>
      <c r="I6" s="216" t="s">
        <v>705</v>
      </c>
      <c r="J6" s="378" t="s">
        <v>751</v>
      </c>
      <c r="K6" s="378" t="s">
        <v>752</v>
      </c>
      <c r="L6" s="416" t="s">
        <v>651</v>
      </c>
      <c r="M6" s="416" t="s">
        <v>248</v>
      </c>
      <c r="N6" s="416" t="s">
        <v>651</v>
      </c>
      <c r="O6" s="417" t="s">
        <v>753</v>
      </c>
    </row>
    <row r="7" spans="1:15" s="10" customFormat="1" x14ac:dyDescent="0.25">
      <c r="A7" s="205"/>
      <c r="B7" s="412" t="s">
        <v>705</v>
      </c>
      <c r="C7" s="413" t="s">
        <v>248</v>
      </c>
      <c r="D7" s="388" t="s">
        <v>314</v>
      </c>
      <c r="E7" s="414" t="s">
        <v>277</v>
      </c>
      <c r="F7" s="415" t="s">
        <v>292</v>
      </c>
      <c r="G7" s="388" t="s">
        <v>278</v>
      </c>
      <c r="H7" s="356" t="s">
        <v>248</v>
      </c>
      <c r="I7" s="216" t="s">
        <v>248</v>
      </c>
      <c r="J7" s="378" t="s">
        <v>752</v>
      </c>
      <c r="K7" s="378" t="s">
        <v>754</v>
      </c>
      <c r="L7" s="416" t="s">
        <v>754</v>
      </c>
      <c r="M7" s="416" t="s">
        <v>651</v>
      </c>
      <c r="N7" s="416" t="s">
        <v>755</v>
      </c>
      <c r="O7" s="417" t="s">
        <v>756</v>
      </c>
    </row>
    <row r="8" spans="1:15" s="10" customFormat="1" x14ac:dyDescent="0.25">
      <c r="A8" s="205"/>
      <c r="B8" s="412" t="str">
        <f>IF(Start!$C$17="x","Testing","Tier I Results")</f>
        <v>Testing</v>
      </c>
      <c r="C8" s="413" t="s">
        <v>266</v>
      </c>
      <c r="D8" s="388" t="s">
        <v>757</v>
      </c>
      <c r="E8" s="414" t="s">
        <v>758</v>
      </c>
      <c r="F8" s="415" t="s">
        <v>309</v>
      </c>
      <c r="G8" s="410" t="s">
        <v>759</v>
      </c>
      <c r="H8" s="416" t="s">
        <v>760</v>
      </c>
      <c r="I8" s="378" t="s">
        <v>761</v>
      </c>
      <c r="J8" s="378" t="s">
        <v>762</v>
      </c>
      <c r="K8" s="378" t="s">
        <v>763</v>
      </c>
      <c r="L8" s="416" t="s">
        <v>764</v>
      </c>
      <c r="M8" s="416" t="s">
        <v>765</v>
      </c>
      <c r="N8" s="416" t="s">
        <v>766</v>
      </c>
      <c r="O8" s="417" t="s">
        <v>8</v>
      </c>
    </row>
    <row r="9" spans="1:15" s="10" customFormat="1" ht="13.8" thickBot="1" x14ac:dyDescent="0.3">
      <c r="A9" s="206" t="s">
        <v>723</v>
      </c>
      <c r="B9" s="224" t="str">
        <f>IF(Start!$C$17="x","Required?","")</f>
        <v>Required?</v>
      </c>
      <c r="C9" s="418" t="s">
        <v>285</v>
      </c>
      <c r="D9" s="397" t="s">
        <v>286</v>
      </c>
      <c r="E9" s="419" t="s">
        <v>324</v>
      </c>
      <c r="F9" s="420"/>
      <c r="G9" s="421"/>
      <c r="H9" s="422" t="s">
        <v>767</v>
      </c>
      <c r="I9" s="423" t="s">
        <v>286</v>
      </c>
      <c r="J9" s="423" t="s">
        <v>286</v>
      </c>
      <c r="K9" s="423" t="s">
        <v>286</v>
      </c>
      <c r="L9" s="682" t="s">
        <v>286</v>
      </c>
      <c r="M9" s="682" t="s">
        <v>286</v>
      </c>
      <c r="N9" s="682" t="s">
        <v>286</v>
      </c>
      <c r="O9" s="424" t="s">
        <v>314</v>
      </c>
    </row>
    <row r="10" spans="1:15" s="10" customFormat="1" x14ac:dyDescent="0.25">
      <c r="A10" s="505" t="s">
        <v>326</v>
      </c>
      <c r="B10" s="527"/>
      <c r="C10" s="528"/>
      <c r="D10" s="511"/>
      <c r="E10" s="512"/>
      <c r="F10" s="512"/>
      <c r="G10" s="513"/>
      <c r="H10" s="687"/>
      <c r="I10" s="670"/>
      <c r="J10" s="741"/>
      <c r="K10" s="741"/>
      <c r="L10" s="670"/>
      <c r="M10" s="670"/>
      <c r="N10" s="670"/>
      <c r="O10" s="527"/>
    </row>
    <row r="11" spans="1:15" s="10" customFormat="1" x14ac:dyDescent="0.25">
      <c r="A11" s="405" t="s">
        <v>327</v>
      </c>
      <c r="B11" s="868" t="str">
        <f>IF(Start!$C$17="x",(IF($C11="NA","NA",(IF(C11="","",(IF(AND(N11="NA",C11&lt;&gt;"NA",D11&lt;&gt;"NA"),"Missing Data",(IF(OR(D11 = "NA",D11=""),"No Criteria",(IF(N11&lt;D11,IF(OR(I11&lt;D11,ChemData!AA11&lt;&gt;""),"No-1",IF(M11&lt;D11,"No-2","No-3")),"Needed")))))))))),"---")</f>
        <v/>
      </c>
      <c r="C11" s="426" t="str">
        <f>IF(TRUE=ISBLANK(ChemData!B11),"",(ChemData!B11))</f>
        <v/>
      </c>
      <c r="D11" s="289">
        <f>IF(TRUE=ISBLANK(ChemData!J11),"",(ChemData!J11))</f>
        <v>87</v>
      </c>
      <c r="E11" s="290">
        <f>IF(TRUE=ISBLANK(ChemData!Q11),"",(ChemData!Q11))</f>
        <v>1500</v>
      </c>
      <c r="F11" s="290">
        <f>IF(TRUE=ISBLANK(ChemData!S11),"",(ChemData!S11))</f>
        <v>5.0000000000000001E-3</v>
      </c>
      <c r="G11" s="865">
        <f>IF(OR(TRUE=ISBLANK(ChemData!AA11),ChemData!AA11="NA",ChemData!AA11=0),ChemData!Z11,(ChemData!AA11))</f>
        <v>66664.197865864888</v>
      </c>
      <c r="H11" s="685" t="str">
        <f>IF(Start!$C$17="x",(IF(OR(C11="NA",C11=""),"NA",IF(OR(F11="NA",F11="",F11=0),"NA",C11/((Data!$D$10/100)/F11)))),"---")</f>
        <v>NA</v>
      </c>
      <c r="I11" s="376" t="str">
        <f>IF(Start!$C$17="x",(IF($E11 = "NA", "NA", (IF(H11 = "NA", "NA",(IF(OR(ChemData!U11="NA",ChemData!U11=""),H11/((Data!$D$18+$E11*(1-Data!$D$18)*Data!$D$14)/(1000*(1-Data!$D$18)*Data!$D$14)),(IF(H11/((Data!$D$18+$E11*(1-Data!$D$18)*Data!$D$14)/(1000*(1-Data!$D$18)*Data!$D$14))&gt;ChemData!U11, ChemData!U11,H11/((Data!$D$18+$E11*(1-Data!$D$18)*Data!$D$14)/(1000*(1-Data!$D$18)*Data!$D$14)))))))))),"---")</f>
        <v>NA</v>
      </c>
      <c r="J11" s="870" t="str">
        <f>IF(Start!$C$17="x",IF(OR(I11="NA",I11="",ChemData!W11="NA",ChemData!W11=""),"NA",I11/ChemData!W11),"---")</f>
        <v>NA</v>
      </c>
      <c r="K11" s="870" t="str">
        <f>IF(Start!$C$17="x",IF(J11="NA","NA",IF(Data!$D$68&lt;ChemData!X11,J11*(Data!$D$68/ChemData!X11),J11)),"---")</f>
        <v>NA</v>
      </c>
      <c r="L11" s="870" t="str">
        <f>IF(Start!$C$17="x",IF(OR(I11="NA",I11="",ChemData!Z11="NA",ChemData!Z11=""),"NA",I11/ChemData!Z11),"---")</f>
        <v>NA</v>
      </c>
      <c r="M11" s="870" t="str">
        <f>IF(Start!$C$17="x",IF(OR(I11="NA",I11="",ChemData!Y11="NA",ChemData!Y11=""),"NA",I11/ChemData!Y11),"---")</f>
        <v>NA</v>
      </c>
      <c r="N11" s="870" t="str">
        <f>IF(Start!$C$17="x",IF(OR(I11="NA",I11="",G11="NA",G11=""),"NA",I11/G11),"---")</f>
        <v>NA</v>
      </c>
      <c r="O11" s="794" t="str">
        <f>IF(Start!$C$17="x",(IF(C11="","",(IF(N11="NA","NA",IF(D11="NA","NA",IF(D11=0,"NA",(N11/D11))))))),"Not Req.")</f>
        <v/>
      </c>
    </row>
    <row r="12" spans="1:15" s="10" customFormat="1" x14ac:dyDescent="0.25">
      <c r="A12" s="405" t="s">
        <v>330</v>
      </c>
      <c r="B12" s="868" t="str">
        <f>IF(Start!$C$17="x",(IF($C12="NA","NA",(IF(C12="","",(IF(AND(N12="NA",C12&lt;&gt;"NA",D12&lt;&gt;"NA"),"Missing Data",(IF(OR(D12 = "NA",D12=""),"No Criteria",(IF(N12&lt;D12,IF(OR(I12&lt;D12,ChemData!AA12&lt;&gt;""),"No-1",IF(M12&lt;D12,"No-2","No-3")),"Needed")))))))))),"---")</f>
        <v/>
      </c>
      <c r="C12" s="426" t="str">
        <f>IF(TRUE=ISBLANK(ChemData!B12),"",(ChemData!B12))</f>
        <v/>
      </c>
      <c r="D12" s="289">
        <f>IF(TRUE=ISBLANK(ChemData!J12),"",(ChemData!J12))</f>
        <v>30</v>
      </c>
      <c r="E12" s="290">
        <f>IF(TRUE=ISBLANK(ChemData!Q12),"",(ChemData!Q12))</f>
        <v>270</v>
      </c>
      <c r="F12" s="290">
        <f>IF(TRUE=ISBLANK(ChemData!S12),"",(ChemData!S12))</f>
        <v>0.1</v>
      </c>
      <c r="G12" s="865">
        <f>IF(OR(TRUE=ISBLANK(ChemData!AA12),ChemData!AA12="NA",ChemData!AA12=0),ChemData!Z12,(ChemData!AA12))</f>
        <v>5372.9808415016851</v>
      </c>
      <c r="H12" s="685" t="str">
        <f>IF(Start!$C$17="x",(IF(OR(C12="NA",C12=""),"NA",IF(OR(F12="NA",F12="",F12=0),"NA",C12/((Data!$D$10/100)/F12)))),"---")</f>
        <v>NA</v>
      </c>
      <c r="I12" s="376" t="str">
        <f>IF(Start!$C$17="x",(IF($E12 = "NA", "NA", (IF(H12 = "NA", "NA",(IF(OR(ChemData!U12="NA",ChemData!U12=""),H12/((Data!$D$18+$E12*(1-Data!$D$18)*Data!$D$14)/(1000*(1-Data!$D$18)*Data!$D$14)),(IF(H12/((Data!$D$18+$E12*(1-Data!$D$18)*Data!$D$14)/(1000*(1-Data!$D$18)*Data!$D$14))&gt;ChemData!U12, ChemData!U12,H12/((Data!$D$18+$E12*(1-Data!$D$18)*Data!$D$14)/(1000*(1-Data!$D$18)*Data!$D$14)))))))))),"---")</f>
        <v>NA</v>
      </c>
      <c r="J12" s="870" t="str">
        <f>IF(Start!$C$17="x",IF(OR(I12="NA",I12="",ChemData!W12="NA",ChemData!W12=""),"NA",I12/ChemData!W12),"---")</f>
        <v>NA</v>
      </c>
      <c r="K12" s="870" t="str">
        <f>IF(Start!$C$17="x",IF(J12="NA","NA",IF(Data!$D$68&lt;ChemData!X12,J12*(Data!$D$68/ChemData!X12),J12)),"---")</f>
        <v>NA</v>
      </c>
      <c r="L12" s="870" t="str">
        <f>IF(Start!$C$17="x",IF(OR(I12="NA",I12="",ChemData!Z12="NA",ChemData!Z12=""),"NA",I12/ChemData!Z12),"---")</f>
        <v>NA</v>
      </c>
      <c r="M12" s="870" t="str">
        <f>IF(Start!$C$17="x",IF(OR(I12="NA",I12="",ChemData!Y12="NA",ChemData!Y12=""),"NA",I12/ChemData!Y12),"---")</f>
        <v>NA</v>
      </c>
      <c r="N12" s="870" t="str">
        <f>IF(Start!$C$17="x",IF(OR(I12="NA",I12="",G12="NA",G12=""),"NA",I12/G12),"---")</f>
        <v>NA</v>
      </c>
      <c r="O12" s="794" t="str">
        <f>IF(Start!$C$17="x",(IF(C12="","",(IF(N12="NA","NA",IF(D12="NA","NA",IF(D12=0,"NA",(N12/D12))))))),"Not Req.")</f>
        <v/>
      </c>
    </row>
    <row r="13" spans="1:15" s="10" customFormat="1" x14ac:dyDescent="0.25">
      <c r="A13" s="405" t="s">
        <v>331</v>
      </c>
      <c r="B13" s="868" t="str">
        <f>IF(Start!$C$17="x",(IF($C13="NA","NA",(IF(C13="","",(IF(AND(N13="NA",C13&lt;&gt;"NA",D13&lt;&gt;"NA"),"Missing Data",(IF(OR(D13 = "NA",D13=""),"No Criteria",(IF(N13&lt;D13,IF(OR(I13&lt;D13,ChemData!AA13&lt;&gt;""),"No-1",IF(M13&lt;D13,"No-2","No-3")),"Needed")))))))))),"---")</f>
        <v/>
      </c>
      <c r="C13" s="426" t="str">
        <f>IF(TRUE=ISBLANK(ChemData!B13),"",(ChemData!B13))</f>
        <v/>
      </c>
      <c r="D13" s="289">
        <f>IF(TRUE=ISBLANK(ChemData!J13),"",(ChemData!J13))</f>
        <v>3.1</v>
      </c>
      <c r="E13" s="290">
        <f>IF(TRUE=ISBLANK(ChemData!Q13),"",(ChemData!Q13))</f>
        <v>70</v>
      </c>
      <c r="F13" s="290">
        <f>IF(TRUE=ISBLANK(ChemData!S13),"",(ChemData!S13))</f>
        <v>0.2</v>
      </c>
      <c r="G13" s="865">
        <f>IF(OR(TRUE=ISBLANK(ChemData!AA13),ChemData!AA13="NA",ChemData!AA13=0),ChemData!Z13,(ChemData!AA13))</f>
        <v>740.02879706122064</v>
      </c>
      <c r="H13" s="685" t="str">
        <f>IF(Start!$C$17="x",(IF(OR(C13="NA",C13=""),"NA",IF(OR(F13="NA",F13="",F13=0),"NA",C13/((Data!$D$10/100)/F13)))),"---")</f>
        <v>NA</v>
      </c>
      <c r="I13" s="376" t="str">
        <f>IF(Start!$C$17="x",(IF($E13 = "NA", "NA", (IF(H13 = "NA", "NA",(IF(OR(ChemData!U13="NA",ChemData!U13=""),H13/((Data!$D$18+$E13*(1-Data!$D$18)*Data!$D$14)/(1000*(1-Data!$D$18)*Data!$D$14)),(IF(H13/((Data!$D$18+$E13*(1-Data!$D$18)*Data!$D$14)/(1000*(1-Data!$D$18)*Data!$D$14))&gt;ChemData!U13, ChemData!U13,H13/((Data!$D$18+$E13*(1-Data!$D$18)*Data!$D$14)/(1000*(1-Data!$D$18)*Data!$D$14)))))))))),"---")</f>
        <v>NA</v>
      </c>
      <c r="J13" s="870" t="str">
        <f>IF(Start!$C$17="x",IF(OR(I13="NA",I13="",ChemData!W13="NA",ChemData!W13=""),"NA",I13/ChemData!W13),"---")</f>
        <v>NA</v>
      </c>
      <c r="K13" s="870" t="str">
        <f>IF(Start!$C$17="x",IF(J13="NA","NA",IF(Data!$D$68&lt;ChemData!X13,J13*(Data!$D$68/ChemData!X13),J13)),"---")</f>
        <v>NA</v>
      </c>
      <c r="L13" s="870" t="str">
        <f>IF(Start!$C$17="x",IF(OR(I13="NA",I13="",ChemData!Z13="NA",ChemData!Z13=""),"NA",I13/ChemData!Z13),"---")</f>
        <v>NA</v>
      </c>
      <c r="M13" s="870" t="str">
        <f>IF(Start!$C$17="x",IF(OR(I13="NA",I13="",ChemData!Y13="NA",ChemData!Y13=""),"NA",I13/ChemData!Y13),"---")</f>
        <v>NA</v>
      </c>
      <c r="N13" s="870" t="str">
        <f>IF(Start!$C$17="x",IF(OR(I13="NA",I13="",G13="NA",G13=""),"NA",I13/G13),"---")</f>
        <v>NA</v>
      </c>
      <c r="O13" s="794" t="str">
        <f>IF(Start!$C$17="x",(IF(C13="","",(IF(N13="NA","NA",IF(D13="NA","NA",IF(D13=0,"NA",(N13/D13))))))),"Not Req.")</f>
        <v/>
      </c>
    </row>
    <row r="14" spans="1:15" s="10" customFormat="1" x14ac:dyDescent="0.25">
      <c r="A14" s="405" t="s">
        <v>332</v>
      </c>
      <c r="B14" s="868" t="str">
        <f>IF(Start!$C$17="x",(IF($C14="NA","NA",(IF(C14="","",(IF(AND(N14="NA",C14&lt;&gt;"NA",D14&lt;&gt;"NA"),"Missing Data",(IF(OR(D14 = "NA",D14=""),"No Criteria",(IF(N14&lt;D14,IF(OR(I14&lt;D14,ChemData!AA14&lt;&gt;""),"No-1",IF(M14&lt;D14,"No-2","No-3")),"Needed")))))))))),"---")</f>
        <v/>
      </c>
      <c r="C14" s="426" t="str">
        <f>IF(TRUE=ISBLANK(ChemData!B14),"",(ChemData!B14))</f>
        <v/>
      </c>
      <c r="D14" s="289">
        <f>IF(TRUE=ISBLANK(ChemData!J14),"",(ChemData!J14))</f>
        <v>4</v>
      </c>
      <c r="E14" s="290">
        <f>IF(TRUE=ISBLANK(ChemData!Q14),"",(ChemData!Q14))</f>
        <v>100</v>
      </c>
      <c r="F14" s="290">
        <f>IF(TRUE=ISBLANK(ChemData!S14),"",(ChemData!S14))</f>
        <v>0.2</v>
      </c>
      <c r="G14" s="865">
        <f>IF(OR(TRUE=ISBLANK(ChemData!AA14),ChemData!AA14="NA",ChemData!AA14=0),ChemData!Z14,(ChemData!AA14))</f>
        <v>1249.4863508561841</v>
      </c>
      <c r="H14" s="685" t="str">
        <f>IF(Start!$C$17="x",(IF(OR(C14="NA",C14=""),"NA",IF(OR(F14="NA",F14="",F14=0),"NA",C14/((Data!$D$10/100)/F14)))),"---")</f>
        <v>NA</v>
      </c>
      <c r="I14" s="376" t="str">
        <f>IF(Start!$C$17="x",(IF($E14 = "NA", "NA", (IF(H14 = "NA", "NA",(IF(OR(ChemData!U14="NA",ChemData!U14=""),H14/((Data!$D$18+$E14*(1-Data!$D$18)*Data!$D$14)/(1000*(1-Data!$D$18)*Data!$D$14)),(IF(H14/((Data!$D$18+$E14*(1-Data!$D$18)*Data!$D$14)/(1000*(1-Data!$D$18)*Data!$D$14))&gt;ChemData!U14, ChemData!U14,H14/((Data!$D$18+$E14*(1-Data!$D$18)*Data!$D$14)/(1000*(1-Data!$D$18)*Data!$D$14)))))))))),"---")</f>
        <v>NA</v>
      </c>
      <c r="J14" s="870" t="str">
        <f>IF(Start!$C$17="x",IF(OR(I14="NA",I14="",ChemData!W14="NA",ChemData!W14=""),"NA",I14/ChemData!W14),"---")</f>
        <v>NA</v>
      </c>
      <c r="K14" s="870" t="str">
        <f>IF(Start!$C$17="x",IF(J14="NA","NA",IF(Data!$D$68&lt;ChemData!X14,J14*(Data!$D$68/ChemData!X14),J14)),"---")</f>
        <v>NA</v>
      </c>
      <c r="L14" s="870" t="str">
        <f>IF(Start!$C$17="x",IF(OR(I14="NA",I14="",ChemData!Z14="NA",ChemData!Z14=""),"NA",I14/ChemData!Z14),"---")</f>
        <v>NA</v>
      </c>
      <c r="M14" s="870" t="str">
        <f>IF(Start!$C$17="x",IF(OR(I14="NA",I14="",ChemData!Y14="NA",ChemData!Y14=""),"NA",I14/ChemData!Y14),"---")</f>
        <v>NA</v>
      </c>
      <c r="N14" s="870" t="str">
        <f>IF(Start!$C$17="x",IF(OR(I14="NA",I14="",G14="NA",G14=""),"NA",I14/G14),"---")</f>
        <v>NA</v>
      </c>
      <c r="O14" s="794" t="str">
        <f>IF(Start!$C$17="x",(IF(C14="","",(IF(N14="NA","NA",IF(D14="NA","NA",IF(D14=0,"NA",(N14/D14))))))),"Not Req.")</f>
        <v/>
      </c>
    </row>
    <row r="15" spans="1:15" s="10" customFormat="1" x14ac:dyDescent="0.25">
      <c r="A15" s="405" t="s">
        <v>333</v>
      </c>
      <c r="B15" s="868" t="str">
        <f>IF(Start!$C$17="x",(IF($C15="NA","NA",(IF(C15="","",(IF(AND(N15="NA",C15&lt;&gt;"NA",D15&lt;&gt;"NA"),"Missing Data",(IF(OR(D15 = "NA",D15=""),"No Criteria",(IF(N15&lt;D15,IF(OR(I15&lt;D15,ChemData!AA15&lt;&gt;""),"No-1",IF(M15&lt;D15,"No-2","No-3")),"Needed")))))))))),"---")</f>
        <v/>
      </c>
      <c r="C15" s="426" t="str">
        <f>IF(TRUE=ISBLANK(ChemData!B15),"",(ChemData!B15))</f>
        <v/>
      </c>
      <c r="D15" s="289">
        <f>IF(TRUE=ISBLANK(ChemData!J15),"",(ChemData!J15))</f>
        <v>0.66</v>
      </c>
      <c r="E15" s="290">
        <f>IF(TRUE=ISBLANK(ChemData!Q15),"",(ChemData!Q15))</f>
        <v>40</v>
      </c>
      <c r="F15" s="290">
        <f>IF(TRUE=ISBLANK(ChemData!S15),"",(ChemData!S15))</f>
        <v>0.2</v>
      </c>
      <c r="G15" s="865">
        <f>IF(OR(TRUE=ISBLANK(ChemData!AA15),ChemData!AA15="NA",ChemData!AA15=0),ChemData!Z15,(ChemData!AA15))</f>
        <v>325.33631784013562</v>
      </c>
      <c r="H15" s="685" t="str">
        <f>IF(Start!$C$17="x",(IF(OR(C15="NA",C15=""),"NA",IF(OR(F15="NA",F15="",F15=0),"NA",C15/((Data!$D$10/100)/F15)))),"---")</f>
        <v>NA</v>
      </c>
      <c r="I15" s="376" t="str">
        <f>IF(Start!$C$17="x",(IF($E15 = "NA", "NA", (IF(H15 = "NA", "NA",(IF(OR(ChemData!U15="NA",ChemData!U15=""),H15/((Data!$D$18+$E15*(1-Data!$D$18)*Data!$D$14)/(1000*(1-Data!$D$18)*Data!$D$14)),(IF(H15/((Data!$D$18+$E15*(1-Data!$D$18)*Data!$D$14)/(1000*(1-Data!$D$18)*Data!$D$14))&gt;ChemData!U15, ChemData!U15,H15/((Data!$D$18+$E15*(1-Data!$D$18)*Data!$D$14)/(1000*(1-Data!$D$18)*Data!$D$14)))))))))),"---")</f>
        <v>NA</v>
      </c>
      <c r="J15" s="870" t="str">
        <f>IF(Start!$C$17="x",IF(OR(I15="NA",I15="",ChemData!W15="NA",ChemData!W15=""),"NA",I15/ChemData!W15),"---")</f>
        <v>NA</v>
      </c>
      <c r="K15" s="870" t="str">
        <f>IF(Start!$C$17="x",IF(J15="NA","NA",IF(Data!$D$68&lt;ChemData!X15,J15*(Data!$D$68/ChemData!X15),J15)),"---")</f>
        <v>NA</v>
      </c>
      <c r="L15" s="870" t="str">
        <f>IF(Start!$C$17="x",IF(OR(I15="NA",I15="",ChemData!Z15="NA",ChemData!Z15=""),"NA",I15/ChemData!Z15),"---")</f>
        <v>NA</v>
      </c>
      <c r="M15" s="870" t="str">
        <f>IF(Start!$C$17="x",IF(OR(I15="NA",I15="",ChemData!Y15="NA",ChemData!Y15=""),"NA",I15/ChemData!Y15),"---")</f>
        <v>NA</v>
      </c>
      <c r="N15" s="870" t="str">
        <f>IF(Start!$C$17="x",IF(OR(I15="NA",I15="",G15="NA",G15=""),"NA",I15/G15),"---")</f>
        <v>NA</v>
      </c>
      <c r="O15" s="794" t="str">
        <f>IF(Start!$C$17="x",(IF(C15="","",(IF(N15="NA","NA",IF(D15="NA","NA",IF(D15=0,"NA",(N15/D15))))))),"Not Req.")</f>
        <v/>
      </c>
    </row>
    <row r="16" spans="1:15" s="10" customFormat="1" x14ac:dyDescent="0.25">
      <c r="A16" s="405" t="s">
        <v>334</v>
      </c>
      <c r="B16" s="868" t="str">
        <f>IF(Start!$C$17="x",(IF($C16="NA","NA",(IF(C16="","",(IF(AND(N16="NA",C16&lt;&gt;"NA",D16&lt;&gt;"NA"),"Missing Data",(IF(OR(D16 = "NA",D16=""),"No Criteria",(IF(N16&lt;D16,IF(OR(I16&lt;D16,ChemData!AA16&lt;&gt;""),"No-1",IF(M16&lt;D16,"No-2","No-3")),"Needed")))))))))),"---")</f>
        <v/>
      </c>
      <c r="C16" s="426" t="str">
        <f>IF(TRUE=ISBLANK(ChemData!B16),"",(ChemData!B16))</f>
        <v/>
      </c>
      <c r="D16" s="289">
        <f>IF(TRUE=ISBLANK(ChemData!J16),"",(ChemData!J16))</f>
        <v>1.6</v>
      </c>
      <c r="E16" s="290">
        <f>IF(TRUE=ISBLANK(ChemData!Q16),"",(ChemData!Q16))</f>
        <v>3</v>
      </c>
      <c r="F16" s="290" t="str">
        <f>IF(TRUE=ISBLANK(ChemData!S16),"",(ChemData!S16))</f>
        <v>NA</v>
      </c>
      <c r="G16" s="865">
        <f>IF(OR(TRUE=ISBLANK(ChemData!AA16),ChemData!AA16="NA",ChemData!AA16=0),ChemData!Z16,(ChemData!AA16))</f>
        <v>11.086491029477838</v>
      </c>
      <c r="H16" s="685" t="str">
        <f>IF(Start!$C$17="x",(IF(OR(C16="NA",C16=""),"NA",IF(OR(F16="NA",F16="",F16=0),"NA",C16/((Data!$D$10/100)/F16)))),"---")</f>
        <v>NA</v>
      </c>
      <c r="I16" s="376" t="str">
        <f>IF(Start!$C$17="x",(IF($E16 = "NA", "NA", (IF(H16 = "NA", "NA",(IF(OR(ChemData!U16="NA",ChemData!U16=""),H16/((Data!$D$18+$E16*(1-Data!$D$18)*Data!$D$14)/(1000*(1-Data!$D$18)*Data!$D$14)),(IF(H16/((Data!$D$18+$E16*(1-Data!$D$18)*Data!$D$14)/(1000*(1-Data!$D$18)*Data!$D$14))&gt;ChemData!U16, ChemData!U16,H16/((Data!$D$18+$E16*(1-Data!$D$18)*Data!$D$14)/(1000*(1-Data!$D$18)*Data!$D$14)))))))))),"---")</f>
        <v>NA</v>
      </c>
      <c r="J16" s="870" t="str">
        <f>IF(Start!$C$17="x",IF(OR(I16="NA",I16="",ChemData!W16="NA",ChemData!W16=""),"NA",I16/ChemData!W16),"---")</f>
        <v>NA</v>
      </c>
      <c r="K16" s="870" t="str">
        <f>IF(Start!$C$17="x",IF(J16="NA","NA",IF(Data!$D$68&lt;ChemData!X16,J16*(Data!$D$68/ChemData!X16),J16)),"---")</f>
        <v>NA</v>
      </c>
      <c r="L16" s="870" t="str">
        <f>IF(Start!$C$17="x",IF(OR(I16="NA",I16="",ChemData!Z16="NA",ChemData!Z16=""),"NA",I16/ChemData!Z16),"---")</f>
        <v>NA</v>
      </c>
      <c r="M16" s="870" t="str">
        <f>IF(Start!$C$17="x",IF(OR(I16="NA",I16="",ChemData!Y16="NA",ChemData!Y16=""),"NA",I16/ChemData!Y16),"---")</f>
        <v>NA</v>
      </c>
      <c r="N16" s="870" t="str">
        <f>IF(Start!$C$17="x",IF(OR(I16="NA",I16="",G16="NA",G16=""),"NA",I16/G16),"---")</f>
        <v>NA</v>
      </c>
      <c r="O16" s="794" t="str">
        <f>IF(Start!$C$17="x",(IF(C16="","",(IF(N16="NA","NA",IF(D16="NA","NA",IF(D16=0,"NA",(N16/D16))))))),"Not Req.")</f>
        <v/>
      </c>
    </row>
    <row r="17" spans="1:15" s="10" customFormat="1" x14ac:dyDescent="0.25">
      <c r="A17" s="405" t="s">
        <v>335</v>
      </c>
      <c r="B17" s="868" t="str">
        <f>IF(Start!$C$17="x",(IF($C17="NA","NA",(IF(C17="","",(IF(AND(N17="NA",C17&lt;&gt;"NA",D17&lt;&gt;"NA"),"Missing Data",(IF(OR(D17 = "NA",D17=""),"No Criteria",(IF(N17&lt;D17,IF(OR(I17&lt;D17,ChemData!AA17&lt;&gt;""),"No-1",IF(M17&lt;D17,"No-2","No-3")),"Needed")))))))))),"---")</f>
        <v/>
      </c>
      <c r="C17" s="426" t="str">
        <f>IF(TRUE=ISBLANK(ChemData!B17),"",(ChemData!B17))</f>
        <v/>
      </c>
      <c r="D17" s="289">
        <f>IF(TRUE=ISBLANK(ChemData!J17),"",(ChemData!J17))</f>
        <v>2.2000000000000002</v>
      </c>
      <c r="E17" s="290">
        <f>IF(TRUE=ISBLANK(ChemData!Q17),"",(ChemData!Q17))</f>
        <v>60</v>
      </c>
      <c r="F17" s="290">
        <f>IF(TRUE=ISBLANK(ChemData!S17),"",(ChemData!S17))</f>
        <v>0.05</v>
      </c>
      <c r="G17" s="865">
        <f>IF(OR(TRUE=ISBLANK(ChemData!AA17),ChemData!AA17="NA",ChemData!AA17=0),ChemData!Z17,(ChemData!AA17))</f>
        <v>590.11032110604469</v>
      </c>
      <c r="H17" s="685" t="str">
        <f>IF(Start!$C$17="x",(IF(OR(C17="NA",C17=""),"NA",IF(OR(F17="NA",F17="",F17=0),"NA",C17/((Data!$D$10/100)/F17)))),"---")</f>
        <v>NA</v>
      </c>
      <c r="I17" s="376" t="str">
        <f>IF(Start!$C$17="x",(IF($E17 = "NA", "NA", (IF(H17 = "NA", "NA",(IF(OR(ChemData!U17="NA",ChemData!U17=""),H17/((Data!$D$18+$E17*(1-Data!$D$18)*Data!$D$14)/(1000*(1-Data!$D$18)*Data!$D$14)),(IF(H17/((Data!$D$18+$E17*(1-Data!$D$18)*Data!$D$14)/(1000*(1-Data!$D$18)*Data!$D$14))&gt;ChemData!U17, ChemData!U17,H17/((Data!$D$18+$E17*(1-Data!$D$18)*Data!$D$14)/(1000*(1-Data!$D$18)*Data!$D$14)))))))))),"---")</f>
        <v>NA</v>
      </c>
      <c r="J17" s="870" t="str">
        <f>IF(Start!$C$17="x",IF(OR(I17="NA",I17="",ChemData!W17="NA",ChemData!W17=""),"NA",I17/ChemData!W17),"---")</f>
        <v>NA</v>
      </c>
      <c r="K17" s="870" t="str">
        <f>IF(Start!$C$17="x",IF(J17="NA","NA",IF(Data!$D$68&lt;ChemData!X17,J17*(Data!$D$68/ChemData!X17),J17)),"---")</f>
        <v>NA</v>
      </c>
      <c r="L17" s="870" t="str">
        <f>IF(Start!$C$17="x",IF(OR(I17="NA",I17="",ChemData!Z17="NA",ChemData!Z17=""),"NA",I17/ChemData!Z17),"---")</f>
        <v>NA</v>
      </c>
      <c r="M17" s="870" t="str">
        <f>IF(Start!$C$17="x",IF(OR(I17="NA",I17="",ChemData!Y17="NA",ChemData!Y17=""),"NA",I17/ChemData!Y17),"---")</f>
        <v>NA</v>
      </c>
      <c r="N17" s="870" t="str">
        <f>IF(Start!$C$17="x",IF(OR(I17="NA",I17="",G17="NA",G17=""),"NA",I17/G17),"---")</f>
        <v>NA</v>
      </c>
      <c r="O17" s="794" t="str">
        <f>IF(Start!$C$17="x",(IF(C17="","",(IF(N17="NA","NA",IF(D17="NA","NA",IF(D17=0,"NA",(N17/D17))))))),"Not Req.")</f>
        <v/>
      </c>
    </row>
    <row r="18" spans="1:15" s="10" customFormat="1" x14ac:dyDescent="0.25">
      <c r="A18" s="405" t="s">
        <v>336</v>
      </c>
      <c r="B18" s="868" t="str">
        <f>IF(Start!$C$17="x",(IF($C18="NA","NA",(IF(C18="","",(IF(AND(N18="NA",C18&lt;&gt;"NA",D18&lt;&gt;"NA"),"Missing Data",(IF(OR(D18 = "NA",D18=""),"No Criteria",(IF(N18&lt;D18,IF(OR(I18&lt;D18,ChemData!AA18&lt;&gt;""),"No-1",IF(M18&lt;D18,"No-2","No-3")),"Needed")))))))))),"---")</f>
        <v/>
      </c>
      <c r="C18" s="426" t="str">
        <f>IF(TRUE=ISBLANK(ChemData!B18),"",(ChemData!B18))</f>
        <v/>
      </c>
      <c r="D18" s="289">
        <f>IF(TRUE=ISBLANK(ChemData!J18),"",(ChemData!J18))</f>
        <v>74</v>
      </c>
      <c r="E18" s="290">
        <f>IF(TRUE=ISBLANK(ChemData!Q18),"",(ChemData!Q18))</f>
        <v>200</v>
      </c>
      <c r="F18" s="290">
        <f>IF(TRUE=ISBLANK(ChemData!S18),"",(ChemData!S18))</f>
        <v>6.0000000000000001E-3</v>
      </c>
      <c r="G18" s="865">
        <f>IF(OR(TRUE=ISBLANK(ChemData!AA18),ChemData!AA18="NA",ChemData!AA18=0),ChemData!Z18,(ChemData!AA18))</f>
        <v>3457.8987341529969</v>
      </c>
      <c r="H18" s="685" t="str">
        <f>IF(Start!$C$17="x",(IF(OR(C18="NA",C18=""),"NA",IF(OR(F18="NA",F18="",F18=0),"NA",C18/((Data!$D$10/100)/F18)))),"---")</f>
        <v>NA</v>
      </c>
      <c r="I18" s="376" t="str">
        <f>IF(Start!$C$17="x",(IF($E18 = "NA", "NA", (IF(H18 = "NA", "NA",(IF(OR(ChemData!U18="NA",ChemData!U18=""),H18/((Data!$D$18+$E18*(1-Data!$D$18)*Data!$D$14)/(1000*(1-Data!$D$18)*Data!$D$14)),(IF(H18/((Data!$D$18+$E18*(1-Data!$D$18)*Data!$D$14)/(1000*(1-Data!$D$18)*Data!$D$14))&gt;ChemData!U18, ChemData!U18,H18/((Data!$D$18+$E18*(1-Data!$D$18)*Data!$D$14)/(1000*(1-Data!$D$18)*Data!$D$14)))))))))),"---")</f>
        <v>NA</v>
      </c>
      <c r="J18" s="870" t="str">
        <f>IF(Start!$C$17="x",IF(OR(I18="NA",I18="",ChemData!W18="NA",ChemData!W18=""),"NA",I18/ChemData!W18),"---")</f>
        <v>NA</v>
      </c>
      <c r="K18" s="870" t="str">
        <f>IF(Start!$C$17="x",IF(J18="NA","NA",IF(Data!$D$68&lt;ChemData!X18,J18*(Data!$D$68/ChemData!X18),J18)),"---")</f>
        <v>NA</v>
      </c>
      <c r="L18" s="870" t="str">
        <f>IF(Start!$C$17="x",IF(OR(I18="NA",I18="",ChemData!Z18="NA",ChemData!Z18=""),"NA",I18/ChemData!Z18),"---")</f>
        <v>NA</v>
      </c>
      <c r="M18" s="870" t="str">
        <f>IF(Start!$C$17="x",IF(OR(I18="NA",I18="",ChemData!Y18="NA",ChemData!Y18=""),"NA",I18/ChemData!Y18),"---")</f>
        <v>NA</v>
      </c>
      <c r="N18" s="870" t="str">
        <f>IF(Start!$C$17="x",IF(OR(I18="NA",I18="",G18="NA",G18=""),"NA",I18/G18),"---")</f>
        <v>NA</v>
      </c>
      <c r="O18" s="794" t="str">
        <f>IF(Start!$C$17="x",(IF(C18="","",(IF(N18="NA","NA",IF(D18="NA","NA",IF(D18=0,"NA",(N18/D18))))))),"Not Req.")</f>
        <v/>
      </c>
    </row>
    <row r="19" spans="1:15" s="10" customFormat="1" x14ac:dyDescent="0.25">
      <c r="A19" s="947" t="s">
        <v>337</v>
      </c>
      <c r="B19" s="961" t="str">
        <f>IF(Start!$C$17="x",(IF($C19="NA","NA",(IF(C19="","",(IF(AND(N19="NA",C19&lt;&gt;"NA",D19&lt;&gt;"NA"),"Missing Data",(IF(OR(D19 = "NA",D19=""),"No Criteria",(IF(N19&lt;D19,IF(OR(I19&lt;D19,ChemData!AA19&lt;&gt;""),"No-1",IF(M19&lt;D19,"No-2","No-3")),"Needed")))))))))),"---")</f>
        <v/>
      </c>
      <c r="C19" s="962" t="str">
        <f>IF(TRUE=ISBLANK(ChemData!B19),"",(ChemData!B19))</f>
        <v/>
      </c>
      <c r="D19" s="952">
        <f>IF(TRUE=ISBLANK(ChemData!J19),"",(ChemData!J19))</f>
        <v>11</v>
      </c>
      <c r="E19" s="953">
        <f>IF(TRUE=ISBLANK(ChemData!Q19),"",(ChemData!Q19))</f>
        <v>200</v>
      </c>
      <c r="F19" s="953">
        <f>IF(TRUE=ISBLANK(ChemData!S19),"",(ChemData!S19))</f>
        <v>6.0000000000000001E-3</v>
      </c>
      <c r="G19" s="963">
        <f>IF(OR(TRUE=ISBLANK(ChemData!AA19),ChemData!AA19="NA",ChemData!AA19=0),ChemData!Z19,(ChemData!AA19))</f>
        <v>3457.8987341529969</v>
      </c>
      <c r="H19" s="964" t="str">
        <f>IF(Start!$C$17="x",(IF(OR(C19="NA",C19=""),"NA",IF(OR(F19="NA",F19="",F19=0),"NA",C19/((Data!$D$10/100)/F19)))),"---")</f>
        <v>NA</v>
      </c>
      <c r="I19" s="956" t="str">
        <f>IF(Start!$C$17="x",(IF($E19 = "NA", "NA", (IF(H19 = "NA", "NA",(IF(OR(ChemData!U19="NA",ChemData!U19=""),H19/((Data!$D$18+$E19*(1-Data!$D$18)*Data!$D$14)/(1000*(1-Data!$D$18)*Data!$D$14)),(IF(H19/((Data!$D$18+$E19*(1-Data!$D$18)*Data!$D$14)/(1000*(1-Data!$D$18)*Data!$D$14))&gt;ChemData!U19, ChemData!U19,H19/((Data!$D$18+$E19*(1-Data!$D$18)*Data!$D$14)/(1000*(1-Data!$D$18)*Data!$D$14)))))))))),"---")</f>
        <v>NA</v>
      </c>
      <c r="J19" s="965" t="str">
        <f>IF(Start!$C$17="x",IF(OR(I19="NA",I19="",ChemData!W19="NA",ChemData!W19=""),"NA",I19/ChemData!W19),"---")</f>
        <v>NA</v>
      </c>
      <c r="K19" s="965" t="str">
        <f>IF(Start!$C$17="x",IF(J19="NA","NA",IF(Data!$D$68&lt;ChemData!X19,J19*(Data!$D$68/ChemData!X19),J19)),"---")</f>
        <v>NA</v>
      </c>
      <c r="L19" s="965" t="str">
        <f>IF(Start!$C$17="x",IF(OR(I19="NA",I19="",ChemData!Z19="NA",ChemData!Z19=""),"NA",I19/ChemData!Z19),"---")</f>
        <v>NA</v>
      </c>
      <c r="M19" s="965" t="str">
        <f>IF(Start!$C$17="x",IF(OR(I19="NA",I19="",ChemData!Y19="NA",ChemData!Y19=""),"NA",I19/ChemData!Y19),"---")</f>
        <v>NA</v>
      </c>
      <c r="N19" s="965" t="str">
        <f>IF(Start!$C$17="x",IF(OR(I19="NA",I19="",G19="NA",G19=""),"NA",I19/G19),"---")</f>
        <v>NA</v>
      </c>
      <c r="O19" s="966" t="str">
        <f>IF(Start!$C$17="x",(IF(C19="","",(IF(N19="NA","NA",IF(D19="NA","NA",IF(D19=0,"NA",(N19/D19))))))),"Not Req.")</f>
        <v/>
      </c>
    </row>
    <row r="20" spans="1:15" s="10" customFormat="1" x14ac:dyDescent="0.25">
      <c r="A20" s="405" t="s">
        <v>338</v>
      </c>
      <c r="B20" s="868" t="str">
        <f>IF(Start!$C$17="x",(IF($C20="NA","NA",(IF(C20="","",(IF(AND(N20="NA",C20&lt;&gt;"NA",D20&lt;&gt;"NA"),"Missing Data",(IF(OR(D20 = "NA",D20=""),"No Criteria",(IF(N20&lt;D20,IF(OR(I20&lt;D20,ChemData!AA20&lt;&gt;""),"No-1",IF(M20&lt;D20,"No-2","No-3")),"Needed")))))))))),"---")</f>
        <v/>
      </c>
      <c r="C20" s="426" t="str">
        <f>IF(TRUE=ISBLANK(ChemData!B20),"",(ChemData!B20))</f>
        <v/>
      </c>
      <c r="D20" s="289">
        <f>IF(TRUE=ISBLANK(ChemData!J20),"",(ChemData!J20))</f>
        <v>23</v>
      </c>
      <c r="E20" s="290">
        <f>IF(TRUE=ISBLANK(ChemData!Q20),"",(ChemData!Q20))</f>
        <v>800</v>
      </c>
      <c r="F20" s="290">
        <f>IF(TRUE=ISBLANK(ChemData!S20),"",(ChemData!S20))</f>
        <v>1</v>
      </c>
      <c r="G20" s="865">
        <f>IF(OR(TRUE=ISBLANK(ChemData!AA20),ChemData!AA20="NA",ChemData!AA20=0),ChemData!Z20,(ChemData!AA20))</f>
        <v>26483.402389907125</v>
      </c>
      <c r="H20" s="685" t="str">
        <f>IF(Start!$C$17="x",(IF(OR(C20="NA",C20=""),"NA",IF(OR(F20="NA",F20="",F20=0),"NA",C20/((Data!$D$10/100)/F20)))),"---")</f>
        <v>NA</v>
      </c>
      <c r="I20" s="376" t="str">
        <f>IF(Start!$C$17="x",(IF($E20 = "NA", "NA", (IF(H20 = "NA", "NA",(IF(OR(ChemData!U20="NA",ChemData!U20=""),H20/((Data!$D$18+$E20*(1-Data!$D$18)*Data!$D$14)/(1000*(1-Data!$D$18)*Data!$D$14)),(IF(H20/((Data!$D$18+$E20*(1-Data!$D$18)*Data!$D$14)/(1000*(1-Data!$D$18)*Data!$D$14))&gt;ChemData!U20, ChemData!U20,H20/((Data!$D$18+$E20*(1-Data!$D$18)*Data!$D$14)/(1000*(1-Data!$D$18)*Data!$D$14)))))))))),"---")</f>
        <v>NA</v>
      </c>
      <c r="J20" s="870" t="str">
        <f>IF(Start!$C$17="x",IF(OR(I20="NA",I20="",ChemData!W20="NA",ChemData!W20=""),"NA",I20/ChemData!W20),"---")</f>
        <v>NA</v>
      </c>
      <c r="K20" s="870" t="str">
        <f>IF(Start!$C$17="x",IF(J20="NA","NA",IF(Data!$D$68&lt;ChemData!X20,J20*(Data!$D$68/ChemData!X20),J20)),"---")</f>
        <v>NA</v>
      </c>
      <c r="L20" s="870" t="str">
        <f>IF(Start!$C$17="x",IF(OR(I20="NA",I20="",ChemData!Z20="NA",ChemData!Z20=""),"NA",I20/ChemData!Z20),"---")</f>
        <v>NA</v>
      </c>
      <c r="M20" s="870" t="str">
        <f>IF(Start!$C$17="x",IF(OR(I20="NA",I20="",ChemData!Y20="NA",ChemData!Y20=""),"NA",I20/ChemData!Y20),"---")</f>
        <v>NA</v>
      </c>
      <c r="N20" s="870" t="str">
        <f>IF(Start!$C$17="x",IF(OR(I20="NA",I20="",G20="NA",G20=""),"NA",I20/G20),"---")</f>
        <v>NA</v>
      </c>
      <c r="O20" s="794" t="str">
        <f>IF(Start!$C$17="x",(IF(C20="","",(IF(N20="NA","NA",IF(D20="NA","NA",IF(D20=0,"NA",(N20/D20))))))),"Not Req.")</f>
        <v/>
      </c>
    </row>
    <row r="21" spans="1:15" s="10" customFormat="1" x14ac:dyDescent="0.25">
      <c r="A21" s="405" t="s">
        <v>339</v>
      </c>
      <c r="B21" s="868" t="str">
        <f>IF(Start!$C$17="x",(IF($C21="NA","NA",(IF(C21="","",(IF(AND(N21="NA",C21&lt;&gt;"NA",D21&lt;&gt;"NA"),"Missing Data",(IF(OR(D21 = "NA",D21=""),"No Criteria",(IF(N21&lt;D21,IF(OR(I21&lt;D21,ChemData!AA21&lt;&gt;""),"No-1",IF(M21&lt;D21,"No-2","No-3")),"Needed")))))))))),"---")</f>
        <v/>
      </c>
      <c r="C21" s="426" t="str">
        <f>IF(TRUE=ISBLANK(ChemData!B21),"",(ChemData!B21))</f>
        <v/>
      </c>
      <c r="D21" s="289">
        <f>IF(TRUE=ISBLANK(ChemData!J21),"",(ChemData!J21))</f>
        <v>9</v>
      </c>
      <c r="E21" s="290">
        <f>IF(TRUE=ISBLANK(ChemData!Q21),"",(ChemData!Q21))</f>
        <v>120</v>
      </c>
      <c r="F21" s="290">
        <f>IF(TRUE=ISBLANK(ChemData!S21),"",(ChemData!S21))</f>
        <v>0.03</v>
      </c>
      <c r="G21" s="865">
        <f>IF(OR(TRUE=ISBLANK(ChemData!AA21),ChemData!AA21="NA",ChemData!AA21=0),ChemData!Z21,(ChemData!AA21))</f>
        <v>1633.1044600567052</v>
      </c>
      <c r="H21" s="685" t="str">
        <f>IF(Start!$C$17="x",(IF(OR(C21="NA",C21=""),"NA",IF(OR(F21="NA",F21="",F21=0),"NA",C21/((Data!$D$10/100)/F21)))),"---")</f>
        <v>NA</v>
      </c>
      <c r="I21" s="376" t="str">
        <f>IF(Start!$C$17="x",(IF($E21 = "NA", "NA", (IF(H21 = "NA", "NA",(IF(OR(ChemData!U21="NA",ChemData!U21=""),H21/((Data!$D$18+$E21*(1-Data!$D$18)*Data!$D$14)/(1000*(1-Data!$D$18)*Data!$D$14)),(IF(H21/((Data!$D$18+$E21*(1-Data!$D$18)*Data!$D$14)/(1000*(1-Data!$D$18)*Data!$D$14))&gt;ChemData!U21, ChemData!U21,H21/((Data!$D$18+$E21*(1-Data!$D$18)*Data!$D$14)/(1000*(1-Data!$D$18)*Data!$D$14)))))))))),"---")</f>
        <v>NA</v>
      </c>
      <c r="J21" s="870" t="str">
        <f>IF(Start!$C$17="x",IF(OR(I21="NA",I21="",ChemData!W21="NA",ChemData!W21=""),"NA",I21/ChemData!W21),"---")</f>
        <v>NA</v>
      </c>
      <c r="K21" s="870" t="str">
        <f>IF(Start!$C$17="x",IF(J21="NA","NA",IF(Data!$D$68&lt;ChemData!X21,J21*(Data!$D$68/ChemData!X21),J21)),"---")</f>
        <v>NA</v>
      </c>
      <c r="L21" s="870" t="str">
        <f>IF(Start!$C$17="x",IF(OR(I21="NA",I21="",ChemData!Z21="NA",ChemData!Z21=""),"NA",I21/ChemData!Z21),"---")</f>
        <v>NA</v>
      </c>
      <c r="M21" s="870" t="str">
        <f>IF(Start!$C$17="x",IF(OR(I21="NA",I21="",ChemData!Y21="NA",ChemData!Y21=""),"NA",I21/ChemData!Y21),"---")</f>
        <v>NA</v>
      </c>
      <c r="N21" s="870" t="str">
        <f>IF(Start!$C$17="x",IF(OR(I21="NA",I21="",G21="NA",G21=""),"NA",I21/G21),"---")</f>
        <v>NA</v>
      </c>
      <c r="O21" s="794" t="str">
        <f>IF(Start!$C$17="x",(IF(C21="","",(IF(N21="NA","NA",IF(D21="NA","NA",IF(D21=0,"NA",(N21/D21))))))),"Not Req.")</f>
        <v/>
      </c>
    </row>
    <row r="22" spans="1:15" s="10" customFormat="1" x14ac:dyDescent="0.25">
      <c r="A22" s="405" t="s">
        <v>340</v>
      </c>
      <c r="B22" s="868" t="str">
        <f>IF(Start!$C$17="x",(IF($C22="NA","NA",(IF(C22="","",(IF(AND(N22="NA",C22&lt;&gt;"NA",D22&lt;&gt;"NA"),"Missing Data",(IF(OR(D22 = "NA",D22=""),"No Criteria",(IF(N22&lt;D22,IF(OR(I22&lt;D22,ChemData!AA22&lt;&gt;""),"No-1",IF(M22&lt;D22,"No-2","No-3")),"Needed")))))))))),"---")</f>
        <v/>
      </c>
      <c r="C22" s="426" t="str">
        <f>IF(TRUE=ISBLANK(ChemData!B22),"",(ChemData!B22))</f>
        <v/>
      </c>
      <c r="D22" s="289">
        <f>IF(TRUE=ISBLANK(ChemData!J22),"",(ChemData!J22))</f>
        <v>1000</v>
      </c>
      <c r="E22" s="290">
        <f>IF(TRUE=ISBLANK(ChemData!Q22),"",(ChemData!Q22))</f>
        <v>25</v>
      </c>
      <c r="F22" s="290" t="str">
        <f>IF(TRUE=ISBLANK(ChemData!S22),"",(ChemData!S22))</f>
        <v>NA</v>
      </c>
      <c r="G22" s="865">
        <f>IF(OR(TRUE=ISBLANK(ChemData!AA22),ChemData!AA22="NA",ChemData!AA22=0),ChemData!Z22,(ChemData!AA22))</f>
        <v>163.14358734411081</v>
      </c>
      <c r="H22" s="685" t="str">
        <f>IF(Start!$C$17="x",(IF(OR(C22="NA",C22=""),"NA",IF(OR(F22="NA",F22="",F22=0),"NA",C22/((Data!$D$10/100)/F22)))),"---")</f>
        <v>NA</v>
      </c>
      <c r="I22" s="376" t="str">
        <f>IF(Start!$C$17="x",(IF($E22 = "NA", "NA", (IF(H22 = "NA", "NA",(IF(OR(ChemData!U22="NA",ChemData!U22=""),H22/((Data!$D$18+$E22*(1-Data!$D$18)*Data!$D$14)/(1000*(1-Data!$D$18)*Data!$D$14)),(IF(H22/((Data!$D$18+$E22*(1-Data!$D$18)*Data!$D$14)/(1000*(1-Data!$D$18)*Data!$D$14))&gt;ChemData!U22, ChemData!U22,H22/((Data!$D$18+$E22*(1-Data!$D$18)*Data!$D$14)/(1000*(1-Data!$D$18)*Data!$D$14)))))))))),"---")</f>
        <v>NA</v>
      </c>
      <c r="J22" s="870" t="str">
        <f>IF(Start!$C$17="x",IF(OR(I22="NA",I22="",ChemData!W22="NA",ChemData!W22=""),"NA",I22/ChemData!W22),"---")</f>
        <v>NA</v>
      </c>
      <c r="K22" s="870" t="str">
        <f>IF(Start!$C$17="x",IF(J22="NA","NA",IF(Data!$D$68&lt;ChemData!X22,J22*(Data!$D$68/ChemData!X22),J22)),"---")</f>
        <v>NA</v>
      </c>
      <c r="L22" s="870" t="str">
        <f>IF(Start!$C$17="x",IF(OR(I22="NA",I22="",ChemData!Z22="NA",ChemData!Z22=""),"NA",I22/ChemData!Z22),"---")</f>
        <v>NA</v>
      </c>
      <c r="M22" s="870" t="str">
        <f>IF(Start!$C$17="x",IF(OR(I22="NA",I22="",ChemData!Y22="NA",ChemData!Y22=""),"NA",I22/ChemData!Y22),"---")</f>
        <v>NA</v>
      </c>
      <c r="N22" s="870" t="str">
        <f>IF(Start!$C$17="x",IF(OR(I22="NA",I22="",G22="NA",G22=""),"NA",I22/G22),"---")</f>
        <v>NA</v>
      </c>
      <c r="O22" s="794" t="str">
        <f>IF(Start!$C$17="x",(IF(C22="","",(IF(N22="NA","NA",IF(D22="NA","NA",IF(D22=0,"NA",(N22/D22))))))),"Not Req.")</f>
        <v/>
      </c>
    </row>
    <row r="23" spans="1:15" s="10" customFormat="1" x14ac:dyDescent="0.25">
      <c r="A23" s="405" t="s">
        <v>341</v>
      </c>
      <c r="B23" s="868" t="str">
        <f>IF(Start!$C$17="x",(IF($C23="NA","NA",(IF(C23="","",(IF(AND(N23="NA",C23&lt;&gt;"NA",D23&lt;&gt;"NA"),"Missing Data",(IF(OR(D23 = "NA",D23=""),"No Criteria",(IF(N23&lt;D23,IF(OR(I23&lt;D23,ChemData!AA23&lt;&gt;""),"No-1",IF(M23&lt;D23,"No-2","No-3")),"Needed")))))))))),"---")</f>
        <v/>
      </c>
      <c r="C23" s="426" t="str">
        <f>IF(TRUE=ISBLANK(ChemData!B23),"",(ChemData!B23))</f>
        <v/>
      </c>
      <c r="D23" s="289">
        <f>IF(TRUE=ISBLANK(ChemData!J23),"",(ChemData!J23))</f>
        <v>2.5</v>
      </c>
      <c r="E23" s="290">
        <f>IF(TRUE=ISBLANK(ChemData!Q23),"",(ChemData!Q23))</f>
        <v>300</v>
      </c>
      <c r="F23" s="290">
        <f>IF(TRUE=ISBLANK(ChemData!S23),"",(ChemData!S23))</f>
        <v>0.05</v>
      </c>
      <c r="G23" s="865">
        <f>IF(OR(TRUE=ISBLANK(ChemData!AA23),ChemData!AA23="NA",ChemData!AA23=0),ChemData!Z23,(ChemData!AA23))</f>
        <v>6272.0994259420431</v>
      </c>
      <c r="H23" s="685" t="str">
        <f>IF(Start!$C$17="x",(IF(OR(C23="NA",C23=""),"NA",IF(OR(F23="NA",F23="",F23=0),"NA",C23/((Data!$D$10/100)/F23)))),"---")</f>
        <v>NA</v>
      </c>
      <c r="I23" s="376" t="str">
        <f>IF(Start!$C$17="x",(IF($E23 = "NA", "NA", (IF(H23 = "NA", "NA",(IF(OR(ChemData!U23="NA",ChemData!U23=""),H23/((Data!$D$18+$E23*(1-Data!$D$18)*Data!$D$14)/(1000*(1-Data!$D$18)*Data!$D$14)),(IF(H23/((Data!$D$18+$E23*(1-Data!$D$18)*Data!$D$14)/(1000*(1-Data!$D$18)*Data!$D$14))&gt;ChemData!U23, ChemData!U23,H23/((Data!$D$18+$E23*(1-Data!$D$18)*Data!$D$14)/(1000*(1-Data!$D$18)*Data!$D$14)))))))))),"---")</f>
        <v>NA</v>
      </c>
      <c r="J23" s="870" t="str">
        <f>IF(Start!$C$17="x",IF(OR(I23="NA",I23="",ChemData!W23="NA",ChemData!W23=""),"NA",I23/ChemData!W23),"---")</f>
        <v>NA</v>
      </c>
      <c r="K23" s="870" t="str">
        <f>IF(Start!$C$17="x",IF(J23="NA","NA",IF(Data!$D$68&lt;ChemData!X23,J23*(Data!$D$68/ChemData!X23),J23)),"---")</f>
        <v>NA</v>
      </c>
      <c r="L23" s="870" t="str">
        <f>IF(Start!$C$17="x",IF(OR(I23="NA",I23="",ChemData!Z23="NA",ChemData!Z23=""),"NA",I23/ChemData!Z23),"---")</f>
        <v>NA</v>
      </c>
      <c r="M23" s="870" t="str">
        <f>IF(Start!$C$17="x",IF(OR(I23="NA",I23="",ChemData!Y23="NA",ChemData!Y23=""),"NA",I23/ChemData!Y23),"---")</f>
        <v>NA</v>
      </c>
      <c r="N23" s="870" t="str">
        <f>IF(Start!$C$17="x",IF(OR(I23="NA",I23="",G23="NA",G23=""),"NA",I23/G23),"---")</f>
        <v>NA</v>
      </c>
      <c r="O23" s="794" t="str">
        <f>IF(Start!$C$17="x",(IF(C23="","",(IF(N23="NA","NA",IF(D23="NA","NA",IF(D23=0,"NA",(N23/D23))))))),"Not Req.")</f>
        <v/>
      </c>
    </row>
    <row r="24" spans="1:15" s="10" customFormat="1" x14ac:dyDescent="0.25">
      <c r="A24" s="405" t="s">
        <v>342</v>
      </c>
      <c r="B24" s="868" t="str">
        <f>IF(Start!$C$17="x",(IF($C24="NA","NA",(IF(C24="","",(IF(AND(N24="NA",C24&lt;&gt;"NA",D24&lt;&gt;"NA"),"Missing Data",(IF(OR(D24 = "NA",D24=""),"No Criteria",(IF(N24&lt;D24,IF(OR(I24&lt;D24,ChemData!AA24&lt;&gt;""),"No-1",IF(M24&lt;D24,"No-2","No-3")),"Needed")))))))))),"---")</f>
        <v/>
      </c>
      <c r="C24" s="426" t="str">
        <f>IF(TRUE=ISBLANK(ChemData!B24),"",(ChemData!B24))</f>
        <v/>
      </c>
      <c r="D24" s="289">
        <f>IF(TRUE=ISBLANK(ChemData!J24),"",(ChemData!J24))</f>
        <v>14</v>
      </c>
      <c r="E24" s="290">
        <f>IF(TRUE=ISBLANK(ChemData!Q24),"",(ChemData!Q24))</f>
        <v>300</v>
      </c>
      <c r="F24" s="290" t="str">
        <f>IF(TRUE=ISBLANK(ChemData!S24),"",(ChemData!S24))</f>
        <v>NA</v>
      </c>
      <c r="G24" s="865">
        <f>IF(OR(TRUE=ISBLANK(ChemData!AA24),ChemData!AA24="NA",ChemData!AA24=0),ChemData!Z24,(ChemData!AA24))</f>
        <v>6272.0994259420431</v>
      </c>
      <c r="H24" s="685" t="str">
        <f>IF(Start!$C$17="x",(IF(OR(C24="NA",C24=""),"NA",IF(OR(F24="NA",F24="",F24=0),"NA",C24/((Data!$D$10/100)/F24)))),"---")</f>
        <v>NA</v>
      </c>
      <c r="I24" s="376" t="str">
        <f>IF(Start!$C$17="x",(IF($E24 = "NA", "NA", (IF(H24 = "NA", "NA",(IF(OR(ChemData!U24="NA",ChemData!U24=""),H24/((Data!$D$18+$E24*(1-Data!$D$18)*Data!$D$14)/(1000*(1-Data!$D$18)*Data!$D$14)),(IF(H24/((Data!$D$18+$E24*(1-Data!$D$18)*Data!$D$14)/(1000*(1-Data!$D$18)*Data!$D$14))&gt;ChemData!U24, ChemData!U24,H24/((Data!$D$18+$E24*(1-Data!$D$18)*Data!$D$14)/(1000*(1-Data!$D$18)*Data!$D$14)))))))))),"---")</f>
        <v>NA</v>
      </c>
      <c r="J24" s="870" t="str">
        <f>IF(Start!$C$17="x",IF(OR(I24="NA",I24="",ChemData!W24="NA",ChemData!W24=""),"NA",I24/ChemData!W24),"---")</f>
        <v>NA</v>
      </c>
      <c r="K24" s="870" t="str">
        <f>IF(Start!$C$17="x",IF(J24="NA","NA",IF(Data!$D$68&lt;ChemData!X24,J24*(Data!$D$68/ChemData!X24),J24)),"---")</f>
        <v>NA</v>
      </c>
      <c r="L24" s="870" t="str">
        <f>IF(Start!$C$17="x",IF(OR(I24="NA",I24="",ChemData!Z24="NA",ChemData!Z24=""),"NA",I24/ChemData!Z24),"---")</f>
        <v>NA</v>
      </c>
      <c r="M24" s="870" t="str">
        <f>IF(Start!$C$17="x",IF(OR(I24="NA",I24="",ChemData!Y24="NA",ChemData!Y24=""),"NA",I24/ChemData!Y24),"---")</f>
        <v>NA</v>
      </c>
      <c r="N24" s="870" t="str">
        <f>IF(Start!$C$17="x",IF(OR(I24="NA",I24="",G24="NA",G24=""),"NA",I24/G24),"---")</f>
        <v>NA</v>
      </c>
      <c r="O24" s="794" t="str">
        <f>IF(Start!$C$17="x",(IF(C24="","",(IF(N24="NA","NA",IF(D24="NA","NA",IF(D24=0,"NA",(N24/D24))))))),"Not Req.")</f>
        <v/>
      </c>
    </row>
    <row r="25" spans="1:15" s="10" customFormat="1" x14ac:dyDescent="0.25">
      <c r="A25" s="405" t="s">
        <v>343</v>
      </c>
      <c r="B25" s="868" t="str">
        <f>IF(Start!$C$17="x",(IF($C25="NA","NA",(IF(C25="","",(IF(AND(N25="NA",C25&lt;&gt;"NA",D25&lt;&gt;"NA"),"Missing Data",(IF(OR(D25 = "NA",D25=""),"No Criteria",(IF(N25&lt;D25,IF(OR(I25&lt;D25,ChemData!AA25&lt;&gt;""),"No-1",IF(M25&lt;D25,"No-2","No-3")),"Needed")))))))))),"---")</f>
        <v/>
      </c>
      <c r="C25" s="426" t="str">
        <f>IF(TRUE=ISBLANK(ChemData!B25),"",(ChemData!B25))</f>
        <v/>
      </c>
      <c r="D25" s="289">
        <f>IF(TRUE=ISBLANK(ChemData!J25),"",(ChemData!J25))</f>
        <v>120</v>
      </c>
      <c r="E25" s="290">
        <f>IF(TRUE=ISBLANK(ChemData!Q25),"",(ChemData!Q25))</f>
        <v>65</v>
      </c>
      <c r="F25" s="290" t="str">
        <f>IF(TRUE=ISBLANK(ChemData!S25),"",(ChemData!S25))</f>
        <v>NA</v>
      </c>
      <c r="G25" s="865">
        <f>IF(OR(TRUE=ISBLANK(ChemData!AA25),ChemData!AA25="NA",ChemData!AA25=0),ChemData!Z25,(ChemData!AA25))</f>
        <v>663.71780148978041</v>
      </c>
      <c r="H25" s="685" t="str">
        <f>IF(Start!$C$17="x",(IF(OR(C25="NA",C25=""),"NA",IF(OR(F25="NA",F25="",F25=0),"NA",C25/((Data!$D$10/100)/F25)))),"---")</f>
        <v>NA</v>
      </c>
      <c r="I25" s="376" t="str">
        <f>IF(Start!$C$17="x",(IF($E25 = "NA", "NA", (IF(H25 = "NA", "NA",(IF(OR(ChemData!U25="NA",ChemData!U25=""),H25/((Data!$D$18+$E25*(1-Data!$D$18)*Data!$D$14)/(1000*(1-Data!$D$18)*Data!$D$14)),(IF(H25/((Data!$D$18+$E25*(1-Data!$D$18)*Data!$D$14)/(1000*(1-Data!$D$18)*Data!$D$14))&gt;ChemData!U25, ChemData!U25,H25/((Data!$D$18+$E25*(1-Data!$D$18)*Data!$D$14)/(1000*(1-Data!$D$18)*Data!$D$14)))))))))),"---")</f>
        <v>NA</v>
      </c>
      <c r="J25" s="870" t="str">
        <f>IF(Start!$C$17="x",IF(OR(I25="NA",I25="",ChemData!W25="NA",ChemData!W25=""),"NA",I25/ChemData!W25),"---")</f>
        <v>NA</v>
      </c>
      <c r="K25" s="870" t="str">
        <f>IF(Start!$C$17="x",IF(J25="NA","NA",IF(Data!$D$68&lt;ChemData!X25,J25*(Data!$D$68/ChemData!X25),J25)),"---")</f>
        <v>NA</v>
      </c>
      <c r="L25" s="870" t="str">
        <f>IF(Start!$C$17="x",IF(OR(I25="NA",I25="",ChemData!Z25="NA",ChemData!Z25=""),"NA",I25/ChemData!Z25),"---")</f>
        <v>NA</v>
      </c>
      <c r="M25" s="870" t="str">
        <f>IF(Start!$C$17="x",IF(OR(I25="NA",I25="",ChemData!Y25="NA",ChemData!Y25=""),"NA",I25/ChemData!Y25),"---")</f>
        <v>NA</v>
      </c>
      <c r="N25" s="870" t="str">
        <f>IF(Start!$C$17="x",IF(OR(I25="NA",I25="",G25="NA",G25=""),"NA",I25/G25),"---")</f>
        <v>NA</v>
      </c>
      <c r="O25" s="794" t="str">
        <f>IF(Start!$C$17="x",(IF(C25="","",(IF(N25="NA","NA",IF(D25="NA","NA",IF(D25=0,"NA",(N25/D25))))))),"Not Req.")</f>
        <v/>
      </c>
    </row>
    <row r="26" spans="1:15" s="10" customFormat="1" x14ac:dyDescent="0.25">
      <c r="A26" s="405" t="s">
        <v>344</v>
      </c>
      <c r="B26" s="868" t="str">
        <f>IF(Start!$C$17="x",(IF($C26="NA","NA",(IF(C26="","",(IF(AND(N26="NA",C26&lt;&gt;"NA",D26&lt;&gt;"NA"),"Missing Data",(IF(OR(D26 = "NA",D26=""),"No Criteria",(IF(N26&lt;D26,IF(OR(I26&lt;D26,ChemData!AA26&lt;&gt;""),"No-1",IF(M26&lt;D26,"No-2","No-3")),"Needed")))))))))),"---")</f>
        <v/>
      </c>
      <c r="C26" s="426" t="str">
        <f>IF(TRUE=ISBLANK(ChemData!B26),"",(ChemData!B26))</f>
        <v/>
      </c>
      <c r="D26" s="289">
        <f>IF(TRUE=ISBLANK(ChemData!J26),"",(ChemData!J26))</f>
        <v>0.77</v>
      </c>
      <c r="E26" s="290">
        <f>IF(TRUE=ISBLANK(ChemData!Q26),"",(ChemData!Q26))</f>
        <v>100</v>
      </c>
      <c r="F26" s="290">
        <f>IF(TRUE=ISBLANK(ChemData!S26),"",(ChemData!S26))</f>
        <v>0.02</v>
      </c>
      <c r="G26" s="865">
        <f>IF(OR(TRUE=ISBLANK(ChemData!AA26),ChemData!AA26="NA",ChemData!AA26=0),ChemData!Z26,(ChemData!AA26))</f>
        <v>1249.4863508561841</v>
      </c>
      <c r="H26" s="685" t="str">
        <f>IF(Start!$C$17="x",(IF(OR(C26="NA",C26=""),"NA",IF(OR(F26="NA",F26="",F26=0),"NA",C26/((Data!$D$10/100)/F26)))),"---")</f>
        <v>NA</v>
      </c>
      <c r="I26" s="376" t="str">
        <f>IF(Start!$C$17="x",(IF($E26 = "NA", "NA", (IF(H26 = "NA", "NA",(IF(OR(ChemData!U26="NA",ChemData!U26=""),H26/((Data!$D$18+$E26*(1-Data!$D$18)*Data!$D$14)/(1000*(1-Data!$D$18)*Data!$D$14)),(IF(H26/((Data!$D$18+$E26*(1-Data!$D$18)*Data!$D$14)/(1000*(1-Data!$D$18)*Data!$D$14))&gt;ChemData!U26, ChemData!U26,H26/((Data!$D$18+$E26*(1-Data!$D$18)*Data!$D$14)/(1000*(1-Data!$D$18)*Data!$D$14)))))))))),"---")</f>
        <v>NA</v>
      </c>
      <c r="J26" s="870" t="str">
        <f>IF(Start!$C$17="x",IF(OR(I26="NA",I26="",ChemData!W26="NA",ChemData!W26=""),"NA",I26/ChemData!W26),"---")</f>
        <v>NA</v>
      </c>
      <c r="K26" s="870" t="str">
        <f>IF(Start!$C$17="x",IF(J26="NA","NA",IF(Data!$D$68&lt;ChemData!X26,J26*(Data!$D$68/ChemData!X26),J26)),"---")</f>
        <v>NA</v>
      </c>
      <c r="L26" s="870" t="str">
        <f>IF(Start!$C$17="x",IF(OR(I26="NA",I26="",ChemData!Z26="NA",ChemData!Z26=""),"NA",I26/ChemData!Z26),"---")</f>
        <v>NA</v>
      </c>
      <c r="M26" s="870" t="str">
        <f>IF(Start!$C$17="x",IF(OR(I26="NA",I26="",ChemData!Y26="NA",ChemData!Y26=""),"NA",I26/ChemData!Y26),"---")</f>
        <v>NA</v>
      </c>
      <c r="N26" s="870" t="str">
        <f>IF(Start!$C$17="x",IF(OR(I26="NA",I26="",G26="NA",G26=""),"NA",I26/G26),"---")</f>
        <v>NA</v>
      </c>
      <c r="O26" s="794" t="str">
        <f>IF(Start!$C$17="x",(IF(C26="","",(IF(N26="NA","NA",IF(D26="NA","NA",IF(D26=0,"NA",(N26/D26))))))),"Not Req.")</f>
        <v/>
      </c>
    </row>
    <row r="27" spans="1:15" s="10" customFormat="1" x14ac:dyDescent="0.25">
      <c r="A27" s="56" t="s">
        <v>345</v>
      </c>
      <c r="B27" s="868" t="str">
        <f>IF(Start!$C$17="x",(IF($C27="NA","NA",(IF(C27="","",(IF(AND(N27="NA",C27&lt;&gt;"NA",D27&lt;&gt;"NA"),"Missing Data",(IF(OR(D27 = "NA",D27=""),"No Criteria",(IF(N27&lt;D27,IF(OR(I27&lt;D27,ChemData!AA27&lt;&gt;""),"No-1",IF(M27&lt;D27,"No-2","No-3")),"Needed")))))))))),"---")</f>
        <v/>
      </c>
      <c r="C27" s="426" t="str">
        <f>IF(TRUE=ISBLANK(ChemData!B27),"",(ChemData!B27))</f>
        <v/>
      </c>
      <c r="D27" s="289">
        <f>IF(TRUE=ISBLANK(ChemData!J27),"",(ChemData!J27))</f>
        <v>370</v>
      </c>
      <c r="E27" s="290">
        <f>IF(TRUE=ISBLANK(ChemData!Q27),"",(ChemData!Q27))</f>
        <v>20</v>
      </c>
      <c r="F27" s="290" t="str">
        <f>IF(TRUE=ISBLANK(ChemData!S27),"",(ChemData!S27))</f>
        <v>NA</v>
      </c>
      <c r="G27" s="865">
        <f>IF(OR(TRUE=ISBLANK(ChemData!AA27),ChemData!AA27="NA",ChemData!AA27=0),ChemData!Z27,(ChemData!AA27))</f>
        <v>117.55789276421091</v>
      </c>
      <c r="H27" s="685" t="str">
        <f>IF(Start!$C$17="x",(IF(OR(C27="NA",C27=""),"NA",IF(OR(F27="NA",F27="",F27=0),"NA",C27/((Data!$D$10/100)/F27)))),"---")</f>
        <v>NA</v>
      </c>
      <c r="I27" s="376" t="str">
        <f>IF(Start!$C$17="x",(IF($E27 = "NA", "NA", (IF(H27 = "NA", "NA",(IF(OR(ChemData!U27="NA",ChemData!U27=""),H27/((Data!$D$18+$E27*(1-Data!$D$18)*Data!$D$14)/(1000*(1-Data!$D$18)*Data!$D$14)),(IF(H27/((Data!$D$18+$E27*(1-Data!$D$18)*Data!$D$14)/(1000*(1-Data!$D$18)*Data!$D$14))&gt;ChemData!U27, ChemData!U27,H27/((Data!$D$18+$E27*(1-Data!$D$18)*Data!$D$14)/(1000*(1-Data!$D$18)*Data!$D$14)))))))))),"---")</f>
        <v>NA</v>
      </c>
      <c r="J27" s="870" t="str">
        <f>IF(Start!$C$17="x",IF(OR(I27="NA",I27="",ChemData!W27="NA",ChemData!W27=""),"NA",I27/ChemData!W27),"---")</f>
        <v>NA</v>
      </c>
      <c r="K27" s="870" t="str">
        <f>IF(Start!$C$17="x",IF(J27="NA","NA",IF(Data!$D$68&lt;ChemData!X27,J27*(Data!$D$68/ChemData!X27),J27)),"---")</f>
        <v>NA</v>
      </c>
      <c r="L27" s="870" t="str">
        <f>IF(Start!$C$17="x",IF(OR(I27="NA",I27="",ChemData!Z27="NA",ChemData!Z27=""),"NA",I27/ChemData!Z27),"---")</f>
        <v>NA</v>
      </c>
      <c r="M27" s="870" t="str">
        <f>IF(Start!$C$17="x",IF(OR(I27="NA",I27="",ChemData!Y27="NA",ChemData!Y27=""),"NA",I27/ChemData!Y27),"---")</f>
        <v>NA</v>
      </c>
      <c r="N27" s="870" t="str">
        <f>IF(Start!$C$17="x",IF(OR(I27="NA",I27="",G27="NA",G27=""),"NA",I27/G27),"---")</f>
        <v>NA</v>
      </c>
      <c r="O27" s="794" t="str">
        <f>IF(Start!$C$17="x",(IF(C27="","",(IF(N27="NA","NA",IF(D27="NA","NA",IF(D27=0,"NA",(N27/D27))))))),"Not Req.")</f>
        <v/>
      </c>
    </row>
    <row r="28" spans="1:15" s="10" customFormat="1" x14ac:dyDescent="0.25">
      <c r="A28" s="405" t="s">
        <v>346</v>
      </c>
      <c r="B28" s="868" t="str">
        <f>IF(Start!$C$17="x",(IF($C28="NA","NA",(IF(C28="","",(IF(AND(N28="NA",C28&lt;&gt;"NA",D28&lt;&gt;"NA"),"Missing Data",(IF(OR(D28 = "NA",D28=""),"No Criteria",(IF(N28&lt;D28,IF(OR(I28&lt;D28,ChemData!AA28&lt;&gt;""),"No-1",IF(M28&lt;D28,"No-2","No-3")),"Needed")))))))))),"---")</f>
        <v/>
      </c>
      <c r="C28" s="426" t="str">
        <f>IF(TRUE=ISBLANK(ChemData!B28),"",(ChemData!B28))</f>
        <v/>
      </c>
      <c r="D28" s="289">
        <f>IF(TRUE=ISBLANK(ChemData!J28),"",(ChemData!J28))</f>
        <v>52</v>
      </c>
      <c r="E28" s="290">
        <f>IF(TRUE=ISBLANK(ChemData!Q28),"",(ChemData!Q28))</f>
        <v>70</v>
      </c>
      <c r="F28" s="290">
        <f>IF(TRUE=ISBLANK(ChemData!S28),"",(ChemData!S28))</f>
        <v>0.02</v>
      </c>
      <c r="G28" s="865">
        <f>IF(OR(TRUE=ISBLANK(ChemData!AA28),ChemData!AA28="NA",ChemData!AA28=0),ChemData!Z28,(ChemData!AA28))</f>
        <v>740.02879706122064</v>
      </c>
      <c r="H28" s="685" t="str">
        <f>IF(Start!$C$17="x",(IF(OR(C28="NA",C28=""),"NA",IF(OR(F28="NA",F28="",F28=0),"NA",C28/((Data!$D$10/100)/F28)))),"---")</f>
        <v>NA</v>
      </c>
      <c r="I28" s="376" t="str">
        <f>IF(Start!$C$17="x",(IF($E28 = "NA", "NA", (IF(H28 = "NA", "NA",(IF(OR(ChemData!U28="NA",ChemData!U28=""),H28/((Data!$D$18+$E28*(1-Data!$D$18)*Data!$D$14)/(1000*(1-Data!$D$18)*Data!$D$14)),(IF(H28/((Data!$D$18+$E28*(1-Data!$D$18)*Data!$D$14)/(1000*(1-Data!$D$18)*Data!$D$14))&gt;ChemData!U28, ChemData!U28,H28/((Data!$D$18+$E28*(1-Data!$D$18)*Data!$D$14)/(1000*(1-Data!$D$18)*Data!$D$14)))))))))),"---")</f>
        <v>NA</v>
      </c>
      <c r="J28" s="870" t="str">
        <f>IF(Start!$C$17="x",IF(OR(I28="NA",I28="",ChemData!W28="NA",ChemData!W28=""),"NA",I28/ChemData!W28),"---")</f>
        <v>NA</v>
      </c>
      <c r="K28" s="870" t="str">
        <f>IF(Start!$C$17="x",IF(J28="NA","NA",IF(Data!$D$68&lt;ChemData!X28,J28*(Data!$D$68/ChemData!X28),J28)),"---")</f>
        <v>NA</v>
      </c>
      <c r="L28" s="870" t="str">
        <f>IF(Start!$C$17="x",IF(OR(I28="NA",I28="",ChemData!Z28="NA",ChemData!Z28=""),"NA",I28/ChemData!Z28),"---")</f>
        <v>NA</v>
      </c>
      <c r="M28" s="870" t="str">
        <f>IF(Start!$C$17="x",IF(OR(I28="NA",I28="",ChemData!Y28="NA",ChemData!Y28=""),"NA",I28/ChemData!Y28),"---")</f>
        <v>NA</v>
      </c>
      <c r="N28" s="870" t="str">
        <f>IF(Start!$C$17="x",IF(OR(I28="NA",I28="",G28="NA",G28=""),"NA",I28/G28),"---")</f>
        <v>NA</v>
      </c>
      <c r="O28" s="794" t="str">
        <f>IF(Start!$C$17="x",(IF(C28="","",(IF(N28="NA","NA",IF(D28="NA","NA",IF(D28=0,"NA",(N28/D28))))))),"Not Req.")</f>
        <v/>
      </c>
    </row>
    <row r="29" spans="1:15" s="10" customFormat="1" x14ac:dyDescent="0.25">
      <c r="A29" s="405" t="s">
        <v>347</v>
      </c>
      <c r="B29" s="868" t="str">
        <f>IF(Start!$C$17="x",(IF($C29="NA","NA",(IF(C29="","",(IF(AND(N29="NA",C29&lt;&gt;"NA",D29&lt;&gt;"NA"),"Missing Data",(IF(OR(D29 = "NA",D29=""),"No Criteria",(IF(N29&lt;D29,IF(OR(I29&lt;D29,ChemData!AA29&lt;&gt;""),"No-1",IF(M29&lt;D29,"No-2","No-3")),"Needed")))))))))),"---")</f>
        <v/>
      </c>
      <c r="C29" s="426" t="str">
        <f>IF(TRUE=ISBLANK(ChemData!B29),"",(ChemData!B29))</f>
        <v/>
      </c>
      <c r="D29" s="289">
        <f>IF(TRUE=ISBLANK(ChemData!J29),"",(ChemData!J29))</f>
        <v>5</v>
      </c>
      <c r="E29" s="290">
        <f>IF(TRUE=ISBLANK(ChemData!Q29),"",(ChemData!Q29))</f>
        <v>20</v>
      </c>
      <c r="F29" s="290">
        <f>IF(TRUE=ISBLANK(ChemData!S29),"",(ChemData!S29))</f>
        <v>0.5</v>
      </c>
      <c r="G29" s="865">
        <f>IF(OR(TRUE=ISBLANK(ChemData!AA29),ChemData!AA29="NA",ChemData!AA29=0),ChemData!Z29,(ChemData!AA29))</f>
        <v>117.55789276421091</v>
      </c>
      <c r="H29" s="685" t="str">
        <f>IF(Start!$C$17="x",(IF(OR(C29="NA",C29=""),"NA",IF(OR(F29="NA",F29="",F29=0),"NA",C29/((Data!$D$10/100)/F29)))),"---")</f>
        <v>NA</v>
      </c>
      <c r="I29" s="376" t="str">
        <f>IF(Start!$C$17="x",(IF($E29 = "NA", "NA", (IF(H29 = "NA", "NA",(IF(OR(ChemData!U29="NA",ChemData!U29=""),H29/((Data!$D$18+$E29*(1-Data!$D$18)*Data!$D$14)/(1000*(1-Data!$D$18)*Data!$D$14)),(IF(H29/((Data!$D$18+$E29*(1-Data!$D$18)*Data!$D$14)/(1000*(1-Data!$D$18)*Data!$D$14))&gt;ChemData!U29, ChemData!U29,H29/((Data!$D$18+$E29*(1-Data!$D$18)*Data!$D$14)/(1000*(1-Data!$D$18)*Data!$D$14)))))))))),"---")</f>
        <v>NA</v>
      </c>
      <c r="J29" s="870" t="str">
        <f>IF(Start!$C$17="x",IF(OR(I29="NA",I29="",ChemData!W29="NA",ChemData!W29=""),"NA",I29/ChemData!W29),"---")</f>
        <v>NA</v>
      </c>
      <c r="K29" s="870" t="str">
        <f>IF(Start!$C$17="x",IF(J29="NA","NA",IF(Data!$D$68&lt;ChemData!X29,J29*(Data!$D$68/ChemData!X29),J29)),"---")</f>
        <v>NA</v>
      </c>
      <c r="L29" s="870" t="str">
        <f>IF(Start!$C$17="x",IF(OR(I29="NA",I29="",ChemData!Z29="NA",ChemData!Z29=""),"NA",I29/ChemData!Z29),"---")</f>
        <v>NA</v>
      </c>
      <c r="M29" s="870" t="str">
        <f>IF(Start!$C$17="x",IF(OR(I29="NA",I29="",ChemData!Y29="NA",ChemData!Y29=""),"NA",I29/ChemData!Y29),"---")</f>
        <v>NA</v>
      </c>
      <c r="N29" s="870" t="str">
        <f>IF(Start!$C$17="x",IF(OR(I29="NA",I29="",G29="NA",G29=""),"NA",I29/G29),"---")</f>
        <v>NA</v>
      </c>
      <c r="O29" s="794" t="str">
        <f>IF(Start!$C$17="x",(IF(C29="","",(IF(N29="NA","NA",IF(D29="NA","NA",IF(D29=0,"NA",(N29/D29))))))),"Not Req.")</f>
        <v/>
      </c>
    </row>
    <row r="30" spans="1:15" s="10" customFormat="1" x14ac:dyDescent="0.25">
      <c r="A30" s="405" t="s">
        <v>348</v>
      </c>
      <c r="B30" s="868" t="str">
        <f>IF(Start!$C$17="x",(IF($C30="NA","NA",(IF(C30="","",(IF(AND(N30="NA",C30&lt;&gt;"NA",D30&lt;&gt;"NA"),"Missing Data",(IF(OR(D30 = "NA",D30=""),"No Criteria",(IF(N30&lt;D30,IF(OR(I30&lt;D30,ChemData!AA30&lt;&gt;""),"No-1",IF(M30&lt;D30,"No-2","No-3")),"Needed")))))))))),"---")</f>
        <v/>
      </c>
      <c r="C30" s="426" t="str">
        <f>IF(TRUE=ISBLANK(ChemData!B30),"",(ChemData!B30))</f>
        <v/>
      </c>
      <c r="D30" s="289">
        <f>IF(TRUE=ISBLANK(ChemData!J30),"",(ChemData!J30))</f>
        <v>0.36</v>
      </c>
      <c r="E30" s="290">
        <f>IF(TRUE=ISBLANK(ChemData!Q30),"",(ChemData!Q30))</f>
        <v>150</v>
      </c>
      <c r="F30" s="290">
        <f>IF(TRUE=ISBLANK(ChemData!S30),"",(ChemData!S30))</f>
        <v>0.2</v>
      </c>
      <c r="G30" s="865">
        <f>IF(OR(TRUE=ISBLANK(ChemData!AA30),ChemData!AA30="NA",ChemData!AA30=0),ChemData!Z30,(ChemData!AA30))</f>
        <v>2266.3771343341891</v>
      </c>
      <c r="H30" s="685" t="str">
        <f>IF(Start!$C$17="x",(IF(OR(C30="NA",C30=""),"NA",IF(OR(F30="NA",F30="",F30=0),"NA",C30/((Data!$D$10/100)/F30)))),"---")</f>
        <v>NA</v>
      </c>
      <c r="I30" s="376" t="str">
        <f>IF(Start!$C$17="x",(IF($E30 = "NA", "NA", (IF(H30 = "NA", "NA",(IF(OR(ChemData!U30="NA",ChemData!U30=""),H30/((Data!$D$18+$E30*(1-Data!$D$18)*Data!$D$14)/(1000*(1-Data!$D$18)*Data!$D$14)),(IF(H30/((Data!$D$18+$E30*(1-Data!$D$18)*Data!$D$14)/(1000*(1-Data!$D$18)*Data!$D$14))&gt;ChemData!U30, ChemData!U30,H30/((Data!$D$18+$E30*(1-Data!$D$18)*Data!$D$14)/(1000*(1-Data!$D$18)*Data!$D$14)))))))))),"---")</f>
        <v>NA</v>
      </c>
      <c r="J30" s="870" t="str">
        <f>IF(Start!$C$17="x",IF(OR(I30="NA",I30="",ChemData!W30="NA",ChemData!W30=""),"NA",I30/ChemData!W30),"---")</f>
        <v>NA</v>
      </c>
      <c r="K30" s="870" t="str">
        <f>IF(Start!$C$17="x",IF(J30="NA","NA",IF(Data!$D$68&lt;ChemData!X30,J30*(Data!$D$68/ChemData!X30),J30)),"---")</f>
        <v>NA</v>
      </c>
      <c r="L30" s="870" t="str">
        <f>IF(Start!$C$17="x",IF(OR(I30="NA",I30="",ChemData!Z30="NA",ChemData!Z30=""),"NA",I30/ChemData!Z30),"---")</f>
        <v>NA</v>
      </c>
      <c r="M30" s="870" t="str">
        <f>IF(Start!$C$17="x",IF(OR(I30="NA",I30="",ChemData!Y30="NA",ChemData!Y30=""),"NA",I30/ChemData!Y30),"---")</f>
        <v>NA</v>
      </c>
      <c r="N30" s="870" t="str">
        <f>IF(Start!$C$17="x",IF(OR(I30="NA",I30="",G30="NA",G30=""),"NA",I30/G30),"---")</f>
        <v>NA</v>
      </c>
      <c r="O30" s="794" t="str">
        <f>IF(Start!$C$17="x",(IF(C30="","",(IF(N30="NA","NA",IF(D30="NA","NA",IF(D30=0,"NA",(N30/D30))))))),"Not Req.")</f>
        <v/>
      </c>
    </row>
    <row r="31" spans="1:15" s="10" customFormat="1" x14ac:dyDescent="0.25">
      <c r="A31" s="405" t="s">
        <v>349</v>
      </c>
      <c r="B31" s="868" t="str">
        <f>IF(Start!$C$17="x",(IF($C31="NA","NA",(IF(C31="","",(IF(AND(N31="NA",C31&lt;&gt;"NA",D31&lt;&gt;"NA"),"Missing Data",(IF(OR(D31 = "NA",D31=""),"No Criteria",(IF(N31&lt;D31,IF(OR(I31&lt;D31,ChemData!AA31&lt;&gt;""),"No-1",IF(M31&lt;D31,"No-2","No-3")),"Needed")))))))))),"---")</f>
        <v/>
      </c>
      <c r="C31" s="426" t="str">
        <f>IF(TRUE=ISBLANK(ChemData!B31),"",(ChemData!B31))</f>
        <v/>
      </c>
      <c r="D31" s="289">
        <f>IF(TRUE=ISBLANK(ChemData!J31),"",(ChemData!J31))</f>
        <v>1500</v>
      </c>
      <c r="E31" s="290">
        <f>IF(TRUE=ISBLANK(ChemData!Q31),"",(ChemData!Q31))</f>
        <v>35</v>
      </c>
      <c r="F31" s="290" t="str">
        <f>IF(TRUE=ISBLANK(ChemData!S31),"",(ChemData!S31))</f>
        <v>NA</v>
      </c>
      <c r="G31" s="865">
        <f>IF(OR(TRUE=ISBLANK(ChemData!AA31),ChemData!AA31="NA",ChemData!AA31=0),ChemData!Z31,(ChemData!AA31))</f>
        <v>267.40397919576679</v>
      </c>
      <c r="H31" s="685" t="str">
        <f>IF(Start!$C$17="x",(IF(OR(C31="NA",C31=""),"NA",IF(OR(F31="NA",F31="",F31=0),"NA",C31/((Data!$D$10/100)/F31)))),"---")</f>
        <v>NA</v>
      </c>
      <c r="I31" s="376" t="str">
        <f>IF(Start!$C$17="x",(IF($E31 = "NA", "NA", (IF(H31 = "NA", "NA",(IF(OR(ChemData!U31="NA",ChemData!U31=""),H31/((Data!$D$18+$E31*(1-Data!$D$18)*Data!$D$14)/(1000*(1-Data!$D$18)*Data!$D$14)),(IF(H31/((Data!$D$18+$E31*(1-Data!$D$18)*Data!$D$14)/(1000*(1-Data!$D$18)*Data!$D$14))&gt;ChemData!U31, ChemData!U31,H31/((Data!$D$18+$E31*(1-Data!$D$18)*Data!$D$14)/(1000*(1-Data!$D$18)*Data!$D$14)))))))))),"---")</f>
        <v>NA</v>
      </c>
      <c r="J31" s="870" t="str">
        <f>IF(Start!$C$17="x",IF(OR(I31="NA",I31="",ChemData!W31="NA",ChemData!W31=""),"NA",I31/ChemData!W31),"---")</f>
        <v>NA</v>
      </c>
      <c r="K31" s="870" t="str">
        <f>IF(Start!$C$17="x",IF(J31="NA","NA",IF(Data!$D$68&lt;ChemData!X31,J31*(Data!$D$68/ChemData!X31),J31)),"---")</f>
        <v>NA</v>
      </c>
      <c r="L31" s="870" t="str">
        <f>IF(Start!$C$17="x",IF(OR(I31="NA",I31="",ChemData!Z31="NA",ChemData!Z31=""),"NA",I31/ChemData!Z31),"---")</f>
        <v>NA</v>
      </c>
      <c r="M31" s="870" t="str">
        <f>IF(Start!$C$17="x",IF(OR(I31="NA",I31="",ChemData!Y31="NA",ChemData!Y31=""),"NA",I31/ChemData!Y31),"---")</f>
        <v>NA</v>
      </c>
      <c r="N31" s="870" t="str">
        <f>IF(Start!$C$17="x",IF(OR(I31="NA",I31="",G31="NA",G31=""),"NA",I31/G31),"---")</f>
        <v>NA</v>
      </c>
      <c r="O31" s="794" t="str">
        <f>IF(Start!$C$17="x",(IF(C31="","",(IF(N31="NA","NA",IF(D31="NA","NA",IF(D31=0,"NA",(N31/D31))))))),"Not Req.")</f>
        <v/>
      </c>
    </row>
    <row r="32" spans="1:15" s="10" customFormat="1" x14ac:dyDescent="0.25">
      <c r="A32" s="405" t="s">
        <v>350</v>
      </c>
      <c r="B32" s="868" t="str">
        <f>IF(Start!$C$17="x",(IF($C32="NA","NA",(IF(C32="","",(IF(AND(N32="NA",C32&lt;&gt;"NA",D32&lt;&gt;"NA"),"Missing Data",(IF(OR(D32 = "NA",D32=""),"No Criteria",(IF(N32&lt;D32,IF(OR(I32&lt;D32,ChemData!AA32&lt;&gt;""),"No-1",IF(M32&lt;D32,"No-2","No-3")),"Needed")))))))))),"---")</f>
        <v/>
      </c>
      <c r="C32" s="426" t="str">
        <f>IF(TRUE=ISBLANK(ChemData!B32),"",(ChemData!B32))</f>
        <v/>
      </c>
      <c r="D32" s="289">
        <f>IF(TRUE=ISBLANK(ChemData!J32),"",(ChemData!J32))</f>
        <v>12</v>
      </c>
      <c r="E32" s="290">
        <f>IF(TRUE=ISBLANK(ChemData!Q32),"",(ChemData!Q32))</f>
        <v>40</v>
      </c>
      <c r="F32" s="290">
        <f>IF(TRUE=ISBLANK(ChemData!S32),"",(ChemData!S32))</f>
        <v>0.2</v>
      </c>
      <c r="G32" s="865">
        <f>IF(OR(TRUE=ISBLANK(ChemData!AA32),ChemData!AA32="NA",ChemData!AA32=0),ChemData!Z32,(ChemData!AA32))</f>
        <v>325.33631784013562</v>
      </c>
      <c r="H32" s="685" t="str">
        <f>IF(Start!$C$17="x",(IF(OR(C32="NA",C32=""),"NA",IF(OR(F32="NA",F32="",F32=0),"NA",C32/((Data!$D$10/100)/F32)))),"---")</f>
        <v>NA</v>
      </c>
      <c r="I32" s="376" t="str">
        <f>IF(Start!$C$17="x",(IF($E32 = "NA", "NA", (IF(H32 = "NA", "NA",(IF(OR(ChemData!U32="NA",ChemData!U32=""),H32/((Data!$D$18+$E32*(1-Data!$D$18)*Data!$D$14)/(1000*(1-Data!$D$18)*Data!$D$14)),(IF(H32/((Data!$D$18+$E32*(1-Data!$D$18)*Data!$D$14)/(1000*(1-Data!$D$18)*Data!$D$14))&gt;ChemData!U32, ChemData!U32,H32/((Data!$D$18+$E32*(1-Data!$D$18)*Data!$D$14)/(1000*(1-Data!$D$18)*Data!$D$14)))))))))),"---")</f>
        <v>NA</v>
      </c>
      <c r="J32" s="870" t="str">
        <f>IF(Start!$C$17="x",IF(OR(I32="NA",I32="",ChemData!W32="NA",ChemData!W32=""),"NA",I32/ChemData!W32),"---")</f>
        <v>NA</v>
      </c>
      <c r="K32" s="870" t="str">
        <f>IF(Start!$C$17="x",IF(J32="NA","NA",IF(Data!$D$68&lt;ChemData!X32,J32*(Data!$D$68/ChemData!X32),J32)),"---")</f>
        <v>NA</v>
      </c>
      <c r="L32" s="870" t="str">
        <f>IF(Start!$C$17="x",IF(OR(I32="NA",I32="",ChemData!Z32="NA",ChemData!Z32=""),"NA",I32/ChemData!Z32),"---")</f>
        <v>NA</v>
      </c>
      <c r="M32" s="870" t="str">
        <f>IF(Start!$C$17="x",IF(OR(I32="NA",I32="",ChemData!Y32="NA",ChemData!Y32=""),"NA",I32/ChemData!Y32),"---")</f>
        <v>NA</v>
      </c>
      <c r="N32" s="870" t="str">
        <f>IF(Start!$C$17="x",IF(OR(I32="NA",I32="",G32="NA",G32=""),"NA",I32/G32),"---")</f>
        <v>NA</v>
      </c>
      <c r="O32" s="794" t="str">
        <f>IF(Start!$C$17="x",(IF(C32="","",(IF(N32="NA","NA",IF(D32="NA","NA",IF(D32=0,"NA",(N32/D32))))))),"Not Req.")</f>
        <v/>
      </c>
    </row>
    <row r="33" spans="1:15" s="10" customFormat="1" x14ac:dyDescent="0.25">
      <c r="A33" s="405" t="s">
        <v>351</v>
      </c>
      <c r="B33" s="868" t="str">
        <f>IF(Start!$C$17="x",(IF($C33="NA","NA",(IF(C33="","",(IF(AND(N33="NA",C33&lt;&gt;"NA",D33&lt;&gt;"NA"),"Missing Data",(IF(OR(D33 = "NA",D33=""),"No Criteria",(IF(N33&lt;D33,IF(OR(I33&lt;D33,ChemData!AA33&lt;&gt;""),"No-1",IF(M33&lt;D33,"No-2","No-3")),"Needed")))))))))),"---")</f>
        <v/>
      </c>
      <c r="C33" s="426" t="str">
        <f>IF(TRUE=ISBLANK(ChemData!B33),"",(ChemData!B33))</f>
        <v/>
      </c>
      <c r="D33" s="289">
        <f>IF(TRUE=ISBLANK(ChemData!J33),"",(ChemData!J33))</f>
        <v>73</v>
      </c>
      <c r="E33" s="290">
        <f>IF(TRUE=ISBLANK(ChemData!Q33),"",(ChemData!Q33))</f>
        <v>250</v>
      </c>
      <c r="F33" s="290">
        <f>IF(TRUE=ISBLANK(ChemData!S33),"",(ChemData!S33))</f>
        <v>1</v>
      </c>
      <c r="G33" s="865">
        <f>IF(OR(TRUE=ISBLANK(ChemData!AA33),ChemData!AA33="NA",ChemData!AA33=0),ChemData!Z33,(ChemData!AA33))</f>
        <v>4798.7760829796362</v>
      </c>
      <c r="H33" s="685" t="str">
        <f>IF(Start!$C$17="x",(IF(OR(C33="NA",C33=""),"NA",IF(OR(F33="NA",F33="",F33=0),"NA",C33/((Data!$D$10/100)/F33)))),"---")</f>
        <v>NA</v>
      </c>
      <c r="I33" s="376" t="str">
        <f>IF(Start!$C$17="x",(IF($E33 = "NA", "NA", (IF(H33 = "NA", "NA",(IF(OR(ChemData!U33="NA",ChemData!U33=""),H33/((Data!$D$18+$E33*(1-Data!$D$18)*Data!$D$14)/(1000*(1-Data!$D$18)*Data!$D$14)),(IF(H33/((Data!$D$18+$E33*(1-Data!$D$18)*Data!$D$14)/(1000*(1-Data!$D$18)*Data!$D$14))&gt;ChemData!U33, ChemData!U33,H33/((Data!$D$18+$E33*(1-Data!$D$18)*Data!$D$14)/(1000*(1-Data!$D$18)*Data!$D$14)))))))))),"---")</f>
        <v>NA</v>
      </c>
      <c r="J33" s="870" t="str">
        <f>IF(Start!$C$17="x",IF(OR(I33="NA",I33="",ChemData!W33="NA",ChemData!W33=""),"NA",I33/ChemData!W33),"---")</f>
        <v>NA</v>
      </c>
      <c r="K33" s="870" t="str">
        <f>IF(Start!$C$17="x",IF(J33="NA","NA",IF(Data!$D$68&lt;ChemData!X33,J33*(Data!$D$68/ChemData!X33),J33)),"---")</f>
        <v>NA</v>
      </c>
      <c r="L33" s="870" t="str">
        <f>IF(Start!$C$17="x",IF(OR(I33="NA",I33="",ChemData!Z33="NA",ChemData!Z33=""),"NA",I33/ChemData!Z33),"---")</f>
        <v>NA</v>
      </c>
      <c r="M33" s="870" t="str">
        <f>IF(Start!$C$17="x",IF(OR(I33="NA",I33="",ChemData!Y33="NA",ChemData!Y33=""),"NA",I33/ChemData!Y33),"---")</f>
        <v>NA</v>
      </c>
      <c r="N33" s="870" t="str">
        <f>IF(Start!$C$17="x",IF(OR(I33="NA",I33="",G33="NA",G33=""),"NA",I33/G33),"---")</f>
        <v>NA</v>
      </c>
      <c r="O33" s="794" t="str">
        <f>IF(Start!$C$17="x",(IF(C33="","",(IF(N33="NA","NA",IF(D33="NA","NA",IF(D33=0,"NA",(N33/D33))))))),"Not Req.")</f>
        <v/>
      </c>
    </row>
    <row r="34" spans="1:15" s="10" customFormat="1" x14ac:dyDescent="0.25">
      <c r="A34" s="405" t="s">
        <v>352</v>
      </c>
      <c r="B34" s="868" t="str">
        <f>IF(Start!$C$17="x",(IF($C34="NA","NA",(IF(C34="","",(IF(AND(N34="NA",C34&lt;&gt;"NA",D34&lt;&gt;"NA"),"Missing Data",(IF(OR(D34 = "NA",D34=""),"No Criteria",(IF(N34&lt;D34,IF(OR(I34&lt;D34,ChemData!AA34&lt;&gt;""),"No-1",IF(M34&lt;D34,"No-2","No-3")),"Needed")))))))))),"---")</f>
        <v/>
      </c>
      <c r="C34" s="426" t="str">
        <f>IF(TRUE=ISBLANK(ChemData!B34),"",(ChemData!B34))</f>
        <v/>
      </c>
      <c r="D34" s="289">
        <f>IF(TRUE=ISBLANK(ChemData!J34),"",(ChemData!J34))</f>
        <v>2.6</v>
      </c>
      <c r="E34" s="290">
        <f>IF(TRUE=ISBLANK(ChemData!Q34),"",(ChemData!Q34))</f>
        <v>450</v>
      </c>
      <c r="F34" s="290" t="str">
        <f>IF(TRUE=ISBLANK(ChemData!S34),"",(ChemData!S34))</f>
        <v>NA</v>
      </c>
      <c r="G34" s="865">
        <f>IF(OR(TRUE=ISBLANK(ChemData!AA34),ChemData!AA34="NA",ChemData!AA34=0),ChemData!Z34,(ChemData!AA34))</f>
        <v>11376.629055199464</v>
      </c>
      <c r="H34" s="685" t="str">
        <f>IF(Start!$C$17="x",(IF(OR(C34="NA",C34=""),"NA",IF(OR(F34="NA",F34="",F34=0),"NA",C34/((Data!$D$10/100)/F34)))),"---")</f>
        <v>NA</v>
      </c>
      <c r="I34" s="376" t="str">
        <f>IF(Start!$C$17="x",(IF($E34 = "NA", "NA", (IF(H34 = "NA", "NA",(IF(OR(ChemData!U34="NA",ChemData!U34=""),H34/((Data!$D$18+$E34*(1-Data!$D$18)*Data!$D$14)/(1000*(1-Data!$D$18)*Data!$D$14)),(IF(H34/((Data!$D$18+$E34*(1-Data!$D$18)*Data!$D$14)/(1000*(1-Data!$D$18)*Data!$D$14))&gt;ChemData!U34, ChemData!U34,H34/((Data!$D$18+$E34*(1-Data!$D$18)*Data!$D$14)/(1000*(1-Data!$D$18)*Data!$D$14)))))))))),"---")</f>
        <v>NA</v>
      </c>
      <c r="J34" s="870" t="str">
        <f>IF(Start!$C$17="x",IF(OR(I34="NA",I34="",ChemData!W34="NA",ChemData!W34=""),"NA",I34/ChemData!W34),"---")</f>
        <v>NA</v>
      </c>
      <c r="K34" s="870" t="str">
        <f>IF(Start!$C$17="x",IF(J34="NA","NA",IF(Data!$D$68&lt;ChemData!X34,J34*(Data!$D$68/ChemData!X34),J34)),"---")</f>
        <v>NA</v>
      </c>
      <c r="L34" s="870" t="str">
        <f>IF(Start!$C$17="x",IF(OR(I34="NA",I34="",ChemData!Z34="NA",ChemData!Z34=""),"NA",I34/ChemData!Z34),"---")</f>
        <v>NA</v>
      </c>
      <c r="M34" s="870" t="str">
        <f>IF(Start!$C$17="x",IF(OR(I34="NA",I34="",ChemData!Y34="NA",ChemData!Y34=""),"NA",I34/ChemData!Y34),"---")</f>
        <v>NA</v>
      </c>
      <c r="N34" s="870" t="str">
        <f>IF(Start!$C$17="x",IF(OR(I34="NA",I34="",G34="NA",G34=""),"NA",I34/G34),"---")</f>
        <v>NA</v>
      </c>
      <c r="O34" s="794" t="str">
        <f>IF(Start!$C$17="x",(IF(C34="","",(IF(N34="NA","NA",IF(D34="NA","NA",IF(D34=0,"NA",(N34/D34))))))),"Not Req.")</f>
        <v/>
      </c>
    </row>
    <row r="35" spans="1:15" s="10" customFormat="1" x14ac:dyDescent="0.25">
      <c r="A35" s="405" t="s">
        <v>353</v>
      </c>
      <c r="B35" s="868" t="str">
        <f>IF(Start!$C$17="x",(IF($C35="NA","NA",(IF(C35="","",(IF(AND(N35="NA",C35&lt;&gt;"NA",D35&lt;&gt;"NA"),"Missing Data",(IF(OR(D35 = "NA",D35=""),"No Criteria",(IF(N35&lt;D35,IF(OR(I35&lt;D35,ChemData!AA35&lt;&gt;""),"No-1",IF(M35&lt;D35,"No-2","No-3")),"Needed")))))))))),"---")</f>
        <v/>
      </c>
      <c r="C35" s="426" t="str">
        <f>IF(TRUE=ISBLANK(ChemData!B35),"",(ChemData!B35))</f>
        <v/>
      </c>
      <c r="D35" s="289">
        <f>IF(TRUE=ISBLANK(ChemData!J35),"",(ChemData!J35))</f>
        <v>20</v>
      </c>
      <c r="E35" s="290">
        <f>IF(TRUE=ISBLANK(ChemData!Q35),"",(ChemData!Q35))</f>
        <v>110</v>
      </c>
      <c r="F35" s="290">
        <f>IF(TRUE=ISBLANK(ChemData!S35),"",(ChemData!S35))</f>
        <v>1</v>
      </c>
      <c r="G35" s="865">
        <f>IF(OR(TRUE=ISBLANK(ChemData!AA35),ChemData!AA35="NA",ChemData!AA35=0),ChemData!Z35,(ChemData!AA35))</f>
        <v>1437.2065169953732</v>
      </c>
      <c r="H35" s="685" t="str">
        <f>IF(Start!$C$17="x",(IF(OR(C35="NA",C35=""),"NA",IF(OR(F35="NA",F35="",F35=0),"NA",C35/((Data!$D$10/100)/F35)))),"---")</f>
        <v>NA</v>
      </c>
      <c r="I35" s="376" t="str">
        <f>IF(Start!$C$17="x",(IF($E35 = "NA", "NA", (IF(H35 = "NA", "NA",(IF(OR(ChemData!U35="NA",ChemData!U35=""),H35/((Data!$D$18+$E35*(1-Data!$D$18)*Data!$D$14)/(1000*(1-Data!$D$18)*Data!$D$14)),(IF(H35/((Data!$D$18+$E35*(1-Data!$D$18)*Data!$D$14)/(1000*(1-Data!$D$18)*Data!$D$14))&gt;ChemData!U35, ChemData!U35,H35/((Data!$D$18+$E35*(1-Data!$D$18)*Data!$D$14)/(1000*(1-Data!$D$18)*Data!$D$14)))))))))),"---")</f>
        <v>NA</v>
      </c>
      <c r="J35" s="870" t="str">
        <f>IF(Start!$C$17="x",IF(OR(I35="NA",I35="",ChemData!W35="NA",ChemData!W35=""),"NA",I35/ChemData!W35),"---")</f>
        <v>NA</v>
      </c>
      <c r="K35" s="870" t="str">
        <f>IF(Start!$C$17="x",IF(J35="NA","NA",IF(Data!$D$68&lt;ChemData!X35,J35*(Data!$D$68/ChemData!X35),J35)),"---")</f>
        <v>NA</v>
      </c>
      <c r="L35" s="870" t="str">
        <f>IF(Start!$C$17="x",IF(OR(I35="NA",I35="",ChemData!Z35="NA",ChemData!Z35=""),"NA",I35/ChemData!Z35),"---")</f>
        <v>NA</v>
      </c>
      <c r="M35" s="870" t="str">
        <f>IF(Start!$C$17="x",IF(OR(I35="NA",I35="",ChemData!Y35="NA",ChemData!Y35=""),"NA",I35/ChemData!Y35),"---")</f>
        <v>NA</v>
      </c>
      <c r="N35" s="870" t="str">
        <f>IF(Start!$C$17="x",IF(OR(I35="NA",I35="",G35="NA",G35=""),"NA",I35/G35),"---")</f>
        <v>NA</v>
      </c>
      <c r="O35" s="794" t="str">
        <f>IF(Start!$C$17="x",(IF(C35="","",(IF(N35="NA","NA",IF(D35="NA","NA",IF(D35=0,"NA",(N35/D35))))))),"Not Req.")</f>
        <v/>
      </c>
    </row>
    <row r="36" spans="1:15" s="10" customFormat="1" x14ac:dyDescent="0.25">
      <c r="A36" s="405" t="s">
        <v>354</v>
      </c>
      <c r="B36" s="868" t="str">
        <f>IF(Start!$C$17="x",(IF($C36="NA","NA",(IF(C36="","",(IF(AND(N36="NA",C36&lt;&gt;"NA",D36&lt;&gt;"NA"),"Missing Data",(IF(OR(D36 = "NA",D36=""),"No Criteria",(IF(N36&lt;D36,IF(OR(I36&lt;D36,ChemData!AA36&lt;&gt;""),"No-1",IF(M36&lt;D36,"No-2","No-3")),"Needed")))))))))),"---")</f>
        <v/>
      </c>
      <c r="C36" s="426" t="str">
        <f>IF(TRUE=ISBLANK(ChemData!B36),"",(ChemData!B36))</f>
        <v/>
      </c>
      <c r="D36" s="289">
        <f>IF(TRUE=ISBLANK(ChemData!J36),"",(ChemData!J36))</f>
        <v>120</v>
      </c>
      <c r="E36" s="290">
        <f>IF(TRUE=ISBLANK(ChemData!Q36),"",(ChemData!Q36))</f>
        <v>130</v>
      </c>
      <c r="F36" s="290">
        <f>IF(TRUE=ISBLANK(ChemData!S36),"",(ChemData!S36))</f>
        <v>0.02</v>
      </c>
      <c r="G36" s="865">
        <f>IF(OR(TRUE=ISBLANK(ChemData!AA36),ChemData!AA36="NA",ChemData!AA36=0),ChemData!Z36,(ChemData!AA36))</f>
        <v>1836.80993716632</v>
      </c>
      <c r="H36" s="685" t="str">
        <f>IF(Start!$C$17="x",(IF(OR(C36="NA",C36=""),"NA",IF(OR(F36="NA",F36="",F36=0),"NA",C36/((Data!$D$10/100)/F36)))),"---")</f>
        <v>NA</v>
      </c>
      <c r="I36" s="376" t="str">
        <f>IF(Start!$C$17="x",(IF($E36 = "NA", "NA", (IF(H36 = "NA", "NA",(IF(OR(ChemData!U36="NA",ChemData!U36=""),H36/((Data!$D$18+$E36*(1-Data!$D$18)*Data!$D$14)/(1000*(1-Data!$D$18)*Data!$D$14)),(IF(H36/((Data!$D$18+$E36*(1-Data!$D$18)*Data!$D$14)/(1000*(1-Data!$D$18)*Data!$D$14))&gt;ChemData!U36, ChemData!U36,H36/((Data!$D$18+$E36*(1-Data!$D$18)*Data!$D$14)/(1000*(1-Data!$D$18)*Data!$D$14)))))))))),"---")</f>
        <v>NA</v>
      </c>
      <c r="J36" s="870" t="str">
        <f>IF(Start!$C$17="x",IF(OR(I36="NA",I36="",ChemData!W36="NA",ChemData!W36=""),"NA",I36/ChemData!W36),"---")</f>
        <v>NA</v>
      </c>
      <c r="K36" s="870" t="str">
        <f>IF(Start!$C$17="x",IF(J36="NA","NA",IF(Data!$D$68&lt;ChemData!X36,J36*(Data!$D$68/ChemData!X36),J36)),"---")</f>
        <v>NA</v>
      </c>
      <c r="L36" s="870" t="str">
        <f>IF(Start!$C$17="x",IF(OR(I36="NA",I36="",ChemData!Z36="NA",ChemData!Z36=""),"NA",I36/ChemData!Z36),"---")</f>
        <v>NA</v>
      </c>
      <c r="M36" s="870" t="str">
        <f>IF(Start!$C$17="x",IF(OR(I36="NA",I36="",ChemData!Y36="NA",ChemData!Y36=""),"NA",I36/ChemData!Y36),"---")</f>
        <v>NA</v>
      </c>
      <c r="N36" s="870" t="str">
        <f>IF(Start!$C$17="x",IF(OR(I36="NA",I36="",G36="NA",G36=""),"NA",I36/G36),"---")</f>
        <v>NA</v>
      </c>
      <c r="O36" s="794" t="str">
        <f>IF(Start!$C$17="x",(IF(C36="","",(IF(N36="NA","NA",IF(D36="NA","NA",IF(D36=0,"NA",(N36/D36))))))),"Not Req.")</f>
        <v/>
      </c>
    </row>
    <row r="37" spans="1:15" s="10" customFormat="1" ht="13.8" thickBot="1" x14ac:dyDescent="0.3">
      <c r="A37" s="407" t="s">
        <v>355</v>
      </c>
      <c r="B37" s="868" t="str">
        <f>IF(Start!$C$17="x",(IF($C37="NA","NA",(IF(C37="","",(IF(AND(N37="NA",C37&lt;&gt;"NA",D37&lt;&gt;"NA"),"Missing Data",(IF(OR(D37 = "NA",D37=""),"No Criteria",(IF(N37&lt;D37,IF(OR(I37&lt;D37,ChemData!AA37&lt;&gt;""),"No-1",IF(M37&lt;D37,"No-2","No-3")),"Needed")))))))))),"---")</f>
        <v/>
      </c>
      <c r="C37" s="426" t="str">
        <f>IF(TRUE=ISBLANK(ChemData!B37),"",(ChemData!B37))</f>
        <v/>
      </c>
      <c r="D37" s="289">
        <f>IF(TRUE=ISBLANK(ChemData!J37),"",(ChemData!J37))</f>
        <v>17</v>
      </c>
      <c r="E37" s="290">
        <f>IF(TRUE=ISBLANK(ChemData!Q37),"",(ChemData!Q37))</f>
        <v>3000</v>
      </c>
      <c r="F37" s="290" t="str">
        <f>IF(TRUE=ISBLANK(ChemData!S37),"",(ChemData!S37))</f>
        <v>NA</v>
      </c>
      <c r="G37" s="865">
        <f>IF(OR(TRUE=ISBLANK(ChemData!AA37),ChemData!AA37="NA",ChemData!AA37=0),ChemData!Z37,(ChemData!AA37))</f>
        <v>184490.24693686457</v>
      </c>
      <c r="H37" s="685" t="str">
        <f>IF(Start!$C$17="x",(IF(OR(C37="NA",C37=""),"NA",IF(OR(F37="NA",F37="",F37=0),"NA",C37/((Data!$D$10/100)/F37)))),"---")</f>
        <v>NA</v>
      </c>
      <c r="I37" s="376" t="str">
        <f>IF(Start!$C$17="x",(IF($E37 = "NA", "NA", (IF(H37 = "NA", "NA",(IF(OR(ChemData!U37="NA",ChemData!U37=""),H37/((Data!$D$18+$E37*(1-Data!$D$18)*Data!$D$14)/(1000*(1-Data!$D$18)*Data!$D$14)),(IF(H37/((Data!$D$18+$E37*(1-Data!$D$18)*Data!$D$14)/(1000*(1-Data!$D$18)*Data!$D$14))&gt;ChemData!U37, ChemData!U37,H37/((Data!$D$18+$E37*(1-Data!$D$18)*Data!$D$14)/(1000*(1-Data!$D$18)*Data!$D$14)))))))))),"---")</f>
        <v>NA</v>
      </c>
      <c r="J37" s="870" t="str">
        <f>IF(Start!$C$17="x",IF(OR(I37="NA",I37="",ChemData!W37="NA",ChemData!W37=""),"NA",I37/ChemData!W37),"---")</f>
        <v>NA</v>
      </c>
      <c r="K37" s="870" t="str">
        <f>IF(Start!$C$17="x",IF(J37="NA","NA",IF(Data!$D$68&lt;ChemData!X37,J37*(Data!$D$68/ChemData!X37),J37)),"---")</f>
        <v>NA</v>
      </c>
      <c r="L37" s="870" t="str">
        <f>IF(Start!$C$17="x",IF(OR(I37="NA",I37="",ChemData!Z37="NA",ChemData!Z37=""),"NA",I37/ChemData!Z37),"---")</f>
        <v>NA</v>
      </c>
      <c r="M37" s="870" t="str">
        <f>IF(Start!$C$17="x",IF(OR(I37="NA",I37="",ChemData!Y37="NA",ChemData!Y37=""),"NA",I37/ChemData!Y37),"---")</f>
        <v>NA</v>
      </c>
      <c r="N37" s="870" t="str">
        <f>IF(Start!$C$17="x",IF(OR(I37="NA",I37="",G37="NA",G37=""),"NA",I37/G37),"---")</f>
        <v>NA</v>
      </c>
      <c r="O37" s="794" t="str">
        <f>IF(Start!$C$17="x",(IF(C37="","",(IF(N37="NA","NA",IF(D37="NA","NA",IF(D37=0,"NA",(N37/D37))))))),"Not Req.")</f>
        <v/>
      </c>
    </row>
    <row r="38" spans="1:15" s="10" customFormat="1" x14ac:dyDescent="0.25">
      <c r="A38" s="573" t="s">
        <v>356</v>
      </c>
      <c r="B38" s="527"/>
      <c r="C38" s="528"/>
      <c r="D38" s="511"/>
      <c r="E38" s="512"/>
      <c r="F38" s="512"/>
      <c r="G38" s="808"/>
      <c r="H38" s="511"/>
      <c r="I38" s="512"/>
      <c r="J38" s="534"/>
      <c r="K38" s="534"/>
      <c r="L38" s="534"/>
      <c r="M38" s="534"/>
      <c r="N38" s="534"/>
      <c r="O38" s="807"/>
    </row>
    <row r="39" spans="1:15" s="10" customFormat="1" x14ac:dyDescent="0.25">
      <c r="A39" s="405" t="s">
        <v>665</v>
      </c>
      <c r="B39" s="868" t="str">
        <f>IF(Start!$C$17="x",(IF($C39="NA","NA",(IF(C39="","",(IF(AND(N39="NA",C39&lt;&gt;"NA",D39&lt;&gt;"NA"),"Missing Data",(IF(OR(D39 = "NA",D39=""),"No Criteria",(IF(N39&lt;D39,IF(OR(I39&lt;D39,ChemData!AA39&lt;&gt;""),"No-1",IF(M39&lt;D39,"No-2","No-3")),"Needed")))))))))),"---")</f>
        <v/>
      </c>
      <c r="C39" s="426" t="str">
        <f>IF(TRUE=ISBLANK(ChemData!B39),"",(ChemData!B39))</f>
        <v/>
      </c>
      <c r="D39" s="289" t="str">
        <f>IF(TRUE=ISBLANK(ChemData!J39),"",(ChemData!J39))</f>
        <v>NA</v>
      </c>
      <c r="E39" s="290">
        <f>IF(TRUE=ISBLANK(ChemData!Q39),"",(ChemData!Q39))</f>
        <v>7.0373057258935875E-2</v>
      </c>
      <c r="F39" s="290">
        <f>IF(TRUE=ISBLANK(ChemData!S39),"",(ChemData!S39))</f>
        <v>1</v>
      </c>
      <c r="G39" s="865">
        <f>IF(OR(TRUE=ISBLANK(ChemData!AA39),ChemData!AA39="NA",ChemData!AA39=0),ChemData!Z39,(ChemData!AA39))</f>
        <v>6.8495741227413927</v>
      </c>
      <c r="H39" s="685" t="str">
        <f>IF(Start!$C$17="x",(IF(OR(C39="NA",C39=""),"NA",IF(OR(F39="NA",F39="",F39=0),"NA",C39*F39))),"---")</f>
        <v>NA</v>
      </c>
      <c r="I39" s="376" t="str">
        <f>IF(Start!$C$17="x",(IF($E39 = "NA", "NA", (IF(H39 = "NA", "NA",(IF(OR(ChemData!U39="NA",ChemData!U39=""),H39/((Data!$D$18+$E39*(1-Data!$D$18)*Data!$D$14)/(1000*(1-Data!$D$18)*Data!$D$14)),(IF(H39/((Data!$D$18+$E39*(1-Data!$D$18)*Data!$D$14)/(1000*(1-Data!$D$18)*Data!$D$14))&gt;ChemData!U39, ChemData!U39,H39/((Data!$D$18+$E39*(1-Data!$D$18)*Data!$D$14)/(1000*(1-Data!$D$18)*Data!$D$14)))))))))),"---")</f>
        <v>NA</v>
      </c>
      <c r="J39" s="870" t="str">
        <f>IF(Start!$C$17="x",IF(OR(I39="NA",I39="",ChemData!W39="NA",ChemData!W39=""),"NA",I39/ChemData!W39),"---")</f>
        <v>NA</v>
      </c>
      <c r="K39" s="870" t="str">
        <f>IF(Start!$C$17="x",IF(J39="NA","NA",IF(Data!$D$68&lt;ChemData!X39,J39*(Data!$D$68/ChemData!X39),J39)),"---")</f>
        <v>NA</v>
      </c>
      <c r="L39" s="870" t="str">
        <f>IF(Start!$C$17="x",IF(OR(I39="NA",I39="",ChemData!Z39="NA",ChemData!Z39=""),"NA",I39/ChemData!Z39),"---")</f>
        <v>NA</v>
      </c>
      <c r="M39" s="870" t="str">
        <f>IF(Start!$C$17="x",IF(OR(I39="NA",I39="",ChemData!Y39="NA",ChemData!Y39=""),"NA",I39/ChemData!Y39),"---")</f>
        <v>NA</v>
      </c>
      <c r="N39" s="870" t="str">
        <f>IF(Start!$C$17="x",IF(OR(I39="NA",I39="",G39="NA",G39=""),"NA",I39/G39),"---")</f>
        <v>NA</v>
      </c>
      <c r="O39" s="794" t="str">
        <f>IF(Start!$C$17="x",(IF(C39="","",(IF(N39="NA","NA",IF(D39="NA","NA",IF(D39=0,"NA",(N39/D39))))))),"Not Req.")</f>
        <v/>
      </c>
    </row>
    <row r="40" spans="1:15" s="10" customFormat="1" x14ac:dyDescent="0.25">
      <c r="A40" s="405" t="s">
        <v>358</v>
      </c>
      <c r="B40" s="868" t="str">
        <f>IF(Start!$C$17="x",(IF($C40="NA","NA",(IF(C40="","",(IF(AND(N40="NA",C40&lt;&gt;"NA",D40&lt;&gt;"NA"),"Missing Data",(IF(OR(D40 = "NA",D40=""),"No Criteria",(IF(N40&lt;D40,IF(OR(I40&lt;D40,ChemData!AA40&lt;&gt;""),"No-1",IF(M40&lt;D40,"No-2","No-3")),"Needed")))))))))),"---")</f>
        <v/>
      </c>
      <c r="C40" s="426" t="str">
        <f>IF(TRUE=ISBLANK(ChemData!B40),"",(ChemData!B40))</f>
        <v/>
      </c>
      <c r="D40" s="289" t="str">
        <f>IF(TRUE=ISBLANK(ChemData!J40),"",(ChemData!J40))</f>
        <v>NA</v>
      </c>
      <c r="E40" s="290">
        <f>IF(TRUE=ISBLANK(ChemData!Q40),"",(ChemData!Q40))</f>
        <v>4.7578025939051666E-2</v>
      </c>
      <c r="F40" s="290">
        <f>IF(TRUE=ISBLANK(ChemData!S40),"",(ChemData!S40))</f>
        <v>1</v>
      </c>
      <c r="G40" s="865">
        <f>IF(OR(TRUE=ISBLANK(ChemData!AA40),ChemData!AA40="NA",ChemData!AA40=0),ChemData!Z40,(ChemData!AA40))</f>
        <v>6.8495741227413927</v>
      </c>
      <c r="H40" s="685" t="str">
        <f>IF(Start!$C$17="x",(IF(OR(C40="NA",C40=""),"NA",IF(OR(F40="NA",F40="",F40=0),"NA",C40*F40))),"---")</f>
        <v>NA</v>
      </c>
      <c r="I40" s="376" t="str">
        <f>IF(Start!$C$17="x",(IF($E40 = "NA", "NA", (IF(H40 = "NA", "NA",(IF(OR(ChemData!U40="NA",ChemData!U40=""),H40/((Data!$D$18+$E40*(1-Data!$D$18)*Data!$D$14)/(1000*(1-Data!$D$18)*Data!$D$14)),(IF(H40/((Data!$D$18+$E40*(1-Data!$D$18)*Data!$D$14)/(1000*(1-Data!$D$18)*Data!$D$14))&gt;ChemData!U40, ChemData!U40,H40/((Data!$D$18+$E40*(1-Data!$D$18)*Data!$D$14)/(1000*(1-Data!$D$18)*Data!$D$14)))))))))),"---")</f>
        <v>NA</v>
      </c>
      <c r="J40" s="870" t="str">
        <f>IF(Start!$C$17="x",IF(OR(I40="NA",I40="",ChemData!W40="NA",ChemData!W40=""),"NA",I40/ChemData!W40),"---")</f>
        <v>NA</v>
      </c>
      <c r="K40" s="870" t="str">
        <f>IF(Start!$C$17="x",IF(J40="NA","NA",IF(Data!$D$68&lt;ChemData!X40,J40*(Data!$D$68/ChemData!X40),J40)),"---")</f>
        <v>NA</v>
      </c>
      <c r="L40" s="870" t="str">
        <f>IF(Start!$C$17="x",IF(OR(I40="NA",I40="",ChemData!Z40="NA",ChemData!Z40=""),"NA",I40/ChemData!Z40),"---")</f>
        <v>NA</v>
      </c>
      <c r="M40" s="870" t="str">
        <f>IF(Start!$C$17="x",IF(OR(I40="NA",I40="",ChemData!Y40="NA",ChemData!Y40=""),"NA",I40/ChemData!Y40),"---")</f>
        <v>NA</v>
      </c>
      <c r="N40" s="870" t="str">
        <f>IF(Start!$C$17="x",IF(OR(I40="NA",I40="",G40="NA",G40=""),"NA",I40/G40),"---")</f>
        <v>NA</v>
      </c>
      <c r="O40" s="794" t="str">
        <f>IF(Start!$C$17="x",(IF(C40="","",(IF(N40="NA","NA",IF(D40="NA","NA",IF(D40=0,"NA",(N40/D40))))))),"Not Req.")</f>
        <v/>
      </c>
    </row>
    <row r="41" spans="1:15" s="10" customFormat="1" x14ac:dyDescent="0.25">
      <c r="A41" s="405" t="s">
        <v>359</v>
      </c>
      <c r="B41" s="868" t="str">
        <f>IF(Start!$C$17="x",(IF($C41="NA","NA",(IF(C41="","",(IF(AND(N41="NA",C41&lt;&gt;"NA",D41&lt;&gt;"NA"),"Missing Data",(IF(OR(D41 = "NA",D41=""),"No Criteria",(IF(N41&lt;D41,IF(OR(I41&lt;D41,ChemData!AA41&lt;&gt;""),"No-1",IF(M41&lt;D41,"No-2","No-3")),"Needed")))))))))),"---")</f>
        <v/>
      </c>
      <c r="C41" s="426" t="str">
        <f>IF(TRUE=ISBLANK(ChemData!B41),"",(ChemData!B41))</f>
        <v/>
      </c>
      <c r="D41" s="289" t="str">
        <f>IF(TRUE=ISBLANK(ChemData!J41),"",(ChemData!J41))</f>
        <v>NA</v>
      </c>
      <c r="E41" s="290" t="str">
        <f>IF(TRUE=ISBLANK(ChemData!Q41),"",(ChemData!Q41))</f>
        <v>NA</v>
      </c>
      <c r="F41" s="290">
        <f>IF(TRUE=ISBLANK(ChemData!S41),"",(ChemData!S41))</f>
        <v>1</v>
      </c>
      <c r="G41" s="865" t="str">
        <f>IF(OR(TRUE=ISBLANK(ChemData!AA41),ChemData!AA41="NA",ChemData!AA41=0),ChemData!Z41,(ChemData!AA41))</f>
        <v>NA</v>
      </c>
      <c r="H41" s="685" t="str">
        <f>IF(Start!$C$17="x",(IF(OR(C41="NA",C41=""),"NA",IF(OR(F41="NA",F41="",F41=0),"NA",C41*F41))),"---")</f>
        <v>NA</v>
      </c>
      <c r="I41" s="376" t="str">
        <f>IF(Start!$C$17="x",(IF($E41 = "NA", "NA", (IF(H41 = "NA", "NA",(IF(OR(ChemData!U41="NA",ChemData!U41=""),H41/((Data!$D$18+$E41*(1-Data!$D$18)*Data!$D$14)/(1000*(1-Data!$D$18)*Data!$D$14)),(IF(H41/((Data!$D$18+$E41*(1-Data!$D$18)*Data!$D$14)/(1000*(1-Data!$D$18)*Data!$D$14))&gt;ChemData!U41, ChemData!U41,H41/((Data!$D$18+$E41*(1-Data!$D$18)*Data!$D$14)/(1000*(1-Data!$D$18)*Data!$D$14)))))))))),"---")</f>
        <v>NA</v>
      </c>
      <c r="J41" s="870" t="str">
        <f>IF(Start!$C$17="x",IF(OR(I41="NA",I41="",ChemData!W41="NA",ChemData!W41=""),"NA",I41/ChemData!W41),"---")</f>
        <v>NA</v>
      </c>
      <c r="K41" s="870" t="str">
        <f>IF(Start!$C$17="x",IF(J41="NA","NA",IF(Data!$D$68&lt;ChemData!X41,J41*(Data!$D$68/ChemData!X41),J41)),"---")</f>
        <v>NA</v>
      </c>
      <c r="L41" s="870" t="str">
        <f>IF(Start!$C$17="x",IF(OR(I41="NA",I41="",ChemData!Z41="NA",ChemData!Z41=""),"NA",I41/ChemData!Z41),"---")</f>
        <v>NA</v>
      </c>
      <c r="M41" s="870" t="str">
        <f>IF(Start!$C$17="x",IF(OR(I41="NA",I41="",ChemData!Y41="NA",ChemData!Y41=""),"NA",I41/ChemData!Y41),"---")</f>
        <v>NA</v>
      </c>
      <c r="N41" s="870" t="str">
        <f>IF(Start!$C$17="x",IF(OR(I41="NA",I41="",G41="NA",G41=""),"NA",I41/G41),"---")</f>
        <v>NA</v>
      </c>
      <c r="O41" s="794" t="str">
        <f>IF(Start!$C$17="x",(IF(C41="","",(IF(N41="NA","NA",IF(D41="NA","NA",IF(D41=0,"NA",(N41/D41))))))),"Not Req.")</f>
        <v/>
      </c>
    </row>
    <row r="42" spans="1:15" s="10" customFormat="1" x14ac:dyDescent="0.25">
      <c r="A42" s="405" t="s">
        <v>360</v>
      </c>
      <c r="B42" s="868" t="str">
        <f>IF(Start!$C$17="x",(IF($C42="NA","NA",(IF(C42="","",(IF(AND(N42="NA",C42&lt;&gt;"NA",D42&lt;&gt;"NA"),"Missing Data",(IF(OR(D42 = "NA",D42=""),"No Criteria",(IF(N42&lt;D42,IF(OR(I42&lt;D42,ChemData!AA42&lt;&gt;""),"No-1",IF(M42&lt;D42,"No-2","No-3")),"Needed")))))))))),"---")</f>
        <v/>
      </c>
      <c r="C42" s="426" t="str">
        <f>IF(TRUE=ISBLANK(ChemData!B42),"",(ChemData!B42))</f>
        <v/>
      </c>
      <c r="D42" s="289">
        <f>IF(TRUE=ISBLANK(ChemData!J42),"",(ChemData!J42))</f>
        <v>7.1999999999999995E-2</v>
      </c>
      <c r="E42" s="290">
        <f>IF(TRUE=ISBLANK(ChemData!Q42),"",(ChemData!Q42))</f>
        <v>24.063000000000002</v>
      </c>
      <c r="F42" s="290">
        <f>IF(TRUE=ISBLANK(ChemData!S42),"",(ChemData!S42))</f>
        <v>1</v>
      </c>
      <c r="G42" s="865">
        <f>IF(OR(TRUE=ISBLANK(ChemData!AA42),ChemData!AA42="NA",ChemData!AA42=0),ChemData!Z42,(ChemData!AA42))</f>
        <v>85.036539168716274</v>
      </c>
      <c r="H42" s="685" t="str">
        <f>IF(Start!$C$17="x",(IF(OR(C42="NA",C42=""),"NA",IF(OR(F42="NA",F42="",F42=0),"NA",C42*F42))),"---")</f>
        <v>NA</v>
      </c>
      <c r="I42" s="376" t="str">
        <f>IF(Start!$C$17="x",(IF($E42 = "NA", "NA", (IF(H42 = "NA", "NA",(IF(OR(ChemData!U42="NA",ChemData!U42=""),H42/((Data!$D$18+$E42*(1-Data!$D$18)*Data!$D$14)/(1000*(1-Data!$D$18)*Data!$D$14)),(IF(H42/((Data!$D$18+$E42*(1-Data!$D$18)*Data!$D$14)/(1000*(1-Data!$D$18)*Data!$D$14))&gt;ChemData!U42, ChemData!U42,H42/((Data!$D$18+$E42*(1-Data!$D$18)*Data!$D$14)/(1000*(1-Data!$D$18)*Data!$D$14)))))))))),"---")</f>
        <v>NA</v>
      </c>
      <c r="J42" s="870" t="str">
        <f>IF(Start!$C$17="x",IF(OR(I42="NA",I42="",ChemData!W42="NA",ChemData!W42=""),"NA",I42/ChemData!W42),"---")</f>
        <v>NA</v>
      </c>
      <c r="K42" s="870" t="str">
        <f>IF(Start!$C$17="x",IF(J42="NA","NA",IF(Data!$D$68&lt;ChemData!X42,J42*(Data!$D$68/ChemData!X42),J42)),"---")</f>
        <v>NA</v>
      </c>
      <c r="L42" s="870" t="str">
        <f>IF(Start!$C$17="x",IF(OR(I42="NA",I42="",ChemData!Z42="NA",ChemData!Z42=""),"NA",I42/ChemData!Z42),"---")</f>
        <v>NA</v>
      </c>
      <c r="M42" s="870" t="str">
        <f>IF(Start!$C$17="x",IF(OR(I42="NA",I42="",ChemData!Y42="NA",ChemData!Y42=""),"NA",I42/ChemData!Y42),"---")</f>
        <v>NA</v>
      </c>
      <c r="N42" s="870" t="str">
        <f>IF(Start!$C$17="x",IF(OR(I42="NA",I42="",G42="NA",G42=""),"NA",I42/G42),"---")</f>
        <v>NA</v>
      </c>
      <c r="O42" s="794" t="str">
        <f>IF(Start!$C$17="x",(IF(C42="","",(IF(N42="NA","NA",IF(D42="NA","NA",IF(D42=0,"NA",(N42/D42))))))),"Not Req.")</f>
        <v/>
      </c>
    </row>
    <row r="43" spans="1:15" s="10" customFormat="1" ht="13.8" thickBot="1" x14ac:dyDescent="0.3">
      <c r="A43" s="56" t="s">
        <v>361</v>
      </c>
      <c r="B43" s="868" t="str">
        <f>IF(Start!$C$17="x",(IF($C43="NA","NA",(IF(C43="","",(IF(AND(N43="NA",C43&lt;&gt;"NA",D43&lt;&gt;"NA"),"Missing Data",(IF(OR(D43 = "NA",D43=""),"No Criteria",(IF(N43&lt;D43,IF(OR(I43&lt;D43,ChemData!AA43&lt;&gt;""),"No-1",IF(M43&lt;D43,"No-2","No-3")),"Needed")))))))))),"---")</f>
        <v/>
      </c>
      <c r="C43" s="426" t="str">
        <f>IF(TRUE=ISBLANK(ChemData!B43),"",(ChemData!B43))</f>
        <v/>
      </c>
      <c r="D43" s="289">
        <f>IF(TRUE=ISBLANK(ChemData!J43),"",(ChemData!J43))</f>
        <v>2.8E-3</v>
      </c>
      <c r="E43" s="290">
        <f>IF(TRUE=ISBLANK(ChemData!Q43),"",(ChemData!Q43))</f>
        <v>4.7578025939051666E-2</v>
      </c>
      <c r="F43" s="290">
        <f>IF(TRUE=ISBLANK(ChemData!S43),"",(ChemData!S43))</f>
        <v>1</v>
      </c>
      <c r="G43" s="865">
        <f>IF(OR(TRUE=ISBLANK(ChemData!AA43),ChemData!AA43="NA",ChemData!AA43=0),ChemData!Z43,(ChemData!AA43))</f>
        <v>11.086491029477838</v>
      </c>
      <c r="H43" s="685" t="str">
        <f>IF(Start!$C$17="x",(IF(OR(C43="NA",C43=""),"NA",IF(OR(F43="NA",F43="",F43=0),"NA",C43*F43))),"---")</f>
        <v>NA</v>
      </c>
      <c r="I43" s="376" t="str">
        <f>IF(Start!$C$17="x",(IF($E43 = "NA", "NA", (IF(H43 = "NA", "NA",(IF(OR(ChemData!U43="NA",ChemData!U43=""),H43/((Data!$D$18+$E43*(1-Data!$D$18)*Data!$D$14)/(1000*(1-Data!$D$18)*Data!$D$14)),(IF(H43/((Data!$D$18+$E43*(1-Data!$D$18)*Data!$D$14)/(1000*(1-Data!$D$18)*Data!$D$14))&gt;ChemData!U43, ChemData!U43,H43/((Data!$D$18+$E43*(1-Data!$D$18)*Data!$D$14)/(1000*(1-Data!$D$18)*Data!$D$14)))))))))),"---")</f>
        <v>NA</v>
      </c>
      <c r="J43" s="870" t="str">
        <f>IF(Start!$C$17="x",IF(OR(I43="NA",I43="",ChemData!W43="NA",ChemData!W43=""),"NA",I43/ChemData!W43),"---")</f>
        <v>NA</v>
      </c>
      <c r="K43" s="870" t="str">
        <f>IF(Start!$C$17="x",IF(J43="NA","NA",IF(Data!$D$68&lt;ChemData!X43,J43*(Data!$D$68/ChemData!X43),J43)),"---")</f>
        <v>NA</v>
      </c>
      <c r="L43" s="870" t="str">
        <f>IF(Start!$C$17="x",IF(OR(I43="NA",I43="",ChemData!Z43="NA",ChemData!Z43=""),"NA",I43/ChemData!Z43),"---")</f>
        <v>NA</v>
      </c>
      <c r="M43" s="870" t="str">
        <f>IF(Start!$C$17="x",IF(OR(I43="NA",I43="",ChemData!Y43="NA",ChemData!Y43=""),"NA",I43/ChemData!Y43),"---")</f>
        <v>NA</v>
      </c>
      <c r="N43" s="870" t="str">
        <f>IF(Start!$C$17="x",IF(OR(I43="NA",I43="",G43="NA",G43=""),"NA",I43/G43),"---")</f>
        <v>NA</v>
      </c>
      <c r="O43" s="794" t="str">
        <f>IF(Start!$C$17="x",(IF(C43="","",(IF(N43="NA","NA",IF(D43="NA","NA",IF(D43=0,"NA",(N43/D43))))))),"Not Req.")</f>
        <v/>
      </c>
    </row>
    <row r="44" spans="1:15" s="10" customFormat="1" x14ac:dyDescent="0.25">
      <c r="A44" s="505" t="s">
        <v>362</v>
      </c>
      <c r="B44" s="527"/>
      <c r="C44" s="528"/>
      <c r="D44" s="511"/>
      <c r="E44" s="512"/>
      <c r="F44" s="512"/>
      <c r="G44" s="808"/>
      <c r="H44" s="511"/>
      <c r="I44" s="512"/>
      <c r="J44" s="534"/>
      <c r="K44" s="534"/>
      <c r="L44" s="534"/>
      <c r="M44" s="534"/>
      <c r="N44" s="534"/>
      <c r="O44" s="807"/>
    </row>
    <row r="45" spans="1:15" s="10" customFormat="1" x14ac:dyDescent="0.25">
      <c r="A45" s="405" t="s">
        <v>363</v>
      </c>
      <c r="B45" s="868" t="str">
        <f>IF(Start!$C$17="x",(IF($C45="NA","NA",(IF(C45="","",(IF(AND(N45="NA",C45&lt;&gt;"NA",D45&lt;&gt;"NA"),"Missing Data",(IF(OR(D45 = "NA",D45=""),"No Criteria",(IF(N45&lt;D45,IF(OR(I45&lt;D45,ChemData!AA45&lt;&gt;""),"No-1",IF(M45&lt;D45,"No-2","No-3")),"Needed")))))))))),"---")</f>
        <v/>
      </c>
      <c r="C45" s="426" t="str">
        <f>IF(TRUE=ISBLANK(ChemData!B45),"",(ChemData!B45))</f>
        <v/>
      </c>
      <c r="D45" s="289">
        <f>IF(TRUE=ISBLANK(ChemData!J45),"",(ChemData!J45))</f>
        <v>5.2</v>
      </c>
      <c r="E45" s="290">
        <f>IF(TRUE=ISBLANK(ChemData!Q45),"",(ChemData!Q45))</f>
        <v>9.9</v>
      </c>
      <c r="F45" s="290">
        <f>IF(TRUE=ISBLANK(ChemData!S45),"",(ChemData!S45))</f>
        <v>1</v>
      </c>
      <c r="G45" s="865" t="str">
        <f>IF(OR(TRUE=ISBLANK(ChemData!AA45),ChemData!AA45="NA",ChemData!AA45=0),ChemData!Z45,(ChemData!AA45))</f>
        <v>NA</v>
      </c>
      <c r="H45" s="685" t="str">
        <f>IF(Start!$C$17="x",(IF(OR(C45="NA",C45=""),"NA",IF(OR(F45="NA",F45="",F45=0),"NA",C45/((Data!$D$10/100)/F45)))),"---")</f>
        <v>NA</v>
      </c>
      <c r="I45" s="376" t="str">
        <f>IF(Start!$C$17="x",(IF($E45 = "NA", "NA", (IF(H45 = "NA", "NA",(IF(OR(ChemData!U45="NA",ChemData!U45=""),H45/((Data!$D$18+$E45*(1-Data!$D$18)*Data!$D$14)/(1000*(1-Data!$D$18)*Data!$D$14)),(IF(H45/((Data!$D$18+$E45*(1-Data!$D$18)*Data!$D$14)/(1000*(1-Data!$D$18)*Data!$D$14))&gt;ChemData!U45, ChemData!U45,H45/((Data!$D$18+$E45*(1-Data!$D$18)*Data!$D$14)/(1000*(1-Data!$D$18)*Data!$D$14)))))))))),"---")</f>
        <v>NA</v>
      </c>
      <c r="J45" s="870" t="str">
        <f>IF(Start!$C$17="x",IF(OR(I45="NA",I45="",ChemData!W45="NA",ChemData!W45=""),"NA",I45/ChemData!W45),"---")</f>
        <v>NA</v>
      </c>
      <c r="K45" s="870" t="str">
        <f>IF(Start!$C$17="x",IF(J45="NA","NA",IF(Data!$D$68&lt;ChemData!X45,J45*(Data!$D$68/ChemData!X45),J45)),"---")</f>
        <v>NA</v>
      </c>
      <c r="L45" s="870" t="str">
        <f>IF(Start!$C$17="x",IF(OR(I45="NA",I45="",ChemData!Z45="NA",ChemData!Z45=""),"NA",I45/ChemData!Z45),"---")</f>
        <v>NA</v>
      </c>
      <c r="M45" s="870" t="str">
        <f>IF(Start!$C$17="x",IF(OR(I45="NA",I45="",ChemData!Y45="NA",ChemData!Y45=""),"NA",I45/ChemData!Y45),"---")</f>
        <v>NA</v>
      </c>
      <c r="N45" s="870" t="str">
        <f>IF(Start!$C$17="x",IF(OR(I45="NA",I45="",G45="NA",G45=""),"NA",I45/G45),"---")</f>
        <v>NA</v>
      </c>
      <c r="O45" s="794" t="str">
        <f>IF(Start!$C$17="x",(IF(C45="","",(IF(N45="NA","NA",IF(D45="NA","NA",IF(D45=0,"NA",(N45/D45))))))),"Not Req.")</f>
        <v/>
      </c>
    </row>
    <row r="46" spans="1:15" s="10" customFormat="1" x14ac:dyDescent="0.25">
      <c r="A46" s="405" t="s">
        <v>364</v>
      </c>
      <c r="B46" s="868" t="str">
        <f>IF(Start!$C$17="x",(IF($C46="NA","NA",(IF(C46="","",(IF(AND(N46="NA",C46&lt;&gt;"NA",D46&lt;&gt;"NA"),"Missing Data",(IF(OR(D46 = "NA",D46=""),"No Criteria",(IF(N46&lt;D46,IF(OR(I46&lt;D46,ChemData!AA46&lt;&gt;""),"No-1",IF(M46&lt;D46,"No-2","No-3")),"Needed")))))))))),"---")</f>
        <v>No-2</v>
      </c>
      <c r="C46" s="426">
        <f>IF(TRUE=ISBLANK(ChemData!B46),"",(ChemData!B46))</f>
        <v>10</v>
      </c>
      <c r="D46" s="289">
        <f>IF(TRUE=ISBLANK(ChemData!J46),"",(ChemData!J46))</f>
        <v>1700</v>
      </c>
      <c r="E46" s="290">
        <f>IF(TRUE=ISBLANK(ChemData!Q46),"",(ChemData!Q46))</f>
        <v>8.6999999999999993</v>
      </c>
      <c r="F46" s="290">
        <f>IF(TRUE=ISBLANK(ChemData!S46),"",(ChemData!S46))</f>
        <v>1</v>
      </c>
      <c r="G46" s="865">
        <f>IF(OR(TRUE=ISBLANK(ChemData!AA46),ChemData!AA46="NA",ChemData!AA46=0),ChemData!Z46,(ChemData!AA46))</f>
        <v>34.621940295574944</v>
      </c>
      <c r="H46" s="685">
        <f>IF(Start!$C$17="x",(IF(OR(C46="NA",C46=""),"NA",IF(OR(F46="NA",F46="",F46=0),"NA",C46/((Data!$D$10/100)/F46)))),"---")</f>
        <v>20</v>
      </c>
      <c r="I46" s="376">
        <f>IF(Start!$C$17="x",(IF($E46 = "NA", "NA", (IF(H46 = "NA", "NA",(IF(OR(ChemData!U46="NA",ChemData!U46=""),H46/((Data!$D$18+$E46*(1-Data!$D$18)*Data!$D$14)/(1000*(1-Data!$D$18)*Data!$D$14)),(IF(H46/((Data!$D$18+$E46*(1-Data!$D$18)*Data!$D$14)/(1000*(1-Data!$D$18)*Data!$D$14))&gt;ChemData!U46, ChemData!U46,H46/((Data!$D$18+$E46*(1-Data!$D$18)*Data!$D$14)/(1000*(1-Data!$D$18)*Data!$D$14)))))))))),"---")</f>
        <v>2105.2631578947371</v>
      </c>
      <c r="J46" s="870">
        <f>IF(Start!$C$17="x",IF(OR(I46="NA",I46="",ChemData!W46="NA",ChemData!W46=""),"NA",I46/ChemData!W46),"---")</f>
        <v>339.5799167866121</v>
      </c>
      <c r="K46" s="870">
        <f>IF(Start!$C$17="x",IF(J46="NA","NA",IF(Data!$D$68&lt;ChemData!X46,J46*(Data!$D$68/ChemData!X46),J46)),"---")</f>
        <v>108.73884216497196</v>
      </c>
      <c r="L46" s="870">
        <f>IF(Start!$C$17="x",IF(OR(I46="NA",I46="",ChemData!Z46="NA",ChemData!Z46=""),"NA",I46/ChemData!Z46),"---")</f>
        <v>60.80719739915363</v>
      </c>
      <c r="M46" s="870">
        <f>IF(Start!$C$17="x",IF(OR(I46="NA",I46="",ChemData!Y46="NA",ChemData!Y46=""),"NA",I46/ChemData!Y46),"---")</f>
        <v>189.8944537362687</v>
      </c>
      <c r="N46" s="870">
        <f>IF(Start!$C$17="x",IF(OR(I46="NA",I46="",G46="NA",G46=""),"NA",I46/G46),"---")</f>
        <v>60.80719739915363</v>
      </c>
      <c r="O46" s="794">
        <f>IF(Start!$C$17="x",(IF(C46="","",(IF(N46="NA","NA",IF(D46="NA","NA",IF(D46=0,"NA",(N46/D46))))))),"Not Req.")</f>
        <v>3.5768939646560957E-2</v>
      </c>
    </row>
    <row r="47" spans="1:15" s="10" customFormat="1" x14ac:dyDescent="0.25">
      <c r="A47" s="405" t="s">
        <v>365</v>
      </c>
      <c r="B47" s="868" t="str">
        <f>IF(Start!$C$17="x",(IF($C47="NA","NA",(IF(C47="","",(IF(AND(N47="NA",C47&lt;&gt;"NA",D47&lt;&gt;"NA"),"Missing Data",(IF(OR(D47 = "NA",D47=""),"No Criteria",(IF(N47&lt;D47,IF(OR(I47&lt;D47,ChemData!AA47&lt;&gt;""),"No-1",IF(M47&lt;D47,"No-2","No-3")),"Needed")))))))))),"---")</f>
        <v/>
      </c>
      <c r="C47" s="426" t="str">
        <f>IF(TRUE=ISBLANK(ChemData!B47),"",(ChemData!B47))</f>
        <v/>
      </c>
      <c r="D47" s="289" t="str">
        <f>IF(TRUE=ISBLANK(ChemData!J47),"",(ChemData!J47))</f>
        <v>NA</v>
      </c>
      <c r="E47" s="290" t="str">
        <f>IF(TRUE=ISBLANK(ChemData!Q47),"",(ChemData!Q47))</f>
        <v>NA</v>
      </c>
      <c r="F47" s="290">
        <f>IF(TRUE=ISBLANK(ChemData!S47),"",(ChemData!S47))</f>
        <v>0.5</v>
      </c>
      <c r="G47" s="865" t="str">
        <f>IF(OR(TRUE=ISBLANK(ChemData!AA47),ChemData!AA47="NA",ChemData!AA47=0),ChemData!Z47,(ChemData!AA47))</f>
        <v>NA</v>
      </c>
      <c r="H47" s="685" t="str">
        <f>IF(Start!$C$17="x",(IF(OR(C47="NA",C47=""),"NA",IF(OR(F47="NA",F47="",F47=0),"NA",C47/((Data!$D$10/100)/F47)))),"---")</f>
        <v>NA</v>
      </c>
      <c r="I47" s="376" t="str">
        <f>IF(Start!$C$17="x",(IF($E47 = "NA", "NA", (IF(H47 = "NA", "NA",(IF(OR(ChemData!U47="NA",ChemData!U47=""),H47/((Data!$D$18+$E47*(1-Data!$D$18)*Data!$D$14)/(1000*(1-Data!$D$18)*Data!$D$14)),(IF(H47/((Data!$D$18+$E47*(1-Data!$D$18)*Data!$D$14)/(1000*(1-Data!$D$18)*Data!$D$14))&gt;ChemData!U47, ChemData!U47,H47/((Data!$D$18+$E47*(1-Data!$D$18)*Data!$D$14)/(1000*(1-Data!$D$18)*Data!$D$14)))))))))),"---")</f>
        <v>NA</v>
      </c>
      <c r="J47" s="870" t="str">
        <f>IF(Start!$C$17="x",IF(OR(I47="NA",I47="",ChemData!W47="NA",ChemData!W47=""),"NA",I47/ChemData!W47),"---")</f>
        <v>NA</v>
      </c>
      <c r="K47" s="870" t="str">
        <f>IF(Start!$C$17="x",IF(J47="NA","NA",IF(Data!$D$68&lt;ChemData!X47,J47*(Data!$D$68/ChemData!X47),J47)),"---")</f>
        <v>NA</v>
      </c>
      <c r="L47" s="870" t="str">
        <f>IF(Start!$C$17="x",IF(OR(I47="NA",I47="",ChemData!Z47="NA",ChemData!Z47=""),"NA",I47/ChemData!Z47),"---")</f>
        <v>NA</v>
      </c>
      <c r="M47" s="870" t="str">
        <f>IF(Start!$C$17="x",IF(OR(I47="NA",I47="",ChemData!Y47="NA",ChemData!Y47=""),"NA",I47/ChemData!Y47),"---")</f>
        <v>NA</v>
      </c>
      <c r="N47" s="870" t="str">
        <f>IF(Start!$C$17="x",IF(OR(I47="NA",I47="",G47="NA",G47=""),"NA",I47/G47),"---")</f>
        <v>NA</v>
      </c>
      <c r="O47" s="794" t="str">
        <f>IF(Start!$C$17="x",(IF(C47="","",(IF(N47="NA","NA",IF(D47="NA","NA",IF(D47=0,"NA",(N47/D47))))))),"Not Req.")</f>
        <v/>
      </c>
    </row>
    <row r="48" spans="1:15" s="10" customFormat="1" ht="13.8" thickBot="1" x14ac:dyDescent="0.3">
      <c r="A48" s="487" t="s">
        <v>366</v>
      </c>
      <c r="B48" s="868" t="str">
        <f>IF(Start!$C$17="x",(IF($C48="NA","NA",(IF(C48="","",(IF(AND(N48="NA",C48&lt;&gt;"NA",D48&lt;&gt;"NA"),"Missing Data",(IF(OR(D48 = "NA",D48=""),"No Criteria",(IF(N48&lt;D48,IF(OR(I48&lt;D48,ChemData!AA48&lt;&gt;""),"No-1",IF(M48&lt;D48,"No-2","No-3")),"Needed")))))))))),"---")</f>
        <v/>
      </c>
      <c r="C48" s="426" t="str">
        <f>IF(TRUE=ISBLANK(ChemData!B48),"",(ChemData!B48))</f>
        <v/>
      </c>
      <c r="D48" s="289">
        <f>IF(TRUE=ISBLANK(ChemData!J48),"",(ChemData!J48))</f>
        <v>2</v>
      </c>
      <c r="E48" s="290" t="str">
        <f>IF(TRUE=ISBLANK(ChemData!Q48),"",(ChemData!Q48))</f>
        <v>NA</v>
      </c>
      <c r="F48" s="290">
        <f>IF(TRUE=ISBLANK(ChemData!S48),"",(ChemData!S48))</f>
        <v>1E-3</v>
      </c>
      <c r="G48" s="865" t="str">
        <f>IF(OR(TRUE=ISBLANK(ChemData!AA48),ChemData!AA48="NA",ChemData!AA48=0),ChemData!Z48,(ChemData!AA48))</f>
        <v>NA</v>
      </c>
      <c r="H48" s="685" t="str">
        <f>IF(Start!$C$17="x",(IF(OR(C48="NA",C48=""),"NA",IF(OR(F48="NA",F48="",F48=0),"NA",C48/((Data!$D$10/100)/F48)))),"---")</f>
        <v>NA</v>
      </c>
      <c r="I48" s="376" t="str">
        <f>IF(Start!$C$17="x",(IF($E48 = "NA", "NA", (IF(H48 = "NA", "NA",(IF(OR(ChemData!U48="NA",ChemData!U48=""),H48/((Data!$D$18+$E48*(1-Data!$D$18)*Data!$D$14)/(1000*(1-Data!$D$18)*Data!$D$14)),(IF(H48/((Data!$D$18+$E48*(1-Data!$D$18)*Data!$D$14)/(1000*(1-Data!$D$18)*Data!$D$14))&gt;ChemData!U48, ChemData!U48,H48/((Data!$D$18+$E48*(1-Data!$D$18)*Data!$D$14)/(1000*(1-Data!$D$18)*Data!$D$14)))))))))),"---")</f>
        <v>NA</v>
      </c>
      <c r="J48" s="870" t="str">
        <f>IF(Start!$C$17="x",IF(OR(I48="NA",I48="",ChemData!W48="NA",ChemData!W48=""),"NA",I48/ChemData!W48),"---")</f>
        <v>NA</v>
      </c>
      <c r="K48" s="870" t="str">
        <f>IF(Start!$C$17="x",IF(J48="NA","NA",IF(Data!$D$68&lt;ChemData!X48,J48*(Data!$D$68/ChemData!X48),J48)),"---")</f>
        <v>NA</v>
      </c>
      <c r="L48" s="870" t="str">
        <f>IF(Start!$C$17="x",IF(OR(I48="NA",I48="",ChemData!Z48="NA",ChemData!Z48=""),"NA",I48/ChemData!Z48),"---")</f>
        <v>NA</v>
      </c>
      <c r="M48" s="870" t="str">
        <f>IF(Start!$C$17="x",IF(OR(I48="NA",I48="",ChemData!Y48="NA",ChemData!Y48=""),"NA",I48/ChemData!Y48),"---")</f>
        <v>NA</v>
      </c>
      <c r="N48" s="870" t="str">
        <f>IF(Start!$C$17="x",IF(OR(I48="NA",I48="",G48="NA",G48=""),"NA",I48/G48),"---")</f>
        <v>NA</v>
      </c>
      <c r="O48" s="794" t="str">
        <f>IF(Start!$C$17="x",(IF(C48="","",(IF(N48="NA","NA",IF(D48="NA","NA",IF(D48=0,"NA",(N48/D48))))))),"Not Req.")</f>
        <v/>
      </c>
    </row>
    <row r="49" spans="1:15" s="10" customFormat="1" x14ac:dyDescent="0.25">
      <c r="A49" s="505" t="s">
        <v>367</v>
      </c>
      <c r="B49" s="527"/>
      <c r="C49" s="528"/>
      <c r="D49" s="511"/>
      <c r="E49" s="512"/>
      <c r="F49" s="512"/>
      <c r="G49" s="808"/>
      <c r="H49" s="511"/>
      <c r="I49" s="512"/>
      <c r="J49" s="534"/>
      <c r="K49" s="534"/>
      <c r="L49" s="534"/>
      <c r="M49" s="534"/>
      <c r="N49" s="534"/>
      <c r="O49" s="807"/>
    </row>
    <row r="50" spans="1:15" s="10" customFormat="1" x14ac:dyDescent="0.25">
      <c r="A50" s="405" t="s">
        <v>368</v>
      </c>
      <c r="B50" s="868" t="str">
        <f>IF(Start!$C$17="x",(IF($C50="NA","NA",(IF(C50="","",(IF(AND(N50="NA",C50&lt;&gt;"NA",D50&lt;&gt;"NA"),"Missing Data",(IF(OR(D50 = "NA",D50=""),"No Criteria",(IF(N50&lt;D50,IF(OR(I50&lt;D50,ChemData!AA50&lt;&gt;""),"No-1",IF(M50&lt;D50,"No-2","No-3")),"Needed")))))))))),"---")</f>
        <v/>
      </c>
      <c r="C50" s="426" t="str">
        <f>IF(TRUE=ISBLANK(ChemData!B50),"",(ChemData!B50))</f>
        <v/>
      </c>
      <c r="D50" s="289">
        <f>IF(TRUE=ISBLANK(ChemData!J50),"",(ChemData!J50))</f>
        <v>23</v>
      </c>
      <c r="E50" s="290">
        <f>IF(TRUE=ISBLANK(ChemData!Q50),"",(ChemData!Q50))</f>
        <v>153.95947403110438</v>
      </c>
      <c r="F50" s="290">
        <f>IF(TRUE=ISBLANK(ChemData!S50),"",(ChemData!S50))</f>
        <v>1</v>
      </c>
      <c r="G50" s="865">
        <f>IF(OR(TRUE=ISBLANK(ChemData!AA50),ChemData!AA50="NA",ChemData!AA50=0),ChemData!Z50,(ChemData!AA50))</f>
        <v>1298.2206493050389</v>
      </c>
      <c r="H50" s="685" t="str">
        <f>IF(Start!$C$17="x",(IF(OR(C50="NA",C50=""),"NA",IF(OR(F50="NA",F50="",F50=0),"NA",C50*F50))),"---")</f>
        <v>NA</v>
      </c>
      <c r="I50" s="376" t="str">
        <f>IF(Start!$C$17="x",(IF($E50 = "NA", "NA", (IF(H50 = "NA", "NA",(IF(OR(ChemData!U50="NA",ChemData!U50=""),H50/((Data!$D$18+$E50*(1-Data!$D$18)*Data!$D$14)/(1000*(1-Data!$D$18)*Data!$D$14)),(IF(H50/((Data!$D$18+$E50*(1-Data!$D$18)*Data!$D$14)/(1000*(1-Data!$D$18)*Data!$D$14))&gt;ChemData!U50, ChemData!U50,H50/((Data!$D$18+$E50*(1-Data!$D$18)*Data!$D$14)/(1000*(1-Data!$D$18)*Data!$D$14)))))))))),"---")</f>
        <v>NA</v>
      </c>
      <c r="J50" s="870" t="str">
        <f>IF(Start!$C$17="x",IF(OR(I50="NA",I50="",ChemData!W50="NA",ChemData!W50=""),"NA",I50/ChemData!W50),"---")</f>
        <v>NA</v>
      </c>
      <c r="K50" s="870" t="str">
        <f>IF(Start!$C$17="x",IF(J50="NA","NA",IF(Data!$D$68&lt;ChemData!X50,J50*(Data!$D$68/ChemData!X50),J50)),"---")</f>
        <v>NA</v>
      </c>
      <c r="L50" s="870" t="str">
        <f>IF(Start!$C$17="x",IF(OR(I50="NA",I50="",ChemData!Z50="NA",ChemData!Z50=""),"NA",I50/ChemData!Z50),"---")</f>
        <v>NA</v>
      </c>
      <c r="M50" s="870" t="str">
        <f>IF(Start!$C$17="x",IF(OR(I50="NA",I50="",ChemData!Y50="NA",ChemData!Y50=""),"NA",I50/ChemData!Y50),"---")</f>
        <v>NA</v>
      </c>
      <c r="N50" s="870" t="str">
        <f>IF(Start!$C$17="x",IF(OR(I50="NA",I50="",G50="NA",G50=""),"NA",I50/G50),"---")</f>
        <v>NA</v>
      </c>
      <c r="O50" s="794" t="str">
        <f>IF(Start!$C$17="x",(IF(C50="","",(IF(N50="NA","NA",IF(D50="NA","NA",IF(D50=0,"NA",(N50/D50))))))),"Not Req.")</f>
        <v/>
      </c>
    </row>
    <row r="51" spans="1:15" s="10" customFormat="1" x14ac:dyDescent="0.25">
      <c r="A51" s="405" t="s">
        <v>369</v>
      </c>
      <c r="B51" s="868" t="str">
        <f>IF(Start!$C$17="x",(IF($C51="NA","NA",(IF(C51="","",(IF(AND(N51="NA",C51&lt;&gt;"NA",D51&lt;&gt;"NA"),"Missing Data",(IF(OR(D51 = "NA",D51=""),"No Criteria",(IF(N51&lt;D51,IF(OR(I51&lt;D51,ChemData!AA51&lt;&gt;""),"No-1",IF(M51&lt;D51,"No-2","No-3")),"Needed")))))))))),"---")</f>
        <v/>
      </c>
      <c r="C51" s="426" t="str">
        <f>IF(TRUE=ISBLANK(ChemData!B51),"",(ChemData!B51))</f>
        <v/>
      </c>
      <c r="D51" s="289" t="str">
        <f>IF(TRUE=ISBLANK(ChemData!J51),"",(ChemData!J51))</f>
        <v>NA</v>
      </c>
      <c r="E51" s="290">
        <f>IF(TRUE=ISBLANK(ChemData!Q51),"",(ChemData!Q51))</f>
        <v>185.1</v>
      </c>
      <c r="F51" s="290">
        <f>IF(TRUE=ISBLANK(ChemData!S51),"",(ChemData!S51))</f>
        <v>1</v>
      </c>
      <c r="G51" s="865">
        <f>IF(OR(TRUE=ISBLANK(ChemData!AA51),ChemData!AA51="NA",ChemData!AA51=0),ChemData!Z51,(ChemData!AA51))</f>
        <v>1701.5054751140763</v>
      </c>
      <c r="H51" s="685" t="str">
        <f>IF(Start!$C$17="x",(IF(OR(C51="NA",C51=""),"NA",IF(OR(F51="NA",F51="",F51=0),"NA",C51*F51))),"---")</f>
        <v>NA</v>
      </c>
      <c r="I51" s="376" t="str">
        <f>IF(Start!$C$17="x",(IF($E51 = "NA", "NA", (IF(H51 = "NA", "NA",(IF(OR(ChemData!U51="NA",ChemData!U51=""),H51/((Data!$D$18+$E51*(1-Data!$D$18)*Data!$D$14)/(1000*(1-Data!$D$18)*Data!$D$14)),(IF(H51/((Data!$D$18+$E51*(1-Data!$D$18)*Data!$D$14)/(1000*(1-Data!$D$18)*Data!$D$14))&gt;ChemData!U51, ChemData!U51,H51/((Data!$D$18+$E51*(1-Data!$D$18)*Data!$D$14)/(1000*(1-Data!$D$18)*Data!$D$14)))))))))),"---")</f>
        <v>NA</v>
      </c>
      <c r="J51" s="870" t="str">
        <f>IF(Start!$C$17="x",IF(OR(I51="NA",I51="",ChemData!W51="NA",ChemData!W51=""),"NA",I51/ChemData!W51),"---")</f>
        <v>NA</v>
      </c>
      <c r="K51" s="870" t="str">
        <f>IF(Start!$C$17="x",IF(J51="NA","NA",IF(Data!$D$68&lt;ChemData!X51,J51*(Data!$D$68/ChemData!X51),J51)),"---")</f>
        <v>NA</v>
      </c>
      <c r="L51" s="870" t="str">
        <f>IF(Start!$C$17="x",IF(OR(I51="NA",I51="",ChemData!Z51="NA",ChemData!Z51=""),"NA",I51/ChemData!Z51),"---")</f>
        <v>NA</v>
      </c>
      <c r="M51" s="870" t="str">
        <f>IF(Start!$C$17="x",IF(OR(I51="NA",I51="",ChemData!Y51="NA",ChemData!Y51=""),"NA",I51/ChemData!Y51),"---")</f>
        <v>NA</v>
      </c>
      <c r="N51" s="870" t="str">
        <f>IF(Start!$C$17="x",IF(OR(I51="NA",I51="",G51="NA",G51=""),"NA",I51/G51),"---")</f>
        <v>NA</v>
      </c>
      <c r="O51" s="794" t="str">
        <f>IF(Start!$C$17="x",(IF(C51="","",(IF(N51="NA","NA",IF(D51="NA","NA",IF(D51=0,"NA",(N51/D51))))))),"Not Req.")</f>
        <v/>
      </c>
    </row>
    <row r="52" spans="1:15" s="10" customFormat="1" x14ac:dyDescent="0.25">
      <c r="A52" s="405" t="s">
        <v>370</v>
      </c>
      <c r="B52" s="868" t="str">
        <f>IF(Start!$C$17="x",(IF($C52="NA","NA",(IF(C52="","",(IF(AND(N52="NA",C52&lt;&gt;"NA",D52&lt;&gt;"NA"),"Missing Data",(IF(OR(D52 = "NA",D52=""),"No Criteria",(IF(N52&lt;D52,IF(OR(I52&lt;D52,ChemData!AA52&lt;&gt;""),"No-1",IF(M52&lt;D52,"No-2","No-3")),"Needed")))))))))),"---")</f>
        <v/>
      </c>
      <c r="C52" s="426" t="str">
        <f>IF(TRUE=ISBLANK(ChemData!B52),"",(ChemData!B52))</f>
        <v/>
      </c>
      <c r="D52" s="289">
        <f>IF(TRUE=ISBLANK(ChemData!J52),"",(ChemData!J52))</f>
        <v>0.73</v>
      </c>
      <c r="E52" s="290">
        <f>IF(TRUE=ISBLANK(ChemData!Q52),"",(ChemData!Q52))</f>
        <v>585.33759489716783</v>
      </c>
      <c r="F52" s="290">
        <f>IF(TRUE=ISBLANK(ChemData!S52),"",(ChemData!S52))</f>
        <v>1</v>
      </c>
      <c r="G52" s="865">
        <f>IF(OR(TRUE=ISBLANK(ChemData!AA52),ChemData!AA52="NA",ChemData!AA52=0),ChemData!Z52,(ChemData!AA52))</f>
        <v>9228.1275761180841</v>
      </c>
      <c r="H52" s="685" t="str">
        <f>IF(Start!$C$17="x",(IF(OR(C52="NA",C52=""),"NA",IF(OR(F52="NA",F52="",F52=0),"NA",C52*F52))),"---")</f>
        <v>NA</v>
      </c>
      <c r="I52" s="376" t="str">
        <f>IF(Start!$C$17="x",(IF($E52 = "NA", "NA", (IF(H52 = "NA", "NA",(IF(OR(ChemData!U52="NA",ChemData!U52=""),H52/((Data!$D$18+$E52*(1-Data!$D$18)*Data!$D$14)/(1000*(1-Data!$D$18)*Data!$D$14)),(IF(H52/((Data!$D$18+$E52*(1-Data!$D$18)*Data!$D$14)/(1000*(1-Data!$D$18)*Data!$D$14))&gt;ChemData!U52, ChemData!U52,H52/((Data!$D$18+$E52*(1-Data!$D$18)*Data!$D$14)/(1000*(1-Data!$D$18)*Data!$D$14)))))))))),"---")</f>
        <v>NA</v>
      </c>
      <c r="J52" s="870" t="str">
        <f>IF(Start!$C$17="x",IF(OR(I52="NA",I52="",ChemData!W52="NA",ChemData!W52=""),"NA",I52/ChemData!W52),"---")</f>
        <v>NA</v>
      </c>
      <c r="K52" s="870" t="str">
        <f>IF(Start!$C$17="x",IF(J52="NA","NA",IF(Data!$D$68&lt;ChemData!X52,J52*(Data!$D$68/ChemData!X52),J52)),"---")</f>
        <v>NA</v>
      </c>
      <c r="L52" s="870" t="str">
        <f>IF(Start!$C$17="x",IF(OR(I52="NA",I52="",ChemData!Z52="NA",ChemData!Z52=""),"NA",I52/ChemData!Z52),"---")</f>
        <v>NA</v>
      </c>
      <c r="M52" s="870" t="str">
        <f>IF(Start!$C$17="x",IF(OR(I52="NA",I52="",ChemData!Y52="NA",ChemData!Y52=""),"NA",I52/ChemData!Y52),"---")</f>
        <v>NA</v>
      </c>
      <c r="N52" s="870" t="str">
        <f>IF(Start!$C$17="x",IF(OR(I52="NA",I52="",G52="NA",G52=""),"NA",I52/G52),"---")</f>
        <v>NA</v>
      </c>
      <c r="O52" s="794" t="str">
        <f>IF(Start!$C$17="x",(IF(C52="","",(IF(N52="NA","NA",IF(D52="NA","NA",IF(D52=0,"NA",(N52/D52))))))),"Not Req.")</f>
        <v/>
      </c>
    </row>
    <row r="53" spans="1:15" s="10" customFormat="1" x14ac:dyDescent="0.25">
      <c r="A53" s="405" t="s">
        <v>371</v>
      </c>
      <c r="B53" s="868" t="str">
        <f>IF(Start!$C$17="x",(IF($C53="NA","NA",(IF(C53="","",(IF(AND(N53="NA",C53&lt;&gt;"NA",D53&lt;&gt;"NA"),"Missing Data",(IF(OR(D53 = "NA",D53=""),"No Criteria",(IF(N53&lt;D53,IF(OR(I53&lt;D53,ChemData!AA53&lt;&gt;""),"No-1",IF(M53&lt;D53,"No-2","No-3")),"Needed")))))))))),"---")</f>
        <v/>
      </c>
      <c r="C53" s="426" t="str">
        <f>IF(TRUE=ISBLANK(ChemData!B53),"",(ChemData!B53))</f>
        <v/>
      </c>
      <c r="D53" s="289">
        <f>IF(TRUE=ISBLANK(ChemData!J53),"",(ChemData!J53))</f>
        <v>2.7E-2</v>
      </c>
      <c r="E53" s="290">
        <f>IF(TRUE=ISBLANK(ChemData!Q53),"",(ChemData!Q53))</f>
        <v>9276.9756944408309</v>
      </c>
      <c r="F53" s="290">
        <f>IF(TRUE=ISBLANK(ChemData!S53),"",(ChemData!S53))</f>
        <v>1</v>
      </c>
      <c r="G53" s="865">
        <f>IF(OR(TRUE=ISBLANK(ChemData!AA53),ChemData!AA53="NA",ChemData!AA53=0),ChemData!Z53,(ChemData!AA53))</f>
        <v>533809.33397743106</v>
      </c>
      <c r="H53" s="685" t="str">
        <f>IF(Start!$C$17="x",(IF(OR(C53="NA",C53=""),"NA",IF(OR(F53="NA",F53="",F53=0),"NA",C53*F53))),"---")</f>
        <v>NA</v>
      </c>
      <c r="I53" s="376" t="str">
        <f>IF(Start!$C$17="x",(IF($E53 = "NA", "NA", (IF(H53 = "NA", "NA",(IF(OR(ChemData!U53="NA",ChemData!U53=""),H53/((Data!$D$18+$E53*(1-Data!$D$18)*Data!$D$14)/(1000*(1-Data!$D$18)*Data!$D$14)),(IF(H53/((Data!$D$18+$E53*(1-Data!$D$18)*Data!$D$14)/(1000*(1-Data!$D$18)*Data!$D$14))&gt;ChemData!U53, ChemData!U53,H53/((Data!$D$18+$E53*(1-Data!$D$18)*Data!$D$14)/(1000*(1-Data!$D$18)*Data!$D$14)))))))))),"---")</f>
        <v>NA</v>
      </c>
      <c r="J53" s="870" t="str">
        <f>IF(Start!$C$17="x",IF(OR(I53="NA",I53="",ChemData!W53="NA",ChemData!W53=""),"NA",I53/ChemData!W53),"---")</f>
        <v>NA</v>
      </c>
      <c r="K53" s="870" t="str">
        <f>IF(Start!$C$17="x",IF(J53="NA","NA",IF(Data!$D$68&lt;ChemData!X53,J53*(Data!$D$68/ChemData!X53),J53)),"---")</f>
        <v>NA</v>
      </c>
      <c r="L53" s="870" t="str">
        <f>IF(Start!$C$17="x",IF(OR(I53="NA",I53="",ChemData!Z53="NA",ChemData!Z53=""),"NA",I53/ChemData!Z53),"---")</f>
        <v>NA</v>
      </c>
      <c r="M53" s="870" t="str">
        <f>IF(Start!$C$17="x",IF(OR(I53="NA",I53="",ChemData!Y53="NA",ChemData!Y53=""),"NA",I53/ChemData!Y53),"---")</f>
        <v>NA</v>
      </c>
      <c r="N53" s="870" t="str">
        <f>IF(Start!$C$17="x",IF(OR(I53="NA",I53="",G53="NA",G53=""),"NA",I53/G53),"---")</f>
        <v>NA</v>
      </c>
      <c r="O53" s="794" t="str">
        <f>IF(Start!$C$17="x",(IF(C53="","",(IF(N53="NA","NA",IF(D53="NA","NA",IF(D53=0,"NA",(N53/D53))))))),"Not Req.")</f>
        <v/>
      </c>
    </row>
    <row r="54" spans="1:15" s="10" customFormat="1" x14ac:dyDescent="0.25">
      <c r="A54" s="405" t="s">
        <v>372</v>
      </c>
      <c r="B54" s="868" t="str">
        <f>IF(Start!$C$17="x",(IF($C54="NA","NA",(IF(C54="","",(IF(AND(N54="NA",C54&lt;&gt;"NA",D54&lt;&gt;"NA"),"Missing Data",(IF(OR(D54 = "NA",D54=""),"No Criteria",(IF(N54&lt;D54,IF(OR(I54&lt;D54,ChemData!AA54&lt;&gt;""),"No-1",IF(M54&lt;D54,"No-2","No-3")),"Needed")))))))))),"---")</f>
        <v/>
      </c>
      <c r="C54" s="426" t="str">
        <f>IF(TRUE=ISBLANK(ChemData!B54),"",(ChemData!B54))</f>
        <v/>
      </c>
      <c r="D54" s="289" t="str">
        <f>IF(TRUE=ISBLANK(ChemData!J54),"",(ChemData!J54))</f>
        <v>NA</v>
      </c>
      <c r="E54" s="290">
        <f>IF(TRUE=ISBLANK(ChemData!Q54),"",(ChemData!Q54))</f>
        <v>29336.372992455243</v>
      </c>
      <c r="F54" s="290">
        <f>IF(TRUE=ISBLANK(ChemData!S54),"",(ChemData!S54))</f>
        <v>1</v>
      </c>
      <c r="G54" s="865">
        <f>IF(OR(TRUE=ISBLANK(ChemData!AA54),ChemData!AA54="NA",ChemData!AA54=0),ChemData!Z54,(ChemData!AA54))</f>
        <v>2895118.8857832444</v>
      </c>
      <c r="H54" s="685" t="str">
        <f>IF(Start!$C$17="x",(IF(OR(C54="NA",C54=""),"NA",IF(OR(F54="NA",F54="",F54=0),"NA",C54*F54))),"---")</f>
        <v>NA</v>
      </c>
      <c r="I54" s="376" t="str">
        <f>IF(Start!$C$17="x",(IF($E54 = "NA", "NA", (IF(H54 = "NA", "NA",(IF(OR(ChemData!U54="NA",ChemData!U54=""),H54/((Data!$D$18+$E54*(1-Data!$D$18)*Data!$D$14)/(1000*(1-Data!$D$18)*Data!$D$14)),(IF(H54/((Data!$D$18+$E54*(1-Data!$D$18)*Data!$D$14)/(1000*(1-Data!$D$18)*Data!$D$14))&gt;ChemData!U54, ChemData!U54,H54/((Data!$D$18+$E54*(1-Data!$D$18)*Data!$D$14)/(1000*(1-Data!$D$18)*Data!$D$14)))))))))),"---")</f>
        <v>NA</v>
      </c>
      <c r="J54" s="870" t="str">
        <f>IF(Start!$C$17="x",IF(OR(I54="NA",I54="",ChemData!W54="NA",ChemData!W54=""),"NA",I54/ChemData!W54),"---")</f>
        <v>NA</v>
      </c>
      <c r="K54" s="870" t="str">
        <f>IF(Start!$C$17="x",IF(J54="NA","NA",IF(Data!$D$68&lt;ChemData!X54,J54*(Data!$D$68/ChemData!X54),J54)),"---")</f>
        <v>NA</v>
      </c>
      <c r="L54" s="870" t="str">
        <f>IF(Start!$C$17="x",IF(OR(I54="NA",I54="",ChemData!Z54="NA",ChemData!Z54=""),"NA",I54/ChemData!Z54),"---")</f>
        <v>NA</v>
      </c>
      <c r="M54" s="870" t="str">
        <f>IF(Start!$C$17="x",IF(OR(I54="NA",I54="",ChemData!Y54="NA",ChemData!Y54=""),"NA",I54/ChemData!Y54),"---")</f>
        <v>NA</v>
      </c>
      <c r="N54" s="870" t="str">
        <f>IF(Start!$C$17="x",IF(OR(I54="NA",I54="",G54="NA",G54=""),"NA",I54/G54),"---")</f>
        <v>NA</v>
      </c>
      <c r="O54" s="794" t="str">
        <f>IF(Start!$C$17="x",(IF(C54="","",(IF(N54="NA","NA",IF(D54="NA","NA",IF(D54=0,"NA",(N54/D54))))))),"Not Req.")</f>
        <v/>
      </c>
    </row>
    <row r="55" spans="1:15" s="10" customFormat="1" x14ac:dyDescent="0.25">
      <c r="A55" s="405" t="s">
        <v>373</v>
      </c>
      <c r="B55" s="868" t="str">
        <f>IF(Start!$C$17="x",(IF($C55="NA","NA",(IF(C55="","",(IF(AND(N55="NA",C55&lt;&gt;"NA",D55&lt;&gt;"NA"),"Missing Data",(IF(OR(D55 = "NA",D55=""),"No Criteria",(IF(N55&lt;D55,IF(OR(I55&lt;D55,ChemData!AA55&lt;&gt;""),"No-1",IF(M55&lt;D55,"No-2","No-3")),"Needed")))))))))),"---")</f>
        <v/>
      </c>
      <c r="C55" s="426" t="str">
        <f>IF(TRUE=ISBLANK(ChemData!B55),"",(ChemData!B55))</f>
        <v/>
      </c>
      <c r="D55" s="289" t="str">
        <f>IF(TRUE=ISBLANK(ChemData!J55),"",(ChemData!J55))</f>
        <v>NA</v>
      </c>
      <c r="E55" s="290">
        <f>IF(TRUE=ISBLANK(ChemData!Q55),"",(ChemData!Q55))</f>
        <v>29336.372992455243</v>
      </c>
      <c r="F55" s="290">
        <f>IF(TRUE=ISBLANK(ChemData!S55),"",(ChemData!S55))</f>
        <v>1</v>
      </c>
      <c r="G55" s="865">
        <f>IF(OR(TRUE=ISBLANK(ChemData!AA55),ChemData!AA55="NA",ChemData!AA55=0),ChemData!Z55,(ChemData!AA55))</f>
        <v>2895118.8857832444</v>
      </c>
      <c r="H55" s="685" t="str">
        <f>IF(Start!$C$17="x",(IF(OR(C55="NA",C55=""),"NA",IF(OR(F55="NA",F55="",F55=0),"NA",C55*F55))),"---")</f>
        <v>NA</v>
      </c>
      <c r="I55" s="376" t="str">
        <f>IF(Start!$C$17="x",(IF($E55 = "NA", "NA", (IF(H55 = "NA", "NA",(IF(OR(ChemData!U55="NA",ChemData!U55=""),H55/((Data!$D$18+$E55*(1-Data!$D$18)*Data!$D$14)/(1000*(1-Data!$D$18)*Data!$D$14)),(IF(H55/((Data!$D$18+$E55*(1-Data!$D$18)*Data!$D$14)/(1000*(1-Data!$D$18)*Data!$D$14))&gt;ChemData!U55, ChemData!U55,H55/((Data!$D$18+$E55*(1-Data!$D$18)*Data!$D$14)/(1000*(1-Data!$D$18)*Data!$D$14)))))))))),"---")</f>
        <v>NA</v>
      </c>
      <c r="J55" s="870" t="str">
        <f>IF(Start!$C$17="x",IF(OR(I55="NA",I55="",ChemData!W55="NA",ChemData!W55=""),"NA",I55/ChemData!W55),"---")</f>
        <v>NA</v>
      </c>
      <c r="K55" s="870" t="str">
        <f>IF(Start!$C$17="x",IF(J55="NA","NA",IF(Data!$D$68&lt;ChemData!X55,J55*(Data!$D$68/ChemData!X55),J55)),"---")</f>
        <v>NA</v>
      </c>
      <c r="L55" s="870" t="str">
        <f>IF(Start!$C$17="x",IF(OR(I55="NA",I55="",ChemData!Z55="NA",ChemData!Z55=""),"NA",I55/ChemData!Z55),"---")</f>
        <v>NA</v>
      </c>
      <c r="M55" s="870" t="str">
        <f>IF(Start!$C$17="x",IF(OR(I55="NA",I55="",ChemData!Y55="NA",ChemData!Y55=""),"NA",I55/ChemData!Y55),"---")</f>
        <v>NA</v>
      </c>
      <c r="N55" s="870" t="str">
        <f>IF(Start!$C$17="x",IF(OR(I55="NA",I55="",G55="NA",G55=""),"NA",I55/G55),"---")</f>
        <v>NA</v>
      </c>
      <c r="O55" s="794" t="str">
        <f>IF(Start!$C$17="x",(IF(C55="","",(IF(N55="NA","NA",IF(D55="NA","NA",IF(D55=0,"NA",(N55/D55))))))),"Not Req.")</f>
        <v/>
      </c>
    </row>
    <row r="56" spans="1:15" s="10" customFormat="1" x14ac:dyDescent="0.25">
      <c r="A56" s="405" t="s">
        <v>374</v>
      </c>
      <c r="B56" s="868" t="str">
        <f>IF(Start!$C$17="x",(IF($C56="NA","NA",(IF(C56="","",(IF(AND(N56="NA",C56&lt;&gt;"NA",D56&lt;&gt;"NA"),"Missing Data",(IF(OR(D56 = "NA",D56=""),"No Criteria",(IF(N56&lt;D56,IF(OR(I56&lt;D56,ChemData!AA56&lt;&gt;""),"No-1",IF(M56&lt;D56,"No-2","No-3")),"Needed")))))))))),"---")</f>
        <v/>
      </c>
      <c r="C56" s="426" t="str">
        <f>IF(TRUE=ISBLANK(ChemData!B56),"",(ChemData!B56))</f>
        <v/>
      </c>
      <c r="D56" s="289" t="str">
        <f>IF(TRUE=ISBLANK(ChemData!J56),"",(ChemData!J56))</f>
        <v>NA</v>
      </c>
      <c r="E56" s="290">
        <f>IF(TRUE=ISBLANK(ChemData!Q56),"",(ChemData!Q56))</f>
        <v>92769.756944408247</v>
      </c>
      <c r="F56" s="290">
        <f>IF(TRUE=ISBLANK(ChemData!S56),"",(ChemData!S56))</f>
        <v>1</v>
      </c>
      <c r="G56" s="865">
        <f>IF(OR(TRUE=ISBLANK(ChemData!AA56),ChemData!AA56="NA",ChemData!AA56=0),ChemData!Z56,(ChemData!AA56))</f>
        <v>15701698.770170251</v>
      </c>
      <c r="H56" s="685" t="str">
        <f>IF(Start!$C$17="x",(IF(OR(C56="NA",C56=""),"NA",IF(OR(F56="NA",F56="",F56=0),"NA",C56*F56))),"---")</f>
        <v>NA</v>
      </c>
      <c r="I56" s="376" t="str">
        <f>IF(Start!$C$17="x",(IF($E56 = "NA", "NA", (IF(H56 = "NA", "NA",(IF(OR(ChemData!U56="NA",ChemData!U56=""),H56/((Data!$D$18+$E56*(1-Data!$D$18)*Data!$D$14)/(1000*(1-Data!$D$18)*Data!$D$14)),(IF(H56/((Data!$D$18+$E56*(1-Data!$D$18)*Data!$D$14)/(1000*(1-Data!$D$18)*Data!$D$14))&gt;ChemData!U56, ChemData!U56,H56/((Data!$D$18+$E56*(1-Data!$D$18)*Data!$D$14)/(1000*(1-Data!$D$18)*Data!$D$14)))))))))),"---")</f>
        <v>NA</v>
      </c>
      <c r="J56" s="870" t="str">
        <f>IF(Start!$C$17="x",IF(OR(I56="NA",I56="",ChemData!W56="NA",ChemData!W56=""),"NA",I56/ChemData!W56),"---")</f>
        <v>NA</v>
      </c>
      <c r="K56" s="870" t="str">
        <f>IF(Start!$C$17="x",IF(J56="NA","NA",IF(Data!$D$68&lt;ChemData!X56,J56*(Data!$D$68/ChemData!X56),J56)),"---")</f>
        <v>NA</v>
      </c>
      <c r="L56" s="870" t="str">
        <f>IF(Start!$C$17="x",IF(OR(I56="NA",I56="",ChemData!Z56="NA",ChemData!Z56=""),"NA",I56/ChemData!Z56),"---")</f>
        <v>NA</v>
      </c>
      <c r="M56" s="870" t="str">
        <f>IF(Start!$C$17="x",IF(OR(I56="NA",I56="",ChemData!Y56="NA",ChemData!Y56=""),"NA",I56/ChemData!Y56),"---")</f>
        <v>NA</v>
      </c>
      <c r="N56" s="870" t="str">
        <f>IF(Start!$C$17="x",IF(OR(I56="NA",I56="",G56="NA",G56=""),"NA",I56/G56),"---")</f>
        <v>NA</v>
      </c>
      <c r="O56" s="794" t="str">
        <f>IF(Start!$C$17="x",(IF(C56="","",(IF(N56="NA","NA",IF(D56="NA","NA",IF(D56=0,"NA",(N56/D56))))))),"Not Req.")</f>
        <v/>
      </c>
    </row>
    <row r="57" spans="1:15" s="10" customFormat="1" x14ac:dyDescent="0.25">
      <c r="A57" s="405" t="s">
        <v>375</v>
      </c>
      <c r="B57" s="868" t="str">
        <f>IF(Start!$C$17="x",(IF($C57="NA","NA",(IF(C57="","",(IF(AND(N57="NA",C57&lt;&gt;"NA",D57&lt;&gt;"NA"),"Missing Data",(IF(OR(D57 = "NA",D57=""),"No Criteria",(IF(N57&lt;D57,IF(OR(I57&lt;D57,ChemData!AA57&lt;&gt;""),"No-1",IF(M57&lt;D57,"No-2","No-3")),"Needed")))))))))),"---")</f>
        <v/>
      </c>
      <c r="C57" s="426" t="str">
        <f>IF(TRUE=ISBLANK(ChemData!B57),"",(ChemData!B57))</f>
        <v/>
      </c>
      <c r="D57" s="289">
        <f>IF(TRUE=ISBLANK(ChemData!J57),"",(ChemData!J57))</f>
        <v>1.4E-2</v>
      </c>
      <c r="E57" s="290">
        <f>IF(TRUE=ISBLANK(ChemData!Q57),"",(ChemData!Q57))</f>
        <v>20295.811410610371</v>
      </c>
      <c r="F57" s="290">
        <f>IF(TRUE=ISBLANK(ChemData!S57),"",(ChemData!S57))</f>
        <v>1</v>
      </c>
      <c r="G57" s="865">
        <f>IF(OR(TRUE=ISBLANK(ChemData!AA57),ChemData!AA57="NA",ChemData!AA57=0),ChemData!Z57,(ChemData!AA57))</f>
        <v>1685375.6922879587</v>
      </c>
      <c r="H57" s="685" t="str">
        <f>IF(Start!$C$17="x",(IF(OR(C57="NA",C57=""),"NA",IF(OR(F57="NA",F57="",F57=0),"NA",C57*F57))),"---")</f>
        <v>NA</v>
      </c>
      <c r="I57" s="376" t="str">
        <f>IF(Start!$C$17="x",(IF($E57 = "NA", "NA", (IF(H57 = "NA", "NA",(IF(OR(ChemData!U57="NA",ChemData!U57=""),H57/((Data!$D$18+$E57*(1-Data!$D$18)*Data!$D$14)/(1000*(1-Data!$D$18)*Data!$D$14)),(IF(H57/((Data!$D$18+$E57*(1-Data!$D$18)*Data!$D$14)/(1000*(1-Data!$D$18)*Data!$D$14))&gt;ChemData!U57, ChemData!U57,H57/((Data!$D$18+$E57*(1-Data!$D$18)*Data!$D$14)/(1000*(1-Data!$D$18)*Data!$D$14)))))))))),"---")</f>
        <v>NA</v>
      </c>
      <c r="J57" s="870" t="str">
        <f>IF(Start!$C$17="x",IF(OR(I57="NA",I57="",ChemData!W57="NA",ChemData!W57=""),"NA",I57/ChemData!W57),"---")</f>
        <v>NA</v>
      </c>
      <c r="K57" s="870" t="str">
        <f>IF(Start!$C$17="x",IF(J57="NA","NA",IF(Data!$D$68&lt;ChemData!X57,J57*(Data!$D$68/ChemData!X57),J57)),"---")</f>
        <v>NA</v>
      </c>
      <c r="L57" s="870" t="str">
        <f>IF(Start!$C$17="x",IF(OR(I57="NA",I57="",ChemData!Z57="NA",ChemData!Z57=""),"NA",I57/ChemData!Z57),"---")</f>
        <v>NA</v>
      </c>
      <c r="M57" s="870" t="str">
        <f>IF(Start!$C$17="x",IF(OR(I57="NA",I57="",ChemData!Y57="NA",ChemData!Y57=""),"NA",I57/ChemData!Y57),"---")</f>
        <v>NA</v>
      </c>
      <c r="N57" s="870" t="str">
        <f>IF(Start!$C$17="x",IF(OR(I57="NA",I57="",G57="NA",G57=""),"NA",I57/G57),"---")</f>
        <v>NA</v>
      </c>
      <c r="O57" s="794" t="str">
        <f>IF(Start!$C$17="x",(IF(C57="","",(IF(N57="NA","NA",IF(D57="NA","NA",IF(D57=0,"NA",(N57/D57))))))),"Not Req.")</f>
        <v/>
      </c>
    </row>
    <row r="58" spans="1:15" s="10" customFormat="1" x14ac:dyDescent="0.25">
      <c r="A58" s="405" t="s">
        <v>376</v>
      </c>
      <c r="B58" s="868" t="str">
        <f>IF(Start!$C$17="x",(IF($C58="NA","NA",(IF(C58="","",(IF(AND(N58="NA",C58&lt;&gt;"NA",D58&lt;&gt;"NA"),"Missing Data",(IF(OR(D58 = "NA",D58=""),"No Criteria",(IF(N58&lt;D58,IF(OR(I58&lt;D58,ChemData!AA58&lt;&gt;""),"No-1",IF(M58&lt;D58,"No-2","No-3")),"Needed")))))))))),"---")</f>
        <v/>
      </c>
      <c r="C58" s="426" t="str">
        <f>IF(TRUE=ISBLANK(ChemData!B58),"",(ChemData!B58))</f>
        <v/>
      </c>
      <c r="D58" s="289" t="str">
        <f>IF(TRUE=ISBLANK(ChemData!J58),"",(ChemData!J58))</f>
        <v>NA</v>
      </c>
      <c r="E58" s="290">
        <f>IF(TRUE=ISBLANK(ChemData!Q58),"",(ChemData!Q58))</f>
        <v>50980.773298789587</v>
      </c>
      <c r="F58" s="290">
        <f>IF(TRUE=ISBLANK(ChemData!S58),"",(ChemData!S58))</f>
        <v>1</v>
      </c>
      <c r="G58" s="865">
        <f>IF(OR(TRUE=ISBLANK(ChemData!AA58),ChemData!AA58="NA",ChemData!AA58=0),ChemData!Z58,(ChemData!AA58))</f>
        <v>6518098.4694112372</v>
      </c>
      <c r="H58" s="685" t="str">
        <f>IF(Start!$C$17="x",(IF(OR(C58="NA",C58=""),"NA",IF(OR(F58="NA",F58="",F58=0),"NA",C58*F58))),"---")</f>
        <v>NA</v>
      </c>
      <c r="I58" s="376" t="str">
        <f>IF(Start!$C$17="x",(IF($E58 = "NA", "NA", (IF(H58 = "NA", "NA",(IF(OR(ChemData!U58="NA",ChemData!U58=""),H58/((Data!$D$18+$E58*(1-Data!$D$18)*Data!$D$14)/(1000*(1-Data!$D$18)*Data!$D$14)),(IF(H58/((Data!$D$18+$E58*(1-Data!$D$18)*Data!$D$14)/(1000*(1-Data!$D$18)*Data!$D$14))&gt;ChemData!U58, ChemData!U58,H58/((Data!$D$18+$E58*(1-Data!$D$18)*Data!$D$14)/(1000*(1-Data!$D$18)*Data!$D$14)))))))))),"---")</f>
        <v>NA</v>
      </c>
      <c r="J58" s="870" t="str">
        <f>IF(Start!$C$17="x",IF(OR(I58="NA",I58="",ChemData!W58="NA",ChemData!W58=""),"NA",I58/ChemData!W58),"---")</f>
        <v>NA</v>
      </c>
      <c r="K58" s="870" t="str">
        <f>IF(Start!$C$17="x",IF(J58="NA","NA",IF(Data!$D$68&lt;ChemData!X58,J58*(Data!$D$68/ChemData!X58),J58)),"---")</f>
        <v>NA</v>
      </c>
      <c r="L58" s="870" t="str">
        <f>IF(Start!$C$17="x",IF(OR(I58="NA",I58="",ChemData!Z58="NA",ChemData!Z58=""),"NA",I58/ChemData!Z58),"---")</f>
        <v>NA</v>
      </c>
      <c r="M58" s="870" t="str">
        <f>IF(Start!$C$17="x",IF(OR(I58="NA",I58="",ChemData!Y58="NA",ChemData!Y58=""),"NA",I58/ChemData!Y58),"---")</f>
        <v>NA</v>
      </c>
      <c r="N58" s="870" t="str">
        <f>IF(Start!$C$17="x",IF(OR(I58="NA",I58="",G58="NA",G58=""),"NA",I58/G58),"---")</f>
        <v>NA</v>
      </c>
      <c r="O58" s="794" t="str">
        <f>IF(Start!$C$17="x",(IF(C58="","",(IF(N58="NA","NA",IF(D58="NA","NA",IF(D58=0,"NA",(N58/D58))))))),"Not Req.")</f>
        <v/>
      </c>
    </row>
    <row r="59" spans="1:15" s="10" customFormat="1" x14ac:dyDescent="0.25">
      <c r="A59" s="405" t="s">
        <v>377</v>
      </c>
      <c r="B59" s="868" t="str">
        <f>IF(Start!$C$17="x",(IF($C59="NA","NA",(IF(C59="","",(IF(AND(N59="NA",C59&lt;&gt;"NA",D59&lt;&gt;"NA"),"Missing Data",(IF(OR(D59 = "NA",D59=""),"No Criteria",(IF(N59&lt;D59,IF(OR(I59&lt;D59,ChemData!AA59&lt;&gt;""),"No-1",IF(M59&lt;D59,"No-2","No-3")),"Needed")))))))))),"---")</f>
        <v/>
      </c>
      <c r="C59" s="426" t="str">
        <f>IF(TRUE=ISBLANK(ChemData!B59),"",(ChemData!B59))</f>
        <v/>
      </c>
      <c r="D59" s="289">
        <f>IF(TRUE=ISBLANK(ChemData!J59),"",(ChemData!J59))</f>
        <v>14</v>
      </c>
      <c r="E59" s="290">
        <f>IF(TRUE=ISBLANK(ChemData!Q59),"",(ChemData!Q59))</f>
        <v>114.13173484456048</v>
      </c>
      <c r="F59" s="290">
        <f>IF(TRUE=ISBLANK(ChemData!S59),"",(ChemData!S59))</f>
        <v>1</v>
      </c>
      <c r="G59" s="865">
        <f>IF(OR(TRUE=ISBLANK(ChemData!AA59),ChemData!AA59="NA",ChemData!AA59=0),ChemData!Z59,(ChemData!AA59))</f>
        <v>836.44165092554556</v>
      </c>
      <c r="H59" s="685" t="str">
        <f>IF(Start!$C$17="x",(IF(OR(C59="NA",C59=""),"NA",IF(OR(F59="NA",F59="",F59=0),"NA",C59*F59))),"---")</f>
        <v>NA</v>
      </c>
      <c r="I59" s="376" t="str">
        <f>IF(Start!$C$17="x",(IF($E59 = "NA", "NA", (IF(H59 = "NA", "NA",(IF(OR(ChemData!U59="NA",ChemData!U59=""),H59/((Data!$D$18+$E59*(1-Data!$D$18)*Data!$D$14)/(1000*(1-Data!$D$18)*Data!$D$14)),(IF(H59/((Data!$D$18+$E59*(1-Data!$D$18)*Data!$D$14)/(1000*(1-Data!$D$18)*Data!$D$14))&gt;ChemData!U59, ChemData!U59,H59/((Data!$D$18+$E59*(1-Data!$D$18)*Data!$D$14)/(1000*(1-Data!$D$18)*Data!$D$14)))))))))),"---")</f>
        <v>NA</v>
      </c>
      <c r="J59" s="870" t="str">
        <f>IF(Start!$C$17="x",IF(OR(I59="NA",I59="",ChemData!W59="NA",ChemData!W59=""),"NA",I59/ChemData!W59),"---")</f>
        <v>NA</v>
      </c>
      <c r="K59" s="870" t="str">
        <f>IF(Start!$C$17="x",IF(J59="NA","NA",IF(Data!$D$68&lt;ChemData!X59,J59*(Data!$D$68/ChemData!X59),J59)),"---")</f>
        <v>NA</v>
      </c>
      <c r="L59" s="870" t="str">
        <f>IF(Start!$C$17="x",IF(OR(I59="NA",I59="",ChemData!Z59="NA",ChemData!Z59=""),"NA",I59/ChemData!Z59),"---")</f>
        <v>NA</v>
      </c>
      <c r="M59" s="870" t="str">
        <f>IF(Start!$C$17="x",IF(OR(I59="NA",I59="",ChemData!Y59="NA",ChemData!Y59=""),"NA",I59/ChemData!Y59),"---")</f>
        <v>NA</v>
      </c>
      <c r="N59" s="870" t="str">
        <f>IF(Start!$C$17="x",IF(OR(I59="NA",I59="",G59="NA",G59=""),"NA",I59/G59),"---")</f>
        <v>NA</v>
      </c>
      <c r="O59" s="794" t="str">
        <f>IF(Start!$C$17="x",(IF(C59="","",(IF(N59="NA","NA",IF(D59="NA","NA",IF(D59=0,"NA",(N59/D59))))))),"Not Req.")</f>
        <v/>
      </c>
    </row>
    <row r="60" spans="1:15" s="10" customFormat="1" x14ac:dyDescent="0.25">
      <c r="A60" s="405" t="s">
        <v>378</v>
      </c>
      <c r="B60" s="868" t="str">
        <f>IF(Start!$C$17="x",(IF($C60="NA","NA",(IF(C60="","",(IF(AND(N60="NA",C60&lt;&gt;"NA",D60&lt;&gt;"NA"),"Missing Data",(IF(OR(D60 = "NA",D60=""),"No Criteria",(IF(N60&lt;D60,IF(OR(I60&lt;D60,ChemData!AA60&lt;&gt;""),"No-1",IF(M60&lt;D60,"No-2","No-3")),"Needed")))))))))),"---")</f>
        <v/>
      </c>
      <c r="C60" s="426" t="str">
        <f>IF(TRUE=ISBLANK(ChemData!B60),"",(ChemData!B60))</f>
        <v/>
      </c>
      <c r="D60" s="289" t="str">
        <f>IF(TRUE=ISBLANK(ChemData!J60),"",(ChemData!J60))</f>
        <v>NA</v>
      </c>
      <c r="E60" s="290">
        <f>IF(TRUE=ISBLANK(ChemData!Q60),"",(ChemData!Q60))</f>
        <v>72.012256338441432</v>
      </c>
      <c r="F60" s="290">
        <f>IF(TRUE=ISBLANK(ChemData!S60),"",(ChemData!S60))</f>
        <v>1</v>
      </c>
      <c r="G60" s="865">
        <f>IF(OR(TRUE=ISBLANK(ChemData!AA60),ChemData!AA60="NA",ChemData!AA60=0),ChemData!Z60,(ChemData!AA60))</f>
        <v>425.32758966934</v>
      </c>
      <c r="H60" s="685" t="str">
        <f>IF(Start!$C$17="x",(IF(OR(C60="NA",C60=""),"NA",IF(OR(F60="NA",F60="",F60=0),"NA",C60*F60))),"---")</f>
        <v>NA</v>
      </c>
      <c r="I60" s="376" t="str">
        <f>IF(Start!$C$17="x",(IF($E60 = "NA", "NA", (IF(H60 = "NA", "NA",(IF(OR(ChemData!U60="NA",ChemData!U60=""),H60/((Data!$D$18+$E60*(1-Data!$D$18)*Data!$D$14)/(1000*(1-Data!$D$18)*Data!$D$14)),(IF(H60/((Data!$D$18+$E60*(1-Data!$D$18)*Data!$D$14)/(1000*(1-Data!$D$18)*Data!$D$14))&gt;ChemData!U60, ChemData!U60,H60/((Data!$D$18+$E60*(1-Data!$D$18)*Data!$D$14)/(1000*(1-Data!$D$18)*Data!$D$14)))))))))),"---")</f>
        <v>NA</v>
      </c>
      <c r="J60" s="870" t="str">
        <f>IF(Start!$C$17="x",IF(OR(I60="NA",I60="",ChemData!W60="NA",ChemData!W60=""),"NA",I60/ChemData!W60),"---")</f>
        <v>NA</v>
      </c>
      <c r="K60" s="870" t="str">
        <f>IF(Start!$C$17="x",IF(J60="NA","NA",IF(Data!$D$68&lt;ChemData!X60,J60*(Data!$D$68/ChemData!X60),J60)),"---")</f>
        <v>NA</v>
      </c>
      <c r="L60" s="870" t="str">
        <f>IF(Start!$C$17="x",IF(OR(I60="NA",I60="",ChemData!Z60="NA",ChemData!Z60=""),"NA",I60/ChemData!Z60),"---")</f>
        <v>NA</v>
      </c>
      <c r="M60" s="870" t="str">
        <f>IF(Start!$C$17="x",IF(OR(I60="NA",I60="",ChemData!Y60="NA",ChemData!Y60=""),"NA",I60/ChemData!Y60),"---")</f>
        <v>NA</v>
      </c>
      <c r="N60" s="870" t="str">
        <f>IF(Start!$C$17="x",IF(OR(I60="NA",I60="",G60="NA",G60=""),"NA",I60/G60),"---")</f>
        <v>NA</v>
      </c>
      <c r="O60" s="794" t="str">
        <f>IF(Start!$C$17="x",(IF(C60="","",(IF(N60="NA","NA",IF(D60="NA","NA",IF(D60=0,"NA",(N60/D60))))))),"Not Req.")</f>
        <v/>
      </c>
    </row>
    <row r="61" spans="1:15" s="10" customFormat="1" x14ac:dyDescent="0.25">
      <c r="A61" s="405" t="s">
        <v>379</v>
      </c>
      <c r="B61" s="868" t="str">
        <f>IF(Start!$C$17="x",(IF($C61="NA","NA",(IF(C61="","",(IF(AND(N61="NA",C61&lt;&gt;"NA",D61&lt;&gt;"NA"),"Missing Data",(IF(OR(D61 = "NA",D61=""),"No Criteria",(IF(N61&lt;D61,IF(OR(I61&lt;D61,ChemData!AA61&lt;&gt;""),"No-1",IF(M61&lt;D61,"No-2","No-3")),"Needed")))))))))),"---")</f>
        <v/>
      </c>
      <c r="C61" s="426" t="str">
        <f>IF(TRUE=ISBLANK(ChemData!B61),"",(ChemData!B61))</f>
        <v/>
      </c>
      <c r="D61" s="289" t="str">
        <f>IF(TRUE=ISBLANK(ChemData!J61),"",(ChemData!J61))</f>
        <v>NA</v>
      </c>
      <c r="E61" s="290">
        <f>IF(TRUE=ISBLANK(ChemData!Q61),"",(ChemData!Q61))</f>
        <v>9276.9756944408309</v>
      </c>
      <c r="F61" s="290">
        <f>IF(TRUE=ISBLANK(ChemData!S61),"",(ChemData!S61))</f>
        <v>1</v>
      </c>
      <c r="G61" s="865">
        <f>IF(OR(TRUE=ISBLANK(ChemData!AA61),ChemData!AA61="NA",ChemData!AA61=0),ChemData!Z61,(ChemData!AA61))</f>
        <v>533809.33397743106</v>
      </c>
      <c r="H61" s="685" t="str">
        <f>IF(Start!$C$17="x",(IF(OR(C61="NA",C61=""),"NA",IF(OR(F61="NA",F61="",F61=0),"NA",C61*F61))),"---")</f>
        <v>NA</v>
      </c>
      <c r="I61" s="376" t="str">
        <f>IF(Start!$C$17="x",(IF($E61 = "NA", "NA", (IF(H61 = "NA", "NA",(IF(OR(ChemData!U61="NA",ChemData!U61=""),H61/((Data!$D$18+$E61*(1-Data!$D$18)*Data!$D$14)/(1000*(1-Data!$D$18)*Data!$D$14)),(IF(H61/((Data!$D$18+$E61*(1-Data!$D$18)*Data!$D$14)/(1000*(1-Data!$D$18)*Data!$D$14))&gt;ChemData!U61, ChemData!U61,H61/((Data!$D$18+$E61*(1-Data!$D$18)*Data!$D$14)/(1000*(1-Data!$D$18)*Data!$D$14)))))))))),"---")</f>
        <v>NA</v>
      </c>
      <c r="J61" s="870" t="str">
        <f>IF(Start!$C$17="x",IF(OR(I61="NA",I61="",ChemData!W61="NA",ChemData!W61=""),"NA",I61/ChemData!W61),"---")</f>
        <v>NA</v>
      </c>
      <c r="K61" s="870" t="str">
        <f>IF(Start!$C$17="x",IF(J61="NA","NA",IF(Data!$D$68&lt;ChemData!X61,J61*(Data!$D$68/ChemData!X61),J61)),"---")</f>
        <v>NA</v>
      </c>
      <c r="L61" s="870" t="str">
        <f>IF(Start!$C$17="x",IF(OR(I61="NA",I61="",ChemData!Z61="NA",ChemData!Z61=""),"NA",I61/ChemData!Z61),"---")</f>
        <v>NA</v>
      </c>
      <c r="M61" s="870" t="str">
        <f>IF(Start!$C$17="x",IF(OR(I61="NA",I61="",ChemData!Y61="NA",ChemData!Y61=""),"NA",I61/ChemData!Y61),"---")</f>
        <v>NA</v>
      </c>
      <c r="N61" s="870" t="str">
        <f>IF(Start!$C$17="x",IF(OR(I61="NA",I61="",G61="NA",G61=""),"NA",I61/G61),"---")</f>
        <v>NA</v>
      </c>
      <c r="O61" s="794" t="str">
        <f>IF(Start!$C$17="x",(IF(C61="","",(IF(N61="NA","NA",IF(D61="NA","NA",IF(D61=0,"NA",(N61/D61))))))),"Not Req.")</f>
        <v/>
      </c>
    </row>
    <row r="62" spans="1:15" s="10" customFormat="1" x14ac:dyDescent="0.25">
      <c r="A62" s="405" t="s">
        <v>380</v>
      </c>
      <c r="B62" s="868" t="str">
        <f>IF(Start!$C$17="x",(IF($C62="NA","NA",(IF(C62="","",(IF(AND(N62="NA",C62&lt;&gt;"NA",D62&lt;&gt;"NA"),"Missing Data",(IF(OR(D62 = "NA",D62=""),"No Criteria",(IF(N62&lt;D62,IF(OR(I62&lt;D62,ChemData!AA62&lt;&gt;""),"No-1",IF(M62&lt;D62,"No-2","No-3")),"Needed")))))))))),"---")</f>
        <v/>
      </c>
      <c r="C62" s="426" t="str">
        <f>IF(TRUE=ISBLANK(ChemData!B62),"",(ChemData!B62))</f>
        <v/>
      </c>
      <c r="D62" s="289" t="str">
        <f>IF(TRUE=ISBLANK(ChemData!J62),"",(ChemData!J62))</f>
        <v>NA</v>
      </c>
      <c r="E62" s="290">
        <f>IF(TRUE=ISBLANK(ChemData!Q62),"",(ChemData!Q62))</f>
        <v>92769.756944408247</v>
      </c>
      <c r="F62" s="290">
        <f>IF(TRUE=ISBLANK(ChemData!S62),"",(ChemData!S62))</f>
        <v>1</v>
      </c>
      <c r="G62" s="865">
        <f>IF(OR(TRUE=ISBLANK(ChemData!AA62),ChemData!AA62="NA",ChemData!AA62=0),ChemData!Z62,(ChemData!AA62))</f>
        <v>15701698.770170251</v>
      </c>
      <c r="H62" s="685" t="str">
        <f>IF(Start!$C$17="x",(IF(OR(C62="NA",C62=""),"NA",IF(OR(F62="NA",F62="",F62=0),"NA",C62*F62))),"---")</f>
        <v>NA</v>
      </c>
      <c r="I62" s="376" t="str">
        <f>IF(Start!$C$17="x",(IF($E62 = "NA", "NA", (IF(H62 = "NA", "NA",(IF(OR(ChemData!U62="NA",ChemData!U62=""),H62/((Data!$D$18+$E62*(1-Data!$D$18)*Data!$D$14)/(1000*(1-Data!$D$18)*Data!$D$14)),(IF(H62/((Data!$D$18+$E62*(1-Data!$D$18)*Data!$D$14)/(1000*(1-Data!$D$18)*Data!$D$14))&gt;ChemData!U62, ChemData!U62,H62/((Data!$D$18+$E62*(1-Data!$D$18)*Data!$D$14)/(1000*(1-Data!$D$18)*Data!$D$14)))))))))),"---")</f>
        <v>NA</v>
      </c>
      <c r="J62" s="870" t="str">
        <f>IF(Start!$C$17="x",IF(OR(I62="NA",I62="",ChemData!W62="NA",ChemData!W62=""),"NA",I62/ChemData!W62),"---")</f>
        <v>NA</v>
      </c>
      <c r="K62" s="870" t="str">
        <f>IF(Start!$C$17="x",IF(J62="NA","NA",IF(Data!$D$68&lt;ChemData!X62,J62*(Data!$D$68/ChemData!X62),J62)),"---")</f>
        <v>NA</v>
      </c>
      <c r="L62" s="870" t="str">
        <f>IF(Start!$C$17="x",IF(OR(I62="NA",I62="",ChemData!Z62="NA",ChemData!Z62=""),"NA",I62/ChemData!Z62),"---")</f>
        <v>NA</v>
      </c>
      <c r="M62" s="870" t="str">
        <f>IF(Start!$C$17="x",IF(OR(I62="NA",I62="",ChemData!Y62="NA",ChemData!Y62=""),"NA",I62/ChemData!Y62),"---")</f>
        <v>NA</v>
      </c>
      <c r="N62" s="870" t="str">
        <f>IF(Start!$C$17="x",IF(OR(I62="NA",I62="",G62="NA",G62=""),"NA",I62/G62),"---")</f>
        <v>NA</v>
      </c>
      <c r="O62" s="794" t="str">
        <f>IF(Start!$C$17="x",(IF(C62="","",(IF(N62="NA","NA",IF(D62="NA","NA",IF(D62=0,"NA",(N62/D62))))))),"Not Req.")</f>
        <v/>
      </c>
    </row>
    <row r="63" spans="1:15" s="10" customFormat="1" x14ac:dyDescent="0.25">
      <c r="A63" s="405" t="s">
        <v>381</v>
      </c>
      <c r="B63" s="868" t="str">
        <f>IF(Start!$C$17="x",(IF($C63="NA","NA",(IF(C63="","",(IF(AND(N63="NA",C63&lt;&gt;"NA",D63&lt;&gt;"NA"),"Missing Data",(IF(OR(D63 = "NA",D63=""),"No Criteria",(IF(N63&lt;D63,IF(OR(I63&lt;D63,ChemData!AA63&lt;&gt;""),"No-1",IF(M63&lt;D63,"No-2","No-3")),"Needed")))))))))),"---")</f>
        <v/>
      </c>
      <c r="C63" s="426" t="str">
        <f>IF(TRUE=ISBLANK(ChemData!B63),"",(ChemData!B63))</f>
        <v/>
      </c>
      <c r="D63" s="289" t="str">
        <f>IF(TRUE=ISBLANK(ChemData!J63),"",(ChemData!J63))</f>
        <v>NA</v>
      </c>
      <c r="E63" s="290" t="str">
        <f>IF(TRUE=ISBLANK(ChemData!Q63),"",(ChemData!Q63))</f>
        <v>NA</v>
      </c>
      <c r="F63" s="290">
        <f>IF(TRUE=ISBLANK(ChemData!S63),"",(ChemData!S63))</f>
        <v>1</v>
      </c>
      <c r="G63" s="865" t="str">
        <f>IF(OR(TRUE=ISBLANK(ChemData!AA63),ChemData!AA63="NA",ChemData!AA63=0),ChemData!Z63,(ChemData!AA63))</f>
        <v>NA</v>
      </c>
      <c r="H63" s="685" t="str">
        <f>IF(Start!$C$17="x",(IF(OR(C63="NA",C63=""),"NA",IF(OR(F63="NA",F63="",F63=0),"NA",C63*F63))),"---")</f>
        <v>NA</v>
      </c>
      <c r="I63" s="376" t="str">
        <f>IF(Start!$C$17="x",(IF($E63 = "NA", "NA", (IF(H63 = "NA", "NA",(IF(OR(ChemData!U63="NA",ChemData!U63=""),H63/((Data!$D$18+$E63*(1-Data!$D$18)*Data!$D$14)/(1000*(1-Data!$D$18)*Data!$D$14)),(IF(H63/((Data!$D$18+$E63*(1-Data!$D$18)*Data!$D$14)/(1000*(1-Data!$D$18)*Data!$D$14))&gt;ChemData!U63, ChemData!U63,H63/((Data!$D$18+$E63*(1-Data!$D$18)*Data!$D$14)/(1000*(1-Data!$D$18)*Data!$D$14)))))))))),"---")</f>
        <v>NA</v>
      </c>
      <c r="J63" s="870" t="str">
        <f>IF(Start!$C$17="x",IF(OR(I63="NA",I63="",ChemData!W63="NA",ChemData!W63=""),"NA",I63/ChemData!W63),"---")</f>
        <v>NA</v>
      </c>
      <c r="K63" s="870" t="str">
        <f>IF(Start!$C$17="x",IF(J63="NA","NA",IF(Data!$D$68&lt;ChemData!X63,J63*(Data!$D$68/ChemData!X63),J63)),"---")</f>
        <v>NA</v>
      </c>
      <c r="L63" s="870" t="str">
        <f>IF(Start!$C$17="x",IF(OR(I63="NA",I63="",ChemData!Z63="NA",ChemData!Z63=""),"NA",I63/ChemData!Z63),"---")</f>
        <v>NA</v>
      </c>
      <c r="M63" s="870" t="str">
        <f>IF(Start!$C$17="x",IF(OR(I63="NA",I63="",ChemData!Y63="NA",ChemData!Y63=""),"NA",I63/ChemData!Y63),"---")</f>
        <v>NA</v>
      </c>
      <c r="N63" s="870" t="str">
        <f>IF(Start!$C$17="x",IF(OR(I63="NA",I63="",G63="NA",G63=""),"NA",I63/G63),"---")</f>
        <v>NA</v>
      </c>
      <c r="O63" s="794" t="str">
        <f>IF(Start!$C$17="x",(IF(C63="","",(IF(N63="NA","NA",IF(D63="NA","NA",IF(D63=0,"NA",(N63/D63))))))),"Not Req.")</f>
        <v/>
      </c>
    </row>
    <row r="64" spans="1:15" s="10" customFormat="1" x14ac:dyDescent="0.25">
      <c r="A64" s="405" t="s">
        <v>382</v>
      </c>
      <c r="B64" s="868" t="str">
        <f>IF(Start!$C$17="x",(IF($C64="NA","NA",(IF(C64="","",(IF(AND(N64="NA",C64&lt;&gt;"NA",D64&lt;&gt;"NA"),"Missing Data",(IF(OR(D64 = "NA",D64=""),"No Criteria",(IF(N64&lt;D64,IF(OR(I64&lt;D64,ChemData!AA64&lt;&gt;""),"No-1",IF(M64&lt;D64,"No-2","No-3")),"Needed")))))))))),"---")</f>
        <v/>
      </c>
      <c r="C64" s="426" t="str">
        <f>IF(TRUE=ISBLANK(ChemData!B64),"",(ChemData!B64))</f>
        <v/>
      </c>
      <c r="D64" s="289">
        <f>IF(TRUE=ISBLANK(ChemData!J64),"",(ChemData!J64))</f>
        <v>3.7</v>
      </c>
      <c r="E64" s="290">
        <f>IF(TRUE=ISBLANK(ChemData!Q64),"",(ChemData!Q64))</f>
        <v>244.00932230679132</v>
      </c>
      <c r="F64" s="290">
        <f>IF(TRUE=ISBLANK(ChemData!S64),"",(ChemData!S64))</f>
        <v>1</v>
      </c>
      <c r="G64" s="865">
        <f>IF(OR(TRUE=ISBLANK(ChemData!AA64),ChemData!AA64="NA",ChemData!AA64=0),ChemData!Z64,(ChemData!AA64))</f>
        <v>2553.0575714933966</v>
      </c>
      <c r="H64" s="685" t="str">
        <f>IF(Start!$C$17="x",(IF(OR(C64="NA",C64=""),"NA",IF(OR(F64="NA",F64="",F64=0),"NA",C64*F64))),"---")</f>
        <v>NA</v>
      </c>
      <c r="I64" s="376" t="str">
        <f>IF(Start!$C$17="x",(IF($E64 = "NA", "NA", (IF(H64 = "NA", "NA",(IF(OR(ChemData!U64="NA",ChemData!U64=""),H64/((Data!$D$18+$E64*(1-Data!$D$18)*Data!$D$14)/(1000*(1-Data!$D$18)*Data!$D$14)),(IF(H64/((Data!$D$18+$E64*(1-Data!$D$18)*Data!$D$14)/(1000*(1-Data!$D$18)*Data!$D$14))&gt;ChemData!U64, ChemData!U64,H64/((Data!$D$18+$E64*(1-Data!$D$18)*Data!$D$14)/(1000*(1-Data!$D$18)*Data!$D$14)))))))))),"---")</f>
        <v>NA</v>
      </c>
      <c r="J64" s="870" t="str">
        <f>IF(Start!$C$17="x",IF(OR(I64="NA",I64="",ChemData!W64="NA",ChemData!W64=""),"NA",I64/ChemData!W64),"---")</f>
        <v>NA</v>
      </c>
      <c r="K64" s="870" t="str">
        <f>IF(Start!$C$17="x",IF(J64="NA","NA",IF(Data!$D$68&lt;ChemData!X64,J64*(Data!$D$68/ChemData!X64),J64)),"---")</f>
        <v>NA</v>
      </c>
      <c r="L64" s="870" t="str">
        <f>IF(Start!$C$17="x",IF(OR(I64="NA",I64="",ChemData!Z64="NA",ChemData!Z64=""),"NA",I64/ChemData!Z64),"---")</f>
        <v>NA</v>
      </c>
      <c r="M64" s="870" t="str">
        <f>IF(Start!$C$17="x",IF(OR(I64="NA",I64="",ChemData!Y64="NA",ChemData!Y64=""),"NA",I64/ChemData!Y64),"---")</f>
        <v>NA</v>
      </c>
      <c r="N64" s="870" t="str">
        <f>IF(Start!$C$17="x",IF(OR(I64="NA",I64="",G64="NA",G64=""),"NA",I64/G64),"---")</f>
        <v>NA</v>
      </c>
      <c r="O64" s="794" t="str">
        <f>IF(Start!$C$17="x",(IF(C64="","",(IF(N64="NA","NA",IF(D64="NA","NA",IF(D64=0,"NA",(N64/D64))))))),"Not Req.")</f>
        <v/>
      </c>
    </row>
    <row r="65" spans="1:15" s="10" customFormat="1" x14ac:dyDescent="0.25">
      <c r="A65" s="405" t="s">
        <v>383</v>
      </c>
      <c r="B65" s="868" t="str">
        <f>IF(Start!$C$17="x",(IF($C65="NA","NA",(IF(C65="","",(IF(AND(N65="NA",C65&lt;&gt;"NA",D65&lt;&gt;"NA"),"Missing Data",(IF(OR(D65 = "NA",D65=""),"No Criteria",(IF(N65&lt;D65,IF(OR(I65&lt;D65,ChemData!AA65&lt;&gt;""),"No-1",IF(M65&lt;D65,"No-2","No-3")),"Needed")))))))))),"---")</f>
        <v/>
      </c>
      <c r="C65" s="426" t="str">
        <f>IF(TRUE=ISBLANK(ChemData!B65),"",(ChemData!B65))</f>
        <v/>
      </c>
      <c r="D65" s="289" t="str">
        <f>IF(TRUE=ISBLANK(ChemData!J65),"",(ChemData!J65))</f>
        <v>NA</v>
      </c>
      <c r="E65" s="290">
        <f>IF(TRUE=ISBLANK(ChemData!Q65),"",(ChemData!Q65))</f>
        <v>352700.77889499755</v>
      </c>
      <c r="F65" s="290">
        <f>IF(TRUE=ISBLANK(ChemData!S65),"",(ChemData!S65))</f>
        <v>1</v>
      </c>
      <c r="G65" s="865">
        <f>IF(OR(TRUE=ISBLANK(ChemData!AA65),ChemData!AA65="NA",ChemData!AA65=0),ChemData!Z65,(ChemData!AA65))</f>
        <v>111612212.83182728</v>
      </c>
      <c r="H65" s="685" t="str">
        <f>IF(Start!$C$17="x",(IF(OR(C65="NA",C65=""),"NA",IF(OR(F65="NA",F65="",F65=0),"NA",C65*F65))),"---")</f>
        <v>NA</v>
      </c>
      <c r="I65" s="376" t="str">
        <f>IF(Start!$C$17="x",(IF($E65 = "NA", "NA", (IF(H65 = "NA", "NA",(IF(OR(ChemData!U65="NA",ChemData!U65=""),H65/((Data!$D$18+$E65*(1-Data!$D$18)*Data!$D$14)/(1000*(1-Data!$D$18)*Data!$D$14)),(IF(H65/((Data!$D$18+$E65*(1-Data!$D$18)*Data!$D$14)/(1000*(1-Data!$D$18)*Data!$D$14))&gt;ChemData!U65, ChemData!U65,H65/((Data!$D$18+$E65*(1-Data!$D$18)*Data!$D$14)/(1000*(1-Data!$D$18)*Data!$D$14)))))))))),"---")</f>
        <v>NA</v>
      </c>
      <c r="J65" s="870" t="str">
        <f>IF(Start!$C$17="x",IF(OR(I65="NA",I65="",ChemData!W65="NA",ChemData!W65=""),"NA",I65/ChemData!W65),"---")</f>
        <v>NA</v>
      </c>
      <c r="K65" s="870" t="str">
        <f>IF(Start!$C$17="x",IF(J65="NA","NA",IF(Data!$D$68&lt;ChemData!X65,J65*(Data!$D$68/ChemData!X65),J65)),"---")</f>
        <v>NA</v>
      </c>
      <c r="L65" s="870" t="str">
        <f>IF(Start!$C$17="x",IF(OR(I65="NA",I65="",ChemData!Z65="NA",ChemData!Z65=""),"NA",I65/ChemData!Z65),"---")</f>
        <v>NA</v>
      </c>
      <c r="M65" s="870" t="str">
        <f>IF(Start!$C$17="x",IF(OR(I65="NA",I65="",ChemData!Y65="NA",ChemData!Y65=""),"NA",I65/ChemData!Y65),"---")</f>
        <v>NA</v>
      </c>
      <c r="N65" s="870" t="str">
        <f>IF(Start!$C$17="x",IF(OR(I65="NA",I65="",G65="NA",G65=""),"NA",I65/G65),"---")</f>
        <v>NA</v>
      </c>
      <c r="O65" s="794" t="str">
        <f>IF(Start!$C$17="x",(IF(C65="","",(IF(N65="NA","NA",IF(D65="NA","NA",IF(D65=0,"NA",(N65/D65))))))),"Not Req.")</f>
        <v/>
      </c>
    </row>
    <row r="66" spans="1:15" s="10" customFormat="1" x14ac:dyDescent="0.25">
      <c r="A66" s="405" t="s">
        <v>384</v>
      </c>
      <c r="B66" s="868" t="str">
        <f>IF(Start!$C$17="x",(IF($C66="NA","NA",(IF(C66="","",(IF(AND(N66="NA",C66&lt;&gt;"NA",D66&lt;&gt;"NA"),"Missing Data",(IF(OR(D66 = "NA",D66=""),"No Criteria",(IF(N66&lt;D66,IF(OR(I66&lt;D66,ChemData!AA66&lt;&gt;""),"No-1",IF(M66&lt;D66,"No-2","No-3")),"Needed")))))))))),"---")</f>
        <v/>
      </c>
      <c r="C66" s="426" t="str">
        <f>IF(TRUE=ISBLANK(ChemData!B66),"",(ChemData!B66))</f>
        <v/>
      </c>
      <c r="D66" s="289" t="str">
        <f>IF(TRUE=ISBLANK(ChemData!J66),"",(ChemData!J66))</f>
        <v>NA</v>
      </c>
      <c r="E66" s="290">
        <f>IF(TRUE=ISBLANK(ChemData!Q66),"",(ChemData!Q66))</f>
        <v>444.02397331050798</v>
      </c>
      <c r="F66" s="290">
        <f>IF(TRUE=ISBLANK(ChemData!S66),"",(ChemData!S66))</f>
        <v>1</v>
      </c>
      <c r="G66" s="865">
        <f>IF(OR(TRUE=ISBLANK(ChemData!AA66),ChemData!AA66="NA",ChemData!AA66=0),ChemData!Z66,(ChemData!AA66))</f>
        <v>6150.1588413580221</v>
      </c>
      <c r="H66" s="685" t="str">
        <f>IF(Start!$C$17="x",(IF(OR(C66="NA",C66=""),"NA",IF(OR(F66="NA",F66="",F66=0),"NA",C66*F66))),"---")</f>
        <v>NA</v>
      </c>
      <c r="I66" s="376" t="str">
        <f>IF(Start!$C$17="x",(IF($E66 = "NA", "NA", (IF(H66 = "NA", "NA",(IF(OR(ChemData!U66="NA",ChemData!U66=""),H66/((Data!$D$18+$E66*(1-Data!$D$18)*Data!$D$14)/(1000*(1-Data!$D$18)*Data!$D$14)),(IF(H66/((Data!$D$18+$E66*(1-Data!$D$18)*Data!$D$14)/(1000*(1-Data!$D$18)*Data!$D$14))&gt;ChemData!U66, ChemData!U66,H66/((Data!$D$18+$E66*(1-Data!$D$18)*Data!$D$14)/(1000*(1-Data!$D$18)*Data!$D$14)))))))))),"---")</f>
        <v>NA</v>
      </c>
      <c r="J66" s="870" t="str">
        <f>IF(Start!$C$17="x",IF(OR(I66="NA",I66="",ChemData!W66="NA",ChemData!W66=""),"NA",I66/ChemData!W66),"---")</f>
        <v>NA</v>
      </c>
      <c r="K66" s="870" t="str">
        <f>IF(Start!$C$17="x",IF(J66="NA","NA",IF(Data!$D$68&lt;ChemData!X66,J66*(Data!$D$68/ChemData!X66),J66)),"---")</f>
        <v>NA</v>
      </c>
      <c r="L66" s="870" t="str">
        <f>IF(Start!$C$17="x",IF(OR(I66="NA",I66="",ChemData!Z66="NA",ChemData!Z66=""),"NA",I66/ChemData!Z66),"---")</f>
        <v>NA</v>
      </c>
      <c r="M66" s="870" t="str">
        <f>IF(Start!$C$17="x",IF(OR(I66="NA",I66="",ChemData!Y66="NA",ChemData!Y66=""),"NA",I66/ChemData!Y66),"---")</f>
        <v>NA</v>
      </c>
      <c r="N66" s="870" t="str">
        <f>IF(Start!$C$17="x",IF(OR(I66="NA",I66="",G66="NA",G66=""),"NA",I66/G66),"---")</f>
        <v>NA</v>
      </c>
      <c r="O66" s="794" t="str">
        <f>IF(Start!$C$17="x",(IF(C66="","",(IF(N66="NA","NA",IF(D66="NA","NA",IF(D66=0,"NA",(N66/D66))))))),"Not Req.")</f>
        <v/>
      </c>
    </row>
    <row r="67" spans="1:15" s="10" customFormat="1" x14ac:dyDescent="0.25">
      <c r="A67" s="405" t="s">
        <v>385</v>
      </c>
      <c r="B67" s="868" t="str">
        <f>IF(Start!$C$17="x",(IF($C67="NA","NA",(IF(C67="","",(IF(AND(N67="NA",C67&lt;&gt;"NA",D67&lt;&gt;"NA"),"Missing Data",(IF(OR(D67 = "NA",D67=""),"No Criteria",(IF(N67&lt;D67,IF(OR(I67&lt;D67,ChemData!AA67&lt;&gt;""),"No-1",IF(M67&lt;D67,"No-2","No-3")),"Needed")))))))))),"---")</f>
        <v/>
      </c>
      <c r="C67" s="426" t="str">
        <f>IF(TRUE=ISBLANK(ChemData!B67),"",(ChemData!B67))</f>
        <v/>
      </c>
      <c r="D67" s="289" t="str">
        <f>IF(TRUE=ISBLANK(ChemData!J67),"",(ChemData!J67))</f>
        <v>NA</v>
      </c>
      <c r="E67" s="290">
        <f>IF(TRUE=ISBLANK(ChemData!Q67),"",(ChemData!Q67))</f>
        <v>18510</v>
      </c>
      <c r="F67" s="290">
        <f>IF(TRUE=ISBLANK(ChemData!S67),"",(ChemData!S67))</f>
        <v>1</v>
      </c>
      <c r="G67" s="865">
        <f>IF(OR(TRUE=ISBLANK(ChemData!AA67),ChemData!AA67="NA",ChemData!AA67=0),ChemData!Z67,(ChemData!AA67))</f>
        <v>1472157.6049373213</v>
      </c>
      <c r="H67" s="685" t="str">
        <f>IF(Start!$C$17="x",(IF(OR(C67="NA",C67=""),"NA",IF(OR(F67="NA",F67="",F67=0),"NA",C67*F67))),"---")</f>
        <v>NA</v>
      </c>
      <c r="I67" s="376" t="str">
        <f>IF(Start!$C$17="x",(IF($E67 = "NA", "NA", (IF(H67 = "NA", "NA",(IF(OR(ChemData!U67="NA",ChemData!U67=""),H67/((Data!$D$18+$E67*(1-Data!$D$18)*Data!$D$14)/(1000*(1-Data!$D$18)*Data!$D$14)),(IF(H67/((Data!$D$18+$E67*(1-Data!$D$18)*Data!$D$14)/(1000*(1-Data!$D$18)*Data!$D$14))&gt;ChemData!U67, ChemData!U67,H67/((Data!$D$18+$E67*(1-Data!$D$18)*Data!$D$14)/(1000*(1-Data!$D$18)*Data!$D$14)))))))))),"---")</f>
        <v>NA</v>
      </c>
      <c r="J67" s="870" t="str">
        <f>IF(Start!$C$17="x",IF(OR(I67="NA",I67="",ChemData!W67="NA",ChemData!W67=""),"NA",I67/ChemData!W67),"---")</f>
        <v>NA</v>
      </c>
      <c r="K67" s="870" t="str">
        <f>IF(Start!$C$17="x",IF(J67="NA","NA",IF(Data!$D$68&lt;ChemData!X67,J67*(Data!$D$68/ChemData!X67),J67)),"---")</f>
        <v>NA</v>
      </c>
      <c r="L67" s="870" t="str">
        <f>IF(Start!$C$17="x",IF(OR(I67="NA",I67="",ChemData!Z67="NA",ChemData!Z67=""),"NA",I67/ChemData!Z67),"---")</f>
        <v>NA</v>
      </c>
      <c r="M67" s="870" t="str">
        <f>IF(Start!$C$17="x",IF(OR(I67="NA",I67="",ChemData!Y67="NA",ChemData!Y67=""),"NA",I67/ChemData!Y67),"---")</f>
        <v>NA</v>
      </c>
      <c r="N67" s="870" t="str">
        <f>IF(Start!$C$17="x",IF(OR(I67="NA",I67="",G67="NA",G67=""),"NA",I67/G67),"---")</f>
        <v>NA</v>
      </c>
      <c r="O67" s="794" t="str">
        <f>IF(Start!$C$17="x",(IF(C67="","",(IF(N67="NA","NA",IF(D67="NA","NA",IF(D67=0,"NA",(N67/D67))))))),"Not Req.")</f>
        <v/>
      </c>
    </row>
    <row r="68" spans="1:15" s="10" customFormat="1" x14ac:dyDescent="0.25">
      <c r="A68" s="404" t="s">
        <v>386</v>
      </c>
      <c r="B68" s="868" t="str">
        <f>IF(Start!$C$17="x",(IF($C68="NA","NA",(IF(C68="","",(IF(AND(N68="NA",C68&lt;&gt;"NA",D68&lt;&gt;"NA"),"Missing Data",(IF(OR(D68 = "NA",D68=""),"No Criteria",(IF(N68&lt;D68,IF(OR(I68&lt;D68,ChemData!AA68&lt;&gt;""),"No-1",IF(M68&lt;D68,"No-2","No-3")),"Needed")))))))))),"---")</f>
        <v/>
      </c>
      <c r="C68" s="426" t="str">
        <f>IF(TRUE=ISBLANK(ChemData!B68),"",(ChemData!B68))</f>
        <v/>
      </c>
      <c r="D68" s="289" t="str">
        <f>IF(TRUE=ISBLANK(ChemData!J68),"",(ChemData!J68))</f>
        <v>NA</v>
      </c>
      <c r="E68" s="290" t="str">
        <f>IF(TRUE=ISBLANK(ChemData!Q68),"",(ChemData!Q68))</f>
        <v>NA</v>
      </c>
      <c r="F68" s="290">
        <f>IF(TRUE=ISBLANK(ChemData!S68),"",(ChemData!S68))</f>
        <v>1</v>
      </c>
      <c r="G68" s="865" t="str">
        <f>IF(OR(TRUE=ISBLANK(ChemData!AA68),ChemData!AA68="NA",ChemData!AA68=0),ChemData!Z68,(ChemData!AA68))</f>
        <v>NA</v>
      </c>
      <c r="H68" s="685" t="str">
        <f>IF(Start!$C$17="x",(IF(OR(C68="NA",C68=""),"NA",IF(OR(F68="NA",F68="",F68=0),"NA",C68*F68))),"---")</f>
        <v>NA</v>
      </c>
      <c r="I68" s="376" t="str">
        <f>IF(Start!$C$17="x",(IF($E68 = "NA", "NA", (IF(H68 = "NA", "NA",(IF(OR(ChemData!U68="NA",ChemData!U68=""),H68/((Data!$D$18+$E68*(1-Data!$D$18)*Data!$D$14)/(1000*(1-Data!$D$18)*Data!$D$14)),(IF(H68/((Data!$D$18+$E68*(1-Data!$D$18)*Data!$D$14)/(1000*(1-Data!$D$18)*Data!$D$14))&gt;ChemData!U68, ChemData!U68,H68/((Data!$D$18+$E68*(1-Data!$D$18)*Data!$D$14)/(1000*(1-Data!$D$18)*Data!$D$14)))))))))),"---")</f>
        <v>NA</v>
      </c>
      <c r="J68" s="870" t="str">
        <f>IF(Start!$C$17="x",IF(OR(I68="NA",I68="",ChemData!W68="NA",ChemData!W68=""),"NA",I68/ChemData!W68),"---")</f>
        <v>NA</v>
      </c>
      <c r="K68" s="870" t="str">
        <f>IF(Start!$C$17="x",IF(J68="NA","NA",IF(Data!$D$68&lt;ChemData!X68,J68*(Data!$D$68/ChemData!X68),J68)),"---")</f>
        <v>NA</v>
      </c>
      <c r="L68" s="870" t="str">
        <f>IF(Start!$C$17="x",IF(OR(I68="NA",I68="",ChemData!Z68="NA",ChemData!Z68=""),"NA",I68/ChemData!Z68),"---")</f>
        <v>NA</v>
      </c>
      <c r="M68" s="870" t="str">
        <f>IF(Start!$C$17="x",IF(OR(I68="NA",I68="",ChemData!Y68="NA",ChemData!Y68=""),"NA",I68/ChemData!Y68),"---")</f>
        <v>NA</v>
      </c>
      <c r="N68" s="870" t="str">
        <f>IF(Start!$C$17="x",IF(OR(I68="NA",I68="",G68="NA",G68=""),"NA",I68/G68),"---")</f>
        <v>NA</v>
      </c>
      <c r="O68" s="794" t="str">
        <f>IF(Start!$C$17="x",(IF(C68="","",(IF(N68="NA","NA",IF(D68="NA","NA",IF(D68=0,"NA",(N68/D68))))))),"Not Req.")</f>
        <v/>
      </c>
    </row>
    <row r="69" spans="1:15" s="10" customFormat="1" x14ac:dyDescent="0.25">
      <c r="A69" s="405" t="s">
        <v>387</v>
      </c>
      <c r="B69" s="868" t="str">
        <f>IF(Start!$C$17="x",(IF($C69="NA","NA",(IF(C69="","",(IF(AND(N69="NA",C69&lt;&gt;"NA",D69&lt;&gt;"NA"),"Missing Data",(IF(OR(D69 = "NA",D69=""),"No Criteria",(IF(N69&lt;D69,IF(OR(I69&lt;D69,ChemData!AA69&lt;&gt;""),"No-1",IF(M69&lt;D69,"No-2","No-3")),"Needed")))))))))),"---")</f>
        <v/>
      </c>
      <c r="C69" s="426" t="str">
        <f>IF(TRUE=ISBLANK(ChemData!B69),"",(ChemData!B69))</f>
        <v/>
      </c>
      <c r="D69" s="289" t="str">
        <f>IF(TRUE=ISBLANK(ChemData!J69),"",(ChemData!J69))</f>
        <v>NA</v>
      </c>
      <c r="E69" s="290" t="str">
        <f>IF(TRUE=ISBLANK(ChemData!Q69),"",(ChemData!Q69))</f>
        <v>NA</v>
      </c>
      <c r="F69" s="290">
        <f>IF(TRUE=ISBLANK(ChemData!S69),"",(ChemData!S69))</f>
        <v>1</v>
      </c>
      <c r="G69" s="865" t="str">
        <f>IF(OR(TRUE=ISBLANK(ChemData!AA69),ChemData!AA69="NA",ChemData!AA69=0),ChemData!Z69,(ChemData!AA69))</f>
        <v>NA</v>
      </c>
      <c r="H69" s="685" t="str">
        <f>IF(Start!$C$17="x",(IF(OR(C69="NA",C69=""),"NA",IF(OR(F69="NA",F69="",F69=0),"NA",C69*F69))),"---")</f>
        <v>NA</v>
      </c>
      <c r="I69" s="376" t="str">
        <f>IF(Start!$C$17="x",(IF($E69 = "NA", "NA", (IF(H69 = "NA", "NA",(IF(OR(ChemData!U69="NA",ChemData!U69=""),H69/((Data!$D$18+$E69*(1-Data!$D$18)*Data!$D$14)/(1000*(1-Data!$D$18)*Data!$D$14)),(IF(H69/((Data!$D$18+$E69*(1-Data!$D$18)*Data!$D$14)/(1000*(1-Data!$D$18)*Data!$D$14))&gt;ChemData!U69, ChemData!U69,H69/((Data!$D$18+$E69*(1-Data!$D$18)*Data!$D$14)/(1000*(1-Data!$D$18)*Data!$D$14)))))))))),"---")</f>
        <v>NA</v>
      </c>
      <c r="J69" s="870" t="str">
        <f>IF(Start!$C$17="x",IF(OR(I69="NA",I69="",ChemData!W69="NA",ChemData!W69=""),"NA",I69/ChemData!W69),"---")</f>
        <v>NA</v>
      </c>
      <c r="K69" s="870" t="str">
        <f>IF(Start!$C$17="x",IF(J69="NA","NA",IF(Data!$D$68&lt;ChemData!X69,J69*(Data!$D$68/ChemData!X69),J69)),"---")</f>
        <v>NA</v>
      </c>
      <c r="L69" s="870" t="str">
        <f>IF(Start!$C$17="x",IF(OR(I69="NA",I69="",ChemData!Z69="NA",ChemData!Z69=""),"NA",I69/ChemData!Z69),"---")</f>
        <v>NA</v>
      </c>
      <c r="M69" s="870" t="str">
        <f>IF(Start!$C$17="x",IF(OR(I69="NA",I69="",ChemData!Y69="NA",ChemData!Y69=""),"NA",I69/ChemData!Y69),"---")</f>
        <v>NA</v>
      </c>
      <c r="N69" s="870" t="str">
        <f>IF(Start!$C$17="x",IF(OR(I69="NA",I69="",G69="NA",G69=""),"NA",I69/G69),"---")</f>
        <v>NA</v>
      </c>
      <c r="O69" s="794" t="str">
        <f>IF(Start!$C$17="x",(IF(C69="","",(IF(N69="NA","NA",IF(D69="NA","NA",IF(D69=0,"NA",(N69/D69))))))),"Not Req.")</f>
        <v/>
      </c>
    </row>
    <row r="70" spans="1:15" s="10" customFormat="1" x14ac:dyDescent="0.25">
      <c r="A70" s="405" t="s">
        <v>388</v>
      </c>
      <c r="B70" s="868" t="str">
        <f>IF(Start!$C$17="x",(IF($C70="NA","NA",(IF(C70="","",(IF(AND(N70="NA",C70&lt;&gt;"NA",D70&lt;&gt;"NA"),"Missing Data",(IF(OR(D70 = "NA",D70=""),"No Criteria",(IF(N70&lt;D70,IF(OR(I70&lt;D70,ChemData!AA70&lt;&gt;""),"No-1",IF(M70&lt;D70,"No-2","No-3")),"Needed")))))))))),"---")</f>
        <v/>
      </c>
      <c r="C70" s="426" t="str">
        <f>IF(TRUE=ISBLANK(ChemData!B70),"",(ChemData!B70))</f>
        <v/>
      </c>
      <c r="D70" s="289" t="str">
        <f>IF(TRUE=ISBLANK(ChemData!J70),"",(ChemData!J70))</f>
        <v>NA</v>
      </c>
      <c r="E70" s="290" t="str">
        <f>IF(TRUE=ISBLANK(ChemData!Q70),"",(ChemData!Q70))</f>
        <v>NA</v>
      </c>
      <c r="F70" s="290">
        <f>IF(TRUE=ISBLANK(ChemData!S70),"",(ChemData!S70))</f>
        <v>1</v>
      </c>
      <c r="G70" s="865" t="str">
        <f>IF(OR(TRUE=ISBLANK(ChemData!AA70),ChemData!AA70="NA",ChemData!AA70=0),ChemData!Z70,(ChemData!AA70))</f>
        <v>NA</v>
      </c>
      <c r="H70" s="685" t="str">
        <f>IF(Start!$C$17="x",(IF(OR(C70="NA",C70=""),"NA",IF(OR(F70="NA",F70="",F70=0),"NA",C70*F70))),"---")</f>
        <v>NA</v>
      </c>
      <c r="I70" s="376" t="str">
        <f>IF(Start!$C$17="x",(IF($E70 = "NA", "NA", (IF(H70 = "NA", "NA",(IF(OR(ChemData!U70="NA",ChemData!U70=""),H70/((Data!$D$18+$E70*(1-Data!$D$18)*Data!$D$14)/(1000*(1-Data!$D$18)*Data!$D$14)),(IF(H70/((Data!$D$18+$E70*(1-Data!$D$18)*Data!$D$14)/(1000*(1-Data!$D$18)*Data!$D$14))&gt;ChemData!U70, ChemData!U70,H70/((Data!$D$18+$E70*(1-Data!$D$18)*Data!$D$14)/(1000*(1-Data!$D$18)*Data!$D$14)))))))))),"---")</f>
        <v>NA</v>
      </c>
      <c r="J70" s="870" t="str">
        <f>IF(Start!$C$17="x",IF(OR(I70="NA",I70="",ChemData!W70="NA",ChemData!W70=""),"NA",I70/ChemData!W70),"---")</f>
        <v>NA</v>
      </c>
      <c r="K70" s="870" t="str">
        <f>IF(Start!$C$17="x",IF(J70="NA","NA",IF(Data!$D$68&lt;ChemData!X70,J70*(Data!$D$68/ChemData!X70),J70)),"---")</f>
        <v>NA</v>
      </c>
      <c r="L70" s="870" t="str">
        <f>IF(Start!$C$17="x",IF(OR(I70="NA",I70="",ChemData!Z70="NA",ChemData!Z70=""),"NA",I70/ChemData!Z70),"---")</f>
        <v>NA</v>
      </c>
      <c r="M70" s="870" t="str">
        <f>IF(Start!$C$17="x",IF(OR(I70="NA",I70="",ChemData!Y70="NA",ChemData!Y70=""),"NA",I70/ChemData!Y70),"---")</f>
        <v>NA</v>
      </c>
      <c r="N70" s="870" t="str">
        <f>IF(Start!$C$17="x",IF(OR(I70="NA",I70="",G70="NA",G70=""),"NA",I70/G70),"---")</f>
        <v>NA</v>
      </c>
      <c r="O70" s="794" t="str">
        <f>IF(Start!$C$17="x",(IF(C70="","",(IF(N70="NA","NA",IF(D70="NA","NA",IF(D70=0,"NA",(N70/D70))))))),"Not Req.")</f>
        <v/>
      </c>
    </row>
    <row r="71" spans="1:15" s="10" customFormat="1" x14ac:dyDescent="0.25">
      <c r="A71" s="405" t="s">
        <v>389</v>
      </c>
      <c r="B71" s="868" t="str">
        <f>IF(Start!$C$17="x",(IF($C71="NA","NA",(IF(C71="","",(IF(AND(N71="NA",C71&lt;&gt;"NA",D71&lt;&gt;"NA"),"Missing Data",(IF(OR(D71 = "NA",D71=""),"No Criteria",(IF(N71&lt;D71,IF(OR(I71&lt;D71,ChemData!AA71&lt;&gt;""),"No-1",IF(M71&lt;D71,"No-2","No-3")),"Needed")))))))))),"---")</f>
        <v/>
      </c>
      <c r="C71" s="426" t="str">
        <f>IF(TRUE=ISBLANK(ChemData!B71),"",(ChemData!B71))</f>
        <v/>
      </c>
      <c r="D71" s="289" t="str">
        <f>IF(TRUE=ISBLANK(ChemData!J71),"",(ChemData!J71))</f>
        <v>NA</v>
      </c>
      <c r="E71" s="290" t="str">
        <f>IF(TRUE=ISBLANK(ChemData!Q71),"",(ChemData!Q71))</f>
        <v>NA</v>
      </c>
      <c r="F71" s="290">
        <f>IF(TRUE=ISBLANK(ChemData!S71),"",(ChemData!S71))</f>
        <v>1</v>
      </c>
      <c r="G71" s="865" t="str">
        <f>IF(OR(TRUE=ISBLANK(ChemData!AA71),ChemData!AA71="NA",ChemData!AA71=0),ChemData!Z71,(ChemData!AA71))</f>
        <v>NA</v>
      </c>
      <c r="H71" s="685" t="str">
        <f>IF(Start!$C$17="x",(IF(OR(C71="NA",C71=""),"NA",IF(OR(F71="NA",F71="",F71=0),"NA",C71*F71))),"---")</f>
        <v>NA</v>
      </c>
      <c r="I71" s="376" t="str">
        <f>IF(Start!$C$17="x",(IF($E71 = "NA", "NA", (IF(H71 = "NA", "NA",(IF(OR(ChemData!U71="NA",ChemData!U71=""),H71/((Data!$D$18+$E71*(1-Data!$D$18)*Data!$D$14)/(1000*(1-Data!$D$18)*Data!$D$14)),(IF(H71/((Data!$D$18+$E71*(1-Data!$D$18)*Data!$D$14)/(1000*(1-Data!$D$18)*Data!$D$14))&gt;ChemData!U71, ChemData!U71,H71/((Data!$D$18+$E71*(1-Data!$D$18)*Data!$D$14)/(1000*(1-Data!$D$18)*Data!$D$14)))))))))),"---")</f>
        <v>NA</v>
      </c>
      <c r="J71" s="870" t="str">
        <f>IF(Start!$C$17="x",IF(OR(I71="NA",I71="",ChemData!W71="NA",ChemData!W71=""),"NA",I71/ChemData!W71),"---")</f>
        <v>NA</v>
      </c>
      <c r="K71" s="870" t="str">
        <f>IF(Start!$C$17="x",IF(J71="NA","NA",IF(Data!$D$68&lt;ChemData!X71,J71*(Data!$D$68/ChemData!X71),J71)),"---")</f>
        <v>NA</v>
      </c>
      <c r="L71" s="870" t="str">
        <f>IF(Start!$C$17="x",IF(OR(I71="NA",I71="",ChemData!Z71="NA",ChemData!Z71=""),"NA",I71/ChemData!Z71),"---")</f>
        <v>NA</v>
      </c>
      <c r="M71" s="870" t="str">
        <f>IF(Start!$C$17="x",IF(OR(I71="NA",I71="",ChemData!Y71="NA",ChemData!Y71=""),"NA",I71/ChemData!Y71),"---")</f>
        <v>NA</v>
      </c>
      <c r="N71" s="870" t="str">
        <f>IF(Start!$C$17="x",IF(OR(I71="NA",I71="",G71="NA",G71=""),"NA",I71/G71),"---")</f>
        <v>NA</v>
      </c>
      <c r="O71" s="794" t="str">
        <f>IF(Start!$C$17="x",(IF(C71="","",(IF(N71="NA","NA",IF(D71="NA","NA",IF(D71=0,"NA",(N71/D71))))))),"Not Req.")</f>
        <v/>
      </c>
    </row>
    <row r="72" spans="1:15" s="10" customFormat="1" x14ac:dyDescent="0.25">
      <c r="A72" s="405" t="s">
        <v>390</v>
      </c>
      <c r="B72" s="868" t="str">
        <f>IF(Start!$C$17="x",(IF($C72="NA","NA",(IF(C72="","",(IF(AND(N72="NA",C72&lt;&gt;"NA",D72&lt;&gt;"NA"),"Missing Data",(IF(OR(D72 = "NA",D72=""),"No Criteria",(IF(N72&lt;D72,IF(OR(I72&lt;D72,ChemData!AA72&lt;&gt;""),"No-1",IF(M72&lt;D72,"No-2","No-3")),"Needed")))))))))),"---")</f>
        <v/>
      </c>
      <c r="C72" s="426" t="str">
        <f>IF(TRUE=ISBLANK(ChemData!B72),"",(ChemData!B72))</f>
        <v/>
      </c>
      <c r="D72" s="289" t="str">
        <f>IF(TRUE=ISBLANK(ChemData!J72),"",(ChemData!J72))</f>
        <v>NA</v>
      </c>
      <c r="E72" s="290" t="str">
        <f>IF(TRUE=ISBLANK(ChemData!Q72),"",(ChemData!Q72))</f>
        <v>NA</v>
      </c>
      <c r="F72" s="290">
        <f>IF(TRUE=ISBLANK(ChemData!S72),"",(ChemData!S72))</f>
        <v>1</v>
      </c>
      <c r="G72" s="865" t="str">
        <f>IF(OR(TRUE=ISBLANK(ChemData!AA72),ChemData!AA72="NA",ChemData!AA72=0),ChemData!Z72,(ChemData!AA72))</f>
        <v>NA</v>
      </c>
      <c r="H72" s="685" t="str">
        <f>IF(Start!$C$17="x",(IF(OR(C72="NA",C72=""),"NA",IF(OR(F72="NA",F72="",F72=0),"NA",C72*F72))),"---")</f>
        <v>NA</v>
      </c>
      <c r="I72" s="376" t="str">
        <f>IF(Start!$C$17="x",(IF($E72 = "NA", "NA", (IF(H72 = "NA", "NA",(IF(OR(ChemData!U72="NA",ChemData!U72=""),H72/((Data!$D$18+$E72*(1-Data!$D$18)*Data!$D$14)/(1000*(1-Data!$D$18)*Data!$D$14)),(IF(H72/((Data!$D$18+$E72*(1-Data!$D$18)*Data!$D$14)/(1000*(1-Data!$D$18)*Data!$D$14))&gt;ChemData!U72, ChemData!U72,H72/((Data!$D$18+$E72*(1-Data!$D$18)*Data!$D$14)/(1000*(1-Data!$D$18)*Data!$D$14)))))))))),"---")</f>
        <v>NA</v>
      </c>
      <c r="J72" s="870" t="str">
        <f>IF(Start!$C$17="x",IF(OR(I72="NA",I72="",ChemData!W72="NA",ChemData!W72=""),"NA",I72/ChemData!W72),"---")</f>
        <v>NA</v>
      </c>
      <c r="K72" s="870" t="str">
        <f>IF(Start!$C$17="x",IF(J72="NA","NA",IF(Data!$D$68&lt;ChemData!X72,J72*(Data!$D$68/ChemData!X72),J72)),"---")</f>
        <v>NA</v>
      </c>
      <c r="L72" s="870" t="str">
        <f>IF(Start!$C$17="x",IF(OR(I72="NA",I72="",ChemData!Z72="NA",ChemData!Z72=""),"NA",I72/ChemData!Z72),"---")</f>
        <v>NA</v>
      </c>
      <c r="M72" s="870" t="str">
        <f>IF(Start!$C$17="x",IF(OR(I72="NA",I72="",ChemData!Y72="NA",ChemData!Y72=""),"NA",I72/ChemData!Y72),"---")</f>
        <v>NA</v>
      </c>
      <c r="N72" s="870" t="str">
        <f>IF(Start!$C$17="x",IF(OR(I72="NA",I72="",G72="NA",G72=""),"NA",I72/G72),"---")</f>
        <v>NA</v>
      </c>
      <c r="O72" s="794" t="str">
        <f>IF(Start!$C$17="x",(IF(C72="","",(IF(N72="NA","NA",IF(D72="NA","NA",IF(D72=0,"NA",(N72/D72))))))),"Not Req.")</f>
        <v/>
      </c>
    </row>
    <row r="73" spans="1:15" s="10" customFormat="1" x14ac:dyDescent="0.25">
      <c r="A73" s="405" t="s">
        <v>391</v>
      </c>
      <c r="B73" s="868" t="str">
        <f>IF(Start!$C$17="x",(IF($C73="NA","NA",(IF(C73="","",(IF(AND(N73="NA",C73&lt;&gt;"NA",D73&lt;&gt;"NA"),"Missing Data",(IF(OR(D73 = "NA",D73=""),"No Criteria",(IF(N73&lt;D73,IF(OR(I73&lt;D73,ChemData!AA73&lt;&gt;""),"No-1",IF(M73&lt;D73,"No-2","No-3")),"Needed")))))))))),"---")</f>
        <v/>
      </c>
      <c r="C73" s="426" t="str">
        <f>IF(TRUE=ISBLANK(ChemData!B73),"",(ChemData!B73))</f>
        <v/>
      </c>
      <c r="D73" s="289">
        <f>IF(TRUE=ISBLANK(ChemData!J73),"",(ChemData!J73))</f>
        <v>6.16</v>
      </c>
      <c r="E73" s="290">
        <f>IF(TRUE=ISBLANK(ChemData!Q73),"",(ChemData!Q73))</f>
        <v>3071.8953656669246</v>
      </c>
      <c r="F73" s="290">
        <f>IF(TRUE=ISBLANK(ChemData!S73),"",(ChemData!S73))</f>
        <v>1</v>
      </c>
      <c r="G73" s="865">
        <f>IF(OR(TRUE=ISBLANK(ChemData!AA73),ChemData!AA73="NA",ChemData!AA73=0),ChemData!Z73,(ChemData!AA73))</f>
        <v>105311.82380452752</v>
      </c>
      <c r="H73" s="685" t="str">
        <f>IF(Start!$C$17="x",(IF(OR(C73="NA",C73=""),"NA",IF(OR(F73="NA",F73="",F73=0),"NA",C73*F73))),"---")</f>
        <v>NA</v>
      </c>
      <c r="I73" s="376" t="str">
        <f>IF(Start!$C$17="x",(IF($E73 = "NA", "NA", (IF(H73 = "NA", "NA",(IF(OR(ChemData!U73="NA",ChemData!U73=""),H73/((Data!$D$18+$E73*(1-Data!$D$18)*Data!$D$14)/(1000*(1-Data!$D$18)*Data!$D$14)),(IF(H73/((Data!$D$18+$E73*(1-Data!$D$18)*Data!$D$14)/(1000*(1-Data!$D$18)*Data!$D$14))&gt;ChemData!U73, ChemData!U73,H73/((Data!$D$18+$E73*(1-Data!$D$18)*Data!$D$14)/(1000*(1-Data!$D$18)*Data!$D$14)))))))))),"---")</f>
        <v>NA</v>
      </c>
      <c r="J73" s="870" t="str">
        <f>IF(Start!$C$17="x",IF(OR(I73="NA",I73="",ChemData!W73="NA",ChemData!W73=""),"NA",I73/ChemData!W73),"---")</f>
        <v>NA</v>
      </c>
      <c r="K73" s="870" t="str">
        <f>IF(Start!$C$17="x",IF(J73="NA","NA",IF(Data!$D$68&lt;ChemData!X73,J73*(Data!$D$68/ChemData!X73),J73)),"---")</f>
        <v>NA</v>
      </c>
      <c r="L73" s="870" t="str">
        <f>IF(Start!$C$17="x",IF(OR(I73="NA",I73="",ChemData!Z73="NA",ChemData!Z73=""),"NA",I73/ChemData!Z73),"---")</f>
        <v>NA</v>
      </c>
      <c r="M73" s="870" t="str">
        <f>IF(Start!$C$17="x",IF(OR(I73="NA",I73="",ChemData!Y73="NA",ChemData!Y73=""),"NA",I73/ChemData!Y73),"---")</f>
        <v>NA</v>
      </c>
      <c r="N73" s="870" t="str">
        <f>IF(Start!$C$17="x",IF(OR(I73="NA",I73="",G73="NA",G73=""),"NA",I73/G73),"---")</f>
        <v>NA</v>
      </c>
      <c r="O73" s="794" t="str">
        <f>IF(Start!$C$17="x",(IF(C73="","",(IF(N73="NA","NA",IF(D73="NA","NA",IF(D73=0,"NA",(N73/D73))))))),"Not Req.")</f>
        <v/>
      </c>
    </row>
    <row r="74" spans="1:15" s="10" customFormat="1" x14ac:dyDescent="0.25">
      <c r="A74" s="405" t="s">
        <v>392</v>
      </c>
      <c r="B74" s="868" t="str">
        <f>IF(Start!$C$17="x",(IF($C74="NA","NA",(IF(C74="","",(IF(AND(N74="NA",C74&lt;&gt;"NA",D74&lt;&gt;"NA"),"Missing Data",(IF(OR(D74 = "NA",D74=""),"No Criteria",(IF(N74&lt;D74,IF(OR(I74&lt;D74,ChemData!AA74&lt;&gt;""),"No-1",IF(M74&lt;D74,"No-2","No-3")),"Needed")))))))))),"---")</f>
        <v/>
      </c>
      <c r="C74" s="426" t="str">
        <f>IF(TRUE=ISBLANK(ChemData!B74),"",(ChemData!B74))</f>
        <v/>
      </c>
      <c r="D74" s="289">
        <f>IF(TRUE=ISBLANK(ChemData!J74),"",(ChemData!J74))</f>
        <v>3.9</v>
      </c>
      <c r="E74" s="290">
        <f>IF(TRUE=ISBLANK(ChemData!Q74),"",(ChemData!Q74))</f>
        <v>293.36372992455233</v>
      </c>
      <c r="F74" s="290">
        <f>IF(TRUE=ISBLANK(ChemData!S74),"",(ChemData!S74))</f>
        <v>1</v>
      </c>
      <c r="G74" s="865">
        <f>IF(OR(TRUE=ISBLANK(ChemData!AA74),ChemData!AA74="NA",ChemData!AA74=0),ChemData!Z74,(ChemData!AA74))</f>
        <v>3346.1503162061808</v>
      </c>
      <c r="H74" s="685" t="str">
        <f>IF(Start!$C$17="x",(IF(OR(C74="NA",C74=""),"NA",IF(OR(F74="NA",F74="",F74=0),"NA",C74*F74))),"---")</f>
        <v>NA</v>
      </c>
      <c r="I74" s="376" t="str">
        <f>IF(Start!$C$17="x",(IF($E74 = "NA", "NA", (IF(H74 = "NA", "NA",(IF(OR(ChemData!U74="NA",ChemData!U74=""),H74/((Data!$D$18+$E74*(1-Data!$D$18)*Data!$D$14)/(1000*(1-Data!$D$18)*Data!$D$14)),(IF(H74/((Data!$D$18+$E74*(1-Data!$D$18)*Data!$D$14)/(1000*(1-Data!$D$18)*Data!$D$14))&gt;ChemData!U74, ChemData!U74,H74/((Data!$D$18+$E74*(1-Data!$D$18)*Data!$D$14)/(1000*(1-Data!$D$18)*Data!$D$14)))))))))),"---")</f>
        <v>NA</v>
      </c>
      <c r="J74" s="870" t="str">
        <f>IF(Start!$C$17="x",IF(OR(I74="NA",I74="",ChemData!W74="NA",ChemData!W74=""),"NA",I74/ChemData!W74),"---")</f>
        <v>NA</v>
      </c>
      <c r="K74" s="870" t="str">
        <f>IF(Start!$C$17="x",IF(J74="NA","NA",IF(Data!$D$68&lt;ChemData!X74,J74*(Data!$D$68/ChemData!X74),J74)),"---")</f>
        <v>NA</v>
      </c>
      <c r="L74" s="870" t="str">
        <f>IF(Start!$C$17="x",IF(OR(I74="NA",I74="",ChemData!Z74="NA",ChemData!Z74=""),"NA",I74/ChemData!Z74),"---")</f>
        <v>NA</v>
      </c>
      <c r="M74" s="870" t="str">
        <f>IF(Start!$C$17="x",IF(OR(I74="NA",I74="",ChemData!Y74="NA",ChemData!Y74=""),"NA",I74/ChemData!Y74),"---")</f>
        <v>NA</v>
      </c>
      <c r="N74" s="870" t="str">
        <f>IF(Start!$C$17="x",IF(OR(I74="NA",I74="",G74="NA",G74=""),"NA",I74/G74),"---")</f>
        <v>NA</v>
      </c>
      <c r="O74" s="794" t="str">
        <f>IF(Start!$C$17="x",(IF(C74="","",(IF(N74="NA","NA",IF(D74="NA","NA",IF(D74=0,"NA",(N74/D74))))))),"Not Req.")</f>
        <v/>
      </c>
    </row>
    <row r="75" spans="1:15" s="10" customFormat="1" x14ac:dyDescent="0.25">
      <c r="A75" s="405" t="s">
        <v>393</v>
      </c>
      <c r="B75" s="868" t="str">
        <f>IF(Start!$C$17="x",(IF($C75="NA","NA",(IF(C75="","",(IF(AND(N75="NA",C75&lt;&gt;"NA",D75&lt;&gt;"NA"),"Missing Data",(IF(OR(D75 = "NA",D75=""),"No Criteria",(IF(N75&lt;D75,IF(OR(I75&lt;D75,ChemData!AA75&lt;&gt;""),"No-1",IF(M75&lt;D75,"No-2","No-3")),"Needed")))))))))),"---")</f>
        <v/>
      </c>
      <c r="C75" s="426" t="str">
        <f>IF(TRUE=ISBLANK(ChemData!B75),"",(ChemData!B75))</f>
        <v/>
      </c>
      <c r="D75" s="289" t="str">
        <f>IF(TRUE=ISBLANK(ChemData!J75),"",(ChemData!J75))</f>
        <v>NA</v>
      </c>
      <c r="E75" s="290">
        <f>IF(TRUE=ISBLANK(ChemData!Q75),"",(ChemData!Q75))</f>
        <v>82681.132907143459</v>
      </c>
      <c r="F75" s="290">
        <f>IF(TRUE=ISBLANK(ChemData!S75),"",(ChemData!S75))</f>
        <v>1</v>
      </c>
      <c r="G75" s="865">
        <f>IF(OR(TRUE=ISBLANK(ChemData!AA75),ChemData!AA75="NA",ChemData!AA75=0),ChemData!Z75,(ChemData!AA75))</f>
        <v>13259239.566518294</v>
      </c>
      <c r="H75" s="685" t="str">
        <f>IF(Start!$C$17="x",(IF(OR(C75="NA",C75=""),"NA",IF(OR(F75="NA",F75="",F75=0),"NA",C75*F75))),"---")</f>
        <v>NA</v>
      </c>
      <c r="I75" s="376" t="str">
        <f>IF(Start!$C$17="x",(IF($E75 = "NA", "NA", (IF(H75 = "NA", "NA",(IF(OR(ChemData!U75="NA",ChemData!U75=""),H75/((Data!$D$18+$E75*(1-Data!$D$18)*Data!$D$14)/(1000*(1-Data!$D$18)*Data!$D$14)),(IF(H75/((Data!$D$18+$E75*(1-Data!$D$18)*Data!$D$14)/(1000*(1-Data!$D$18)*Data!$D$14))&gt;ChemData!U75, ChemData!U75,H75/((Data!$D$18+$E75*(1-Data!$D$18)*Data!$D$14)/(1000*(1-Data!$D$18)*Data!$D$14)))))))))),"---")</f>
        <v>NA</v>
      </c>
      <c r="J75" s="870" t="str">
        <f>IF(Start!$C$17="x",IF(OR(I75="NA",I75="",ChemData!W75="NA",ChemData!W75=""),"NA",I75/ChemData!W75),"---")</f>
        <v>NA</v>
      </c>
      <c r="K75" s="870" t="str">
        <f>IF(Start!$C$17="x",IF(J75="NA","NA",IF(Data!$D$68&lt;ChemData!X75,J75*(Data!$D$68/ChemData!X75),J75)),"---")</f>
        <v>NA</v>
      </c>
      <c r="L75" s="870" t="str">
        <f>IF(Start!$C$17="x",IF(OR(I75="NA",I75="",ChemData!Z75="NA",ChemData!Z75=""),"NA",I75/ChemData!Z75),"---")</f>
        <v>NA</v>
      </c>
      <c r="M75" s="870" t="str">
        <f>IF(Start!$C$17="x",IF(OR(I75="NA",I75="",ChemData!Y75="NA",ChemData!Y75=""),"NA",I75/ChemData!Y75),"---")</f>
        <v>NA</v>
      </c>
      <c r="N75" s="870" t="str">
        <f>IF(Start!$C$17="x",IF(OR(I75="NA",I75="",G75="NA",G75=""),"NA",I75/G75),"---")</f>
        <v>NA</v>
      </c>
      <c r="O75" s="794" t="str">
        <f>IF(Start!$C$17="x",(IF(C75="","",(IF(N75="NA","NA",IF(D75="NA","NA",IF(D75=0,"NA",(N75/D75))))))),"Not Req.")</f>
        <v/>
      </c>
    </row>
    <row r="76" spans="1:15" s="10" customFormat="1" x14ac:dyDescent="0.25">
      <c r="A76" s="405" t="s">
        <v>394</v>
      </c>
      <c r="B76" s="868" t="str">
        <f>IF(Start!$C$17="x",(IF($C76="NA","NA",(IF(C76="","",(IF(AND(N76="NA",C76&lt;&gt;"NA",D76&lt;&gt;"NA"),"Missing Data",(IF(OR(D76 = "NA",D76=""),"No Criteria",(IF(N76&lt;D76,IF(OR(I76&lt;D76,ChemData!AA76&lt;&gt;""),"No-1",IF(M76&lt;D76,"No-2","No-3")),"Needed")))))))))),"---")</f>
        <v/>
      </c>
      <c r="C76" s="426" t="str">
        <f>IF(TRUE=ISBLANK(ChemData!B76),"",(ChemData!B76))</f>
        <v/>
      </c>
      <c r="D76" s="289" t="str">
        <f>IF(TRUE=ISBLANK(ChemData!J76),"",(ChemData!J76))</f>
        <v>NA</v>
      </c>
      <c r="E76" s="290">
        <f>IF(TRUE=ISBLANK(ChemData!Q76),"",(ChemData!Q76))</f>
        <v>48686.260529983556</v>
      </c>
      <c r="F76" s="290">
        <f>IF(TRUE=ISBLANK(ChemData!S76),"",(ChemData!S76))</f>
        <v>1</v>
      </c>
      <c r="G76" s="865">
        <f>IF(OR(TRUE=ISBLANK(ChemData!AA76),ChemData!AA76="NA",ChemData!AA76=0),ChemData!Z76,(ChemData!AA76))</f>
        <v>6091857.1033335878</v>
      </c>
      <c r="H76" s="685" t="str">
        <f>IF(Start!$C$17="x",(IF(OR(C76="NA",C76=""),"NA",IF(OR(F76="NA",F76="",F76=0),"NA",C76*F76))),"---")</f>
        <v>NA</v>
      </c>
      <c r="I76" s="376" t="str">
        <f>IF(Start!$C$17="x",(IF($E76 = "NA", "NA", (IF(H76 = "NA", "NA",(IF(OR(ChemData!U76="NA",ChemData!U76=""),H76/((Data!$D$18+$E76*(1-Data!$D$18)*Data!$D$14)/(1000*(1-Data!$D$18)*Data!$D$14)),(IF(H76/((Data!$D$18+$E76*(1-Data!$D$18)*Data!$D$14)/(1000*(1-Data!$D$18)*Data!$D$14))&gt;ChemData!U76, ChemData!U76,H76/((Data!$D$18+$E76*(1-Data!$D$18)*Data!$D$14)/(1000*(1-Data!$D$18)*Data!$D$14)))))))))),"---")</f>
        <v>NA</v>
      </c>
      <c r="J76" s="870" t="str">
        <f>IF(Start!$C$17="x",IF(OR(I76="NA",I76="",ChemData!W76="NA",ChemData!W76=""),"NA",I76/ChemData!W76),"---")</f>
        <v>NA</v>
      </c>
      <c r="K76" s="870" t="str">
        <f>IF(Start!$C$17="x",IF(J76="NA","NA",IF(Data!$D$68&lt;ChemData!X76,J76*(Data!$D$68/ChemData!X76),J76)),"---")</f>
        <v>NA</v>
      </c>
      <c r="L76" s="870" t="str">
        <f>IF(Start!$C$17="x",IF(OR(I76="NA",I76="",ChemData!Z76="NA",ChemData!Z76=""),"NA",I76/ChemData!Z76),"---")</f>
        <v>NA</v>
      </c>
      <c r="M76" s="870" t="str">
        <f>IF(Start!$C$17="x",IF(OR(I76="NA",I76="",ChemData!Y76="NA",ChemData!Y76=""),"NA",I76/ChemData!Y76),"---")</f>
        <v>NA</v>
      </c>
      <c r="N76" s="870" t="str">
        <f>IF(Start!$C$17="x",IF(OR(I76="NA",I76="",G76="NA",G76=""),"NA",I76/G76),"---")</f>
        <v>NA</v>
      </c>
      <c r="O76" s="794" t="str">
        <f>IF(Start!$C$17="x",(IF(C76="","",(IF(N76="NA","NA",IF(D76="NA","NA",IF(D76=0,"NA",(N76/D76))))))),"Not Req.")</f>
        <v/>
      </c>
    </row>
    <row r="77" spans="1:15" s="10" customFormat="1" x14ac:dyDescent="0.25">
      <c r="A77" s="405" t="s">
        <v>395</v>
      </c>
      <c r="B77" s="868" t="str">
        <f>IF(Start!$C$17="x",(IF($C77="NA","NA",(IF(C77="","",(IF(AND(N77="NA",C77&lt;&gt;"NA",D77&lt;&gt;"NA"),"Missing Data",(IF(OR(D77 = "NA",D77=""),"No Criteria",(IF(N77&lt;D77,IF(OR(I77&lt;D77,ChemData!AA77&lt;&gt;""),"No-1",IF(M77&lt;D77,"No-2","No-3")),"Needed")))))))))),"---")</f>
        <v/>
      </c>
      <c r="C77" s="426" t="str">
        <f>IF(TRUE=ISBLANK(ChemData!B77),"",(ChemData!B77))</f>
        <v/>
      </c>
      <c r="D77" s="289">
        <f>IF(TRUE=ISBLANK(ChemData!J77),"",(ChemData!J77))</f>
        <v>2.1</v>
      </c>
      <c r="E77" s="290">
        <f>IF(TRUE=ISBLANK(ChemData!Q77),"",(ChemData!Q77))</f>
        <v>137.21652566479986</v>
      </c>
      <c r="F77" s="290">
        <f>IF(TRUE=ISBLANK(ChemData!S77),"",(ChemData!S77))</f>
        <v>1</v>
      </c>
      <c r="G77" s="865">
        <f>IF(OR(TRUE=ISBLANK(ChemData!AA77),ChemData!AA77="NA",ChemData!AA77=0),ChemData!Z77,(ChemData!AA77))</f>
        <v>1096.2774698007934</v>
      </c>
      <c r="H77" s="685" t="str">
        <f>IF(Start!$C$17="x",(IF(OR(C77="NA",C77=""),"NA",IF(OR(F77="NA",F77="",F77=0),"NA",C77*F77))),"---")</f>
        <v>NA</v>
      </c>
      <c r="I77" s="376" t="str">
        <f>IF(Start!$C$17="x",(IF($E77 = "NA", "NA", (IF(H77 = "NA", "NA",(IF(OR(ChemData!U77="NA",ChemData!U77=""),H77/((Data!$D$18+$E77*(1-Data!$D$18)*Data!$D$14)/(1000*(1-Data!$D$18)*Data!$D$14)),(IF(H77/((Data!$D$18+$E77*(1-Data!$D$18)*Data!$D$14)/(1000*(1-Data!$D$18)*Data!$D$14))&gt;ChemData!U77, ChemData!U77,H77/((Data!$D$18+$E77*(1-Data!$D$18)*Data!$D$14)/(1000*(1-Data!$D$18)*Data!$D$14)))))))))),"---")</f>
        <v>NA</v>
      </c>
      <c r="J77" s="870" t="str">
        <f>IF(Start!$C$17="x",IF(OR(I77="NA",I77="",ChemData!W77="NA",ChemData!W77=""),"NA",I77/ChemData!W77),"---")</f>
        <v>NA</v>
      </c>
      <c r="K77" s="870" t="str">
        <f>IF(Start!$C$17="x",IF(J77="NA","NA",IF(Data!$D$68&lt;ChemData!X77,J77*(Data!$D$68/ChemData!X77),J77)),"---")</f>
        <v>NA</v>
      </c>
      <c r="L77" s="870" t="str">
        <f>IF(Start!$C$17="x",IF(OR(I77="NA",I77="",ChemData!Z77="NA",ChemData!Z77=""),"NA",I77/ChemData!Z77),"---")</f>
        <v>NA</v>
      </c>
      <c r="M77" s="870" t="str">
        <f>IF(Start!$C$17="x",IF(OR(I77="NA",I77="",ChemData!Y77="NA",ChemData!Y77=""),"NA",I77/ChemData!Y77),"---")</f>
        <v>NA</v>
      </c>
      <c r="N77" s="870" t="str">
        <f>IF(Start!$C$17="x",IF(OR(I77="NA",I77="",G77="NA",G77=""),"NA",I77/G77),"---")</f>
        <v>NA</v>
      </c>
      <c r="O77" s="794" t="str">
        <f>IF(Start!$C$17="x",(IF(C77="","",(IF(N77="NA","NA",IF(D77="NA","NA",IF(D77=0,"NA",(N77/D77))))))),"Not Req.")</f>
        <v/>
      </c>
    </row>
    <row r="78" spans="1:15" s="10" customFormat="1" x14ac:dyDescent="0.25">
      <c r="A78" s="405" t="s">
        <v>396</v>
      </c>
      <c r="B78" s="868" t="str">
        <f>IF(Start!$C$17="x",(IF($C78="NA","NA",(IF(C78="","",(IF(AND(N78="NA",C78&lt;&gt;"NA",D78&lt;&gt;"NA"),"Missing Data",(IF(OR(D78 = "NA",D78=""),"No Criteria",(IF(N78&lt;D78,IF(OR(I78&lt;D78,ChemData!AA78&lt;&gt;""),"No-1",IF(M78&lt;D78,"No-2","No-3")),"Needed")))))))))),"---")</f>
        <v/>
      </c>
      <c r="C78" s="426" t="str">
        <f>IF(TRUE=ISBLANK(ChemData!B78),"",(ChemData!B78))</f>
        <v/>
      </c>
      <c r="D78" s="289" t="str">
        <f>IF(TRUE=ISBLANK(ChemData!J78),"",(ChemData!J78))</f>
        <v>NA</v>
      </c>
      <c r="E78" s="290">
        <f>IF(TRUE=ISBLANK(ChemData!Q78),"",(ChemData!Q78))</f>
        <v>134.09309620988071</v>
      </c>
      <c r="F78" s="290">
        <f>IF(TRUE=ISBLANK(ChemData!S78),"",(ChemData!S78))</f>
        <v>1</v>
      </c>
      <c r="G78" s="865">
        <f>IF(OR(TRUE=ISBLANK(ChemData!AA78),ChemData!AA78="NA",ChemData!AA78=0),ChemData!Z78,(ChemData!AA78))</f>
        <v>1059.826767323048</v>
      </c>
      <c r="H78" s="685" t="str">
        <f>IF(Start!$C$17="x",(IF(OR(C78="NA",C78=""),"NA",IF(OR(F78="NA",F78="",F78=0),"NA",C78*F78))),"---")</f>
        <v>NA</v>
      </c>
      <c r="I78" s="376" t="str">
        <f>IF(Start!$C$17="x",(IF($E78 = "NA", "NA", (IF(H78 = "NA", "NA",(IF(OR(ChemData!U78="NA",ChemData!U78=""),H78/((Data!$D$18+$E78*(1-Data!$D$18)*Data!$D$14)/(1000*(1-Data!$D$18)*Data!$D$14)),(IF(H78/((Data!$D$18+$E78*(1-Data!$D$18)*Data!$D$14)/(1000*(1-Data!$D$18)*Data!$D$14))&gt;ChemData!U78, ChemData!U78,H78/((Data!$D$18+$E78*(1-Data!$D$18)*Data!$D$14)/(1000*(1-Data!$D$18)*Data!$D$14)))))))))),"---")</f>
        <v>NA</v>
      </c>
      <c r="J78" s="870" t="str">
        <f>IF(Start!$C$17="x",IF(OR(I78="NA",I78="",ChemData!W78="NA",ChemData!W78=""),"NA",I78/ChemData!W78),"---")</f>
        <v>NA</v>
      </c>
      <c r="K78" s="870" t="str">
        <f>IF(Start!$C$17="x",IF(J78="NA","NA",IF(Data!$D$68&lt;ChemData!X78,J78*(Data!$D$68/ChemData!X78),J78)),"---")</f>
        <v>NA</v>
      </c>
      <c r="L78" s="870" t="str">
        <f>IF(Start!$C$17="x",IF(OR(I78="NA",I78="",ChemData!Z78="NA",ChemData!Z78=""),"NA",I78/ChemData!Z78),"---")</f>
        <v>NA</v>
      </c>
      <c r="M78" s="870" t="str">
        <f>IF(Start!$C$17="x",IF(OR(I78="NA",I78="",ChemData!Y78="NA",ChemData!Y78=""),"NA",I78/ChemData!Y78),"---")</f>
        <v>NA</v>
      </c>
      <c r="N78" s="870" t="str">
        <f>IF(Start!$C$17="x",IF(OR(I78="NA",I78="",G78="NA",G78=""),"NA",I78/G78),"---")</f>
        <v>NA</v>
      </c>
      <c r="O78" s="794" t="str">
        <f>IF(Start!$C$17="x",(IF(C78="","",(IF(N78="NA","NA",IF(D78="NA","NA",IF(D78=0,"NA",(N78/D78))))))),"Not Req.")</f>
        <v/>
      </c>
    </row>
    <row r="79" spans="1:15" s="10" customFormat="1" x14ac:dyDescent="0.25">
      <c r="A79" s="405" t="s">
        <v>397</v>
      </c>
      <c r="B79" s="868" t="str">
        <f>IF(Start!$C$17="x",(IF($C79="NA","NA",(IF(C79="","",(IF(AND(N79="NA",C79&lt;&gt;"NA",D79&lt;&gt;"NA"),"Missing Data",(IF(OR(D79 = "NA",D79=""),"No Criteria",(IF(N79&lt;D79,IF(OR(I79&lt;D79,ChemData!AA79&lt;&gt;""),"No-1",IF(M79&lt;D79,"No-2","No-3")),"Needed")))))))))),"---")</f>
        <v/>
      </c>
      <c r="C79" s="426" t="str">
        <f>IF(TRUE=ISBLANK(ChemData!B79),"",(ChemData!B79))</f>
        <v/>
      </c>
      <c r="D79" s="289">
        <f>IF(TRUE=ISBLANK(ChemData!J79),"",(ChemData!J79))</f>
        <v>12</v>
      </c>
      <c r="E79" s="290">
        <f>IF(TRUE=ISBLANK(ChemData!Q79),"",(ChemData!Q79))</f>
        <v>40.495467659306222</v>
      </c>
      <c r="F79" s="290">
        <f>IF(TRUE=ISBLANK(ChemData!S79),"",(ChemData!S79))</f>
        <v>1</v>
      </c>
      <c r="G79" s="865">
        <f>IF(OR(TRUE=ISBLANK(ChemData!AA79),ChemData!AA79="NA",ChemData!AA79=0),ChemData!Z79,(ChemData!AA79))</f>
        <v>182.6347588262291</v>
      </c>
      <c r="H79" s="685" t="str">
        <f>IF(Start!$C$17="x",(IF(OR(C79="NA",C79=""),"NA",IF(OR(F79="NA",F79="",F79=0),"NA",C79*F79))),"---")</f>
        <v>NA</v>
      </c>
      <c r="I79" s="376" t="str">
        <f>IF(Start!$C$17="x",(IF($E79 = "NA", "NA", (IF(H79 = "NA", "NA",(IF(OR(ChemData!U79="NA",ChemData!U79=""),H79/((Data!$D$18+$E79*(1-Data!$D$18)*Data!$D$14)/(1000*(1-Data!$D$18)*Data!$D$14)),(IF(H79/((Data!$D$18+$E79*(1-Data!$D$18)*Data!$D$14)/(1000*(1-Data!$D$18)*Data!$D$14))&gt;ChemData!U79, ChemData!U79,H79/((Data!$D$18+$E79*(1-Data!$D$18)*Data!$D$14)/(1000*(1-Data!$D$18)*Data!$D$14)))))))))),"---")</f>
        <v>NA</v>
      </c>
      <c r="J79" s="870" t="str">
        <f>IF(Start!$C$17="x",IF(OR(I79="NA",I79="",ChemData!W79="NA",ChemData!W79=""),"NA",I79/ChemData!W79),"---")</f>
        <v>NA</v>
      </c>
      <c r="K79" s="870" t="str">
        <f>IF(Start!$C$17="x",IF(J79="NA","NA",IF(Data!$D$68&lt;ChemData!X79,J79*(Data!$D$68/ChemData!X79),J79)),"---")</f>
        <v>NA</v>
      </c>
      <c r="L79" s="870" t="str">
        <f>IF(Start!$C$17="x",IF(OR(I79="NA",I79="",ChemData!Z79="NA",ChemData!Z79=""),"NA",I79/ChemData!Z79),"---")</f>
        <v>NA</v>
      </c>
      <c r="M79" s="870" t="str">
        <f>IF(Start!$C$17="x",IF(OR(I79="NA",I79="",ChemData!Y79="NA",ChemData!Y79=""),"NA",I79/ChemData!Y79),"---")</f>
        <v>NA</v>
      </c>
      <c r="N79" s="870" t="str">
        <f>IF(Start!$C$17="x",IF(OR(I79="NA",I79="",G79="NA",G79=""),"NA",I79/G79),"---")</f>
        <v>NA</v>
      </c>
      <c r="O79" s="794" t="str">
        <f>IF(Start!$C$17="x",(IF(C79="","",(IF(N79="NA","NA",IF(D79="NA","NA",IF(D79=0,"NA",(N79/D79))))))),"Not Req.")</f>
        <v/>
      </c>
    </row>
    <row r="80" spans="1:15" s="10" customFormat="1" x14ac:dyDescent="0.25">
      <c r="A80" s="405" t="s">
        <v>398</v>
      </c>
      <c r="B80" s="868" t="str">
        <f>IF(Start!$C$17="x",(IF($C80="NA","NA",(IF(C80="","",(IF(AND(N80="NA",C80&lt;&gt;"NA",D80&lt;&gt;"NA"),"Missing Data",(IF(OR(D80 = "NA",D80=""),"No Criteria",(IF(N80&lt;D80,IF(OR(I80&lt;D80,ChemData!AA80&lt;&gt;""),"No-1",IF(M80&lt;D80,"No-2","No-3")),"Needed")))))))))),"---")</f>
        <v/>
      </c>
      <c r="C80" s="426" t="str">
        <f>IF(TRUE=ISBLANK(ChemData!B80),"",(ChemData!B80))</f>
        <v/>
      </c>
      <c r="D80" s="289" t="str">
        <f>IF(TRUE=ISBLANK(ChemData!J80),"",(ChemData!J80))</f>
        <v>NA</v>
      </c>
      <c r="E80" s="290" t="str">
        <f>IF(TRUE=ISBLANK(ChemData!Q80),"",(ChemData!Q80))</f>
        <v>NA</v>
      </c>
      <c r="F80" s="290">
        <f>IF(TRUE=ISBLANK(ChemData!S80),"",(ChemData!S80))</f>
        <v>1</v>
      </c>
      <c r="G80" s="865" t="str">
        <f>IF(OR(TRUE=ISBLANK(ChemData!AA80),ChemData!AA80="NA",ChemData!AA80=0),ChemData!Z80,(ChemData!AA80))</f>
        <v>NA</v>
      </c>
      <c r="H80" s="685" t="str">
        <f>IF(Start!$C$17="x",(IF(OR(C80="NA",C80=""),"NA",IF(OR(F80="NA",F80="",F80=0),"NA",C80*F80))),"---")</f>
        <v>NA</v>
      </c>
      <c r="I80" s="376" t="str">
        <f>IF(Start!$C$17="x",(IF($E80 = "NA", "NA", (IF(H80 = "NA", "NA",(IF(OR(ChemData!U80="NA",ChemData!U80=""),H80/((Data!$D$18+$E80*(1-Data!$D$18)*Data!$D$14)/(1000*(1-Data!$D$18)*Data!$D$14)),(IF(H80/((Data!$D$18+$E80*(1-Data!$D$18)*Data!$D$14)/(1000*(1-Data!$D$18)*Data!$D$14))&gt;ChemData!U80, ChemData!U80,H80/((Data!$D$18+$E80*(1-Data!$D$18)*Data!$D$14)/(1000*(1-Data!$D$18)*Data!$D$14)))))))))),"---")</f>
        <v>NA</v>
      </c>
      <c r="J80" s="870" t="str">
        <f>IF(Start!$C$17="x",IF(OR(I80="NA",I80="",ChemData!W80="NA",ChemData!W80=""),"NA",I80/ChemData!W80),"---")</f>
        <v>NA</v>
      </c>
      <c r="K80" s="870" t="str">
        <f>IF(Start!$C$17="x",IF(J80="NA","NA",IF(Data!$D$68&lt;ChemData!X80,J80*(Data!$D$68/ChemData!X80),J80)),"---")</f>
        <v>NA</v>
      </c>
      <c r="L80" s="870" t="str">
        <f>IF(Start!$C$17="x",IF(OR(I80="NA",I80="",ChemData!Z80="NA",ChemData!Z80=""),"NA",I80/ChemData!Z80),"---")</f>
        <v>NA</v>
      </c>
      <c r="M80" s="870" t="str">
        <f>IF(Start!$C$17="x",IF(OR(I80="NA",I80="",ChemData!Y80="NA",ChemData!Y80=""),"NA",I80/ChemData!Y80),"---")</f>
        <v>NA</v>
      </c>
      <c r="N80" s="870" t="str">
        <f>IF(Start!$C$17="x",IF(OR(I80="NA",I80="",G80="NA",G80=""),"NA",I80/G80),"---")</f>
        <v>NA</v>
      </c>
      <c r="O80" s="794" t="str">
        <f>IF(Start!$C$17="x",(IF(C80="","",(IF(N80="NA","NA",IF(D80="NA","NA",IF(D80=0,"NA",(N80/D80))))))),"Not Req.")</f>
        <v/>
      </c>
    </row>
    <row r="81" spans="1:15" s="10" customFormat="1" x14ac:dyDescent="0.25">
      <c r="A81" s="405" t="s">
        <v>399</v>
      </c>
      <c r="B81" s="868" t="str">
        <f>IF(Start!$C$17="x",(IF($C81="NA","NA",(IF(C81="","",(IF(AND(N81="NA",C81&lt;&gt;"NA",D81&lt;&gt;"NA"),"Missing Data",(IF(OR(D81 = "NA",D81=""),"No Criteria",(IF(N81&lt;D81,IF(OR(I81&lt;D81,ChemData!AA81&lt;&gt;""),"No-1",IF(M81&lt;D81,"No-2","No-3")),"Needed")))))))))),"---")</f>
        <v/>
      </c>
      <c r="C81" s="426" t="str">
        <f>IF(TRUE=ISBLANK(ChemData!B81),"",(ChemData!B81))</f>
        <v/>
      </c>
      <c r="D81" s="289">
        <f>IF(TRUE=ISBLANK(ChemData!J81),"",(ChemData!J81))</f>
        <v>6.3</v>
      </c>
      <c r="E81" s="290">
        <f>IF(TRUE=ISBLANK(ChemData!Q81),"",(ChemData!Q81))</f>
        <v>533.83423122873478</v>
      </c>
      <c r="F81" s="290">
        <f>IF(TRUE=ISBLANK(ChemData!S81),"",(ChemData!S81))</f>
        <v>1</v>
      </c>
      <c r="G81" s="865">
        <f>IF(OR(TRUE=ISBLANK(ChemData!AA81),ChemData!AA81="NA",ChemData!AA81=0),ChemData!Z81,(ChemData!AA81))</f>
        <v>8060.6705393214488</v>
      </c>
      <c r="H81" s="685" t="str">
        <f>IF(Start!$C$17="x",(IF(OR(C81="NA",C81=""),"NA",IF(OR(F81="NA",F81="",F81=0),"NA",C81*F81))),"---")</f>
        <v>NA</v>
      </c>
      <c r="I81" s="376" t="str">
        <f>IF(Start!$C$17="x",(IF($E81 = "NA", "NA", (IF(H81 = "NA", "NA",(IF(OR(ChemData!U81="NA",ChemData!U81=""),H81/((Data!$D$18+$E81*(1-Data!$D$18)*Data!$D$14)/(1000*(1-Data!$D$18)*Data!$D$14)),(IF(H81/((Data!$D$18+$E81*(1-Data!$D$18)*Data!$D$14)/(1000*(1-Data!$D$18)*Data!$D$14))&gt;ChemData!U81, ChemData!U81,H81/((Data!$D$18+$E81*(1-Data!$D$18)*Data!$D$14)/(1000*(1-Data!$D$18)*Data!$D$14)))))))))),"---")</f>
        <v>NA</v>
      </c>
      <c r="J81" s="870" t="str">
        <f>IF(Start!$C$17="x",IF(OR(I81="NA",I81="",ChemData!W81="NA",ChemData!W81=""),"NA",I81/ChemData!W81),"---")</f>
        <v>NA</v>
      </c>
      <c r="K81" s="870" t="str">
        <f>IF(Start!$C$17="x",IF(J81="NA","NA",IF(Data!$D$68&lt;ChemData!X81,J81*(Data!$D$68/ChemData!X81),J81)),"---")</f>
        <v>NA</v>
      </c>
      <c r="L81" s="870" t="str">
        <f>IF(Start!$C$17="x",IF(OR(I81="NA",I81="",ChemData!Z81="NA",ChemData!Z81=""),"NA",I81/ChemData!Z81),"---")</f>
        <v>NA</v>
      </c>
      <c r="M81" s="870" t="str">
        <f>IF(Start!$C$17="x",IF(OR(I81="NA",I81="",ChemData!Y81="NA",ChemData!Y81=""),"NA",I81/ChemData!Y81),"---")</f>
        <v>NA</v>
      </c>
      <c r="N81" s="870" t="str">
        <f>IF(Start!$C$17="x",IF(OR(I81="NA",I81="",G81="NA",G81=""),"NA",I81/G81),"---")</f>
        <v>NA</v>
      </c>
      <c r="O81" s="794" t="str">
        <f>IF(Start!$C$17="x",(IF(C81="","",(IF(N81="NA","NA",IF(D81="NA","NA",IF(D81=0,"NA",(N81/D81))))))),"Not Req.")</f>
        <v/>
      </c>
    </row>
    <row r="82" spans="1:15" s="10" customFormat="1" ht="13.8" thickBot="1" x14ac:dyDescent="0.3">
      <c r="A82" s="405" t="s">
        <v>400</v>
      </c>
      <c r="B82" s="868" t="str">
        <f>IF(Start!$C$17="x",(IF($C82="NA","NA",(IF(C82="","",(IF(AND(N82="NA",C82&lt;&gt;"NA",D82&lt;&gt;"NA"),"Missing Data",(IF(OR(D82 = "NA",D82=""),"No Criteria",(IF(N82&lt;D82,IF(OR(I82&lt;D82,ChemData!AA82&lt;&gt;""),"No-1",IF(M82&lt;D82,"No-2","No-3")),"Needed")))))))))),"---")</f>
        <v/>
      </c>
      <c r="C82" s="426" t="str">
        <f>IF(TRUE=ISBLANK(ChemData!B82),"",(ChemData!B82))</f>
        <v/>
      </c>
      <c r="D82" s="289" t="str">
        <f>IF(TRUE=ISBLANK(ChemData!J82),"",(ChemData!J82))</f>
        <v>NA</v>
      </c>
      <c r="E82" s="290">
        <f>IF(TRUE=ISBLANK(ChemData!Q82),"",(ChemData!Q82))</f>
        <v>2330.270937231006</v>
      </c>
      <c r="F82" s="290">
        <f>IF(TRUE=ISBLANK(ChemData!S82),"",(ChemData!S82))</f>
        <v>1</v>
      </c>
      <c r="G82" s="865">
        <f>IF(OR(TRUE=ISBLANK(ChemData!AA82),ChemData!AA82="NA",ChemData!AA82=0),ChemData!Z82,(ChemData!AA82))</f>
        <v>70185.900544670279</v>
      </c>
      <c r="H82" s="685" t="str">
        <f>IF(Start!$C$17="x",(IF(OR(C82="NA",C82=""),"NA",IF(OR(F82="NA",F82="",F82=0),"NA",C82*F82))),"---")</f>
        <v>NA</v>
      </c>
      <c r="I82" s="376" t="str">
        <f>IF(Start!$C$17="x",(IF($E82 = "NA", "NA", (IF(H82 = "NA", "NA",(IF(OR(ChemData!U82="NA",ChemData!U82=""),H82/((Data!$D$18+$E82*(1-Data!$D$18)*Data!$D$14)/(1000*(1-Data!$D$18)*Data!$D$14)),(IF(H82/((Data!$D$18+$E82*(1-Data!$D$18)*Data!$D$14)/(1000*(1-Data!$D$18)*Data!$D$14))&gt;ChemData!U82, ChemData!U82,H82/((Data!$D$18+$E82*(1-Data!$D$18)*Data!$D$14)/(1000*(1-Data!$D$18)*Data!$D$14)))))))))),"---")</f>
        <v>NA</v>
      </c>
      <c r="J82" s="870" t="str">
        <f>IF(Start!$C$17="x",IF(OR(I82="NA",I82="",ChemData!W82="NA",ChemData!W82=""),"NA",I82/ChemData!W82),"---")</f>
        <v>NA</v>
      </c>
      <c r="K82" s="870" t="str">
        <f>IF(Start!$C$17="x",IF(J82="NA","NA",IF(Data!$D$68&lt;ChemData!X82,J82*(Data!$D$68/ChemData!X82),J82)),"---")</f>
        <v>NA</v>
      </c>
      <c r="L82" s="870" t="str">
        <f>IF(Start!$C$17="x",IF(OR(I82="NA",I82="",ChemData!Z82="NA",ChemData!Z82=""),"NA",I82/ChemData!Z82),"---")</f>
        <v>NA</v>
      </c>
      <c r="M82" s="870" t="str">
        <f>IF(Start!$C$17="x",IF(OR(I82="NA",I82="",ChemData!Y82="NA",ChemData!Y82=""),"NA",I82/ChemData!Y82),"---")</f>
        <v>NA</v>
      </c>
      <c r="N82" s="870" t="str">
        <f>IF(Start!$C$17="x",IF(OR(I82="NA",I82="",G82="NA",G82=""),"NA",I82/G82),"---")</f>
        <v>NA</v>
      </c>
      <c r="O82" s="794" t="str">
        <f>IF(Start!$C$17="x",(IF(C82="","",(IF(N82="NA","NA",IF(D82="NA","NA",IF(D82=0,"NA",(N82/D82))))))),"Not Req.")</f>
        <v/>
      </c>
    </row>
    <row r="83" spans="1:15" s="10" customFormat="1" x14ac:dyDescent="0.25">
      <c r="A83" s="505" t="s">
        <v>401</v>
      </c>
      <c r="B83" s="527"/>
      <c r="C83" s="528"/>
      <c r="D83" s="511"/>
      <c r="E83" s="512"/>
      <c r="F83" s="512"/>
      <c r="G83" s="808"/>
      <c r="H83" s="511"/>
      <c r="I83" s="512"/>
      <c r="J83" s="534"/>
      <c r="K83" s="534"/>
      <c r="L83" s="534"/>
      <c r="M83" s="534"/>
      <c r="N83" s="534"/>
      <c r="O83" s="807"/>
    </row>
    <row r="84" spans="1:15" s="10" customFormat="1" x14ac:dyDescent="0.25">
      <c r="A84" s="405" t="s">
        <v>402</v>
      </c>
      <c r="B84" s="868" t="str">
        <f>IF(Start!$C$17="x",(IF($C84="NA","NA",(IF(C84="","",(IF(AND(N84="NA",C84&lt;&gt;"NA",D84&lt;&gt;"NA"),"Missing Data",(IF(OR(D84 = "NA",D84=""),"No Criteria",(IF(N84&lt;D84,IF(OR(I84&lt;D84,ChemData!AA84&lt;&gt;""),"No-1",IF(M84&lt;D84,"No-2","No-3")),"Needed")))))))))),"---")</f>
        <v/>
      </c>
      <c r="C84" s="426" t="str">
        <f>IF(TRUE=ISBLANK(ChemData!B84),"",(ChemData!B84))</f>
        <v/>
      </c>
      <c r="D84" s="289" t="str">
        <f>IF(TRUE=ISBLANK(ChemData!J84),"",(ChemData!J84))</f>
        <v>NA</v>
      </c>
      <c r="E84" s="290">
        <f>IF(TRUE=ISBLANK(ChemData!Q84),"",(ChemData!Q84))</f>
        <v>0.72012256338441361</v>
      </c>
      <c r="F84" s="290">
        <f>IF(TRUE=ISBLANK(ChemData!S84),"",(ChemData!S84))</f>
        <v>1</v>
      </c>
      <c r="G84" s="865">
        <f>IF(OR(TRUE=ISBLANK(ChemData!AA84),ChemData!AA84="NA",ChemData!AA84=0),ChemData!Z84,(ChemData!AA84))</f>
        <v>6.8495741227413944</v>
      </c>
      <c r="H84" s="685" t="str">
        <f>IF(Start!$C$17="x",(IF(OR(C84="NA",C84=""),"NA",IF(OR(F84="NA",F84="",F84=0),"NA",C84*F84))),"---")</f>
        <v>NA</v>
      </c>
      <c r="I84" s="376" t="str">
        <f>IF(Start!$C$17="x",(IF($E84 = "NA", "NA", (IF(H84 = "NA", "NA",(IF(OR(ChemData!U84="NA",ChemData!U84=""),H84/((Data!$D$18+$E84*(1-Data!$D$18)*Data!$D$14)/(1000*(1-Data!$D$18)*Data!$D$14)),(IF(H84/((Data!$D$18+$E84*(1-Data!$D$18)*Data!$D$14)/(1000*(1-Data!$D$18)*Data!$D$14))&gt;ChemData!U84, ChemData!U84,H84/((Data!$D$18+$E84*(1-Data!$D$18)*Data!$D$14)/(1000*(1-Data!$D$18)*Data!$D$14)))))))))),"---")</f>
        <v>NA</v>
      </c>
      <c r="J84" s="870" t="str">
        <f>IF(Start!$C$17="x",IF(OR(I84="NA",I84="",ChemData!W84="NA",ChemData!W84=""),"NA",I84/ChemData!W84),"---")</f>
        <v>NA</v>
      </c>
      <c r="K84" s="870" t="str">
        <f>IF(Start!$C$17="x",IF(J84="NA","NA",IF(Data!$D$68&lt;ChemData!X84,J84*(Data!$D$68/ChemData!X84),J84)),"---")</f>
        <v>NA</v>
      </c>
      <c r="L84" s="870" t="str">
        <f>IF(Start!$C$17="x",IF(OR(I84="NA",I84="",ChemData!Z84="NA",ChemData!Z84=""),"NA",I84/ChemData!Z84),"---")</f>
        <v>NA</v>
      </c>
      <c r="M84" s="870" t="str">
        <f>IF(Start!$C$17="x",IF(OR(I84="NA",I84="",ChemData!Y84="NA",ChemData!Y84=""),"NA",I84/ChemData!Y84),"---")</f>
        <v>NA</v>
      </c>
      <c r="N84" s="870" t="str">
        <f>IF(Start!$C$17="x",IF(OR(I84="NA",I84="",G84="NA",G84=""),"NA",I84/G84),"---")</f>
        <v>NA</v>
      </c>
      <c r="O84" s="794" t="str">
        <f>IF(Start!$C$17="x",(IF(C84="","",(IF(N84="NA","NA",IF(D84="NA","NA",IF(D84=0,"NA",(N84/D84))))))),"Not Req.")</f>
        <v/>
      </c>
    </row>
    <row r="85" spans="1:15" s="10" customFormat="1" x14ac:dyDescent="0.25">
      <c r="A85" s="405" t="s">
        <v>403</v>
      </c>
      <c r="B85" s="868" t="str">
        <f>IF(Start!$C$17="x",(IF($C85="NA","NA",(IF(C85="","",(IF(AND(N85="NA",C85&lt;&gt;"NA",D85&lt;&gt;"NA"),"Missing Data",(IF(OR(D85 = "NA",D85=""),"No Criteria",(IF(N85&lt;D85,IF(OR(I85&lt;D85,ChemData!AA85&lt;&gt;""),"No-1",IF(M85&lt;D85,"No-2","No-3")),"Needed")))))))))),"---")</f>
        <v/>
      </c>
      <c r="C85" s="426" t="str">
        <f>IF(TRUE=ISBLANK(ChemData!B85),"",(ChemData!B85))</f>
        <v/>
      </c>
      <c r="D85" s="289" t="str">
        <f>IF(TRUE=ISBLANK(ChemData!J85),"",(ChemData!J85))</f>
        <v>NA</v>
      </c>
      <c r="E85" s="290">
        <f>IF(TRUE=ISBLANK(ChemData!Q85),"",(ChemData!Q85))</f>
        <v>0.5589930634464132</v>
      </c>
      <c r="F85" s="290">
        <f>IF(TRUE=ISBLANK(ChemData!S85),"",(ChemData!S85))</f>
        <v>1</v>
      </c>
      <c r="G85" s="865">
        <f>IF(OR(TRUE=ISBLANK(ChemData!AA85),ChemData!AA85="NA",ChemData!AA85=0),ChemData!Z85,(ChemData!AA85))</f>
        <v>6.8495741227413927</v>
      </c>
      <c r="H85" s="685" t="str">
        <f>IF(Start!$C$17="x",(IF(OR(C85="NA",C85=""),"NA",IF(OR(F85="NA",F85="",F85=0),"NA",C85*F85))),"---")</f>
        <v>NA</v>
      </c>
      <c r="I85" s="376" t="str">
        <f>IF(Start!$C$17="x",(IF($E85 = "NA", "NA", (IF(H85 = "NA", "NA",(IF(OR(ChemData!U85="NA",ChemData!U85=""),H85/((Data!$D$18+$E85*(1-Data!$D$18)*Data!$D$14)/(1000*(1-Data!$D$18)*Data!$D$14)),(IF(H85/((Data!$D$18+$E85*(1-Data!$D$18)*Data!$D$14)/(1000*(1-Data!$D$18)*Data!$D$14))&gt;ChemData!U85, ChemData!U85,H85/((Data!$D$18+$E85*(1-Data!$D$18)*Data!$D$14)/(1000*(1-Data!$D$18)*Data!$D$14)))))))))),"---")</f>
        <v>NA</v>
      </c>
      <c r="J85" s="870" t="str">
        <f>IF(Start!$C$17="x",IF(OR(I85="NA",I85="",ChemData!W85="NA",ChemData!W85=""),"NA",I85/ChemData!W85),"---")</f>
        <v>NA</v>
      </c>
      <c r="K85" s="870" t="str">
        <f>IF(Start!$C$17="x",IF(J85="NA","NA",IF(Data!$D$68&lt;ChemData!X85,J85*(Data!$D$68/ChemData!X85),J85)),"---")</f>
        <v>NA</v>
      </c>
      <c r="L85" s="870" t="str">
        <f>IF(Start!$C$17="x",IF(OR(I85="NA",I85="",ChemData!Z85="NA",ChemData!Z85=""),"NA",I85/ChemData!Z85),"---")</f>
        <v>NA</v>
      </c>
      <c r="M85" s="870" t="str">
        <f>IF(Start!$C$17="x",IF(OR(I85="NA",I85="",ChemData!Y85="NA",ChemData!Y85=""),"NA",I85/ChemData!Y85),"---")</f>
        <v>NA</v>
      </c>
      <c r="N85" s="870" t="str">
        <f>IF(Start!$C$17="x",IF(OR(I85="NA",I85="",G85="NA",G85=""),"NA",I85/G85),"---")</f>
        <v>NA</v>
      </c>
      <c r="O85" s="794" t="str">
        <f>IF(Start!$C$17="x",(IF(C85="","",(IF(N85="NA","NA",IF(D85="NA","NA",IF(D85=0,"NA",(N85/D85))))))),"Not Req.")</f>
        <v/>
      </c>
    </row>
    <row r="86" spans="1:15" s="10" customFormat="1" x14ac:dyDescent="0.25">
      <c r="A86" s="405" t="s">
        <v>404</v>
      </c>
      <c r="B86" s="868" t="str">
        <f>IF(Start!$C$17="x",(IF($C86="NA","NA",(IF(C86="","",(IF(AND(N86="NA",C86&lt;&gt;"NA",D86&lt;&gt;"NA"),"Missing Data",(IF(OR(D86 = "NA",D86=""),"No Criteria",(IF(N86&lt;D86,IF(OR(I86&lt;D86,ChemData!AA86&lt;&gt;""),"No-1",IF(M86&lt;D86,"No-2","No-3")),"Needed")))))))))),"---")</f>
        <v/>
      </c>
      <c r="C86" s="426" t="str">
        <f>IF(TRUE=ISBLANK(ChemData!B86),"",(ChemData!B86))</f>
        <v/>
      </c>
      <c r="D86" s="289">
        <f>IF(TRUE=ISBLANK(ChemData!J86),"",(ChemData!J86))</f>
        <v>3.9</v>
      </c>
      <c r="E86" s="290">
        <f>IF(TRUE=ISBLANK(ChemData!Q86),"",(ChemData!Q86))</f>
        <v>0.40495467659306245</v>
      </c>
      <c r="F86" s="290">
        <f>IF(TRUE=ISBLANK(ChemData!S86),"",(ChemData!S86))</f>
        <v>1</v>
      </c>
      <c r="G86" s="865">
        <f>IF(OR(TRUE=ISBLANK(ChemData!AA86),ChemData!AA86="NA",ChemData!AA86=0),ChemData!Z86,(ChemData!AA86))</f>
        <v>6.8495741227413927</v>
      </c>
      <c r="H86" s="685" t="str">
        <f>IF(Start!$C$17="x",(IF(OR(C86="NA",C86=""),"NA",IF(OR(F86="NA",F86="",F86=0),"NA",C86*F86))),"---")</f>
        <v>NA</v>
      </c>
      <c r="I86" s="376" t="str">
        <f>IF(Start!$C$17="x",(IF($E86 = "NA", "NA", (IF(H86 = "NA", "NA",(IF(OR(ChemData!U86="NA",ChemData!U86=""),H86/((Data!$D$18+$E86*(1-Data!$D$18)*Data!$D$14)/(1000*(1-Data!$D$18)*Data!$D$14)),(IF(H86/((Data!$D$18+$E86*(1-Data!$D$18)*Data!$D$14)/(1000*(1-Data!$D$18)*Data!$D$14))&gt;ChemData!U86, ChemData!U86,H86/((Data!$D$18+$E86*(1-Data!$D$18)*Data!$D$14)/(1000*(1-Data!$D$18)*Data!$D$14)))))))))),"---")</f>
        <v>NA</v>
      </c>
      <c r="J86" s="870" t="str">
        <f>IF(Start!$C$17="x",IF(OR(I86="NA",I86="",ChemData!W86="NA",ChemData!W86=""),"NA",I86/ChemData!W86),"---")</f>
        <v>NA</v>
      </c>
      <c r="K86" s="870" t="str">
        <f>IF(Start!$C$17="x",IF(J86="NA","NA",IF(Data!$D$68&lt;ChemData!X86,J86*(Data!$D$68/ChemData!X86),J86)),"---")</f>
        <v>NA</v>
      </c>
      <c r="L86" s="870" t="str">
        <f>IF(Start!$C$17="x",IF(OR(I86="NA",I86="",ChemData!Z86="NA",ChemData!Z86=""),"NA",I86/ChemData!Z86),"---")</f>
        <v>NA</v>
      </c>
      <c r="M86" s="870" t="str">
        <f>IF(Start!$C$17="x",IF(OR(I86="NA",I86="",ChemData!Y86="NA",ChemData!Y86=""),"NA",I86/ChemData!Y86),"---")</f>
        <v>NA</v>
      </c>
      <c r="N86" s="870" t="str">
        <f>IF(Start!$C$17="x",IF(OR(I86="NA",I86="",G86="NA",G86=""),"NA",I86/G86),"---")</f>
        <v>NA</v>
      </c>
      <c r="O86" s="794" t="str">
        <f>IF(Start!$C$17="x",(IF(C86="","",(IF(N86="NA","NA",IF(D86="NA","NA",IF(D86=0,"NA",(N86/D86))))))),"Not Req.")</f>
        <v/>
      </c>
    </row>
    <row r="87" spans="1:15" s="10" customFormat="1" x14ac:dyDescent="0.25">
      <c r="A87" s="405" t="s">
        <v>405</v>
      </c>
      <c r="B87" s="868" t="str">
        <f>IF(Start!$C$17="x",(IF($C87="NA","NA",(IF(C87="","",(IF(AND(N87="NA",C87&lt;&gt;"NA",D87&lt;&gt;"NA"),"Missing Data",(IF(OR(D87 = "NA",D87=""),"No Criteria",(IF(N87&lt;D87,IF(OR(I87&lt;D87,ChemData!AA87&lt;&gt;""),"No-1",IF(M87&lt;D87,"No-2","No-3")),"Needed")))))))))),"---")</f>
        <v/>
      </c>
      <c r="C87" s="426" t="str">
        <f>IF(TRUE=ISBLANK(ChemData!B87),"",(ChemData!B87))</f>
        <v/>
      </c>
      <c r="D87" s="289">
        <f>IF(TRUE=ISBLANK(ChemData!J87),"",(ChemData!J87))</f>
        <v>42</v>
      </c>
      <c r="E87" s="290">
        <f>IF(TRUE=ISBLANK(ChemData!Q87),"",(ChemData!Q87))</f>
        <v>1.3721652566479994</v>
      </c>
      <c r="F87" s="290">
        <f>IF(TRUE=ISBLANK(ChemData!S87),"",(ChemData!S87))</f>
        <v>1</v>
      </c>
      <c r="G87" s="865">
        <f>IF(OR(TRUE=ISBLANK(ChemData!AA87),ChemData!AA87="NA",ChemData!AA87=0),ChemData!Z87,(ChemData!AA87))</f>
        <v>6.8495741227413927</v>
      </c>
      <c r="H87" s="685" t="str">
        <f>IF(Start!$C$17="x",(IF(OR(C87="NA",C87=""),"NA",IF(OR(F87="NA",F87="",F87=0),"NA",C87*F87))),"---")</f>
        <v>NA</v>
      </c>
      <c r="I87" s="376" t="str">
        <f>IF(Start!$C$17="x",(IF($E87 = "NA", "NA", (IF(H87 = "NA", "NA",(IF(OR(ChemData!U87="NA",ChemData!U87=""),H87/((Data!$D$18+$E87*(1-Data!$D$18)*Data!$D$14)/(1000*(1-Data!$D$18)*Data!$D$14)),(IF(H87/((Data!$D$18+$E87*(1-Data!$D$18)*Data!$D$14)/(1000*(1-Data!$D$18)*Data!$D$14))&gt;ChemData!U87, ChemData!U87,H87/((Data!$D$18+$E87*(1-Data!$D$18)*Data!$D$14)/(1000*(1-Data!$D$18)*Data!$D$14)))))))))),"---")</f>
        <v>NA</v>
      </c>
      <c r="J87" s="870" t="str">
        <f>IF(Start!$C$17="x",IF(OR(I87="NA",I87="",ChemData!W87="NA",ChemData!W87=""),"NA",I87/ChemData!W87),"---")</f>
        <v>NA</v>
      </c>
      <c r="K87" s="870" t="str">
        <f>IF(Start!$C$17="x",IF(J87="NA","NA",IF(Data!$D$68&lt;ChemData!X87,J87*(Data!$D$68/ChemData!X87),J87)),"---")</f>
        <v>NA</v>
      </c>
      <c r="L87" s="870" t="str">
        <f>IF(Start!$C$17="x",IF(OR(I87="NA",I87="",ChemData!Z87="NA",ChemData!Z87=""),"NA",I87/ChemData!Z87),"---")</f>
        <v>NA</v>
      </c>
      <c r="M87" s="870" t="str">
        <f>IF(Start!$C$17="x",IF(OR(I87="NA",I87="",ChemData!Y87="NA",ChemData!Y87=""),"NA",I87/ChemData!Y87),"---")</f>
        <v>NA</v>
      </c>
      <c r="N87" s="870" t="str">
        <f>IF(Start!$C$17="x",IF(OR(I87="NA",I87="",G87="NA",G87=""),"NA",I87/G87),"---")</f>
        <v>NA</v>
      </c>
      <c r="O87" s="794" t="str">
        <f>IF(Start!$C$17="x",(IF(C87="","",(IF(N87="NA","NA",IF(D87="NA","NA",IF(D87=0,"NA",(N87/D87))))))),"Not Req.")</f>
        <v/>
      </c>
    </row>
    <row r="88" spans="1:15" s="10" customFormat="1" x14ac:dyDescent="0.25">
      <c r="A88" s="405" t="s">
        <v>406</v>
      </c>
      <c r="B88" s="868" t="str">
        <f>IF(Start!$C$17="x",(IF($C88="NA","NA",(IF(C88="","",(IF(AND(N88="NA",C88&lt;&gt;"NA",D88&lt;&gt;"NA"),"Missing Data",(IF(OR(D88 = "NA",D88=""),"No Criteria",(IF(N88&lt;D88,IF(OR(I88&lt;D88,ChemData!AA88&lt;&gt;""),"No-1",IF(M88&lt;D88,"No-2","No-3")),"Needed")))))))))),"---")</f>
        <v/>
      </c>
      <c r="C88" s="426" t="str">
        <f>IF(TRUE=ISBLANK(ChemData!B88),"",(ChemData!B88))</f>
        <v/>
      </c>
      <c r="D88" s="289">
        <f>IF(TRUE=ISBLANK(ChemData!J88),"",(ChemData!J88))</f>
        <v>8.6</v>
      </c>
      <c r="E88" s="290">
        <f>IF(TRUE=ISBLANK(ChemData!Q88),"",(ChemData!Q88))</f>
        <v>0.23302709372310049</v>
      </c>
      <c r="F88" s="290">
        <f>IF(TRUE=ISBLANK(ChemData!S88),"",(ChemData!S88))</f>
        <v>1</v>
      </c>
      <c r="G88" s="865">
        <f>IF(OR(TRUE=ISBLANK(ChemData!AA88),ChemData!AA88="NA",ChemData!AA88=0),ChemData!Z88,(ChemData!AA88))</f>
        <v>6.8495741227413944</v>
      </c>
      <c r="H88" s="685" t="str">
        <f>IF(Start!$C$17="x",(IF(OR(C88="NA",C88=""),"NA",IF(OR(F88="NA",F88="",F88=0),"NA",C88*F88))),"---")</f>
        <v>NA</v>
      </c>
      <c r="I88" s="376" t="str">
        <f>IF(Start!$C$17="x",(IF($E88 = "NA", "NA", (IF(H88 = "NA", "NA",(IF(OR(ChemData!U88="NA",ChemData!U88=""),H88/((Data!$D$18+$E88*(1-Data!$D$18)*Data!$D$14)/(1000*(1-Data!$D$18)*Data!$D$14)),(IF(H88/((Data!$D$18+$E88*(1-Data!$D$18)*Data!$D$14)/(1000*(1-Data!$D$18)*Data!$D$14))&gt;ChemData!U88, ChemData!U88,H88/((Data!$D$18+$E88*(1-Data!$D$18)*Data!$D$14)/(1000*(1-Data!$D$18)*Data!$D$14)))))))))),"---")</f>
        <v>NA</v>
      </c>
      <c r="J88" s="870" t="str">
        <f>IF(Start!$C$17="x",IF(OR(I88="NA",I88="",ChemData!W88="NA",ChemData!W88=""),"NA",I88/ChemData!W88),"---")</f>
        <v>NA</v>
      </c>
      <c r="K88" s="870" t="str">
        <f>IF(Start!$C$17="x",IF(J88="NA","NA",IF(Data!$D$68&lt;ChemData!X88,J88*(Data!$D$68/ChemData!X88),J88)),"---")</f>
        <v>NA</v>
      </c>
      <c r="L88" s="870" t="str">
        <f>IF(Start!$C$17="x",IF(OR(I88="NA",I88="",ChemData!Z88="NA",ChemData!Z88=""),"NA",I88/ChemData!Z88),"---")</f>
        <v>NA</v>
      </c>
      <c r="M88" s="870" t="str">
        <f>IF(Start!$C$17="x",IF(OR(I88="NA",I88="",ChemData!Y88="NA",ChemData!Y88=""),"NA",I88/ChemData!Y88),"---")</f>
        <v>NA</v>
      </c>
      <c r="N88" s="870" t="str">
        <f>IF(Start!$C$17="x",IF(OR(I88="NA",I88="",G88="NA",G88=""),"NA",I88/G88),"---")</f>
        <v>NA</v>
      </c>
      <c r="O88" s="794" t="str">
        <f>IF(Start!$C$17="x",(IF(C88="","",(IF(N88="NA","NA",IF(D88="NA","NA",IF(D88=0,"NA",(N88/D88))))))),"Not Req.")</f>
        <v/>
      </c>
    </row>
    <row r="89" spans="1:15" s="10" customFormat="1" x14ac:dyDescent="0.25">
      <c r="A89" s="405" t="s">
        <v>407</v>
      </c>
      <c r="B89" s="868" t="str">
        <f>IF(Start!$C$17="x",(IF($C89="NA","NA",(IF(C89="","",(IF(AND(N89="NA",C89&lt;&gt;"NA",D89&lt;&gt;"NA"),"Missing Data",(IF(OR(D89 = "NA",D89=""),"No Criteria",(IF(N89&lt;D89,IF(OR(I89&lt;D89,ChemData!AA89&lt;&gt;""),"No-1",IF(M89&lt;D89,"No-2","No-3")),"Needed")))))))))),"---")</f>
        <v/>
      </c>
      <c r="C89" s="426" t="str">
        <f>IF(TRUE=ISBLANK(ChemData!B89),"",(ChemData!B89))</f>
        <v/>
      </c>
      <c r="D89" s="289">
        <f>IF(TRUE=ISBLANK(ChemData!J89),"",(ChemData!J89))</f>
        <v>19</v>
      </c>
      <c r="E89" s="290">
        <f>IF(TRUE=ISBLANK(ChemData!Q89),"",(ChemData!Q89))</f>
        <v>1280.5791271709513</v>
      </c>
      <c r="F89" s="290">
        <f>IF(TRUE=ISBLANK(ChemData!S89),"",(ChemData!S89))</f>
        <v>1</v>
      </c>
      <c r="G89" s="865">
        <f>IF(OR(TRUE=ISBLANK(ChemData!AA89),ChemData!AA89="NA",ChemData!AA89=0),ChemData!Z89,(ChemData!AA89))</f>
        <v>29135.612497137707</v>
      </c>
      <c r="H89" s="685" t="str">
        <f>IF(Start!$C$17="x",(IF(OR(C89="NA",C89=""),"NA",IF(OR(F89="NA",F89="",F89=0),"NA",C89*F89))),"---")</f>
        <v>NA</v>
      </c>
      <c r="I89" s="376" t="str">
        <f>IF(Start!$C$17="x",(IF($E89 = "NA", "NA", (IF(H89 = "NA", "NA",(IF(OR(ChemData!U89="NA",ChemData!U89=""),H89/((Data!$D$18+$E89*(1-Data!$D$18)*Data!$D$14)/(1000*(1-Data!$D$18)*Data!$D$14)),(IF(H89/((Data!$D$18+$E89*(1-Data!$D$18)*Data!$D$14)/(1000*(1-Data!$D$18)*Data!$D$14))&gt;ChemData!U89, ChemData!U89,H89/((Data!$D$18+$E89*(1-Data!$D$18)*Data!$D$14)/(1000*(1-Data!$D$18)*Data!$D$14)))))))))),"---")</f>
        <v>NA</v>
      </c>
      <c r="J89" s="870" t="str">
        <f>IF(Start!$C$17="x",IF(OR(I89="NA",I89="",ChemData!W89="NA",ChemData!W89=""),"NA",I89/ChemData!W89),"---")</f>
        <v>NA</v>
      </c>
      <c r="K89" s="870" t="str">
        <f>IF(Start!$C$17="x",IF(J89="NA","NA",IF(Data!$D$68&lt;ChemData!X89,J89*(Data!$D$68/ChemData!X89),J89)),"---")</f>
        <v>NA</v>
      </c>
      <c r="L89" s="870" t="str">
        <f>IF(Start!$C$17="x",IF(OR(I89="NA",I89="",ChemData!Z89="NA",ChemData!Z89=""),"NA",I89/ChemData!Z89),"---")</f>
        <v>NA</v>
      </c>
      <c r="M89" s="870" t="str">
        <f>IF(Start!$C$17="x",IF(OR(I89="NA",I89="",ChemData!Y89="NA",ChemData!Y89=""),"NA",I89/ChemData!Y89),"---")</f>
        <v>NA</v>
      </c>
      <c r="N89" s="870" t="str">
        <f>IF(Start!$C$17="x",IF(OR(I89="NA",I89="",G89="NA",G89=""),"NA",I89/G89),"---")</f>
        <v>NA</v>
      </c>
      <c r="O89" s="794" t="str">
        <f>IF(Start!$C$17="x",(IF(C89="","",(IF(N89="NA","NA",IF(D89="NA","NA",IF(D89=0,"NA",(N89/D89))))))),"Not Req.")</f>
        <v/>
      </c>
    </row>
    <row r="90" spans="1:15" s="10" customFormat="1" x14ac:dyDescent="0.25">
      <c r="A90" s="405" t="s">
        <v>408</v>
      </c>
      <c r="B90" s="868" t="str">
        <f>IF(Start!$C$17="x",(IF($C90="NA","NA",(IF(C90="","",(IF(AND(N90="NA",C90&lt;&gt;"NA",D90&lt;&gt;"NA"),"Missing Data",(IF(OR(D90 = "NA",D90=""),"No Criteria",(IF(N90&lt;D90,IF(OR(I90&lt;D90,ChemData!AA90&lt;&gt;""),"No-1",IF(M90&lt;D90,"No-2","No-3")),"Needed")))))))))),"---")</f>
        <v/>
      </c>
      <c r="C90" s="426" t="str">
        <f>IF(TRUE=ISBLANK(ChemData!B90),"",(ChemData!B90))</f>
        <v/>
      </c>
      <c r="D90" s="289">
        <f>IF(TRUE=ISBLANK(ChemData!J90),"",(ChemData!J90))</f>
        <v>1.5</v>
      </c>
      <c r="E90" s="290">
        <f>IF(TRUE=ISBLANK(ChemData!Q90),"",(ChemData!Q90))</f>
        <v>1851</v>
      </c>
      <c r="F90" s="290">
        <f>IF(TRUE=ISBLANK(ChemData!S90),"",(ChemData!S90))</f>
        <v>1</v>
      </c>
      <c r="G90" s="865">
        <f>IF(OR(TRUE=ISBLANK(ChemData!AA90),ChemData!AA90="NA",ChemData!AA90=0),ChemData!Z90,(ChemData!AA90))</f>
        <v>50048.818417937429</v>
      </c>
      <c r="H90" s="685" t="str">
        <f>IF(Start!$C$17="x",(IF(OR(C90="NA",C90=""),"NA",IF(OR(F90="NA",F90="",F90=0),"NA",C90*F90))),"---")</f>
        <v>NA</v>
      </c>
      <c r="I90" s="376" t="str">
        <f>IF(Start!$C$17="x",(IF($E90 = "NA", "NA", (IF(H90 = "NA", "NA",(IF(OR(ChemData!U90="NA",ChemData!U90=""),H90/((Data!$D$18+$E90*(1-Data!$D$18)*Data!$D$14)/(1000*(1-Data!$D$18)*Data!$D$14)),(IF(H90/((Data!$D$18+$E90*(1-Data!$D$18)*Data!$D$14)/(1000*(1-Data!$D$18)*Data!$D$14))&gt;ChemData!U90, ChemData!U90,H90/((Data!$D$18+$E90*(1-Data!$D$18)*Data!$D$14)/(1000*(1-Data!$D$18)*Data!$D$14)))))))))),"---")</f>
        <v>NA</v>
      </c>
      <c r="J90" s="870" t="str">
        <f>IF(Start!$C$17="x",IF(OR(I90="NA",I90="",ChemData!W90="NA",ChemData!W90=""),"NA",I90/ChemData!W90),"---")</f>
        <v>NA</v>
      </c>
      <c r="K90" s="870" t="str">
        <f>IF(Start!$C$17="x",IF(J90="NA","NA",IF(Data!$D$68&lt;ChemData!X90,J90*(Data!$D$68/ChemData!X90),J90)),"---")</f>
        <v>NA</v>
      </c>
      <c r="L90" s="870" t="str">
        <f>IF(Start!$C$17="x",IF(OR(I90="NA",I90="",ChemData!Z90="NA",ChemData!Z90=""),"NA",I90/ChemData!Z90),"---")</f>
        <v>NA</v>
      </c>
      <c r="M90" s="870" t="str">
        <f>IF(Start!$C$17="x",IF(OR(I90="NA",I90="",ChemData!Y90="NA",ChemData!Y90=""),"NA",I90/ChemData!Y90),"---")</f>
        <v>NA</v>
      </c>
      <c r="N90" s="870" t="str">
        <f>IF(Start!$C$17="x",IF(OR(I90="NA",I90="",G90="NA",G90=""),"NA",I90/G90),"---")</f>
        <v>NA</v>
      </c>
      <c r="O90" s="794" t="str">
        <f>IF(Start!$C$17="x",(IF(C90="","",(IF(N90="NA","NA",IF(D90="NA","NA",IF(D90=0,"NA",(N90/D90))))))),"Not Req.")</f>
        <v/>
      </c>
    </row>
    <row r="91" spans="1:15" s="10" customFormat="1" x14ac:dyDescent="0.25">
      <c r="A91" s="405" t="s">
        <v>409</v>
      </c>
      <c r="B91" s="868" t="str">
        <f>IF(Start!$C$17="x",(IF($C91="NA","NA",(IF(C91="","",(IF(AND(N91="NA",C91&lt;&gt;"NA",D91&lt;&gt;"NA"),"Missing Data",(IF(OR(D91 = "NA",D91=""),"No Criteria",(IF(N91&lt;D91,IF(OR(I91&lt;D91,ChemData!AA91&lt;&gt;""),"No-1",IF(M91&lt;D91,"No-2","No-3")),"Needed")))))))))),"---")</f>
        <v/>
      </c>
      <c r="C91" s="426" t="str">
        <f>IF(TRUE=ISBLANK(ChemData!B91),"",(ChemData!B91))</f>
        <v/>
      </c>
      <c r="D91" s="289" t="str">
        <f>IF(TRUE=ISBLANK(ChemData!J91),"",(ChemData!J91))</f>
        <v>NA</v>
      </c>
      <c r="E91" s="290">
        <f>IF(TRUE=ISBLANK(ChemData!Q91),"",(ChemData!Q91))</f>
        <v>0.19833822339948104</v>
      </c>
      <c r="F91" s="290">
        <f>IF(TRUE=ISBLANK(ChemData!S91),"",(ChemData!S91))</f>
        <v>1</v>
      </c>
      <c r="G91" s="865">
        <f>IF(OR(TRUE=ISBLANK(ChemData!AA91),ChemData!AA91="NA",ChemData!AA91=0),ChemData!Z91,(ChemData!AA91))</f>
        <v>6.8495741227413927</v>
      </c>
      <c r="H91" s="685" t="str">
        <f>IF(Start!$C$17="x",(IF(OR(C91="NA",C91=""),"NA",IF(OR(F91="NA",F91="",F91=0),"NA",C91*F91))),"---")</f>
        <v>NA</v>
      </c>
      <c r="I91" s="376" t="str">
        <f>IF(Start!$C$17="x",(IF($E91 = "NA", "NA", (IF(H91 = "NA", "NA",(IF(OR(ChemData!U91="NA",ChemData!U91=""),H91/((Data!$D$18+$E91*(1-Data!$D$18)*Data!$D$14)/(1000*(1-Data!$D$18)*Data!$D$14)),(IF(H91/((Data!$D$18+$E91*(1-Data!$D$18)*Data!$D$14)/(1000*(1-Data!$D$18)*Data!$D$14))&gt;ChemData!U91, ChemData!U91,H91/((Data!$D$18+$E91*(1-Data!$D$18)*Data!$D$14)/(1000*(1-Data!$D$18)*Data!$D$14)))))))))),"---")</f>
        <v>NA</v>
      </c>
      <c r="J91" s="870" t="str">
        <f>IF(Start!$C$17="x",IF(OR(I91="NA",I91="",ChemData!W91="NA",ChemData!W91=""),"NA",I91/ChemData!W91),"---")</f>
        <v>NA</v>
      </c>
      <c r="K91" s="870" t="str">
        <f>IF(Start!$C$17="x",IF(J91="NA","NA",IF(Data!$D$68&lt;ChemData!X91,J91*(Data!$D$68/ChemData!X91),J91)),"---")</f>
        <v>NA</v>
      </c>
      <c r="L91" s="870" t="str">
        <f>IF(Start!$C$17="x",IF(OR(I91="NA",I91="",ChemData!Z91="NA",ChemData!Z91=""),"NA",I91/ChemData!Z91),"---")</f>
        <v>NA</v>
      </c>
      <c r="M91" s="870" t="str">
        <f>IF(Start!$C$17="x",IF(OR(I91="NA",I91="",ChemData!Y91="NA",ChemData!Y91=""),"NA",I91/ChemData!Y91),"---")</f>
        <v>NA</v>
      </c>
      <c r="N91" s="870" t="str">
        <f>IF(Start!$C$17="x",IF(OR(I91="NA",I91="",G91="NA",G91=""),"NA",I91/G91),"---")</f>
        <v>NA</v>
      </c>
      <c r="O91" s="794" t="str">
        <f>IF(Start!$C$17="x",(IF(C91="","",(IF(N91="NA","NA",IF(D91="NA","NA",IF(D91=0,"NA",(N91/D91))))))),"Not Req.")</f>
        <v/>
      </c>
    </row>
    <row r="92" spans="1:15" s="10" customFormat="1" x14ac:dyDescent="0.25">
      <c r="A92" s="405" t="s">
        <v>410</v>
      </c>
      <c r="B92" s="868" t="str">
        <f>IF(Start!$C$17="x",(IF($C92="NA","NA",(IF(C92="","",(IF(AND(N92="NA",C92&lt;&gt;"NA",D92&lt;&gt;"NA"),"Missing Data",(IF(OR(D92 = "NA",D92=""),"No Criteria",(IF(N92&lt;D92,IF(OR(I92&lt;D92,ChemData!AA92&lt;&gt;""),"No-1",IF(M92&lt;D92,"No-2","No-3")),"Needed")))))))))),"---")</f>
        <v/>
      </c>
      <c r="C92" s="426" t="str">
        <f>IF(TRUE=ISBLANK(ChemData!B92),"",(ChemData!B92))</f>
        <v/>
      </c>
      <c r="D92" s="289" t="str">
        <f>IF(TRUE=ISBLANK(ChemData!J92),"",(ChemData!J92))</f>
        <v>NA</v>
      </c>
      <c r="E92" s="290">
        <f>IF(TRUE=ISBLANK(ChemData!Q92),"",(ChemData!Q92))</f>
        <v>0.30019704902113792</v>
      </c>
      <c r="F92" s="290">
        <f>IF(TRUE=ISBLANK(ChemData!S92),"",(ChemData!S92))</f>
        <v>1</v>
      </c>
      <c r="G92" s="865">
        <f>IF(OR(TRUE=ISBLANK(ChemData!AA92),ChemData!AA92="NA",ChemData!AA92=0),ChemData!Z92,(ChemData!AA92))</f>
        <v>6.8495741227413927</v>
      </c>
      <c r="H92" s="685" t="str">
        <f>IF(Start!$C$17="x",(IF(OR(C92="NA",C92=""),"NA",IF(OR(F92="NA",F92="",F92=0),"NA",C92*F92))),"---")</f>
        <v>NA</v>
      </c>
      <c r="I92" s="376" t="str">
        <f>IF(Start!$C$17="x",(IF($E92 = "NA", "NA", (IF(H92 = "NA", "NA",(IF(OR(ChemData!U92="NA",ChemData!U92=""),H92/((Data!$D$18+$E92*(1-Data!$D$18)*Data!$D$14)/(1000*(1-Data!$D$18)*Data!$D$14)),(IF(H92/((Data!$D$18+$E92*(1-Data!$D$18)*Data!$D$14)/(1000*(1-Data!$D$18)*Data!$D$14))&gt;ChemData!U92, ChemData!U92,H92/((Data!$D$18+$E92*(1-Data!$D$18)*Data!$D$14)/(1000*(1-Data!$D$18)*Data!$D$14)))))))))),"---")</f>
        <v>NA</v>
      </c>
      <c r="J92" s="870" t="str">
        <f>IF(Start!$C$17="x",IF(OR(I92="NA",I92="",ChemData!W92="NA",ChemData!W92=""),"NA",I92/ChemData!W92),"---")</f>
        <v>NA</v>
      </c>
      <c r="K92" s="870" t="str">
        <f>IF(Start!$C$17="x",IF(J92="NA","NA",IF(Data!$D$68&lt;ChemData!X92,J92*(Data!$D$68/ChemData!X92),J92)),"---")</f>
        <v>NA</v>
      </c>
      <c r="L92" s="870" t="str">
        <f>IF(Start!$C$17="x",IF(OR(I92="NA",I92="",ChemData!Z92="NA",ChemData!Z92=""),"NA",I92/ChemData!Z92),"---")</f>
        <v>NA</v>
      </c>
      <c r="M92" s="870" t="str">
        <f>IF(Start!$C$17="x",IF(OR(I92="NA",I92="",ChemData!Y92="NA",ChemData!Y92=""),"NA",I92/ChemData!Y92),"---")</f>
        <v>NA</v>
      </c>
      <c r="N92" s="870" t="str">
        <f>IF(Start!$C$17="x",IF(OR(I92="NA",I92="",G92="NA",G92=""),"NA",I92/G92),"---")</f>
        <v>NA</v>
      </c>
      <c r="O92" s="794" t="str">
        <f>IF(Start!$C$17="x",(IF(C92="","",(IF(N92="NA","NA",IF(D92="NA","NA",IF(D92=0,"NA",(N92/D92))))))),"Not Req.")</f>
        <v/>
      </c>
    </row>
    <row r="93" spans="1:15" s="10" customFormat="1" x14ac:dyDescent="0.25">
      <c r="A93" s="405" t="s">
        <v>411</v>
      </c>
      <c r="B93" s="868" t="str">
        <f>IF(Start!$C$17="x",(IF($C93="NA","NA",(IF(C93="","",(IF(AND(N93="NA",C93&lt;&gt;"NA",D93&lt;&gt;"NA"),"Missing Data",(IF(OR(D93 = "NA",D93=""),"No Criteria",(IF(N93&lt;D93,IF(OR(I93&lt;D93,ChemData!AA93&lt;&gt;""),"No-1",IF(M93&lt;D93,"No-2","No-3")),"Needed")))))))))),"---")</f>
        <v/>
      </c>
      <c r="C93" s="426" t="str">
        <f>IF(TRUE=ISBLANK(ChemData!B93),"",(ChemData!B93))</f>
        <v/>
      </c>
      <c r="D93" s="289" t="str">
        <f>IF(TRUE=ISBLANK(ChemData!J93),"",(ChemData!J93))</f>
        <v>NA</v>
      </c>
      <c r="E93" s="290">
        <f>IF(TRUE=ISBLANK(ChemData!Q93),"",(ChemData!Q93))</f>
        <v>7.0373057258935958</v>
      </c>
      <c r="F93" s="290">
        <f>IF(TRUE=ISBLANK(ChemData!S93),"",(ChemData!S93))</f>
        <v>1</v>
      </c>
      <c r="G93" s="865">
        <f>IF(OR(TRUE=ISBLANK(ChemData!AA93),ChemData!AA93="NA",ChemData!AA93=0),ChemData!Z93,(ChemData!AA93))</f>
        <v>13.979044011802351</v>
      </c>
      <c r="H93" s="685" t="str">
        <f>IF(Start!$C$17="x",(IF(OR(C93="NA",C93=""),"NA",IF(OR(F93="NA",F93="",F93=0),"NA",C93*F93))),"---")</f>
        <v>NA</v>
      </c>
      <c r="I93" s="376" t="str">
        <f>IF(Start!$C$17="x",(IF($E93 = "NA", "NA", (IF(H93 = "NA", "NA",(IF(OR(ChemData!U93="NA",ChemData!U93=""),H93/((Data!$D$18+$E93*(1-Data!$D$18)*Data!$D$14)/(1000*(1-Data!$D$18)*Data!$D$14)),(IF(H93/((Data!$D$18+$E93*(1-Data!$D$18)*Data!$D$14)/(1000*(1-Data!$D$18)*Data!$D$14))&gt;ChemData!U93, ChemData!U93,H93/((Data!$D$18+$E93*(1-Data!$D$18)*Data!$D$14)/(1000*(1-Data!$D$18)*Data!$D$14)))))))))),"---")</f>
        <v>NA</v>
      </c>
      <c r="J93" s="870" t="str">
        <f>IF(Start!$C$17="x",IF(OR(I93="NA",I93="",ChemData!W93="NA",ChemData!W93=""),"NA",I93/ChemData!W93),"---")</f>
        <v>NA</v>
      </c>
      <c r="K93" s="870" t="str">
        <f>IF(Start!$C$17="x",IF(J93="NA","NA",IF(Data!$D$68&lt;ChemData!X93,J93*(Data!$D$68/ChemData!X93),J93)),"---")</f>
        <v>NA</v>
      </c>
      <c r="L93" s="870" t="str">
        <f>IF(Start!$C$17="x",IF(OR(I93="NA",I93="",ChemData!Z93="NA",ChemData!Z93=""),"NA",I93/ChemData!Z93),"---")</f>
        <v>NA</v>
      </c>
      <c r="M93" s="870" t="str">
        <f>IF(Start!$C$17="x",IF(OR(I93="NA",I93="",ChemData!Y93="NA",ChemData!Y93=""),"NA",I93/ChemData!Y93),"---")</f>
        <v>NA</v>
      </c>
      <c r="N93" s="870" t="str">
        <f>IF(Start!$C$17="x",IF(OR(I93="NA",I93="",G93="NA",G93=""),"NA",I93/G93),"---")</f>
        <v>NA</v>
      </c>
      <c r="O93" s="794" t="str">
        <f>IF(Start!$C$17="x",(IF(C93="","",(IF(N93="NA","NA",IF(D93="NA","NA",IF(D93=0,"NA",(N93/D93))))))),"Not Req.")</f>
        <v/>
      </c>
    </row>
    <row r="94" spans="1:15" s="10" customFormat="1" x14ac:dyDescent="0.25">
      <c r="A94" s="405" t="s">
        <v>412</v>
      </c>
      <c r="B94" s="868" t="str">
        <f>IF(Start!$C$17="x",(IF($C94="NA","NA",(IF(C94="","",(IF(AND(N94="NA",C94&lt;&gt;"NA",D94&lt;&gt;"NA"),"Missing Data",(IF(OR(D94 = "NA",D94=""),"No Criteria",(IF(N94&lt;D94,IF(OR(I94&lt;D94,ChemData!AA94&lt;&gt;""),"No-1",IF(M94&lt;D94,"No-2","No-3")),"Needed")))))))))),"---")</f>
        <v/>
      </c>
      <c r="C94" s="426" t="str">
        <f>IF(TRUE=ISBLANK(ChemData!B94),"",(ChemData!B94))</f>
        <v/>
      </c>
      <c r="D94" s="289">
        <f>IF(TRUE=ISBLANK(ChemData!J94),"",(ChemData!J94))</f>
        <v>3</v>
      </c>
      <c r="E94" s="290">
        <f>IF(TRUE=ISBLANK(ChemData!Q94),"",(ChemData!Q94))</f>
        <v>369323.05450074008</v>
      </c>
      <c r="F94" s="290">
        <f>IF(TRUE=ISBLANK(ChemData!S94),"",(ChemData!S94))</f>
        <v>1</v>
      </c>
      <c r="G94" s="865">
        <f>IF(OR(TRUE=ISBLANK(ChemData!AA94),ChemData!AA94="NA",ChemData!AA94=0),ChemData!Z94,(ChemData!AA94))</f>
        <v>119421611.71650444</v>
      </c>
      <c r="H94" s="685" t="str">
        <f>IF(Start!$C$17="x",(IF(OR(C94="NA",C94=""),"NA",IF(OR(F94="NA",F94="",F94=0),"NA",C94*F94))),"---")</f>
        <v>NA</v>
      </c>
      <c r="I94" s="376" t="str">
        <f>IF(Start!$C$17="x",(IF($E94 = "NA", "NA", (IF(H94 = "NA", "NA",(IF(OR(ChemData!U94="NA",ChemData!U94=""),H94/((Data!$D$18+$E94*(1-Data!$D$18)*Data!$D$14)/(1000*(1-Data!$D$18)*Data!$D$14)),(IF(H94/((Data!$D$18+$E94*(1-Data!$D$18)*Data!$D$14)/(1000*(1-Data!$D$18)*Data!$D$14))&gt;ChemData!U94, ChemData!U94,H94/((Data!$D$18+$E94*(1-Data!$D$18)*Data!$D$14)/(1000*(1-Data!$D$18)*Data!$D$14)))))))))),"---")</f>
        <v>NA</v>
      </c>
      <c r="J94" s="870" t="str">
        <f>IF(Start!$C$17="x",IF(OR(I94="NA",I94="",ChemData!W94="NA",ChemData!W94=""),"NA",I94/ChemData!W94),"---")</f>
        <v>NA</v>
      </c>
      <c r="K94" s="870" t="str">
        <f>IF(Start!$C$17="x",IF(J94="NA","NA",IF(Data!$D$68&lt;ChemData!X94,J94*(Data!$D$68/ChemData!X94),J94)),"---")</f>
        <v>NA</v>
      </c>
      <c r="L94" s="870" t="str">
        <f>IF(Start!$C$17="x",IF(OR(I94="NA",I94="",ChemData!Z94="NA",ChemData!Z94=""),"NA",I94/ChemData!Z94),"---")</f>
        <v>NA</v>
      </c>
      <c r="M94" s="870" t="str">
        <f>IF(Start!$C$17="x",IF(OR(I94="NA",I94="",ChemData!Y94="NA",ChemData!Y94=""),"NA",I94/ChemData!Y94),"---")</f>
        <v>NA</v>
      </c>
      <c r="N94" s="870" t="str">
        <f>IF(Start!$C$17="x",IF(OR(I94="NA",I94="",G94="NA",G94=""),"NA",I94/G94),"---")</f>
        <v>NA</v>
      </c>
      <c r="O94" s="794" t="str">
        <f>IF(Start!$C$17="x",(IF(C94="","",(IF(N94="NA","NA",IF(D94="NA","NA",IF(D94=0,"NA",(N94/D94))))))),"Not Req.")</f>
        <v/>
      </c>
    </row>
    <row r="95" spans="1:15" s="10" customFormat="1" x14ac:dyDescent="0.25">
      <c r="A95" s="405" t="s">
        <v>413</v>
      </c>
      <c r="B95" s="868" t="str">
        <f>IF(Start!$C$17="x",(IF($C95="NA","NA",(IF(C95="","",(IF(AND(N95="NA",C95&lt;&gt;"NA",D95&lt;&gt;"NA"),"Missing Data",(IF(OR(D95 = "NA",D95=""),"No Criteria",(IF(N95&lt;D95,IF(OR(I95&lt;D95,ChemData!AA95&lt;&gt;""),"No-1",IF(M95&lt;D95,"No-2","No-3")),"Needed")))))))))),"---")</f>
        <v/>
      </c>
      <c r="C95" s="426" t="str">
        <f>IF(TRUE=ISBLANK(ChemData!B95),"",(ChemData!B95))</f>
        <v/>
      </c>
      <c r="D95" s="289" t="str">
        <f>IF(TRUE=ISBLANK(ChemData!J95),"",(ChemData!J95))</f>
        <v>NA</v>
      </c>
      <c r="E95" s="290">
        <f>IF(TRUE=ISBLANK(ChemData!Q95),"",(ChemData!Q95))</f>
        <v>1.1951059779431472E-2</v>
      </c>
      <c r="F95" s="290">
        <f>IF(TRUE=ISBLANK(ChemData!S95),"",(ChemData!S95))</f>
        <v>1</v>
      </c>
      <c r="G95" s="865">
        <f>IF(OR(TRUE=ISBLANK(ChemData!AA95),ChemData!AA95="NA",ChemData!AA95=0),ChemData!Z95,(ChemData!AA95))</f>
        <v>6.8495741227413909</v>
      </c>
      <c r="H95" s="685" t="str">
        <f>IF(Start!$C$17="x",(IF(OR(C95="NA",C95=""),"NA",IF(OR(F95="NA",F95="",F95=0),"NA",C95*F95))),"---")</f>
        <v>NA</v>
      </c>
      <c r="I95" s="376" t="str">
        <f>IF(Start!$C$17="x",(IF($E95 = "NA", "NA", (IF(H95 = "NA", "NA",(IF(OR(ChemData!U95="NA",ChemData!U95=""),H95/((Data!$D$18+$E95*(1-Data!$D$18)*Data!$D$14)/(1000*(1-Data!$D$18)*Data!$D$14)),(IF(H95/((Data!$D$18+$E95*(1-Data!$D$18)*Data!$D$14)/(1000*(1-Data!$D$18)*Data!$D$14))&gt;ChemData!U95, ChemData!U95,H95/((Data!$D$18+$E95*(1-Data!$D$18)*Data!$D$14)/(1000*(1-Data!$D$18)*Data!$D$14)))))))))),"---")</f>
        <v>NA</v>
      </c>
      <c r="J95" s="870" t="str">
        <f>IF(Start!$C$17="x",IF(OR(I95="NA",I95="",ChemData!W95="NA",ChemData!W95=""),"NA",I95/ChemData!W95),"---")</f>
        <v>NA</v>
      </c>
      <c r="K95" s="870" t="str">
        <f>IF(Start!$C$17="x",IF(J95="NA","NA",IF(Data!$D$68&lt;ChemData!X95,J95*(Data!$D$68/ChemData!X95),J95)),"---")</f>
        <v>NA</v>
      </c>
      <c r="L95" s="870" t="str">
        <f>IF(Start!$C$17="x",IF(OR(I95="NA",I95="",ChemData!Z95="NA",ChemData!Z95=""),"NA",I95/ChemData!Z95),"---")</f>
        <v>NA</v>
      </c>
      <c r="M95" s="870" t="str">
        <f>IF(Start!$C$17="x",IF(OR(I95="NA",I95="",ChemData!Y95="NA",ChemData!Y95=""),"NA",I95/ChemData!Y95),"---")</f>
        <v>NA</v>
      </c>
      <c r="N95" s="870" t="str">
        <f>IF(Start!$C$17="x",IF(OR(I95="NA",I95="",G95="NA",G95=""),"NA",I95/G95),"---")</f>
        <v>NA</v>
      </c>
      <c r="O95" s="794" t="str">
        <f>IF(Start!$C$17="x",(IF(C95="","",(IF(N95="NA","NA",IF(D95="NA","NA",IF(D95=0,"NA",(N95/D95))))))),"Not Req.")</f>
        <v/>
      </c>
    </row>
    <row r="96" spans="1:15" s="10" customFormat="1" x14ac:dyDescent="0.25">
      <c r="A96" s="405" t="s">
        <v>666</v>
      </c>
      <c r="B96" s="868" t="str">
        <f>IF(Start!$C$17="x",(IF($C96="NA","NA",(IF(C96="","",(IF(AND(N96="NA",C96&lt;&gt;"NA",D96&lt;&gt;"NA"),"Missing Data",(IF(OR(D96 = "NA",D96=""),"No Criteria",(IF(N96&lt;D96,IF(OR(I96&lt;D96,ChemData!AA96&lt;&gt;""),"No-1",IF(M96&lt;D96,"No-2","No-3")),"Needed")))))))))),"---")</f>
        <v/>
      </c>
      <c r="C96" s="426" t="str">
        <f>IF(TRUE=ISBLANK(ChemData!B96),"",(ChemData!B96))</f>
        <v/>
      </c>
      <c r="D96" s="289" t="str">
        <f>IF(TRUE=ISBLANK(ChemData!J96),"",(ChemData!J96))</f>
        <v>NA</v>
      </c>
      <c r="E96" s="290">
        <f>IF(TRUE=ISBLANK(ChemData!Q96),"",(ChemData!Q96))</f>
        <v>23.302709372310051</v>
      </c>
      <c r="F96" s="290">
        <f>IF(TRUE=ISBLANK(ChemData!S96),"",(ChemData!S96))</f>
        <v>1</v>
      </c>
      <c r="G96" s="865">
        <f>IF(OR(TRUE=ISBLANK(ChemData!AA96),ChemData!AA96="NA",ChemData!AA96=0),ChemData!Z96,(ChemData!AA96))</f>
        <v>81.120182820135625</v>
      </c>
      <c r="H96" s="685" t="str">
        <f>IF(Start!$C$17="x",(IF(OR(C96="NA",C96=""),"NA",IF(OR(F96="NA",F96="",F96=0),"NA",C96*F96))),"---")</f>
        <v>NA</v>
      </c>
      <c r="I96" s="376" t="str">
        <f>IF(Start!$C$17="x",(IF($E96 = "NA", "NA", (IF(H96 = "NA", "NA",(IF(OR(ChemData!U96="NA",ChemData!U96=""),H96/((Data!$D$18+$E96*(1-Data!$D$18)*Data!$D$14)/(1000*(1-Data!$D$18)*Data!$D$14)),(IF(H96/((Data!$D$18+$E96*(1-Data!$D$18)*Data!$D$14)/(1000*(1-Data!$D$18)*Data!$D$14))&gt;ChemData!U96, ChemData!U96,H96/((Data!$D$18+$E96*(1-Data!$D$18)*Data!$D$14)/(1000*(1-Data!$D$18)*Data!$D$14)))))))))),"---")</f>
        <v>NA</v>
      </c>
      <c r="J96" s="870" t="str">
        <f>IF(Start!$C$17="x",IF(OR(I96="NA",I96="",ChemData!W96="NA",ChemData!W96=""),"NA",I96/ChemData!W96),"---")</f>
        <v>NA</v>
      </c>
      <c r="K96" s="870" t="str">
        <f>IF(Start!$C$17="x",IF(J96="NA","NA",IF(Data!$D$68&lt;ChemData!X96,J96*(Data!$D$68/ChemData!X96),J96)),"---")</f>
        <v>NA</v>
      </c>
      <c r="L96" s="870" t="str">
        <f>IF(Start!$C$17="x",IF(OR(I96="NA",I96="",ChemData!Z96="NA",ChemData!Z96=""),"NA",I96/ChemData!Z96),"---")</f>
        <v>NA</v>
      </c>
      <c r="M96" s="870" t="str">
        <f>IF(Start!$C$17="x",IF(OR(I96="NA",I96="",ChemData!Y96="NA",ChemData!Y96=""),"NA",I96/ChemData!Y96),"---")</f>
        <v>NA</v>
      </c>
      <c r="N96" s="870" t="str">
        <f>IF(Start!$C$17="x",IF(OR(I96="NA",I96="",G96="NA",G96=""),"NA",I96/G96),"---")</f>
        <v>NA</v>
      </c>
      <c r="O96" s="794" t="str">
        <f>IF(Start!$C$17="x",(IF(C96="","",(IF(N96="NA","NA",IF(D96="NA","NA",IF(D96=0,"NA",(N96/D96))))))),"Not Req.")</f>
        <v/>
      </c>
    </row>
    <row r="97" spans="1:15" s="10" customFormat="1" x14ac:dyDescent="0.25">
      <c r="A97" s="405" t="s">
        <v>415</v>
      </c>
      <c r="B97" s="868" t="str">
        <f>IF(Start!$C$17="x",(IF($C97="NA","NA",(IF(C97="","",(IF(AND(N97="NA",C97&lt;&gt;"NA",D97&lt;&gt;"NA"),"Missing Data",(IF(OR(D97 = "NA",D97=""),"No Criteria",(IF(N97&lt;D97,IF(OR(I97&lt;D97,ChemData!AA97&lt;&gt;""),"No-1",IF(M97&lt;D97,"No-2","No-3")),"Needed")))))))))),"---")</f>
        <v/>
      </c>
      <c r="C97" s="426" t="str">
        <f>IF(TRUE=ISBLANK(ChemData!B97),"",(ChemData!B97))</f>
        <v/>
      </c>
      <c r="D97" s="289" t="str">
        <f>IF(TRUE=ISBLANK(ChemData!J97),"",(ChemData!J97))</f>
        <v>NA</v>
      </c>
      <c r="E97" s="290">
        <f>IF(TRUE=ISBLANK(ChemData!Q97),"",(ChemData!Q97))</f>
        <v>1.3104076468950407</v>
      </c>
      <c r="F97" s="290">
        <f>IF(TRUE=ISBLANK(ChemData!S97),"",(ChemData!S97))</f>
        <v>1</v>
      </c>
      <c r="G97" s="865">
        <f>IF(OR(TRUE=ISBLANK(ChemData!AA97),ChemData!AA97="NA",ChemData!AA97=0),ChemData!Z97,(ChemData!AA97))</f>
        <v>6.8495741227413927</v>
      </c>
      <c r="H97" s="685" t="str">
        <f>IF(Start!$C$17="x",(IF(OR(C97="NA",C97=""),"NA",IF(OR(F97="NA",F97="",F97=0),"NA",C97*F97))),"---")</f>
        <v>NA</v>
      </c>
      <c r="I97" s="376" t="str">
        <f>IF(Start!$C$17="x",(IF($E97 = "NA", "NA", (IF(H97 = "NA", "NA",(IF(OR(ChemData!U97="NA",ChemData!U97=""),H97/((Data!$D$18+$E97*(1-Data!$D$18)*Data!$D$14)/(1000*(1-Data!$D$18)*Data!$D$14)),(IF(H97/((Data!$D$18+$E97*(1-Data!$D$18)*Data!$D$14)/(1000*(1-Data!$D$18)*Data!$D$14))&gt;ChemData!U97, ChemData!U97,H97/((Data!$D$18+$E97*(1-Data!$D$18)*Data!$D$14)/(1000*(1-Data!$D$18)*Data!$D$14)))))))))),"---")</f>
        <v>NA</v>
      </c>
      <c r="J97" s="870" t="str">
        <f>IF(Start!$C$17="x",IF(OR(I97="NA",I97="",ChemData!W97="NA",ChemData!W97=""),"NA",I97/ChemData!W97),"---")</f>
        <v>NA</v>
      </c>
      <c r="K97" s="870" t="str">
        <f>IF(Start!$C$17="x",IF(J97="NA","NA",IF(Data!$D$68&lt;ChemData!X97,J97*(Data!$D$68/ChemData!X97),J97)),"---")</f>
        <v>NA</v>
      </c>
      <c r="L97" s="870" t="str">
        <f>IF(Start!$C$17="x",IF(OR(I97="NA",I97="",ChemData!Z97="NA",ChemData!Z97=""),"NA",I97/ChemData!Z97),"---")</f>
        <v>NA</v>
      </c>
      <c r="M97" s="870" t="str">
        <f>IF(Start!$C$17="x",IF(OR(I97="NA",I97="",ChemData!Y97="NA",ChemData!Y97=""),"NA",I97/ChemData!Y97),"---")</f>
        <v>NA</v>
      </c>
      <c r="N97" s="870" t="str">
        <f>IF(Start!$C$17="x",IF(OR(I97="NA",I97="",G97="NA",G97=""),"NA",I97/G97),"---")</f>
        <v>NA</v>
      </c>
      <c r="O97" s="794" t="str">
        <f>IF(Start!$C$17="x",(IF(C97="","",(IF(N97="NA","NA",IF(D97="NA","NA",IF(D97=0,"NA",(N97/D97))))))),"Not Req.")</f>
        <v/>
      </c>
    </row>
    <row r="98" spans="1:15" s="10" customFormat="1" x14ac:dyDescent="0.25">
      <c r="A98" s="405" t="s">
        <v>416</v>
      </c>
      <c r="B98" s="868" t="str">
        <f>IF(Start!$C$17="x",(IF($C98="NA","NA",(IF(C98="","",(IF(AND(N98="NA",C98&lt;&gt;"NA",D98&lt;&gt;"NA"),"Missing Data",(IF(OR(D98 = "NA",D98=""),"No Criteria",(IF(N98&lt;D98,IF(OR(I98&lt;D98,ChemData!AA98&lt;&gt;""),"No-1",IF(M98&lt;D98,"No-2","No-3")),"Needed")))))))))),"---")</f>
        <v/>
      </c>
      <c r="C98" s="426" t="str">
        <f>IF(TRUE=ISBLANK(ChemData!B98),"",(ChemData!B98))</f>
        <v/>
      </c>
      <c r="D98" s="289" t="str">
        <f>IF(TRUE=ISBLANK(ChemData!J98),"",(ChemData!J98))</f>
        <v>NA</v>
      </c>
      <c r="E98" s="290">
        <f>IF(TRUE=ISBLANK(ChemData!Q98),"",(ChemData!Q98))</f>
        <v>185.1</v>
      </c>
      <c r="F98" s="290">
        <f>IF(TRUE=ISBLANK(ChemData!S98),"",(ChemData!S98))</f>
        <v>1</v>
      </c>
      <c r="G98" s="865">
        <f>IF(OR(TRUE=ISBLANK(ChemData!AA98),ChemData!AA98="NA",ChemData!AA98=0),ChemData!Z98,(ChemData!AA98))</f>
        <v>1701.5054751140763</v>
      </c>
      <c r="H98" s="685" t="str">
        <f>IF(Start!$C$17="x",(IF(OR(C98="NA",C98=""),"NA",IF(OR(F98="NA",F98="",F98=0),"NA",C98*F98))),"---")</f>
        <v>NA</v>
      </c>
      <c r="I98" s="376" t="str">
        <f>IF(Start!$C$17="x",(IF($E98 = "NA", "NA", (IF(H98 = "NA", "NA",(IF(OR(ChemData!U98="NA",ChemData!U98=""),H98/((Data!$D$18+$E98*(1-Data!$D$18)*Data!$D$14)/(1000*(1-Data!$D$18)*Data!$D$14)),(IF(H98/((Data!$D$18+$E98*(1-Data!$D$18)*Data!$D$14)/(1000*(1-Data!$D$18)*Data!$D$14))&gt;ChemData!U98, ChemData!U98,H98/((Data!$D$18+$E98*(1-Data!$D$18)*Data!$D$14)/(1000*(1-Data!$D$18)*Data!$D$14)))))))))),"---")</f>
        <v>NA</v>
      </c>
      <c r="J98" s="870" t="str">
        <f>IF(Start!$C$17="x",IF(OR(I98="NA",I98="",ChemData!W98="NA",ChemData!W98=""),"NA",I98/ChemData!W98),"---")</f>
        <v>NA</v>
      </c>
      <c r="K98" s="870" t="str">
        <f>IF(Start!$C$17="x",IF(J98="NA","NA",IF(Data!$D$68&lt;ChemData!X98,J98*(Data!$D$68/ChemData!X98),J98)),"---")</f>
        <v>NA</v>
      </c>
      <c r="L98" s="870" t="str">
        <f>IF(Start!$C$17="x",IF(OR(I98="NA",I98="",ChemData!Z98="NA",ChemData!Z98=""),"NA",I98/ChemData!Z98),"---")</f>
        <v>NA</v>
      </c>
      <c r="M98" s="870" t="str">
        <f>IF(Start!$C$17="x",IF(OR(I98="NA",I98="",ChemData!Y98="NA",ChemData!Y98=""),"NA",I98/ChemData!Y98),"---")</f>
        <v>NA</v>
      </c>
      <c r="N98" s="870" t="str">
        <f>IF(Start!$C$17="x",IF(OR(I98="NA",I98="",G98="NA",G98=""),"NA",I98/G98),"---")</f>
        <v>NA</v>
      </c>
      <c r="O98" s="794" t="str">
        <f>IF(Start!$C$17="x",(IF(C98="","",(IF(N98="NA","NA",IF(D98="NA","NA",IF(D98=0,"NA",(N98/D98))))))),"Not Req.")</f>
        <v/>
      </c>
    </row>
    <row r="99" spans="1:15" s="10" customFormat="1" x14ac:dyDescent="0.25">
      <c r="A99" s="405" t="s">
        <v>417</v>
      </c>
      <c r="B99" s="868" t="str">
        <f>IF(Start!$C$17="x",(IF($C99="NA","NA",(IF(C99="","",(IF(AND(N99="NA",C99&lt;&gt;"NA",D99&lt;&gt;"NA"),"Missing Data",(IF(OR(D99 = "NA",D99=""),"No Criteria",(IF(N99&lt;D99,IF(OR(I99&lt;D99,ChemData!AA99&lt;&gt;""),"No-1",IF(M99&lt;D99,"No-2","No-3")),"Needed")))))))))),"---")</f>
        <v/>
      </c>
      <c r="C99" s="426" t="str">
        <f>IF(TRUE=ISBLANK(ChemData!B99),"",(ChemData!B99))</f>
        <v/>
      </c>
      <c r="D99" s="289" t="str">
        <f>IF(TRUE=ISBLANK(ChemData!J99),"",(ChemData!J99))</f>
        <v>NA</v>
      </c>
      <c r="E99" s="290">
        <f>IF(TRUE=ISBLANK(ChemData!Q99),"",(ChemData!Q99))</f>
        <v>2.6755090156507135</v>
      </c>
      <c r="F99" s="290">
        <f>IF(TRUE=ISBLANK(ChemData!S99),"",(ChemData!S99))</f>
        <v>1</v>
      </c>
      <c r="G99" s="865">
        <f>IF(OR(TRUE=ISBLANK(ChemData!AA99),ChemData!AA99="NA",ChemData!AA99=0),ChemData!Z99,(ChemData!AA99))</f>
        <v>6.8495741227413927</v>
      </c>
      <c r="H99" s="685" t="str">
        <f>IF(Start!$C$17="x",(IF(OR(C99="NA",C99=""),"NA",IF(OR(F99="NA",F99="",F99=0),"NA",C99*F99))),"---")</f>
        <v>NA</v>
      </c>
      <c r="I99" s="376" t="str">
        <f>IF(Start!$C$17="x",(IF($E99 = "NA", "NA", (IF(H99 = "NA", "NA",(IF(OR(ChemData!U99="NA",ChemData!U99=""),H99/((Data!$D$18+$E99*(1-Data!$D$18)*Data!$D$14)/(1000*(1-Data!$D$18)*Data!$D$14)),(IF(H99/((Data!$D$18+$E99*(1-Data!$D$18)*Data!$D$14)/(1000*(1-Data!$D$18)*Data!$D$14))&gt;ChemData!U99, ChemData!U99,H99/((Data!$D$18+$E99*(1-Data!$D$18)*Data!$D$14)/(1000*(1-Data!$D$18)*Data!$D$14)))))))))),"---")</f>
        <v>NA</v>
      </c>
      <c r="J99" s="870" t="str">
        <f>IF(Start!$C$17="x",IF(OR(I99="NA",I99="",ChemData!W99="NA",ChemData!W99=""),"NA",I99/ChemData!W99),"---")</f>
        <v>NA</v>
      </c>
      <c r="K99" s="870" t="str">
        <f>IF(Start!$C$17="x",IF(J99="NA","NA",IF(Data!$D$68&lt;ChemData!X99,J99*(Data!$D$68/ChemData!X99),J99)),"---")</f>
        <v>NA</v>
      </c>
      <c r="L99" s="870" t="str">
        <f>IF(Start!$C$17="x",IF(OR(I99="NA",I99="",ChemData!Z99="NA",ChemData!Z99=""),"NA",I99/ChemData!Z99),"---")</f>
        <v>NA</v>
      </c>
      <c r="M99" s="870" t="str">
        <f>IF(Start!$C$17="x",IF(OR(I99="NA",I99="",ChemData!Y99="NA",ChemData!Y99=""),"NA",I99/ChemData!Y99),"---")</f>
        <v>NA</v>
      </c>
      <c r="N99" s="870" t="str">
        <f>IF(Start!$C$17="x",IF(OR(I99="NA",I99="",G99="NA",G99=""),"NA",I99/G99),"---")</f>
        <v>NA</v>
      </c>
      <c r="O99" s="794" t="str">
        <f>IF(Start!$C$17="x",(IF(C99="","",(IF(N99="NA","NA",IF(D99="NA","NA",IF(D99=0,"NA",(N99/D99))))))),"Not Req.")</f>
        <v/>
      </c>
    </row>
    <row r="100" spans="1:15" s="10" customFormat="1" x14ac:dyDescent="0.25">
      <c r="A100" s="405" t="s">
        <v>418</v>
      </c>
      <c r="B100" s="868" t="str">
        <f>IF(Start!$C$17="x",(IF($C100="NA","NA",(IF(C100="","",(IF(AND(N100="NA",C100&lt;&gt;"NA",D100&lt;&gt;"NA"),"Missing Data",(IF(OR(D100 = "NA",D100=""),"No Criteria",(IF(N100&lt;D100,IF(OR(I100&lt;D100,ChemData!AA100&lt;&gt;""),"No-1",IF(M100&lt;D100,"No-2","No-3")),"Needed")))))))))),"---")</f>
        <v/>
      </c>
      <c r="C100" s="426" t="str">
        <f>IF(TRUE=ISBLANK(ChemData!B100),"",(ChemData!B100))</f>
        <v/>
      </c>
      <c r="D100" s="289" t="str">
        <f>IF(TRUE=ISBLANK(ChemData!J100),"",(ChemData!J100))</f>
        <v>NA</v>
      </c>
      <c r="E100" s="290">
        <f>IF(TRUE=ISBLANK(ChemData!Q100),"",(ChemData!Q100))</f>
        <v>1851</v>
      </c>
      <c r="F100" s="290">
        <f>IF(TRUE=ISBLANK(ChemData!S100),"",(ChemData!S100))</f>
        <v>1</v>
      </c>
      <c r="G100" s="865">
        <f>IF(OR(TRUE=ISBLANK(ChemData!AA100),ChemData!AA100="NA",ChemData!AA100=0),ChemData!Z100,(ChemData!AA100))</f>
        <v>50048.818417937429</v>
      </c>
      <c r="H100" s="685" t="str">
        <f>IF(Start!$C$17="x",(IF(OR(C100="NA",C100=""),"NA",IF(OR(F100="NA",F100="",F100=0),"NA",C100*F100))),"---")</f>
        <v>NA</v>
      </c>
      <c r="I100" s="376" t="str">
        <f>IF(Start!$C$17="x",(IF($E100 = "NA", "NA", (IF(H100 = "NA", "NA",(IF(OR(ChemData!U100="NA",ChemData!U100=""),H100/((Data!$D$18+$E100*(1-Data!$D$18)*Data!$D$14)/(1000*(1-Data!$D$18)*Data!$D$14)),(IF(H100/((Data!$D$18+$E100*(1-Data!$D$18)*Data!$D$14)/(1000*(1-Data!$D$18)*Data!$D$14))&gt;ChemData!U100, ChemData!U100,H100/((Data!$D$18+$E100*(1-Data!$D$18)*Data!$D$14)/(1000*(1-Data!$D$18)*Data!$D$14)))))))))),"---")</f>
        <v>NA</v>
      </c>
      <c r="J100" s="870" t="str">
        <f>IF(Start!$C$17="x",IF(OR(I100="NA",I100="",ChemData!W100="NA",ChemData!W100=""),"NA",I100/ChemData!W100),"---")</f>
        <v>NA</v>
      </c>
      <c r="K100" s="870" t="str">
        <f>IF(Start!$C$17="x",IF(J100="NA","NA",IF(Data!$D$68&lt;ChemData!X100,J100*(Data!$D$68/ChemData!X100),J100)),"---")</f>
        <v>NA</v>
      </c>
      <c r="L100" s="870" t="str">
        <f>IF(Start!$C$17="x",IF(OR(I100="NA",I100="",ChemData!Z100="NA",ChemData!Z100=""),"NA",I100/ChemData!Z100),"---")</f>
        <v>NA</v>
      </c>
      <c r="M100" s="870" t="str">
        <f>IF(Start!$C$17="x",IF(OR(I100="NA",I100="",ChemData!Y100="NA",ChemData!Y100=""),"NA",I100/ChemData!Y100),"---")</f>
        <v>NA</v>
      </c>
      <c r="N100" s="870" t="str">
        <f>IF(Start!$C$17="x",IF(OR(I100="NA",I100="",G100="NA",G100=""),"NA",I100/G100),"---")</f>
        <v>NA</v>
      </c>
      <c r="O100" s="794" t="str">
        <f>IF(Start!$C$17="x",(IF(C100="","",(IF(N100="NA","NA",IF(D100="NA","NA",IF(D100=0,"NA",(N100/D100))))))),"Not Req.")</f>
        <v/>
      </c>
    </row>
    <row r="101" spans="1:15" s="10" customFormat="1" x14ac:dyDescent="0.25">
      <c r="A101" s="405" t="s">
        <v>419</v>
      </c>
      <c r="B101" s="868" t="str">
        <f>IF(Start!$C$17="x",(IF($C101="NA","NA",(IF(C101="","",(IF(AND(N101="NA",C101&lt;&gt;"NA",D101&lt;&gt;"NA"),"Missing Data",(IF(OR(D101 = "NA",D101=""),"No Criteria",(IF(N101&lt;D101,IF(OR(I101&lt;D101,ChemData!AA101&lt;&gt;""),"No-1",IF(M101&lt;D101,"No-2","No-3")),"Needed")))))))))),"---")</f>
        <v/>
      </c>
      <c r="C101" s="426" t="str">
        <f>IF(TRUE=ISBLANK(ChemData!B101),"",(ChemData!B101))</f>
        <v/>
      </c>
      <c r="D101" s="289" t="str">
        <f>IF(TRUE=ISBLANK(ChemData!J101),"",(ChemData!J101))</f>
        <v>NA</v>
      </c>
      <c r="E101" s="290">
        <f>IF(TRUE=ISBLANK(ChemData!Q101),"",(ChemData!Q101))</f>
        <v>50.980773298789508</v>
      </c>
      <c r="F101" s="290">
        <f>IF(TRUE=ISBLANK(ChemData!S101),"",(ChemData!S101))</f>
        <v>1</v>
      </c>
      <c r="G101" s="865">
        <f>IF(OR(TRUE=ISBLANK(ChemData!AA101),ChemData!AA101="NA",ChemData!AA101=0),ChemData!Z101,(ChemData!AA101))</f>
        <v>256.11763522440066</v>
      </c>
      <c r="H101" s="685" t="str">
        <f>IF(Start!$C$17="x",(IF(OR(C101="NA",C101=""),"NA",IF(OR(F101="NA",F101="",F101=0),"NA",C101*F101))),"---")</f>
        <v>NA</v>
      </c>
      <c r="I101" s="376" t="str">
        <f>IF(Start!$C$17="x",(IF($E101 = "NA", "NA", (IF(H101 = "NA", "NA",(IF(OR(ChemData!U101="NA",ChemData!U101=""),H101/((Data!$D$18+$E101*(1-Data!$D$18)*Data!$D$14)/(1000*(1-Data!$D$18)*Data!$D$14)),(IF(H101/((Data!$D$18+$E101*(1-Data!$D$18)*Data!$D$14)/(1000*(1-Data!$D$18)*Data!$D$14))&gt;ChemData!U101, ChemData!U101,H101/((Data!$D$18+$E101*(1-Data!$D$18)*Data!$D$14)/(1000*(1-Data!$D$18)*Data!$D$14)))))))))),"---")</f>
        <v>NA</v>
      </c>
      <c r="J101" s="870" t="str">
        <f>IF(Start!$C$17="x",IF(OR(I101="NA",I101="",ChemData!W101="NA",ChemData!W101=""),"NA",I101/ChemData!W101),"---")</f>
        <v>NA</v>
      </c>
      <c r="K101" s="870" t="str">
        <f>IF(Start!$C$17="x",IF(J101="NA","NA",IF(Data!$D$68&lt;ChemData!X101,J101*(Data!$D$68/ChemData!X101),J101)),"---")</f>
        <v>NA</v>
      </c>
      <c r="L101" s="870" t="str">
        <f>IF(Start!$C$17="x",IF(OR(I101="NA",I101="",ChemData!Z101="NA",ChemData!Z101=""),"NA",I101/ChemData!Z101),"---")</f>
        <v>NA</v>
      </c>
      <c r="M101" s="870" t="str">
        <f>IF(Start!$C$17="x",IF(OR(I101="NA",I101="",ChemData!Y101="NA",ChemData!Y101=""),"NA",I101/ChemData!Y101),"---")</f>
        <v>NA</v>
      </c>
      <c r="N101" s="870" t="str">
        <f>IF(Start!$C$17="x",IF(OR(I101="NA",I101="",G101="NA",G101=""),"NA",I101/G101),"---")</f>
        <v>NA</v>
      </c>
      <c r="O101" s="794" t="str">
        <f>IF(Start!$C$17="x",(IF(C101="","",(IF(N101="NA","NA",IF(D101="NA","NA",IF(D101=0,"NA",(N101/D101))))))),"Not Req.")</f>
        <v/>
      </c>
    </row>
    <row r="102" spans="1:15" s="10" customFormat="1" x14ac:dyDescent="0.25">
      <c r="A102" s="405" t="s">
        <v>420</v>
      </c>
      <c r="B102" s="868" t="str">
        <f>IF(Start!$C$17="x",(IF($C102="NA","NA",(IF(C102="","",(IF(AND(N102="NA",C102&lt;&gt;"NA",D102&lt;&gt;"NA"),"Missing Data",(IF(OR(D102 = "NA",D102=""),"No Criteria",(IF(N102&lt;D102,IF(OR(I102&lt;D102,ChemData!AA102&lt;&gt;""),"No-1",IF(M102&lt;D102,"No-2","No-3")),"Needed")))))))))),"---")</f>
        <v/>
      </c>
      <c r="C102" s="426" t="str">
        <f>IF(TRUE=ISBLANK(ChemData!B102),"",(ChemData!B102))</f>
        <v/>
      </c>
      <c r="D102" s="289">
        <f>IF(TRUE=ISBLANK(ChemData!J102),"",(ChemData!J102))</f>
        <v>35</v>
      </c>
      <c r="E102" s="290">
        <f>IF(TRUE=ISBLANK(ChemData!Q102),"",(ChemData!Q102))</f>
        <v>971.41860892233001</v>
      </c>
      <c r="F102" s="290">
        <f>IF(TRUE=ISBLANK(ChemData!S102),"",(ChemData!S102))</f>
        <v>1</v>
      </c>
      <c r="G102" s="865">
        <f>IF(OR(TRUE=ISBLANK(ChemData!AA102),ChemData!AA102="NA",ChemData!AA102=0),ChemData!Z102,(ChemData!AA102))</f>
        <v>19417.660117896929</v>
      </c>
      <c r="H102" s="685" t="str">
        <f>IF(Start!$C$17="x",(IF(OR(C102="NA",C102=""),"NA",IF(OR(F102="NA",F102="",F102=0),"NA",C102*F102))),"---")</f>
        <v>NA</v>
      </c>
      <c r="I102" s="376" t="str">
        <f>IF(Start!$C$17="x",(IF($E102 = "NA", "NA", (IF(H102 = "NA", "NA",(IF(OR(ChemData!U102="NA",ChemData!U102=""),H102/((Data!$D$18+$E102*(1-Data!$D$18)*Data!$D$14)/(1000*(1-Data!$D$18)*Data!$D$14)),(IF(H102/((Data!$D$18+$E102*(1-Data!$D$18)*Data!$D$14)/(1000*(1-Data!$D$18)*Data!$D$14))&gt;ChemData!U102, ChemData!U102,H102/((Data!$D$18+$E102*(1-Data!$D$18)*Data!$D$14)/(1000*(1-Data!$D$18)*Data!$D$14)))))))))),"---")</f>
        <v>NA</v>
      </c>
      <c r="J102" s="870" t="str">
        <f>IF(Start!$C$17="x",IF(OR(I102="NA",I102="",ChemData!W102="NA",ChemData!W102=""),"NA",I102/ChemData!W102),"---")</f>
        <v>NA</v>
      </c>
      <c r="K102" s="870" t="str">
        <f>IF(Start!$C$17="x",IF(J102="NA","NA",IF(Data!$D$68&lt;ChemData!X102,J102*(Data!$D$68/ChemData!X102),J102)),"---")</f>
        <v>NA</v>
      </c>
      <c r="L102" s="870" t="str">
        <f>IF(Start!$C$17="x",IF(OR(I102="NA",I102="",ChemData!Z102="NA",ChemData!Z102=""),"NA",I102/ChemData!Z102),"---")</f>
        <v>NA</v>
      </c>
      <c r="M102" s="870" t="str">
        <f>IF(Start!$C$17="x",IF(OR(I102="NA",I102="",ChemData!Y102="NA",ChemData!Y102=""),"NA",I102/ChemData!Y102),"---")</f>
        <v>NA</v>
      </c>
      <c r="N102" s="870" t="str">
        <f>IF(Start!$C$17="x",IF(OR(I102="NA",I102="",G102="NA",G102=""),"NA",I102/G102),"---")</f>
        <v>NA</v>
      </c>
      <c r="O102" s="794" t="str">
        <f>IF(Start!$C$17="x",(IF(C102="","",(IF(N102="NA","NA",IF(D102="NA","NA",IF(D102=0,"NA",(N102/D102))))))),"Not Req.")</f>
        <v/>
      </c>
    </row>
    <row r="103" spans="1:15" s="10" customFormat="1" x14ac:dyDescent="0.25">
      <c r="A103" s="405" t="s">
        <v>421</v>
      </c>
      <c r="B103" s="868" t="str">
        <f>IF(Start!$C$17="x",(IF($C103="NA","NA",(IF(C103="","",(IF(AND(N103="NA",C103&lt;&gt;"NA",D103&lt;&gt;"NA"),"Missing Data",(IF(OR(D103 = "NA",D103=""),"No Criteria",(IF(N103&lt;D103,IF(OR(I103&lt;D103,ChemData!AA103&lt;&gt;""),"No-1",IF(M103&lt;D103,"No-2","No-3")),"Needed")))))))))),"---")</f>
        <v/>
      </c>
      <c r="C103" s="426" t="str">
        <f>IF(TRUE=ISBLANK(ChemData!B103),"",(ChemData!B103))</f>
        <v/>
      </c>
      <c r="D103" s="289">
        <f>IF(TRUE=ISBLANK(ChemData!J103),"",(ChemData!J103))</f>
        <v>708</v>
      </c>
      <c r="E103" s="290">
        <f>IF(TRUE=ISBLANK(ChemData!Q103),"",(ChemData!Q103))</f>
        <v>2330270.9372310056</v>
      </c>
      <c r="F103" s="290">
        <f>IF(TRUE=ISBLANK(ChemData!S103),"",(ChemData!S103))</f>
        <v>1</v>
      </c>
      <c r="G103" s="865">
        <f>IF(OR(TRUE=ISBLANK(ChemData!AA103),ChemData!AA103="NA",ChemData!AA103=0),ChemData!Z103,(ChemData!AA103))</f>
        <v>1786205040.1708498</v>
      </c>
      <c r="H103" s="685" t="str">
        <f>IF(Start!$C$17="x",(IF(OR(C103="NA",C103=""),"NA",IF(OR(F103="NA",F103="",F103=0),"NA",C103*F103))),"---")</f>
        <v>NA</v>
      </c>
      <c r="I103" s="376" t="str">
        <f>IF(Start!$C$17="x",(IF($E103 = "NA", "NA", (IF(H103 = "NA", "NA",(IF(OR(ChemData!U103="NA",ChemData!U103=""),H103/((Data!$D$18+$E103*(1-Data!$D$18)*Data!$D$14)/(1000*(1-Data!$D$18)*Data!$D$14)),(IF(H103/((Data!$D$18+$E103*(1-Data!$D$18)*Data!$D$14)/(1000*(1-Data!$D$18)*Data!$D$14))&gt;ChemData!U103, ChemData!U103,H103/((Data!$D$18+$E103*(1-Data!$D$18)*Data!$D$14)/(1000*(1-Data!$D$18)*Data!$D$14)))))))))),"---")</f>
        <v>NA</v>
      </c>
      <c r="J103" s="870" t="str">
        <f>IF(Start!$C$17="x",IF(OR(I103="NA",I103="",ChemData!W103="NA",ChemData!W103=""),"NA",I103/ChemData!W103),"---")</f>
        <v>NA</v>
      </c>
      <c r="K103" s="870" t="str">
        <f>IF(Start!$C$17="x",IF(J103="NA","NA",IF(Data!$D$68&lt;ChemData!X103,J103*(Data!$D$68/ChemData!X103),J103)),"---")</f>
        <v>NA</v>
      </c>
      <c r="L103" s="870" t="str">
        <f>IF(Start!$C$17="x",IF(OR(I103="NA",I103="",ChemData!Z103="NA",ChemData!Z103=""),"NA",I103/ChemData!Z103),"---")</f>
        <v>NA</v>
      </c>
      <c r="M103" s="870" t="str">
        <f>IF(Start!$C$17="x",IF(OR(I103="NA",I103="",ChemData!Y103="NA",ChemData!Y103=""),"NA",I103/ChemData!Y103),"---")</f>
        <v>NA</v>
      </c>
      <c r="N103" s="870" t="str">
        <f>IF(Start!$C$17="x",IF(OR(I103="NA",I103="",G103="NA",G103=""),"NA",I103/G103),"---")</f>
        <v>NA</v>
      </c>
      <c r="O103" s="794" t="str">
        <f>IF(Start!$C$17="x",(IF(C103="","",(IF(N103="NA","NA",IF(D103="NA","NA",IF(D103=0,"NA",(N103/D103))))))),"Not Req.")</f>
        <v/>
      </c>
    </row>
    <row r="104" spans="1:15" s="10" customFormat="1" x14ac:dyDescent="0.25">
      <c r="A104" s="405" t="s">
        <v>422</v>
      </c>
      <c r="B104" s="868" t="str">
        <f>IF(Start!$C$17="x",(IF($C104="NA","NA",(IF(C104="","",(IF(AND(N104="NA",C104&lt;&gt;"NA",D104&lt;&gt;"NA"),"Missing Data",(IF(OR(D104 = "NA",D104=""),"No Criteria",(IF(N104&lt;D104,IF(OR(I104&lt;D104,ChemData!AA104&lt;&gt;""),"No-1",IF(M104&lt;D104,"No-2","No-3")),"Needed")))))))))),"---")</f>
        <v/>
      </c>
      <c r="C104" s="426" t="str">
        <f>IF(TRUE=ISBLANK(ChemData!B104),"",(ChemData!B104))</f>
        <v/>
      </c>
      <c r="D104" s="289">
        <f>IF(TRUE=ISBLANK(ChemData!J104),"",(ChemData!J104))</f>
        <v>14</v>
      </c>
      <c r="E104" s="290">
        <f>IF(TRUE=ISBLANK(ChemData!Q104),"",(ChemData!Q104))</f>
        <v>46.495017847242345</v>
      </c>
      <c r="F104" s="290">
        <f>IF(TRUE=ISBLANK(ChemData!S104),"",(ChemData!S104))</f>
        <v>1</v>
      </c>
      <c r="G104" s="865">
        <f>IF(OR(TRUE=ISBLANK(ChemData!AA104),ChemData!AA104="NA",ChemData!AA104=0),ChemData!Z104,(ChemData!AA104))</f>
        <v>223.71600953987382</v>
      </c>
      <c r="H104" s="685" t="str">
        <f>IF(Start!$C$17="x",(IF(OR(C104="NA",C104=""),"NA",IF(OR(F104="NA",F104="",F104=0),"NA",C104*F104))),"---")</f>
        <v>NA</v>
      </c>
      <c r="I104" s="376" t="str">
        <f>IF(Start!$C$17="x",(IF($E104 = "NA", "NA", (IF(H104 = "NA", "NA",(IF(OR(ChemData!U104="NA",ChemData!U104=""),H104/((Data!$D$18+$E104*(1-Data!$D$18)*Data!$D$14)/(1000*(1-Data!$D$18)*Data!$D$14)),(IF(H104/((Data!$D$18+$E104*(1-Data!$D$18)*Data!$D$14)/(1000*(1-Data!$D$18)*Data!$D$14))&gt;ChemData!U104, ChemData!U104,H104/((Data!$D$18+$E104*(1-Data!$D$18)*Data!$D$14)/(1000*(1-Data!$D$18)*Data!$D$14)))))))))),"---")</f>
        <v>NA</v>
      </c>
      <c r="J104" s="870" t="str">
        <f>IF(Start!$C$17="x",IF(OR(I104="NA",I104="",ChemData!W104="NA",ChemData!W104=""),"NA",I104/ChemData!W104),"---")</f>
        <v>NA</v>
      </c>
      <c r="K104" s="870" t="str">
        <f>IF(Start!$C$17="x",IF(J104="NA","NA",IF(Data!$D$68&lt;ChemData!X104,J104*(Data!$D$68/ChemData!X104),J104)),"---")</f>
        <v>NA</v>
      </c>
      <c r="L104" s="870" t="str">
        <f>IF(Start!$C$17="x",IF(OR(I104="NA",I104="",ChemData!Z104="NA",ChemData!Z104=""),"NA",I104/ChemData!Z104),"---")</f>
        <v>NA</v>
      </c>
      <c r="M104" s="870" t="str">
        <f>IF(Start!$C$17="x",IF(OR(I104="NA",I104="",ChemData!Y104="NA",ChemData!Y104=""),"NA",I104/ChemData!Y104),"---")</f>
        <v>NA</v>
      </c>
      <c r="N104" s="870" t="str">
        <f>IF(Start!$C$17="x",IF(OR(I104="NA",I104="",G104="NA",G104=""),"NA",I104/G104),"---")</f>
        <v>NA</v>
      </c>
      <c r="O104" s="794" t="str">
        <f>IF(Start!$C$17="x",(IF(C104="","",(IF(N104="NA","NA",IF(D104="NA","NA",IF(D104=0,"NA",(N104/D104))))))),"Not Req.")</f>
        <v/>
      </c>
    </row>
    <row r="105" spans="1:15" s="10" customFormat="1" x14ac:dyDescent="0.25">
      <c r="A105" s="405" t="s">
        <v>423</v>
      </c>
      <c r="B105" s="868" t="str">
        <f>IF(Start!$C$17="x",(IF($C105="NA","NA",(IF(C105="","",(IF(AND(N105="NA",C105&lt;&gt;"NA",D105&lt;&gt;"NA"),"Missing Data",(IF(OR(D105 = "NA",D105=""),"No Criteria",(IF(N105&lt;D105,IF(OR(I105&lt;D105,ChemData!AA105&lt;&gt;""),"No-1",IF(M105&lt;D105,"No-2","No-3")),"Needed")))))))))),"---")</f>
        <v/>
      </c>
      <c r="C105" s="426" t="str">
        <f>IF(TRUE=ISBLANK(ChemData!B105),"",(ChemData!B105))</f>
        <v/>
      </c>
      <c r="D105" s="289">
        <f>IF(TRUE=ISBLANK(ChemData!J105),"",(ChemData!J105))</f>
        <v>71</v>
      </c>
      <c r="E105" s="290">
        <f>IF(TRUE=ISBLANK(ChemData!Q105),"",(ChemData!Q105))</f>
        <v>46.495017847242345</v>
      </c>
      <c r="F105" s="290">
        <f>IF(TRUE=ISBLANK(ChemData!S105),"",(ChemData!S105))</f>
        <v>1</v>
      </c>
      <c r="G105" s="865">
        <f>IF(OR(TRUE=ISBLANK(ChemData!AA105),ChemData!AA105="NA",ChemData!AA105=0),ChemData!Z105,(ChemData!AA105))</f>
        <v>223.71600953987382</v>
      </c>
      <c r="H105" s="685" t="str">
        <f>IF(Start!$C$17="x",(IF(OR(C105="NA",C105=""),"NA",IF(OR(F105="NA",F105="",F105=0),"NA",C105*F105))),"---")</f>
        <v>NA</v>
      </c>
      <c r="I105" s="376" t="str">
        <f>IF(Start!$C$17="x",(IF($E105 = "NA", "NA", (IF(H105 = "NA", "NA",(IF(OR(ChemData!U105="NA",ChemData!U105=""),H105/((Data!$D$18+$E105*(1-Data!$D$18)*Data!$D$14)/(1000*(1-Data!$D$18)*Data!$D$14)),(IF(H105/((Data!$D$18+$E105*(1-Data!$D$18)*Data!$D$14)/(1000*(1-Data!$D$18)*Data!$D$14))&gt;ChemData!U105, ChemData!U105,H105/((Data!$D$18+$E105*(1-Data!$D$18)*Data!$D$14)/(1000*(1-Data!$D$18)*Data!$D$14)))))))))),"---")</f>
        <v>NA</v>
      </c>
      <c r="J105" s="870" t="str">
        <f>IF(Start!$C$17="x",IF(OR(I105="NA",I105="",ChemData!W105="NA",ChemData!W105=""),"NA",I105/ChemData!W105),"---")</f>
        <v>NA</v>
      </c>
      <c r="K105" s="870" t="str">
        <f>IF(Start!$C$17="x",IF(J105="NA","NA",IF(Data!$D$68&lt;ChemData!X105,J105*(Data!$D$68/ChemData!X105),J105)),"---")</f>
        <v>NA</v>
      </c>
      <c r="L105" s="870" t="str">
        <f>IF(Start!$C$17="x",IF(OR(I105="NA",I105="",ChemData!Z105="NA",ChemData!Z105=""),"NA",I105/ChemData!Z105),"---")</f>
        <v>NA</v>
      </c>
      <c r="M105" s="870" t="str">
        <f>IF(Start!$C$17="x",IF(OR(I105="NA",I105="",ChemData!Y105="NA",ChemData!Y105=""),"NA",I105/ChemData!Y105),"---")</f>
        <v>NA</v>
      </c>
      <c r="N105" s="870" t="str">
        <f>IF(Start!$C$17="x",IF(OR(I105="NA",I105="",G105="NA",G105=""),"NA",I105/G105),"---")</f>
        <v>NA</v>
      </c>
      <c r="O105" s="794" t="str">
        <f>IF(Start!$C$17="x",(IF(C105="","",(IF(N105="NA","NA",IF(D105="NA","NA",IF(D105=0,"NA",(N105/D105))))))),"Not Req.")</f>
        <v/>
      </c>
    </row>
    <row r="106" spans="1:15" s="10" customFormat="1" x14ac:dyDescent="0.25">
      <c r="A106" s="405" t="s">
        <v>424</v>
      </c>
      <c r="B106" s="868" t="str">
        <f>IF(Start!$C$17="x",(IF($C106="NA","NA",(IF(C106="","",(IF(AND(N106="NA",C106&lt;&gt;"NA",D106&lt;&gt;"NA"),"Missing Data",(IF(OR(D106 = "NA",D106=""),"No Criteria",(IF(N106&lt;D106,IF(OR(I106&lt;D106,ChemData!AA106&lt;&gt;""),"No-1",IF(M106&lt;D106,"No-2","No-3")),"Needed")))))))))),"---")</f>
        <v/>
      </c>
      <c r="C106" s="426" t="str">
        <f>IF(TRUE=ISBLANK(ChemData!B106),"",(ChemData!B106))</f>
        <v/>
      </c>
      <c r="D106" s="289">
        <f>IF(TRUE=ISBLANK(ChemData!J106),"",(ChemData!J106))</f>
        <v>15</v>
      </c>
      <c r="E106" s="290">
        <f>IF(TRUE=ISBLANK(ChemData!Q106),"",(ChemData!Q106))</f>
        <v>48.686260529983528</v>
      </c>
      <c r="F106" s="290">
        <f>IF(TRUE=ISBLANK(ChemData!S106),"",(ChemData!S106))</f>
        <v>1</v>
      </c>
      <c r="G106" s="865">
        <f>IF(OR(TRUE=ISBLANK(ChemData!AA106),ChemData!AA106="NA",ChemData!AA106=0),ChemData!Z106,(ChemData!AA106))</f>
        <v>239.36920295892659</v>
      </c>
      <c r="H106" s="685" t="str">
        <f>IF(Start!$C$17="x",(IF(OR(C106="NA",C106=""),"NA",IF(OR(F106="NA",F106="",F106=0),"NA",C106*F106))),"---")</f>
        <v>NA</v>
      </c>
      <c r="I106" s="376" t="str">
        <f>IF(Start!$C$17="x",(IF($E106 = "NA", "NA", (IF(H106 = "NA", "NA",(IF(OR(ChemData!U106="NA",ChemData!U106=""),H106/((Data!$D$18+$E106*(1-Data!$D$18)*Data!$D$14)/(1000*(1-Data!$D$18)*Data!$D$14)),(IF(H106/((Data!$D$18+$E106*(1-Data!$D$18)*Data!$D$14)/(1000*(1-Data!$D$18)*Data!$D$14))&gt;ChemData!U106, ChemData!U106,H106/((Data!$D$18+$E106*(1-Data!$D$18)*Data!$D$14)/(1000*(1-Data!$D$18)*Data!$D$14)))))))))),"---")</f>
        <v>NA</v>
      </c>
      <c r="J106" s="870" t="str">
        <f>IF(Start!$C$17="x",IF(OR(I106="NA",I106="",ChemData!W106="NA",ChemData!W106=""),"NA",I106/ChemData!W106),"---")</f>
        <v>NA</v>
      </c>
      <c r="K106" s="870" t="str">
        <f>IF(Start!$C$17="x",IF(J106="NA","NA",IF(Data!$D$68&lt;ChemData!X106,J106*(Data!$D$68/ChemData!X106),J106)),"---")</f>
        <v>NA</v>
      </c>
      <c r="L106" s="870" t="str">
        <f>IF(Start!$C$17="x",IF(OR(I106="NA",I106="",ChemData!Z106="NA",ChemData!Z106=""),"NA",I106/ChemData!Z106),"---")</f>
        <v>NA</v>
      </c>
      <c r="M106" s="870" t="str">
        <f>IF(Start!$C$17="x",IF(OR(I106="NA",I106="",ChemData!Y106="NA",ChemData!Y106=""),"NA",I106/ChemData!Y106),"---")</f>
        <v>NA</v>
      </c>
      <c r="N106" s="870" t="str">
        <f>IF(Start!$C$17="x",IF(OR(I106="NA",I106="",G106="NA",G106=""),"NA",I106/G106),"---")</f>
        <v>NA</v>
      </c>
      <c r="O106" s="794" t="str">
        <f>IF(Start!$C$17="x",(IF(C106="","",(IF(N106="NA","NA",IF(D106="NA","NA",IF(D106=0,"NA",(N106/D106))))))),"Not Req.")</f>
        <v/>
      </c>
    </row>
    <row r="107" spans="1:15" s="10" customFormat="1" x14ac:dyDescent="0.25">
      <c r="A107" s="405" t="s">
        <v>425</v>
      </c>
      <c r="B107" s="868" t="str">
        <f>IF(Start!$C$17="x",(IF($C107="NA","NA",(IF(C107="","",(IF(AND(N107="NA",C107&lt;&gt;"NA",D107&lt;&gt;"NA"),"Missing Data",(IF(OR(D107 = "NA",D107=""),"No Criteria",(IF(N107&lt;D107,IF(OR(I107&lt;D107,ChemData!AA107&lt;&gt;""),"No-1",IF(M107&lt;D107,"No-2","No-3")),"Needed")))))))))),"---")</f>
        <v/>
      </c>
      <c r="C107" s="426" t="str">
        <f>IF(TRUE=ISBLANK(ChemData!B107),"",(ChemData!B107))</f>
        <v/>
      </c>
      <c r="D107" s="289" t="str">
        <f>IF(TRUE=ISBLANK(ChemData!J107),"",(ChemData!J107))</f>
        <v>NA</v>
      </c>
      <c r="E107" s="290">
        <f>IF(TRUE=ISBLANK(ChemData!Q107),"",(ChemData!Q107))</f>
        <v>59.897185897674206</v>
      </c>
      <c r="F107" s="290">
        <f>IF(TRUE=ISBLANK(ChemData!S107),"",(ChemData!S107))</f>
        <v>1</v>
      </c>
      <c r="G107" s="865">
        <f>IF(OR(TRUE=ISBLANK(ChemData!AA107),ChemData!AA107="NA",ChemData!AA107=0),ChemData!Z107,(ChemData!AA107))</f>
        <v>324.51794466947422</v>
      </c>
      <c r="H107" s="685" t="str">
        <f>IF(Start!$C$17="x",(IF(OR(C107="NA",C107=""),"NA",IF(OR(F107="NA",F107="",F107=0),"NA",C107*F107))),"---")</f>
        <v>NA</v>
      </c>
      <c r="I107" s="376" t="str">
        <f>IF(Start!$C$17="x",(IF($E107 = "NA", "NA", (IF(H107 = "NA", "NA",(IF(OR(ChemData!U107="NA",ChemData!U107=""),H107/((Data!$D$18+$E107*(1-Data!$D$18)*Data!$D$14)/(1000*(1-Data!$D$18)*Data!$D$14)),(IF(H107/((Data!$D$18+$E107*(1-Data!$D$18)*Data!$D$14)/(1000*(1-Data!$D$18)*Data!$D$14))&gt;ChemData!U107, ChemData!U107,H107/((Data!$D$18+$E107*(1-Data!$D$18)*Data!$D$14)/(1000*(1-Data!$D$18)*Data!$D$14)))))))))),"---")</f>
        <v>NA</v>
      </c>
      <c r="J107" s="870" t="str">
        <f>IF(Start!$C$17="x",IF(OR(I107="NA",I107="",ChemData!W107="NA",ChemData!W107=""),"NA",I107/ChemData!W107),"---")</f>
        <v>NA</v>
      </c>
      <c r="K107" s="870" t="str">
        <f>IF(Start!$C$17="x",IF(J107="NA","NA",IF(Data!$D$68&lt;ChemData!X107,J107*(Data!$D$68/ChemData!X107),J107)),"---")</f>
        <v>NA</v>
      </c>
      <c r="L107" s="870" t="str">
        <f>IF(Start!$C$17="x",IF(OR(I107="NA",I107="",ChemData!Z107="NA",ChemData!Z107=""),"NA",I107/ChemData!Z107),"---")</f>
        <v>NA</v>
      </c>
      <c r="M107" s="870" t="str">
        <f>IF(Start!$C$17="x",IF(OR(I107="NA",I107="",ChemData!Y107="NA",ChemData!Y107=""),"NA",I107/ChemData!Y107),"---")</f>
        <v>NA</v>
      </c>
      <c r="N107" s="870" t="str">
        <f>IF(Start!$C$17="x",IF(OR(I107="NA",I107="",G107="NA",G107=""),"NA",I107/G107),"---")</f>
        <v>NA</v>
      </c>
      <c r="O107" s="794" t="str">
        <f>IF(Start!$C$17="x",(IF(C107="","",(IF(N107="NA","NA",IF(D107="NA","NA",IF(D107=0,"NA",(N107/D107))))))),"Not Req.")</f>
        <v/>
      </c>
    </row>
    <row r="108" spans="1:15" s="10" customFormat="1" x14ac:dyDescent="0.25">
      <c r="A108" s="405" t="s">
        <v>426</v>
      </c>
      <c r="B108" s="868" t="str">
        <f>IF(Start!$C$17="x",(IF($C108="NA","NA",(IF(C108="","",(IF(AND(N108="NA",C108&lt;&gt;"NA",D108&lt;&gt;"NA"),"Missing Data",(IF(OR(D108 = "NA",D108=""),"No Criteria",(IF(N108&lt;D108,IF(OR(I108&lt;D108,ChemData!AA108&lt;&gt;""),"No-1",IF(M108&lt;D108,"No-2","No-3")),"Needed")))))))))),"---")</f>
        <v/>
      </c>
      <c r="C108" s="426" t="str">
        <f>IF(TRUE=ISBLANK(ChemData!B108),"",(ChemData!B108))</f>
        <v/>
      </c>
      <c r="D108" s="289">
        <f>IF(TRUE=ISBLANK(ChemData!J108),"",(ChemData!J108))</f>
        <v>365</v>
      </c>
      <c r="E108" s="290">
        <f>IF(TRUE=ISBLANK(ChemData!Q108),"",(ChemData!Q108))</f>
        <v>22.253914684768329</v>
      </c>
      <c r="F108" s="290">
        <f>IF(TRUE=ISBLANK(ChemData!S108),"",(ChemData!S108))</f>
        <v>1</v>
      </c>
      <c r="G108" s="865">
        <f>IF(OR(TRUE=ISBLANK(ChemData!AA108),ChemData!AA108="NA",ChemData!AA108=0),ChemData!Z108,(ChemData!AA108))</f>
        <v>75.815448977284532</v>
      </c>
      <c r="H108" s="685" t="str">
        <f>IF(Start!$C$17="x",(IF(OR(C108="NA",C108=""),"NA",IF(OR(F108="NA",F108="",F108=0),"NA",C108*F108))),"---")</f>
        <v>NA</v>
      </c>
      <c r="I108" s="376" t="str">
        <f>IF(Start!$C$17="x",(IF($E108 = "NA", "NA", (IF(H108 = "NA", "NA",(IF(OR(ChemData!U108="NA",ChemData!U108=""),H108/((Data!$D$18+$E108*(1-Data!$D$18)*Data!$D$14)/(1000*(1-Data!$D$18)*Data!$D$14)),(IF(H108/((Data!$D$18+$E108*(1-Data!$D$18)*Data!$D$14)/(1000*(1-Data!$D$18)*Data!$D$14))&gt;ChemData!U108, ChemData!U108,H108/((Data!$D$18+$E108*(1-Data!$D$18)*Data!$D$14)/(1000*(1-Data!$D$18)*Data!$D$14)))))))))),"---")</f>
        <v>NA</v>
      </c>
      <c r="J108" s="870" t="str">
        <f>IF(Start!$C$17="x",IF(OR(I108="NA",I108="",ChemData!W108="NA",ChemData!W108=""),"NA",I108/ChemData!W108),"---")</f>
        <v>NA</v>
      </c>
      <c r="K108" s="870" t="str">
        <f>IF(Start!$C$17="x",IF(J108="NA","NA",IF(Data!$D$68&lt;ChemData!X108,J108*(Data!$D$68/ChemData!X108),J108)),"---")</f>
        <v>NA</v>
      </c>
      <c r="L108" s="870" t="str">
        <f>IF(Start!$C$17="x",IF(OR(I108="NA",I108="",ChemData!Z108="NA",ChemData!Z108=""),"NA",I108/ChemData!Z108),"---")</f>
        <v>NA</v>
      </c>
      <c r="M108" s="870" t="str">
        <f>IF(Start!$C$17="x",IF(OR(I108="NA",I108="",ChemData!Y108="NA",ChemData!Y108=""),"NA",I108/ChemData!Y108),"---")</f>
        <v>NA</v>
      </c>
      <c r="N108" s="870" t="str">
        <f>IF(Start!$C$17="x",IF(OR(I108="NA",I108="",G108="NA",G108=""),"NA",I108/G108),"---")</f>
        <v>NA</v>
      </c>
      <c r="O108" s="794" t="str">
        <f>IF(Start!$C$17="x",(IF(C108="","",(IF(N108="NA","NA",IF(D108="NA","NA",IF(D108=0,"NA",(N108/D108))))))),"Not Req.")</f>
        <v/>
      </c>
    </row>
    <row r="109" spans="1:15" s="10" customFormat="1" x14ac:dyDescent="0.25">
      <c r="A109" s="405" t="s">
        <v>427</v>
      </c>
      <c r="B109" s="868" t="str">
        <f>IF(Start!$C$17="x",(IF($C109="NA","NA",(IF(C109="","",(IF(AND(N109="NA",C109&lt;&gt;"NA",D109&lt;&gt;"NA"),"Missing Data",(IF(OR(D109 = "NA",D109=""),"No Criteria",(IF(N109&lt;D109,IF(OR(I109&lt;D109,ChemData!AA109&lt;&gt;""),"No-1",IF(M109&lt;D109,"No-2","No-3")),"Needed")))))))))),"---")</f>
        <v/>
      </c>
      <c r="C109" s="426" t="str">
        <f>IF(TRUE=ISBLANK(ChemData!B109),"",(ChemData!B109))</f>
        <v/>
      </c>
      <c r="D109" s="289">
        <f>IF(TRUE=ISBLANK(ChemData!J109),"",(ChemData!J109))</f>
        <v>210</v>
      </c>
      <c r="E109" s="290">
        <f>IF(TRUE=ISBLANK(ChemData!Q109),"",(ChemData!Q109))</f>
        <v>5.4626882785594866</v>
      </c>
      <c r="F109" s="290">
        <f>IF(TRUE=ISBLANK(ChemData!S109),"",(ChemData!S109))</f>
        <v>1</v>
      </c>
      <c r="G109" s="865">
        <f>IF(OR(TRUE=ISBLANK(ChemData!AA109),ChemData!AA109="NA",ChemData!AA109=0),ChemData!Z109,(ChemData!AA109))</f>
        <v>9.6368659880670808</v>
      </c>
      <c r="H109" s="685" t="str">
        <f>IF(Start!$C$17="x",(IF(OR(C109="NA",C109=""),"NA",IF(OR(F109="NA",F109="",F109=0),"NA",C109*F109))),"---")</f>
        <v>NA</v>
      </c>
      <c r="I109" s="376" t="str">
        <f>IF(Start!$C$17="x",(IF($E109 = "NA", "NA", (IF(H109 = "NA", "NA",(IF(OR(ChemData!U109="NA",ChemData!U109=""),H109/((Data!$D$18+$E109*(1-Data!$D$18)*Data!$D$14)/(1000*(1-Data!$D$18)*Data!$D$14)),(IF(H109/((Data!$D$18+$E109*(1-Data!$D$18)*Data!$D$14)/(1000*(1-Data!$D$18)*Data!$D$14))&gt;ChemData!U109, ChemData!U109,H109/((Data!$D$18+$E109*(1-Data!$D$18)*Data!$D$14)/(1000*(1-Data!$D$18)*Data!$D$14)))))))))),"---")</f>
        <v>NA</v>
      </c>
      <c r="J109" s="870" t="str">
        <f>IF(Start!$C$17="x",IF(OR(I109="NA",I109="",ChemData!W109="NA",ChemData!W109=""),"NA",I109/ChemData!W109),"---")</f>
        <v>NA</v>
      </c>
      <c r="K109" s="870" t="str">
        <f>IF(Start!$C$17="x",IF(J109="NA","NA",IF(Data!$D$68&lt;ChemData!X109,J109*(Data!$D$68/ChemData!X109),J109)),"---")</f>
        <v>NA</v>
      </c>
      <c r="L109" s="870" t="str">
        <f>IF(Start!$C$17="x",IF(OR(I109="NA",I109="",ChemData!Z109="NA",ChemData!Z109=""),"NA",I109/ChemData!Z109),"---")</f>
        <v>NA</v>
      </c>
      <c r="M109" s="870" t="str">
        <f>IF(Start!$C$17="x",IF(OR(I109="NA",I109="",ChemData!Y109="NA",ChemData!Y109=""),"NA",I109/ChemData!Y109),"---")</f>
        <v>NA</v>
      </c>
      <c r="N109" s="870" t="str">
        <f>IF(Start!$C$17="x",IF(OR(I109="NA",I109="",G109="NA",G109=""),"NA",I109/G109),"---")</f>
        <v>NA</v>
      </c>
      <c r="O109" s="794" t="str">
        <f>IF(Start!$C$17="x",(IF(C109="","",(IF(N109="NA","NA",IF(D109="NA","NA",IF(D109=0,"NA",(N109/D109))))))),"Not Req.")</f>
        <v/>
      </c>
    </row>
    <row r="110" spans="1:15" s="10" customFormat="1" x14ac:dyDescent="0.25">
      <c r="A110" s="405" t="s">
        <v>428</v>
      </c>
      <c r="B110" s="868" t="str">
        <f>IF(Start!$C$17="x",(IF($C110="NA","NA",(IF(C110="","",(IF(AND(N110="NA",C110&lt;&gt;"NA",D110&lt;&gt;"NA"),"Missing Data",(IF(OR(D110 = "NA",D110=""),"No Criteria",(IF(N110&lt;D110,IF(OR(I110&lt;D110,ChemData!AA110&lt;&gt;""),"No-1",IF(M110&lt;D110,"No-2","No-3")),"Needed")))))))))),"---")</f>
        <v/>
      </c>
      <c r="C110" s="426" t="str">
        <f>IF(TRUE=ISBLANK(ChemData!B110),"",(ChemData!B110))</f>
        <v/>
      </c>
      <c r="D110" s="289" t="str">
        <f>IF(TRUE=ISBLANK(ChemData!J110),"",(ChemData!J110))</f>
        <v>NA</v>
      </c>
      <c r="E110" s="290">
        <f>IF(TRUE=ISBLANK(ChemData!Q110),"",(ChemData!Q110))</f>
        <v>0.67205747937945803</v>
      </c>
      <c r="F110" s="290">
        <f>IF(TRUE=ISBLANK(ChemData!S110),"",(ChemData!S110))</f>
        <v>1</v>
      </c>
      <c r="G110" s="865">
        <f>IF(OR(TRUE=ISBLANK(ChemData!AA110),ChemData!AA110="NA",ChemData!AA110=0),ChemData!Z110,(ChemData!AA110))</f>
        <v>6.8495741227413927</v>
      </c>
      <c r="H110" s="685" t="str">
        <f>IF(Start!$C$17="x",(IF(OR(C110="NA",C110=""),"NA",IF(OR(F110="NA",F110="",F110=0),"NA",C110*F110))),"---")</f>
        <v>NA</v>
      </c>
      <c r="I110" s="376" t="str">
        <f>IF(Start!$C$17="x",(IF($E110 = "NA", "NA", (IF(H110 = "NA", "NA",(IF(OR(ChemData!U110="NA",ChemData!U110=""),H110/((Data!$D$18+$E110*(1-Data!$D$18)*Data!$D$14)/(1000*(1-Data!$D$18)*Data!$D$14)),(IF(H110/((Data!$D$18+$E110*(1-Data!$D$18)*Data!$D$14)/(1000*(1-Data!$D$18)*Data!$D$14))&gt;ChemData!U110, ChemData!U110,H110/((Data!$D$18+$E110*(1-Data!$D$18)*Data!$D$14)/(1000*(1-Data!$D$18)*Data!$D$14)))))))))),"---")</f>
        <v>NA</v>
      </c>
      <c r="J110" s="870" t="str">
        <f>IF(Start!$C$17="x",IF(OR(I110="NA",I110="",ChemData!W110="NA",ChemData!W110=""),"NA",I110/ChemData!W110),"---")</f>
        <v>NA</v>
      </c>
      <c r="K110" s="870" t="str">
        <f>IF(Start!$C$17="x",IF(J110="NA","NA",IF(Data!$D$68&lt;ChemData!X110,J110*(Data!$D$68/ChemData!X110),J110)),"---")</f>
        <v>NA</v>
      </c>
      <c r="L110" s="870" t="str">
        <f>IF(Start!$C$17="x",IF(OR(I110="NA",I110="",ChemData!Z110="NA",ChemData!Z110=""),"NA",I110/ChemData!Z110),"---")</f>
        <v>NA</v>
      </c>
      <c r="M110" s="870" t="str">
        <f>IF(Start!$C$17="x",IF(OR(I110="NA",I110="",ChemData!Y110="NA",ChemData!Y110=""),"NA",I110/ChemData!Y110),"---")</f>
        <v>NA</v>
      </c>
      <c r="N110" s="870" t="str">
        <f>IF(Start!$C$17="x",IF(OR(I110="NA",I110="",G110="NA",G110=""),"NA",I110/G110),"---")</f>
        <v>NA</v>
      </c>
      <c r="O110" s="794" t="str">
        <f>IF(Start!$C$17="x",(IF(C110="","",(IF(N110="NA","NA",IF(D110="NA","NA",IF(D110=0,"NA",(N110/D110))))))),"Not Req.")</f>
        <v/>
      </c>
    </row>
    <row r="111" spans="1:15" s="10" customFormat="1" x14ac:dyDescent="0.25">
      <c r="A111" s="405" t="s">
        <v>429</v>
      </c>
      <c r="B111" s="868" t="str">
        <f>IF(Start!$C$17="x",(IF($C111="NA","NA",(IF(C111="","",(IF(AND(N111="NA",C111&lt;&gt;"NA",D111&lt;&gt;"NA"),"Missing Data",(IF(OR(D111 = "NA",D111=""),"No Criteria",(IF(N111&lt;D111,IF(OR(I111&lt;D111,ChemData!AA111&lt;&gt;""),"No-1",IF(M111&lt;D111,"No-2","No-3")),"Needed")))))))))),"---")</f>
        <v/>
      </c>
      <c r="C111" s="426" t="str">
        <f>IF(TRUE=ISBLANK(ChemData!B111),"",(ChemData!B111))</f>
        <v/>
      </c>
      <c r="D111" s="289" t="str">
        <f>IF(TRUE=ISBLANK(ChemData!J111),"",(ChemData!J111))</f>
        <v>NA</v>
      </c>
      <c r="E111" s="290">
        <f>IF(TRUE=ISBLANK(ChemData!Q111),"",(ChemData!Q111))</f>
        <v>4.1438728274899992</v>
      </c>
      <c r="F111" s="290">
        <f>IF(TRUE=ISBLANK(ChemData!S111),"",(ChemData!S111))</f>
        <v>1</v>
      </c>
      <c r="G111" s="865">
        <f>IF(OR(TRUE=ISBLANK(ChemData!AA111),ChemData!AA111="NA",ChemData!AA111=0),ChemData!Z111,(ChemData!AA111))</f>
        <v>6.8495741227413927</v>
      </c>
      <c r="H111" s="685" t="str">
        <f>IF(Start!$C$17="x",(IF(OR(C111="NA",C111=""),"NA",IF(OR(F111="NA",F111="",F111=0),"NA",C111*F111))),"---")</f>
        <v>NA</v>
      </c>
      <c r="I111" s="376" t="str">
        <f>IF(Start!$C$17="x",(IF($E111 = "NA", "NA", (IF(H111 = "NA", "NA",(IF(OR(ChemData!U111="NA",ChemData!U111=""),H111/((Data!$D$18+$E111*(1-Data!$D$18)*Data!$D$14)/(1000*(1-Data!$D$18)*Data!$D$14)),(IF(H111/((Data!$D$18+$E111*(1-Data!$D$18)*Data!$D$14)/(1000*(1-Data!$D$18)*Data!$D$14))&gt;ChemData!U111, ChemData!U111,H111/((Data!$D$18+$E111*(1-Data!$D$18)*Data!$D$14)/(1000*(1-Data!$D$18)*Data!$D$14)))))))))),"---")</f>
        <v>NA</v>
      </c>
      <c r="J111" s="870" t="str">
        <f>IF(Start!$C$17="x",IF(OR(I111="NA",I111="",ChemData!W111="NA",ChemData!W111=""),"NA",I111/ChemData!W111),"---")</f>
        <v>NA</v>
      </c>
      <c r="K111" s="870" t="str">
        <f>IF(Start!$C$17="x",IF(J111="NA","NA",IF(Data!$D$68&lt;ChemData!X111,J111*(Data!$D$68/ChemData!X111),J111)),"---")</f>
        <v>NA</v>
      </c>
      <c r="L111" s="870" t="str">
        <f>IF(Start!$C$17="x",IF(OR(I111="NA",I111="",ChemData!Z111="NA",ChemData!Z111=""),"NA",I111/ChemData!Z111),"---")</f>
        <v>NA</v>
      </c>
      <c r="M111" s="870" t="str">
        <f>IF(Start!$C$17="x",IF(OR(I111="NA",I111="",ChemData!Y111="NA",ChemData!Y111=""),"NA",I111/ChemData!Y111),"---")</f>
        <v>NA</v>
      </c>
      <c r="N111" s="870" t="str">
        <f>IF(Start!$C$17="x",IF(OR(I111="NA",I111="",G111="NA",G111=""),"NA",I111/G111),"---")</f>
        <v>NA</v>
      </c>
      <c r="O111" s="794" t="str">
        <f>IF(Start!$C$17="x",(IF(C111="","",(IF(N111="NA","NA",IF(D111="NA","NA",IF(D111=0,"NA",(N111/D111))))))),"Not Req.")</f>
        <v/>
      </c>
    </row>
    <row r="112" spans="1:15" s="10" customFormat="1" x14ac:dyDescent="0.25">
      <c r="A112" s="405" t="s">
        <v>430</v>
      </c>
      <c r="B112" s="868" t="str">
        <f>IF(Start!$C$17="x",(IF($C112="NA","NA",(IF(C112="","",(IF(AND(N112="NA",C112&lt;&gt;"NA",D112&lt;&gt;"NA"),"Missing Data",(IF(OR(D112 = "NA",D112=""),"No Criteria",(IF(N112&lt;D112,IF(OR(I112&lt;D112,ChemData!AA112&lt;&gt;""),"No-1",IF(M112&lt;D112,"No-2","No-3")),"Needed")))))))))),"---")</f>
        <v/>
      </c>
      <c r="C112" s="426" t="str">
        <f>IF(TRUE=ISBLANK(ChemData!B112),"",(ChemData!B112))</f>
        <v/>
      </c>
      <c r="D112" s="289" t="str">
        <f>IF(TRUE=ISBLANK(ChemData!J112),"",(ChemData!J112))</f>
        <v>NA</v>
      </c>
      <c r="E112" s="290">
        <f>IF(TRUE=ISBLANK(ChemData!Q112),"",(ChemData!Q112))</f>
        <v>9.2769756944408179</v>
      </c>
      <c r="F112" s="290">
        <f>IF(TRUE=ISBLANK(ChemData!S112),"",(ChemData!S112))</f>
        <v>1</v>
      </c>
      <c r="G112" s="865">
        <f>IF(OR(TRUE=ISBLANK(ChemData!AA112),ChemData!AA112="NA",ChemData!AA112=0),ChemData!Z112,(ChemData!AA112))</f>
        <v>20.975133303158206</v>
      </c>
      <c r="H112" s="685" t="str">
        <f>IF(Start!$C$17="x",(IF(OR(C112="NA",C112=""),"NA",IF(OR(F112="NA",F112="",F112=0),"NA",C112*F112))),"---")</f>
        <v>NA</v>
      </c>
      <c r="I112" s="376" t="str">
        <f>IF(Start!$C$17="x",(IF($E112 = "NA", "NA", (IF(H112 = "NA", "NA",(IF(OR(ChemData!U112="NA",ChemData!U112=""),H112/((Data!$D$18+$E112*(1-Data!$D$18)*Data!$D$14)/(1000*(1-Data!$D$18)*Data!$D$14)),(IF(H112/((Data!$D$18+$E112*(1-Data!$D$18)*Data!$D$14)/(1000*(1-Data!$D$18)*Data!$D$14))&gt;ChemData!U112, ChemData!U112,H112/((Data!$D$18+$E112*(1-Data!$D$18)*Data!$D$14)/(1000*(1-Data!$D$18)*Data!$D$14)))))))))),"---")</f>
        <v>NA</v>
      </c>
      <c r="J112" s="870" t="str">
        <f>IF(Start!$C$17="x",IF(OR(I112="NA",I112="",ChemData!W112="NA",ChemData!W112=""),"NA",I112/ChemData!W112),"---")</f>
        <v>NA</v>
      </c>
      <c r="K112" s="870" t="str">
        <f>IF(Start!$C$17="x",IF(J112="NA","NA",IF(Data!$D$68&lt;ChemData!X112,J112*(Data!$D$68/ChemData!X112),J112)),"---")</f>
        <v>NA</v>
      </c>
      <c r="L112" s="870" t="str">
        <f>IF(Start!$C$17="x",IF(OR(I112="NA",I112="",ChemData!Z112="NA",ChemData!Z112=""),"NA",I112/ChemData!Z112),"---")</f>
        <v>NA</v>
      </c>
      <c r="M112" s="870" t="str">
        <f>IF(Start!$C$17="x",IF(OR(I112="NA",I112="",ChemData!Y112="NA",ChemData!Y112=""),"NA",I112/ChemData!Y112),"---")</f>
        <v>NA</v>
      </c>
      <c r="N112" s="870" t="str">
        <f>IF(Start!$C$17="x",IF(OR(I112="NA",I112="",G112="NA",G112=""),"NA",I112/G112),"---")</f>
        <v>NA</v>
      </c>
      <c r="O112" s="794" t="str">
        <f>IF(Start!$C$17="x",(IF(C112="","",(IF(N112="NA","NA",IF(D112="NA","NA",IF(D112=0,"NA",(N112/D112))))))),"Not Req.")</f>
        <v/>
      </c>
    </row>
    <row r="113" spans="1:15" s="10" customFormat="1" x14ac:dyDescent="0.25">
      <c r="A113" s="405" t="s">
        <v>431</v>
      </c>
      <c r="B113" s="868" t="str">
        <f>IF(Start!$C$17="x",(IF($C113="NA","NA",(IF(C113="","",(IF(AND(N113="NA",C113&lt;&gt;"NA",D113&lt;&gt;"NA"),"Missing Data",(IF(OR(D113 = "NA",D113=""),"No Criteria",(IF(N113&lt;D113,IF(OR(I113&lt;D113,ChemData!AA113&lt;&gt;""),"No-1",IF(M113&lt;D113,"No-2","No-3")),"Needed")))))))))),"---")</f>
        <v/>
      </c>
      <c r="C113" s="426" t="str">
        <f>IF(TRUE=ISBLANK(ChemData!B113),"",(ChemData!B113))</f>
        <v/>
      </c>
      <c r="D113" s="289" t="str">
        <f>IF(TRUE=ISBLANK(ChemData!J113),"",(ChemData!J113))</f>
        <v>NA</v>
      </c>
      <c r="E113" s="290">
        <f>IF(TRUE=ISBLANK(ChemData!Q113),"",(ChemData!Q113))</f>
        <v>0.65675958347134833</v>
      </c>
      <c r="F113" s="290">
        <f>IF(TRUE=ISBLANK(ChemData!S113),"",(ChemData!S113))</f>
        <v>1</v>
      </c>
      <c r="G113" s="865">
        <f>IF(OR(TRUE=ISBLANK(ChemData!AA113),ChemData!AA113="NA",ChemData!AA113=0),ChemData!Z113,(ChemData!AA113))</f>
        <v>6.8495741227413927</v>
      </c>
      <c r="H113" s="685" t="str">
        <f>IF(Start!$C$17="x",(IF(OR(C113="NA",C113=""),"NA",IF(OR(F113="NA",F113="",F113=0),"NA",C113*F113))),"---")</f>
        <v>NA</v>
      </c>
      <c r="I113" s="376" t="str">
        <f>IF(Start!$C$17="x",(IF($E113 = "NA", "NA", (IF(H113 = "NA", "NA",(IF(OR(ChemData!U113="NA",ChemData!U113=""),H113/((Data!$D$18+$E113*(1-Data!$D$18)*Data!$D$14)/(1000*(1-Data!$D$18)*Data!$D$14)),(IF(H113/((Data!$D$18+$E113*(1-Data!$D$18)*Data!$D$14)/(1000*(1-Data!$D$18)*Data!$D$14))&gt;ChemData!U113, ChemData!U113,H113/((Data!$D$18+$E113*(1-Data!$D$18)*Data!$D$14)/(1000*(1-Data!$D$18)*Data!$D$14)))))))))),"---")</f>
        <v>NA</v>
      </c>
      <c r="J113" s="870" t="str">
        <f>IF(Start!$C$17="x",IF(OR(I113="NA",I113="",ChemData!W113="NA",ChemData!W113=""),"NA",I113/ChemData!W113),"---")</f>
        <v>NA</v>
      </c>
      <c r="K113" s="870" t="str">
        <f>IF(Start!$C$17="x",IF(J113="NA","NA",IF(Data!$D$68&lt;ChemData!X113,J113*(Data!$D$68/ChemData!X113),J113)),"---")</f>
        <v>NA</v>
      </c>
      <c r="L113" s="870" t="str">
        <f>IF(Start!$C$17="x",IF(OR(I113="NA",I113="",ChemData!Z113="NA",ChemData!Z113=""),"NA",I113/ChemData!Z113),"---")</f>
        <v>NA</v>
      </c>
      <c r="M113" s="870" t="str">
        <f>IF(Start!$C$17="x",IF(OR(I113="NA",I113="",ChemData!Y113="NA",ChemData!Y113=""),"NA",I113/ChemData!Y113),"---")</f>
        <v>NA</v>
      </c>
      <c r="N113" s="870" t="str">
        <f>IF(Start!$C$17="x",IF(OR(I113="NA",I113="",G113="NA",G113=""),"NA",I113/G113),"---")</f>
        <v>NA</v>
      </c>
      <c r="O113" s="794" t="str">
        <f>IF(Start!$C$17="x",(IF(C113="","",(IF(N113="NA","NA",IF(D113="NA","NA",IF(D113=0,"NA",(N113/D113))))))),"Not Req.")</f>
        <v/>
      </c>
    </row>
    <row r="114" spans="1:15" s="10" customFormat="1" x14ac:dyDescent="0.25">
      <c r="A114" s="405" t="s">
        <v>432</v>
      </c>
      <c r="B114" s="868" t="str">
        <f>IF(Start!$C$17="x",(IF($C114="NA","NA",(IF(C114="","",(IF(AND(N114="NA",C114&lt;&gt;"NA",D114&lt;&gt;"NA"),"Missing Data",(IF(OR(D114 = "NA",D114=""),"No Criteria",(IF(N114&lt;D114,IF(OR(I114&lt;D114,ChemData!AA114&lt;&gt;""),"No-1",IF(M114&lt;D114,"No-2","No-3")),"Needed")))))))))),"---")</f>
        <v/>
      </c>
      <c r="C114" s="426" t="str">
        <f>IF(TRUE=ISBLANK(ChemData!B114),"",(ChemData!B114))</f>
        <v/>
      </c>
      <c r="D114" s="289" t="str">
        <f>IF(TRUE=ISBLANK(ChemData!J114),"",(ChemData!J114))</f>
        <v>NA</v>
      </c>
      <c r="E114" s="290">
        <f>IF(TRUE=ISBLANK(ChemData!Q114),"",(ChemData!Q114))</f>
        <v>1.8941153287116765</v>
      </c>
      <c r="F114" s="290">
        <f>IF(TRUE=ISBLANK(ChemData!S114),"",(ChemData!S114))</f>
        <v>1</v>
      </c>
      <c r="G114" s="865">
        <f>IF(OR(TRUE=ISBLANK(ChemData!AA114),ChemData!AA114="NA",ChemData!AA114=0),ChemData!Z114,(ChemData!AA114))</f>
        <v>6.8495741227413927</v>
      </c>
      <c r="H114" s="685" t="str">
        <f>IF(Start!$C$17="x",(IF(OR(C114="NA",C114=""),"NA",IF(OR(F114="NA",F114="",F114=0),"NA",C114*F114))),"---")</f>
        <v>NA</v>
      </c>
      <c r="I114" s="376" t="str">
        <f>IF(Start!$C$17="x",(IF($E114 = "NA", "NA", (IF(H114 = "NA", "NA",(IF(OR(ChemData!U114="NA",ChemData!U114=""),H114/((Data!$D$18+$E114*(1-Data!$D$18)*Data!$D$14)/(1000*(1-Data!$D$18)*Data!$D$14)),(IF(H114/((Data!$D$18+$E114*(1-Data!$D$18)*Data!$D$14)/(1000*(1-Data!$D$18)*Data!$D$14))&gt;ChemData!U114, ChemData!U114,H114/((Data!$D$18+$E114*(1-Data!$D$18)*Data!$D$14)/(1000*(1-Data!$D$18)*Data!$D$14)))))))))),"---")</f>
        <v>NA</v>
      </c>
      <c r="J114" s="870" t="str">
        <f>IF(Start!$C$17="x",IF(OR(I114="NA",I114="",ChemData!W114="NA",ChemData!W114=""),"NA",I114/ChemData!W114),"---")</f>
        <v>NA</v>
      </c>
      <c r="K114" s="870" t="str">
        <f>IF(Start!$C$17="x",IF(J114="NA","NA",IF(Data!$D$68&lt;ChemData!X114,J114*(Data!$D$68/ChemData!X114),J114)),"---")</f>
        <v>NA</v>
      </c>
      <c r="L114" s="870" t="str">
        <f>IF(Start!$C$17="x",IF(OR(I114="NA",I114="",ChemData!Z114="NA",ChemData!Z114=""),"NA",I114/ChemData!Z114),"---")</f>
        <v>NA</v>
      </c>
      <c r="M114" s="870" t="str">
        <f>IF(Start!$C$17="x",IF(OR(I114="NA",I114="",ChemData!Y114="NA",ChemData!Y114=""),"NA",I114/ChemData!Y114),"---")</f>
        <v>NA</v>
      </c>
      <c r="N114" s="870" t="str">
        <f>IF(Start!$C$17="x",IF(OR(I114="NA",I114="",G114="NA",G114=""),"NA",I114/G114),"---")</f>
        <v>NA</v>
      </c>
      <c r="O114" s="794" t="str">
        <f>IF(Start!$C$17="x",(IF(C114="","",(IF(N114="NA","NA",IF(D114="NA","NA",IF(D114=0,"NA",(N114/D114))))))),"Not Req.")</f>
        <v/>
      </c>
    </row>
    <row r="115" spans="1:15" s="10" customFormat="1" x14ac:dyDescent="0.25">
      <c r="A115" s="405" t="s">
        <v>433</v>
      </c>
      <c r="B115" s="868" t="str">
        <f>IF(Start!$C$17="x",(IF($C115="NA","NA",(IF(C115="","",(IF(AND(N115="NA",C115&lt;&gt;"NA",D115&lt;&gt;"NA"),"Missing Data",(IF(OR(D115 = "NA",D115=""),"No Criteria",(IF(N115&lt;D115,IF(OR(I115&lt;D115,ChemData!AA115&lt;&gt;""),"No-1",IF(M115&lt;D115,"No-2","No-3")),"Needed")))))))))),"---")</f>
        <v/>
      </c>
      <c r="C115" s="426" t="str">
        <f>IF(TRUE=ISBLANK(ChemData!B115),"",(ChemData!B115))</f>
        <v/>
      </c>
      <c r="D115" s="289" t="str">
        <f>IF(TRUE=ISBLANK(ChemData!J115),"",(ChemData!J115))</f>
        <v>NA</v>
      </c>
      <c r="E115" s="290">
        <f>IF(TRUE=ISBLANK(ChemData!Q115),"",(ChemData!Q115))</f>
        <v>3.5270077889499718</v>
      </c>
      <c r="F115" s="290">
        <f>IF(TRUE=ISBLANK(ChemData!S115),"",(ChemData!S115))</f>
        <v>1</v>
      </c>
      <c r="G115" s="865">
        <f>IF(OR(TRUE=ISBLANK(ChemData!AA115),ChemData!AA115="NA",ChemData!AA115=0),ChemData!Z115,(ChemData!AA115))</f>
        <v>6.8495741227413944</v>
      </c>
      <c r="H115" s="685" t="str">
        <f>IF(Start!$C$17="x",(IF(OR(C115="NA",C115=""),"NA",IF(OR(F115="NA",F115="",F115=0),"NA",C115*F115))),"---")</f>
        <v>NA</v>
      </c>
      <c r="I115" s="376" t="str">
        <f>IF(Start!$C$17="x",(IF($E115 = "NA", "NA", (IF(H115 = "NA", "NA",(IF(OR(ChemData!U115="NA",ChemData!U115=""),H115/((Data!$D$18+$E115*(1-Data!$D$18)*Data!$D$14)/(1000*(1-Data!$D$18)*Data!$D$14)),(IF(H115/((Data!$D$18+$E115*(1-Data!$D$18)*Data!$D$14)/(1000*(1-Data!$D$18)*Data!$D$14))&gt;ChemData!U115, ChemData!U115,H115/((Data!$D$18+$E115*(1-Data!$D$18)*Data!$D$14)/(1000*(1-Data!$D$18)*Data!$D$14)))))))))),"---")</f>
        <v>NA</v>
      </c>
      <c r="J115" s="870" t="str">
        <f>IF(Start!$C$17="x",IF(OR(I115="NA",I115="",ChemData!W115="NA",ChemData!W115=""),"NA",I115/ChemData!W115),"---")</f>
        <v>NA</v>
      </c>
      <c r="K115" s="870" t="str">
        <f>IF(Start!$C$17="x",IF(J115="NA","NA",IF(Data!$D$68&lt;ChemData!X115,J115*(Data!$D$68/ChemData!X115),J115)),"---")</f>
        <v>NA</v>
      </c>
      <c r="L115" s="870" t="str">
        <f>IF(Start!$C$17="x",IF(OR(I115="NA",I115="",ChemData!Z115="NA",ChemData!Z115=""),"NA",I115/ChemData!Z115),"---")</f>
        <v>NA</v>
      </c>
      <c r="M115" s="870" t="str">
        <f>IF(Start!$C$17="x",IF(OR(I115="NA",I115="",ChemData!Y115="NA",ChemData!Y115=""),"NA",I115/ChemData!Y115),"---")</f>
        <v>NA</v>
      </c>
      <c r="N115" s="870" t="str">
        <f>IF(Start!$C$17="x",IF(OR(I115="NA",I115="",G115="NA",G115=""),"NA",I115/G115),"---")</f>
        <v>NA</v>
      </c>
      <c r="O115" s="794" t="str">
        <f>IF(Start!$C$17="x",(IF(C115="","",(IF(N115="NA","NA",IF(D115="NA","NA",IF(D115=0,"NA",(N115/D115))))))),"Not Req.")</f>
        <v/>
      </c>
    </row>
    <row r="116" spans="1:15" s="10" customFormat="1" x14ac:dyDescent="0.25">
      <c r="A116" s="405" t="s">
        <v>434</v>
      </c>
      <c r="B116" s="868" t="str">
        <f>IF(Start!$C$17="x",(IF($C116="NA","NA",(IF(C116="","",(IF(AND(N116="NA",C116&lt;&gt;"NA",D116&lt;&gt;"NA"),"Missing Data",(IF(OR(D116 = "NA",D116=""),"No Criteria",(IF(N116&lt;D116,IF(OR(I116&lt;D116,ChemData!AA116&lt;&gt;""),"No-1",IF(M116&lt;D116,"No-2","No-3")),"Needed")))))))))),"---")</f>
        <v/>
      </c>
      <c r="C116" s="426" t="str">
        <f>IF(TRUE=ISBLANK(ChemData!B116),"",(ChemData!B116))</f>
        <v/>
      </c>
      <c r="D116" s="289" t="str">
        <f>IF(TRUE=ISBLANK(ChemData!J116),"",(ChemData!J116))</f>
        <v>NA</v>
      </c>
      <c r="E116" s="290">
        <f>IF(TRUE=ISBLANK(ChemData!Q116),"",(ChemData!Q116))</f>
        <v>16.121536050087055</v>
      </c>
      <c r="F116" s="290">
        <f>IF(TRUE=ISBLANK(ChemData!S116),"",(ChemData!S116))</f>
        <v>1</v>
      </c>
      <c r="G116" s="865">
        <f>IF(OR(TRUE=ISBLANK(ChemData!AA116),ChemData!AA116="NA",ChemData!AA116=0),ChemData!Z116,(ChemData!AA116))</f>
        <v>47.223616601852967</v>
      </c>
      <c r="H116" s="685" t="str">
        <f>IF(Start!$C$17="x",(IF(OR(C116="NA",C116=""),"NA",IF(OR(F116="NA",F116="",F116=0),"NA",C116*F116))),"---")</f>
        <v>NA</v>
      </c>
      <c r="I116" s="376" t="str">
        <f>IF(Start!$C$17="x",(IF($E116 = "NA", "NA", (IF(H116 = "NA", "NA",(IF(OR(ChemData!U116="NA",ChemData!U116=""),H116/((Data!$D$18+$E116*(1-Data!$D$18)*Data!$D$14)/(1000*(1-Data!$D$18)*Data!$D$14)),(IF(H116/((Data!$D$18+$E116*(1-Data!$D$18)*Data!$D$14)/(1000*(1-Data!$D$18)*Data!$D$14))&gt;ChemData!U116, ChemData!U116,H116/((Data!$D$18+$E116*(1-Data!$D$18)*Data!$D$14)/(1000*(1-Data!$D$18)*Data!$D$14)))))))))),"---")</f>
        <v>NA</v>
      </c>
      <c r="J116" s="870" t="str">
        <f>IF(Start!$C$17="x",IF(OR(I116="NA",I116="",ChemData!W116="NA",ChemData!W116=""),"NA",I116/ChemData!W116),"---")</f>
        <v>NA</v>
      </c>
      <c r="K116" s="870" t="str">
        <f>IF(Start!$C$17="x",IF(J116="NA","NA",IF(Data!$D$68&lt;ChemData!X116,J116*(Data!$D$68/ChemData!X116),J116)),"---")</f>
        <v>NA</v>
      </c>
      <c r="L116" s="870" t="str">
        <f>IF(Start!$C$17="x",IF(OR(I116="NA",I116="",ChemData!Z116="NA",ChemData!Z116=""),"NA",I116/ChemData!Z116),"---")</f>
        <v>NA</v>
      </c>
      <c r="M116" s="870" t="str">
        <f>IF(Start!$C$17="x",IF(OR(I116="NA",I116="",ChemData!Y116="NA",ChemData!Y116=""),"NA",I116/ChemData!Y116),"---")</f>
        <v>NA</v>
      </c>
      <c r="N116" s="870" t="str">
        <f>IF(Start!$C$17="x",IF(OR(I116="NA",I116="",G116="NA",G116=""),"NA",I116/G116),"---")</f>
        <v>NA</v>
      </c>
      <c r="O116" s="794" t="str">
        <f>IF(Start!$C$17="x",(IF(C116="","",(IF(N116="NA","NA",IF(D116="NA","NA",IF(D116=0,"NA",(N116/D116))))))),"Not Req.")</f>
        <v/>
      </c>
    </row>
    <row r="117" spans="1:15" s="10" customFormat="1" x14ac:dyDescent="0.25">
      <c r="A117" s="405" t="s">
        <v>435</v>
      </c>
      <c r="B117" s="868" t="str">
        <f>IF(Start!$C$17="x",(IF($C117="NA","NA",(IF(C117="","",(IF(AND(N117="NA",C117&lt;&gt;"NA",D117&lt;&gt;"NA"),"Missing Data",(IF(OR(D117 = "NA",D117=""),"No Criteria",(IF(N117&lt;D117,IF(OR(I117&lt;D117,ChemData!AA117&lt;&gt;""),"No-1",IF(M117&lt;D117,"No-2","No-3")),"Needed")))))))))),"---")</f>
        <v/>
      </c>
      <c r="C117" s="426" t="str">
        <f>IF(TRUE=ISBLANK(ChemData!B117),"",(ChemData!B117))</f>
        <v/>
      </c>
      <c r="D117" s="289" t="str">
        <f>IF(TRUE=ISBLANK(ChemData!J117),"",(ChemData!J117))</f>
        <v>NA</v>
      </c>
      <c r="E117" s="290">
        <f>IF(TRUE=ISBLANK(ChemData!Q117),"",(ChemData!Q117))</f>
        <v>14368.334128797091</v>
      </c>
      <c r="F117" s="290">
        <f>IF(TRUE=ISBLANK(ChemData!S117),"",(ChemData!S117))</f>
        <v>1</v>
      </c>
      <c r="G117" s="865">
        <f>IF(OR(TRUE=ISBLANK(ChemData!AA117),ChemData!AA117="NA",ChemData!AA117=0),ChemData!Z117,(ChemData!AA117))</f>
        <v>1014875.233250345</v>
      </c>
      <c r="H117" s="685" t="str">
        <f>IF(Start!$C$17="x",(IF(OR(C117="NA",C117=""),"NA",IF(OR(F117="NA",F117="",F117=0),"NA",C117*F117))),"---")</f>
        <v>NA</v>
      </c>
      <c r="I117" s="376" t="str">
        <f>IF(Start!$C$17="x",(IF($E117 = "NA", "NA", (IF(H117 = "NA", "NA",(IF(OR(ChemData!U117="NA",ChemData!U117=""),H117/((Data!$D$18+$E117*(1-Data!$D$18)*Data!$D$14)/(1000*(1-Data!$D$18)*Data!$D$14)),(IF(H117/((Data!$D$18+$E117*(1-Data!$D$18)*Data!$D$14)/(1000*(1-Data!$D$18)*Data!$D$14))&gt;ChemData!U117, ChemData!U117,H117/((Data!$D$18+$E117*(1-Data!$D$18)*Data!$D$14)/(1000*(1-Data!$D$18)*Data!$D$14)))))))))),"---")</f>
        <v>NA</v>
      </c>
      <c r="J117" s="870" t="str">
        <f>IF(Start!$C$17="x",IF(OR(I117="NA",I117="",ChemData!W117="NA",ChemData!W117=""),"NA",I117/ChemData!W117),"---")</f>
        <v>NA</v>
      </c>
      <c r="K117" s="870" t="str">
        <f>IF(Start!$C$17="x",IF(J117="NA","NA",IF(Data!$D$68&lt;ChemData!X117,J117*(Data!$D$68/ChemData!X117),J117)),"---")</f>
        <v>NA</v>
      </c>
      <c r="L117" s="870" t="str">
        <f>IF(Start!$C$17="x",IF(OR(I117="NA",I117="",ChemData!Z117="NA",ChemData!Z117=""),"NA",I117/ChemData!Z117),"---")</f>
        <v>NA</v>
      </c>
      <c r="M117" s="870" t="str">
        <f>IF(Start!$C$17="x",IF(OR(I117="NA",I117="",ChemData!Y117="NA",ChemData!Y117=""),"NA",I117/ChemData!Y117),"---")</f>
        <v>NA</v>
      </c>
      <c r="N117" s="870" t="str">
        <f>IF(Start!$C$17="x",IF(OR(I117="NA",I117="",G117="NA",G117=""),"NA",I117/G117),"---")</f>
        <v>NA</v>
      </c>
      <c r="O117" s="794" t="str">
        <f>IF(Start!$C$17="x",(IF(C117="","",(IF(N117="NA","NA",IF(D117="NA","NA",IF(D117=0,"NA",(N117/D117))))))),"Not Req.")</f>
        <v/>
      </c>
    </row>
    <row r="118" spans="1:15" s="10" customFormat="1" x14ac:dyDescent="0.25">
      <c r="A118" s="405" t="s">
        <v>436</v>
      </c>
      <c r="B118" s="868" t="str">
        <f>IF(Start!$C$17="x",(IF($C118="NA","NA",(IF(C118="","",(IF(AND(N118="NA",C118&lt;&gt;"NA",D118&lt;&gt;"NA"),"Missing Data",(IF(OR(D118 = "NA",D118=""),"No Criteria",(IF(N118&lt;D118,IF(OR(I118&lt;D118,ChemData!AA118&lt;&gt;""),"No-1",IF(M118&lt;D118,"No-2","No-3")),"Needed")))))))))),"---")</f>
        <v/>
      </c>
      <c r="C118" s="426" t="str">
        <f>IF(TRUE=ISBLANK(ChemData!B118),"",(ChemData!B118))</f>
        <v/>
      </c>
      <c r="D118" s="289">
        <f>IF(TRUE=ISBLANK(ChemData!J118),"",(ChemData!J118))</f>
        <v>9.3000000000000007</v>
      </c>
      <c r="E118" s="290">
        <f>IF(TRUE=ISBLANK(ChemData!Q118),"",(ChemData!Q118))</f>
        <v>1195.1059779431475</v>
      </c>
      <c r="F118" s="290">
        <f>IF(TRUE=ISBLANK(ChemData!S118),"",(ChemData!S118))</f>
        <v>1</v>
      </c>
      <c r="G118" s="865">
        <f>IF(OR(TRUE=ISBLANK(ChemData!AA118),ChemData!AA118="NA",ChemData!AA118=0),ChemData!Z118,(ChemData!AA118))</f>
        <v>26324.936850090875</v>
      </c>
      <c r="H118" s="685" t="str">
        <f>IF(Start!$C$17="x",(IF(OR(C118="NA",C118=""),"NA",IF(OR(F118="NA",F118="",F118=0),"NA",C118*F118))),"---")</f>
        <v>NA</v>
      </c>
      <c r="I118" s="376" t="str">
        <f>IF(Start!$C$17="x",(IF($E118 = "NA", "NA", (IF(H118 = "NA", "NA",(IF(OR(ChemData!U118="NA",ChemData!U118=""),H118/((Data!$D$18+$E118*(1-Data!$D$18)*Data!$D$14)/(1000*(1-Data!$D$18)*Data!$D$14)),(IF(H118/((Data!$D$18+$E118*(1-Data!$D$18)*Data!$D$14)/(1000*(1-Data!$D$18)*Data!$D$14))&gt;ChemData!U118, ChemData!U118,H118/((Data!$D$18+$E118*(1-Data!$D$18)*Data!$D$14)/(1000*(1-Data!$D$18)*Data!$D$14)))))))))),"---")</f>
        <v>NA</v>
      </c>
      <c r="J118" s="870" t="str">
        <f>IF(Start!$C$17="x",IF(OR(I118="NA",I118="",ChemData!W118="NA",ChemData!W118=""),"NA",I118/ChemData!W118),"---")</f>
        <v>NA</v>
      </c>
      <c r="K118" s="870" t="str">
        <f>IF(Start!$C$17="x",IF(J118="NA","NA",IF(Data!$D$68&lt;ChemData!X118,J118*(Data!$D$68/ChemData!X118),J118)),"---")</f>
        <v>NA</v>
      </c>
      <c r="L118" s="870" t="str">
        <f>IF(Start!$C$17="x",IF(OR(I118="NA",I118="",ChemData!Z118="NA",ChemData!Z118=""),"NA",I118/ChemData!Z118),"---")</f>
        <v>NA</v>
      </c>
      <c r="M118" s="870" t="str">
        <f>IF(Start!$C$17="x",IF(OR(I118="NA",I118="",ChemData!Y118="NA",ChemData!Y118=""),"NA",I118/ChemData!Y118),"---")</f>
        <v>NA</v>
      </c>
      <c r="N118" s="870" t="str">
        <f>IF(Start!$C$17="x",IF(OR(I118="NA",I118="",G118="NA",G118=""),"NA",I118/G118),"---")</f>
        <v>NA</v>
      </c>
      <c r="O118" s="794" t="str">
        <f>IF(Start!$C$17="x",(IF(C118="","",(IF(N118="NA","NA",IF(D118="NA","NA",IF(D118=0,"NA",(N118/D118))))))),"Not Req.")</f>
        <v/>
      </c>
    </row>
    <row r="119" spans="1:15" s="10" customFormat="1" x14ac:dyDescent="0.25">
      <c r="A119" s="405" t="s">
        <v>437</v>
      </c>
      <c r="B119" s="868" t="str">
        <f>IF(Start!$C$17="x",(IF($C119="NA","NA",(IF(C119="","",(IF(AND(N119="NA",C119&lt;&gt;"NA",D119&lt;&gt;"NA"),"Missing Data",(IF(OR(D119 = "NA",D119=""),"No Criteria",(IF(N119&lt;D119,IF(OR(I119&lt;D119,ChemData!AA119&lt;&gt;""),"No-1",IF(M119&lt;D119,"No-2","No-3")),"Needed")))))))))),"---")</f>
        <v/>
      </c>
      <c r="C119" s="426" t="str">
        <f>IF(TRUE=ISBLANK(ChemData!B119),"",(ChemData!B119))</f>
        <v/>
      </c>
      <c r="D119" s="289">
        <f>IF(TRUE=ISBLANK(ChemData!J119),"",(ChemData!J119))</f>
        <v>5.2</v>
      </c>
      <c r="E119" s="290">
        <f>IF(TRUE=ISBLANK(ChemData!Q119),"",(ChemData!Q119))</f>
        <v>1851</v>
      </c>
      <c r="F119" s="290">
        <f>IF(TRUE=ISBLANK(ChemData!S119),"",(ChemData!S119))</f>
        <v>1</v>
      </c>
      <c r="G119" s="865">
        <f>IF(OR(TRUE=ISBLANK(ChemData!AA119),ChemData!AA119="NA",ChemData!AA119=0),ChemData!Z119,(ChemData!AA119))</f>
        <v>50048.818417937429</v>
      </c>
      <c r="H119" s="685" t="str">
        <f>IF(Start!$C$17="x",(IF(OR(C119="NA",C119=""),"NA",IF(OR(F119="NA",F119="",F119=0),"NA",C119*F119))),"---")</f>
        <v>NA</v>
      </c>
      <c r="I119" s="376" t="str">
        <f>IF(Start!$C$17="x",(IF($E119 = "NA", "NA", (IF(H119 = "NA", "NA",(IF(OR(ChemData!U119="NA",ChemData!U119=""),H119/((Data!$D$18+$E119*(1-Data!$D$18)*Data!$D$14)/(1000*(1-Data!$D$18)*Data!$D$14)),(IF(H119/((Data!$D$18+$E119*(1-Data!$D$18)*Data!$D$14)/(1000*(1-Data!$D$18)*Data!$D$14))&gt;ChemData!U119, ChemData!U119,H119/((Data!$D$18+$E119*(1-Data!$D$18)*Data!$D$14)/(1000*(1-Data!$D$18)*Data!$D$14)))))))))),"---")</f>
        <v>NA</v>
      </c>
      <c r="J119" s="870" t="str">
        <f>IF(Start!$C$17="x",IF(OR(I119="NA",I119="",ChemData!W119="NA",ChemData!W119=""),"NA",I119/ChemData!W119),"---")</f>
        <v>NA</v>
      </c>
      <c r="K119" s="870" t="str">
        <f>IF(Start!$C$17="x",IF(J119="NA","NA",IF(Data!$D$68&lt;ChemData!X119,J119*(Data!$D$68/ChemData!X119),J119)),"---")</f>
        <v>NA</v>
      </c>
      <c r="L119" s="870" t="str">
        <f>IF(Start!$C$17="x",IF(OR(I119="NA",I119="",ChemData!Z119="NA",ChemData!Z119=""),"NA",I119/ChemData!Z119),"---")</f>
        <v>NA</v>
      </c>
      <c r="M119" s="870" t="str">
        <f>IF(Start!$C$17="x",IF(OR(I119="NA",I119="",ChemData!Y119="NA",ChemData!Y119=""),"NA",I119/ChemData!Y119),"---")</f>
        <v>NA</v>
      </c>
      <c r="N119" s="870" t="str">
        <f>IF(Start!$C$17="x",IF(OR(I119="NA",I119="",G119="NA",G119=""),"NA",I119/G119),"---")</f>
        <v>NA</v>
      </c>
      <c r="O119" s="794" t="str">
        <f>IF(Start!$C$17="x",(IF(C119="","",(IF(N119="NA","NA",IF(D119="NA","NA",IF(D119=0,"NA",(N119/D119))))))),"Not Req.")</f>
        <v/>
      </c>
    </row>
    <row r="120" spans="1:15" s="10" customFormat="1" x14ac:dyDescent="0.25">
      <c r="A120" s="405" t="s">
        <v>438</v>
      </c>
      <c r="B120" s="868" t="str">
        <f>IF(Start!$C$17="x",(IF($C120="NA","NA",(IF(C120="","",(IF(AND(N120="NA",C120&lt;&gt;"NA",D120&lt;&gt;"NA"),"Missing Data",(IF(OR(D120 = "NA",D120=""),"No Criteria",(IF(N120&lt;D120,IF(OR(I120&lt;D120,ChemData!AA120&lt;&gt;""),"No-1",IF(M120&lt;D120,"No-2","No-3")),"Needed")))))))))),"---")</f>
        <v/>
      </c>
      <c r="C120" s="426" t="str">
        <f>IF(TRUE=ISBLANK(ChemData!B120),"",(ChemData!B120))</f>
        <v/>
      </c>
      <c r="D120" s="289">
        <f>IF(TRUE=ISBLANK(ChemData!J120),"",(ChemData!J120))</f>
        <v>12</v>
      </c>
      <c r="E120" s="290">
        <f>IF(TRUE=ISBLANK(ChemData!Q120),"",(ChemData!Q120))</f>
        <v>185.1</v>
      </c>
      <c r="F120" s="290">
        <f>IF(TRUE=ISBLANK(ChemData!S120),"",(ChemData!S120))</f>
        <v>1</v>
      </c>
      <c r="G120" s="865">
        <f>IF(OR(TRUE=ISBLANK(ChemData!AA120),ChemData!AA120="NA",ChemData!AA120=0),ChemData!Z120,(ChemData!AA120))</f>
        <v>1701.5054751140763</v>
      </c>
      <c r="H120" s="685" t="str">
        <f>IF(Start!$C$17="x",(IF(OR(C120="NA",C120=""),"NA",IF(OR(F120="NA",F120="",F120=0),"NA",C120*F120))),"---")</f>
        <v>NA</v>
      </c>
      <c r="I120" s="376" t="str">
        <f>IF(Start!$C$17="x",(IF($E120 = "NA", "NA", (IF(H120 = "NA", "NA",(IF(OR(ChemData!U120="NA",ChemData!U120=""),H120/((Data!$D$18+$E120*(1-Data!$D$18)*Data!$D$14)/(1000*(1-Data!$D$18)*Data!$D$14)),(IF(H120/((Data!$D$18+$E120*(1-Data!$D$18)*Data!$D$14)/(1000*(1-Data!$D$18)*Data!$D$14))&gt;ChemData!U120, ChemData!U120,H120/((Data!$D$18+$E120*(1-Data!$D$18)*Data!$D$14)/(1000*(1-Data!$D$18)*Data!$D$14)))))))))),"---")</f>
        <v>NA</v>
      </c>
      <c r="J120" s="870" t="str">
        <f>IF(Start!$C$17="x",IF(OR(I120="NA",I120="",ChemData!W120="NA",ChemData!W120=""),"NA",I120/ChemData!W120),"---")</f>
        <v>NA</v>
      </c>
      <c r="K120" s="870" t="str">
        <f>IF(Start!$C$17="x",IF(J120="NA","NA",IF(Data!$D$68&lt;ChemData!X120,J120*(Data!$D$68/ChemData!X120),J120)),"---")</f>
        <v>NA</v>
      </c>
      <c r="L120" s="870" t="str">
        <f>IF(Start!$C$17="x",IF(OR(I120="NA",I120="",ChemData!Z120="NA",ChemData!Z120=""),"NA",I120/ChemData!Z120),"---")</f>
        <v>NA</v>
      </c>
      <c r="M120" s="870" t="str">
        <f>IF(Start!$C$17="x",IF(OR(I120="NA",I120="",ChemData!Y120="NA",ChemData!Y120=""),"NA",I120/ChemData!Y120),"---")</f>
        <v>NA</v>
      </c>
      <c r="N120" s="870" t="str">
        <f>IF(Start!$C$17="x",IF(OR(I120="NA",I120="",G120="NA",G120=""),"NA",I120/G120),"---")</f>
        <v>NA</v>
      </c>
      <c r="O120" s="794" t="str">
        <f>IF(Start!$C$17="x",(IF(C120="","",(IF(N120="NA","NA",IF(D120="NA","NA",IF(D120=0,"NA",(N120/D120))))))),"Not Req.")</f>
        <v/>
      </c>
    </row>
    <row r="121" spans="1:15" s="10" customFormat="1" x14ac:dyDescent="0.25">
      <c r="A121" s="405" t="s">
        <v>439</v>
      </c>
      <c r="B121" s="868" t="str">
        <f>IF(Start!$C$17="x",(IF($C121="NA","NA",(IF(C121="","",(IF(AND(N121="NA",C121&lt;&gt;"NA",D121&lt;&gt;"NA"),"Missing Data",(IF(OR(D121 = "NA",D121=""),"No Criteria",(IF(N121&lt;D121,IF(OR(I121&lt;D121,ChemData!AA121&lt;&gt;""),"No-1",IF(M121&lt;D121,"No-2","No-3")),"Needed")))))))))),"---")</f>
        <v/>
      </c>
      <c r="C121" s="426" t="str">
        <f>IF(TRUE=ISBLANK(ChemData!B121),"",(ChemData!B121))</f>
        <v/>
      </c>
      <c r="D121" s="289" t="str">
        <f>IF(TRUE=ISBLANK(ChemData!J121),"",(ChemData!J121))</f>
        <v>NA</v>
      </c>
      <c r="E121" s="290">
        <f>IF(TRUE=ISBLANK(ChemData!Q121),"",(ChemData!Q121))</f>
        <v>0.9276975694440811</v>
      </c>
      <c r="F121" s="290">
        <f>IF(TRUE=ISBLANK(ChemData!S121),"",(ChemData!S121))</f>
        <v>1</v>
      </c>
      <c r="G121" s="865">
        <f>IF(OR(TRUE=ISBLANK(ChemData!AA121),ChemData!AA121="NA",ChemData!AA121=0),ChemData!Z121,(ChemData!AA121))</f>
        <v>6.8495741227413944</v>
      </c>
      <c r="H121" s="685" t="str">
        <f>IF(Start!$C$17="x",(IF(OR(C121="NA",C121=""),"NA",IF(OR(F121="NA",F121="",F121=0),"NA",C121*F121))),"---")</f>
        <v>NA</v>
      </c>
      <c r="I121" s="376" t="str">
        <f>IF(Start!$C$17="x",(IF($E121 = "NA", "NA", (IF(H121 = "NA", "NA",(IF(OR(ChemData!U121="NA",ChemData!U121=""),H121/((Data!$D$18+$E121*(1-Data!$D$18)*Data!$D$14)/(1000*(1-Data!$D$18)*Data!$D$14)),(IF(H121/((Data!$D$18+$E121*(1-Data!$D$18)*Data!$D$14)/(1000*(1-Data!$D$18)*Data!$D$14))&gt;ChemData!U121, ChemData!U121,H121/((Data!$D$18+$E121*(1-Data!$D$18)*Data!$D$14)/(1000*(1-Data!$D$18)*Data!$D$14)))))))))),"---")</f>
        <v>NA</v>
      </c>
      <c r="J121" s="870" t="str">
        <f>IF(Start!$C$17="x",IF(OR(I121="NA",I121="",ChemData!W121="NA",ChemData!W121=""),"NA",I121/ChemData!W121),"---")</f>
        <v>NA</v>
      </c>
      <c r="K121" s="870" t="str">
        <f>IF(Start!$C$17="x",IF(J121="NA","NA",IF(Data!$D$68&lt;ChemData!X121,J121*(Data!$D$68/ChemData!X121),J121)),"---")</f>
        <v>NA</v>
      </c>
      <c r="L121" s="870" t="str">
        <f>IF(Start!$C$17="x",IF(OR(I121="NA",I121="",ChemData!Z121="NA",ChemData!Z121=""),"NA",I121/ChemData!Z121),"---")</f>
        <v>NA</v>
      </c>
      <c r="M121" s="870" t="str">
        <f>IF(Start!$C$17="x",IF(OR(I121="NA",I121="",ChemData!Y121="NA",ChemData!Y121=""),"NA",I121/ChemData!Y121),"---")</f>
        <v>NA</v>
      </c>
      <c r="N121" s="870" t="str">
        <f>IF(Start!$C$17="x",IF(OR(I121="NA",I121="",G121="NA",G121=""),"NA",I121/G121),"---")</f>
        <v>NA</v>
      </c>
      <c r="O121" s="794" t="str">
        <f>IF(Start!$C$17="x",(IF(C121="","",(IF(N121="NA","NA",IF(D121="NA","NA",IF(D121=0,"NA",(N121/D121))))))),"Not Req.")</f>
        <v/>
      </c>
    </row>
    <row r="122" spans="1:15" s="10" customFormat="1" x14ac:dyDescent="0.25">
      <c r="A122" s="405" t="s">
        <v>440</v>
      </c>
      <c r="B122" s="868" t="str">
        <f>IF(Start!$C$17="x",(IF($C122="NA","NA",(IF(C122="","",(IF(AND(N122="NA",C122&lt;&gt;"NA",D122&lt;&gt;"NA"),"Missing Data",(IF(OR(D122 = "NA",D122=""),"No Criteria",(IF(N122&lt;D122,IF(OR(I122&lt;D122,ChemData!AA122&lt;&gt;""),"No-1",IF(M122&lt;D122,"No-2","No-3")),"Needed")))))))))),"---")</f>
        <v/>
      </c>
      <c r="C122" s="426" t="str">
        <f>IF(TRUE=ISBLANK(ChemData!B122),"",(ChemData!B122))</f>
        <v/>
      </c>
      <c r="D122" s="289" t="str">
        <f>IF(TRUE=ISBLANK(ChemData!J122),"",(ChemData!J122))</f>
        <v>NA</v>
      </c>
      <c r="E122" s="290">
        <f>IF(TRUE=ISBLANK(ChemData!Q122),"",(ChemData!Q122))</f>
        <v>140.41270913790194</v>
      </c>
      <c r="F122" s="290">
        <f>IF(TRUE=ISBLANK(ChemData!S122),"",(ChemData!S122))</f>
        <v>1</v>
      </c>
      <c r="G122" s="865">
        <f>IF(OR(TRUE=ISBLANK(ChemData!AA122),ChemData!AA122="NA",ChemData!AA122=0),ChemData!Z122,(ChemData!AA122))</f>
        <v>1133.9818240564389</v>
      </c>
      <c r="H122" s="685" t="str">
        <f>IF(Start!$C$17="x",(IF(OR(C122="NA",C122=""),"NA",IF(OR(F122="NA",F122="",F122=0),"NA",C122*F122))),"---")</f>
        <v>NA</v>
      </c>
      <c r="I122" s="376" t="str">
        <f>IF(Start!$C$17="x",(IF($E122 = "NA", "NA", (IF(H122 = "NA", "NA",(IF(OR(ChemData!U122="NA",ChemData!U122=""),H122/((Data!$D$18+$E122*(1-Data!$D$18)*Data!$D$14)/(1000*(1-Data!$D$18)*Data!$D$14)),(IF(H122/((Data!$D$18+$E122*(1-Data!$D$18)*Data!$D$14)/(1000*(1-Data!$D$18)*Data!$D$14))&gt;ChemData!U122, ChemData!U122,H122/((Data!$D$18+$E122*(1-Data!$D$18)*Data!$D$14)/(1000*(1-Data!$D$18)*Data!$D$14)))))))))),"---")</f>
        <v>NA</v>
      </c>
      <c r="J122" s="870" t="str">
        <f>IF(Start!$C$17="x",IF(OR(I122="NA",I122="",ChemData!W122="NA",ChemData!W122=""),"NA",I122/ChemData!W122),"---")</f>
        <v>NA</v>
      </c>
      <c r="K122" s="870" t="str">
        <f>IF(Start!$C$17="x",IF(J122="NA","NA",IF(Data!$D$68&lt;ChemData!X122,J122*(Data!$D$68/ChemData!X122),J122)),"---")</f>
        <v>NA</v>
      </c>
      <c r="L122" s="870" t="str">
        <f>IF(Start!$C$17="x",IF(OR(I122="NA",I122="",ChemData!Z122="NA",ChemData!Z122=""),"NA",I122/ChemData!Z122),"---")</f>
        <v>NA</v>
      </c>
      <c r="M122" s="870" t="str">
        <f>IF(Start!$C$17="x",IF(OR(I122="NA",I122="",ChemData!Y122="NA",ChemData!Y122=""),"NA",I122/ChemData!Y122),"---")</f>
        <v>NA</v>
      </c>
      <c r="N122" s="870" t="str">
        <f>IF(Start!$C$17="x",IF(OR(I122="NA",I122="",G122="NA",G122=""),"NA",I122/G122),"---")</f>
        <v>NA</v>
      </c>
      <c r="O122" s="794" t="str">
        <f>IF(Start!$C$17="x",(IF(C122="","",(IF(N122="NA","NA",IF(D122="NA","NA",IF(D122=0,"NA",(N122/D122))))))),"Not Req.")</f>
        <v/>
      </c>
    </row>
    <row r="123" spans="1:15" s="10" customFormat="1" x14ac:dyDescent="0.25">
      <c r="A123" s="405" t="s">
        <v>441</v>
      </c>
      <c r="B123" s="868" t="str">
        <f>IF(Start!$C$17="x",(IF($C123="NA","NA",(IF(C123="","",(IF(AND(N123="NA",C123&lt;&gt;"NA",D123&lt;&gt;"NA"),"Missing Data",(IF(OR(D123 = "NA",D123=""),"No Criteria",(IF(N123&lt;D123,IF(OR(I123&lt;D123,ChemData!AA123&lt;&gt;""),"No-1",IF(M123&lt;D123,"No-2","No-3")),"Needed")))))))))),"---")</f>
        <v/>
      </c>
      <c r="C123" s="426" t="str">
        <f>IF(TRUE=ISBLANK(ChemData!B123),"",(ChemData!B123))</f>
        <v/>
      </c>
      <c r="D123" s="289" t="str">
        <f>IF(TRUE=ISBLANK(ChemData!J123),"",(ChemData!J123))</f>
        <v>NA</v>
      </c>
      <c r="E123" s="290">
        <f>IF(TRUE=ISBLANK(ChemData!Q123),"",(ChemData!Q123))</f>
        <v>2.4400932230679122</v>
      </c>
      <c r="F123" s="290">
        <f>IF(TRUE=ISBLANK(ChemData!S123),"",(ChemData!S123))</f>
        <v>1</v>
      </c>
      <c r="G123" s="865">
        <f>IF(OR(TRUE=ISBLANK(ChemData!AA123),ChemData!AA123="NA",ChemData!AA123=0),ChemData!Z123,(ChemData!AA123))</f>
        <v>6.8495741227413927</v>
      </c>
      <c r="H123" s="685" t="str">
        <f>IF(Start!$C$17="x",(IF(OR(C123="NA",C123=""),"NA",IF(OR(F123="NA",F123="",F123=0),"NA",C123*F123))),"---")</f>
        <v>NA</v>
      </c>
      <c r="I123" s="376" t="str">
        <f>IF(Start!$C$17="x",(IF($E123 = "NA", "NA", (IF(H123 = "NA", "NA",(IF(OR(ChemData!U123="NA",ChemData!U123=""),H123/((Data!$D$18+$E123*(1-Data!$D$18)*Data!$D$14)/(1000*(1-Data!$D$18)*Data!$D$14)),(IF(H123/((Data!$D$18+$E123*(1-Data!$D$18)*Data!$D$14)/(1000*(1-Data!$D$18)*Data!$D$14))&gt;ChemData!U123, ChemData!U123,H123/((Data!$D$18+$E123*(1-Data!$D$18)*Data!$D$14)/(1000*(1-Data!$D$18)*Data!$D$14)))))))))),"---")</f>
        <v>NA</v>
      </c>
      <c r="J123" s="870" t="str">
        <f>IF(Start!$C$17="x",IF(OR(I123="NA",I123="",ChemData!W123="NA",ChemData!W123=""),"NA",I123/ChemData!W123),"---")</f>
        <v>NA</v>
      </c>
      <c r="K123" s="870" t="str">
        <f>IF(Start!$C$17="x",IF(J123="NA","NA",IF(Data!$D$68&lt;ChemData!X123,J123*(Data!$D$68/ChemData!X123),J123)),"---")</f>
        <v>NA</v>
      </c>
      <c r="L123" s="870" t="str">
        <f>IF(Start!$C$17="x",IF(OR(I123="NA",I123="",ChemData!Z123="NA",ChemData!Z123=""),"NA",I123/ChemData!Z123),"---")</f>
        <v>NA</v>
      </c>
      <c r="M123" s="870" t="str">
        <f>IF(Start!$C$17="x",IF(OR(I123="NA",I123="",ChemData!Y123="NA",ChemData!Y123=""),"NA",I123/ChemData!Y123),"---")</f>
        <v>NA</v>
      </c>
      <c r="N123" s="870" t="str">
        <f>IF(Start!$C$17="x",IF(OR(I123="NA",I123="",G123="NA",G123=""),"NA",I123/G123),"---")</f>
        <v>NA</v>
      </c>
      <c r="O123" s="794" t="str">
        <f>IF(Start!$C$17="x",(IF(C123="","",(IF(N123="NA","NA",IF(D123="NA","NA",IF(D123=0,"NA",(N123/D123))))))),"Not Req.")</f>
        <v/>
      </c>
    </row>
    <row r="124" spans="1:15" s="10" customFormat="1" x14ac:dyDescent="0.25">
      <c r="A124" s="405" t="s">
        <v>667</v>
      </c>
      <c r="B124" s="868" t="str">
        <f>IF(Start!$C$17="x",(IF($C124="NA","NA",(IF(C124="","",(IF(AND(N124="NA",C124&lt;&gt;"NA",D124&lt;&gt;"NA"),"Missing Data",(IF(OR(D124 = "NA",D124=""),"No Criteria",(IF(N124&lt;D124,IF(OR(I124&lt;D124,ChemData!AA124&lt;&gt;""),"No-1",IF(M124&lt;D124,"No-2","No-3")),"Needed")))))))))),"---")</f>
        <v/>
      </c>
      <c r="C124" s="426" t="str">
        <f>IF(TRUE=ISBLANK(ChemData!B124),"",(ChemData!B124))</f>
        <v/>
      </c>
      <c r="D124" s="289">
        <f>IF(TRUE=ISBLANK(ChemData!J124),"",(ChemData!J124))</f>
        <v>13</v>
      </c>
      <c r="E124" s="290">
        <f>IF(TRUE=ISBLANK(ChemData!Q124),"",(ChemData!Q124))</f>
        <v>1.7676912767256789</v>
      </c>
      <c r="F124" s="290">
        <f>IF(TRUE=ISBLANK(ChemData!S124),"",(ChemData!S124))</f>
        <v>1</v>
      </c>
      <c r="G124" s="865">
        <f>IF(OR(TRUE=ISBLANK(ChemData!AA124),ChemData!AA124="NA",ChemData!AA124=0),ChemData!Z124,(ChemData!AA124))</f>
        <v>6.8495741227413927</v>
      </c>
      <c r="H124" s="685" t="str">
        <f>IF(Start!$C$17="x",(IF(OR(C124="NA",C124=""),"NA",IF(OR(F124="NA",F124="",F124=0),"NA",C124*F124))),"---")</f>
        <v>NA</v>
      </c>
      <c r="I124" s="376" t="str">
        <f>IF(Start!$C$17="x",(IF($E124 = "NA", "NA", (IF(H124 = "NA", "NA",(IF(OR(ChemData!U124="NA",ChemData!U124=""),H124/((Data!$D$18+$E124*(1-Data!$D$18)*Data!$D$14)/(1000*(1-Data!$D$18)*Data!$D$14)),(IF(H124/((Data!$D$18+$E124*(1-Data!$D$18)*Data!$D$14)/(1000*(1-Data!$D$18)*Data!$D$14))&gt;ChemData!U124, ChemData!U124,H124/((Data!$D$18+$E124*(1-Data!$D$18)*Data!$D$14)/(1000*(1-Data!$D$18)*Data!$D$14)))))))))),"---")</f>
        <v>NA</v>
      </c>
      <c r="J124" s="870" t="str">
        <f>IF(Start!$C$17="x",IF(OR(I124="NA",I124="",ChemData!W124="NA",ChemData!W124=""),"NA",I124/ChemData!W124),"---")</f>
        <v>NA</v>
      </c>
      <c r="K124" s="870" t="str">
        <f>IF(Start!$C$17="x",IF(J124="NA","NA",IF(Data!$D$68&lt;ChemData!X124,J124*(Data!$D$68/ChemData!X124),J124)),"---")</f>
        <v>NA</v>
      </c>
      <c r="L124" s="870" t="str">
        <f>IF(Start!$C$17="x",IF(OR(I124="NA",I124="",ChemData!Z124="NA",ChemData!Z124=""),"NA",I124/ChemData!Z124),"---")</f>
        <v>NA</v>
      </c>
      <c r="M124" s="870" t="str">
        <f>IF(Start!$C$17="x",IF(OR(I124="NA",I124="",ChemData!Y124="NA",ChemData!Y124=""),"NA",I124/ChemData!Y124),"---")</f>
        <v>NA</v>
      </c>
      <c r="N124" s="870" t="str">
        <f>IF(Start!$C$17="x",IF(OR(I124="NA",I124="",G124="NA",G124=""),"NA",I124/G124),"---")</f>
        <v>NA</v>
      </c>
      <c r="O124" s="794" t="str">
        <f>IF(Start!$C$17="x",(IF(C124="","",(IF(N124="NA","NA",IF(D124="NA","NA",IF(D124=0,"NA",(N124/D124))))))),"Not Req.")</f>
        <v/>
      </c>
    </row>
    <row r="125" spans="1:15" s="10" customFormat="1" x14ac:dyDescent="0.25">
      <c r="A125" s="405" t="s">
        <v>668</v>
      </c>
      <c r="B125" s="868" t="str">
        <f>IF(Start!$C$17="x",(IF($C125="NA","NA",(IF(C125="","",(IF(AND(N125="NA",C125&lt;&gt;"NA",D125&lt;&gt;"NA"),"Missing Data",(IF(OR(D125 = "NA",D125=""),"No Criteria",(IF(N125&lt;D125,IF(OR(I125&lt;D125,ChemData!AA125&lt;&gt;""),"No-1",IF(M125&lt;D125,"No-2","No-3")),"Needed")))))))))),"---")</f>
        <v/>
      </c>
      <c r="C125" s="426" t="str">
        <f>IF(TRUE=ISBLANK(ChemData!B125),"",(ChemData!B125))</f>
        <v/>
      </c>
      <c r="D125" s="289" t="str">
        <f>IF(TRUE=ISBLANK(ChemData!J125),"",(ChemData!J125))</f>
        <v>NA</v>
      </c>
      <c r="E125" s="290">
        <f>IF(TRUE=ISBLANK(ChemData!Q125),"",(ChemData!Q125))</f>
        <v>1.7274537107752317</v>
      </c>
      <c r="F125" s="290">
        <f>IF(TRUE=ISBLANK(ChemData!S125),"",(ChemData!S125))</f>
        <v>1</v>
      </c>
      <c r="G125" s="865">
        <f>IF(OR(TRUE=ISBLANK(ChemData!AA125),ChemData!AA125="NA",ChemData!AA125=0),ChemData!Z125,(ChemData!AA125))</f>
        <v>6.8495741227413927</v>
      </c>
      <c r="H125" s="685" t="str">
        <f>IF(Start!$C$17="x",(IF(OR(C125="NA",C125=""),"NA",IF(OR(F125="NA",F125="",F125=0),"NA",C125*F125))),"---")</f>
        <v>NA</v>
      </c>
      <c r="I125" s="376" t="str">
        <f>IF(Start!$C$17="x",(IF($E125 = "NA", "NA", (IF(H125 = "NA", "NA",(IF(OR(ChemData!U125="NA",ChemData!U125=""),H125/((Data!$D$18+$E125*(1-Data!$D$18)*Data!$D$14)/(1000*(1-Data!$D$18)*Data!$D$14)),(IF(H125/((Data!$D$18+$E125*(1-Data!$D$18)*Data!$D$14)/(1000*(1-Data!$D$18)*Data!$D$14))&gt;ChemData!U125, ChemData!U125,H125/((Data!$D$18+$E125*(1-Data!$D$18)*Data!$D$14)/(1000*(1-Data!$D$18)*Data!$D$14)))))))))),"---")</f>
        <v>NA</v>
      </c>
      <c r="J125" s="870" t="str">
        <f>IF(Start!$C$17="x",IF(OR(I125="NA",I125="",ChemData!W125="NA",ChemData!W125=""),"NA",I125/ChemData!W125),"---")</f>
        <v>NA</v>
      </c>
      <c r="K125" s="870" t="str">
        <f>IF(Start!$C$17="x",IF(J125="NA","NA",IF(Data!$D$68&lt;ChemData!X125,J125*(Data!$D$68/ChemData!X125),J125)),"---")</f>
        <v>NA</v>
      </c>
      <c r="L125" s="870" t="str">
        <f>IF(Start!$C$17="x",IF(OR(I125="NA",I125="",ChemData!Z125="NA",ChemData!Z125=""),"NA",I125/ChemData!Z125),"---")</f>
        <v>NA</v>
      </c>
      <c r="M125" s="870" t="str">
        <f>IF(Start!$C$17="x",IF(OR(I125="NA",I125="",ChemData!Y125="NA",ChemData!Y125=""),"NA",I125/ChemData!Y125),"---")</f>
        <v>NA</v>
      </c>
      <c r="N125" s="870" t="str">
        <f>IF(Start!$C$17="x",IF(OR(I125="NA",I125="",G125="NA",G125=""),"NA",I125/G125),"---")</f>
        <v>NA</v>
      </c>
      <c r="O125" s="794" t="str">
        <f>IF(Start!$C$17="x",(IF(C125="","",(IF(N125="NA","NA",IF(D125="NA","NA",IF(D125=0,"NA",(N125/D125))))))),"Not Req.")</f>
        <v/>
      </c>
    </row>
    <row r="126" spans="1:15" s="10" customFormat="1" x14ac:dyDescent="0.25">
      <c r="A126" s="405" t="s">
        <v>444</v>
      </c>
      <c r="B126" s="868" t="str">
        <f>IF(Start!$C$17="x",(IF($C126="NA","NA",(IF(C126="","",(IF(AND(N126="NA",C126&lt;&gt;"NA",D126&lt;&gt;"NA"),"Missing Data",(IF(OR(D126 = "NA",D126=""),"No Criteria",(IF(N126&lt;D126,IF(OR(I126&lt;D126,ChemData!AA126&lt;&gt;""),"No-1",IF(M126&lt;D126,"No-2","No-3")),"Needed")))))))))),"---")</f>
        <v/>
      </c>
      <c r="C126" s="426" t="str">
        <f>IF(TRUE=ISBLANK(ChemData!B126),"",(ChemData!B126))</f>
        <v/>
      </c>
      <c r="D126" s="289" t="str">
        <f>IF(TRUE=ISBLANK(ChemData!J126),"",(ChemData!J126))</f>
        <v>NA</v>
      </c>
      <c r="E126" s="290">
        <f>IF(TRUE=ISBLANK(ChemData!Q126),"",(ChemData!Q126))</f>
        <v>1.1153377938236371</v>
      </c>
      <c r="F126" s="290">
        <f>IF(TRUE=ISBLANK(ChemData!S126),"",(ChemData!S126))</f>
        <v>1</v>
      </c>
      <c r="G126" s="865">
        <f>IF(OR(TRUE=ISBLANK(ChemData!AA126),ChemData!AA126="NA",ChemData!AA126=0),ChemData!Z126,(ChemData!AA126))</f>
        <v>6.8495741227413927</v>
      </c>
      <c r="H126" s="685" t="str">
        <f>IF(Start!$C$17="x",(IF(OR(C126="NA",C126=""),"NA",IF(OR(F126="NA",F126="",F126=0),"NA",C126*F126))),"---")</f>
        <v>NA</v>
      </c>
      <c r="I126" s="376" t="str">
        <f>IF(Start!$C$17="x",(IF($E126 = "NA", "NA", (IF(H126 = "NA", "NA",(IF(OR(ChemData!U126="NA",ChemData!U126=""),H126/((Data!$D$18+$E126*(1-Data!$D$18)*Data!$D$14)/(1000*(1-Data!$D$18)*Data!$D$14)),(IF(H126/((Data!$D$18+$E126*(1-Data!$D$18)*Data!$D$14)/(1000*(1-Data!$D$18)*Data!$D$14))&gt;ChemData!U126, ChemData!U126,H126/((Data!$D$18+$E126*(1-Data!$D$18)*Data!$D$14)/(1000*(1-Data!$D$18)*Data!$D$14)))))))))),"---")</f>
        <v>NA</v>
      </c>
      <c r="J126" s="870" t="str">
        <f>IF(Start!$C$17="x",IF(OR(I126="NA",I126="",ChemData!W126="NA",ChemData!W126=""),"NA",I126/ChemData!W126),"---")</f>
        <v>NA</v>
      </c>
      <c r="K126" s="870" t="str">
        <f>IF(Start!$C$17="x",IF(J126="NA","NA",IF(Data!$D$68&lt;ChemData!X126,J126*(Data!$D$68/ChemData!X126),J126)),"---")</f>
        <v>NA</v>
      </c>
      <c r="L126" s="870" t="str">
        <f>IF(Start!$C$17="x",IF(OR(I126="NA",I126="",ChemData!Z126="NA",ChemData!Z126=""),"NA",I126/ChemData!Z126),"---")</f>
        <v>NA</v>
      </c>
      <c r="M126" s="870" t="str">
        <f>IF(Start!$C$17="x",IF(OR(I126="NA",I126="",ChemData!Y126="NA",ChemData!Y126=""),"NA",I126/ChemData!Y126),"---")</f>
        <v>NA</v>
      </c>
      <c r="N126" s="870" t="str">
        <f>IF(Start!$C$17="x",IF(OR(I126="NA",I126="",G126="NA",G126=""),"NA",I126/G126),"---")</f>
        <v>NA</v>
      </c>
      <c r="O126" s="794" t="str">
        <f>IF(Start!$C$17="x",(IF(C126="","",(IF(N126="NA","NA",IF(D126="NA","NA",IF(D126=0,"NA",(N126/D126))))))),"Not Req.")</f>
        <v/>
      </c>
    </row>
    <row r="127" spans="1:15" s="10" customFormat="1" x14ac:dyDescent="0.25">
      <c r="A127" s="405" t="s">
        <v>445</v>
      </c>
      <c r="B127" s="868" t="str">
        <f>IF(Start!$C$17="x",(IF($C127="NA","NA",(IF(C127="","",(IF(AND(N127="NA",C127&lt;&gt;"NA",D127&lt;&gt;"NA"),"Missing Data",(IF(OR(D127 = "NA",D127=""),"No Criteria",(IF(N127&lt;D127,IF(OR(I127&lt;D127,ChemData!AA127&lt;&gt;""),"No-1",IF(M127&lt;D127,"No-2","No-3")),"Needed")))))))))),"---")</f>
        <v/>
      </c>
      <c r="C127" s="426" t="str">
        <f>IF(TRUE=ISBLANK(ChemData!B127),"",(ChemData!B127))</f>
        <v/>
      </c>
      <c r="D127" s="289" t="str">
        <f>IF(TRUE=ISBLANK(ChemData!J127),"",(ChemData!J127))</f>
        <v>NA</v>
      </c>
      <c r="E127" s="290">
        <f>IF(TRUE=ISBLANK(ChemData!Q127),"",(ChemData!Q127))</f>
        <v>0.43391675371571786</v>
      </c>
      <c r="F127" s="290">
        <f>IF(TRUE=ISBLANK(ChemData!S127),"",(ChemData!S127))</f>
        <v>1</v>
      </c>
      <c r="G127" s="865">
        <f>IF(OR(TRUE=ISBLANK(ChemData!AA127),ChemData!AA127="NA",ChemData!AA127=0),ChemData!Z127,(ChemData!AA127))</f>
        <v>6.8495741227413944</v>
      </c>
      <c r="H127" s="685" t="str">
        <f>IF(Start!$C$17="x",(IF(OR(C127="NA",C127=""),"NA",IF(OR(F127="NA",F127="",F127=0),"NA",C127*F127))),"---")</f>
        <v>NA</v>
      </c>
      <c r="I127" s="376" t="str">
        <f>IF(Start!$C$17="x",(IF($E127 = "NA", "NA", (IF(H127 = "NA", "NA",(IF(OR(ChemData!U127="NA",ChemData!U127=""),H127/((Data!$D$18+$E127*(1-Data!$D$18)*Data!$D$14)/(1000*(1-Data!$D$18)*Data!$D$14)),(IF(H127/((Data!$D$18+$E127*(1-Data!$D$18)*Data!$D$14)/(1000*(1-Data!$D$18)*Data!$D$14))&gt;ChemData!U127, ChemData!U127,H127/((Data!$D$18+$E127*(1-Data!$D$18)*Data!$D$14)/(1000*(1-Data!$D$18)*Data!$D$14)))))))))),"---")</f>
        <v>NA</v>
      </c>
      <c r="J127" s="870" t="str">
        <f>IF(Start!$C$17="x",IF(OR(I127="NA",I127="",ChemData!W127="NA",ChemData!W127=""),"NA",I127/ChemData!W127),"---")</f>
        <v>NA</v>
      </c>
      <c r="K127" s="870" t="str">
        <f>IF(Start!$C$17="x",IF(J127="NA","NA",IF(Data!$D$68&lt;ChemData!X127,J127*(Data!$D$68/ChemData!X127),J127)),"---")</f>
        <v>NA</v>
      </c>
      <c r="L127" s="870" t="str">
        <f>IF(Start!$C$17="x",IF(OR(I127="NA",I127="",ChemData!Z127="NA",ChemData!Z127=""),"NA",I127/ChemData!Z127),"---")</f>
        <v>NA</v>
      </c>
      <c r="M127" s="870" t="str">
        <f>IF(Start!$C$17="x",IF(OR(I127="NA",I127="",ChemData!Y127="NA",ChemData!Y127=""),"NA",I127/ChemData!Y127),"---")</f>
        <v>NA</v>
      </c>
      <c r="N127" s="870" t="str">
        <f>IF(Start!$C$17="x",IF(OR(I127="NA",I127="",G127="NA",G127=""),"NA",I127/G127),"---")</f>
        <v>NA</v>
      </c>
      <c r="O127" s="794" t="str">
        <f>IF(Start!$C$17="x",(IF(C127="","",(IF(N127="NA","NA",IF(D127="NA","NA",IF(D127=0,"NA",(N127/D127))))))),"Not Req.")</f>
        <v/>
      </c>
    </row>
    <row r="128" spans="1:15" s="10" customFormat="1" x14ac:dyDescent="0.25">
      <c r="A128" s="405" t="s">
        <v>446</v>
      </c>
      <c r="B128" s="868" t="str">
        <f>IF(Start!$C$17="x",(IF($C128="NA","NA",(IF(C128="","",(IF(AND(N128="NA",C128&lt;&gt;"NA",D128&lt;&gt;"NA"),"Missing Data",(IF(OR(D128 = "NA",D128=""),"No Criteria",(IF(N128&lt;D128,IF(OR(I128&lt;D128,ChemData!AA128&lt;&gt;""),"No-1",IF(M128&lt;D128,"No-2","No-3")),"Needed")))))))))),"---")</f>
        <v/>
      </c>
      <c r="C128" s="426" t="str">
        <f>IF(TRUE=ISBLANK(ChemData!B128),"",(ChemData!B128))</f>
        <v/>
      </c>
      <c r="D128" s="289" t="str">
        <f>IF(TRUE=ISBLANK(ChemData!J128),"",(ChemData!J128))</f>
        <v>NA</v>
      </c>
      <c r="E128" s="290">
        <f>IF(TRUE=ISBLANK(ChemData!Q128),"",(ChemData!Q128))</f>
        <v>0.45436662029329916</v>
      </c>
      <c r="F128" s="290">
        <f>IF(TRUE=ISBLANK(ChemData!S128),"",(ChemData!S128))</f>
        <v>1</v>
      </c>
      <c r="G128" s="865">
        <f>IF(OR(TRUE=ISBLANK(ChemData!AA128),ChemData!AA128="NA",ChemData!AA128=0),ChemData!Z128,(ChemData!AA128))</f>
        <v>6.8495741227413927</v>
      </c>
      <c r="H128" s="685" t="str">
        <f>IF(Start!$C$17="x",(IF(OR(C128="NA",C128=""),"NA",IF(OR(F128="NA",F128="",F128=0),"NA",C128*F128))),"---")</f>
        <v>NA</v>
      </c>
      <c r="I128" s="376" t="str">
        <f>IF(Start!$C$17="x",(IF($E128 = "NA", "NA", (IF(H128 = "NA", "NA",(IF(OR(ChemData!U128="NA",ChemData!U128=""),H128/((Data!$D$18+$E128*(1-Data!$D$18)*Data!$D$14)/(1000*(1-Data!$D$18)*Data!$D$14)),(IF(H128/((Data!$D$18+$E128*(1-Data!$D$18)*Data!$D$14)/(1000*(1-Data!$D$18)*Data!$D$14))&gt;ChemData!U128, ChemData!U128,H128/((Data!$D$18+$E128*(1-Data!$D$18)*Data!$D$14)/(1000*(1-Data!$D$18)*Data!$D$14)))))))))),"---")</f>
        <v>NA</v>
      </c>
      <c r="J128" s="870" t="str">
        <f>IF(Start!$C$17="x",IF(OR(I128="NA",I128="",ChemData!W128="NA",ChemData!W128=""),"NA",I128/ChemData!W128),"---")</f>
        <v>NA</v>
      </c>
      <c r="K128" s="870" t="str">
        <f>IF(Start!$C$17="x",IF(J128="NA","NA",IF(Data!$D$68&lt;ChemData!X128,J128*(Data!$D$68/ChemData!X128),J128)),"---")</f>
        <v>NA</v>
      </c>
      <c r="L128" s="870" t="str">
        <f>IF(Start!$C$17="x",IF(OR(I128="NA",I128="",ChemData!Z128="NA",ChemData!Z128=""),"NA",I128/ChemData!Z128),"---")</f>
        <v>NA</v>
      </c>
      <c r="M128" s="870" t="str">
        <f>IF(Start!$C$17="x",IF(OR(I128="NA",I128="",ChemData!Y128="NA",ChemData!Y128=""),"NA",I128/ChemData!Y128),"---")</f>
        <v>NA</v>
      </c>
      <c r="N128" s="870" t="str">
        <f>IF(Start!$C$17="x",IF(OR(I128="NA",I128="",G128="NA",G128=""),"NA",I128/G128),"---")</f>
        <v>NA</v>
      </c>
      <c r="O128" s="794" t="str">
        <f>IF(Start!$C$17="x",(IF(C128="","",(IF(N128="NA","NA",IF(D128="NA","NA",IF(D128=0,"NA",(N128/D128))))))),"Not Req.")</f>
        <v/>
      </c>
    </row>
    <row r="129" spans="1:15" s="10" customFormat="1" x14ac:dyDescent="0.25">
      <c r="A129" s="405" t="s">
        <v>447</v>
      </c>
      <c r="B129" s="868" t="str">
        <f>IF(Start!$C$17="x",(IF($C129="NA","NA",(IF(C129="","",(IF(AND(N129="NA",C129&lt;&gt;"NA",D129&lt;&gt;"NA"),"Missing Data",(IF(OR(D129 = "NA",D129=""),"No Criteria",(IF(N129&lt;D129,IF(OR(I129&lt;D129,ChemData!AA129&lt;&gt;""),"No-1",IF(M129&lt;D129,"No-2","No-3")),"Needed")))))))))),"---")</f>
        <v/>
      </c>
      <c r="C129" s="426" t="str">
        <f>IF(TRUE=ISBLANK(ChemData!B129),"",(ChemData!B129))</f>
        <v/>
      </c>
      <c r="D129" s="289">
        <f>IF(TRUE=ISBLANK(ChemData!J129),"",(ChemData!J129))</f>
        <v>150</v>
      </c>
      <c r="E129" s="290">
        <f>IF(TRUE=ISBLANK(ChemData!Q129),"",(ChemData!Q129))</f>
        <v>1.1679020446328385</v>
      </c>
      <c r="F129" s="290">
        <f>IF(TRUE=ISBLANK(ChemData!S129),"",(ChemData!S129))</f>
        <v>1</v>
      </c>
      <c r="G129" s="865">
        <f>IF(OR(TRUE=ISBLANK(ChemData!AA129),ChemData!AA129="NA",ChemData!AA129=0),ChemData!Z129,(ChemData!AA129))</f>
        <v>6.8495741227413927</v>
      </c>
      <c r="H129" s="685" t="str">
        <f>IF(Start!$C$17="x",(IF(OR(C129="NA",C129=""),"NA",IF(OR(F129="NA",F129="",F129=0),"NA",C129*F129))),"---")</f>
        <v>NA</v>
      </c>
      <c r="I129" s="376" t="str">
        <f>IF(Start!$C$17="x",(IF($E129 = "NA", "NA", (IF(H129 = "NA", "NA",(IF(OR(ChemData!U129="NA",ChemData!U129=""),H129/((Data!$D$18+$E129*(1-Data!$D$18)*Data!$D$14)/(1000*(1-Data!$D$18)*Data!$D$14)),(IF(H129/((Data!$D$18+$E129*(1-Data!$D$18)*Data!$D$14)/(1000*(1-Data!$D$18)*Data!$D$14))&gt;ChemData!U129, ChemData!U129,H129/((Data!$D$18+$E129*(1-Data!$D$18)*Data!$D$14)/(1000*(1-Data!$D$18)*Data!$D$14)))))))))),"---")</f>
        <v>NA</v>
      </c>
      <c r="J129" s="870" t="str">
        <f>IF(Start!$C$17="x",IF(OR(I129="NA",I129="",ChemData!W129="NA",ChemData!W129=""),"NA",I129/ChemData!W129),"---")</f>
        <v>NA</v>
      </c>
      <c r="K129" s="870" t="str">
        <f>IF(Start!$C$17="x",IF(J129="NA","NA",IF(Data!$D$68&lt;ChemData!X129,J129*(Data!$D$68/ChemData!X129),J129)),"---")</f>
        <v>NA</v>
      </c>
      <c r="L129" s="870" t="str">
        <f>IF(Start!$C$17="x",IF(OR(I129="NA",I129="",ChemData!Z129="NA",ChemData!Z129=""),"NA",I129/ChemData!Z129),"---")</f>
        <v>NA</v>
      </c>
      <c r="M129" s="870" t="str">
        <f>IF(Start!$C$17="x",IF(OR(I129="NA",I129="",ChemData!Y129="NA",ChemData!Y129=""),"NA",I129/ChemData!Y129),"---")</f>
        <v>NA</v>
      </c>
      <c r="N129" s="870" t="str">
        <f>IF(Start!$C$17="x",IF(OR(I129="NA",I129="",G129="NA",G129=""),"NA",I129/G129),"---")</f>
        <v>NA</v>
      </c>
      <c r="O129" s="794" t="str">
        <f>IF(Start!$C$17="x",(IF(C129="","",(IF(N129="NA","NA",IF(D129="NA","NA",IF(D129=0,"NA",(N129/D129))))))),"Not Req.")</f>
        <v/>
      </c>
    </row>
    <row r="130" spans="1:15" s="10" customFormat="1" x14ac:dyDescent="0.25">
      <c r="A130" s="405" t="s">
        <v>448</v>
      </c>
      <c r="B130" s="868" t="str">
        <f>IF(Start!$C$17="x",(IF($C130="NA","NA",(IF(C130="","",(IF(AND(N130="NA",C130&lt;&gt;"NA",D130&lt;&gt;"NA"),"Missing Data",(IF(OR(D130 = "NA",D130=""),"No Criteria",(IF(N130&lt;D130,IF(OR(I130&lt;D130,ChemData!AA130&lt;&gt;""),"No-1",IF(M130&lt;D130,"No-2","No-3")),"Needed")))))))))),"---")</f>
        <v/>
      </c>
      <c r="C130" s="426" t="str">
        <f>IF(TRUE=ISBLANK(ChemData!B130),"",(ChemData!B130))</f>
        <v/>
      </c>
      <c r="D130" s="289">
        <f>IF(TRUE=ISBLANK(ChemData!J130),"",(ChemData!J130))</f>
        <v>300</v>
      </c>
      <c r="E130" s="290">
        <f>IF(TRUE=ISBLANK(ChemData!Q130),"",(ChemData!Q130))</f>
        <v>1.7274537107752317</v>
      </c>
      <c r="F130" s="290">
        <f>IF(TRUE=ISBLANK(ChemData!S130),"",(ChemData!S130))</f>
        <v>1</v>
      </c>
      <c r="G130" s="865">
        <f>IF(OR(TRUE=ISBLANK(ChemData!AA130),ChemData!AA130="NA",ChemData!AA130=0),ChemData!Z130,(ChemData!AA130))</f>
        <v>6.8495741227413927</v>
      </c>
      <c r="H130" s="685" t="str">
        <f>IF(Start!$C$17="x",(IF(OR(C130="NA",C130=""),"NA",IF(OR(F130="NA",F130="",F130=0),"NA",C130*F130))),"---")</f>
        <v>NA</v>
      </c>
      <c r="I130" s="376" t="str">
        <f>IF(Start!$C$17="x",(IF($E130 = "NA", "NA", (IF(H130 = "NA", "NA",(IF(OR(ChemData!U130="NA",ChemData!U130=""),H130/((Data!$D$18+$E130*(1-Data!$D$18)*Data!$D$14)/(1000*(1-Data!$D$18)*Data!$D$14)),(IF(H130/((Data!$D$18+$E130*(1-Data!$D$18)*Data!$D$14)/(1000*(1-Data!$D$18)*Data!$D$14))&gt;ChemData!U130, ChemData!U130,H130/((Data!$D$18+$E130*(1-Data!$D$18)*Data!$D$14)/(1000*(1-Data!$D$18)*Data!$D$14)))))))))),"---")</f>
        <v>NA</v>
      </c>
      <c r="J130" s="870" t="str">
        <f>IF(Start!$C$17="x",IF(OR(I130="NA",I130="",ChemData!W130="NA",ChemData!W130=""),"NA",I130/ChemData!W130),"---")</f>
        <v>NA</v>
      </c>
      <c r="K130" s="870" t="str">
        <f>IF(Start!$C$17="x",IF(J130="NA","NA",IF(Data!$D$68&lt;ChemData!X130,J130*(Data!$D$68/ChemData!X130),J130)),"---")</f>
        <v>NA</v>
      </c>
      <c r="L130" s="870" t="str">
        <f>IF(Start!$C$17="x",IF(OR(I130="NA",I130="",ChemData!Z130="NA",ChemData!Z130=""),"NA",I130/ChemData!Z130),"---")</f>
        <v>NA</v>
      </c>
      <c r="M130" s="870" t="str">
        <f>IF(Start!$C$17="x",IF(OR(I130="NA",I130="",ChemData!Y130="NA",ChemData!Y130=""),"NA",I130/ChemData!Y130),"---")</f>
        <v>NA</v>
      </c>
      <c r="N130" s="870" t="str">
        <f>IF(Start!$C$17="x",IF(OR(I130="NA",I130="",G130="NA",G130=""),"NA",I130/G130),"---")</f>
        <v>NA</v>
      </c>
      <c r="O130" s="794" t="str">
        <f>IF(Start!$C$17="x",(IF(C130="","",(IF(N130="NA","NA",IF(D130="NA","NA",IF(D130=0,"NA",(N130/D130))))))),"Not Req.")</f>
        <v/>
      </c>
    </row>
    <row r="131" spans="1:15" s="10" customFormat="1" x14ac:dyDescent="0.25">
      <c r="A131" s="405" t="s">
        <v>449</v>
      </c>
      <c r="B131" s="868" t="str">
        <f>IF(Start!$C$17="x",(IF($C131="NA","NA",(IF(C131="","",(IF(AND(N131="NA",C131&lt;&gt;"NA",D131&lt;&gt;"NA"),"Missing Data",(IF(OR(D131 = "NA",D131=""),"No Criteria",(IF(N131&lt;D131,IF(OR(I131&lt;D131,ChemData!AA131&lt;&gt;""),"No-1",IF(M131&lt;D131,"No-2","No-3")),"Needed")))))))))),"---")</f>
        <v/>
      </c>
      <c r="C131" s="426" t="str">
        <f>IF(TRUE=ISBLANK(ChemData!B131),"",(ChemData!B131))</f>
        <v/>
      </c>
      <c r="D131" s="289" t="str">
        <f>IF(TRUE=ISBLANK(ChemData!J131),"",(ChemData!J131))</f>
        <v>NA</v>
      </c>
      <c r="E131" s="290">
        <f>IF(TRUE=ISBLANK(ChemData!Q131),"",(ChemData!Q131))</f>
        <v>0.46495017847242326</v>
      </c>
      <c r="F131" s="290">
        <f>IF(TRUE=ISBLANK(ChemData!S131),"",(ChemData!S131))</f>
        <v>1</v>
      </c>
      <c r="G131" s="865">
        <f>IF(OR(TRUE=ISBLANK(ChemData!AA131),ChemData!AA131="NA",ChemData!AA131=0),ChemData!Z131,(ChemData!AA131))</f>
        <v>6.8495741227413927</v>
      </c>
      <c r="H131" s="685" t="str">
        <f>IF(Start!$C$17="x",(IF(OR(C131="NA",C131=""),"NA",IF(OR(F131="NA",F131="",F131=0),"NA",C131*F131))),"---")</f>
        <v>NA</v>
      </c>
      <c r="I131" s="376" t="str">
        <f>IF(Start!$C$17="x",(IF($E131 = "NA", "NA", (IF(H131 = "NA", "NA",(IF(OR(ChemData!U131="NA",ChemData!U131=""),H131/((Data!$D$18+$E131*(1-Data!$D$18)*Data!$D$14)/(1000*(1-Data!$D$18)*Data!$D$14)),(IF(H131/((Data!$D$18+$E131*(1-Data!$D$18)*Data!$D$14)/(1000*(1-Data!$D$18)*Data!$D$14))&gt;ChemData!U131, ChemData!U131,H131/((Data!$D$18+$E131*(1-Data!$D$18)*Data!$D$14)/(1000*(1-Data!$D$18)*Data!$D$14)))))))))),"---")</f>
        <v>NA</v>
      </c>
      <c r="J131" s="870" t="str">
        <f>IF(Start!$C$17="x",IF(OR(I131="NA",I131="",ChemData!W131="NA",ChemData!W131=""),"NA",I131/ChemData!W131),"---")</f>
        <v>NA</v>
      </c>
      <c r="K131" s="870" t="str">
        <f>IF(Start!$C$17="x",IF(J131="NA","NA",IF(Data!$D$68&lt;ChemData!X131,J131*(Data!$D$68/ChemData!X131),J131)),"---")</f>
        <v>NA</v>
      </c>
      <c r="L131" s="870" t="str">
        <f>IF(Start!$C$17="x",IF(OR(I131="NA",I131="",ChemData!Z131="NA",ChemData!Z131=""),"NA",I131/ChemData!Z131),"---")</f>
        <v>NA</v>
      </c>
      <c r="M131" s="870" t="str">
        <f>IF(Start!$C$17="x",IF(OR(I131="NA",I131="",ChemData!Y131="NA",ChemData!Y131=""),"NA",I131/ChemData!Y131),"---")</f>
        <v>NA</v>
      </c>
      <c r="N131" s="870" t="str">
        <f>IF(Start!$C$17="x",IF(OR(I131="NA",I131="",G131="NA",G131=""),"NA",I131/G131),"---")</f>
        <v>NA</v>
      </c>
      <c r="O131" s="794" t="str">
        <f>IF(Start!$C$17="x",(IF(C131="","",(IF(N131="NA","NA",IF(D131="NA","NA",IF(D131=0,"NA",(N131/D131))))))),"Not Req.")</f>
        <v/>
      </c>
    </row>
    <row r="132" spans="1:15" s="10" customFormat="1" x14ac:dyDescent="0.25">
      <c r="A132" s="405" t="s">
        <v>450</v>
      </c>
      <c r="B132" s="868" t="str">
        <f>IF(Start!$C$17="x",(IF($C132="NA","NA",(IF(C132="","",(IF(AND(N132="NA",C132&lt;&gt;"NA",D132&lt;&gt;"NA"),"Missing Data",(IF(OR(D132 = "NA",D132=""),"No Criteria",(IF(N132&lt;D132,IF(OR(I132&lt;D132,ChemData!AA132&lt;&gt;""),"No-1",IF(M132&lt;D132,"No-2","No-3")),"Needed")))))))))),"---")</f>
        <v/>
      </c>
      <c r="C132" s="426" t="str">
        <f>IF(TRUE=ISBLANK(ChemData!B132),"",(ChemData!B132))</f>
        <v/>
      </c>
      <c r="D132" s="289" t="str">
        <f>IF(TRUE=ISBLANK(ChemData!J132),"",(ChemData!J132))</f>
        <v>NA</v>
      </c>
      <c r="E132" s="290">
        <f>IF(TRUE=ISBLANK(ChemData!Q132),"",(ChemData!Q132))</f>
        <v>2.12523235339073E-2</v>
      </c>
      <c r="F132" s="290">
        <f>IF(TRUE=ISBLANK(ChemData!S132),"",(ChemData!S132))</f>
        <v>1</v>
      </c>
      <c r="G132" s="865">
        <f>IF(OR(TRUE=ISBLANK(ChemData!AA132),ChemData!AA132="NA",ChemData!AA132=0),ChemData!Z132,(ChemData!AA132))</f>
        <v>6.8495741227413944</v>
      </c>
      <c r="H132" s="685" t="str">
        <f>IF(Start!$C$17="x",(IF(OR(C132="NA",C132=""),"NA",IF(OR(F132="NA",F132="",F132=0),"NA",C132*F132))),"---")</f>
        <v>NA</v>
      </c>
      <c r="I132" s="376" t="str">
        <f>IF(Start!$C$17="x",(IF($E132 = "NA", "NA", (IF(H132 = "NA", "NA",(IF(OR(ChemData!U132="NA",ChemData!U132=""),H132/((Data!$D$18+$E132*(1-Data!$D$18)*Data!$D$14)/(1000*(1-Data!$D$18)*Data!$D$14)),(IF(H132/((Data!$D$18+$E132*(1-Data!$D$18)*Data!$D$14)/(1000*(1-Data!$D$18)*Data!$D$14))&gt;ChemData!U132, ChemData!U132,H132/((Data!$D$18+$E132*(1-Data!$D$18)*Data!$D$14)/(1000*(1-Data!$D$18)*Data!$D$14)))))))))),"---")</f>
        <v>NA</v>
      </c>
      <c r="J132" s="870" t="str">
        <f>IF(Start!$C$17="x",IF(OR(I132="NA",I132="",ChemData!W132="NA",ChemData!W132=""),"NA",I132/ChemData!W132),"---")</f>
        <v>NA</v>
      </c>
      <c r="K132" s="870" t="str">
        <f>IF(Start!$C$17="x",IF(J132="NA","NA",IF(Data!$D$68&lt;ChemData!X132,J132*(Data!$D$68/ChemData!X132),J132)),"---")</f>
        <v>NA</v>
      </c>
      <c r="L132" s="870" t="str">
        <f>IF(Start!$C$17="x",IF(OR(I132="NA",I132="",ChemData!Z132="NA",ChemData!Z132=""),"NA",I132/ChemData!Z132),"---")</f>
        <v>NA</v>
      </c>
      <c r="M132" s="870" t="str">
        <f>IF(Start!$C$17="x",IF(OR(I132="NA",I132="",ChemData!Y132="NA",ChemData!Y132=""),"NA",I132/ChemData!Y132),"---")</f>
        <v>NA</v>
      </c>
      <c r="N132" s="870" t="str">
        <f>IF(Start!$C$17="x",IF(OR(I132="NA",I132="",G132="NA",G132=""),"NA",I132/G132),"---")</f>
        <v>NA</v>
      </c>
      <c r="O132" s="794" t="str">
        <f>IF(Start!$C$17="x",(IF(C132="","",(IF(N132="NA","NA",IF(D132="NA","NA",IF(D132=0,"NA",(N132/D132))))))),"Not Req.")</f>
        <v/>
      </c>
    </row>
    <row r="133" spans="1:15" s="10" customFormat="1" x14ac:dyDescent="0.25">
      <c r="A133" s="405" t="s">
        <v>451</v>
      </c>
      <c r="B133" s="868" t="str">
        <f>IF(Start!$C$17="x",(IF($C133="NA","NA",(IF(C133="","",(IF(AND(N133="NA",C133&lt;&gt;"NA",D133&lt;&gt;"NA"),"Missing Data",(IF(OR(D133 = "NA",D133=""),"No Criteria",(IF(N133&lt;D133,IF(OR(I133&lt;D133,ChemData!AA133&lt;&gt;""),"No-1",IF(M133&lt;D133,"No-2","No-3")),"Needed")))))))))),"---")</f>
        <v/>
      </c>
      <c r="C133" s="426" t="str">
        <f>IF(TRUE=ISBLANK(ChemData!B133),"",(ChemData!B133))</f>
        <v/>
      </c>
      <c r="D133" s="289">
        <f>IF(TRUE=ISBLANK(ChemData!J133),"",(ChemData!J133))</f>
        <v>210</v>
      </c>
      <c r="E133" s="290">
        <f>IF(TRUE=ISBLANK(ChemData!Q133),"",(ChemData!Q133))</f>
        <v>24.969302956771518</v>
      </c>
      <c r="F133" s="290">
        <f>IF(TRUE=ISBLANK(ChemData!S133),"",(ChemData!S133))</f>
        <v>1</v>
      </c>
      <c r="G133" s="865">
        <f>IF(OR(TRUE=ISBLANK(ChemData!AA133),ChemData!AA133="NA",ChemData!AA133=0),ChemData!Z133,(ChemData!AA133))</f>
        <v>89.781268073062122</v>
      </c>
      <c r="H133" s="685" t="str">
        <f>IF(Start!$C$17="x",(IF(OR(C133="NA",C133=""),"NA",IF(OR(F133="NA",F133="",F133=0),"NA",C133*F133))),"---")</f>
        <v>NA</v>
      </c>
      <c r="I133" s="376" t="str">
        <f>IF(Start!$C$17="x",(IF($E133 = "NA", "NA", (IF(H133 = "NA", "NA",(IF(OR(ChemData!U133="NA",ChemData!U133=""),H133/((Data!$D$18+$E133*(1-Data!$D$18)*Data!$D$14)/(1000*(1-Data!$D$18)*Data!$D$14)),(IF(H133/((Data!$D$18+$E133*(1-Data!$D$18)*Data!$D$14)/(1000*(1-Data!$D$18)*Data!$D$14))&gt;ChemData!U133, ChemData!U133,H133/((Data!$D$18+$E133*(1-Data!$D$18)*Data!$D$14)/(1000*(1-Data!$D$18)*Data!$D$14)))))))))),"---")</f>
        <v>NA</v>
      </c>
      <c r="J133" s="870" t="str">
        <f>IF(Start!$C$17="x",IF(OR(I133="NA",I133="",ChemData!W133="NA",ChemData!W133=""),"NA",I133/ChemData!W133),"---")</f>
        <v>NA</v>
      </c>
      <c r="K133" s="870" t="str">
        <f>IF(Start!$C$17="x",IF(J133="NA","NA",IF(Data!$D$68&lt;ChemData!X133,J133*(Data!$D$68/ChemData!X133),J133)),"---")</f>
        <v>NA</v>
      </c>
      <c r="L133" s="870" t="str">
        <f>IF(Start!$C$17="x",IF(OR(I133="NA",I133="",ChemData!Z133="NA",ChemData!Z133=""),"NA",I133/ChemData!Z133),"---")</f>
        <v>NA</v>
      </c>
      <c r="M133" s="870" t="str">
        <f>IF(Start!$C$17="x",IF(OR(I133="NA",I133="",ChemData!Y133="NA",ChemData!Y133=""),"NA",I133/ChemData!Y133),"---")</f>
        <v>NA</v>
      </c>
      <c r="N133" s="870" t="str">
        <f>IF(Start!$C$17="x",IF(OR(I133="NA",I133="",G133="NA",G133=""),"NA",I133/G133),"---")</f>
        <v>NA</v>
      </c>
      <c r="O133" s="794" t="str">
        <f>IF(Start!$C$17="x",(IF(C133="","",(IF(N133="NA","NA",IF(D133="NA","NA",IF(D133=0,"NA",(N133/D133))))))),"Not Req.")</f>
        <v/>
      </c>
    </row>
    <row r="134" spans="1:15" s="10" customFormat="1" x14ac:dyDescent="0.25">
      <c r="A134" s="405" t="s">
        <v>452</v>
      </c>
      <c r="B134" s="868" t="str">
        <f>IF(Start!$C$17="x",(IF($C134="NA","NA",(IF(C134="","",(IF(AND(N134="NA",C134&lt;&gt;"NA",D134&lt;&gt;"NA"),"Missing Data",(IF(OR(D134 = "NA",D134=""),"No Criteria",(IF(N134&lt;D134,IF(OR(I134&lt;D134,ChemData!AA134&lt;&gt;""),"No-1",IF(M134&lt;D134,"No-2","No-3")),"Needed")))))))))),"---")</f>
        <v/>
      </c>
      <c r="C134" s="426" t="str">
        <f>IF(TRUE=ISBLANK(ChemData!B134),"",(ChemData!B134))</f>
        <v/>
      </c>
      <c r="D134" s="289" t="str">
        <f>IF(TRUE=ISBLANK(ChemData!J134),"",(ChemData!J134))</f>
        <v>NA</v>
      </c>
      <c r="E134" s="290">
        <f>IF(TRUE=ISBLANK(ChemData!Q134),"",(ChemData!Q134))</f>
        <v>1.3104076468950407</v>
      </c>
      <c r="F134" s="290">
        <f>IF(TRUE=ISBLANK(ChemData!S134),"",(ChemData!S134))</f>
        <v>1</v>
      </c>
      <c r="G134" s="865">
        <f>IF(OR(TRUE=ISBLANK(ChemData!AA134),ChemData!AA134="NA",ChemData!AA134=0),ChemData!Z134,(ChemData!AA134))</f>
        <v>6.8495741227413927</v>
      </c>
      <c r="H134" s="685" t="str">
        <f>IF(Start!$C$17="x",(IF(OR(C134="NA",C134=""),"NA",IF(OR(F134="NA",F134="",F134=0),"NA",C134*F134))),"---")</f>
        <v>NA</v>
      </c>
      <c r="I134" s="376" t="str">
        <f>IF(Start!$C$17="x",(IF($E134 = "NA", "NA", (IF(H134 = "NA", "NA",(IF(OR(ChemData!U134="NA",ChemData!U134=""),H134/((Data!$D$18+$E134*(1-Data!$D$18)*Data!$D$14)/(1000*(1-Data!$D$18)*Data!$D$14)),(IF(H134/((Data!$D$18+$E134*(1-Data!$D$18)*Data!$D$14)/(1000*(1-Data!$D$18)*Data!$D$14))&gt;ChemData!U134, ChemData!U134,H134/((Data!$D$18+$E134*(1-Data!$D$18)*Data!$D$14)/(1000*(1-Data!$D$18)*Data!$D$14)))))))))),"---")</f>
        <v>NA</v>
      </c>
      <c r="J134" s="870" t="str">
        <f>IF(Start!$C$17="x",IF(OR(I134="NA",I134="",ChemData!W134="NA",ChemData!W134=""),"NA",I134/ChemData!W134),"---")</f>
        <v>NA</v>
      </c>
      <c r="K134" s="870" t="str">
        <f>IF(Start!$C$17="x",IF(J134="NA","NA",IF(Data!$D$68&lt;ChemData!X134,J134*(Data!$D$68/ChemData!X134),J134)),"---")</f>
        <v>NA</v>
      </c>
      <c r="L134" s="870" t="str">
        <f>IF(Start!$C$17="x",IF(OR(I134="NA",I134="",ChemData!Z134="NA",ChemData!Z134=""),"NA",I134/ChemData!Z134),"---")</f>
        <v>NA</v>
      </c>
      <c r="M134" s="870" t="str">
        <f>IF(Start!$C$17="x",IF(OR(I134="NA",I134="",ChemData!Y134="NA",ChemData!Y134=""),"NA",I134/ChemData!Y134),"---")</f>
        <v>NA</v>
      </c>
      <c r="N134" s="870" t="str">
        <f>IF(Start!$C$17="x",IF(OR(I134="NA",I134="",G134="NA",G134=""),"NA",I134/G134),"---")</f>
        <v>NA</v>
      </c>
      <c r="O134" s="794" t="str">
        <f>IF(Start!$C$17="x",(IF(C134="","",(IF(N134="NA","NA",IF(D134="NA","NA",IF(D134=0,"NA",(N134/D134))))))),"Not Req.")</f>
        <v/>
      </c>
    </row>
    <row r="135" spans="1:15" s="10" customFormat="1" x14ac:dyDescent="0.25">
      <c r="A135" s="405" t="s">
        <v>453</v>
      </c>
      <c r="B135" s="868" t="str">
        <f>IF(Start!$C$17="x",(IF($C135="NA","NA",(IF(C135="","",(IF(AND(N135="NA",C135&lt;&gt;"NA",D135&lt;&gt;"NA"),"Missing Data",(IF(OR(D135 = "NA",D135=""),"No Criteria",(IF(N135&lt;D135,IF(OR(I135&lt;D135,ChemData!AA135&lt;&gt;""),"No-1",IF(M135&lt;D135,"No-2","No-3")),"Needed")))))))))),"---")</f>
        <v/>
      </c>
      <c r="C135" s="426" t="str">
        <f>IF(TRUE=ISBLANK(ChemData!B135),"",(ChemData!B135))</f>
        <v/>
      </c>
      <c r="D135" s="289">
        <f>IF(TRUE=ISBLANK(ChemData!J135),"",(ChemData!J135))</f>
        <v>0.47</v>
      </c>
      <c r="E135" s="290">
        <f>IF(TRUE=ISBLANK(ChemData!Q135),"",(ChemData!Q135))</f>
        <v>9384.398010164783</v>
      </c>
      <c r="F135" s="290">
        <f>IF(TRUE=ISBLANK(ChemData!S135),"",(ChemData!S135))</f>
        <v>1</v>
      </c>
      <c r="G135" s="865">
        <f>IF(OR(TRUE=ISBLANK(ChemData!AA135),ChemData!AA135="NA",ChemData!AA135=0),ChemData!Z135,(ChemData!AA135))</f>
        <v>542911.40598032181</v>
      </c>
      <c r="H135" s="685" t="str">
        <f>IF(Start!$C$17="x",(IF(OR(C135="NA",C135=""),"NA",IF(OR(F135="NA",F135="",F135=0),"NA",C135*F135))),"---")</f>
        <v>NA</v>
      </c>
      <c r="I135" s="376" t="str">
        <f>IF(Start!$C$17="x",(IF($E135 = "NA", "NA", (IF(H135 = "NA", "NA",(IF(OR(ChemData!U135="NA",ChemData!U135=""),H135/((Data!$D$18+$E135*(1-Data!$D$18)*Data!$D$14)/(1000*(1-Data!$D$18)*Data!$D$14)),(IF(H135/((Data!$D$18+$E135*(1-Data!$D$18)*Data!$D$14)/(1000*(1-Data!$D$18)*Data!$D$14))&gt;ChemData!U135, ChemData!U135,H135/((Data!$D$18+$E135*(1-Data!$D$18)*Data!$D$14)/(1000*(1-Data!$D$18)*Data!$D$14)))))))))),"---")</f>
        <v>NA</v>
      </c>
      <c r="J135" s="870" t="str">
        <f>IF(Start!$C$17="x",IF(OR(I135="NA",I135="",ChemData!W135="NA",ChemData!W135=""),"NA",I135/ChemData!W135),"---")</f>
        <v>NA</v>
      </c>
      <c r="K135" s="870" t="str">
        <f>IF(Start!$C$17="x",IF(J135="NA","NA",IF(Data!$D$68&lt;ChemData!X135,J135*(Data!$D$68/ChemData!X135),J135)),"---")</f>
        <v>NA</v>
      </c>
      <c r="L135" s="870" t="str">
        <f>IF(Start!$C$17="x",IF(OR(I135="NA",I135="",ChemData!Z135="NA",ChemData!Z135=""),"NA",I135/ChemData!Z135),"---")</f>
        <v>NA</v>
      </c>
      <c r="M135" s="870" t="str">
        <f>IF(Start!$C$17="x",IF(OR(I135="NA",I135="",ChemData!Y135="NA",ChemData!Y135=""),"NA",I135/ChemData!Y135),"---")</f>
        <v>NA</v>
      </c>
      <c r="N135" s="870" t="str">
        <f>IF(Start!$C$17="x",IF(OR(I135="NA",I135="",G135="NA",G135=""),"NA",I135/G135),"---")</f>
        <v>NA</v>
      </c>
      <c r="O135" s="794" t="str">
        <f>IF(Start!$C$17="x",(IF(C135="","",(IF(N135="NA","NA",IF(D135="NA","NA",IF(D135=0,"NA",(N135/D135))))))),"Not Req.")</f>
        <v/>
      </c>
    </row>
    <row r="136" spans="1:15" s="10" customFormat="1" x14ac:dyDescent="0.25">
      <c r="A136" s="405" t="s">
        <v>454</v>
      </c>
      <c r="B136" s="868" t="str">
        <f>IF(Start!$C$17="x",(IF($C136="NA","NA",(IF(C136="","",(IF(AND(N136="NA",C136&lt;&gt;"NA",D136&lt;&gt;"NA"),"Missing Data",(IF(OR(D136 = "NA",D136=""),"No Criteria",(IF(N136&lt;D136,IF(OR(I136&lt;D136,ChemData!AA136&lt;&gt;""),"No-1",IF(M136&lt;D136,"No-2","No-3")),"Needed")))))))))),"---")</f>
        <v/>
      </c>
      <c r="C136" s="426" t="str">
        <f>IF(TRUE=ISBLANK(ChemData!B136),"",(ChemData!B136))</f>
        <v/>
      </c>
      <c r="D136" s="289">
        <f>IF(TRUE=ISBLANK(ChemData!J136),"",(ChemData!J136))</f>
        <v>15</v>
      </c>
      <c r="E136" s="290">
        <f>IF(TRUE=ISBLANK(ChemData!Q136),"",(ChemData!Q136))</f>
        <v>2174.7353741930724</v>
      </c>
      <c r="F136" s="290">
        <f>IF(TRUE=ISBLANK(ChemData!S136),"",(ChemData!S136))</f>
        <v>1</v>
      </c>
      <c r="G136" s="865">
        <f>IF(OR(TRUE=ISBLANK(ChemData!AA136),ChemData!AA136="NA",ChemData!AA136=0),ChemData!Z136,(ChemData!AA136))</f>
        <v>63415.155586199457</v>
      </c>
      <c r="H136" s="685" t="str">
        <f>IF(Start!$C$17="x",(IF(OR(C136="NA",C136=""),"NA",IF(OR(F136="NA",F136="",F136=0),"NA",C136*F136))),"---")</f>
        <v>NA</v>
      </c>
      <c r="I136" s="376" t="str">
        <f>IF(Start!$C$17="x",(IF($E136 = "NA", "NA", (IF(H136 = "NA", "NA",(IF(OR(ChemData!U136="NA",ChemData!U136=""),H136/((Data!$D$18+$E136*(1-Data!$D$18)*Data!$D$14)/(1000*(1-Data!$D$18)*Data!$D$14)),(IF(H136/((Data!$D$18+$E136*(1-Data!$D$18)*Data!$D$14)/(1000*(1-Data!$D$18)*Data!$D$14))&gt;ChemData!U136, ChemData!U136,H136/((Data!$D$18+$E136*(1-Data!$D$18)*Data!$D$14)/(1000*(1-Data!$D$18)*Data!$D$14)))))))))),"---")</f>
        <v>NA</v>
      </c>
      <c r="J136" s="870" t="str">
        <f>IF(Start!$C$17="x",IF(OR(I136="NA",I136="",ChemData!W136="NA",ChemData!W136=""),"NA",I136/ChemData!W136),"---")</f>
        <v>NA</v>
      </c>
      <c r="K136" s="870" t="str">
        <f>IF(Start!$C$17="x",IF(J136="NA","NA",IF(Data!$D$68&lt;ChemData!X136,J136*(Data!$D$68/ChemData!X136),J136)),"---")</f>
        <v>NA</v>
      </c>
      <c r="L136" s="870" t="str">
        <f>IF(Start!$C$17="x",IF(OR(I136="NA",I136="",ChemData!Z136="NA",ChemData!Z136=""),"NA",I136/ChemData!Z136),"---")</f>
        <v>NA</v>
      </c>
      <c r="M136" s="870" t="str">
        <f>IF(Start!$C$17="x",IF(OR(I136="NA",I136="",ChemData!Y136="NA",ChemData!Y136=""),"NA",I136/ChemData!Y136),"---")</f>
        <v>NA</v>
      </c>
      <c r="N136" s="870" t="str">
        <f>IF(Start!$C$17="x",IF(OR(I136="NA",I136="",G136="NA",G136=""),"NA",I136/G136),"---")</f>
        <v>NA</v>
      </c>
      <c r="O136" s="794" t="str">
        <f>IF(Start!$C$17="x",(IF(C136="","",(IF(N136="NA","NA",IF(D136="NA","NA",IF(D136=0,"NA",(N136/D136))))))),"Not Req.")</f>
        <v/>
      </c>
    </row>
    <row r="137" spans="1:15" s="10" customFormat="1" x14ac:dyDescent="0.25">
      <c r="A137" s="405" t="s">
        <v>455</v>
      </c>
      <c r="B137" s="868" t="str">
        <f>IF(Start!$C$17="x",(IF($C137="NA","NA",(IF(C137="","",(IF(AND(N137="NA",C137&lt;&gt;"NA",D137&lt;&gt;"NA"),"Missing Data",(IF(OR(D137 = "NA",D137=""),"No Criteria",(IF(N137&lt;D137,IF(OR(I137&lt;D137,ChemData!AA137&lt;&gt;""),"No-1",IF(M137&lt;D137,"No-2","No-3")),"Needed")))))))))),"---")</f>
        <v/>
      </c>
      <c r="C137" s="426" t="str">
        <f>IF(TRUE=ISBLANK(ChemData!B137),"",(ChemData!B137))</f>
        <v/>
      </c>
      <c r="D137" s="289">
        <f>IF(TRUE=ISBLANK(ChemData!J137),"",(ChemData!J137))</f>
        <v>110</v>
      </c>
      <c r="E137" s="290">
        <f>IF(TRUE=ISBLANK(ChemData!Q137),"",(ChemData!Q137))</f>
        <v>0.53383423122873486</v>
      </c>
      <c r="F137" s="290">
        <f>IF(TRUE=ISBLANK(ChemData!S137),"",(ChemData!S137))</f>
        <v>1</v>
      </c>
      <c r="G137" s="865">
        <f>IF(OR(TRUE=ISBLANK(ChemData!AA137),ChemData!AA137="NA",ChemData!AA137=0),ChemData!Z137,(ChemData!AA137))</f>
        <v>6.8495741227413944</v>
      </c>
      <c r="H137" s="685" t="str">
        <f>IF(Start!$C$17="x",(IF(OR(C137="NA",C137=""),"NA",IF(OR(F137="NA",F137="",F137=0),"NA",C137*F137))),"---")</f>
        <v>NA</v>
      </c>
      <c r="I137" s="376" t="str">
        <f>IF(Start!$C$17="x",(IF($E137 = "NA", "NA", (IF(H137 = "NA", "NA",(IF(OR(ChemData!U137="NA",ChemData!U137=""),H137/((Data!$D$18+$E137*(1-Data!$D$18)*Data!$D$14)/(1000*(1-Data!$D$18)*Data!$D$14)),(IF(H137/((Data!$D$18+$E137*(1-Data!$D$18)*Data!$D$14)/(1000*(1-Data!$D$18)*Data!$D$14))&gt;ChemData!U137, ChemData!U137,H137/((Data!$D$18+$E137*(1-Data!$D$18)*Data!$D$14)/(1000*(1-Data!$D$18)*Data!$D$14)))))))))),"---")</f>
        <v>NA</v>
      </c>
      <c r="J137" s="870" t="str">
        <f>IF(Start!$C$17="x",IF(OR(I137="NA",I137="",ChemData!W137="NA",ChemData!W137=""),"NA",I137/ChemData!W137),"---")</f>
        <v>NA</v>
      </c>
      <c r="K137" s="870" t="str">
        <f>IF(Start!$C$17="x",IF(J137="NA","NA",IF(Data!$D$68&lt;ChemData!X137,J137*(Data!$D$68/ChemData!X137),J137)),"---")</f>
        <v>NA</v>
      </c>
      <c r="L137" s="870" t="str">
        <f>IF(Start!$C$17="x",IF(OR(I137="NA",I137="",ChemData!Z137="NA",ChemData!Z137=""),"NA",I137/ChemData!Z137),"---")</f>
        <v>NA</v>
      </c>
      <c r="M137" s="870" t="str">
        <f>IF(Start!$C$17="x",IF(OR(I137="NA",I137="",ChemData!Y137="NA",ChemData!Y137=""),"NA",I137/ChemData!Y137),"---")</f>
        <v>NA</v>
      </c>
      <c r="N137" s="870" t="str">
        <f>IF(Start!$C$17="x",IF(OR(I137="NA",I137="",G137="NA",G137=""),"NA",I137/G137),"---")</f>
        <v>NA</v>
      </c>
      <c r="O137" s="794" t="str">
        <f>IF(Start!$C$17="x",(IF(C137="","",(IF(N137="NA","NA",IF(D137="NA","NA",IF(D137=0,"NA",(N137/D137))))))),"Not Req.")</f>
        <v/>
      </c>
    </row>
    <row r="138" spans="1:15" s="10" customFormat="1" x14ac:dyDescent="0.25">
      <c r="A138" s="407" t="s">
        <v>456</v>
      </c>
      <c r="B138" s="868" t="str">
        <f>IF(Start!$C$17="x",(IF($C138="NA","NA",(IF(C138="","",(IF(AND(N138="NA",C138&lt;&gt;"NA",D138&lt;&gt;"NA"),"Missing Data",(IF(OR(D138 = "NA",D138=""),"No Criteria",(IF(N138&lt;D138,IF(OR(I138&lt;D138,ChemData!AA138&lt;&gt;""),"No-1",IF(M138&lt;D138,"No-2","No-3")),"Needed")))))))))),"---")</f>
        <v/>
      </c>
      <c r="C138" s="426" t="str">
        <f>IF(TRUE=ISBLANK(ChemData!B138),"",(ChemData!B138))</f>
        <v/>
      </c>
      <c r="D138" s="289">
        <f>IF(TRUE=ISBLANK(ChemData!J138),"",(ChemData!J138))</f>
        <v>110</v>
      </c>
      <c r="E138" s="290">
        <f>IF(TRUE=ISBLANK(ChemData!Q138),"",(ChemData!Q138))</f>
        <v>189.41153287116774</v>
      </c>
      <c r="F138" s="290">
        <f>IF(TRUE=ISBLANK(ChemData!S138),"",(ChemData!S138))</f>
        <v>1</v>
      </c>
      <c r="G138" s="865">
        <f>IF(OR(TRUE=ISBLANK(ChemData!AA138),ChemData!AA138="NA",ChemData!AA138=0),ChemData!Z138,(ChemData!AA138))</f>
        <v>1760.0254821094593</v>
      </c>
      <c r="H138" s="685" t="str">
        <f>IF(Start!$C$17="x",(IF(OR(C138="NA",C138=""),"NA",IF(OR(F138="NA",F138="",F138=0),"NA",C138*F138))),"---")</f>
        <v>NA</v>
      </c>
      <c r="I138" s="376" t="str">
        <f>IF(Start!$C$17="x",(IF($E138 = "NA", "NA", (IF(H138 = "NA", "NA",(IF(OR(ChemData!U138="NA",ChemData!U138=""),H138/((Data!$D$18+$E138*(1-Data!$D$18)*Data!$D$14)/(1000*(1-Data!$D$18)*Data!$D$14)),(IF(H138/((Data!$D$18+$E138*(1-Data!$D$18)*Data!$D$14)/(1000*(1-Data!$D$18)*Data!$D$14))&gt;ChemData!U138, ChemData!U138,H138/((Data!$D$18+$E138*(1-Data!$D$18)*Data!$D$14)/(1000*(1-Data!$D$18)*Data!$D$14)))))))))),"---")</f>
        <v>NA</v>
      </c>
      <c r="J138" s="870" t="str">
        <f>IF(Start!$C$17="x",IF(OR(I138="NA",I138="",ChemData!W138="NA",ChemData!W138=""),"NA",I138/ChemData!W138),"---")</f>
        <v>NA</v>
      </c>
      <c r="K138" s="870" t="str">
        <f>IF(Start!$C$17="x",IF(J138="NA","NA",IF(Data!$D$68&lt;ChemData!X138,J138*(Data!$D$68/ChemData!X138),J138)),"---")</f>
        <v>NA</v>
      </c>
      <c r="L138" s="870" t="str">
        <f>IF(Start!$C$17="x",IF(OR(I138="NA",I138="",ChemData!Z138="NA",ChemData!Z138=""),"NA",I138/ChemData!Z138),"---")</f>
        <v>NA</v>
      </c>
      <c r="M138" s="870" t="str">
        <f>IF(Start!$C$17="x",IF(OR(I138="NA",I138="",ChemData!Y138="NA",ChemData!Y138=""),"NA",I138/ChemData!Y138),"---")</f>
        <v>NA</v>
      </c>
      <c r="N138" s="870" t="str">
        <f>IF(Start!$C$17="x",IF(OR(I138="NA",I138="",G138="NA",G138=""),"NA",I138/G138),"---")</f>
        <v>NA</v>
      </c>
      <c r="O138" s="794" t="str">
        <f>IF(Start!$C$17="x",(IF(C138="","",(IF(N138="NA","NA",IF(D138="NA","NA",IF(D138=0,"NA",(N138/D138))))))),"Not Req.")</f>
        <v/>
      </c>
    </row>
    <row r="139" spans="1:15" s="10" customFormat="1" x14ac:dyDescent="0.25">
      <c r="A139" s="407" t="s">
        <v>457</v>
      </c>
      <c r="B139" s="868" t="str">
        <f>IF(Start!$C$17="x",(IF($C139="NA","NA",(IF(C139="","",(IF(AND(N139="NA",C139&lt;&gt;"NA",D139&lt;&gt;"NA"),"Missing Data",(IF(OR(D139 = "NA",D139=""),"No Criteria",(IF(N139&lt;D139,IF(OR(I139&lt;D139,ChemData!AA139&lt;&gt;""),"No-1",IF(M139&lt;D139,"No-2","No-3")),"Needed")))))))))),"---")</f>
        <v/>
      </c>
      <c r="C139" s="426" t="str">
        <f>IF(TRUE=ISBLANK(ChemData!B139),"",(ChemData!B139))</f>
        <v/>
      </c>
      <c r="D139" s="289" t="str">
        <f>IF(TRUE=ISBLANK(ChemData!J139),"",(ChemData!J139))</f>
        <v>NA</v>
      </c>
      <c r="E139" s="290">
        <f>IF(TRUE=ISBLANK(ChemData!Q139),"",(ChemData!Q139))</f>
        <v>147.0301562474645</v>
      </c>
      <c r="F139" s="290">
        <f>IF(TRUE=ISBLANK(ChemData!S139),"",(ChemData!S139))</f>
        <v>1</v>
      </c>
      <c r="G139" s="865">
        <f>IF(OR(TRUE=ISBLANK(ChemData!AA139),ChemData!AA139="NA",ChemData!AA139=0),ChemData!Z139,(ChemData!AA139))</f>
        <v>1213.325438588784</v>
      </c>
      <c r="H139" s="685" t="str">
        <f>IF(Start!$C$17="x",(IF(OR(C139="NA",C139=""),"NA",IF(OR(F139="NA",F139="",F139=0),"NA",C139*F139))),"---")</f>
        <v>NA</v>
      </c>
      <c r="I139" s="376" t="str">
        <f>IF(Start!$C$17="x",(IF($E139 = "NA", "NA", (IF(H139 = "NA", "NA",(IF(OR(ChemData!U139="NA",ChemData!U139=""),H139/((Data!$D$18+$E139*(1-Data!$D$18)*Data!$D$14)/(1000*(1-Data!$D$18)*Data!$D$14)),(IF(H139/((Data!$D$18+$E139*(1-Data!$D$18)*Data!$D$14)/(1000*(1-Data!$D$18)*Data!$D$14))&gt;ChemData!U139, ChemData!U139,H139/((Data!$D$18+$E139*(1-Data!$D$18)*Data!$D$14)/(1000*(1-Data!$D$18)*Data!$D$14)))))))))),"---")</f>
        <v>NA</v>
      </c>
      <c r="J139" s="870" t="str">
        <f>IF(Start!$C$17="x",IF(OR(I139="NA",I139="",ChemData!W139="NA",ChemData!W139=""),"NA",I139/ChemData!W139),"---")</f>
        <v>NA</v>
      </c>
      <c r="K139" s="870" t="str">
        <f>IF(Start!$C$17="x",IF(J139="NA","NA",IF(Data!$D$68&lt;ChemData!X139,J139*(Data!$D$68/ChemData!X139),J139)),"---")</f>
        <v>NA</v>
      </c>
      <c r="L139" s="870" t="str">
        <f>IF(Start!$C$17="x",IF(OR(I139="NA",I139="",ChemData!Z139="NA",ChemData!Z139=""),"NA",I139/ChemData!Z139),"---")</f>
        <v>NA</v>
      </c>
      <c r="M139" s="870" t="str">
        <f>IF(Start!$C$17="x",IF(OR(I139="NA",I139="",ChemData!Y139="NA",ChemData!Y139=""),"NA",I139/ChemData!Y139),"---")</f>
        <v>NA</v>
      </c>
      <c r="N139" s="870" t="str">
        <f>IF(Start!$C$17="x",IF(OR(I139="NA",I139="",G139="NA",G139=""),"NA",I139/G139),"---")</f>
        <v>NA</v>
      </c>
      <c r="O139" s="794" t="str">
        <f>IF(Start!$C$17="x",(IF(C139="","",(IF(N139="NA","NA",IF(D139="NA","NA",IF(D139=0,"NA",(N139/D139))))))),"Not Req.")</f>
        <v/>
      </c>
    </row>
    <row r="140" spans="1:15" s="10" customFormat="1" ht="13.8" thickBot="1" x14ac:dyDescent="0.3">
      <c r="A140" s="405" t="s">
        <v>458</v>
      </c>
      <c r="B140" s="868" t="str">
        <f>IF(Start!$C$17="x",(IF($C140="NA","NA",(IF(C140="","",(IF(AND(N140="NA",C140&lt;&gt;"NA",D140&lt;&gt;"NA"),"Missing Data",(IF(OR(D140 = "NA",D140=""),"No Criteria",(IF(N140&lt;D140,IF(OR(I140&lt;D140,ChemData!AA140&lt;&gt;""),"No-1",IF(M140&lt;D140,"No-2","No-3")),"Needed")))))))))),"---")</f>
        <v/>
      </c>
      <c r="C140" s="426" t="str">
        <f>IF(TRUE=ISBLANK(ChemData!B140),"",(ChemData!B140))</f>
        <v/>
      </c>
      <c r="D140" s="289">
        <f>IF(TRUE=ISBLANK(ChemData!J140),"",(ChemData!J140))</f>
        <v>970</v>
      </c>
      <c r="E140" s="290">
        <f>IF(TRUE=ISBLANK(ChemData!Q140),"",(ChemData!Q140))</f>
        <v>73.689637269452419</v>
      </c>
      <c r="F140" s="290">
        <f>IF(TRUE=ISBLANK(ChemData!S140),"",(ChemData!S140))</f>
        <v>1</v>
      </c>
      <c r="G140" s="865">
        <f>IF(OR(TRUE=ISBLANK(ChemData!AA140),ChemData!AA140="NA",ChemData!AA140=0),ChemData!Z140,(ChemData!AA140))</f>
        <v>439.95591375457974</v>
      </c>
      <c r="H140" s="685" t="str">
        <f>IF(Start!$C$17="x",(IF(OR(C140="NA",C140=""),"NA",IF(OR(F140="NA",F140="",F140=0),"NA",C140*F140))),"---")</f>
        <v>NA</v>
      </c>
      <c r="I140" s="376" t="str">
        <f>IF(Start!$C$17="x",(IF($E140 = "NA", "NA", (IF(H140 = "NA", "NA",(IF(OR(ChemData!U140="NA",ChemData!U140=""),H140/((Data!$D$18+$E140*(1-Data!$D$18)*Data!$D$14)/(1000*(1-Data!$D$18)*Data!$D$14)),(IF(H140/((Data!$D$18+$E140*(1-Data!$D$18)*Data!$D$14)/(1000*(1-Data!$D$18)*Data!$D$14))&gt;ChemData!U140, ChemData!U140,H140/((Data!$D$18+$E140*(1-Data!$D$18)*Data!$D$14)/(1000*(1-Data!$D$18)*Data!$D$14)))))))))),"---")</f>
        <v>NA</v>
      </c>
      <c r="J140" s="870" t="str">
        <f>IF(Start!$C$17="x",IF(OR(I140="NA",I140="",ChemData!W140="NA",ChemData!W140=""),"NA",I140/ChemData!W140),"---")</f>
        <v>NA</v>
      </c>
      <c r="K140" s="870" t="str">
        <f>IF(Start!$C$17="x",IF(J140="NA","NA",IF(Data!$D$68&lt;ChemData!X140,J140*(Data!$D$68/ChemData!X140),J140)),"---")</f>
        <v>NA</v>
      </c>
      <c r="L140" s="870" t="str">
        <f>IF(Start!$C$17="x",IF(OR(I140="NA",I140="",ChemData!Z140="NA",ChemData!Z140=""),"NA",I140/ChemData!Z140),"---")</f>
        <v>NA</v>
      </c>
      <c r="M140" s="870" t="str">
        <f>IF(Start!$C$17="x",IF(OR(I140="NA",I140="",ChemData!Y140="NA",ChemData!Y140=""),"NA",I140/ChemData!Y140),"---")</f>
        <v>NA</v>
      </c>
      <c r="N140" s="870" t="str">
        <f>IF(Start!$C$17="x",IF(OR(I140="NA",I140="",G140="NA",G140=""),"NA",I140/G140),"---")</f>
        <v>NA</v>
      </c>
      <c r="O140" s="794" t="str">
        <f>IF(Start!$C$17="x",(IF(C140="","",(IF(N140="NA","NA",IF(D140="NA","NA",IF(D140=0,"NA",(N140/D140))))))),"Not Req.")</f>
        <v/>
      </c>
    </row>
    <row r="141" spans="1:15" s="10" customFormat="1" x14ac:dyDescent="0.25">
      <c r="A141" s="554" t="s">
        <v>459</v>
      </c>
      <c r="B141" s="527"/>
      <c r="C141" s="528"/>
      <c r="D141" s="511"/>
      <c r="E141" s="512"/>
      <c r="F141" s="512"/>
      <c r="G141" s="808"/>
      <c r="H141" s="511"/>
      <c r="I141" s="512"/>
      <c r="J141" s="534"/>
      <c r="K141" s="534"/>
      <c r="L141" s="534"/>
      <c r="M141" s="534"/>
      <c r="N141" s="534"/>
      <c r="O141" s="807"/>
    </row>
    <row r="142" spans="1:15" s="10" customFormat="1" x14ac:dyDescent="0.25">
      <c r="A142" s="405" t="s">
        <v>460</v>
      </c>
      <c r="B142" s="868" t="str">
        <f>IF(Start!$C$17="x",(IF($C142="NA","NA",(IF(C142="","",(IF(AND(N142="NA",C142&lt;&gt;"NA",D142&lt;&gt;"NA"),"Missing Data",(IF(OR(D142 = "NA",D142=""),"No Criteria",(IF(N142&lt;D142,IF(OR(I142&lt;D142,ChemData!AA142&lt;&gt;""),"No-1",IF(M142&lt;D142,"No-2","No-3")),"Needed")))))))))),"---")</f>
        <v/>
      </c>
      <c r="C142" s="426" t="str">
        <f>IF(TRUE=ISBLANK(ChemData!B142),"",(ChemData!B142))</f>
        <v/>
      </c>
      <c r="D142" s="289">
        <f>IF(TRUE=ISBLANK(ChemData!J142),"",(ChemData!J142))</f>
        <v>1500</v>
      </c>
      <c r="E142" s="290">
        <f>IF(TRUE=ISBLANK(ChemData!Q142),"",(ChemData!Q142))</f>
        <v>1.0651393240110774E-2</v>
      </c>
      <c r="F142" s="290">
        <f>IF(TRUE=ISBLANK(ChemData!S142),"",(ChemData!S142))</f>
        <v>1</v>
      </c>
      <c r="G142" s="865">
        <f>IF(OR(TRUE=ISBLANK(ChemData!AA142),ChemData!AA142="NA",ChemData!AA142=0),ChemData!Z142,(ChemData!AA142))</f>
        <v>6.8495741227413944</v>
      </c>
      <c r="H142" s="685" t="str">
        <f>IF(Start!$C$17="x",(IF(OR(C142="NA",C142=""),"NA",IF(OR(F142="NA",F142="",F142=0),"NA",C142*F142))),"---")</f>
        <v>NA</v>
      </c>
      <c r="I142" s="376" t="str">
        <f>IF(Start!$C$17="x",(IF($E142 = "NA", "NA", (IF(H142 = "NA", "NA",(IF(OR(ChemData!U142="NA",ChemData!U142=""),H142/((Data!$D$18+$E142*(1-Data!$D$18)*Data!$D$14)/(1000*(1-Data!$D$18)*Data!$D$14)),(IF(H142/((Data!$D$18+$E142*(1-Data!$D$18)*Data!$D$14)/(1000*(1-Data!$D$18)*Data!$D$14))&gt;ChemData!U142, ChemData!U142,H142/((Data!$D$18+$E142*(1-Data!$D$18)*Data!$D$14)/(1000*(1-Data!$D$18)*Data!$D$14)))))))))),"---")</f>
        <v>NA</v>
      </c>
      <c r="J142" s="870" t="str">
        <f>IF(Start!$C$17="x",IF(OR(I142="NA",I142="",ChemData!W142="NA",ChemData!W142=""),"NA",I142/ChemData!W142),"---")</f>
        <v>NA</v>
      </c>
      <c r="K142" s="870" t="str">
        <f>IF(Start!$C$17="x",IF(J142="NA","NA",IF(Data!$D$68&lt;ChemData!X142,J142*(Data!$D$68/ChemData!X142),J142)),"---")</f>
        <v>NA</v>
      </c>
      <c r="L142" s="870" t="str">
        <f>IF(Start!$C$17="x",IF(OR(I142="NA",I142="",ChemData!Z142="NA",ChemData!Z142=""),"NA",I142/ChemData!Z142),"---")</f>
        <v>NA</v>
      </c>
      <c r="M142" s="870" t="str">
        <f>IF(Start!$C$17="x",IF(OR(I142="NA",I142="",ChemData!Y142="NA",ChemData!Y142=""),"NA",I142/ChemData!Y142),"---")</f>
        <v>NA</v>
      </c>
      <c r="N142" s="870" t="str">
        <f>IF(Start!$C$17="x",IF(OR(I142="NA",I142="",G142="NA",G142=""),"NA",I142/G142),"---")</f>
        <v>NA</v>
      </c>
      <c r="O142" s="794" t="str">
        <f>IF(Start!$C$17="x",(IF(C142="","",(IF(N142="NA","NA",IF(D142="NA","NA",IF(D142=0,"NA",(N142/D142))))))),"Not Req.")</f>
        <v/>
      </c>
    </row>
    <row r="143" spans="1:15" s="10" customFormat="1" x14ac:dyDescent="0.25">
      <c r="A143" s="405" t="s">
        <v>461</v>
      </c>
      <c r="B143" s="868" t="str">
        <f>IF(Start!$C$17="x",(IF($C143="NA","NA",(IF(C143="","",(IF(AND(N143="NA",C143&lt;&gt;"NA",D143&lt;&gt;"NA"),"Missing Data",(IF(OR(D143 = "NA",D143=""),"No Criteria",(IF(N143&lt;D143,IF(OR(I143&lt;D143,ChemData!AA143&lt;&gt;""),"No-1",IF(M143&lt;D143,"No-2","No-3")),"Needed")))))))))),"---")</f>
        <v/>
      </c>
      <c r="C143" s="426" t="str">
        <f>IF(TRUE=ISBLANK(ChemData!B143),"",(ChemData!B143))</f>
        <v/>
      </c>
      <c r="D143" s="289" t="str">
        <f>IF(TRUE=ISBLANK(ChemData!J143),"",(ChemData!J143))</f>
        <v>NA</v>
      </c>
      <c r="E143" s="290">
        <f>IF(TRUE=ISBLANK(ChemData!Q143),"",(ChemData!Q143))</f>
        <v>1.808427E-2</v>
      </c>
      <c r="F143" s="290">
        <f>IF(TRUE=ISBLANK(ChemData!S143),"",(ChemData!S143))</f>
        <v>1</v>
      </c>
      <c r="G143" s="865">
        <f>IF(OR(TRUE=ISBLANK(ChemData!AA143),ChemData!AA143="NA",ChemData!AA143=0),ChemData!Z143,(ChemData!AA143))</f>
        <v>6.8495741227413909</v>
      </c>
      <c r="H143" s="685" t="str">
        <f>IF(Start!$C$17="x",(IF(OR(C143="NA",C143=""),"NA",IF(OR(F143="NA",F143="",F143=0),"NA",C143*F143))),"---")</f>
        <v>NA</v>
      </c>
      <c r="I143" s="376" t="str">
        <f>IF(Start!$C$17="x",(IF($E143 = "NA", "NA", (IF(H143 = "NA", "NA",(IF(OR(ChemData!U143="NA",ChemData!U143=""),H143/((Data!$D$18+$E143*(1-Data!$D$18)*Data!$D$14)/(1000*(1-Data!$D$18)*Data!$D$14)),(IF(H143/((Data!$D$18+$E143*(1-Data!$D$18)*Data!$D$14)/(1000*(1-Data!$D$18)*Data!$D$14))&gt;ChemData!U143, ChemData!U143,H143/((Data!$D$18+$E143*(1-Data!$D$18)*Data!$D$14)/(1000*(1-Data!$D$18)*Data!$D$14)))))))))),"---")</f>
        <v>NA</v>
      </c>
      <c r="J143" s="870" t="str">
        <f>IF(Start!$C$17="x",IF(OR(I143="NA",I143="",ChemData!W143="NA",ChemData!W143=""),"NA",I143/ChemData!W143),"---")</f>
        <v>NA</v>
      </c>
      <c r="K143" s="870" t="str">
        <f>IF(Start!$C$17="x",IF(J143="NA","NA",IF(Data!$D$68&lt;ChemData!X143,J143*(Data!$D$68/ChemData!X143),J143)),"---")</f>
        <v>NA</v>
      </c>
      <c r="L143" s="870" t="str">
        <f>IF(Start!$C$17="x",IF(OR(I143="NA",I143="",ChemData!Z143="NA",ChemData!Z143=""),"NA",I143/ChemData!Z143),"---")</f>
        <v>NA</v>
      </c>
      <c r="M143" s="870" t="str">
        <f>IF(Start!$C$17="x",IF(OR(I143="NA",I143="",ChemData!Y143="NA",ChemData!Y143=""),"NA",I143/ChemData!Y143),"---")</f>
        <v>NA</v>
      </c>
      <c r="N143" s="870" t="str">
        <f>IF(Start!$C$17="x",IF(OR(I143="NA",I143="",G143="NA",G143=""),"NA",I143/G143),"---")</f>
        <v>NA</v>
      </c>
      <c r="O143" s="794" t="str">
        <f>IF(Start!$C$17="x",(IF(C143="","",(IF(N143="NA","NA",IF(D143="NA","NA",IF(D143=0,"NA",(N143/D143))))))),"Not Req.")</f>
        <v/>
      </c>
    </row>
    <row r="144" spans="1:15" s="10" customFormat="1" x14ac:dyDescent="0.25">
      <c r="A144" s="405" t="s">
        <v>462</v>
      </c>
      <c r="B144" s="868" t="str">
        <f>IF(Start!$C$17="x",(IF($C144="NA","NA",(IF(C144="","",(IF(AND(N144="NA",C144&lt;&gt;"NA",D144&lt;&gt;"NA"),"Missing Data",(IF(OR(D144 = "NA",D144=""),"No Criteria",(IF(N144&lt;D144,IF(OR(I144&lt;D144,ChemData!AA144&lt;&gt;""),"No-1",IF(M144&lt;D144,"No-2","No-3")),"Needed")))))))))),"---")</f>
        <v/>
      </c>
      <c r="C144" s="426" t="str">
        <f>IF(TRUE=ISBLANK(ChemData!B144),"",(ChemData!B144))</f>
        <v/>
      </c>
      <c r="D144" s="289" t="str">
        <f>IF(TRUE=ISBLANK(ChemData!J144),"",(ChemData!J144))</f>
        <v>NA</v>
      </c>
      <c r="E144" s="290">
        <f>IF(TRUE=ISBLANK(ChemData!Q144),"",(ChemData!Q144))</f>
        <v>3.2910780000000001E-2</v>
      </c>
      <c r="F144" s="290">
        <f>IF(TRUE=ISBLANK(ChemData!S144),"",(ChemData!S144))</f>
        <v>1</v>
      </c>
      <c r="G144" s="865">
        <f>IF(OR(TRUE=ISBLANK(ChemData!AA144),ChemData!AA144="NA",ChemData!AA144=0),ChemData!Z144,(ChemData!AA144))</f>
        <v>6.8495741227413944</v>
      </c>
      <c r="H144" s="685" t="str">
        <f>IF(Start!$C$17="x",(IF(OR(C144="NA",C144=""),"NA",IF(OR(F144="NA",F144="",F144=0),"NA",C144*F144))),"---")</f>
        <v>NA</v>
      </c>
      <c r="I144" s="376" t="str">
        <f>IF(Start!$C$17="x",(IF($E144 = "NA", "NA", (IF(H144 = "NA", "NA",(IF(OR(ChemData!U144="NA",ChemData!U144=""),H144/((Data!$D$18+$E144*(1-Data!$D$18)*Data!$D$14)/(1000*(1-Data!$D$18)*Data!$D$14)),(IF(H144/((Data!$D$18+$E144*(1-Data!$D$18)*Data!$D$14)/(1000*(1-Data!$D$18)*Data!$D$14))&gt;ChemData!U144, ChemData!U144,H144/((Data!$D$18+$E144*(1-Data!$D$18)*Data!$D$14)/(1000*(1-Data!$D$18)*Data!$D$14)))))))))),"---")</f>
        <v>NA</v>
      </c>
      <c r="J144" s="870" t="str">
        <f>IF(Start!$C$17="x",IF(OR(I144="NA",I144="",ChemData!W144="NA",ChemData!W144=""),"NA",I144/ChemData!W144),"---")</f>
        <v>NA</v>
      </c>
      <c r="K144" s="870" t="str">
        <f>IF(Start!$C$17="x",IF(J144="NA","NA",IF(Data!$D$68&lt;ChemData!X144,J144*(Data!$D$68/ChemData!X144),J144)),"---")</f>
        <v>NA</v>
      </c>
      <c r="L144" s="870" t="str">
        <f>IF(Start!$C$17="x",IF(OR(I144="NA",I144="",ChemData!Z144="NA",ChemData!Z144=""),"NA",I144/ChemData!Z144),"---")</f>
        <v>NA</v>
      </c>
      <c r="M144" s="870" t="str">
        <f>IF(Start!$C$17="x",IF(OR(I144="NA",I144="",ChemData!Y144="NA",ChemData!Y144=""),"NA",I144/ChemData!Y144),"---")</f>
        <v>NA</v>
      </c>
      <c r="N144" s="870" t="str">
        <f>IF(Start!$C$17="x",IF(OR(I144="NA",I144="",G144="NA",G144=""),"NA",I144/G144),"---")</f>
        <v>NA</v>
      </c>
      <c r="O144" s="794" t="str">
        <f>IF(Start!$C$17="x",(IF(C144="","",(IF(N144="NA","NA",IF(D144="NA","NA",IF(D144=0,"NA",(N144/D144))))))),"Not Req.")</f>
        <v/>
      </c>
    </row>
    <row r="145" spans="1:15" s="10" customFormat="1" x14ac:dyDescent="0.25">
      <c r="A145" s="405" t="s">
        <v>463</v>
      </c>
      <c r="B145" s="868" t="str">
        <f>IF(Start!$C$17="x",(IF($C145="NA","NA",(IF(C145="","",(IF(AND(N145="NA",C145&lt;&gt;"NA",D145&lt;&gt;"NA"),"Missing Data",(IF(OR(D145 = "NA",D145=""),"No Criteria",(IF(N145&lt;D145,IF(OR(I145&lt;D145,ChemData!AA145&lt;&gt;""),"No-1",IF(M145&lt;D145,"No-2","No-3")),"Needed")))))))))),"---")</f>
        <v/>
      </c>
      <c r="C145" s="426" t="str">
        <f>IF(TRUE=ISBLANK(ChemData!B145),"",(ChemData!B145))</f>
        <v/>
      </c>
      <c r="D145" s="289">
        <f>IF(TRUE=ISBLANK(ChemData!J145),"",(ChemData!J145))</f>
        <v>130</v>
      </c>
      <c r="E145" s="290">
        <f>IF(TRUE=ISBLANK(ChemData!Q145),"",(ChemData!Q145))</f>
        <v>2.4969302956771511</v>
      </c>
      <c r="F145" s="290">
        <f>IF(TRUE=ISBLANK(ChemData!S145),"",(ChemData!S145))</f>
        <v>1</v>
      </c>
      <c r="G145" s="865">
        <f>IF(OR(TRUE=ISBLANK(ChemData!AA145),ChemData!AA145="NA",ChemData!AA145=0),ChemData!Z145,(ChemData!AA145))</f>
        <v>6.8495741227413927</v>
      </c>
      <c r="H145" s="685" t="str">
        <f>IF(Start!$C$17="x",(IF(OR(C145="NA",C145=""),"NA",IF(OR(F145="NA",F145="",F145=0),"NA",C145*F145))),"---")</f>
        <v>NA</v>
      </c>
      <c r="I145" s="376" t="str">
        <f>IF(Start!$C$17="x",(IF($E145 = "NA", "NA", (IF(H145 = "NA", "NA",(IF(OR(ChemData!U145="NA",ChemData!U145=""),H145/((Data!$D$18+$E145*(1-Data!$D$18)*Data!$D$14)/(1000*(1-Data!$D$18)*Data!$D$14)),(IF(H145/((Data!$D$18+$E145*(1-Data!$D$18)*Data!$D$14)/(1000*(1-Data!$D$18)*Data!$D$14))&gt;ChemData!U145, ChemData!U145,H145/((Data!$D$18+$E145*(1-Data!$D$18)*Data!$D$14)/(1000*(1-Data!$D$18)*Data!$D$14)))))))))),"---")</f>
        <v>NA</v>
      </c>
      <c r="J145" s="870" t="str">
        <f>IF(Start!$C$17="x",IF(OR(I145="NA",I145="",ChemData!W145="NA",ChemData!W145=""),"NA",I145/ChemData!W145),"---")</f>
        <v>NA</v>
      </c>
      <c r="K145" s="870" t="str">
        <f>IF(Start!$C$17="x",IF(J145="NA","NA",IF(Data!$D$68&lt;ChemData!X145,J145*(Data!$D$68/ChemData!X145),J145)),"---")</f>
        <v>NA</v>
      </c>
      <c r="L145" s="870" t="str">
        <f>IF(Start!$C$17="x",IF(OR(I145="NA",I145="",ChemData!Z145="NA",ChemData!Z145=""),"NA",I145/ChemData!Z145),"---")</f>
        <v>NA</v>
      </c>
      <c r="M145" s="870" t="str">
        <f>IF(Start!$C$17="x",IF(OR(I145="NA",I145="",ChemData!Y145="NA",ChemData!Y145=""),"NA",I145/ChemData!Y145),"---")</f>
        <v>NA</v>
      </c>
      <c r="N145" s="870" t="str">
        <f>IF(Start!$C$17="x",IF(OR(I145="NA",I145="",G145="NA",G145=""),"NA",I145/G145),"---")</f>
        <v>NA</v>
      </c>
      <c r="O145" s="794" t="str">
        <f>IF(Start!$C$17="x",(IF(C145="","",(IF(N145="NA","NA",IF(D145="NA","NA",IF(D145=0,"NA",(N145/D145))))))),"Not Req.")</f>
        <v/>
      </c>
    </row>
    <row r="146" spans="1:15" s="10" customFormat="1" x14ac:dyDescent="0.25">
      <c r="A146" s="405" t="s">
        <v>464</v>
      </c>
      <c r="B146" s="868" t="str">
        <f>IF(Start!$C$17="x",(IF($C146="NA","NA",(IF(C146="","",(IF(AND(N146="NA",C146&lt;&gt;"NA",D146&lt;&gt;"NA"),"Missing Data",(IF(OR(D146 = "NA",D146=""),"No Criteria",(IF(N146&lt;D146,IF(OR(I146&lt;D146,ChemData!AA146&lt;&gt;""),"No-1",IF(M146&lt;D146,"No-2","No-3")),"Needed")))))))))),"---")</f>
        <v/>
      </c>
      <c r="C146" s="426" t="str">
        <f>IF(TRUE=ISBLANK(ChemData!B146),"",(ChemData!B146))</f>
        <v/>
      </c>
      <c r="D146" s="289" t="str">
        <f>IF(TRUE=ISBLANK(ChemData!J146),"",(ChemData!J146))</f>
        <v>NA</v>
      </c>
      <c r="E146" s="290">
        <f>IF(TRUE=ISBLANK(ChemData!Q146),"",(ChemData!Q146))</f>
        <v>2.3302709372310044</v>
      </c>
      <c r="F146" s="290">
        <f>IF(TRUE=ISBLANK(ChemData!S146),"",(ChemData!S146))</f>
        <v>1</v>
      </c>
      <c r="G146" s="865">
        <f>IF(OR(TRUE=ISBLANK(ChemData!AA146),ChemData!AA146="NA",ChemData!AA146=0),ChemData!Z146,(ChemData!AA146))</f>
        <v>6.8495741227413909</v>
      </c>
      <c r="H146" s="685" t="str">
        <f>IF(Start!$C$17="x",(IF(OR(C146="NA",C146=""),"NA",IF(OR(F146="NA",F146="",F146=0),"NA",C146*F146))),"---")</f>
        <v>NA</v>
      </c>
      <c r="I146" s="376" t="str">
        <f>IF(Start!$C$17="x",(IF($E146 = "NA", "NA", (IF(H146 = "NA", "NA",(IF(OR(ChemData!U146="NA",ChemData!U146=""),H146/((Data!$D$18+$E146*(1-Data!$D$18)*Data!$D$14)/(1000*(1-Data!$D$18)*Data!$D$14)),(IF(H146/((Data!$D$18+$E146*(1-Data!$D$18)*Data!$D$14)/(1000*(1-Data!$D$18)*Data!$D$14))&gt;ChemData!U146, ChemData!U146,H146/((Data!$D$18+$E146*(1-Data!$D$18)*Data!$D$14)/(1000*(1-Data!$D$18)*Data!$D$14)))))))))),"---")</f>
        <v>NA</v>
      </c>
      <c r="J146" s="870" t="str">
        <f>IF(Start!$C$17="x",IF(OR(I146="NA",I146="",ChemData!W146="NA",ChemData!W146=""),"NA",I146/ChemData!W146),"---")</f>
        <v>NA</v>
      </c>
      <c r="K146" s="870" t="str">
        <f>IF(Start!$C$17="x",IF(J146="NA","NA",IF(Data!$D$68&lt;ChemData!X146,J146*(Data!$D$68/ChemData!X146),J146)),"---")</f>
        <v>NA</v>
      </c>
      <c r="L146" s="870" t="str">
        <f>IF(Start!$C$17="x",IF(OR(I146="NA",I146="",ChemData!Z146="NA",ChemData!Z146=""),"NA",I146/ChemData!Z146),"---")</f>
        <v>NA</v>
      </c>
      <c r="M146" s="870" t="str">
        <f>IF(Start!$C$17="x",IF(OR(I146="NA",I146="",ChemData!Y146="NA",ChemData!Y146=""),"NA",I146/ChemData!Y146),"---")</f>
        <v>NA</v>
      </c>
      <c r="N146" s="870" t="str">
        <f>IF(Start!$C$17="x",IF(OR(I146="NA",I146="",G146="NA",G146=""),"NA",I146/G146),"---")</f>
        <v>NA</v>
      </c>
      <c r="O146" s="794" t="str">
        <f>IF(Start!$C$17="x",(IF(C146="","",(IF(N146="NA","NA",IF(D146="NA","NA",IF(D146=0,"NA",(N146/D146))))))),"Not Req.")</f>
        <v/>
      </c>
    </row>
    <row r="147" spans="1:15" s="10" customFormat="1" x14ac:dyDescent="0.25">
      <c r="A147" s="405" t="s">
        <v>465</v>
      </c>
      <c r="B147" s="868" t="str">
        <f>IF(Start!$C$17="x",(IF($C147="NA","NA",(IF(C147="","",(IF(AND(N147="NA",C147&lt;&gt;"NA",D147&lt;&gt;"NA"),"Missing Data",(IF(OR(D147 = "NA",D147=""),"No Criteria",(IF(N147&lt;D147,IF(OR(I147&lt;D147,ChemData!AA147&lt;&gt;""),"No-1",IF(M147&lt;D147,"No-2","No-3")),"Needed")))))))))),"---")</f>
        <v/>
      </c>
      <c r="C147" s="426" t="str">
        <f>IF(TRUE=ISBLANK(ChemData!B147),"",(ChemData!B147))</f>
        <v/>
      </c>
      <c r="D147" s="289">
        <f>IF(TRUE=ISBLANK(ChemData!J147),"",(ChemData!J147))</f>
        <v>320</v>
      </c>
      <c r="E147" s="290">
        <f>IF(TRUE=ISBLANK(ChemData!Q147),"",(ChemData!Q147))</f>
        <v>4.440239733105078</v>
      </c>
      <c r="F147" s="290">
        <f>IF(TRUE=ISBLANK(ChemData!S147),"",(ChemData!S147))</f>
        <v>1</v>
      </c>
      <c r="G147" s="865">
        <f>IF(OR(TRUE=ISBLANK(ChemData!AA147),ChemData!AA147="NA",ChemData!AA147=0),ChemData!Z147,(ChemData!AA147))</f>
        <v>7.1082939124832576</v>
      </c>
      <c r="H147" s="685" t="str">
        <f>IF(Start!$C$17="x",(IF(OR(C147="NA",C147=""),"NA",IF(OR(F147="NA",F147="",F147=0),"NA",C147*F147))),"---")</f>
        <v>NA</v>
      </c>
      <c r="I147" s="376" t="str">
        <f>IF(Start!$C$17="x",(IF($E147 = "NA", "NA", (IF(H147 = "NA", "NA",(IF(OR(ChemData!U147="NA",ChemData!U147=""),H147/((Data!$D$18+$E147*(1-Data!$D$18)*Data!$D$14)/(1000*(1-Data!$D$18)*Data!$D$14)),(IF(H147/((Data!$D$18+$E147*(1-Data!$D$18)*Data!$D$14)/(1000*(1-Data!$D$18)*Data!$D$14))&gt;ChemData!U147, ChemData!U147,H147/((Data!$D$18+$E147*(1-Data!$D$18)*Data!$D$14)/(1000*(1-Data!$D$18)*Data!$D$14)))))))))),"---")</f>
        <v>NA</v>
      </c>
      <c r="J147" s="870" t="str">
        <f>IF(Start!$C$17="x",IF(OR(I147="NA",I147="",ChemData!W147="NA",ChemData!W147=""),"NA",I147/ChemData!W147),"---")</f>
        <v>NA</v>
      </c>
      <c r="K147" s="870" t="str">
        <f>IF(Start!$C$17="x",IF(J147="NA","NA",IF(Data!$D$68&lt;ChemData!X147,J147*(Data!$D$68/ChemData!X147),J147)),"---")</f>
        <v>NA</v>
      </c>
      <c r="L147" s="870" t="str">
        <f>IF(Start!$C$17="x",IF(OR(I147="NA",I147="",ChemData!Z147="NA",ChemData!Z147=""),"NA",I147/ChemData!Z147),"---")</f>
        <v>NA</v>
      </c>
      <c r="M147" s="870" t="str">
        <f>IF(Start!$C$17="x",IF(OR(I147="NA",I147="",ChemData!Y147="NA",ChemData!Y147=""),"NA",I147/ChemData!Y147),"---")</f>
        <v>NA</v>
      </c>
      <c r="N147" s="870" t="str">
        <f>IF(Start!$C$17="x",IF(OR(I147="NA",I147="",G147="NA",G147=""),"NA",I147/G147),"---")</f>
        <v>NA</v>
      </c>
      <c r="O147" s="794" t="str">
        <f>IF(Start!$C$17="x",(IF(C147="","",(IF(N147="NA","NA",IF(D147="NA","NA",IF(D147=0,"NA",(N147/D147))))))),"Not Req.")</f>
        <v/>
      </c>
    </row>
    <row r="148" spans="1:15" s="10" customFormat="1" x14ac:dyDescent="0.25">
      <c r="A148" s="405" t="s">
        <v>466</v>
      </c>
      <c r="B148" s="868" t="str">
        <f>IF(Start!$C$17="x",(IF($C148="NA","NA",(IF(C148="","",(IF(AND(N148="NA",C148&lt;&gt;"NA",D148&lt;&gt;"NA"),"Missing Data",(IF(OR(D148 = "NA",D148=""),"No Criteria",(IF(N148&lt;D148,IF(OR(I148&lt;D148,ChemData!AA148&lt;&gt;""),"No-1",IF(M148&lt;D148,"No-2","No-3")),"Needed")))))))))),"---")</f>
        <v/>
      </c>
      <c r="C148" s="426" t="str">
        <f>IF(TRUE=ISBLANK(ChemData!B148),"",(ChemData!B148))</f>
        <v/>
      </c>
      <c r="D148" s="289" t="str">
        <f>IF(TRUE=ISBLANK(ChemData!J148),"",(ChemData!J148))</f>
        <v>NA</v>
      </c>
      <c r="E148" s="290">
        <f>IF(TRUE=ISBLANK(ChemData!Q148),"",(ChemData!Q148))</f>
        <v>0.28668595616070036</v>
      </c>
      <c r="F148" s="290">
        <f>IF(TRUE=ISBLANK(ChemData!S148),"",(ChemData!S148))</f>
        <v>1</v>
      </c>
      <c r="G148" s="865">
        <f>IF(OR(TRUE=ISBLANK(ChemData!AA148),ChemData!AA148="NA",ChemData!AA148=0),ChemData!Z148,(ChemData!AA148))</f>
        <v>6.8495741227413944</v>
      </c>
      <c r="H148" s="685" t="str">
        <f>IF(Start!$C$17="x",(IF(OR(C148="NA",C148=""),"NA",IF(OR(F148="NA",F148="",F148=0),"NA",C148*F148))),"---")</f>
        <v>NA</v>
      </c>
      <c r="I148" s="376" t="str">
        <f>IF(Start!$C$17="x",(IF($E148 = "NA", "NA", (IF(H148 = "NA", "NA",(IF(OR(ChemData!U148="NA",ChemData!U148=""),H148/((Data!$D$18+$E148*(1-Data!$D$18)*Data!$D$14)/(1000*(1-Data!$D$18)*Data!$D$14)),(IF(H148/((Data!$D$18+$E148*(1-Data!$D$18)*Data!$D$14)/(1000*(1-Data!$D$18)*Data!$D$14))&gt;ChemData!U148, ChemData!U148,H148/((Data!$D$18+$E148*(1-Data!$D$18)*Data!$D$14)/(1000*(1-Data!$D$18)*Data!$D$14)))))))))),"---")</f>
        <v>NA</v>
      </c>
      <c r="J148" s="870" t="str">
        <f>IF(Start!$C$17="x",IF(OR(I148="NA",I148="",ChemData!W148="NA",ChemData!W148=""),"NA",I148/ChemData!W148),"---")</f>
        <v>NA</v>
      </c>
      <c r="K148" s="870" t="str">
        <f>IF(Start!$C$17="x",IF(J148="NA","NA",IF(Data!$D$68&lt;ChemData!X148,J148*(Data!$D$68/ChemData!X148),J148)),"---")</f>
        <v>NA</v>
      </c>
      <c r="L148" s="870" t="str">
        <f>IF(Start!$C$17="x",IF(OR(I148="NA",I148="",ChemData!Z148="NA",ChemData!Z148=""),"NA",I148/ChemData!Z148),"---")</f>
        <v>NA</v>
      </c>
      <c r="M148" s="870" t="str">
        <f>IF(Start!$C$17="x",IF(OR(I148="NA",I148="",ChemData!Y148="NA",ChemData!Y148=""),"NA",I148/ChemData!Y148),"---")</f>
        <v>NA</v>
      </c>
      <c r="N148" s="870" t="str">
        <f>IF(Start!$C$17="x",IF(OR(I148="NA",I148="",G148="NA",G148=""),"NA",I148/G148),"---")</f>
        <v>NA</v>
      </c>
      <c r="O148" s="794" t="str">
        <f>IF(Start!$C$17="x",(IF(C148="","",(IF(N148="NA","NA",IF(D148="NA","NA",IF(D148=0,"NA",(N148/D148))))))),"Not Req.")</f>
        <v/>
      </c>
    </row>
    <row r="149" spans="1:15" s="10" customFormat="1" x14ac:dyDescent="0.25">
      <c r="A149" s="405" t="s">
        <v>670</v>
      </c>
      <c r="B149" s="868" t="str">
        <f>IF(Start!$C$17="x",(IF($C149="NA","NA",(IF(C149="","",(IF(AND(N149="NA",C149&lt;&gt;"NA",D149&lt;&gt;"NA"),"Missing Data",(IF(OR(D149 = "NA",D149=""),"No Criteria",(IF(N149&lt;D149,IF(OR(I149&lt;D149,ChemData!AA149&lt;&gt;""),"No-1",IF(M149&lt;D149,"No-2","No-3")),"Needed")))))))))),"---")</f>
        <v/>
      </c>
      <c r="C149" s="426" t="str">
        <f>IF(TRUE=ISBLANK(ChemData!B149),"",(ChemData!B149))</f>
        <v/>
      </c>
      <c r="D149" s="289">
        <f>IF(TRUE=ISBLANK(ChemData!J149),"",(ChemData!J149))</f>
        <v>14000</v>
      </c>
      <c r="E149" s="290">
        <f>IF(TRUE=ISBLANK(ChemData!Q149),"",(ChemData!Q149))</f>
        <v>3.6091623541521421E-2</v>
      </c>
      <c r="F149" s="290">
        <f>IF(TRUE=ISBLANK(ChemData!S149),"",(ChemData!S149))</f>
        <v>1</v>
      </c>
      <c r="G149" s="865">
        <f>IF(OR(TRUE=ISBLANK(ChemData!AA149),ChemData!AA149="NA",ChemData!AA149=0),ChemData!Z149,(ChemData!AA149))</f>
        <v>6.8495741227413927</v>
      </c>
      <c r="H149" s="685" t="str">
        <f>IF(Start!$C$17="x",(IF(OR(C149="NA",C149=""),"NA",IF(OR(F149="NA",F149="",F149=0),"NA",C149*F149))),"---")</f>
        <v>NA</v>
      </c>
      <c r="I149" s="376" t="str">
        <f>IF(Start!$C$17="x",(IF($E149 = "NA", "NA", (IF(H149 = "NA", "NA",(IF(OR(ChemData!U149="NA",ChemData!U149=""),H149/((Data!$D$18+$E149*(1-Data!$D$18)*Data!$D$14)/(1000*(1-Data!$D$18)*Data!$D$14)),(IF(H149/((Data!$D$18+$E149*(1-Data!$D$18)*Data!$D$14)/(1000*(1-Data!$D$18)*Data!$D$14))&gt;ChemData!U149, ChemData!U149,H149/((Data!$D$18+$E149*(1-Data!$D$18)*Data!$D$14)/(1000*(1-Data!$D$18)*Data!$D$14)))))))))),"---")</f>
        <v>NA</v>
      </c>
      <c r="J149" s="870" t="str">
        <f>IF(Start!$C$17="x",IF(OR(I149="NA",I149="",ChemData!W149="NA",ChemData!W149=""),"NA",I149/ChemData!W149),"---")</f>
        <v>NA</v>
      </c>
      <c r="K149" s="870" t="str">
        <f>IF(Start!$C$17="x",IF(J149="NA","NA",IF(Data!$D$68&lt;ChemData!X149,J149*(Data!$D$68/ChemData!X149),J149)),"---")</f>
        <v>NA</v>
      </c>
      <c r="L149" s="870" t="str">
        <f>IF(Start!$C$17="x",IF(OR(I149="NA",I149="",ChemData!Z149="NA",ChemData!Z149=""),"NA",I149/ChemData!Z149),"---")</f>
        <v>NA</v>
      </c>
      <c r="M149" s="870" t="str">
        <f>IF(Start!$C$17="x",IF(OR(I149="NA",I149="",ChemData!Y149="NA",ChemData!Y149=""),"NA",I149/ChemData!Y149),"---")</f>
        <v>NA</v>
      </c>
      <c r="N149" s="870" t="str">
        <f>IF(Start!$C$17="x",IF(OR(I149="NA",I149="",G149="NA",G149=""),"NA",I149/G149),"---")</f>
        <v>NA</v>
      </c>
      <c r="O149" s="794" t="str">
        <f>IF(Start!$C$17="x",(IF(C149="","",(IF(N149="NA","NA",IF(D149="NA","NA",IF(D149=0,"NA",(N149/D149))))))),"Not Req.")</f>
        <v/>
      </c>
    </row>
    <row r="150" spans="1:15" s="10" customFormat="1" x14ac:dyDescent="0.25">
      <c r="A150" s="405" t="s">
        <v>468</v>
      </c>
      <c r="B150" s="868" t="str">
        <f>IF(Start!$C$17="x",(IF($C150="NA","NA",(IF(C150="","",(IF(AND(N150="NA",C150&lt;&gt;"NA",D150&lt;&gt;"NA"),"Missing Data",(IF(OR(D150 = "NA",D150=""),"No Criteria",(IF(N150&lt;D150,IF(OR(I150&lt;D150,ChemData!AA150&lt;&gt;""),"No-1",IF(M150&lt;D150,"No-2","No-3")),"Needed")))))))))),"---")</f>
        <v/>
      </c>
      <c r="C150" s="426" t="str">
        <f>IF(TRUE=ISBLANK(ChemData!B150),"",(ChemData!B150))</f>
        <v/>
      </c>
      <c r="D150" s="289">
        <f>IF(TRUE=ISBLANK(ChemData!J150),"",(ChemData!J150))</f>
        <v>0.92</v>
      </c>
      <c r="E150" s="290">
        <f>IF(TRUE=ISBLANK(ChemData!Q150),"",(ChemData!Q150))</f>
        <v>1.6121536050087053</v>
      </c>
      <c r="F150" s="290">
        <f>IF(TRUE=ISBLANK(ChemData!S150),"",(ChemData!S150))</f>
        <v>1</v>
      </c>
      <c r="G150" s="865">
        <f>IF(OR(TRUE=ISBLANK(ChemData!AA150),ChemData!AA150="NA",ChemData!AA150=0),ChemData!Z150,(ChemData!AA150))</f>
        <v>6.8495741227413927</v>
      </c>
      <c r="H150" s="685" t="str">
        <f>IF(Start!$C$17="x",(IF(OR(C150="NA",C150=""),"NA",IF(OR(F150="NA",F150="",F150=0),"NA",C150*F150))),"---")</f>
        <v>NA</v>
      </c>
      <c r="I150" s="376" t="str">
        <f>IF(Start!$C$17="x",(IF($E150 = "NA", "NA", (IF(H150 = "NA", "NA",(IF(OR(ChemData!U150="NA",ChemData!U150=""),H150/((Data!$D$18+$E150*(1-Data!$D$18)*Data!$D$14)/(1000*(1-Data!$D$18)*Data!$D$14)),(IF(H150/((Data!$D$18+$E150*(1-Data!$D$18)*Data!$D$14)/(1000*(1-Data!$D$18)*Data!$D$14))&gt;ChemData!U150, ChemData!U150,H150/((Data!$D$18+$E150*(1-Data!$D$18)*Data!$D$14)/(1000*(1-Data!$D$18)*Data!$D$14)))))))))),"---")</f>
        <v>NA</v>
      </c>
      <c r="J150" s="870" t="str">
        <f>IF(Start!$C$17="x",IF(OR(I150="NA",I150="",ChemData!W150="NA",ChemData!W150=""),"NA",I150/ChemData!W150),"---")</f>
        <v>NA</v>
      </c>
      <c r="K150" s="870" t="str">
        <f>IF(Start!$C$17="x",IF(J150="NA","NA",IF(Data!$D$68&lt;ChemData!X150,J150*(Data!$D$68/ChemData!X150),J150)),"---")</f>
        <v>NA</v>
      </c>
      <c r="L150" s="870" t="str">
        <f>IF(Start!$C$17="x",IF(OR(I150="NA",I150="",ChemData!Z150="NA",ChemData!Z150=""),"NA",I150/ChemData!Z150),"---")</f>
        <v>NA</v>
      </c>
      <c r="M150" s="870" t="str">
        <f>IF(Start!$C$17="x",IF(OR(I150="NA",I150="",ChemData!Y150="NA",ChemData!Y150=""),"NA",I150/ChemData!Y150),"---")</f>
        <v>NA</v>
      </c>
      <c r="N150" s="870" t="str">
        <f>IF(Start!$C$17="x",IF(OR(I150="NA",I150="",G150="NA",G150=""),"NA",I150/G150),"---")</f>
        <v>NA</v>
      </c>
      <c r="O150" s="794" t="str">
        <f>IF(Start!$C$17="x",(IF(C150="","",(IF(N150="NA","NA",IF(D150="NA","NA",IF(D150=0,"NA",(N150/D150))))))),"Not Req.")</f>
        <v/>
      </c>
    </row>
    <row r="151" spans="1:15" s="10" customFormat="1" x14ac:dyDescent="0.25">
      <c r="A151" s="405" t="s">
        <v>469</v>
      </c>
      <c r="B151" s="868" t="str">
        <f>IF(Start!$C$17="x",(IF($C151="NA","NA",(IF(C151="","",(IF(AND(N151="NA",C151&lt;&gt;"NA",D151&lt;&gt;"NA"),"Missing Data",(IF(OR(D151 = "NA",D151=""),"No Criteria",(IF(N151&lt;D151,IF(OR(I151&lt;D151,ChemData!AA151&lt;&gt;""),"No-1",IF(M151&lt;D151,"No-2","No-3")),"Needed")))))))))),"---")</f>
        <v/>
      </c>
      <c r="C151" s="426" t="str">
        <f>IF(TRUE=ISBLANK(ChemData!B151),"",(ChemData!B151))</f>
        <v/>
      </c>
      <c r="D151" s="289">
        <f>IF(TRUE=ISBLANK(ChemData!J151),"",(ChemData!J151))</f>
        <v>9.8000000000000007</v>
      </c>
      <c r="E151" s="290">
        <f>IF(TRUE=ISBLANK(ChemData!Q151),"",(ChemData!Q151))</f>
        <v>16.881320636477891</v>
      </c>
      <c r="F151" s="290">
        <f>IF(TRUE=ISBLANK(ChemData!S151),"",(ChemData!S151))</f>
        <v>1</v>
      </c>
      <c r="G151" s="865">
        <f>IF(OR(TRUE=ISBLANK(ChemData!AA151),ChemData!AA151="NA",ChemData!AA151=0),ChemData!Z151,(ChemData!AA151))</f>
        <v>50.527807509496796</v>
      </c>
      <c r="H151" s="685" t="str">
        <f>IF(Start!$C$17="x",(IF(OR(C151="NA",C151=""),"NA",IF(OR(F151="NA",F151="",F151=0),"NA",C151*F151))),"---")</f>
        <v>NA</v>
      </c>
      <c r="I151" s="376" t="str">
        <f>IF(Start!$C$17="x",(IF($E151 = "NA", "NA", (IF(H151 = "NA", "NA",(IF(OR(ChemData!U151="NA",ChemData!U151=""),H151/((Data!$D$18+$E151*(1-Data!$D$18)*Data!$D$14)/(1000*(1-Data!$D$18)*Data!$D$14)),(IF(H151/((Data!$D$18+$E151*(1-Data!$D$18)*Data!$D$14)/(1000*(1-Data!$D$18)*Data!$D$14))&gt;ChemData!U151, ChemData!U151,H151/((Data!$D$18+$E151*(1-Data!$D$18)*Data!$D$14)/(1000*(1-Data!$D$18)*Data!$D$14)))))))))),"---")</f>
        <v>NA</v>
      </c>
      <c r="J151" s="870" t="str">
        <f>IF(Start!$C$17="x",IF(OR(I151="NA",I151="",ChemData!W151="NA",ChemData!W151=""),"NA",I151/ChemData!W151),"---")</f>
        <v>NA</v>
      </c>
      <c r="K151" s="870" t="str">
        <f>IF(Start!$C$17="x",IF(J151="NA","NA",IF(Data!$D$68&lt;ChemData!X151,J151*(Data!$D$68/ChemData!X151),J151)),"---")</f>
        <v>NA</v>
      </c>
      <c r="L151" s="870" t="str">
        <f>IF(Start!$C$17="x",IF(OR(I151="NA",I151="",ChemData!Z151="NA",ChemData!Z151=""),"NA",I151/ChemData!Z151),"---")</f>
        <v>NA</v>
      </c>
      <c r="M151" s="870" t="str">
        <f>IF(Start!$C$17="x",IF(OR(I151="NA",I151="",ChemData!Y151="NA",ChemData!Y151=""),"NA",I151/ChemData!Y151),"---")</f>
        <v>NA</v>
      </c>
      <c r="N151" s="870" t="str">
        <f>IF(Start!$C$17="x",IF(OR(I151="NA",I151="",G151="NA",G151=""),"NA",I151/G151),"---")</f>
        <v>NA</v>
      </c>
      <c r="O151" s="794" t="str">
        <f>IF(Start!$C$17="x",(IF(C151="","",(IF(N151="NA","NA",IF(D151="NA","NA",IF(D151=0,"NA",(N151/D151))))))),"Not Req.")</f>
        <v/>
      </c>
    </row>
    <row r="152" spans="1:15" s="10" customFormat="1" x14ac:dyDescent="0.25">
      <c r="A152" s="405" t="s">
        <v>470</v>
      </c>
      <c r="B152" s="868" t="str">
        <f>IF(Start!$C$17="x",(IF($C152="NA","NA",(IF(C152="","",(IF(AND(N152="NA",C152&lt;&gt;"NA",D152&lt;&gt;"NA"),"Missing Data",(IF(OR(D152 = "NA",D152=""),"No Criteria",(IF(N152&lt;D152,IF(OR(I152&lt;D152,ChemData!AA152&lt;&gt;""),"No-1",IF(M152&lt;D152,"No-2","No-3")),"Needed")))))))))),"---")</f>
        <v/>
      </c>
      <c r="C152" s="426" t="str">
        <f>IF(TRUE=ISBLANK(ChemData!B152),"",(ChemData!B152))</f>
        <v/>
      </c>
      <c r="D152" s="289">
        <f>IF(TRUE=ISBLANK(ChemData!J152),"",(ChemData!J152))</f>
        <v>64</v>
      </c>
      <c r="E152" s="290">
        <f>IF(TRUE=ISBLANK(ChemData!Q152),"",(ChemData!Q152))</f>
        <v>12.805791271709518</v>
      </c>
      <c r="F152" s="290">
        <f>IF(TRUE=ISBLANK(ChemData!S152),"",(ChemData!S152))</f>
        <v>1</v>
      </c>
      <c r="G152" s="865">
        <f>IF(OR(TRUE=ISBLANK(ChemData!AA152),ChemData!AA152="NA",ChemData!AA152=0),ChemData!Z152,(ChemData!AA152))</f>
        <v>33.674658214867279</v>
      </c>
      <c r="H152" s="685" t="str">
        <f>IF(Start!$C$17="x",(IF(OR(C152="NA",C152=""),"NA",IF(OR(F152="NA",F152="",F152=0),"NA",C152*F152))),"---")</f>
        <v>NA</v>
      </c>
      <c r="I152" s="376" t="str">
        <f>IF(Start!$C$17="x",(IF($E152 = "NA", "NA", (IF(H152 = "NA", "NA",(IF(OR(ChemData!U152="NA",ChemData!U152=""),H152/((Data!$D$18+$E152*(1-Data!$D$18)*Data!$D$14)/(1000*(1-Data!$D$18)*Data!$D$14)),(IF(H152/((Data!$D$18+$E152*(1-Data!$D$18)*Data!$D$14)/(1000*(1-Data!$D$18)*Data!$D$14))&gt;ChemData!U152, ChemData!U152,H152/((Data!$D$18+$E152*(1-Data!$D$18)*Data!$D$14)/(1000*(1-Data!$D$18)*Data!$D$14)))))))))),"---")</f>
        <v>NA</v>
      </c>
      <c r="J152" s="870" t="str">
        <f>IF(Start!$C$17="x",IF(OR(I152="NA",I152="",ChemData!W152="NA",ChemData!W152=""),"NA",I152/ChemData!W152),"---")</f>
        <v>NA</v>
      </c>
      <c r="K152" s="870" t="str">
        <f>IF(Start!$C$17="x",IF(J152="NA","NA",IF(Data!$D$68&lt;ChemData!X152,J152*(Data!$D$68/ChemData!X152),J152)),"---")</f>
        <v>NA</v>
      </c>
      <c r="L152" s="870" t="str">
        <f>IF(Start!$C$17="x",IF(OR(I152="NA",I152="",ChemData!Z152="NA",ChemData!Z152=""),"NA",I152/ChemData!Z152),"---")</f>
        <v>NA</v>
      </c>
      <c r="M152" s="870" t="str">
        <f>IF(Start!$C$17="x",IF(OR(I152="NA",I152="",ChemData!Y152="NA",ChemData!Y152=""),"NA",I152/ChemData!Y152),"---")</f>
        <v>NA</v>
      </c>
      <c r="N152" s="870" t="str">
        <f>IF(Start!$C$17="x",IF(OR(I152="NA",I152="",G152="NA",G152=""),"NA",I152/G152),"---")</f>
        <v>NA</v>
      </c>
      <c r="O152" s="794" t="str">
        <f>IF(Start!$C$17="x",(IF(C152="","",(IF(N152="NA","NA",IF(D152="NA","NA",IF(D152=0,"NA",(N152/D152))))))),"Not Req.")</f>
        <v/>
      </c>
    </row>
    <row r="153" spans="1:15" s="10" customFormat="1" x14ac:dyDescent="0.25">
      <c r="A153" s="405" t="s">
        <v>471</v>
      </c>
      <c r="B153" s="868" t="str">
        <f>IF(Start!$C$17="x",(IF($C153="NA","NA",(IF(C153="","",(IF(AND(N153="NA",C153&lt;&gt;"NA",D153&lt;&gt;"NA"),"Missing Data",(IF(OR(D153 = "NA",D153=""),"No Criteria",(IF(N153&lt;D153,IF(OR(I153&lt;D153,ChemData!AA153&lt;&gt;""),"No-1",IF(M153&lt;D153,"No-2","No-3")),"Needed")))))))))),"---")</f>
        <v/>
      </c>
      <c r="C153" s="426" t="str">
        <f>IF(TRUE=ISBLANK(ChemData!B153),"",(ChemData!B153))</f>
        <v/>
      </c>
      <c r="D153" s="289" t="str">
        <f>IF(TRUE=ISBLANK(ChemData!J153),"",(ChemData!J153))</f>
        <v>NA</v>
      </c>
      <c r="E153" s="290">
        <f>IF(TRUE=ISBLANK(ChemData!Q153),"",(ChemData!Q153))</f>
        <v>0.49820309220687214</v>
      </c>
      <c r="F153" s="290">
        <f>IF(TRUE=ISBLANK(ChemData!S153),"",(ChemData!S153))</f>
        <v>1</v>
      </c>
      <c r="G153" s="865">
        <f>IF(OR(TRUE=ISBLANK(ChemData!AA153),ChemData!AA153="NA",ChemData!AA153=0),ChemData!Z153,(ChemData!AA153))</f>
        <v>6.8495741227413909</v>
      </c>
      <c r="H153" s="685" t="str">
        <f>IF(Start!$C$17="x",(IF(OR(C153="NA",C153=""),"NA",IF(OR(F153="NA",F153="",F153=0),"NA",C153*F153))),"---")</f>
        <v>NA</v>
      </c>
      <c r="I153" s="376" t="str">
        <f>IF(Start!$C$17="x",(IF($E153 = "NA", "NA", (IF(H153 = "NA", "NA",(IF(OR(ChemData!U153="NA",ChemData!U153=""),H153/((Data!$D$18+$E153*(1-Data!$D$18)*Data!$D$14)/(1000*(1-Data!$D$18)*Data!$D$14)),(IF(H153/((Data!$D$18+$E153*(1-Data!$D$18)*Data!$D$14)/(1000*(1-Data!$D$18)*Data!$D$14))&gt;ChemData!U153, ChemData!U153,H153/((Data!$D$18+$E153*(1-Data!$D$18)*Data!$D$14)/(1000*(1-Data!$D$18)*Data!$D$14)))))))))),"---")</f>
        <v>NA</v>
      </c>
      <c r="J153" s="870" t="str">
        <f>IF(Start!$C$17="x",IF(OR(I153="NA",I153="",ChemData!W153="NA",ChemData!W153=""),"NA",I153/ChemData!W153),"---")</f>
        <v>NA</v>
      </c>
      <c r="K153" s="870" t="str">
        <f>IF(Start!$C$17="x",IF(J153="NA","NA",IF(Data!$D$68&lt;ChemData!X153,J153*(Data!$D$68/ChemData!X153),J153)),"---")</f>
        <v>NA</v>
      </c>
      <c r="L153" s="870" t="str">
        <f>IF(Start!$C$17="x",IF(OR(I153="NA",I153="",ChemData!Z153="NA",ChemData!Z153=""),"NA",I153/ChemData!Z153),"---")</f>
        <v>NA</v>
      </c>
      <c r="M153" s="870" t="str">
        <f>IF(Start!$C$17="x",IF(OR(I153="NA",I153="",ChemData!Y153="NA",ChemData!Y153=""),"NA",I153/ChemData!Y153),"---")</f>
        <v>NA</v>
      </c>
      <c r="N153" s="870" t="str">
        <f>IF(Start!$C$17="x",IF(OR(I153="NA",I153="",G153="NA",G153=""),"NA",I153/G153),"---")</f>
        <v>NA</v>
      </c>
      <c r="O153" s="794" t="str">
        <f>IF(Start!$C$17="x",(IF(C153="","",(IF(N153="NA","NA",IF(D153="NA","NA",IF(D153=0,"NA",(N153/D153))))))),"Not Req.")</f>
        <v/>
      </c>
    </row>
    <row r="154" spans="1:15" s="10" customFormat="1" x14ac:dyDescent="0.25">
      <c r="A154" s="405" t="s">
        <v>472</v>
      </c>
      <c r="B154" s="868" t="str">
        <f>IF(Start!$C$17="x",(IF($C154="NA","NA",(IF(C154="","",(IF(AND(N154="NA",C154&lt;&gt;"NA",D154&lt;&gt;"NA"),"Missing Data",(IF(OR(D154 = "NA",D154=""),"No Criteria",(IF(N154&lt;D154,IF(OR(I154&lt;D154,ChemData!AA154&lt;&gt;""),"No-1",IF(M154&lt;D154,"No-2","No-3")),"Needed")))))))))),"---")</f>
        <v/>
      </c>
      <c r="C154" s="426" t="str">
        <f>IF(TRUE=ISBLANK(ChemData!B154),"",(ChemData!B154))</f>
        <v/>
      </c>
      <c r="D154" s="289">
        <f>IF(TRUE=ISBLANK(ChemData!J154),"",(ChemData!J154))</f>
        <v>28</v>
      </c>
      <c r="E154" s="290">
        <f>IF(TRUE=ISBLANK(ChemData!Q154),"",(ChemData!Q154))</f>
        <v>1.5395947403110444</v>
      </c>
      <c r="F154" s="290">
        <f>IF(TRUE=ISBLANK(ChemData!S154),"",(ChemData!S154))</f>
        <v>1</v>
      </c>
      <c r="G154" s="865">
        <f>IF(OR(TRUE=ISBLANK(ChemData!AA154),ChemData!AA154="NA",ChemData!AA154=0),ChemData!Z154,(ChemData!AA154))</f>
        <v>6.8495741227413944</v>
      </c>
      <c r="H154" s="685" t="str">
        <f>IF(Start!$C$17="x",(IF(OR(C154="NA",C154=""),"NA",IF(OR(F154="NA",F154="",F154=0),"NA",C154*F154))),"---")</f>
        <v>NA</v>
      </c>
      <c r="I154" s="376" t="str">
        <f>IF(Start!$C$17="x",(IF($E154 = "NA", "NA", (IF(H154 = "NA", "NA",(IF(OR(ChemData!U154="NA",ChemData!U154=""),H154/((Data!$D$18+$E154*(1-Data!$D$18)*Data!$D$14)/(1000*(1-Data!$D$18)*Data!$D$14)),(IF(H154/((Data!$D$18+$E154*(1-Data!$D$18)*Data!$D$14)/(1000*(1-Data!$D$18)*Data!$D$14))&gt;ChemData!U154, ChemData!U154,H154/((Data!$D$18+$E154*(1-Data!$D$18)*Data!$D$14)/(1000*(1-Data!$D$18)*Data!$D$14)))))))))),"---")</f>
        <v>NA</v>
      </c>
      <c r="J154" s="870" t="str">
        <f>IF(Start!$C$17="x",IF(OR(I154="NA",I154="",ChemData!W154="NA",ChemData!W154=""),"NA",I154/ChemData!W154),"---")</f>
        <v>NA</v>
      </c>
      <c r="K154" s="870" t="str">
        <f>IF(Start!$C$17="x",IF(J154="NA","NA",IF(Data!$D$68&lt;ChemData!X154,J154*(Data!$D$68/ChemData!X154),J154)),"---")</f>
        <v>NA</v>
      </c>
      <c r="L154" s="870" t="str">
        <f>IF(Start!$C$17="x",IF(OR(I154="NA",I154="",ChemData!Z154="NA",ChemData!Z154=""),"NA",I154/ChemData!Z154),"---")</f>
        <v>NA</v>
      </c>
      <c r="M154" s="870" t="str">
        <f>IF(Start!$C$17="x",IF(OR(I154="NA",I154="",ChemData!Y154="NA",ChemData!Y154=""),"NA",I154/ChemData!Y154),"---")</f>
        <v>NA</v>
      </c>
      <c r="N154" s="870" t="str">
        <f>IF(Start!$C$17="x",IF(OR(I154="NA",I154="",G154="NA",G154=""),"NA",I154/G154),"---")</f>
        <v>NA</v>
      </c>
      <c r="O154" s="794" t="str">
        <f>IF(Start!$C$17="x",(IF(C154="","",(IF(N154="NA","NA",IF(D154="NA","NA",IF(D154=0,"NA",(N154/D154))))))),"Not Req.")</f>
        <v/>
      </c>
    </row>
    <row r="155" spans="1:15" s="10" customFormat="1" x14ac:dyDescent="0.25">
      <c r="A155" s="405" t="s">
        <v>671</v>
      </c>
      <c r="B155" s="868" t="str">
        <f>IF(Start!$C$17="x",(IF($C155="NA","NA",(IF(C155="","",(IF(AND(N155="NA",C155&lt;&gt;"NA",D155&lt;&gt;"NA"),"Missing Data",(IF(OR(D155 = "NA",D155=""),"No Criteria",(IF(N155&lt;D155,IF(OR(I155&lt;D155,ChemData!AA155&lt;&gt;""),"No-1",IF(M155&lt;D155,"No-2","No-3")),"Needed")))))))))),"---")</f>
        <v/>
      </c>
      <c r="C155" s="426" t="str">
        <f>IF(TRUE=ISBLANK(ChemData!B155),"",(ChemData!B155))</f>
        <v/>
      </c>
      <c r="D155" s="289" t="str">
        <f>IF(TRUE=ISBLANK(ChemData!J155),"",(ChemData!J155))</f>
        <v>NA</v>
      </c>
      <c r="E155" s="290">
        <f>IF(TRUE=ISBLANK(ChemData!Q155),"",(ChemData!Q155))</f>
        <v>0.15045492854197479</v>
      </c>
      <c r="F155" s="290">
        <f>IF(TRUE=ISBLANK(ChemData!S155),"",(ChemData!S155))</f>
        <v>1</v>
      </c>
      <c r="G155" s="865">
        <f>IF(OR(TRUE=ISBLANK(ChemData!AA155),ChemData!AA155="NA",ChemData!AA155=0),ChemData!Z155,(ChemData!AA155))</f>
        <v>6.8495741227413927</v>
      </c>
      <c r="H155" s="685" t="str">
        <f>IF(Start!$C$17="x",(IF(OR(C155="NA",C155=""),"NA",IF(OR(F155="NA",F155="",F155=0),"NA",C155*F155))),"---")</f>
        <v>NA</v>
      </c>
      <c r="I155" s="376" t="str">
        <f>IF(Start!$C$17="x",(IF($E155 = "NA", "NA", (IF(H155 = "NA", "NA",(IF(OR(ChemData!U155="NA",ChemData!U155=""),H155/((Data!$D$18+$E155*(1-Data!$D$18)*Data!$D$14)/(1000*(1-Data!$D$18)*Data!$D$14)),(IF(H155/((Data!$D$18+$E155*(1-Data!$D$18)*Data!$D$14)/(1000*(1-Data!$D$18)*Data!$D$14))&gt;ChemData!U155, ChemData!U155,H155/((Data!$D$18+$E155*(1-Data!$D$18)*Data!$D$14)/(1000*(1-Data!$D$18)*Data!$D$14)))))))))),"---")</f>
        <v>NA</v>
      </c>
      <c r="J155" s="870" t="str">
        <f>IF(Start!$C$17="x",IF(OR(I155="NA",I155="",ChemData!W155="NA",ChemData!W155=""),"NA",I155/ChemData!W155),"---")</f>
        <v>NA</v>
      </c>
      <c r="K155" s="870" t="str">
        <f>IF(Start!$C$17="x",IF(J155="NA","NA",IF(Data!$D$68&lt;ChemData!X155,J155*(Data!$D$68/ChemData!X155),J155)),"---")</f>
        <v>NA</v>
      </c>
      <c r="L155" s="870" t="str">
        <f>IF(Start!$C$17="x",IF(OR(I155="NA",I155="",ChemData!Z155="NA",ChemData!Z155=""),"NA",I155/ChemData!Z155),"---")</f>
        <v>NA</v>
      </c>
      <c r="M155" s="870" t="str">
        <f>IF(Start!$C$17="x",IF(OR(I155="NA",I155="",ChemData!Y155="NA",ChemData!Y155=""),"NA",I155/ChemData!Y155),"---")</f>
        <v>NA</v>
      </c>
      <c r="N155" s="870" t="str">
        <f>IF(Start!$C$17="x",IF(OR(I155="NA",I155="",G155="NA",G155=""),"NA",I155/G155),"---")</f>
        <v>NA</v>
      </c>
      <c r="O155" s="794" t="str">
        <f>IF(Start!$C$17="x",(IF(C155="","",(IF(N155="NA","NA",IF(D155="NA","NA",IF(D155=0,"NA",(N155/D155))))))),"Not Req.")</f>
        <v/>
      </c>
    </row>
    <row r="156" spans="1:15" s="10" customFormat="1" x14ac:dyDescent="0.25">
      <c r="A156" s="405" t="s">
        <v>474</v>
      </c>
      <c r="B156" s="868" t="str">
        <f>IF(Start!$C$17="x",(IF($C156="NA","NA",(IF(C156="","",(IF(AND(N156="NA",C156&lt;&gt;"NA",D156&lt;&gt;"NA"),"Missing Data",(IF(OR(D156 = "NA",D156=""),"No Criteria",(IF(N156&lt;D156,IF(OR(I156&lt;D156,ChemData!AA156&lt;&gt;""),"No-1",IF(M156&lt;D156,"No-2","No-3")),"Needed")))))))))),"---")</f>
        <v/>
      </c>
      <c r="C156" s="426" t="str">
        <f>IF(TRUE=ISBLANK(ChemData!B156),"",(ChemData!B156))</f>
        <v/>
      </c>
      <c r="D156" s="289">
        <f>IF(TRUE=ISBLANK(ChemData!J156),"",(ChemData!J156))</f>
        <v>49</v>
      </c>
      <c r="E156" s="290">
        <f>IF(TRUE=ISBLANK(ChemData!Q156),"",(ChemData!Q156))</f>
        <v>32915.951879820481</v>
      </c>
      <c r="F156" s="290">
        <f>IF(TRUE=ISBLANK(ChemData!S156),"",(ChemData!S156))</f>
        <v>1</v>
      </c>
      <c r="G156" s="865">
        <f>IF(OR(TRUE=ISBLANK(ChemData!AA156),ChemData!AA156="NA",ChemData!AA156=0),ChemData!Z156,(ChemData!AA156))</f>
        <v>3428423.207857925</v>
      </c>
      <c r="H156" s="685" t="str">
        <f>IF(Start!$C$17="x",(IF(OR(C156="NA",C156=""),"NA",IF(OR(F156="NA",F156="",F156=0),"NA",C156*F156))),"---")</f>
        <v>NA</v>
      </c>
      <c r="I156" s="376" t="str">
        <f>IF(Start!$C$17="x",(IF($E156 = "NA", "NA", (IF(H156 = "NA", "NA",(IF(OR(ChemData!U156="NA",ChemData!U156=""),H156/((Data!$D$18+$E156*(1-Data!$D$18)*Data!$D$14)/(1000*(1-Data!$D$18)*Data!$D$14)),(IF(H156/((Data!$D$18+$E156*(1-Data!$D$18)*Data!$D$14)/(1000*(1-Data!$D$18)*Data!$D$14))&gt;ChemData!U156, ChemData!U156,H156/((Data!$D$18+$E156*(1-Data!$D$18)*Data!$D$14)/(1000*(1-Data!$D$18)*Data!$D$14)))))))))),"---")</f>
        <v>NA</v>
      </c>
      <c r="J156" s="870" t="str">
        <f>IF(Start!$C$17="x",IF(OR(I156="NA",I156="",ChemData!W156="NA",ChemData!W156=""),"NA",I156/ChemData!W156),"---")</f>
        <v>NA</v>
      </c>
      <c r="K156" s="870" t="str">
        <f>IF(Start!$C$17="x",IF(J156="NA","NA",IF(Data!$D$68&lt;ChemData!X156,J156*(Data!$D$68/ChemData!X156),J156)),"---")</f>
        <v>NA</v>
      </c>
      <c r="L156" s="870" t="str">
        <f>IF(Start!$C$17="x",IF(OR(I156="NA",I156="",ChemData!Z156="NA",ChemData!Z156=""),"NA",I156/ChemData!Z156),"---")</f>
        <v>NA</v>
      </c>
      <c r="M156" s="870" t="str">
        <f>IF(Start!$C$17="x",IF(OR(I156="NA",I156="",ChemData!Y156="NA",ChemData!Y156=""),"NA",I156/ChemData!Y156),"---")</f>
        <v>NA</v>
      </c>
      <c r="N156" s="870" t="str">
        <f>IF(Start!$C$17="x",IF(OR(I156="NA",I156="",G156="NA",G156=""),"NA",I156/G156),"---")</f>
        <v>NA</v>
      </c>
      <c r="O156" s="794" t="str">
        <f>IF(Start!$C$17="x",(IF(C156="","",(IF(N156="NA","NA",IF(D156="NA","NA",IF(D156=0,"NA",(N156/D156))))))),"Not Req.")</f>
        <v/>
      </c>
    </row>
    <row r="157" spans="1:15" s="10" customFormat="1" x14ac:dyDescent="0.25">
      <c r="A157" s="405" t="s">
        <v>475</v>
      </c>
      <c r="B157" s="868" t="str">
        <f>IF(Start!$C$17="x",(IF($C157="NA","NA",(IF(C157="","",(IF(AND(N157="NA",C157&lt;&gt;"NA",D157&lt;&gt;"NA"),"Missing Data",(IF(OR(D157 = "NA",D157=""),"No Criteria",(IF(N157&lt;D157,IF(OR(I157&lt;D157,ChemData!AA157&lt;&gt;""),"No-1",IF(M157&lt;D157,"No-2","No-3")),"Needed")))))))))),"---")</f>
        <v/>
      </c>
      <c r="C157" s="426" t="str">
        <f>IF(TRUE=ISBLANK(ChemData!B157),"",(ChemData!B157))</f>
        <v/>
      </c>
      <c r="D157" s="289" t="str">
        <f>IF(TRUE=ISBLANK(ChemData!J157),"",(ChemData!J157))</f>
        <v>NA</v>
      </c>
      <c r="E157" s="290">
        <f>IF(TRUE=ISBLANK(ChemData!Q157),"",(ChemData!Q157))</f>
        <v>3.2166693340150965</v>
      </c>
      <c r="F157" s="290">
        <f>IF(TRUE=ISBLANK(ChemData!S157),"",(ChemData!S157))</f>
        <v>1</v>
      </c>
      <c r="G157" s="865">
        <f>IF(OR(TRUE=ISBLANK(ChemData!AA157),ChemData!AA157="NA",ChemData!AA157=0),ChemData!Z157,(ChemData!AA157))</f>
        <v>6.8495741227413927</v>
      </c>
      <c r="H157" s="685" t="str">
        <f>IF(Start!$C$17="x",(IF(OR(C157="NA",C157=""),"NA",IF(OR(F157="NA",F157="",F157=0),"NA",C157*F157))),"---")</f>
        <v>NA</v>
      </c>
      <c r="I157" s="376" t="str">
        <f>IF(Start!$C$17="x",(IF($E157 = "NA", "NA", (IF(H157 = "NA", "NA",(IF(OR(ChemData!U157="NA",ChemData!U157=""),H157/((Data!$D$18+$E157*(1-Data!$D$18)*Data!$D$14)/(1000*(1-Data!$D$18)*Data!$D$14)),(IF(H157/((Data!$D$18+$E157*(1-Data!$D$18)*Data!$D$14)/(1000*(1-Data!$D$18)*Data!$D$14))&gt;ChemData!U157, ChemData!U157,H157/((Data!$D$18+$E157*(1-Data!$D$18)*Data!$D$14)/(1000*(1-Data!$D$18)*Data!$D$14)))))))))),"---")</f>
        <v>NA</v>
      </c>
      <c r="J157" s="870" t="str">
        <f>IF(Start!$C$17="x",IF(OR(I157="NA",I157="",ChemData!W157="NA",ChemData!W157=""),"NA",I157/ChemData!W157),"---")</f>
        <v>NA</v>
      </c>
      <c r="K157" s="870" t="str">
        <f>IF(Start!$C$17="x",IF(J157="NA","NA",IF(Data!$D$68&lt;ChemData!X157,J157*(Data!$D$68/ChemData!X157),J157)),"---")</f>
        <v>NA</v>
      </c>
      <c r="L157" s="870" t="str">
        <f>IF(Start!$C$17="x",IF(OR(I157="NA",I157="",ChemData!Z157="NA",ChemData!Z157=""),"NA",I157/ChemData!Z157),"---")</f>
        <v>NA</v>
      </c>
      <c r="M157" s="870" t="str">
        <f>IF(Start!$C$17="x",IF(OR(I157="NA",I157="",ChemData!Y157="NA",ChemData!Y157=""),"NA",I157/ChemData!Y157),"---")</f>
        <v>NA</v>
      </c>
      <c r="N157" s="870" t="str">
        <f>IF(Start!$C$17="x",IF(OR(I157="NA",I157="",G157="NA",G157=""),"NA",I157/G157),"---")</f>
        <v>NA</v>
      </c>
      <c r="O157" s="794" t="str">
        <f>IF(Start!$C$17="x",(IF(C157="","",(IF(N157="NA","NA",IF(D157="NA","NA",IF(D157=0,"NA",(N157/D157))))))),"Not Req.")</f>
        <v/>
      </c>
    </row>
    <row r="158" spans="1:15" s="10" customFormat="1" x14ac:dyDescent="0.25">
      <c r="A158" s="405" t="s">
        <v>476</v>
      </c>
      <c r="B158" s="868" t="str">
        <f>IF(Start!$C$17="x",(IF($C158="NA","NA",(IF(C158="","",(IF(AND(N158="NA",C158&lt;&gt;"NA",D158&lt;&gt;"NA"),"Missing Data",(IF(OR(D158 = "NA",D158=""),"No Criteria",(IF(N158&lt;D158,IF(OR(I158&lt;D158,ChemData!AA158&lt;&gt;""),"No-1",IF(M158&lt;D158,"No-2","No-3")),"Needed")))))))))),"---")</f>
        <v/>
      </c>
      <c r="C158" s="426" t="str">
        <f>IF(TRUE=ISBLANK(ChemData!B158),"",(ChemData!B158))</f>
        <v/>
      </c>
      <c r="D158" s="289" t="str">
        <f>IF(TRUE=ISBLANK(ChemData!J158),"",(ChemData!J158))</f>
        <v>NA</v>
      </c>
      <c r="E158" s="290">
        <f>IF(TRUE=ISBLANK(ChemData!Q158),"",(ChemData!Q158))</f>
        <v>3.3682662892870785</v>
      </c>
      <c r="F158" s="290">
        <f>IF(TRUE=ISBLANK(ChemData!S158),"",(ChemData!S158))</f>
        <v>1</v>
      </c>
      <c r="G158" s="865">
        <f>IF(OR(TRUE=ISBLANK(ChemData!AA158),ChemData!AA158="NA",ChemData!AA158=0),ChemData!Z158,(ChemData!AA158))</f>
        <v>6.8495741227413944</v>
      </c>
      <c r="H158" s="685" t="str">
        <f>IF(Start!$C$17="x",(IF(OR(C158="NA",C158=""),"NA",IF(OR(F158="NA",F158="",F158=0),"NA",C158*F158))),"---")</f>
        <v>NA</v>
      </c>
      <c r="I158" s="376" t="str">
        <f>IF(Start!$C$17="x",(IF($E158 = "NA", "NA", (IF(H158 = "NA", "NA",(IF(OR(ChemData!U158="NA",ChemData!U158=""),H158/((Data!$D$18+$E158*(1-Data!$D$18)*Data!$D$14)/(1000*(1-Data!$D$18)*Data!$D$14)),(IF(H158/((Data!$D$18+$E158*(1-Data!$D$18)*Data!$D$14)/(1000*(1-Data!$D$18)*Data!$D$14))&gt;ChemData!U158, ChemData!U158,H158/((Data!$D$18+$E158*(1-Data!$D$18)*Data!$D$14)/(1000*(1-Data!$D$18)*Data!$D$14)))))))))),"---")</f>
        <v>NA</v>
      </c>
      <c r="J158" s="870" t="str">
        <f>IF(Start!$C$17="x",IF(OR(I158="NA",I158="",ChemData!W158="NA",ChemData!W158=""),"NA",I158/ChemData!W158),"---")</f>
        <v>NA</v>
      </c>
      <c r="K158" s="870" t="str">
        <f>IF(Start!$C$17="x",IF(J158="NA","NA",IF(Data!$D$68&lt;ChemData!X158,J158*(Data!$D$68/ChemData!X158),J158)),"---")</f>
        <v>NA</v>
      </c>
      <c r="L158" s="870" t="str">
        <f>IF(Start!$C$17="x",IF(OR(I158="NA",I158="",ChemData!Z158="NA",ChemData!Z158=""),"NA",I158/ChemData!Z158),"---")</f>
        <v>NA</v>
      </c>
      <c r="M158" s="870" t="str">
        <f>IF(Start!$C$17="x",IF(OR(I158="NA",I158="",ChemData!Y158="NA",ChemData!Y158=""),"NA",I158/ChemData!Y158),"---")</f>
        <v>NA</v>
      </c>
      <c r="N158" s="870" t="str">
        <f>IF(Start!$C$17="x",IF(OR(I158="NA",I158="",G158="NA",G158=""),"NA",I158/G158),"---")</f>
        <v>NA</v>
      </c>
      <c r="O158" s="794" t="str">
        <f>IF(Start!$C$17="x",(IF(C158="","",(IF(N158="NA","NA",IF(D158="NA","NA",IF(D158=0,"NA",(N158/D158))))))),"Not Req.")</f>
        <v/>
      </c>
    </row>
    <row r="159" spans="1:15" s="10" customFormat="1" x14ac:dyDescent="0.25">
      <c r="A159" s="405" t="s">
        <v>672</v>
      </c>
      <c r="B159" s="868" t="str">
        <f>IF(Start!$C$17="x",(IF($C159="NA","NA",(IF(C159="","",(IF(AND(N159="NA",C159&lt;&gt;"NA",D159&lt;&gt;"NA"),"Missing Data",(IF(OR(D159 = "NA",D159=""),"No Criteria",(IF(N159&lt;D159,IF(OR(I159&lt;D159,ChemData!AA159&lt;&gt;""),"No-1",IF(M159&lt;D159,"No-2","No-3")),"Needed")))))))))),"---")</f>
        <v/>
      </c>
      <c r="C159" s="426" t="str">
        <f>IF(TRUE=ISBLANK(ChemData!B159),"",(ChemData!B159))</f>
        <v/>
      </c>
      <c r="D159" s="289" t="str">
        <f>IF(TRUE=ISBLANK(ChemData!J159),"",(ChemData!J159))</f>
        <v>NA</v>
      </c>
      <c r="E159" s="290">
        <f>IF(TRUE=ISBLANK(ChemData!Q159),"",(ChemData!Q159))</f>
        <v>1.688132063647789</v>
      </c>
      <c r="F159" s="290">
        <f>IF(TRUE=ISBLANK(ChemData!S159),"",(ChemData!S159))</f>
        <v>1</v>
      </c>
      <c r="G159" s="865">
        <f>IF(OR(TRUE=ISBLANK(ChemData!AA159),ChemData!AA159="NA",ChemData!AA159=0),ChemData!Z159,(ChemData!AA159))</f>
        <v>6.8495741227413927</v>
      </c>
      <c r="H159" s="685" t="str">
        <f>IF(Start!$C$17="x",(IF(OR(C159="NA",C159=""),"NA",IF(OR(F159="NA",F159="",F159=0),"NA",C159*F159))),"---")</f>
        <v>NA</v>
      </c>
      <c r="I159" s="376" t="str">
        <f>IF(Start!$C$17="x",(IF($E159 = "NA", "NA", (IF(H159 = "NA", "NA",(IF(OR(ChemData!U159="NA",ChemData!U159=""),H159/((Data!$D$18+$E159*(1-Data!$D$18)*Data!$D$14)/(1000*(1-Data!$D$18)*Data!$D$14)),(IF(H159/((Data!$D$18+$E159*(1-Data!$D$18)*Data!$D$14)/(1000*(1-Data!$D$18)*Data!$D$14))&gt;ChemData!U159, ChemData!U159,H159/((Data!$D$18+$E159*(1-Data!$D$18)*Data!$D$14)/(1000*(1-Data!$D$18)*Data!$D$14)))))))))),"---")</f>
        <v>NA</v>
      </c>
      <c r="J159" s="870" t="str">
        <f>IF(Start!$C$17="x",IF(OR(I159="NA",I159="",ChemData!W159="NA",ChemData!W159=""),"NA",I159/ChemData!W159),"---")</f>
        <v>NA</v>
      </c>
      <c r="K159" s="870" t="str">
        <f>IF(Start!$C$17="x",IF(J159="NA","NA",IF(Data!$D$68&lt;ChemData!X159,J159*(Data!$D$68/ChemData!X159),J159)),"---")</f>
        <v>NA</v>
      </c>
      <c r="L159" s="870" t="str">
        <f>IF(Start!$C$17="x",IF(OR(I159="NA",I159="",ChemData!Z159="NA",ChemData!Z159=""),"NA",I159/ChemData!Z159),"---")</f>
        <v>NA</v>
      </c>
      <c r="M159" s="870" t="str">
        <f>IF(Start!$C$17="x",IF(OR(I159="NA",I159="",ChemData!Y159="NA",ChemData!Y159=""),"NA",I159/ChemData!Y159),"---")</f>
        <v>NA</v>
      </c>
      <c r="N159" s="870" t="str">
        <f>IF(Start!$C$17="x",IF(OR(I159="NA",I159="",G159="NA",G159=""),"NA",I159/G159),"---")</f>
        <v>NA</v>
      </c>
      <c r="O159" s="794" t="str">
        <f>IF(Start!$C$17="x",(IF(C159="","",(IF(N159="NA","NA",IF(D159="NA","NA",IF(D159=0,"NA",(N159/D159))))))),"Not Req.")</f>
        <v/>
      </c>
    </row>
    <row r="160" spans="1:15" s="10" customFormat="1" x14ac:dyDescent="0.25">
      <c r="A160" s="405" t="s">
        <v>673</v>
      </c>
      <c r="B160" s="868" t="str">
        <f>IF(Start!$C$17="x",(IF($C160="NA","NA",(IF(C160="","",(IF(AND(N160="NA",C160&lt;&gt;"NA",D160&lt;&gt;"NA"),"Missing Data",(IF(OR(D160 = "NA",D160=""),"No Criteria",(IF(N160&lt;D160,IF(OR(I160&lt;D160,ChemData!AA160&lt;&gt;""),"No-1",IF(M160&lt;D160,"No-2","No-3")),"Needed")))))))))),"---")</f>
        <v/>
      </c>
      <c r="C160" s="426" t="str">
        <f>IF(TRUE=ISBLANK(ChemData!B160),"",(ChemData!B160))</f>
        <v/>
      </c>
      <c r="D160" s="289" t="str">
        <f>IF(TRUE=ISBLANK(ChemData!J160),"",(ChemData!J160))</f>
        <v>NA</v>
      </c>
      <c r="E160" s="290">
        <f>IF(TRUE=ISBLANK(ChemData!Q160),"",(ChemData!Q160))</f>
        <v>2.6755090156507135</v>
      </c>
      <c r="F160" s="290">
        <f>IF(TRUE=ISBLANK(ChemData!S160),"",(ChemData!S160))</f>
        <v>1</v>
      </c>
      <c r="G160" s="865">
        <f>IF(OR(TRUE=ISBLANK(ChemData!AA160),ChemData!AA160="NA",ChemData!AA160=0),ChemData!Z160,(ChemData!AA160))</f>
        <v>6.8495741227413927</v>
      </c>
      <c r="H160" s="685" t="str">
        <f>IF(Start!$C$17="x",(IF(OR(C160="NA",C160=""),"NA",IF(OR(F160="NA",F160="",F160=0),"NA",C160*F160))),"---")</f>
        <v>NA</v>
      </c>
      <c r="I160" s="376" t="str">
        <f>IF(Start!$C$17="x",(IF($E160 = "NA", "NA", (IF(H160 = "NA", "NA",(IF(OR(ChemData!U160="NA",ChemData!U160=""),H160/((Data!$D$18+$E160*(1-Data!$D$18)*Data!$D$14)/(1000*(1-Data!$D$18)*Data!$D$14)),(IF(H160/((Data!$D$18+$E160*(1-Data!$D$18)*Data!$D$14)/(1000*(1-Data!$D$18)*Data!$D$14))&gt;ChemData!U160, ChemData!U160,H160/((Data!$D$18+$E160*(1-Data!$D$18)*Data!$D$14)/(1000*(1-Data!$D$18)*Data!$D$14)))))))))),"---")</f>
        <v>NA</v>
      </c>
      <c r="J160" s="870" t="str">
        <f>IF(Start!$C$17="x",IF(OR(I160="NA",I160="",ChemData!W160="NA",ChemData!W160=""),"NA",I160/ChemData!W160),"---")</f>
        <v>NA</v>
      </c>
      <c r="K160" s="870" t="str">
        <f>IF(Start!$C$17="x",IF(J160="NA","NA",IF(Data!$D$68&lt;ChemData!X160,J160*(Data!$D$68/ChemData!X160),J160)),"---")</f>
        <v>NA</v>
      </c>
      <c r="L160" s="870" t="str">
        <f>IF(Start!$C$17="x",IF(OR(I160="NA",I160="",ChemData!Z160="NA",ChemData!Z160=""),"NA",I160/ChemData!Z160),"---")</f>
        <v>NA</v>
      </c>
      <c r="M160" s="870" t="str">
        <f>IF(Start!$C$17="x",IF(OR(I160="NA",I160="",ChemData!Y160="NA",ChemData!Y160=""),"NA",I160/ChemData!Y160),"---")</f>
        <v>NA</v>
      </c>
      <c r="N160" s="870" t="str">
        <f>IF(Start!$C$17="x",IF(OR(I160="NA",I160="",G160="NA",G160=""),"NA",I160/G160),"---")</f>
        <v>NA</v>
      </c>
      <c r="O160" s="794" t="str">
        <f>IF(Start!$C$17="x",(IF(C160="","",(IF(N160="NA","NA",IF(D160="NA","NA",IF(D160=0,"NA",(N160/D160))))))),"Not Req.")</f>
        <v/>
      </c>
    </row>
    <row r="161" spans="1:15" s="10" customFormat="1" x14ac:dyDescent="0.25">
      <c r="A161" s="405" t="s">
        <v>479</v>
      </c>
      <c r="B161" s="868" t="str">
        <f>IF(Start!$C$17="x",(IF($C161="NA","NA",(IF(C161="","",(IF(AND(N161="NA",C161&lt;&gt;"NA",D161&lt;&gt;"NA"),"Missing Data",(IF(OR(D161 = "NA",D161=""),"No Criteria",(IF(N161&lt;D161,IF(OR(I161&lt;D161,ChemData!AA161&lt;&gt;""),"No-1",IF(M161&lt;D161,"No-2","No-3")),"Needed")))))))))),"---")</f>
        <v/>
      </c>
      <c r="C161" s="426" t="str">
        <f>IF(TRUE=ISBLANK(ChemData!B161),"",(ChemData!B161))</f>
        <v/>
      </c>
      <c r="D161" s="289">
        <f>IF(TRUE=ISBLANK(ChemData!J161),"",(ChemData!J161))</f>
        <v>47</v>
      </c>
      <c r="E161" s="290">
        <f>IF(TRUE=ISBLANK(ChemData!Q161),"",(ChemData!Q161))</f>
        <v>1.1413173484456043</v>
      </c>
      <c r="F161" s="290">
        <f>IF(TRUE=ISBLANK(ChemData!S161),"",(ChemData!S161))</f>
        <v>1</v>
      </c>
      <c r="G161" s="865">
        <f>IF(OR(TRUE=ISBLANK(ChemData!AA161),ChemData!AA161="NA",ChemData!AA161=0),ChemData!Z161,(ChemData!AA161))</f>
        <v>6.8495741227413909</v>
      </c>
      <c r="H161" s="685" t="str">
        <f>IF(Start!$C$17="x",(IF(OR(C161="NA",C161=""),"NA",IF(OR(F161="NA",F161="",F161=0),"NA",C161*F161))),"---")</f>
        <v>NA</v>
      </c>
      <c r="I161" s="376" t="str">
        <f>IF(Start!$C$17="x",(IF($E161 = "NA", "NA", (IF(H161 = "NA", "NA",(IF(OR(ChemData!U161="NA",ChemData!U161=""),H161/((Data!$D$18+$E161*(1-Data!$D$18)*Data!$D$14)/(1000*(1-Data!$D$18)*Data!$D$14)),(IF(H161/((Data!$D$18+$E161*(1-Data!$D$18)*Data!$D$14)/(1000*(1-Data!$D$18)*Data!$D$14))&gt;ChemData!U161, ChemData!U161,H161/((Data!$D$18+$E161*(1-Data!$D$18)*Data!$D$14)/(1000*(1-Data!$D$18)*Data!$D$14)))))))))),"---")</f>
        <v>NA</v>
      </c>
      <c r="J161" s="870" t="str">
        <f>IF(Start!$C$17="x",IF(OR(I161="NA",I161="",ChemData!W161="NA",ChemData!W161=""),"NA",I161/ChemData!W161),"---")</f>
        <v>NA</v>
      </c>
      <c r="K161" s="870" t="str">
        <f>IF(Start!$C$17="x",IF(J161="NA","NA",IF(Data!$D$68&lt;ChemData!X161,J161*(Data!$D$68/ChemData!X161),J161)),"---")</f>
        <v>NA</v>
      </c>
      <c r="L161" s="870" t="str">
        <f>IF(Start!$C$17="x",IF(OR(I161="NA",I161="",ChemData!Z161="NA",ChemData!Z161=""),"NA",I161/ChemData!Z161),"---")</f>
        <v>NA</v>
      </c>
      <c r="M161" s="870" t="str">
        <f>IF(Start!$C$17="x",IF(OR(I161="NA",I161="",ChemData!Y161="NA",ChemData!Y161=""),"NA",I161/ChemData!Y161),"---")</f>
        <v>NA</v>
      </c>
      <c r="N161" s="870" t="str">
        <f>IF(Start!$C$17="x",IF(OR(I161="NA",I161="",G161="NA",G161=""),"NA",I161/G161),"---")</f>
        <v>NA</v>
      </c>
      <c r="O161" s="794" t="str">
        <f>IF(Start!$C$17="x",(IF(C161="","",(IF(N161="NA","NA",IF(D161="NA","NA",IF(D161=0,"NA",(N161/D161))))))),"Not Req.")</f>
        <v/>
      </c>
    </row>
    <row r="162" spans="1:15" s="10" customFormat="1" x14ac:dyDescent="0.25">
      <c r="A162" s="405" t="s">
        <v>480</v>
      </c>
      <c r="B162" s="868" t="str">
        <f>IF(Start!$C$17="x",(IF($C162="NA","NA",(IF(C162="","",(IF(AND(N162="NA",C162&lt;&gt;"NA",D162&lt;&gt;"NA"),"Missing Data",(IF(OR(D162 = "NA",D162=""),"No Criteria",(IF(N162&lt;D162,IF(OR(I162&lt;D162,ChemData!AA162&lt;&gt;""),"No-1",IF(M162&lt;D162,"No-2","No-3")),"Needed")))))))))),"---")</f>
        <v/>
      </c>
      <c r="C162" s="426" t="str">
        <f>IF(TRUE=ISBLANK(ChemData!B162),"",(ChemData!B162))</f>
        <v/>
      </c>
      <c r="D162" s="289">
        <f>IF(TRUE=ISBLANK(ChemData!J162),"",(ChemData!J162))</f>
        <v>910</v>
      </c>
      <c r="E162" s="290">
        <f>IF(TRUE=ISBLANK(ChemData!Q162),"",(ChemData!Q162))</f>
        <v>0.5589930634464132</v>
      </c>
      <c r="F162" s="290">
        <f>IF(TRUE=ISBLANK(ChemData!S162),"",(ChemData!S162))</f>
        <v>1</v>
      </c>
      <c r="G162" s="865">
        <f>IF(OR(TRUE=ISBLANK(ChemData!AA162),ChemData!AA162="NA",ChemData!AA162=0),ChemData!Z162,(ChemData!AA162))</f>
        <v>6.8495741227413927</v>
      </c>
      <c r="H162" s="685" t="str">
        <f>IF(Start!$C$17="x",(IF(OR(C162="NA",C162=""),"NA",IF(OR(F162="NA",F162="",F162=0),"NA",C162*F162))),"---")</f>
        <v>NA</v>
      </c>
      <c r="I162" s="376" t="str">
        <f>IF(Start!$C$17="x",(IF($E162 = "NA", "NA", (IF(H162 = "NA", "NA",(IF(OR(ChemData!U162="NA",ChemData!U162=""),H162/((Data!$D$18+$E162*(1-Data!$D$18)*Data!$D$14)/(1000*(1-Data!$D$18)*Data!$D$14)),(IF(H162/((Data!$D$18+$E162*(1-Data!$D$18)*Data!$D$14)/(1000*(1-Data!$D$18)*Data!$D$14))&gt;ChemData!U162, ChemData!U162,H162/((Data!$D$18+$E162*(1-Data!$D$18)*Data!$D$14)/(1000*(1-Data!$D$18)*Data!$D$14)))))))))),"---")</f>
        <v>NA</v>
      </c>
      <c r="J162" s="870" t="str">
        <f>IF(Start!$C$17="x",IF(OR(I162="NA",I162="",ChemData!W162="NA",ChemData!W162=""),"NA",I162/ChemData!W162),"---")</f>
        <v>NA</v>
      </c>
      <c r="K162" s="870" t="str">
        <f>IF(Start!$C$17="x",IF(J162="NA","NA",IF(Data!$D$68&lt;ChemData!X162,J162*(Data!$D$68/ChemData!X162),J162)),"---")</f>
        <v>NA</v>
      </c>
      <c r="L162" s="870" t="str">
        <f>IF(Start!$C$17="x",IF(OR(I162="NA",I162="",ChemData!Z162="NA",ChemData!Z162=""),"NA",I162/ChemData!Z162),"---")</f>
        <v>NA</v>
      </c>
      <c r="M162" s="870" t="str">
        <f>IF(Start!$C$17="x",IF(OR(I162="NA",I162="",ChemData!Y162="NA",ChemData!Y162=""),"NA",I162/ChemData!Y162),"---")</f>
        <v>NA</v>
      </c>
      <c r="N162" s="870" t="str">
        <f>IF(Start!$C$17="x",IF(OR(I162="NA",I162="",G162="NA",G162=""),"NA",I162/G162),"---")</f>
        <v>NA</v>
      </c>
      <c r="O162" s="794" t="str">
        <f>IF(Start!$C$17="x",(IF(C162="","",(IF(N162="NA","NA",IF(D162="NA","NA",IF(D162=0,"NA",(N162/D162))))))),"Not Req.")</f>
        <v/>
      </c>
    </row>
    <row r="163" spans="1:15" s="10" customFormat="1" x14ac:dyDescent="0.25">
      <c r="A163" s="308" t="s">
        <v>481</v>
      </c>
      <c r="B163" s="868" t="str">
        <f>IF(Start!$C$17="x",(IF($C163="NA","NA",(IF(C163="","",(IF(AND(N163="NA",C163&lt;&gt;"NA",D163&lt;&gt;"NA"),"Missing Data",(IF(OR(D163 = "NA",D163=""),"No Criteria",(IF(N163&lt;D163,IF(OR(I163&lt;D163,ChemData!AA163&lt;&gt;""),"No-1",IF(M163&lt;D163,"No-2","No-3")),"Needed")))))))))),"---")</f>
        <v/>
      </c>
      <c r="C163" s="426" t="str">
        <f>IF(TRUE=ISBLANK(ChemData!B163),"",(ChemData!B163))</f>
        <v/>
      </c>
      <c r="D163" s="289">
        <f>IF(TRUE=ISBLANK(ChemData!J163),"",(ChemData!J163))</f>
        <v>25</v>
      </c>
      <c r="E163" s="290">
        <f>IF(TRUE=ISBLANK(ChemData!Q163),"",(ChemData!Q163))</f>
        <v>2.4969302956771511</v>
      </c>
      <c r="F163" s="290">
        <f>IF(TRUE=ISBLANK(ChemData!S163),"",(ChemData!S163))</f>
        <v>1</v>
      </c>
      <c r="G163" s="865">
        <f>IF(OR(TRUE=ISBLANK(ChemData!AA163),ChemData!AA163="NA",ChemData!AA163=0),ChemData!Z163,(ChemData!AA163))</f>
        <v>6.8495741227413927</v>
      </c>
      <c r="H163" s="685" t="str">
        <f>IF(Start!$C$17="x",(IF(OR(C163="NA",C163=""),"NA",IF(OR(F163="NA",F163="",F163=0),"NA",C163*F163))),"---")</f>
        <v>NA</v>
      </c>
      <c r="I163" s="376" t="str">
        <f>IF(Start!$C$17="x",(IF($E163 = "NA", "NA", (IF(H163 = "NA", "NA",(IF(OR(ChemData!U163="NA",ChemData!U163=""),H163/((Data!$D$18+$E163*(1-Data!$D$18)*Data!$D$14)/(1000*(1-Data!$D$18)*Data!$D$14)),(IF(H163/((Data!$D$18+$E163*(1-Data!$D$18)*Data!$D$14)/(1000*(1-Data!$D$18)*Data!$D$14))&gt;ChemData!U163, ChemData!U163,H163/((Data!$D$18+$E163*(1-Data!$D$18)*Data!$D$14)/(1000*(1-Data!$D$18)*Data!$D$14)))))))))),"---")</f>
        <v>NA</v>
      </c>
      <c r="J163" s="870" t="str">
        <f>IF(Start!$C$17="x",IF(OR(I163="NA",I163="",ChemData!W163="NA",ChemData!W163=""),"NA",I163/ChemData!W163),"---")</f>
        <v>NA</v>
      </c>
      <c r="K163" s="870" t="str">
        <f>IF(Start!$C$17="x",IF(J163="NA","NA",IF(Data!$D$68&lt;ChemData!X163,J163*(Data!$D$68/ChemData!X163),J163)),"---")</f>
        <v>NA</v>
      </c>
      <c r="L163" s="870" t="str">
        <f>IF(Start!$C$17="x",IF(OR(I163="NA",I163="",ChemData!Z163="NA",ChemData!Z163=""),"NA",I163/ChemData!Z163),"---")</f>
        <v>NA</v>
      </c>
      <c r="M163" s="870" t="str">
        <f>IF(Start!$C$17="x",IF(OR(I163="NA",I163="",ChemData!Y163="NA",ChemData!Y163=""),"NA",I163/ChemData!Y163),"---")</f>
        <v>NA</v>
      </c>
      <c r="N163" s="870" t="str">
        <f>IF(Start!$C$17="x",IF(OR(I163="NA",I163="",G163="NA",G163=""),"NA",I163/G163),"---")</f>
        <v>NA</v>
      </c>
      <c r="O163" s="794" t="str">
        <f>IF(Start!$C$17="x",(IF(C163="","",(IF(N163="NA","NA",IF(D163="NA","NA",IF(D163=0,"NA",(N163/D163))))))),"Not Req.")</f>
        <v/>
      </c>
    </row>
    <row r="164" spans="1:15" s="10" customFormat="1" x14ac:dyDescent="0.25">
      <c r="A164" s="405" t="s">
        <v>482</v>
      </c>
      <c r="B164" s="868" t="str">
        <f>IF(Start!$C$17="x",(IF($C164="NA","NA",(IF(C164="","",(IF(AND(N164="NA",C164&lt;&gt;"NA",D164&lt;&gt;"NA"),"Missing Data",(IF(OR(D164 = "NA",D164=""),"No Criteria",(IF(N164&lt;D164,IF(OR(I164&lt;D164,ChemData!AA164&lt;&gt;""),"No-1",IF(M164&lt;D164,"No-2","No-3")),"Needed")))))))))),"---")</f>
        <v/>
      </c>
      <c r="C164" s="426" t="str">
        <f>IF(TRUE=ISBLANK(ChemData!B164),"",(ChemData!B164))</f>
        <v/>
      </c>
      <c r="D164" s="289">
        <f>IF(TRUE=ISBLANK(ChemData!J164),"",(ChemData!J164))</f>
        <v>590</v>
      </c>
      <c r="E164" s="290">
        <f>IF(TRUE=ISBLANK(ChemData!Q164),"",(ChemData!Q164))</f>
        <v>1.3409309620988077</v>
      </c>
      <c r="F164" s="290">
        <f>IF(TRUE=ISBLANK(ChemData!S164),"",(ChemData!S164))</f>
        <v>1</v>
      </c>
      <c r="G164" s="865">
        <f>IF(OR(TRUE=ISBLANK(ChemData!AA164),ChemData!AA164="NA",ChemData!AA164=0),ChemData!Z164,(ChemData!AA164))</f>
        <v>6.8495741227413927</v>
      </c>
      <c r="H164" s="685" t="str">
        <f>IF(Start!$C$17="x",(IF(OR(C164="NA",C164=""),"NA",IF(OR(F164="NA",F164="",F164=0),"NA",C164*F164))),"---")</f>
        <v>NA</v>
      </c>
      <c r="I164" s="376" t="str">
        <f>IF(Start!$C$17="x",(IF($E164 = "NA", "NA", (IF(H164 = "NA", "NA",(IF(OR(ChemData!U164="NA",ChemData!U164=""),H164/((Data!$D$18+$E164*(1-Data!$D$18)*Data!$D$14)/(1000*(1-Data!$D$18)*Data!$D$14)),(IF(H164/((Data!$D$18+$E164*(1-Data!$D$18)*Data!$D$14)/(1000*(1-Data!$D$18)*Data!$D$14))&gt;ChemData!U164, ChemData!U164,H164/((Data!$D$18+$E164*(1-Data!$D$18)*Data!$D$14)/(1000*(1-Data!$D$18)*Data!$D$14)))))))))),"---")</f>
        <v>NA</v>
      </c>
      <c r="J164" s="870" t="str">
        <f>IF(Start!$C$17="x",IF(OR(I164="NA",I164="",ChemData!W164="NA",ChemData!W164=""),"NA",I164/ChemData!W164),"---")</f>
        <v>NA</v>
      </c>
      <c r="K164" s="870" t="str">
        <f>IF(Start!$C$17="x",IF(J164="NA","NA",IF(Data!$D$68&lt;ChemData!X164,J164*(Data!$D$68/ChemData!X164),J164)),"---")</f>
        <v>NA</v>
      </c>
      <c r="L164" s="870" t="str">
        <f>IF(Start!$C$17="x",IF(OR(I164="NA",I164="",ChemData!Z164="NA",ChemData!Z164=""),"NA",I164/ChemData!Z164),"---")</f>
        <v>NA</v>
      </c>
      <c r="M164" s="870" t="str">
        <f>IF(Start!$C$17="x",IF(OR(I164="NA",I164="",ChemData!Y164="NA",ChemData!Y164=""),"NA",I164/ChemData!Y164),"---")</f>
        <v>NA</v>
      </c>
      <c r="N164" s="870" t="str">
        <f>IF(Start!$C$17="x",IF(OR(I164="NA",I164="",G164="NA",G164=""),"NA",I164/G164),"---")</f>
        <v>NA</v>
      </c>
      <c r="O164" s="794" t="str">
        <f>IF(Start!$C$17="x",(IF(C164="","",(IF(N164="NA","NA",IF(D164="NA","NA",IF(D164=0,"NA",(N164/D164))))))),"Not Req.")</f>
        <v/>
      </c>
    </row>
    <row r="165" spans="1:15" s="10" customFormat="1" x14ac:dyDescent="0.25">
      <c r="A165" s="405" t="s">
        <v>483</v>
      </c>
      <c r="B165" s="868" t="str">
        <f>IF(Start!$C$17="x",(IF($C165="NA","NA",(IF(C165="","",(IF(AND(N165="NA",C165&lt;&gt;"NA",D165&lt;&gt;"NA"),"Missing Data",(IF(OR(D165 = "NA",D165=""),"No Criteria",(IF(N165&lt;D165,IF(OR(I165&lt;D165,ChemData!AA165&lt;&gt;""),"No-1",IF(M165&lt;D165,"No-2","No-3")),"Needed")))))))))),"---")</f>
        <v/>
      </c>
      <c r="C165" s="426" t="str">
        <f>IF(TRUE=ISBLANK(ChemData!B165),"",(ChemData!B165))</f>
        <v/>
      </c>
      <c r="D165" s="289">
        <f>IF(TRUE=ISBLANK(ChemData!J165),"",(ChemData!J165))</f>
        <v>590</v>
      </c>
      <c r="E165" s="290">
        <f>IF(TRUE=ISBLANK(ChemData!Q165),"",(ChemData!Q165))</f>
        <v>1.5754565087125991</v>
      </c>
      <c r="F165" s="290">
        <f>IF(TRUE=ISBLANK(ChemData!S165),"",(ChemData!S165))</f>
        <v>1</v>
      </c>
      <c r="G165" s="865">
        <f>IF(OR(TRUE=ISBLANK(ChemData!AA165),ChemData!AA165="NA",ChemData!AA165=0),ChemData!Z165,(ChemData!AA165))</f>
        <v>6.8495741227413944</v>
      </c>
      <c r="H165" s="685" t="str">
        <f>IF(Start!$C$17="x",(IF(OR(C165="NA",C165=""),"NA",IF(OR(F165="NA",F165="",F165=0),"NA",C165*F165))),"---")</f>
        <v>NA</v>
      </c>
      <c r="I165" s="376" t="str">
        <f>IF(Start!$C$17="x",(IF($E165 = "NA", "NA", (IF(H165 = "NA", "NA",(IF(OR(ChemData!U165="NA",ChemData!U165=""),H165/((Data!$D$18+$E165*(1-Data!$D$18)*Data!$D$14)/(1000*(1-Data!$D$18)*Data!$D$14)),(IF(H165/((Data!$D$18+$E165*(1-Data!$D$18)*Data!$D$14)/(1000*(1-Data!$D$18)*Data!$D$14))&gt;ChemData!U165, ChemData!U165,H165/((Data!$D$18+$E165*(1-Data!$D$18)*Data!$D$14)/(1000*(1-Data!$D$18)*Data!$D$14)))))))))),"---")</f>
        <v>NA</v>
      </c>
      <c r="J165" s="870" t="str">
        <f>IF(Start!$C$17="x",IF(OR(I165="NA",I165="",ChemData!W165="NA",ChemData!W165=""),"NA",I165/ChemData!W165),"---")</f>
        <v>NA</v>
      </c>
      <c r="K165" s="870" t="str">
        <f>IF(Start!$C$17="x",IF(J165="NA","NA",IF(Data!$D$68&lt;ChemData!X165,J165*(Data!$D$68/ChemData!X165),J165)),"---")</f>
        <v>NA</v>
      </c>
      <c r="L165" s="870" t="str">
        <f>IF(Start!$C$17="x",IF(OR(I165="NA",I165="",ChemData!Z165="NA",ChemData!Z165=""),"NA",I165/ChemData!Z165),"---")</f>
        <v>NA</v>
      </c>
      <c r="M165" s="870" t="str">
        <f>IF(Start!$C$17="x",IF(OR(I165="NA",I165="",ChemData!Y165="NA",ChemData!Y165=""),"NA",I165/ChemData!Y165),"---")</f>
        <v>NA</v>
      </c>
      <c r="N165" s="870" t="str">
        <f>IF(Start!$C$17="x",IF(OR(I165="NA",I165="",G165="NA",G165=""),"NA",I165/G165),"---")</f>
        <v>NA</v>
      </c>
      <c r="O165" s="794" t="str">
        <f>IF(Start!$C$17="x",(IF(C165="","",(IF(N165="NA","NA",IF(D165="NA","NA",IF(D165=0,"NA",(N165/D165))))))),"Not Req.")</f>
        <v/>
      </c>
    </row>
    <row r="166" spans="1:15" s="10" customFormat="1" x14ac:dyDescent="0.25">
      <c r="A166" s="405" t="s">
        <v>484</v>
      </c>
      <c r="B166" s="868" t="str">
        <f>IF(Start!$C$17="x",(IF($C166="NA","NA",(IF(C166="","",(IF(AND(N166="NA",C166&lt;&gt;"NA",D166&lt;&gt;"NA"),"Missing Data",(IF(OR(D166 = "NA",D166=""),"No Criteria",(IF(N166&lt;D166,IF(OR(I166&lt;D166,ChemData!AA166&lt;&gt;""),"No-1",IF(M166&lt;D166,"No-2","No-3")),"Needed")))))))))),"---")</f>
        <v/>
      </c>
      <c r="C166" s="426" t="str">
        <f>IF(TRUE=ISBLANK(ChemData!B166),"",(ChemData!B166))</f>
        <v/>
      </c>
      <c r="D166" s="289" t="str">
        <f>IF(TRUE=ISBLANK(ChemData!J166),"",(ChemData!J166))</f>
        <v>NA</v>
      </c>
      <c r="E166" s="290">
        <f>IF(TRUE=ISBLANK(ChemData!Q166),"",(ChemData!Q166))</f>
        <v>1.9382349424422154</v>
      </c>
      <c r="F166" s="290">
        <f>IF(TRUE=ISBLANK(ChemData!S166),"",(ChemData!S166))</f>
        <v>1</v>
      </c>
      <c r="G166" s="865">
        <f>IF(OR(TRUE=ISBLANK(ChemData!AA166),ChemData!AA166="NA",ChemData!AA166=0),ChemData!Z166,(ChemData!AA166))</f>
        <v>6.8495741227413927</v>
      </c>
      <c r="H166" s="685" t="str">
        <f>IF(Start!$C$17="x",(IF(OR(C166="NA",C166=""),"NA",IF(OR(F166="NA",F166="",F166=0),"NA",C166*F166))),"---")</f>
        <v>NA</v>
      </c>
      <c r="I166" s="376" t="str">
        <f>IF(Start!$C$17="x",(IF($E166 = "NA", "NA", (IF(H166 = "NA", "NA",(IF(OR(ChemData!U166="NA",ChemData!U166=""),H166/((Data!$D$18+$E166*(1-Data!$D$18)*Data!$D$14)/(1000*(1-Data!$D$18)*Data!$D$14)),(IF(H166/((Data!$D$18+$E166*(1-Data!$D$18)*Data!$D$14)/(1000*(1-Data!$D$18)*Data!$D$14))&gt;ChemData!U166, ChemData!U166,H166/((Data!$D$18+$E166*(1-Data!$D$18)*Data!$D$14)/(1000*(1-Data!$D$18)*Data!$D$14)))))))))),"---")</f>
        <v>NA</v>
      </c>
      <c r="J166" s="870" t="str">
        <f>IF(Start!$C$17="x",IF(OR(I166="NA",I166="",ChemData!W166="NA",ChemData!W166=""),"NA",I166/ChemData!W166),"---")</f>
        <v>NA</v>
      </c>
      <c r="K166" s="870" t="str">
        <f>IF(Start!$C$17="x",IF(J166="NA","NA",IF(Data!$D$68&lt;ChemData!X166,J166*(Data!$D$68/ChemData!X166),J166)),"---")</f>
        <v>NA</v>
      </c>
      <c r="L166" s="870" t="str">
        <f>IF(Start!$C$17="x",IF(OR(I166="NA",I166="",ChemData!Z166="NA",ChemData!Z166=""),"NA",I166/ChemData!Z166),"---")</f>
        <v>NA</v>
      </c>
      <c r="M166" s="870" t="str">
        <f>IF(Start!$C$17="x",IF(OR(I166="NA",I166="",ChemData!Y166="NA",ChemData!Y166=""),"NA",I166/ChemData!Y166),"---")</f>
        <v>NA</v>
      </c>
      <c r="N166" s="870" t="str">
        <f>IF(Start!$C$17="x",IF(OR(I166="NA",I166="",G166="NA",G166=""),"NA",I166/G166),"---")</f>
        <v>NA</v>
      </c>
      <c r="O166" s="794" t="str">
        <f>IF(Start!$C$17="x",(IF(C166="","",(IF(N166="NA","NA",IF(D166="NA","NA",IF(D166=0,"NA",(N166/D166))))))),"Not Req.")</f>
        <v/>
      </c>
    </row>
    <row r="167" spans="1:15" s="10" customFormat="1" x14ac:dyDescent="0.25">
      <c r="A167" s="405" t="s">
        <v>485</v>
      </c>
      <c r="B167" s="868" t="str">
        <f>IF(Start!$C$17="x",(IF($C167="NA","NA",(IF(C167="","",(IF(AND(N167="NA",C167&lt;&gt;"NA",D167&lt;&gt;"NA"),"Missing Data",(IF(OR(D167 = "NA",D167=""),"No Criteria",(IF(N167&lt;D167,IF(OR(I167&lt;D167,ChemData!AA167&lt;&gt;""),"No-1",IF(M167&lt;D167,"No-2","No-3")),"Needed")))))))))),"---")</f>
        <v/>
      </c>
      <c r="C167" s="426" t="str">
        <f>IF(TRUE=ISBLANK(ChemData!B167),"",(ChemData!B167))</f>
        <v/>
      </c>
      <c r="D167" s="289">
        <f>IF(TRUE=ISBLANK(ChemData!J167),"",(ChemData!J167))</f>
        <v>5.5E-2</v>
      </c>
      <c r="E167" s="290">
        <f>IF(TRUE=ISBLANK(ChemData!Q167),"",(ChemData!Q167))</f>
        <v>0.47578025939051682</v>
      </c>
      <c r="F167" s="290">
        <f>IF(TRUE=ISBLANK(ChemData!S167),"",(ChemData!S167))</f>
        <v>1</v>
      </c>
      <c r="G167" s="865">
        <f>IF(OR(TRUE=ISBLANK(ChemData!AA167),ChemData!AA167="NA",ChemData!AA167=0),ChemData!Z167,(ChemData!AA167))</f>
        <v>6.8495741227413927</v>
      </c>
      <c r="H167" s="685" t="str">
        <f>IF(Start!$C$17="x",(IF(OR(C167="NA",C167=""),"NA",IF(OR(F167="NA",F167="",F167=0),"NA",C167*F167))),"---")</f>
        <v>NA</v>
      </c>
      <c r="I167" s="376" t="str">
        <f>IF(Start!$C$17="x",(IF($E167 = "NA", "NA", (IF(H167 = "NA", "NA",(IF(OR(ChemData!U167="NA",ChemData!U167=""),H167/((Data!$D$18+$E167*(1-Data!$D$18)*Data!$D$14)/(1000*(1-Data!$D$18)*Data!$D$14)),(IF(H167/((Data!$D$18+$E167*(1-Data!$D$18)*Data!$D$14)/(1000*(1-Data!$D$18)*Data!$D$14))&gt;ChemData!U167, ChemData!U167,H167/((Data!$D$18+$E167*(1-Data!$D$18)*Data!$D$14)/(1000*(1-Data!$D$18)*Data!$D$14)))))))))),"---")</f>
        <v>NA</v>
      </c>
      <c r="J167" s="870" t="str">
        <f>IF(Start!$C$17="x",IF(OR(I167="NA",I167="",ChemData!W167="NA",ChemData!W167=""),"NA",I167/ChemData!W167),"---")</f>
        <v>NA</v>
      </c>
      <c r="K167" s="870" t="str">
        <f>IF(Start!$C$17="x",IF(J167="NA","NA",IF(Data!$D$68&lt;ChemData!X167,J167*(Data!$D$68/ChemData!X167),J167)),"---")</f>
        <v>NA</v>
      </c>
      <c r="L167" s="870" t="str">
        <f>IF(Start!$C$17="x",IF(OR(I167="NA",I167="",ChemData!Z167="NA",ChemData!Z167=""),"NA",I167/ChemData!Z167),"---")</f>
        <v>NA</v>
      </c>
      <c r="M167" s="870" t="str">
        <f>IF(Start!$C$17="x",IF(OR(I167="NA",I167="",ChemData!Y167="NA",ChemData!Y167=""),"NA",I167/ChemData!Y167),"---")</f>
        <v>NA</v>
      </c>
      <c r="N167" s="870" t="str">
        <f>IF(Start!$C$17="x",IF(OR(I167="NA",I167="",G167="NA",G167=""),"NA",I167/G167),"---")</f>
        <v>NA</v>
      </c>
      <c r="O167" s="794" t="str">
        <f>IF(Start!$C$17="x",(IF(C167="","",(IF(N167="NA","NA",IF(D167="NA","NA",IF(D167=0,"NA",(N167/D167))))))),"Not Req.")</f>
        <v/>
      </c>
    </row>
    <row r="168" spans="1:15" s="10" customFormat="1" x14ac:dyDescent="0.25">
      <c r="A168" s="405" t="s">
        <v>486</v>
      </c>
      <c r="B168" s="868" t="str">
        <f>IF(Start!$C$17="x",(IF($C168="NA","NA",(IF(C168="","",(IF(AND(N168="NA",C168&lt;&gt;"NA",D168&lt;&gt;"NA"),"Missing Data",(IF(OR(D168 = "NA",D168=""),"No Criteria",(IF(N168&lt;D168,IF(OR(I168&lt;D168,ChemData!AA168&lt;&gt;""),"No-1",IF(M168&lt;D168,"No-2","No-3")),"Needed")))))))))),"---")</f>
        <v/>
      </c>
      <c r="C168" s="426" t="str">
        <f>IF(TRUE=ISBLANK(ChemData!B168),"",(ChemData!B168))</f>
        <v/>
      </c>
      <c r="D168" s="289">
        <f>IF(TRUE=ISBLANK(ChemData!J168),"",(ChemData!J168))</f>
        <v>5.5E-2</v>
      </c>
      <c r="E168" s="290">
        <f>IF(TRUE=ISBLANK(ChemData!Q168),"",(ChemData!Q168))</f>
        <v>0.47578025939051682</v>
      </c>
      <c r="F168" s="290">
        <f>IF(TRUE=ISBLANK(ChemData!S168),"",(ChemData!S168))</f>
        <v>1</v>
      </c>
      <c r="G168" s="865">
        <f>IF(OR(TRUE=ISBLANK(ChemData!AA168),ChemData!AA168="NA",ChemData!AA168=0),ChemData!Z168,(ChemData!AA168))</f>
        <v>6.8495741227413927</v>
      </c>
      <c r="H168" s="685" t="str">
        <f>IF(Start!$C$17="x",(IF(OR(C168="NA",C168=""),"NA",IF(OR(F168="NA",F168="",F168=0),"NA",C168*F168))),"---")</f>
        <v>NA</v>
      </c>
      <c r="I168" s="376" t="str">
        <f>IF(Start!$C$17="x",(IF($E168 = "NA", "NA", (IF(H168 = "NA", "NA",(IF(OR(ChemData!U168="NA",ChemData!U168=""),H168/((Data!$D$18+$E168*(1-Data!$D$18)*Data!$D$14)/(1000*(1-Data!$D$18)*Data!$D$14)),(IF(H168/((Data!$D$18+$E168*(1-Data!$D$18)*Data!$D$14)/(1000*(1-Data!$D$18)*Data!$D$14))&gt;ChemData!U168, ChemData!U168,H168/((Data!$D$18+$E168*(1-Data!$D$18)*Data!$D$14)/(1000*(1-Data!$D$18)*Data!$D$14)))))))))),"---")</f>
        <v>NA</v>
      </c>
      <c r="J168" s="870" t="str">
        <f>IF(Start!$C$17="x",IF(OR(I168="NA",I168="",ChemData!W168="NA",ChemData!W168=""),"NA",I168/ChemData!W168),"---")</f>
        <v>NA</v>
      </c>
      <c r="K168" s="870" t="str">
        <f>IF(Start!$C$17="x",IF(J168="NA","NA",IF(Data!$D$68&lt;ChemData!X168,J168*(Data!$D$68/ChemData!X168),J168)),"---")</f>
        <v>NA</v>
      </c>
      <c r="L168" s="870" t="str">
        <f>IF(Start!$C$17="x",IF(OR(I168="NA",I168="",ChemData!Z168="NA",ChemData!Z168=""),"NA",I168/ChemData!Z168),"---")</f>
        <v>NA</v>
      </c>
      <c r="M168" s="870" t="str">
        <f>IF(Start!$C$17="x",IF(OR(I168="NA",I168="",ChemData!Y168="NA",ChemData!Y168=""),"NA",I168/ChemData!Y168),"---")</f>
        <v>NA</v>
      </c>
      <c r="N168" s="870" t="str">
        <f>IF(Start!$C$17="x",IF(OR(I168="NA",I168="",G168="NA",G168=""),"NA",I168/G168),"---")</f>
        <v>NA</v>
      </c>
      <c r="O168" s="794" t="str">
        <f>IF(Start!$C$17="x",(IF(C168="","",(IF(N168="NA","NA",IF(D168="NA","NA",IF(D168=0,"NA",(N168/D168))))))),"Not Req.")</f>
        <v/>
      </c>
    </row>
    <row r="169" spans="1:15" s="10" customFormat="1" x14ac:dyDescent="0.25">
      <c r="A169" s="405" t="s">
        <v>487</v>
      </c>
      <c r="B169" s="868" t="str">
        <f>IF(Start!$C$17="x",(IF($C169="NA","NA",(IF(C169="","",(IF(AND(N169="NA",C169&lt;&gt;"NA",D169&lt;&gt;"NA"),"Missing Data",(IF(OR(D169 = "NA",D169=""),"No Criteria",(IF(N169&lt;D169,IF(OR(I169&lt;D169,ChemData!AA169&lt;&gt;""),"No-1",IF(M169&lt;D169,"No-2","No-3")),"Needed")))))))))),"---")</f>
        <v/>
      </c>
      <c r="C169" s="426" t="str">
        <f>IF(TRUE=ISBLANK(ChemData!B169),"",(ChemData!B169))</f>
        <v/>
      </c>
      <c r="D169" s="289">
        <f>IF(TRUE=ISBLANK(ChemData!J169),"",(ChemData!J169))</f>
        <v>7.3</v>
      </c>
      <c r="E169" s="290">
        <f>IF(TRUE=ISBLANK(ChemData!Q169),"",(ChemData!Q169))</f>
        <v>26.146069950967185</v>
      </c>
      <c r="F169" s="290">
        <f>IF(TRUE=ISBLANK(ChemData!S169),"",(ChemData!S169))</f>
        <v>1</v>
      </c>
      <c r="G169" s="865">
        <f>IF(OR(TRUE=ISBLANK(ChemData!AA169),ChemData!AA169="NA",ChemData!AA169=0),ChemData!Z169,(ChemData!AA169))</f>
        <v>96.063176808364346</v>
      </c>
      <c r="H169" s="685" t="str">
        <f>IF(Start!$C$17="x",(IF(OR(C169="NA",C169=""),"NA",IF(OR(F169="NA",F169="",F169=0),"NA",C169*F169))),"---")</f>
        <v>NA</v>
      </c>
      <c r="I169" s="376" t="str">
        <f>IF(Start!$C$17="x",(IF($E169 = "NA", "NA", (IF(H169 = "NA", "NA",(IF(OR(ChemData!U169="NA",ChemData!U169=""),H169/((Data!$D$18+$E169*(1-Data!$D$18)*Data!$D$14)/(1000*(1-Data!$D$18)*Data!$D$14)),(IF(H169/((Data!$D$18+$E169*(1-Data!$D$18)*Data!$D$14)/(1000*(1-Data!$D$18)*Data!$D$14))&gt;ChemData!U169, ChemData!U169,H169/((Data!$D$18+$E169*(1-Data!$D$18)*Data!$D$14)/(1000*(1-Data!$D$18)*Data!$D$14)))))))))),"---")</f>
        <v>NA</v>
      </c>
      <c r="J169" s="870" t="str">
        <f>IF(Start!$C$17="x",IF(OR(I169="NA",I169="",ChemData!W169="NA",ChemData!W169=""),"NA",I169/ChemData!W169),"---")</f>
        <v>NA</v>
      </c>
      <c r="K169" s="870" t="str">
        <f>IF(Start!$C$17="x",IF(J169="NA","NA",IF(Data!$D$68&lt;ChemData!X169,J169*(Data!$D$68/ChemData!X169),J169)),"---")</f>
        <v>NA</v>
      </c>
      <c r="L169" s="870" t="str">
        <f>IF(Start!$C$17="x",IF(OR(I169="NA",I169="",ChemData!Z169="NA",ChemData!Z169=""),"NA",I169/ChemData!Z169),"---")</f>
        <v>NA</v>
      </c>
      <c r="M169" s="870" t="str">
        <f>IF(Start!$C$17="x",IF(OR(I169="NA",I169="",ChemData!Y169="NA",ChemData!Y169=""),"NA",I169/ChemData!Y169),"---")</f>
        <v>NA</v>
      </c>
      <c r="N169" s="870" t="str">
        <f>IF(Start!$C$17="x",IF(OR(I169="NA",I169="",G169="NA",G169=""),"NA",I169/G169),"---")</f>
        <v>NA</v>
      </c>
      <c r="O169" s="794" t="str">
        <f>IF(Start!$C$17="x",(IF(C169="","",(IF(N169="NA","NA",IF(D169="NA","NA",IF(D169=0,"NA",(N169/D169))))))),"Not Req.")</f>
        <v/>
      </c>
    </row>
    <row r="170" spans="1:15" s="10" customFormat="1" x14ac:dyDescent="0.25">
      <c r="A170" s="405" t="s">
        <v>488</v>
      </c>
      <c r="B170" s="868" t="str">
        <f>IF(Start!$C$17="x",(IF($C170="NA","NA",(IF(C170="","",(IF(AND(N170="NA",C170&lt;&gt;"NA",D170&lt;&gt;"NA"),"Missing Data",(IF(OR(D170 = "NA",D170=""),"No Criteria",(IF(N170&lt;D170,IF(OR(I170&lt;D170,ChemData!AA170&lt;&gt;""),"No-1",IF(M170&lt;D170,"No-2","No-3")),"Needed")))))))))),"---")</f>
        <v/>
      </c>
      <c r="C170" s="426" t="str">
        <f>IF(TRUE=ISBLANK(ChemData!B170),"",(ChemData!B170))</f>
        <v/>
      </c>
      <c r="D170" s="289">
        <f>IF(TRUE=ISBLANK(ChemData!J170),"",(ChemData!J170))</f>
        <v>0.57999999999999996</v>
      </c>
      <c r="E170" s="290">
        <f>IF(TRUE=ISBLANK(ChemData!Q170),"",(ChemData!Q170))</f>
        <v>238.45499201839945</v>
      </c>
      <c r="F170" s="290">
        <f>IF(TRUE=ISBLANK(ChemData!S170),"",(ChemData!S170))</f>
        <v>1</v>
      </c>
      <c r="G170" s="865">
        <f>IF(OR(TRUE=ISBLANK(ChemData!AA170),ChemData!AA170="NA",ChemData!AA170=0),ChemData!Z170,(ChemData!AA170))</f>
        <v>2468.1696261414136</v>
      </c>
      <c r="H170" s="685" t="str">
        <f>IF(Start!$C$17="x",(IF(OR(C170="NA",C170=""),"NA",IF(OR(F170="NA",F170="",F170=0),"NA",C170*F170))),"---")</f>
        <v>NA</v>
      </c>
      <c r="I170" s="376" t="str">
        <f>IF(Start!$C$17="x",(IF($E170 = "NA", "NA", (IF(H170 = "NA", "NA",(IF(OR(ChemData!U170="NA",ChemData!U170=""),H170/((Data!$D$18+$E170*(1-Data!$D$18)*Data!$D$14)/(1000*(1-Data!$D$18)*Data!$D$14)),(IF(H170/((Data!$D$18+$E170*(1-Data!$D$18)*Data!$D$14)/(1000*(1-Data!$D$18)*Data!$D$14))&gt;ChemData!U170, ChemData!U170,H170/((Data!$D$18+$E170*(1-Data!$D$18)*Data!$D$14)/(1000*(1-Data!$D$18)*Data!$D$14)))))))))),"---")</f>
        <v>NA</v>
      </c>
      <c r="J170" s="870" t="str">
        <f>IF(Start!$C$17="x",IF(OR(I170="NA",I170="",ChemData!W170="NA",ChemData!W170=""),"NA",I170/ChemData!W170),"---")</f>
        <v>NA</v>
      </c>
      <c r="K170" s="870" t="str">
        <f>IF(Start!$C$17="x",IF(J170="NA","NA",IF(Data!$D$68&lt;ChemData!X170,J170*(Data!$D$68/ChemData!X170),J170)),"---")</f>
        <v>NA</v>
      </c>
      <c r="L170" s="870" t="str">
        <f>IF(Start!$C$17="x",IF(OR(I170="NA",I170="",ChemData!Z170="NA",ChemData!Z170=""),"NA",I170/ChemData!Z170),"---")</f>
        <v>NA</v>
      </c>
      <c r="M170" s="870" t="str">
        <f>IF(Start!$C$17="x",IF(OR(I170="NA",I170="",ChemData!Y170="NA",ChemData!Y170=""),"NA",I170/ChemData!Y170),"---")</f>
        <v>NA</v>
      </c>
      <c r="N170" s="870" t="str">
        <f>IF(Start!$C$17="x",IF(OR(I170="NA",I170="",G170="NA",G170=""),"NA",I170/G170),"---")</f>
        <v>NA</v>
      </c>
      <c r="O170" s="794" t="str">
        <f>IF(Start!$C$17="x",(IF(C170="","",(IF(N170="NA","NA",IF(D170="NA","NA",IF(D170=0,"NA",(N170/D170))))))),"Not Req.")</f>
        <v/>
      </c>
    </row>
    <row r="171" spans="1:15" s="10" customFormat="1" x14ac:dyDescent="0.25">
      <c r="A171" s="405" t="s">
        <v>674</v>
      </c>
      <c r="B171" s="868" t="str">
        <f>IF(Start!$C$17="x",(IF($C171="NA","NA",(IF(C171="","",(IF(AND(N171="NA",C171&lt;&gt;"NA",D171&lt;&gt;"NA"),"Missing Data",(IF(OR(D171 = "NA",D171=""),"No Criteria",(IF(N171&lt;D171,IF(OR(I171&lt;D171,ChemData!AA171&lt;&gt;""),"No-1",IF(M171&lt;D171,"No-2","No-3")),"Needed")))))))))),"---")</f>
        <v/>
      </c>
      <c r="C171" s="426" t="str">
        <f>IF(TRUE=ISBLANK(ChemData!B171),"",(ChemData!B171))</f>
        <v/>
      </c>
      <c r="D171" s="289">
        <f>IF(TRUE=ISBLANK(ChemData!J171),"",(ChemData!J171))</f>
        <v>99</v>
      </c>
      <c r="E171" s="290">
        <f>IF(TRUE=ISBLANK(ChemData!Q171),"",(ChemData!Q171))</f>
        <v>0.45436662029329916</v>
      </c>
      <c r="F171" s="290">
        <f>IF(TRUE=ISBLANK(ChemData!S171),"",(ChemData!S171))</f>
        <v>1</v>
      </c>
      <c r="G171" s="865">
        <f>IF(OR(TRUE=ISBLANK(ChemData!AA171),ChemData!AA171="NA",ChemData!AA171=0),ChemData!Z171,(ChemData!AA171))</f>
        <v>6.8495741227413927</v>
      </c>
      <c r="H171" s="685" t="str">
        <f>IF(Start!$C$17="x",(IF(OR(C171="NA",C171=""),"NA",IF(OR(F171="NA",F171="",F171=0),"NA",C171*F171))),"---")</f>
        <v>NA</v>
      </c>
      <c r="I171" s="376" t="str">
        <f>IF(Start!$C$17="x",(IF($E171 = "NA", "NA", (IF(H171 = "NA", "NA",(IF(OR(ChemData!U171="NA",ChemData!U171=""),H171/((Data!$D$18+$E171*(1-Data!$D$18)*Data!$D$14)/(1000*(1-Data!$D$18)*Data!$D$14)),(IF(H171/((Data!$D$18+$E171*(1-Data!$D$18)*Data!$D$14)/(1000*(1-Data!$D$18)*Data!$D$14))&gt;ChemData!U171, ChemData!U171,H171/((Data!$D$18+$E171*(1-Data!$D$18)*Data!$D$14)/(1000*(1-Data!$D$18)*Data!$D$14)))))))))),"---")</f>
        <v>NA</v>
      </c>
      <c r="J171" s="870" t="str">
        <f>IF(Start!$C$17="x",IF(OR(I171="NA",I171="",ChemData!W171="NA",ChemData!W171=""),"NA",I171/ChemData!W171),"---")</f>
        <v>NA</v>
      </c>
      <c r="K171" s="870" t="str">
        <f>IF(Start!$C$17="x",IF(J171="NA","NA",IF(Data!$D$68&lt;ChemData!X171,J171*(Data!$D$68/ChemData!X171),J171)),"---")</f>
        <v>NA</v>
      </c>
      <c r="L171" s="870" t="str">
        <f>IF(Start!$C$17="x",IF(OR(I171="NA",I171="",ChemData!Z171="NA",ChemData!Z171=""),"NA",I171/ChemData!Z171),"---")</f>
        <v>NA</v>
      </c>
      <c r="M171" s="870" t="str">
        <f>IF(Start!$C$17="x",IF(OR(I171="NA",I171="",ChemData!Y171="NA",ChemData!Y171=""),"NA",I171/ChemData!Y171),"---")</f>
        <v>NA</v>
      </c>
      <c r="N171" s="870" t="str">
        <f>IF(Start!$C$17="x",IF(OR(I171="NA",I171="",G171="NA",G171=""),"NA",I171/G171),"---")</f>
        <v>NA</v>
      </c>
      <c r="O171" s="794" t="str">
        <f>IF(Start!$C$17="x",(IF(C171="","",(IF(N171="NA","NA",IF(D171="NA","NA",IF(D171=0,"NA",(N171/D171))))))),"Not Req.")</f>
        <v/>
      </c>
    </row>
    <row r="172" spans="1:15" s="10" customFormat="1" x14ac:dyDescent="0.25">
      <c r="A172" s="405" t="s">
        <v>675</v>
      </c>
      <c r="B172" s="868" t="str">
        <f>IF(Start!$C$17="x",(IF($C172="NA","NA",(IF(C172="","",(IF(AND(N172="NA",C172&lt;&gt;"NA",D172&lt;&gt;"NA"),"Missing Data",(IF(OR(D172 = "NA",D172=""),"No Criteria",(IF(N172&lt;D172,IF(OR(I172&lt;D172,ChemData!AA172&lt;&gt;""),"No-1",IF(M172&lt;D172,"No-2","No-3")),"Needed")))))))))),"---")</f>
        <v/>
      </c>
      <c r="C172" s="426" t="str">
        <f>IF(TRUE=ISBLANK(ChemData!B172),"",(ChemData!B172))</f>
        <v/>
      </c>
      <c r="D172" s="289" t="str">
        <f>IF(TRUE=ISBLANK(ChemData!J172),"",(ChemData!J172))</f>
        <v>NA</v>
      </c>
      <c r="E172" s="290">
        <f>IF(TRUE=ISBLANK(ChemData!Q172),"",(ChemData!Q172))</f>
        <v>84.607023897713418</v>
      </c>
      <c r="F172" s="290">
        <f>IF(TRUE=ISBLANK(ChemData!S172),"",(ChemData!S172))</f>
        <v>1</v>
      </c>
      <c r="G172" s="865">
        <f>IF(OR(TRUE=ISBLANK(ChemData!AA172),ChemData!AA172="NA",ChemData!AA172=0),ChemData!Z172,(ChemData!AA172))</f>
        <v>538.91812287655341</v>
      </c>
      <c r="H172" s="685" t="str">
        <f>IF(Start!$C$17="x",(IF(OR(C172="NA",C172=""),"NA",IF(OR(F172="NA",F172="",F172=0),"NA",C172*F172))),"---")</f>
        <v>NA</v>
      </c>
      <c r="I172" s="376" t="str">
        <f>IF(Start!$C$17="x",(IF($E172 = "NA", "NA", (IF(H172 = "NA", "NA",(IF(OR(ChemData!U172="NA",ChemData!U172=""),H172/((Data!$D$18+$E172*(1-Data!$D$18)*Data!$D$14)/(1000*(1-Data!$D$18)*Data!$D$14)),(IF(H172/((Data!$D$18+$E172*(1-Data!$D$18)*Data!$D$14)/(1000*(1-Data!$D$18)*Data!$D$14))&gt;ChemData!U172, ChemData!U172,H172/((Data!$D$18+$E172*(1-Data!$D$18)*Data!$D$14)/(1000*(1-Data!$D$18)*Data!$D$14)))))))))),"---")</f>
        <v>NA</v>
      </c>
      <c r="J172" s="870" t="str">
        <f>IF(Start!$C$17="x",IF(OR(I172="NA",I172="",ChemData!W172="NA",ChemData!W172=""),"NA",I172/ChemData!W172),"---")</f>
        <v>NA</v>
      </c>
      <c r="K172" s="870" t="str">
        <f>IF(Start!$C$17="x",IF(J172="NA","NA",IF(Data!$D$68&lt;ChemData!X172,J172*(Data!$D$68/ChemData!X172),J172)),"---")</f>
        <v>NA</v>
      </c>
      <c r="L172" s="870" t="str">
        <f>IF(Start!$C$17="x",IF(OR(I172="NA",I172="",ChemData!Z172="NA",ChemData!Z172=""),"NA",I172/ChemData!Z172),"---")</f>
        <v>NA</v>
      </c>
      <c r="M172" s="870" t="str">
        <f>IF(Start!$C$17="x",IF(OR(I172="NA",I172="",ChemData!Y172="NA",ChemData!Y172=""),"NA",I172/ChemData!Y172),"---")</f>
        <v>NA</v>
      </c>
      <c r="N172" s="870" t="str">
        <f>IF(Start!$C$17="x",IF(OR(I172="NA",I172="",G172="NA",G172=""),"NA",I172/G172),"---")</f>
        <v>NA</v>
      </c>
      <c r="O172" s="794" t="str">
        <f>IF(Start!$C$17="x",(IF(C172="","",(IF(N172="NA","NA",IF(D172="NA","NA",IF(D172=0,"NA",(N172/D172))))))),"Not Req.")</f>
        <v/>
      </c>
    </row>
    <row r="173" spans="1:15" s="10" customFormat="1" x14ac:dyDescent="0.25">
      <c r="A173" s="405" t="s">
        <v>491</v>
      </c>
      <c r="B173" s="868" t="str">
        <f>IF(Start!$C$17="x",(IF($C173="NA","NA",(IF(C173="","",(IF(AND(N173="NA",C173&lt;&gt;"NA",D173&lt;&gt;"NA"),"Missing Data",(IF(OR(D173 = "NA",D173=""),"No Criteria",(IF(N173&lt;D173,IF(OR(I173&lt;D173,ChemData!AA173&lt;&gt;""),"No-1",IF(M173&lt;D173,"No-2","No-3")),"Needed")))))))))),"---")</f>
        <v/>
      </c>
      <c r="C173" s="426" t="str">
        <f>IF(TRUE=ISBLANK(ChemData!B173),"",(ChemData!B173))</f>
        <v/>
      </c>
      <c r="D173" s="289" t="str">
        <f>IF(TRUE=ISBLANK(ChemData!J173),"",(ChemData!J173))</f>
        <v>NA</v>
      </c>
      <c r="E173" s="290">
        <f>IF(TRUE=ISBLANK(ChemData!Q173),"",(ChemData!Q173))</f>
        <v>2.8016018708554212E-2</v>
      </c>
      <c r="F173" s="290">
        <f>IF(TRUE=ISBLANK(ChemData!S173),"",(ChemData!S173))</f>
        <v>1</v>
      </c>
      <c r="G173" s="865">
        <f>IF(OR(TRUE=ISBLANK(ChemData!AA173),ChemData!AA173="NA",ChemData!AA173=0),ChemData!Z173,(ChemData!AA173))</f>
        <v>6.8495741227413927</v>
      </c>
      <c r="H173" s="685" t="str">
        <f>IF(Start!$C$17="x",(IF(OR(C173="NA",C173=""),"NA",IF(OR(F173="NA",F173="",F173=0),"NA",C173*F173))),"---")</f>
        <v>NA</v>
      </c>
      <c r="I173" s="376" t="str">
        <f>IF(Start!$C$17="x",(IF($E173 = "NA", "NA", (IF(H173 = "NA", "NA",(IF(OR(ChemData!U173="NA",ChemData!U173=""),H173/((Data!$D$18+$E173*(1-Data!$D$18)*Data!$D$14)/(1000*(1-Data!$D$18)*Data!$D$14)),(IF(H173/((Data!$D$18+$E173*(1-Data!$D$18)*Data!$D$14)/(1000*(1-Data!$D$18)*Data!$D$14))&gt;ChemData!U173, ChemData!U173,H173/((Data!$D$18+$E173*(1-Data!$D$18)*Data!$D$14)/(1000*(1-Data!$D$18)*Data!$D$14)))))))))),"---")</f>
        <v>NA</v>
      </c>
      <c r="J173" s="870" t="str">
        <f>IF(Start!$C$17="x",IF(OR(I173="NA",I173="",ChemData!W173="NA",ChemData!W173=""),"NA",I173/ChemData!W173),"---")</f>
        <v>NA</v>
      </c>
      <c r="K173" s="870" t="str">
        <f>IF(Start!$C$17="x",IF(J173="NA","NA",IF(Data!$D$68&lt;ChemData!X173,J173*(Data!$D$68/ChemData!X173),J173)),"---")</f>
        <v>NA</v>
      </c>
      <c r="L173" s="870" t="str">
        <f>IF(Start!$C$17="x",IF(OR(I173="NA",I173="",ChemData!Z173="NA",ChemData!Z173=""),"NA",I173/ChemData!Z173),"---")</f>
        <v>NA</v>
      </c>
      <c r="M173" s="870" t="str">
        <f>IF(Start!$C$17="x",IF(OR(I173="NA",I173="",ChemData!Y173="NA",ChemData!Y173=""),"NA",I173/ChemData!Y173),"---")</f>
        <v>NA</v>
      </c>
      <c r="N173" s="870" t="str">
        <f>IF(Start!$C$17="x",IF(OR(I173="NA",I173="",G173="NA",G173=""),"NA",I173/G173),"---")</f>
        <v>NA</v>
      </c>
      <c r="O173" s="794" t="str">
        <f>IF(Start!$C$17="x",(IF(C173="","",(IF(N173="NA","NA",IF(D173="NA","NA",IF(D173=0,"NA",(N173/D173))))))),"Not Req.")</f>
        <v/>
      </c>
    </row>
    <row r="174" spans="1:15" s="10" customFormat="1" x14ac:dyDescent="0.25">
      <c r="A174" s="405" t="s">
        <v>676</v>
      </c>
      <c r="B174" s="868" t="str">
        <f>IF(Start!$C$17="x",(IF($C174="NA","NA",(IF(C174="","",(IF(AND(N174="NA",C174&lt;&gt;"NA",D174&lt;&gt;"NA"),"Missing Data",(IF(OR(D174 = "NA",D174=""),"No Criteria",(IF(N174&lt;D174,IF(OR(I174&lt;D174,ChemData!AA174&lt;&gt;""),"No-1",IF(M174&lt;D174,"No-2","No-3")),"Needed")))))))))),"---")</f>
        <v/>
      </c>
      <c r="C174" s="426" t="str">
        <f>IF(TRUE=ISBLANK(ChemData!B174),"",(ChemData!B174))</f>
        <v/>
      </c>
      <c r="D174" s="289" t="str">
        <f>IF(TRUE=ISBLANK(ChemData!J174),"",(ChemData!J174))</f>
        <v>NA</v>
      </c>
      <c r="E174" s="290">
        <f>IF(TRUE=ISBLANK(ChemData!Q174),"",(ChemData!Q174))</f>
        <v>0.32166693340150943</v>
      </c>
      <c r="F174" s="290">
        <f>IF(TRUE=ISBLANK(ChemData!S174),"",(ChemData!S174))</f>
        <v>1</v>
      </c>
      <c r="G174" s="865">
        <f>IF(OR(TRUE=ISBLANK(ChemData!AA174),ChemData!AA174="NA",ChemData!AA174=0),ChemData!Z174,(ChemData!AA174))</f>
        <v>6.8495741227413944</v>
      </c>
      <c r="H174" s="685" t="str">
        <f>IF(Start!$C$17="x",(IF(OR(C174="NA",C174=""),"NA",IF(OR(F174="NA",F174="",F174=0),"NA",C174*F174))),"---")</f>
        <v>NA</v>
      </c>
      <c r="I174" s="376" t="str">
        <f>IF(Start!$C$17="x",(IF($E174 = "NA", "NA", (IF(H174 = "NA", "NA",(IF(OR(ChemData!U174="NA",ChemData!U174=""),H174/((Data!$D$18+$E174*(1-Data!$D$18)*Data!$D$14)/(1000*(1-Data!$D$18)*Data!$D$14)),(IF(H174/((Data!$D$18+$E174*(1-Data!$D$18)*Data!$D$14)/(1000*(1-Data!$D$18)*Data!$D$14))&gt;ChemData!U174, ChemData!U174,H174/((Data!$D$18+$E174*(1-Data!$D$18)*Data!$D$14)/(1000*(1-Data!$D$18)*Data!$D$14)))))))))),"---")</f>
        <v>NA</v>
      </c>
      <c r="J174" s="870" t="str">
        <f>IF(Start!$C$17="x",IF(OR(I174="NA",I174="",ChemData!W174="NA",ChemData!W174=""),"NA",I174/ChemData!W174),"---")</f>
        <v>NA</v>
      </c>
      <c r="K174" s="870" t="str">
        <f>IF(Start!$C$17="x",IF(J174="NA","NA",IF(Data!$D$68&lt;ChemData!X174,J174*(Data!$D$68/ChemData!X174),J174)),"---")</f>
        <v>NA</v>
      </c>
      <c r="L174" s="870" t="str">
        <f>IF(Start!$C$17="x",IF(OR(I174="NA",I174="",ChemData!Z174="NA",ChemData!Z174=""),"NA",I174/ChemData!Z174),"---")</f>
        <v>NA</v>
      </c>
      <c r="M174" s="870" t="str">
        <f>IF(Start!$C$17="x",IF(OR(I174="NA",I174="",ChemData!Y174="NA",ChemData!Y174=""),"NA",I174/ChemData!Y174),"---")</f>
        <v>NA</v>
      </c>
      <c r="N174" s="870" t="str">
        <f>IF(Start!$C$17="x",IF(OR(I174="NA",I174="",G174="NA",G174=""),"NA",I174/G174),"---")</f>
        <v>NA</v>
      </c>
      <c r="O174" s="794" t="str">
        <f>IF(Start!$C$17="x",(IF(C174="","",(IF(N174="NA","NA",IF(D174="NA","NA",IF(D174=0,"NA",(N174/D174))))))),"Not Req.")</f>
        <v/>
      </c>
    </row>
    <row r="175" spans="1:15" s="10" customFormat="1" x14ac:dyDescent="0.25">
      <c r="A175" s="405" t="s">
        <v>677</v>
      </c>
      <c r="B175" s="868" t="str">
        <f>IF(Start!$C$17="x",(IF($C175="NA","NA",(IF(C175="","",(IF(AND(N175="NA",C175&lt;&gt;"NA",D175&lt;&gt;"NA"),"Missing Data",(IF(OR(D175 = "NA",D175=""),"No Criteria",(IF(N175&lt;D175,IF(OR(I175&lt;D175,ChemData!AA175&lt;&gt;""),"No-1",IF(M175&lt;D175,"No-2","No-3")),"Needed")))))))))),"---")</f>
        <v/>
      </c>
      <c r="C175" s="426" t="str">
        <f>IF(TRUE=ISBLANK(ChemData!B175),"",(ChemData!B175))</f>
        <v/>
      </c>
      <c r="D175" s="289">
        <f>IF(TRUE=ISBLANK(ChemData!J175),"",(ChemData!J175))</f>
        <v>170</v>
      </c>
      <c r="E175" s="290">
        <f>IF(TRUE=ISBLANK(ChemData!Q175),"",(ChemData!Q175))</f>
        <v>0.37792569355833</v>
      </c>
      <c r="F175" s="290">
        <f>IF(TRUE=ISBLANK(ChemData!S175),"",(ChemData!S175))</f>
        <v>1</v>
      </c>
      <c r="G175" s="865">
        <f>IF(OR(TRUE=ISBLANK(ChemData!AA175),ChemData!AA175="NA",ChemData!AA175=0),ChemData!Z175,(ChemData!AA175))</f>
        <v>6.8495741227413909</v>
      </c>
      <c r="H175" s="685" t="str">
        <f>IF(Start!$C$17="x",(IF(OR(C175="NA",C175=""),"NA",IF(OR(F175="NA",F175="",F175=0),"NA",C175*F175))),"---")</f>
        <v>NA</v>
      </c>
      <c r="I175" s="376" t="str">
        <f>IF(Start!$C$17="x",(IF($E175 = "NA", "NA", (IF(H175 = "NA", "NA",(IF(OR(ChemData!U175="NA",ChemData!U175=""),H175/((Data!$D$18+$E175*(1-Data!$D$18)*Data!$D$14)/(1000*(1-Data!$D$18)*Data!$D$14)),(IF(H175/((Data!$D$18+$E175*(1-Data!$D$18)*Data!$D$14)/(1000*(1-Data!$D$18)*Data!$D$14))&gt;ChemData!U175, ChemData!U175,H175/((Data!$D$18+$E175*(1-Data!$D$18)*Data!$D$14)/(1000*(1-Data!$D$18)*Data!$D$14)))))))))),"---")</f>
        <v>NA</v>
      </c>
      <c r="J175" s="870" t="str">
        <f>IF(Start!$C$17="x",IF(OR(I175="NA",I175="",ChemData!W175="NA",ChemData!W175=""),"NA",I175/ChemData!W175),"---")</f>
        <v>NA</v>
      </c>
      <c r="K175" s="870" t="str">
        <f>IF(Start!$C$17="x",IF(J175="NA","NA",IF(Data!$D$68&lt;ChemData!X175,J175*(Data!$D$68/ChemData!X175),J175)),"---")</f>
        <v>NA</v>
      </c>
      <c r="L175" s="870" t="str">
        <f>IF(Start!$C$17="x",IF(OR(I175="NA",I175="",ChemData!Z175="NA",ChemData!Z175=""),"NA",I175/ChemData!Z175),"---")</f>
        <v>NA</v>
      </c>
      <c r="M175" s="870" t="str">
        <f>IF(Start!$C$17="x",IF(OR(I175="NA",I175="",ChemData!Y175="NA",ChemData!Y175=""),"NA",I175/ChemData!Y175),"---")</f>
        <v>NA</v>
      </c>
      <c r="N175" s="870" t="str">
        <f>IF(Start!$C$17="x",IF(OR(I175="NA",I175="",G175="NA",G175=""),"NA",I175/G175),"---")</f>
        <v>NA</v>
      </c>
      <c r="O175" s="794" t="str">
        <f>IF(Start!$C$17="x",(IF(C175="","",(IF(N175="NA","NA",IF(D175="NA","NA",IF(D175=0,"NA",(N175/D175))))))),"Not Req.")</f>
        <v/>
      </c>
    </row>
    <row r="176" spans="1:15" s="10" customFormat="1" x14ac:dyDescent="0.25">
      <c r="A176" s="405" t="s">
        <v>678</v>
      </c>
      <c r="B176" s="868" t="str">
        <f>IF(Start!$C$17="x",(IF($C176="NA","NA",(IF(C176="","",(IF(AND(N176="NA",C176&lt;&gt;"NA",D176&lt;&gt;"NA"),"Missing Data",(IF(OR(D176 = "NA",D176=""),"No Criteria",(IF(N176&lt;D176,IF(OR(I176&lt;D176,ChemData!AA176&lt;&gt;""),"No-1",IF(M176&lt;D176,"No-2","No-3")),"Needed")))))))))),"---")</f>
        <v/>
      </c>
      <c r="C176" s="426" t="str">
        <f>IF(TRUE=ISBLANK(ChemData!B176),"",(ChemData!B176))</f>
        <v/>
      </c>
      <c r="D176" s="289">
        <f>IF(TRUE=ISBLANK(ChemData!J176),"",(ChemData!J176))</f>
        <v>2200</v>
      </c>
      <c r="E176" s="290">
        <f>IF(TRUE=ISBLANK(ChemData!Q176),"",(ChemData!Q176))</f>
        <v>0.32915951879820476</v>
      </c>
      <c r="F176" s="290">
        <f>IF(TRUE=ISBLANK(ChemData!S176),"",(ChemData!S176))</f>
        <v>1</v>
      </c>
      <c r="G176" s="865">
        <f>IF(OR(TRUE=ISBLANK(ChemData!AA176),ChemData!AA176="NA",ChemData!AA176=0),ChemData!Z176,(ChemData!AA176))</f>
        <v>6.8495741227413909</v>
      </c>
      <c r="H176" s="685" t="str">
        <f>IF(Start!$C$17="x",(IF(OR(C176="NA",C176=""),"NA",IF(OR(F176="NA",F176="",F176=0),"NA",C176*F176))),"---")</f>
        <v>NA</v>
      </c>
      <c r="I176" s="376" t="str">
        <f>IF(Start!$C$17="x",(IF($E176 = "NA", "NA", (IF(H176 = "NA", "NA",(IF(OR(ChemData!U176="NA",ChemData!U176=""),H176/((Data!$D$18+$E176*(1-Data!$D$18)*Data!$D$14)/(1000*(1-Data!$D$18)*Data!$D$14)),(IF(H176/((Data!$D$18+$E176*(1-Data!$D$18)*Data!$D$14)/(1000*(1-Data!$D$18)*Data!$D$14))&gt;ChemData!U176, ChemData!U176,H176/((Data!$D$18+$E176*(1-Data!$D$18)*Data!$D$14)/(1000*(1-Data!$D$18)*Data!$D$14)))))))))),"---")</f>
        <v>NA</v>
      </c>
      <c r="J176" s="870" t="str">
        <f>IF(Start!$C$17="x",IF(OR(I176="NA",I176="",ChemData!W176="NA",ChemData!W176=""),"NA",I176/ChemData!W176),"---")</f>
        <v>NA</v>
      </c>
      <c r="K176" s="870" t="str">
        <f>IF(Start!$C$17="x",IF(J176="NA","NA",IF(Data!$D$68&lt;ChemData!X176,J176*(Data!$D$68/ChemData!X176),J176)),"---")</f>
        <v>NA</v>
      </c>
      <c r="L176" s="870" t="str">
        <f>IF(Start!$C$17="x",IF(OR(I176="NA",I176="",ChemData!Z176="NA",ChemData!Z176=""),"NA",I176/ChemData!Z176),"---")</f>
        <v>NA</v>
      </c>
      <c r="M176" s="870" t="str">
        <f>IF(Start!$C$17="x",IF(OR(I176="NA",I176="",ChemData!Y176="NA",ChemData!Y176=""),"NA",I176/ChemData!Y176),"---")</f>
        <v>NA</v>
      </c>
      <c r="N176" s="870" t="str">
        <f>IF(Start!$C$17="x",IF(OR(I176="NA",I176="",G176="NA",G176=""),"NA",I176/G176),"---")</f>
        <v>NA</v>
      </c>
      <c r="O176" s="794" t="str">
        <f>IF(Start!$C$17="x",(IF(C176="","",(IF(N176="NA","NA",IF(D176="NA","NA",IF(D176=0,"NA",(N176/D176))))))),"Not Req.")</f>
        <v/>
      </c>
    </row>
    <row r="177" spans="1:15" s="10" customFormat="1" x14ac:dyDescent="0.25">
      <c r="A177" s="308" t="s">
        <v>679</v>
      </c>
      <c r="B177" s="868" t="str">
        <f>IF(Start!$C$17="x",(IF($C177="NA","NA",(IF(C177="","",(IF(AND(N177="NA",C177&lt;&gt;"NA",D177&lt;&gt;"NA"),"Missing Data",(IF(OR(D177 = "NA",D177=""),"No Criteria",(IF(N177&lt;D177,IF(OR(I177&lt;D177,ChemData!AA177&lt;&gt;""),"No-1",IF(M177&lt;D177,"No-2","No-3")),"Needed")))))))))),"---")</f>
        <v/>
      </c>
      <c r="C177" s="426" t="str">
        <f>IF(TRUE=ISBLANK(ChemData!B177),"",(ChemData!B177))</f>
        <v/>
      </c>
      <c r="D177" s="289">
        <f>IF(TRUE=ISBLANK(ChemData!J177),"",(ChemData!J177))</f>
        <v>8.3000000000000007</v>
      </c>
      <c r="E177" s="290">
        <f>IF(TRUE=ISBLANK(ChemData!Q177),"",(ChemData!Q177))</f>
        <v>4.3391675371571781</v>
      </c>
      <c r="F177" s="290">
        <f>IF(TRUE=ISBLANK(ChemData!S177),"",(ChemData!S177))</f>
        <v>1</v>
      </c>
      <c r="G177" s="865">
        <f>IF(OR(TRUE=ISBLANK(ChemData!AA177),ChemData!AA177="NA",ChemData!AA177=0),ChemData!Z177,(ChemData!AA177))</f>
        <v>6.8719465335889574</v>
      </c>
      <c r="H177" s="685" t="str">
        <f>IF(Start!$C$17="x",(IF(OR(C177="NA",C177=""),"NA",IF(OR(F177="NA",F177="",F177=0),"NA",C177*F177))),"---")</f>
        <v>NA</v>
      </c>
      <c r="I177" s="376" t="str">
        <f>IF(Start!$C$17="x",(IF($E177 = "NA", "NA", (IF(H177 = "NA", "NA",(IF(OR(ChemData!U177="NA",ChemData!U177=""),H177/((Data!$D$18+$E177*(1-Data!$D$18)*Data!$D$14)/(1000*(1-Data!$D$18)*Data!$D$14)),(IF(H177/((Data!$D$18+$E177*(1-Data!$D$18)*Data!$D$14)/(1000*(1-Data!$D$18)*Data!$D$14))&gt;ChemData!U177, ChemData!U177,H177/((Data!$D$18+$E177*(1-Data!$D$18)*Data!$D$14)/(1000*(1-Data!$D$18)*Data!$D$14)))))))))),"---")</f>
        <v>NA</v>
      </c>
      <c r="J177" s="870" t="str">
        <f>IF(Start!$C$17="x",IF(OR(I177="NA",I177="",ChemData!W177="NA",ChemData!W177=""),"NA",I177/ChemData!W177),"---")</f>
        <v>NA</v>
      </c>
      <c r="K177" s="870" t="str">
        <f>IF(Start!$C$17="x",IF(J177="NA","NA",IF(Data!$D$68&lt;ChemData!X177,J177*(Data!$D$68/ChemData!X177),J177)),"---")</f>
        <v>NA</v>
      </c>
      <c r="L177" s="870" t="str">
        <f>IF(Start!$C$17="x",IF(OR(I177="NA",I177="",ChemData!Z177="NA",ChemData!Z177=""),"NA",I177/ChemData!Z177),"---")</f>
        <v>NA</v>
      </c>
      <c r="M177" s="870" t="str">
        <f>IF(Start!$C$17="x",IF(OR(I177="NA",I177="",ChemData!Y177="NA",ChemData!Y177=""),"NA",I177/ChemData!Y177),"---")</f>
        <v>NA</v>
      </c>
      <c r="N177" s="870" t="str">
        <f>IF(Start!$C$17="x",IF(OR(I177="NA",I177="",G177="NA",G177=""),"NA",I177/G177),"---")</f>
        <v>NA</v>
      </c>
      <c r="O177" s="794" t="str">
        <f>IF(Start!$C$17="x",(IF(C177="","",(IF(N177="NA","NA",IF(D177="NA","NA",IF(D177=0,"NA",(N177/D177))))))),"Not Req.")</f>
        <v/>
      </c>
    </row>
    <row r="178" spans="1:15" s="10" customFormat="1" x14ac:dyDescent="0.25">
      <c r="A178" s="308" t="s">
        <v>496</v>
      </c>
      <c r="B178" s="868" t="str">
        <f>IF(Start!$C$17="x",(IF($C178="NA","NA",(IF(C178="","",(IF(AND(N178="NA",C178&lt;&gt;"NA",D178&lt;&gt;"NA"),"Missing Data",(IF(OR(D178 = "NA",D178=""),"No Criteria",(IF(N178&lt;D178,IF(OR(I178&lt;D178,ChemData!AA178&lt;&gt;""),"No-1",IF(M178&lt;D178,"No-2","No-3")),"Needed")))))))))),"---")</f>
        <v/>
      </c>
      <c r="C178" s="426" t="str">
        <f>IF(TRUE=ISBLANK(ChemData!B178),"",(ChemData!B178))</f>
        <v/>
      </c>
      <c r="D178" s="289">
        <f>IF(TRUE=ISBLANK(ChemData!J178),"",(ChemData!J178))</f>
        <v>110</v>
      </c>
      <c r="E178" s="290">
        <f>IF(TRUE=ISBLANK(ChemData!Q178),"",(ChemData!Q178))</f>
        <v>0.5989718589767421</v>
      </c>
      <c r="F178" s="290">
        <f>IF(TRUE=ISBLANK(ChemData!S178),"",(ChemData!S178))</f>
        <v>1</v>
      </c>
      <c r="G178" s="865">
        <f>IF(OR(TRUE=ISBLANK(ChemData!AA178),ChemData!AA178="NA",ChemData!AA178=0),ChemData!Z178,(ChemData!AA178))</f>
        <v>6.8495741227413927</v>
      </c>
      <c r="H178" s="685" t="str">
        <f>IF(Start!$C$17="x",(IF(OR(C178="NA",C178=""),"NA",IF(OR(F178="NA",F178="",F178=0),"NA",C178*F178))),"---")</f>
        <v>NA</v>
      </c>
      <c r="I178" s="376" t="str">
        <f>IF(Start!$C$17="x",(IF($E178 = "NA", "NA", (IF(H178 = "NA", "NA",(IF(OR(ChemData!U178="NA",ChemData!U178=""),H178/((Data!$D$18+$E178*(1-Data!$D$18)*Data!$D$14)/(1000*(1-Data!$D$18)*Data!$D$14)),(IF(H178/((Data!$D$18+$E178*(1-Data!$D$18)*Data!$D$14)/(1000*(1-Data!$D$18)*Data!$D$14))&gt;ChemData!U178, ChemData!U178,H178/((Data!$D$18+$E178*(1-Data!$D$18)*Data!$D$14)/(1000*(1-Data!$D$18)*Data!$D$14)))))))))),"---")</f>
        <v>NA</v>
      </c>
      <c r="J178" s="870" t="str">
        <f>IF(Start!$C$17="x",IF(OR(I178="NA",I178="",ChemData!W178="NA",ChemData!W178=""),"NA",I178/ChemData!W178),"---")</f>
        <v>NA</v>
      </c>
      <c r="K178" s="870" t="str">
        <f>IF(Start!$C$17="x",IF(J178="NA","NA",IF(Data!$D$68&lt;ChemData!X178,J178*(Data!$D$68/ChemData!X178),J178)),"---")</f>
        <v>NA</v>
      </c>
      <c r="L178" s="870" t="str">
        <f>IF(Start!$C$17="x",IF(OR(I178="NA",I178="",ChemData!Z178="NA",ChemData!Z178=""),"NA",I178/ChemData!Z178),"---")</f>
        <v>NA</v>
      </c>
      <c r="M178" s="870" t="str">
        <f>IF(Start!$C$17="x",IF(OR(I178="NA",I178="",ChemData!Y178="NA",ChemData!Y178=""),"NA",I178/ChemData!Y178),"---")</f>
        <v>NA</v>
      </c>
      <c r="N178" s="870" t="str">
        <f>IF(Start!$C$17="x",IF(OR(I178="NA",I178="",G178="NA",G178=""),"NA",I178/G178),"---")</f>
        <v>NA</v>
      </c>
      <c r="O178" s="794" t="str">
        <f>IF(Start!$C$17="x",(IF(C178="","",(IF(N178="NA","NA",IF(D178="NA","NA",IF(D178=0,"NA",(N178/D178))))))),"Not Req.")</f>
        <v/>
      </c>
    </row>
    <row r="179" spans="1:15" s="10" customFormat="1" x14ac:dyDescent="0.25">
      <c r="A179" s="308" t="s">
        <v>497</v>
      </c>
      <c r="B179" s="868" t="str">
        <f>IF(Start!$C$17="x",(IF($C179="NA","NA",(IF(C179="","",(IF(AND(N179="NA",C179&lt;&gt;"NA",D179&lt;&gt;"NA"),"Missing Data",(IF(OR(D179 = "NA",D179=""),"No Criteria",(IF(N179&lt;D179,IF(OR(I179&lt;D179,ChemData!AA179&lt;&gt;""),"No-1",IF(M179&lt;D179,"No-2","No-3")),"Needed")))))))))),"---")</f>
        <v/>
      </c>
      <c r="C179" s="426" t="str">
        <f>IF(TRUE=ISBLANK(ChemData!B179),"",(ChemData!B179))</f>
        <v/>
      </c>
      <c r="D179" s="289">
        <f>IF(TRUE=ISBLANK(ChemData!J179),"",(ChemData!J179))</f>
        <v>7.5</v>
      </c>
      <c r="E179" s="290">
        <f>IF(TRUE=ISBLANK(ChemData!Q179),"",(ChemData!Q179))</f>
        <v>2.0768561589129347E-2</v>
      </c>
      <c r="F179" s="290">
        <f>IF(TRUE=ISBLANK(ChemData!S179),"",(ChemData!S179))</f>
        <v>1</v>
      </c>
      <c r="G179" s="865">
        <f>IF(OR(TRUE=ISBLANK(ChemData!AA179),ChemData!AA179="NA",ChemData!AA179=0),ChemData!Z179,(ChemData!AA179))</f>
        <v>6.8495741227413927</v>
      </c>
      <c r="H179" s="685" t="str">
        <f>IF(Start!$C$17="x",(IF(OR(C179="NA",C179=""),"NA",IF(OR(F179="NA",F179="",F179=0),"NA",C179*F179))),"---")</f>
        <v>NA</v>
      </c>
      <c r="I179" s="376" t="str">
        <f>IF(Start!$C$17="x",(IF($E179 = "NA", "NA", (IF(H179 = "NA", "NA",(IF(OR(ChemData!U179="NA",ChemData!U179=""),H179/((Data!$D$18+$E179*(1-Data!$D$18)*Data!$D$14)/(1000*(1-Data!$D$18)*Data!$D$14)),(IF(H179/((Data!$D$18+$E179*(1-Data!$D$18)*Data!$D$14)/(1000*(1-Data!$D$18)*Data!$D$14))&gt;ChemData!U179, ChemData!U179,H179/((Data!$D$18+$E179*(1-Data!$D$18)*Data!$D$14)/(1000*(1-Data!$D$18)*Data!$D$14)))))))))),"---")</f>
        <v>NA</v>
      </c>
      <c r="J179" s="870" t="str">
        <f>IF(Start!$C$17="x",IF(OR(I179="NA",I179="",ChemData!W179="NA",ChemData!W179=""),"NA",I179/ChemData!W179),"---")</f>
        <v>NA</v>
      </c>
      <c r="K179" s="870" t="str">
        <f>IF(Start!$C$17="x",IF(J179="NA","NA",IF(Data!$D$68&lt;ChemData!X179,J179*(Data!$D$68/ChemData!X179),J179)),"---")</f>
        <v>NA</v>
      </c>
      <c r="L179" s="870" t="str">
        <f>IF(Start!$C$17="x",IF(OR(I179="NA",I179="",ChemData!Z179="NA",ChemData!Z179=""),"NA",I179/ChemData!Z179),"---")</f>
        <v>NA</v>
      </c>
      <c r="M179" s="870" t="str">
        <f>IF(Start!$C$17="x",IF(OR(I179="NA",I179="",ChemData!Y179="NA",ChemData!Y179=""),"NA",I179/ChemData!Y179),"---")</f>
        <v>NA</v>
      </c>
      <c r="N179" s="870" t="str">
        <f>IF(Start!$C$17="x",IF(OR(I179="NA",I179="",G179="NA",G179=""),"NA",I179/G179),"---")</f>
        <v>NA</v>
      </c>
      <c r="O179" s="794" t="str">
        <f>IF(Start!$C$17="x",(IF(C179="","",(IF(N179="NA","NA",IF(D179="NA","NA",IF(D179=0,"NA",(N179/D179))))))),"Not Req.")</f>
        <v/>
      </c>
    </row>
    <row r="180" spans="1:15" s="10" customFormat="1" x14ac:dyDescent="0.25">
      <c r="A180" s="405" t="s">
        <v>498</v>
      </c>
      <c r="B180" s="868" t="str">
        <f>IF(Start!$C$17="x",(IF($C180="NA","NA",(IF(C180="","",(IF(AND(N180="NA",C180&lt;&gt;"NA",D180&lt;&gt;"NA"),"Missing Data",(IF(OR(D180 = "NA",D180=""),"No Criteria",(IF(N180&lt;D180,IF(OR(I180&lt;D180,ChemData!AA180&lt;&gt;""),"No-1",IF(M180&lt;D180,"No-2","No-3")),"Needed")))))))))),"---")</f>
        <v/>
      </c>
      <c r="C180" s="426" t="str">
        <f>IF(TRUE=ISBLANK(ChemData!B180),"",(ChemData!B180))</f>
        <v/>
      </c>
      <c r="D180" s="289" t="str">
        <f>IF(TRUE=ISBLANK(ChemData!J180),"",(ChemData!J180))</f>
        <v>NA</v>
      </c>
      <c r="E180" s="290">
        <f>IF(TRUE=ISBLANK(ChemData!Q180),"",(ChemData!Q180))</f>
        <v>16.121536050087055</v>
      </c>
      <c r="F180" s="290">
        <f>IF(TRUE=ISBLANK(ChemData!S180),"",(ChemData!S180))</f>
        <v>1</v>
      </c>
      <c r="G180" s="865">
        <f>IF(OR(TRUE=ISBLANK(ChemData!AA180),ChemData!AA180="NA",ChemData!AA180=0),ChemData!Z180,(ChemData!AA180))</f>
        <v>47.223616601852967</v>
      </c>
      <c r="H180" s="685" t="str">
        <f>IF(Start!$C$17="x",(IF(OR(C180="NA",C180=""),"NA",IF(OR(F180="NA",F180="",F180=0),"NA",C180*F180))),"---")</f>
        <v>NA</v>
      </c>
      <c r="I180" s="376" t="str">
        <f>IF(Start!$C$17="x",(IF($E180 = "NA", "NA", (IF(H180 = "NA", "NA",(IF(OR(ChemData!U180="NA",ChemData!U180=""),H180/((Data!$D$18+$E180*(1-Data!$D$18)*Data!$D$14)/(1000*(1-Data!$D$18)*Data!$D$14)),(IF(H180/((Data!$D$18+$E180*(1-Data!$D$18)*Data!$D$14)/(1000*(1-Data!$D$18)*Data!$D$14))&gt;ChemData!U180, ChemData!U180,H180/((Data!$D$18+$E180*(1-Data!$D$18)*Data!$D$14)/(1000*(1-Data!$D$18)*Data!$D$14)))))))))),"---")</f>
        <v>NA</v>
      </c>
      <c r="J180" s="870" t="str">
        <f>IF(Start!$C$17="x",IF(OR(I180="NA",I180="",ChemData!W180="NA",ChemData!W180=""),"NA",I180/ChemData!W180),"---")</f>
        <v>NA</v>
      </c>
      <c r="K180" s="870" t="str">
        <f>IF(Start!$C$17="x",IF(J180="NA","NA",IF(Data!$D$68&lt;ChemData!X180,J180*(Data!$D$68/ChemData!X180),J180)),"---")</f>
        <v>NA</v>
      </c>
      <c r="L180" s="870" t="str">
        <f>IF(Start!$C$17="x",IF(OR(I180="NA",I180="",ChemData!Z180="NA",ChemData!Z180=""),"NA",I180/ChemData!Z180),"---")</f>
        <v>NA</v>
      </c>
      <c r="M180" s="870" t="str">
        <f>IF(Start!$C$17="x",IF(OR(I180="NA",I180="",ChemData!Y180="NA",ChemData!Y180=""),"NA",I180/ChemData!Y180),"---")</f>
        <v>NA</v>
      </c>
      <c r="N180" s="870" t="str">
        <f>IF(Start!$C$17="x",IF(OR(I180="NA",I180="",G180="NA",G180=""),"NA",I180/G180),"---")</f>
        <v>NA</v>
      </c>
      <c r="O180" s="794" t="str">
        <f>IF(Start!$C$17="x",(IF(C180="","",(IF(N180="NA","NA",IF(D180="NA","NA",IF(D180=0,"NA",(N180/D180))))))),"Not Req.")</f>
        <v/>
      </c>
    </row>
    <row r="181" spans="1:15" s="10" customFormat="1" x14ac:dyDescent="0.25">
      <c r="A181" s="405" t="s">
        <v>499</v>
      </c>
      <c r="B181" s="868" t="str">
        <f>IF(Start!$C$17="x",(IF($C181="NA","NA",(IF(C181="","",(IF(AND(N181="NA",C181&lt;&gt;"NA",D181&lt;&gt;"NA"),"Missing Data",(IF(OR(D181 = "NA",D181=""),"No Criteria",(IF(N181&lt;D181,IF(OR(I181&lt;D181,ChemData!AA181&lt;&gt;""),"No-1",IF(M181&lt;D181,"No-2","No-3")),"Needed")))))))))),"---")</f>
        <v/>
      </c>
      <c r="C181" s="426" t="str">
        <f>IF(TRUE=ISBLANK(ChemData!B181),"",(ChemData!B181))</f>
        <v/>
      </c>
      <c r="D181" s="289">
        <f>IF(TRUE=ISBLANK(ChemData!J181),"",(ChemData!J181))</f>
        <v>610</v>
      </c>
      <c r="E181" s="290">
        <f>IF(TRUE=ISBLANK(ChemData!Q181),"",(ChemData!Q181))</f>
        <v>4.5436662029329957</v>
      </c>
      <c r="F181" s="290">
        <f>IF(TRUE=ISBLANK(ChemData!S181),"",(ChemData!S181))</f>
        <v>1</v>
      </c>
      <c r="G181" s="865">
        <f>IF(OR(TRUE=ISBLANK(ChemData!AA181),ChemData!AA181="NA",ChemData!AA181=0),ChemData!Z181,(ChemData!AA181))</f>
        <v>7.3527700047249711</v>
      </c>
      <c r="H181" s="685" t="str">
        <f>IF(Start!$C$17="x",(IF(OR(C181="NA",C181=""),"NA",IF(OR(F181="NA",F181="",F181=0),"NA",C181*F181))),"---")</f>
        <v>NA</v>
      </c>
      <c r="I181" s="376" t="str">
        <f>IF(Start!$C$17="x",(IF($E181 = "NA", "NA", (IF(H181 = "NA", "NA",(IF(OR(ChemData!U181="NA",ChemData!U181=""),H181/((Data!$D$18+$E181*(1-Data!$D$18)*Data!$D$14)/(1000*(1-Data!$D$18)*Data!$D$14)),(IF(H181/((Data!$D$18+$E181*(1-Data!$D$18)*Data!$D$14)/(1000*(1-Data!$D$18)*Data!$D$14))&gt;ChemData!U181, ChemData!U181,H181/((Data!$D$18+$E181*(1-Data!$D$18)*Data!$D$14)/(1000*(1-Data!$D$18)*Data!$D$14)))))))))),"---")</f>
        <v>NA</v>
      </c>
      <c r="J181" s="870" t="str">
        <f>IF(Start!$C$17="x",IF(OR(I181="NA",I181="",ChemData!W181="NA",ChemData!W181=""),"NA",I181/ChemData!W181),"---")</f>
        <v>NA</v>
      </c>
      <c r="K181" s="870" t="str">
        <f>IF(Start!$C$17="x",IF(J181="NA","NA",IF(Data!$D$68&lt;ChemData!X181,J181*(Data!$D$68/ChemData!X181),J181)),"---")</f>
        <v>NA</v>
      </c>
      <c r="L181" s="870" t="str">
        <f>IF(Start!$C$17="x",IF(OR(I181="NA",I181="",ChemData!Z181="NA",ChemData!Z181=""),"NA",I181/ChemData!Z181),"---")</f>
        <v>NA</v>
      </c>
      <c r="M181" s="870" t="str">
        <f>IF(Start!$C$17="x",IF(OR(I181="NA",I181="",ChemData!Y181="NA",ChemData!Y181=""),"NA",I181/ChemData!Y181),"---")</f>
        <v>NA</v>
      </c>
      <c r="N181" s="870" t="str">
        <f>IF(Start!$C$17="x",IF(OR(I181="NA",I181="",G181="NA",G181=""),"NA",I181/G181),"---")</f>
        <v>NA</v>
      </c>
      <c r="O181" s="794" t="str">
        <f>IF(Start!$C$17="x",(IF(C181="","",(IF(N181="NA","NA",IF(D181="NA","NA",IF(D181=0,"NA",(N181/D181))))))),"Not Req.")</f>
        <v/>
      </c>
    </row>
    <row r="182" spans="1:15" s="10" customFormat="1" x14ac:dyDescent="0.25">
      <c r="A182" s="405" t="s">
        <v>680</v>
      </c>
      <c r="B182" s="868" t="str">
        <f>IF(Start!$C$17="x",(IF($C182="NA","NA",(IF(C182="","",(IF(AND(N182="NA",C182&lt;&gt;"NA",D182&lt;&gt;"NA"),"Missing Data",(IF(OR(D182 = "NA",D182=""),"No Criteria",(IF(N182&lt;D182,IF(OR(I182&lt;D182,ChemData!AA182&lt;&gt;""),"No-1",IF(M182&lt;D182,"No-2","No-3")),"Needed")))))))))),"---")</f>
        <v/>
      </c>
      <c r="C182" s="426" t="str">
        <f>IF(TRUE=ISBLANK(ChemData!B182),"",(ChemData!B182))</f>
        <v/>
      </c>
      <c r="D182" s="289">
        <f>IF(TRUE=ISBLANK(ChemData!J182),"",(ChemData!J182))</f>
        <v>98</v>
      </c>
      <c r="E182" s="290">
        <f>IF(TRUE=ISBLANK(ChemData!Q182),"",(ChemData!Q182))</f>
        <v>14.041270913790193</v>
      </c>
      <c r="F182" s="290">
        <f>IF(TRUE=ISBLANK(ChemData!S182),"",(ChemData!S182))</f>
        <v>1</v>
      </c>
      <c r="G182" s="865">
        <f>IF(OR(TRUE=ISBLANK(ChemData!AA182),ChemData!AA182="NA",ChemData!AA182=0),ChemData!Z182,(ChemData!AA182))</f>
        <v>38.551884805743086</v>
      </c>
      <c r="H182" s="685" t="str">
        <f>IF(Start!$C$17="x",(IF(OR(C182="NA",C182=""),"NA",IF(OR(F182="NA",F182="",F182=0),"NA",C182*F182))),"---")</f>
        <v>NA</v>
      </c>
      <c r="I182" s="376" t="str">
        <f>IF(Start!$C$17="x",(IF($E182 = "NA", "NA", (IF(H182 = "NA", "NA",(IF(OR(ChemData!U182="NA",ChemData!U182=""),H182/((Data!$D$18+$E182*(1-Data!$D$18)*Data!$D$14)/(1000*(1-Data!$D$18)*Data!$D$14)),(IF(H182/((Data!$D$18+$E182*(1-Data!$D$18)*Data!$D$14)/(1000*(1-Data!$D$18)*Data!$D$14))&gt;ChemData!U182, ChemData!U182,H182/((Data!$D$18+$E182*(1-Data!$D$18)*Data!$D$14)/(1000*(1-Data!$D$18)*Data!$D$14)))))))))),"---")</f>
        <v>NA</v>
      </c>
      <c r="J182" s="870" t="str">
        <f>IF(Start!$C$17="x",IF(OR(I182="NA",I182="",ChemData!W182="NA",ChemData!W182=""),"NA",I182/ChemData!W182),"---")</f>
        <v>NA</v>
      </c>
      <c r="K182" s="870" t="str">
        <f>IF(Start!$C$17="x",IF(J182="NA","NA",IF(Data!$D$68&lt;ChemData!X182,J182*(Data!$D$68/ChemData!X182),J182)),"---")</f>
        <v>NA</v>
      </c>
      <c r="L182" s="870" t="str">
        <f>IF(Start!$C$17="x",IF(OR(I182="NA",I182="",ChemData!Z182="NA",ChemData!Z182=""),"NA",I182/ChemData!Z182),"---")</f>
        <v>NA</v>
      </c>
      <c r="M182" s="870" t="str">
        <f>IF(Start!$C$17="x",IF(OR(I182="NA",I182="",ChemData!Y182="NA",ChemData!Y182=""),"NA",I182/ChemData!Y182),"---")</f>
        <v>NA</v>
      </c>
      <c r="N182" s="870" t="str">
        <f>IF(Start!$C$17="x",IF(OR(I182="NA",I182="",G182="NA",G182=""),"NA",I182/G182),"---")</f>
        <v>NA</v>
      </c>
      <c r="O182" s="794" t="str">
        <f>IF(Start!$C$17="x",(IF(C182="","",(IF(N182="NA","NA",IF(D182="NA","NA",IF(D182=0,"NA",(N182/D182))))))),"Not Req.")</f>
        <v/>
      </c>
    </row>
    <row r="183" spans="1:15" s="10" customFormat="1" x14ac:dyDescent="0.25">
      <c r="A183" s="405" t="s">
        <v>501</v>
      </c>
      <c r="B183" s="868" t="str">
        <f>IF(Start!$C$17="x",(IF($C183="NA","NA",(IF(C183="","",(IF(AND(N183="NA",C183&lt;&gt;"NA",D183&lt;&gt;"NA"),"Missing Data",(IF(OR(D183 = "NA",D183=""),"No Criteria",(IF(N183&lt;D183,IF(OR(I183&lt;D183,ChemData!AA183&lt;&gt;""),"No-1",IF(M183&lt;D183,"No-2","No-3")),"Needed")))))))))),"---")</f>
        <v/>
      </c>
      <c r="C183" s="426" t="str">
        <f>IF(TRUE=ISBLANK(ChemData!B183),"",(ChemData!B183))</f>
        <v/>
      </c>
      <c r="D183" s="289">
        <f>IF(TRUE=ISBLANK(ChemData!J183),"",(ChemData!J183))</f>
        <v>9.8000000000000007</v>
      </c>
      <c r="E183" s="290">
        <f>IF(TRUE=ISBLANK(ChemData!Q183),"",(ChemData!Q183))</f>
        <v>11.413173484456046</v>
      </c>
      <c r="F183" s="290">
        <f>IF(TRUE=ISBLANK(ChemData!S183),"",(ChemData!S183))</f>
        <v>1</v>
      </c>
      <c r="G183" s="865">
        <f>IF(OR(TRUE=ISBLANK(ChemData!AA183),ChemData!AA183="NA",ChemData!AA183=0),ChemData!Z183,(ChemData!AA183))</f>
        <v>28.436436536395743</v>
      </c>
      <c r="H183" s="685" t="str">
        <f>IF(Start!$C$17="x",(IF(OR(C183="NA",C183=""),"NA",IF(OR(F183="NA",F183="",F183=0),"NA",C183*F183))),"---")</f>
        <v>NA</v>
      </c>
      <c r="I183" s="376" t="str">
        <f>IF(Start!$C$17="x",(IF($E183 = "NA", "NA", (IF(H183 = "NA", "NA",(IF(OR(ChemData!U183="NA",ChemData!U183=""),H183/((Data!$D$18+$E183*(1-Data!$D$18)*Data!$D$14)/(1000*(1-Data!$D$18)*Data!$D$14)),(IF(H183/((Data!$D$18+$E183*(1-Data!$D$18)*Data!$D$14)/(1000*(1-Data!$D$18)*Data!$D$14))&gt;ChemData!U183, ChemData!U183,H183/((Data!$D$18+$E183*(1-Data!$D$18)*Data!$D$14)/(1000*(1-Data!$D$18)*Data!$D$14)))))))))),"---")</f>
        <v>NA</v>
      </c>
      <c r="J183" s="870" t="str">
        <f>IF(Start!$C$17="x",IF(OR(I183="NA",I183="",ChemData!W183="NA",ChemData!W183=""),"NA",I183/ChemData!W183),"---")</f>
        <v>NA</v>
      </c>
      <c r="K183" s="870" t="str">
        <f>IF(Start!$C$17="x",IF(J183="NA","NA",IF(Data!$D$68&lt;ChemData!X183,J183*(Data!$D$68/ChemData!X183),J183)),"---")</f>
        <v>NA</v>
      </c>
      <c r="L183" s="870" t="str">
        <f>IF(Start!$C$17="x",IF(OR(I183="NA",I183="",ChemData!Z183="NA",ChemData!Z183=""),"NA",I183/ChemData!Z183),"---")</f>
        <v>NA</v>
      </c>
      <c r="M183" s="870" t="str">
        <f>IF(Start!$C$17="x",IF(OR(I183="NA",I183="",ChemData!Y183="NA",ChemData!Y183=""),"NA",I183/ChemData!Y183),"---")</f>
        <v>NA</v>
      </c>
      <c r="N183" s="870" t="str">
        <f>IF(Start!$C$17="x",IF(OR(I183="NA",I183="",G183="NA",G183=""),"NA",I183/G183),"---")</f>
        <v>NA</v>
      </c>
      <c r="O183" s="794" t="str">
        <f>IF(Start!$C$17="x",(IF(C183="","",(IF(N183="NA","NA",IF(D183="NA","NA",IF(D183=0,"NA",(N183/D183))))))),"Not Req.")</f>
        <v/>
      </c>
    </row>
    <row r="184" spans="1:15" s="10" customFormat="1" x14ac:dyDescent="0.25">
      <c r="A184" s="405" t="s">
        <v>502</v>
      </c>
      <c r="B184" s="868" t="str">
        <f>IF(Start!$C$17="x",(IF($C184="NA","NA",(IF(C184="","",(IF(AND(N184="NA",C184&lt;&gt;"NA",D184&lt;&gt;"NA"),"Missing Data",(IF(OR(D184 = "NA",D184=""),"No Criteria",(IF(N184&lt;D184,IF(OR(I184&lt;D184,ChemData!AA184&lt;&gt;""),"No-1",IF(M184&lt;D184,"No-2","No-3")),"Needed")))))))))),"---")</f>
        <v/>
      </c>
      <c r="C184" s="426" t="str">
        <f>IF(TRUE=ISBLANK(ChemData!B184),"",(ChemData!B184))</f>
        <v/>
      </c>
      <c r="D184" s="289">
        <f>IF(TRUE=ISBLANK(ChemData!J184),"",(ChemData!J184))</f>
        <v>11</v>
      </c>
      <c r="E184" s="290">
        <f>IF(TRUE=ISBLANK(ChemData!Q184),"",(ChemData!Q184))</f>
        <v>5.7201368455826618</v>
      </c>
      <c r="F184" s="290">
        <f>IF(TRUE=ISBLANK(ChemData!S184),"",(ChemData!S184))</f>
        <v>1</v>
      </c>
      <c r="G184" s="865">
        <f>IF(OR(TRUE=ISBLANK(ChemData!AA184),ChemData!AA184="NA",ChemData!AA184=0),ChemData!Z184,(ChemData!AA184))</f>
        <v>10.31114820673781</v>
      </c>
      <c r="H184" s="685" t="str">
        <f>IF(Start!$C$17="x",(IF(OR(C184="NA",C184=""),"NA",IF(OR(F184="NA",F184="",F184=0),"NA",C184*F184))),"---")</f>
        <v>NA</v>
      </c>
      <c r="I184" s="376" t="str">
        <f>IF(Start!$C$17="x",(IF($E184 = "NA", "NA", (IF(H184 = "NA", "NA",(IF(OR(ChemData!U184="NA",ChemData!U184=""),H184/((Data!$D$18+$E184*(1-Data!$D$18)*Data!$D$14)/(1000*(1-Data!$D$18)*Data!$D$14)),(IF(H184/((Data!$D$18+$E184*(1-Data!$D$18)*Data!$D$14)/(1000*(1-Data!$D$18)*Data!$D$14))&gt;ChemData!U184, ChemData!U184,H184/((Data!$D$18+$E184*(1-Data!$D$18)*Data!$D$14)/(1000*(1-Data!$D$18)*Data!$D$14)))))))))),"---")</f>
        <v>NA</v>
      </c>
      <c r="J184" s="870" t="str">
        <f>IF(Start!$C$17="x",IF(OR(I184="NA",I184="",ChemData!W184="NA",ChemData!W184=""),"NA",I184/ChemData!W184),"---")</f>
        <v>NA</v>
      </c>
      <c r="K184" s="870" t="str">
        <f>IF(Start!$C$17="x",IF(J184="NA","NA",IF(Data!$D$68&lt;ChemData!X184,J184*(Data!$D$68/ChemData!X184),J184)),"---")</f>
        <v>NA</v>
      </c>
      <c r="L184" s="870" t="str">
        <f>IF(Start!$C$17="x",IF(OR(I184="NA",I184="",ChemData!Z184="NA",ChemData!Z184=""),"NA",I184/ChemData!Z184),"---")</f>
        <v>NA</v>
      </c>
      <c r="M184" s="870" t="str">
        <f>IF(Start!$C$17="x",IF(OR(I184="NA",I184="",ChemData!Y184="NA",ChemData!Y184=""),"NA",I184/ChemData!Y184),"---")</f>
        <v>NA</v>
      </c>
      <c r="N184" s="870" t="str">
        <f>IF(Start!$C$17="x",IF(OR(I184="NA",I184="",G184="NA",G184=""),"NA",I184/G184),"---")</f>
        <v>NA</v>
      </c>
      <c r="O184" s="794" t="str">
        <f>IF(Start!$C$17="x",(IF(C184="","",(IF(N184="NA","NA",IF(D184="NA","NA",IF(D184=0,"NA",(N184/D184))))))),"Not Req.")</f>
        <v/>
      </c>
    </row>
    <row r="185" spans="1:15" s="10" customFormat="1" x14ac:dyDescent="0.25">
      <c r="A185" s="405" t="s">
        <v>503</v>
      </c>
      <c r="B185" s="868" t="str">
        <f>IF(Start!$C$17="x",(IF($C185="NA","NA",(IF(C185="","",(IF(AND(N185="NA",C185&lt;&gt;"NA",D185&lt;&gt;"NA"),"Missing Data",(IF(OR(D185 = "NA",D185=""),"No Criteria",(IF(N185&lt;D185,IF(OR(I185&lt;D185,ChemData!AA185&lt;&gt;""),"No-1",IF(M185&lt;D185,"No-2","No-3")),"Needed")))))))))),"---")</f>
        <v/>
      </c>
      <c r="C185" s="426" t="str">
        <f>IF(TRUE=ISBLANK(ChemData!B185),"",(ChemData!B185))</f>
        <v/>
      </c>
      <c r="D185" s="289">
        <f>IF(TRUE=ISBLANK(ChemData!J185),"",(ChemData!J185))</f>
        <v>1200</v>
      </c>
      <c r="E185" s="290">
        <f>IF(TRUE=ISBLANK(ChemData!Q185),"",(ChemData!Q185))</f>
        <v>2.1747353741930686</v>
      </c>
      <c r="F185" s="290">
        <f>IF(TRUE=ISBLANK(ChemData!S185),"",(ChemData!S185))</f>
        <v>1</v>
      </c>
      <c r="G185" s="865">
        <f>IF(OR(TRUE=ISBLANK(ChemData!AA185),ChemData!AA185="NA",ChemData!AA185=0),ChemData!Z185,(ChemData!AA185))</f>
        <v>6.8495741227413944</v>
      </c>
      <c r="H185" s="685" t="str">
        <f>IF(Start!$C$17="x",(IF(OR(C185="NA",C185=""),"NA",IF(OR(F185="NA",F185="",F185=0),"NA",C185*F185))),"---")</f>
        <v>NA</v>
      </c>
      <c r="I185" s="376" t="str">
        <f>IF(Start!$C$17="x",(IF($E185 = "NA", "NA", (IF(H185 = "NA", "NA",(IF(OR(ChemData!U185="NA",ChemData!U185=""),H185/((Data!$D$18+$E185*(1-Data!$D$18)*Data!$D$14)/(1000*(1-Data!$D$18)*Data!$D$14)),(IF(H185/((Data!$D$18+$E185*(1-Data!$D$18)*Data!$D$14)/(1000*(1-Data!$D$18)*Data!$D$14))&gt;ChemData!U185, ChemData!U185,H185/((Data!$D$18+$E185*(1-Data!$D$18)*Data!$D$14)/(1000*(1-Data!$D$18)*Data!$D$14)))))))))),"---")</f>
        <v>NA</v>
      </c>
      <c r="J185" s="870" t="str">
        <f>IF(Start!$C$17="x",IF(OR(I185="NA",I185="",ChemData!W185="NA",ChemData!W185=""),"NA",I185/ChemData!W185),"---")</f>
        <v>NA</v>
      </c>
      <c r="K185" s="870" t="str">
        <f>IF(Start!$C$17="x",IF(J185="NA","NA",IF(Data!$D$68&lt;ChemData!X185,J185*(Data!$D$68/ChemData!X185),J185)),"---")</f>
        <v>NA</v>
      </c>
      <c r="L185" s="870" t="str">
        <f>IF(Start!$C$17="x",IF(OR(I185="NA",I185="",ChemData!Z185="NA",ChemData!Z185=""),"NA",I185/ChemData!Z185),"---")</f>
        <v>NA</v>
      </c>
      <c r="M185" s="870" t="str">
        <f>IF(Start!$C$17="x",IF(OR(I185="NA",I185="",ChemData!Y185="NA",ChemData!Y185=""),"NA",I185/ChemData!Y185),"---")</f>
        <v>NA</v>
      </c>
      <c r="N185" s="870" t="str">
        <f>IF(Start!$C$17="x",IF(OR(I185="NA",I185="",G185="NA",G185=""),"NA",I185/G185),"---")</f>
        <v>NA</v>
      </c>
      <c r="O185" s="794" t="str">
        <f>IF(Start!$C$17="x",(IF(C185="","",(IF(N185="NA","NA",IF(D185="NA","NA",IF(D185=0,"NA",(N185/D185))))))),"Not Req.")</f>
        <v/>
      </c>
    </row>
    <row r="186" spans="1:15" s="10" customFormat="1" x14ac:dyDescent="0.25">
      <c r="A186" s="405" t="s">
        <v>504</v>
      </c>
      <c r="B186" s="868" t="str">
        <f>IF(Start!$C$17="x",(IF($C186="NA","NA",(IF(C186="","",(IF(AND(N186="NA",C186&lt;&gt;"NA",D186&lt;&gt;"NA"),"Missing Data",(IF(OR(D186 = "NA",D186=""),"No Criteria",(IF(N186&lt;D186,IF(OR(I186&lt;D186,ChemData!AA186&lt;&gt;""),"No-1",IF(M186&lt;D186,"No-2","No-3")),"Needed")))))))))),"---")</f>
        <v/>
      </c>
      <c r="C186" s="426" t="str">
        <f>IF(TRUE=ISBLANK(ChemData!B186),"",(ChemData!B186))</f>
        <v/>
      </c>
      <c r="D186" s="289" t="str">
        <f>IF(TRUE=ISBLANK(ChemData!J186),"",(ChemData!J186))</f>
        <v>NA</v>
      </c>
      <c r="E186" s="290">
        <f>IF(TRUE=ISBLANK(ChemData!Q186),"",(ChemData!Q186))</f>
        <v>26.755090156507144</v>
      </c>
      <c r="F186" s="290">
        <f>IF(TRUE=ISBLANK(ChemData!S186),"",(ChemData!S186))</f>
        <v>1</v>
      </c>
      <c r="G186" s="865">
        <f>IF(OR(TRUE=ISBLANK(ChemData!AA186),ChemData!AA186="NA",ChemData!AA186=0),ChemData!Z186,(ChemData!AA186))</f>
        <v>99.367084942099552</v>
      </c>
      <c r="H186" s="685" t="str">
        <f>IF(Start!$C$17="x",(IF(OR(C186="NA",C186=""),"NA",IF(OR(F186="NA",F186="",F186=0),"NA",C186*F186))),"---")</f>
        <v>NA</v>
      </c>
      <c r="I186" s="376" t="str">
        <f>IF(Start!$C$17="x",(IF($E186 = "NA", "NA", (IF(H186 = "NA", "NA",(IF(OR(ChemData!U186="NA",ChemData!U186=""),H186/((Data!$D$18+$E186*(1-Data!$D$18)*Data!$D$14)/(1000*(1-Data!$D$18)*Data!$D$14)),(IF(H186/((Data!$D$18+$E186*(1-Data!$D$18)*Data!$D$14)/(1000*(1-Data!$D$18)*Data!$D$14))&gt;ChemData!U186, ChemData!U186,H186/((Data!$D$18+$E186*(1-Data!$D$18)*Data!$D$14)/(1000*(1-Data!$D$18)*Data!$D$14)))))))))),"---")</f>
        <v>NA</v>
      </c>
      <c r="J186" s="870" t="str">
        <f>IF(Start!$C$17="x",IF(OR(I186="NA",I186="",ChemData!W186="NA",ChemData!W186=""),"NA",I186/ChemData!W186),"---")</f>
        <v>NA</v>
      </c>
      <c r="K186" s="870" t="str">
        <f>IF(Start!$C$17="x",IF(J186="NA","NA",IF(Data!$D$68&lt;ChemData!X186,J186*(Data!$D$68/ChemData!X186),J186)),"---")</f>
        <v>NA</v>
      </c>
      <c r="L186" s="870" t="str">
        <f>IF(Start!$C$17="x",IF(OR(I186="NA",I186="",ChemData!Z186="NA",ChemData!Z186=""),"NA",I186/ChemData!Z186),"---")</f>
        <v>NA</v>
      </c>
      <c r="M186" s="870" t="str">
        <f>IF(Start!$C$17="x",IF(OR(I186="NA",I186="",ChemData!Y186="NA",ChemData!Y186=""),"NA",I186/ChemData!Y186),"---")</f>
        <v>NA</v>
      </c>
      <c r="N186" s="870" t="str">
        <f>IF(Start!$C$17="x",IF(OR(I186="NA",I186="",G186="NA",G186=""),"NA",I186/G186),"---")</f>
        <v>NA</v>
      </c>
      <c r="O186" s="794" t="str">
        <f>IF(Start!$C$17="x",(IF(C186="","",(IF(N186="NA","NA",IF(D186="NA","NA",IF(D186=0,"NA",(N186/D186))))))),"Not Req.")</f>
        <v/>
      </c>
    </row>
    <row r="187" spans="1:15" s="10" customFormat="1" x14ac:dyDescent="0.25">
      <c r="A187" s="405" t="s">
        <v>681</v>
      </c>
      <c r="B187" s="868" t="str">
        <f>IF(Start!$C$17="x",(IF($C187="NA","NA",(IF(C187="","",(IF(AND(N187="NA",C187&lt;&gt;"NA",D187&lt;&gt;"NA"),"Missing Data",(IF(OR(D187 = "NA",D187=""),"No Criteria",(IF(N187&lt;D187,IF(OR(I187&lt;D187,ChemData!AA187&lt;&gt;""),"No-1",IF(M187&lt;D187,"No-2","No-3")),"Needed")))))))))),"---")</f>
        <v/>
      </c>
      <c r="C187" s="426" t="str">
        <f>IF(TRUE=ISBLANK(ChemData!B187),"",(ChemData!B187))</f>
        <v/>
      </c>
      <c r="D187" s="289">
        <f>IF(TRUE=ISBLANK(ChemData!J187),"",(ChemData!J187))</f>
        <v>47</v>
      </c>
      <c r="E187" s="290">
        <f>IF(TRUE=ISBLANK(ChemData!Q187),"",(ChemData!Q187))</f>
        <v>6.2720053301366372</v>
      </c>
      <c r="F187" s="290">
        <f>IF(TRUE=ISBLANK(ChemData!S187),"",(ChemData!S187))</f>
        <v>1</v>
      </c>
      <c r="G187" s="865">
        <f>IF(OR(TRUE=ISBLANK(ChemData!AA187),ChemData!AA187="NA",ChemData!AA187=0),ChemData!Z187,(ChemData!AA187))</f>
        <v>11.804550334102512</v>
      </c>
      <c r="H187" s="685" t="str">
        <f>IF(Start!$C$17="x",(IF(OR(C187="NA",C187=""),"NA",IF(OR(F187="NA",F187="",F187=0),"NA",C187*F187))),"---")</f>
        <v>NA</v>
      </c>
      <c r="I187" s="376" t="str">
        <f>IF(Start!$C$17="x",(IF($E187 = "NA", "NA", (IF(H187 = "NA", "NA",(IF(OR(ChemData!U187="NA",ChemData!U187=""),H187/((Data!$D$18+$E187*(1-Data!$D$18)*Data!$D$14)/(1000*(1-Data!$D$18)*Data!$D$14)),(IF(H187/((Data!$D$18+$E187*(1-Data!$D$18)*Data!$D$14)/(1000*(1-Data!$D$18)*Data!$D$14))&gt;ChemData!U187, ChemData!U187,H187/((Data!$D$18+$E187*(1-Data!$D$18)*Data!$D$14)/(1000*(1-Data!$D$18)*Data!$D$14)))))))))),"---")</f>
        <v>NA</v>
      </c>
      <c r="J187" s="870" t="str">
        <f>IF(Start!$C$17="x",IF(OR(I187="NA",I187="",ChemData!W187="NA",ChemData!W187=""),"NA",I187/ChemData!W187),"---")</f>
        <v>NA</v>
      </c>
      <c r="K187" s="870" t="str">
        <f>IF(Start!$C$17="x",IF(J187="NA","NA",IF(Data!$D$68&lt;ChemData!X187,J187*(Data!$D$68/ChemData!X187),J187)),"---")</f>
        <v>NA</v>
      </c>
      <c r="L187" s="870" t="str">
        <f>IF(Start!$C$17="x",IF(OR(I187="NA",I187="",ChemData!Z187="NA",ChemData!Z187=""),"NA",I187/ChemData!Z187),"---")</f>
        <v>NA</v>
      </c>
      <c r="M187" s="870" t="str">
        <f>IF(Start!$C$17="x",IF(OR(I187="NA",I187="",ChemData!Y187="NA",ChemData!Y187=""),"NA",I187/ChemData!Y187),"---")</f>
        <v>NA</v>
      </c>
      <c r="N187" s="870" t="str">
        <f>IF(Start!$C$17="x",IF(OR(I187="NA",I187="",G187="NA",G187=""),"NA",I187/G187),"---")</f>
        <v>NA</v>
      </c>
      <c r="O187" s="794" t="str">
        <f>IF(Start!$C$17="x",(IF(C187="","",(IF(N187="NA","NA",IF(D187="NA","NA",IF(D187=0,"NA",(N187/D187))))))),"Not Req.")</f>
        <v/>
      </c>
    </row>
    <row r="188" spans="1:15" s="10" customFormat="1" x14ac:dyDescent="0.25">
      <c r="A188" s="405" t="s">
        <v>682</v>
      </c>
      <c r="B188" s="868" t="str">
        <f>IF(Start!$C$17="x",(IF($C188="NA","NA",(IF(C188="","",(IF(AND(N188="NA",C188&lt;&gt;"NA",D188&lt;&gt;"NA"),"Missing Data",(IF(OR(D188 = "NA",D188=""),"No Criteria",(IF(N188&lt;D188,IF(OR(I188&lt;D188,ChemData!AA188&lt;&gt;""),"No-1",IF(M188&lt;D188,"No-2","No-3")),"Needed")))))))))),"---")</f>
        <v/>
      </c>
      <c r="C188" s="426" t="str">
        <f>IF(TRUE=ISBLANK(ChemData!B188),"",(ChemData!B188))</f>
        <v/>
      </c>
      <c r="D188" s="289" t="str">
        <f>IF(TRUE=ISBLANK(ChemData!J188),"",(ChemData!J188))</f>
        <v>NA</v>
      </c>
      <c r="E188" s="290">
        <f>IF(TRUE=ISBLANK(ChemData!Q188),"",(ChemData!Q188))</f>
        <v>6.129237058642766</v>
      </c>
      <c r="F188" s="290">
        <f>IF(TRUE=ISBLANK(ChemData!S188),"",(ChemData!S188))</f>
        <v>1</v>
      </c>
      <c r="G188" s="865">
        <f>IF(OR(TRUE=ISBLANK(ChemData!AA188),ChemData!AA188="NA",ChemData!AA188=0),ChemData!Z188,(ChemData!AA188))</f>
        <v>11.412054671311855</v>
      </c>
      <c r="H188" s="685" t="str">
        <f>IF(Start!$C$17="x",(IF(OR(C188="NA",C188=""),"NA",IF(OR(F188="NA",F188="",F188=0),"NA",C188*F188))),"---")</f>
        <v>NA</v>
      </c>
      <c r="I188" s="376" t="str">
        <f>IF(Start!$C$17="x",(IF($E188 = "NA", "NA", (IF(H188 = "NA", "NA",(IF(OR(ChemData!U188="NA",ChemData!U188=""),H188/((Data!$D$18+$E188*(1-Data!$D$18)*Data!$D$14)/(1000*(1-Data!$D$18)*Data!$D$14)),(IF(H188/((Data!$D$18+$E188*(1-Data!$D$18)*Data!$D$14)/(1000*(1-Data!$D$18)*Data!$D$14))&gt;ChemData!U188, ChemData!U188,H188/((Data!$D$18+$E188*(1-Data!$D$18)*Data!$D$14)/(1000*(1-Data!$D$18)*Data!$D$14)))))))))),"---")</f>
        <v>NA</v>
      </c>
      <c r="J188" s="870" t="str">
        <f>IF(Start!$C$17="x",IF(OR(I188="NA",I188="",ChemData!W188="NA",ChemData!W188=""),"NA",I188/ChemData!W188),"---")</f>
        <v>NA</v>
      </c>
      <c r="K188" s="870" t="str">
        <f>IF(Start!$C$17="x",IF(J188="NA","NA",IF(Data!$D$68&lt;ChemData!X188,J188*(Data!$D$68/ChemData!X188),J188)),"---")</f>
        <v>NA</v>
      </c>
      <c r="L188" s="870" t="str">
        <f>IF(Start!$C$17="x",IF(OR(I188="NA",I188="",ChemData!Z188="NA",ChemData!Z188=""),"NA",I188/ChemData!Z188),"---")</f>
        <v>NA</v>
      </c>
      <c r="M188" s="870" t="str">
        <f>IF(Start!$C$17="x",IF(OR(I188="NA",I188="",ChemData!Y188="NA",ChemData!Y188=""),"NA",I188/ChemData!Y188),"---")</f>
        <v>NA</v>
      </c>
      <c r="N188" s="870" t="str">
        <f>IF(Start!$C$17="x",IF(OR(I188="NA",I188="",G188="NA",G188=""),"NA",I188/G188),"---")</f>
        <v>NA</v>
      </c>
      <c r="O188" s="794" t="str">
        <f>IF(Start!$C$17="x",(IF(C188="","",(IF(N188="NA","NA",IF(D188="NA","NA",IF(D188=0,"NA",(N188/D188))))))),"Not Req.")</f>
        <v/>
      </c>
    </row>
    <row r="189" spans="1:15" s="10" customFormat="1" x14ac:dyDescent="0.25">
      <c r="A189" s="308" t="s">
        <v>507</v>
      </c>
      <c r="B189" s="868" t="str">
        <f>IF(Start!$C$17="x",(IF($C189="NA","NA",(IF(C189="","",(IF(AND(N189="NA",C189&lt;&gt;"NA",D189&lt;&gt;"NA"),"Missing Data",(IF(OR(D189 = "NA",D189=""),"No Criteria",(IF(N189&lt;D189,IF(OR(I189&lt;D189,ChemData!AA189&lt;&gt;""),"No-1",IF(M189&lt;D189,"No-2","No-3")),"Needed")))))))))),"---")</f>
        <v/>
      </c>
      <c r="C189" s="426" t="str">
        <f>IF(TRUE=ISBLANK(ChemData!B189),"",(ChemData!B189))</f>
        <v/>
      </c>
      <c r="D189" s="289">
        <f>IF(TRUE=ISBLANK(ChemData!J189),"",(ChemData!J189))</f>
        <v>16</v>
      </c>
      <c r="E189" s="290">
        <f>IF(TRUE=ISBLANK(ChemData!Q189),"",(ChemData!Q189))</f>
        <v>9.9404585508133803E-2</v>
      </c>
      <c r="F189" s="290">
        <f>IF(TRUE=ISBLANK(ChemData!S189),"",(ChemData!S189))</f>
        <v>1</v>
      </c>
      <c r="G189" s="865">
        <f>IF(OR(TRUE=ISBLANK(ChemData!AA189),ChemData!AA189="NA",ChemData!AA189=0),ChemData!Z189,(ChemData!AA189))</f>
        <v>6.8495741227413944</v>
      </c>
      <c r="H189" s="685" t="str">
        <f>IF(Start!$C$17="x",(IF(OR(C189="NA",C189=""),"NA",IF(OR(F189="NA",F189="",F189=0),"NA",C189*F189))),"---")</f>
        <v>NA</v>
      </c>
      <c r="I189" s="376" t="str">
        <f>IF(Start!$C$17="x",(IF($E189 = "NA", "NA", (IF(H189 = "NA", "NA",(IF(OR(ChemData!U189="NA",ChemData!U189=""),H189/((Data!$D$18+$E189*(1-Data!$D$18)*Data!$D$14)/(1000*(1-Data!$D$18)*Data!$D$14)),(IF(H189/((Data!$D$18+$E189*(1-Data!$D$18)*Data!$D$14)/(1000*(1-Data!$D$18)*Data!$D$14))&gt;ChemData!U189, ChemData!U189,H189/((Data!$D$18+$E189*(1-Data!$D$18)*Data!$D$14)/(1000*(1-Data!$D$18)*Data!$D$14)))))))))),"---")</f>
        <v>NA</v>
      </c>
      <c r="J189" s="870" t="str">
        <f>IF(Start!$C$17="x",IF(OR(I189="NA",I189="",ChemData!W189="NA",ChemData!W189=""),"NA",I189/ChemData!W189),"---")</f>
        <v>NA</v>
      </c>
      <c r="K189" s="870" t="str">
        <f>IF(Start!$C$17="x",IF(J189="NA","NA",IF(Data!$D$68&lt;ChemData!X189,J189*(Data!$D$68/ChemData!X189),J189)),"---")</f>
        <v>NA</v>
      </c>
      <c r="L189" s="870" t="str">
        <f>IF(Start!$C$17="x",IF(OR(I189="NA",I189="",ChemData!Z189="NA",ChemData!Z189=""),"NA",I189/ChemData!Z189),"---")</f>
        <v>NA</v>
      </c>
      <c r="M189" s="870" t="str">
        <f>IF(Start!$C$17="x",IF(OR(I189="NA",I189="",ChemData!Y189="NA",ChemData!Y189=""),"NA",I189/ChemData!Y189),"---")</f>
        <v>NA</v>
      </c>
      <c r="N189" s="870" t="str">
        <f>IF(Start!$C$17="x",IF(OR(I189="NA",I189="",G189="NA",G189=""),"NA",I189/G189),"---")</f>
        <v>NA</v>
      </c>
      <c r="O189" s="794" t="str">
        <f>IF(Start!$C$17="x",(IF(C189="","",(IF(N189="NA","NA",IF(D189="NA","NA",IF(D189=0,"NA",(N189/D189))))))),"Not Req.")</f>
        <v/>
      </c>
    </row>
    <row r="190" spans="1:15" s="10" customFormat="1" x14ac:dyDescent="0.25">
      <c r="A190" s="405" t="s">
        <v>508</v>
      </c>
      <c r="B190" s="868" t="str">
        <f>IF(Start!$C$17="x",(IF($C190="NA","NA",(IF(C190="","",(IF(AND(N190="NA",C190&lt;&gt;"NA",D190&lt;&gt;"NA"),"Missing Data",(IF(OR(D190 = "NA",D190=""),"No Criteria",(IF(N190&lt;D190,IF(OR(I190&lt;D190,ChemData!AA190&lt;&gt;""),"No-1",IF(M190&lt;D190,"No-2","No-3")),"Needed")))))))))),"---")</f>
        <v/>
      </c>
      <c r="C190" s="426" t="str">
        <f>IF(TRUE=ISBLANK(ChemData!B190),"",(ChemData!B190))</f>
        <v/>
      </c>
      <c r="D190" s="289" t="str">
        <f>IF(TRUE=ISBLANK(ChemData!J190),"",(ChemData!J190))</f>
        <v>NA</v>
      </c>
      <c r="E190" s="290">
        <f>IF(TRUE=ISBLANK(ChemData!Q190),"",(ChemData!Q190))</f>
        <v>0.31434490007066895</v>
      </c>
      <c r="F190" s="290">
        <f>IF(TRUE=ISBLANK(ChemData!S190),"",(ChemData!S190))</f>
        <v>1</v>
      </c>
      <c r="G190" s="865">
        <f>IF(OR(TRUE=ISBLANK(ChemData!AA190),ChemData!AA190="NA",ChemData!AA190=0),ChemData!Z190,(ChemData!AA190))</f>
        <v>6.8495741227413944</v>
      </c>
      <c r="H190" s="685" t="str">
        <f>IF(Start!$C$17="x",(IF(OR(C190="NA",C190=""),"NA",IF(OR(F190="NA",F190="",F190=0),"NA",C190*F190))),"---")</f>
        <v>NA</v>
      </c>
      <c r="I190" s="376" t="str">
        <f>IF(Start!$C$17="x",(IF($E190 = "NA", "NA", (IF(H190 = "NA", "NA",(IF(OR(ChemData!U190="NA",ChemData!U190=""),H190/((Data!$D$18+$E190*(1-Data!$D$18)*Data!$D$14)/(1000*(1-Data!$D$18)*Data!$D$14)),(IF(H190/((Data!$D$18+$E190*(1-Data!$D$18)*Data!$D$14)/(1000*(1-Data!$D$18)*Data!$D$14))&gt;ChemData!U190, ChemData!U190,H190/((Data!$D$18+$E190*(1-Data!$D$18)*Data!$D$14)/(1000*(1-Data!$D$18)*Data!$D$14)))))))))),"---")</f>
        <v>NA</v>
      </c>
      <c r="J190" s="870" t="str">
        <f>IF(Start!$C$17="x",IF(OR(I190="NA",I190="",ChemData!W190="NA",ChemData!W190=""),"NA",I190/ChemData!W190),"---")</f>
        <v>NA</v>
      </c>
      <c r="K190" s="870" t="str">
        <f>IF(Start!$C$17="x",IF(J190="NA","NA",IF(Data!$D$68&lt;ChemData!X190,J190*(Data!$D$68/ChemData!X190),J190)),"---")</f>
        <v>NA</v>
      </c>
      <c r="L190" s="870" t="str">
        <f>IF(Start!$C$17="x",IF(OR(I190="NA",I190="",ChemData!Z190="NA",ChemData!Z190=""),"NA",I190/ChemData!Z190),"---")</f>
        <v>NA</v>
      </c>
      <c r="M190" s="870" t="str">
        <f>IF(Start!$C$17="x",IF(OR(I190="NA",I190="",ChemData!Y190="NA",ChemData!Y190=""),"NA",I190/ChemData!Y190),"---")</f>
        <v>NA</v>
      </c>
      <c r="N190" s="870" t="str">
        <f>IF(Start!$C$17="x",IF(OR(I190="NA",I190="",G190="NA",G190=""),"NA",I190/G190),"---")</f>
        <v>NA</v>
      </c>
      <c r="O190" s="794" t="str">
        <f>IF(Start!$C$17="x",(IF(C190="","",(IF(N190="NA","NA",IF(D190="NA","NA",IF(D190=0,"NA",(N190/D190))))))),"Not Req.")</f>
        <v/>
      </c>
    </row>
    <row r="191" spans="1:15" s="10" customFormat="1" x14ac:dyDescent="0.25">
      <c r="A191" s="405" t="s">
        <v>509</v>
      </c>
      <c r="B191" s="868" t="str">
        <f>IF(Start!$C$17="x",(IF($C191="NA","NA",(IF(C191="","",(IF(AND(N191="NA",C191&lt;&gt;"NA",D191&lt;&gt;"NA"),"Missing Data",(IF(OR(D191 = "NA",D191=""),"No Criteria",(IF(N191&lt;D191,IF(OR(I191&lt;D191,ChemData!AA191&lt;&gt;""),"No-1",IF(M191&lt;D191,"No-2","No-3")),"Needed")))))))))),"---")</f>
        <v/>
      </c>
      <c r="C191" s="426" t="str">
        <f>IF(TRUE=ISBLANK(ChemData!B191),"",(ChemData!B191))</f>
        <v/>
      </c>
      <c r="D191" s="289">
        <f>IF(TRUE=ISBLANK(ChemData!J191),"",(ChemData!J191))</f>
        <v>1.8</v>
      </c>
      <c r="E191" s="290">
        <f>IF(TRUE=ISBLANK(ChemData!Q191),"",(ChemData!Q191))</f>
        <v>27.378296264993541</v>
      </c>
      <c r="F191" s="290">
        <f>IF(TRUE=ISBLANK(ChemData!S191),"",(ChemData!S191))</f>
        <v>1</v>
      </c>
      <c r="G191" s="865">
        <f>IF(OR(TRUE=ISBLANK(ChemData!AA191),ChemData!AA191="NA",ChemData!AA191=0),ChemData!Z191,(ChemData!AA191))</f>
        <v>102.78462463913314</v>
      </c>
      <c r="H191" s="685" t="str">
        <f>IF(Start!$C$17="x",(IF(OR(C191="NA",C191=""),"NA",IF(OR(F191="NA",F191="",F191=0),"NA",C191*F191))),"---")</f>
        <v>NA</v>
      </c>
      <c r="I191" s="376" t="str">
        <f>IF(Start!$C$17="x",(IF($E191 = "NA", "NA", (IF(H191 = "NA", "NA",(IF(OR(ChemData!U191="NA",ChemData!U191=""),H191/((Data!$D$18+$E191*(1-Data!$D$18)*Data!$D$14)/(1000*(1-Data!$D$18)*Data!$D$14)),(IF(H191/((Data!$D$18+$E191*(1-Data!$D$18)*Data!$D$14)/(1000*(1-Data!$D$18)*Data!$D$14))&gt;ChemData!U191, ChemData!U191,H191/((Data!$D$18+$E191*(1-Data!$D$18)*Data!$D$14)/(1000*(1-Data!$D$18)*Data!$D$14)))))))))),"---")</f>
        <v>NA</v>
      </c>
      <c r="J191" s="870" t="str">
        <f>IF(Start!$C$17="x",IF(OR(I191="NA",I191="",ChemData!W191="NA",ChemData!W191=""),"NA",I191/ChemData!W191),"---")</f>
        <v>NA</v>
      </c>
      <c r="K191" s="870" t="str">
        <f>IF(Start!$C$17="x",IF(J191="NA","NA",IF(Data!$D$68&lt;ChemData!X191,J191*(Data!$D$68/ChemData!X191),J191)),"---")</f>
        <v>NA</v>
      </c>
      <c r="L191" s="870" t="str">
        <f>IF(Start!$C$17="x",IF(OR(I191="NA",I191="",ChemData!Z191="NA",ChemData!Z191=""),"NA",I191/ChemData!Z191),"---")</f>
        <v>NA</v>
      </c>
      <c r="M191" s="870" t="str">
        <f>IF(Start!$C$17="x",IF(OR(I191="NA",I191="",ChemData!Y191="NA",ChemData!Y191=""),"NA",I191/ChemData!Y191),"---")</f>
        <v>NA</v>
      </c>
      <c r="N191" s="870" t="str">
        <f>IF(Start!$C$17="x",IF(OR(I191="NA",I191="",G191="NA",G191=""),"NA",I191/G191),"---")</f>
        <v>NA</v>
      </c>
      <c r="O191" s="794" t="str">
        <f>IF(Start!$C$17="x",(IF(C191="","",(IF(N191="NA","NA",IF(D191="NA","NA",IF(D191=0,"NA",(N191/D191))))))),"Not Req.")</f>
        <v/>
      </c>
    </row>
    <row r="192" spans="1:15" s="10" customFormat="1" x14ac:dyDescent="0.25">
      <c r="A192" s="405" t="s">
        <v>510</v>
      </c>
      <c r="B192" s="868" t="str">
        <f>IF(Start!$C$17="x",(IF($C192="NA","NA",(IF(C192="","",(IF(AND(N192="NA",C192&lt;&gt;"NA",D192&lt;&gt;"NA"),"Missing Data",(IF(OR(D192 = "NA",D192=""),"No Criteria",(IF(N192&lt;D192,IF(OR(I192&lt;D192,ChemData!AA192&lt;&gt;""),"No-1",IF(M192&lt;D192,"No-2","No-3")),"Needed")))))))))),"---")</f>
        <v/>
      </c>
      <c r="C192" s="426" t="str">
        <f>IF(TRUE=ISBLANK(ChemData!B192),"",(ChemData!B192))</f>
        <v/>
      </c>
      <c r="D192" s="289" t="str">
        <f>IF(TRUE=ISBLANK(ChemData!J192),"",(ChemData!J192))</f>
        <v>NA</v>
      </c>
      <c r="E192" s="290">
        <f>IF(TRUE=ISBLANK(ChemData!Q192),"",(ChemData!Q192))</f>
        <v>26.146069950967185</v>
      </c>
      <c r="F192" s="290">
        <f>IF(TRUE=ISBLANK(ChemData!S192),"",(ChemData!S192))</f>
        <v>1</v>
      </c>
      <c r="G192" s="865">
        <f>IF(OR(TRUE=ISBLANK(ChemData!AA192),ChemData!AA192="NA",ChemData!AA192=0),ChemData!Z192,(ChemData!AA192))</f>
        <v>96.063176808364346</v>
      </c>
      <c r="H192" s="685" t="str">
        <f>IF(Start!$C$17="x",(IF(OR(C192="NA",C192=""),"NA",IF(OR(F192="NA",F192="",F192=0),"NA",C192*F192))),"---")</f>
        <v>NA</v>
      </c>
      <c r="I192" s="376" t="str">
        <f>IF(Start!$C$17="x",(IF($E192 = "NA", "NA", (IF(H192 = "NA", "NA",(IF(OR(ChemData!U192="NA",ChemData!U192=""),H192/((Data!$D$18+$E192*(1-Data!$D$18)*Data!$D$14)/(1000*(1-Data!$D$18)*Data!$D$14)),(IF(H192/((Data!$D$18+$E192*(1-Data!$D$18)*Data!$D$14)/(1000*(1-Data!$D$18)*Data!$D$14))&gt;ChemData!U192, ChemData!U192,H192/((Data!$D$18+$E192*(1-Data!$D$18)*Data!$D$14)/(1000*(1-Data!$D$18)*Data!$D$14)))))))))),"---")</f>
        <v>NA</v>
      </c>
      <c r="J192" s="870" t="str">
        <f>IF(Start!$C$17="x",IF(OR(I192="NA",I192="",ChemData!W192="NA",ChemData!W192=""),"NA",I192/ChemData!W192),"---")</f>
        <v>NA</v>
      </c>
      <c r="K192" s="870" t="str">
        <f>IF(Start!$C$17="x",IF(J192="NA","NA",IF(Data!$D$68&lt;ChemData!X192,J192*(Data!$D$68/ChemData!X192),J192)),"---")</f>
        <v>NA</v>
      </c>
      <c r="L192" s="870" t="str">
        <f>IF(Start!$C$17="x",IF(OR(I192="NA",I192="",ChemData!Z192="NA",ChemData!Z192=""),"NA",I192/ChemData!Z192),"---")</f>
        <v>NA</v>
      </c>
      <c r="M192" s="870" t="str">
        <f>IF(Start!$C$17="x",IF(OR(I192="NA",I192="",ChemData!Y192="NA",ChemData!Y192=""),"NA",I192/ChemData!Y192),"---")</f>
        <v>NA</v>
      </c>
      <c r="N192" s="870" t="str">
        <f>IF(Start!$C$17="x",IF(OR(I192="NA",I192="",G192="NA",G192=""),"NA",I192/G192),"---")</f>
        <v>NA</v>
      </c>
      <c r="O192" s="794" t="str">
        <f>IF(Start!$C$17="x",(IF(C192="","",(IF(N192="NA","NA",IF(D192="NA","NA",IF(D192=0,"NA",(N192/D192))))))),"Not Req.")</f>
        <v/>
      </c>
    </row>
    <row r="193" spans="1:15" s="10" customFormat="1" ht="13.8" thickBot="1" x14ac:dyDescent="0.3">
      <c r="A193" s="405" t="s">
        <v>511</v>
      </c>
      <c r="B193" s="868" t="str">
        <f>IF(Start!$C$17="x",(IF($C193="NA","NA",(IF(C193="","",(IF(AND(N193="NA",C193&lt;&gt;"NA",D193&lt;&gt;"NA"),"Missing Data",(IF(OR(D193 = "NA",D193=""),"No Criteria",(IF(N193&lt;D193,IF(OR(I193&lt;D193,ChemData!AA193&lt;&gt;""),"No-1",IF(M193&lt;D193,"No-2","No-3")),"Needed")))))))))),"---")</f>
        <v/>
      </c>
      <c r="C193" s="426" t="str">
        <f>IF(TRUE=ISBLANK(ChemData!B193),"",(ChemData!B193))</f>
        <v/>
      </c>
      <c r="D193" s="289">
        <f>IF(TRUE=ISBLANK(ChemData!J193),"",(ChemData!J193))</f>
        <v>13</v>
      </c>
      <c r="E193" s="290">
        <f>IF(TRUE=ISBLANK(ChemData!Q193),"",(ChemData!Q193))</f>
        <v>24.400932230679128</v>
      </c>
      <c r="F193" s="290">
        <f>IF(TRUE=ISBLANK(ChemData!S193),"",(ChemData!S193))</f>
        <v>1</v>
      </c>
      <c r="G193" s="865">
        <f>IF(OR(TRUE=ISBLANK(ChemData!AA193),ChemData!AA193="NA",ChemData!AA193=0),ChemData!Z193,(ChemData!AA193))</f>
        <v>86.796083773689048</v>
      </c>
      <c r="H193" s="685" t="str">
        <f>IF(Start!$C$17="x",(IF(OR(C193="NA",C193=""),"NA",IF(OR(F193="NA",F193="",F193=0),"NA",C193*F193))),"---")</f>
        <v>NA</v>
      </c>
      <c r="I193" s="376" t="str">
        <f>IF(Start!$C$17="x",(IF($E193 = "NA", "NA", (IF(H193 = "NA", "NA",(IF(OR(ChemData!U193="NA",ChemData!U193=""),H193/((Data!$D$18+$E193*(1-Data!$D$18)*Data!$D$14)/(1000*(1-Data!$D$18)*Data!$D$14)),(IF(H193/((Data!$D$18+$E193*(1-Data!$D$18)*Data!$D$14)/(1000*(1-Data!$D$18)*Data!$D$14))&gt;ChemData!U193, ChemData!U193,H193/((Data!$D$18+$E193*(1-Data!$D$18)*Data!$D$14)/(1000*(1-Data!$D$18)*Data!$D$14)))))))))),"---")</f>
        <v>NA</v>
      </c>
      <c r="J193" s="870" t="str">
        <f>IF(Start!$C$17="x",IF(OR(I193="NA",I193="",ChemData!W193="NA",ChemData!W193=""),"NA",I193/ChemData!W193),"---")</f>
        <v>NA</v>
      </c>
      <c r="K193" s="870" t="str">
        <f>IF(Start!$C$17="x",IF(J193="NA","NA",IF(Data!$D$68&lt;ChemData!X193,J193*(Data!$D$68/ChemData!X193),J193)),"---")</f>
        <v>NA</v>
      </c>
      <c r="L193" s="870" t="str">
        <f>IF(Start!$C$17="x",IF(OR(I193="NA",I193="",ChemData!Z193="NA",ChemData!Z193=""),"NA",I193/ChemData!Z193),"---")</f>
        <v>NA</v>
      </c>
      <c r="M193" s="870" t="str">
        <f>IF(Start!$C$17="x",IF(OR(I193="NA",I193="",ChemData!Y193="NA",ChemData!Y193=""),"NA",I193/ChemData!Y193),"---")</f>
        <v>NA</v>
      </c>
      <c r="N193" s="870" t="str">
        <f>IF(Start!$C$17="x",IF(OR(I193="NA",I193="",G193="NA",G193=""),"NA",I193/G193),"---")</f>
        <v>NA</v>
      </c>
      <c r="O193" s="794" t="str">
        <f>IF(Start!$C$17="x",(IF(C193="","",(IF(N193="NA","NA",IF(D193="NA","NA",IF(D193=0,"NA",(N193/D193))))))),"Not Req.")</f>
        <v/>
      </c>
    </row>
    <row r="194" spans="1:15" s="10" customFormat="1" x14ac:dyDescent="0.25">
      <c r="A194" s="505" t="s">
        <v>512</v>
      </c>
      <c r="B194" s="527"/>
      <c r="C194" s="528"/>
      <c r="D194" s="511"/>
      <c r="E194" s="512"/>
      <c r="F194" s="512"/>
      <c r="G194" s="808"/>
      <c r="H194" s="511"/>
      <c r="I194" s="512"/>
      <c r="J194" s="534"/>
      <c r="K194" s="534"/>
      <c r="L194" s="534"/>
      <c r="M194" s="534"/>
      <c r="N194" s="534"/>
      <c r="O194" s="807"/>
    </row>
    <row r="195" spans="1:15" s="10" customFormat="1" x14ac:dyDescent="0.25">
      <c r="A195" s="307" t="s">
        <v>513</v>
      </c>
      <c r="B195" s="868" t="str">
        <f>IF(Start!$C$17="x",(IF($C195="NA","NA",(IF(C195="","",(IF(AND(N195="NA",C195&lt;&gt;"NA",D195&lt;&gt;"NA"),"Missing Data",(IF(OR(D195 = "NA",D195=""),"No Criteria",(IF(N195&lt;D195,IF(OR(I195&lt;D195,ChemData!AA195&lt;&gt;""),"No-1",IF(M195&lt;D195,"No-2","No-3")),"Needed")))))))))),"---")</f>
        <v/>
      </c>
      <c r="C195" s="426" t="str">
        <f>IF(TRUE=ISBLANK(ChemData!B195),"",(ChemData!B195))</f>
        <v/>
      </c>
      <c r="D195" s="289">
        <f>IF(TRUE=ISBLANK(ChemData!J195),"",(ChemData!J195))</f>
        <v>0.01</v>
      </c>
      <c r="E195" s="290">
        <f>IF(TRUE=ISBLANK(ChemData!Q195),"",(ChemData!Q195))</f>
        <v>9.2769756944408179</v>
      </c>
      <c r="F195" s="290">
        <f>IF(TRUE=ISBLANK(ChemData!S195),"",(ChemData!S195))</f>
        <v>1</v>
      </c>
      <c r="G195" s="865">
        <f>IF(OR(TRUE=ISBLANK(ChemData!AA195),ChemData!AA195="NA",ChemData!AA195=0),ChemData!Z195,(ChemData!AA195))</f>
        <v>20.975133303158206</v>
      </c>
      <c r="H195" s="685" t="str">
        <f>IF(Start!$C$17="x",(IF(OR(C195="NA",C195=""),"NA",IF(OR(F195="NA",F195="",F195=0),"NA",C195*F195))),"---")</f>
        <v>NA</v>
      </c>
      <c r="I195" s="376" t="str">
        <f>IF(Start!$C$17="x",(IF($E195 = "NA", "NA", (IF(H195 = "NA", "NA",(IF(OR(ChemData!U195="NA",ChemData!U195=""),H195/((Data!$D$18+$E195*(1-Data!$D$18)*Data!$D$14)/(1000*(1-Data!$D$18)*Data!$D$14)),(IF(H195/((Data!$D$18+$E195*(1-Data!$D$18)*Data!$D$14)/(1000*(1-Data!$D$18)*Data!$D$14))&gt;ChemData!U195, ChemData!U195,H195/((Data!$D$18+$E195*(1-Data!$D$18)*Data!$D$14)/(1000*(1-Data!$D$18)*Data!$D$14)))))))))),"---")</f>
        <v>NA</v>
      </c>
      <c r="J195" s="870" t="str">
        <f>IF(Start!$C$17="x",IF(OR(I195="NA",I195="",ChemData!W195="NA",ChemData!W195=""),"NA",I195/ChemData!W195),"---")</f>
        <v>NA</v>
      </c>
      <c r="K195" s="870" t="str">
        <f>IF(Start!$C$17="x",IF(J195="NA","NA",IF(Data!$D$68&lt;ChemData!X195,J195*(Data!$D$68/ChemData!X195),J195)),"---")</f>
        <v>NA</v>
      </c>
      <c r="L195" s="870" t="str">
        <f>IF(Start!$C$17="x",IF(OR(I195="NA",I195="",ChemData!Z195="NA",ChemData!Z195=""),"NA",I195/ChemData!Z195),"---")</f>
        <v>NA</v>
      </c>
      <c r="M195" s="870" t="str">
        <f>IF(Start!$C$17="x",IF(OR(I195="NA",I195="",ChemData!Y195="NA",ChemData!Y195=""),"NA",I195/ChemData!Y195),"---")</f>
        <v>NA</v>
      </c>
      <c r="N195" s="870" t="str">
        <f>IF(Start!$C$17="x",IF(OR(I195="NA",I195="",G195="NA",G195=""),"NA",I195/G195),"---")</f>
        <v>NA</v>
      </c>
      <c r="O195" s="794" t="str">
        <f>IF(Start!$C$17="x",(IF(C195="","",(IF(N195="NA","NA",IF(D195="NA","NA",IF(D195=0,"NA",(N195/D195))))))),"Not Req.")</f>
        <v/>
      </c>
    </row>
    <row r="196" spans="1:15" s="10" customFormat="1" x14ac:dyDescent="0.25">
      <c r="A196" s="404" t="s">
        <v>683</v>
      </c>
      <c r="B196" s="868" t="str">
        <f>IF(Start!$C$17="x",(IF($C196="NA","NA",(IF(C196="","",(IF(AND(N196="NA",C196&lt;&gt;"NA",D196&lt;&gt;"NA"),"Missing Data",(IF(OR(D196 = "NA",D196=""),"No Criteria",(IF(N196&lt;D196,IF(OR(I196&lt;D196,ChemData!AA196&lt;&gt;""),"No-1",IF(M196&lt;D196,"No-2","No-3")),"Needed")))))))))),"---")</f>
        <v/>
      </c>
      <c r="C196" s="426" t="str">
        <f>IF(TRUE=ISBLANK(ChemData!B196),"",(ChemData!B196))</f>
        <v/>
      </c>
      <c r="D196" s="289">
        <f>IF(TRUE=ISBLANK(ChemData!J196),"",(ChemData!J196))</f>
        <v>4.1000000000000002E-2</v>
      </c>
      <c r="E196" s="290">
        <f>IF(TRUE=ISBLANK(ChemData!Q196),"",(ChemData!Q196))</f>
        <v>1808.8527299999998</v>
      </c>
      <c r="F196" s="290">
        <f>IF(TRUE=ISBLANK(ChemData!S196),"",(ChemData!S196))</f>
        <v>1</v>
      </c>
      <c r="G196" s="865">
        <f>IF(OR(TRUE=ISBLANK(ChemData!AA196),ChemData!AA196="NA",ChemData!AA196=0),ChemData!Z196,(ChemData!AA196))</f>
        <v>48384.194058288929</v>
      </c>
      <c r="H196" s="685" t="str">
        <f>IF(Start!$C$17="x",(IF(OR(C196="NA",C196=""),"NA",IF(OR(F196="NA",F196="",F196=0),"NA",C196*F196))),"---")</f>
        <v>NA</v>
      </c>
      <c r="I196" s="376" t="str">
        <f>IF(Start!$C$17="x",(IF($E196 = "NA", "NA", (IF(H196 = "NA", "NA",(IF(OR(ChemData!U196="NA",ChemData!U196=""),H196/((Data!$D$18+$E196*(1-Data!$D$18)*Data!$D$14)/(1000*(1-Data!$D$18)*Data!$D$14)),(IF(H196/((Data!$D$18+$E196*(1-Data!$D$18)*Data!$D$14)/(1000*(1-Data!$D$18)*Data!$D$14))&gt;ChemData!U196, ChemData!U196,H196/((Data!$D$18+$E196*(1-Data!$D$18)*Data!$D$14)/(1000*(1-Data!$D$18)*Data!$D$14)))))))))),"---")</f>
        <v>NA</v>
      </c>
      <c r="J196" s="870" t="str">
        <f>IF(Start!$C$17="x",IF(OR(I196="NA",I196="",ChemData!W196="NA",ChemData!W196=""),"NA",I196/ChemData!W196),"---")</f>
        <v>NA</v>
      </c>
      <c r="K196" s="870" t="str">
        <f>IF(Start!$C$17="x",IF(J196="NA","NA",IF(Data!$D$68&lt;ChemData!X196,J196*(Data!$D$68/ChemData!X196),J196)),"---")</f>
        <v>NA</v>
      </c>
      <c r="L196" s="870" t="str">
        <f>IF(Start!$C$17="x",IF(OR(I196="NA",I196="",ChemData!Z196="NA",ChemData!Z196=""),"NA",I196/ChemData!Z196),"---")</f>
        <v>NA</v>
      </c>
      <c r="M196" s="870" t="str">
        <f>IF(Start!$C$17="x",IF(OR(I196="NA",I196="",ChemData!Y196="NA",ChemData!Y196=""),"NA",I196/ChemData!Y196),"---")</f>
        <v>NA</v>
      </c>
      <c r="N196" s="870" t="str">
        <f>IF(Start!$C$17="x",IF(OR(I196="NA",I196="",G196="NA",G196=""),"NA",I196/G196),"---")</f>
        <v>NA</v>
      </c>
      <c r="O196" s="794" t="str">
        <f>IF(Start!$C$17="x",(IF(C196="","",(IF(N196="NA","NA",IF(D196="NA","NA",IF(D196=0,"NA",(N196/D196))))))),"Not Req.")</f>
        <v/>
      </c>
    </row>
    <row r="197" spans="1:15" s="10" customFormat="1" x14ac:dyDescent="0.25">
      <c r="A197" s="405" t="s">
        <v>515</v>
      </c>
      <c r="B197" s="868" t="str">
        <f>IF(Start!$C$17="x",(IF($C197="NA","NA",(IF(C197="","",(IF(AND(N197="NA",C197&lt;&gt;"NA",D197&lt;&gt;"NA"),"Missing Data",(IF(OR(D197 = "NA",D197=""),"No Criteria",(IF(N197&lt;D197,IF(OR(I197&lt;D197,ChemData!AA197&lt;&gt;""),"No-1",IF(M197&lt;D197,"No-2","No-3")),"Needed")))))))))),"---")</f>
        <v/>
      </c>
      <c r="C197" s="426" t="str">
        <f>IF(TRUE=ISBLANK(ChemData!B197),"",(ChemData!B197))</f>
        <v/>
      </c>
      <c r="D197" s="289">
        <f>IF(TRUE=ISBLANK(ChemData!J197),"",(ChemData!J197))</f>
        <v>0.1</v>
      </c>
      <c r="E197" s="290">
        <f>IF(TRUE=ISBLANK(ChemData!Q197),"",(ChemData!Q197))</f>
        <v>2.2772274947737192</v>
      </c>
      <c r="F197" s="290">
        <f>IF(TRUE=ISBLANK(ChemData!S197),"",(ChemData!S197))</f>
        <v>1</v>
      </c>
      <c r="G197" s="865">
        <f>IF(OR(TRUE=ISBLANK(ChemData!AA197),ChemData!AA197="NA",ChemData!AA197=0),ChemData!Z197,(ChemData!AA197))</f>
        <v>6.8495741227413927</v>
      </c>
      <c r="H197" s="685" t="str">
        <f>IF(Start!$C$17="x",(IF(OR(C197="NA",C197=""),"NA",IF(OR(F197="NA",F197="",F197=0),"NA",C197*F197))),"---")</f>
        <v>NA</v>
      </c>
      <c r="I197" s="376" t="str">
        <f>IF(Start!$C$17="x",(IF($E197 = "NA", "NA", (IF(H197 = "NA", "NA",(IF(OR(ChemData!U197="NA",ChemData!U197=""),H197/((Data!$D$18+$E197*(1-Data!$D$18)*Data!$D$14)/(1000*(1-Data!$D$18)*Data!$D$14)),(IF(H197/((Data!$D$18+$E197*(1-Data!$D$18)*Data!$D$14)/(1000*(1-Data!$D$18)*Data!$D$14))&gt;ChemData!U197, ChemData!U197,H197/((Data!$D$18+$E197*(1-Data!$D$18)*Data!$D$14)/(1000*(1-Data!$D$18)*Data!$D$14)))))))))),"---")</f>
        <v>NA</v>
      </c>
      <c r="J197" s="870" t="str">
        <f>IF(Start!$C$17="x",IF(OR(I197="NA",I197="",ChemData!W197="NA",ChemData!W197=""),"NA",I197/ChemData!W197),"---")</f>
        <v>NA</v>
      </c>
      <c r="K197" s="870" t="str">
        <f>IF(Start!$C$17="x",IF(J197="NA","NA",IF(Data!$D$68&lt;ChemData!X197,J197*(Data!$D$68/ChemData!X197),J197)),"---")</f>
        <v>NA</v>
      </c>
      <c r="L197" s="870" t="str">
        <f>IF(Start!$C$17="x",IF(OR(I197="NA",I197="",ChemData!Z197="NA",ChemData!Z197=""),"NA",I197/ChemData!Z197),"---")</f>
        <v>NA</v>
      </c>
      <c r="M197" s="870" t="str">
        <f>IF(Start!$C$17="x",IF(OR(I197="NA",I197="",ChemData!Y197="NA",ChemData!Y197=""),"NA",I197/ChemData!Y197),"---")</f>
        <v>NA</v>
      </c>
      <c r="N197" s="870" t="str">
        <f>IF(Start!$C$17="x",IF(OR(I197="NA",I197="",G197="NA",G197=""),"NA",I197/G197),"---")</f>
        <v>NA</v>
      </c>
      <c r="O197" s="794" t="str">
        <f>IF(Start!$C$17="x",(IF(C197="","",(IF(N197="NA","NA",IF(D197="NA","NA",IF(D197=0,"NA",(N197/D197))))))),"Not Req.")</f>
        <v/>
      </c>
    </row>
    <row r="198" spans="1:15" s="10" customFormat="1" x14ac:dyDescent="0.25">
      <c r="A198" s="405" t="s">
        <v>516</v>
      </c>
      <c r="B198" s="868" t="str">
        <f>IF(Start!$C$17="x",(IF($C198="NA","NA",(IF(C198="","",(IF(AND(N198="NA",C198&lt;&gt;"NA",D198&lt;&gt;"NA"),"Missing Data",(IF(OR(D198 = "NA",D198=""),"No Criteria",(IF(N198&lt;D198,IF(OR(I198&lt;D198,ChemData!AA198&lt;&gt;""),"No-1",IF(M198&lt;D198,"No-2","No-3")),"Needed")))))))))),"---")</f>
        <v/>
      </c>
      <c r="C198" s="426" t="str">
        <f>IF(TRUE=ISBLANK(ChemData!B198),"",(ChemData!B198))</f>
        <v/>
      </c>
      <c r="D198" s="289">
        <f>IF(TRUE=ISBLANK(ChemData!J198),"",(ChemData!J198))</f>
        <v>0.17</v>
      </c>
      <c r="E198" s="290">
        <f>IF(TRUE=ISBLANK(ChemData!Q198),"",(ChemData!Q198))</f>
        <v>41.443890000000003</v>
      </c>
      <c r="F198" s="290">
        <f>IF(TRUE=ISBLANK(ChemData!S198),"",(ChemData!S198))</f>
        <v>1</v>
      </c>
      <c r="G198" s="865">
        <f>IF(OR(TRUE=ISBLANK(ChemData!AA198),ChemData!AA198="NA",ChemData!AA198=0),ChemData!Z198,(ChemData!AA198))</f>
        <v>188.95068901987457</v>
      </c>
      <c r="H198" s="685" t="str">
        <f>IF(Start!$C$17="x",(IF(OR(C198="NA",C198=""),"NA",IF(OR(F198="NA",F198="",F198=0),"NA",C198*F198))),"---")</f>
        <v>NA</v>
      </c>
      <c r="I198" s="376" t="str">
        <f>IF(Start!$C$17="x",(IF($E198 = "NA", "NA", (IF(H198 = "NA", "NA",(IF(OR(ChemData!U198="NA",ChemData!U198=""),H198/((Data!$D$18+$E198*(1-Data!$D$18)*Data!$D$14)/(1000*(1-Data!$D$18)*Data!$D$14)),(IF(H198/((Data!$D$18+$E198*(1-Data!$D$18)*Data!$D$14)/(1000*(1-Data!$D$18)*Data!$D$14))&gt;ChemData!U198, ChemData!U198,H198/((Data!$D$18+$E198*(1-Data!$D$18)*Data!$D$14)/(1000*(1-Data!$D$18)*Data!$D$14)))))))))),"---")</f>
        <v>NA</v>
      </c>
      <c r="J198" s="870" t="str">
        <f>IF(Start!$C$17="x",IF(OR(I198="NA",I198="",ChemData!W198="NA",ChemData!W198=""),"NA",I198/ChemData!W198),"---")</f>
        <v>NA</v>
      </c>
      <c r="K198" s="870" t="str">
        <f>IF(Start!$C$17="x",IF(J198="NA","NA",IF(Data!$D$68&lt;ChemData!X198,J198*(Data!$D$68/ChemData!X198),J198)),"---")</f>
        <v>NA</v>
      </c>
      <c r="L198" s="870" t="str">
        <f>IF(Start!$C$17="x",IF(OR(I198="NA",I198="",ChemData!Z198="NA",ChemData!Z198=""),"NA",I198/ChemData!Z198),"---")</f>
        <v>NA</v>
      </c>
      <c r="M198" s="870" t="str">
        <f>IF(Start!$C$17="x",IF(OR(I198="NA",I198="",ChemData!Y198="NA",ChemData!Y198=""),"NA",I198/ChemData!Y198),"---")</f>
        <v>NA</v>
      </c>
      <c r="N198" s="870" t="str">
        <f>IF(Start!$C$17="x",IF(OR(I198="NA",I198="",G198="NA",G198=""),"NA",I198/G198),"---")</f>
        <v>NA</v>
      </c>
      <c r="O198" s="794" t="str">
        <f>IF(Start!$C$17="x",(IF(C198="","",(IF(N198="NA","NA",IF(D198="NA","NA",IF(D198=0,"NA",(N198/D198))))))),"Not Req.")</f>
        <v/>
      </c>
    </row>
    <row r="199" spans="1:15" s="10" customFormat="1" x14ac:dyDescent="0.25">
      <c r="A199" s="405" t="s">
        <v>684</v>
      </c>
      <c r="B199" s="868" t="str">
        <f>IF(Start!$C$17="x",(IF($C199="NA","NA",(IF(C199="","",(IF(AND(N199="NA",C199&lt;&gt;"NA",D199&lt;&gt;"NA"),"Missing Data",(IF(OR(D199 = "NA",D199=""),"No Criteria",(IF(N199&lt;D199,IF(OR(I199&lt;D199,ChemData!AA199&lt;&gt;""),"No-1",IF(M199&lt;D199,"No-2","No-3")),"Needed")))))))))),"---")</f>
        <v/>
      </c>
      <c r="C199" s="426" t="str">
        <f>IF(TRUE=ISBLANK(ChemData!B199),"",(ChemData!B199))</f>
        <v/>
      </c>
      <c r="D199" s="289" t="str">
        <f>IF(TRUE=ISBLANK(ChemData!J199),"",(ChemData!J199))</f>
        <v>NA</v>
      </c>
      <c r="E199" s="290">
        <f>IF(TRUE=ISBLANK(ChemData!Q199),"",(ChemData!Q199))</f>
        <v>0.11153377938236365</v>
      </c>
      <c r="F199" s="290">
        <f>IF(TRUE=ISBLANK(ChemData!S199),"",(ChemData!S199))</f>
        <v>1</v>
      </c>
      <c r="G199" s="865">
        <f>IF(OR(TRUE=ISBLANK(ChemData!AA199),ChemData!AA199="NA",ChemData!AA199=0),ChemData!Z199,(ChemData!AA199))</f>
        <v>6.8495741227413944</v>
      </c>
      <c r="H199" s="685" t="str">
        <f>IF(Start!$C$17="x",(IF(OR(C199="NA",C199=""),"NA",IF(OR(F199="NA",F199="",F199=0),"NA",C199*F199))),"---")</f>
        <v>NA</v>
      </c>
      <c r="I199" s="376" t="str">
        <f>IF(Start!$C$17="x",(IF($E199 = "NA", "NA", (IF(H199 = "NA", "NA",(IF(OR(ChemData!U199="NA",ChemData!U199=""),H199/((Data!$D$18+$E199*(1-Data!$D$18)*Data!$D$14)/(1000*(1-Data!$D$18)*Data!$D$14)),(IF(H199/((Data!$D$18+$E199*(1-Data!$D$18)*Data!$D$14)/(1000*(1-Data!$D$18)*Data!$D$14))&gt;ChemData!U199, ChemData!U199,H199/((Data!$D$18+$E199*(1-Data!$D$18)*Data!$D$14)/(1000*(1-Data!$D$18)*Data!$D$14)))))))))),"---")</f>
        <v>NA</v>
      </c>
      <c r="J199" s="870" t="str">
        <f>IF(Start!$C$17="x",IF(OR(I199="NA",I199="",ChemData!W199="NA",ChemData!W199=""),"NA",I199/ChemData!W199),"---")</f>
        <v>NA</v>
      </c>
      <c r="K199" s="870" t="str">
        <f>IF(Start!$C$17="x",IF(J199="NA","NA",IF(Data!$D$68&lt;ChemData!X199,J199*(Data!$D$68/ChemData!X199),J199)),"---")</f>
        <v>NA</v>
      </c>
      <c r="L199" s="870" t="str">
        <f>IF(Start!$C$17="x",IF(OR(I199="NA",I199="",ChemData!Z199="NA",ChemData!Z199=""),"NA",I199/ChemData!Z199),"---")</f>
        <v>NA</v>
      </c>
      <c r="M199" s="870" t="str">
        <f>IF(Start!$C$17="x",IF(OR(I199="NA",I199="",ChemData!Y199="NA",ChemData!Y199=""),"NA",I199/ChemData!Y199),"---")</f>
        <v>NA</v>
      </c>
      <c r="N199" s="870" t="str">
        <f>IF(Start!$C$17="x",IF(OR(I199="NA",I199="",G199="NA",G199=""),"NA",I199/G199),"---")</f>
        <v>NA</v>
      </c>
      <c r="O199" s="794" t="str">
        <f>IF(Start!$C$17="x",(IF(C199="","",(IF(N199="NA","NA",IF(D199="NA","NA",IF(D199=0,"NA",(N199/D199))))))),"Not Req.")</f>
        <v/>
      </c>
    </row>
    <row r="200" spans="1:15" s="10" customFormat="1" x14ac:dyDescent="0.25">
      <c r="A200" s="405" t="s">
        <v>685</v>
      </c>
      <c r="B200" s="868" t="str">
        <f>IF(Start!$C$17="x",(IF($C200="NA","NA",(IF(C200="","",(IF(AND(N200="NA",C200&lt;&gt;"NA",D200&lt;&gt;"NA"),"Missing Data",(IF(OR(D200 = "NA",D200=""),"No Criteria",(IF(N200&lt;D200,IF(OR(I200&lt;D200,ChemData!AA200&lt;&gt;""),"No-1",IF(M200&lt;D200,"No-2","No-3")),"Needed")))))))))),"---")</f>
        <v/>
      </c>
      <c r="C200" s="426" t="str">
        <f>IF(TRUE=ISBLANK(ChemData!B200),"",(ChemData!B200))</f>
        <v/>
      </c>
      <c r="D200" s="289">
        <f>IF(TRUE=ISBLANK(ChemData!J200),"",(ChemData!J200))</f>
        <v>1.2999999999999999E-2</v>
      </c>
      <c r="E200" s="290">
        <f>IF(TRUE=ISBLANK(ChemData!Q200),"",(ChemData!Q200))</f>
        <v>99.404585508133763</v>
      </c>
      <c r="F200" s="290">
        <f>IF(TRUE=ISBLANK(ChemData!S200),"",(ChemData!S200))</f>
        <v>1</v>
      </c>
      <c r="G200" s="865">
        <f>IF(OR(TRUE=ISBLANK(ChemData!AA200),ChemData!AA200="NA",ChemData!AA200=0),ChemData!Z200,(ChemData!AA200))</f>
        <v>682.84482412856596</v>
      </c>
      <c r="H200" s="685" t="str">
        <f>IF(Start!$C$17="x",(IF(OR(C200="NA",C200=""),"NA",IF(OR(F200="NA",F200="",F200=0),"NA",C200*F200))),"---")</f>
        <v>NA</v>
      </c>
      <c r="I200" s="376" t="str">
        <f>IF(Start!$C$17="x",(IF($E200 = "NA", "NA", (IF(H200 = "NA", "NA",(IF(OR(ChemData!U200="NA",ChemData!U200=""),H200/((Data!$D$18+$E200*(1-Data!$D$18)*Data!$D$14)/(1000*(1-Data!$D$18)*Data!$D$14)),(IF(H200/((Data!$D$18+$E200*(1-Data!$D$18)*Data!$D$14)/(1000*(1-Data!$D$18)*Data!$D$14))&gt;ChemData!U200, ChemData!U200,H200/((Data!$D$18+$E200*(1-Data!$D$18)*Data!$D$14)/(1000*(1-Data!$D$18)*Data!$D$14)))))))))),"---")</f>
        <v>NA</v>
      </c>
      <c r="J200" s="870" t="str">
        <f>IF(Start!$C$17="x",IF(OR(I200="NA",I200="",ChemData!W200="NA",ChemData!W200=""),"NA",I200/ChemData!W200),"---")</f>
        <v>NA</v>
      </c>
      <c r="K200" s="870" t="str">
        <f>IF(Start!$C$17="x",IF(J200="NA","NA",IF(Data!$D$68&lt;ChemData!X200,J200*(Data!$D$68/ChemData!X200),J200)),"---")</f>
        <v>NA</v>
      </c>
      <c r="L200" s="870" t="str">
        <f>IF(Start!$C$17="x",IF(OR(I200="NA",I200="",ChemData!Z200="NA",ChemData!Z200=""),"NA",I200/ChemData!Z200),"---")</f>
        <v>NA</v>
      </c>
      <c r="M200" s="870" t="str">
        <f>IF(Start!$C$17="x",IF(OR(I200="NA",I200="",ChemData!Y200="NA",ChemData!Y200=""),"NA",I200/ChemData!Y200),"---")</f>
        <v>NA</v>
      </c>
      <c r="N200" s="870" t="str">
        <f>IF(Start!$C$17="x",IF(OR(I200="NA",I200="",G200="NA",G200=""),"NA",I200/G200),"---")</f>
        <v>NA</v>
      </c>
      <c r="O200" s="794" t="str">
        <f>IF(Start!$C$17="x",(IF(C200="","",(IF(N200="NA","NA",IF(D200="NA","NA",IF(D200=0,"NA",(N200/D200))))))),"Not Req.")</f>
        <v/>
      </c>
    </row>
    <row r="201" spans="1:15" s="10" customFormat="1" x14ac:dyDescent="0.25">
      <c r="A201" s="405" t="s">
        <v>519</v>
      </c>
      <c r="B201" s="868" t="str">
        <f>IF(Start!$C$17="x",(IF($C201="NA","NA",(IF(C201="","",(IF(AND(N201="NA",C201&lt;&gt;"NA",D201&lt;&gt;"NA"),"Missing Data",(IF(OR(D201 = "NA",D201=""),"No Criteria",(IF(N201&lt;D201,IF(OR(I201&lt;D201,ChemData!AA201&lt;&gt;""),"No-1",IF(M201&lt;D201,"No-2","No-3")),"Needed")))))))))),"---")</f>
        <v/>
      </c>
      <c r="C201" s="426" t="str">
        <f>IF(TRUE=ISBLANK(ChemData!B201),"",(ChemData!B201))</f>
        <v/>
      </c>
      <c r="D201" s="289">
        <f>IF(TRUE=ISBLANK(ChemData!J201),"",(ChemData!J201))</f>
        <v>0.1</v>
      </c>
      <c r="E201" s="290">
        <f>IF(TRUE=ISBLANK(ChemData!Q201),"",(ChemData!Q201))</f>
        <v>13.40930962098807</v>
      </c>
      <c r="F201" s="290">
        <f>IF(TRUE=ISBLANK(ChemData!S201),"",(ChemData!S201))</f>
        <v>1</v>
      </c>
      <c r="G201" s="865">
        <f>IF(OR(TRUE=ISBLANK(ChemData!AA201),ChemData!AA201="NA",ChemData!AA201=0),ChemData!Z201,(ChemData!AA201))</f>
        <v>36.030841571802547</v>
      </c>
      <c r="H201" s="685" t="str">
        <f>IF(Start!$C$17="x",(IF(OR(C201="NA",C201=""),"NA",IF(OR(F201="NA",F201="",F201=0),"NA",C201*F201))),"---")</f>
        <v>NA</v>
      </c>
      <c r="I201" s="376" t="str">
        <f>IF(Start!$C$17="x",(IF($E201 = "NA", "NA", (IF(H201 = "NA", "NA",(IF(OR(ChemData!U201="NA",ChemData!U201=""),H201/((Data!$D$18+$E201*(1-Data!$D$18)*Data!$D$14)/(1000*(1-Data!$D$18)*Data!$D$14)),(IF(H201/((Data!$D$18+$E201*(1-Data!$D$18)*Data!$D$14)/(1000*(1-Data!$D$18)*Data!$D$14))&gt;ChemData!U201, ChemData!U201,H201/((Data!$D$18+$E201*(1-Data!$D$18)*Data!$D$14)/(1000*(1-Data!$D$18)*Data!$D$14)))))))))),"---")</f>
        <v>NA</v>
      </c>
      <c r="J201" s="870" t="str">
        <f>IF(Start!$C$17="x",IF(OR(I201="NA",I201="",ChemData!W201="NA",ChemData!W201=""),"NA",I201/ChemData!W201),"---")</f>
        <v>NA</v>
      </c>
      <c r="K201" s="870" t="str">
        <f>IF(Start!$C$17="x",IF(J201="NA","NA",IF(Data!$D$68&lt;ChemData!X201,J201*(Data!$D$68/ChemData!X201),J201)),"---")</f>
        <v>NA</v>
      </c>
      <c r="L201" s="870" t="str">
        <f>IF(Start!$C$17="x",IF(OR(I201="NA",I201="",ChemData!Z201="NA",ChemData!Z201=""),"NA",I201/ChemData!Z201),"---")</f>
        <v>NA</v>
      </c>
      <c r="M201" s="870" t="str">
        <f>IF(Start!$C$17="x",IF(OR(I201="NA",I201="",ChemData!Y201="NA",ChemData!Y201=""),"NA",I201/ChemData!Y201),"---")</f>
        <v>NA</v>
      </c>
      <c r="N201" s="870" t="str">
        <f>IF(Start!$C$17="x",IF(OR(I201="NA",I201="",G201="NA",G201=""),"NA",I201/G201),"---")</f>
        <v>NA</v>
      </c>
      <c r="O201" s="794" t="str">
        <f>IF(Start!$C$17="x",(IF(C201="","",(IF(N201="NA","NA",IF(D201="NA","NA",IF(D201=0,"NA",(N201/D201))))))),"Not Req.")</f>
        <v/>
      </c>
    </row>
    <row r="202" spans="1:15" s="10" customFormat="1" x14ac:dyDescent="0.25">
      <c r="A202" s="405" t="s">
        <v>520</v>
      </c>
      <c r="B202" s="868" t="str">
        <f>IF(Start!$C$17="x",(IF($C202="NA","NA",(IF(C202="","",(IF(AND(N202="NA",C202&lt;&gt;"NA",D202&lt;&gt;"NA"),"Missing Data",(IF(OR(D202 = "NA",D202=""),"No Criteria",(IF(N202&lt;D202,IF(OR(I202&lt;D202,ChemData!AA202&lt;&gt;""),"No-1",IF(M202&lt;D202,"No-2","No-3")),"Needed")))))))))),"---")</f>
        <v/>
      </c>
      <c r="C202" s="426" t="str">
        <f>IF(TRUE=ISBLANK(ChemData!B202),"",(ChemData!B202))</f>
        <v/>
      </c>
      <c r="D202" s="289" t="str">
        <f>IF(TRUE=ISBLANK(ChemData!J202),"",(ChemData!J202))</f>
        <v>NA</v>
      </c>
      <c r="E202" s="290">
        <f>IF(TRUE=ISBLANK(ChemData!Q202),"",(ChemData!Q202))</f>
        <v>11.679020446328376</v>
      </c>
      <c r="F202" s="290">
        <f>IF(TRUE=ISBLANK(ChemData!S202),"",(ChemData!S202))</f>
        <v>1</v>
      </c>
      <c r="G202" s="865">
        <f>IF(OR(TRUE=ISBLANK(ChemData!AA202),ChemData!AA202="NA",ChemData!AA202=0),ChemData!Z202,(ChemData!AA202))</f>
        <v>29.414453057278219</v>
      </c>
      <c r="H202" s="685" t="str">
        <f>IF(Start!$C$17="x",(IF(OR(C202="NA",C202=""),"NA",IF(OR(F202="NA",F202="",F202=0),"NA",C202*F202))),"---")</f>
        <v>NA</v>
      </c>
      <c r="I202" s="376" t="str">
        <f>IF(Start!$C$17="x",(IF($E202 = "NA", "NA", (IF(H202 = "NA", "NA",(IF(OR(ChemData!U202="NA",ChemData!U202=""),H202/((Data!$D$18+$E202*(1-Data!$D$18)*Data!$D$14)/(1000*(1-Data!$D$18)*Data!$D$14)),(IF(H202/((Data!$D$18+$E202*(1-Data!$D$18)*Data!$D$14)/(1000*(1-Data!$D$18)*Data!$D$14))&gt;ChemData!U202, ChemData!U202,H202/((Data!$D$18+$E202*(1-Data!$D$18)*Data!$D$14)/(1000*(1-Data!$D$18)*Data!$D$14)))))))))),"---")</f>
        <v>NA</v>
      </c>
      <c r="J202" s="870" t="str">
        <f>IF(Start!$C$17="x",IF(OR(I202="NA",I202="",ChemData!W202="NA",ChemData!W202=""),"NA",I202/ChemData!W202),"---")</f>
        <v>NA</v>
      </c>
      <c r="K202" s="870" t="str">
        <f>IF(Start!$C$17="x",IF(J202="NA","NA",IF(Data!$D$68&lt;ChemData!X202,J202*(Data!$D$68/ChemData!X202),J202)),"---")</f>
        <v>NA</v>
      </c>
      <c r="L202" s="870" t="str">
        <f>IF(Start!$C$17="x",IF(OR(I202="NA",I202="",ChemData!Z202="NA",ChemData!Z202=""),"NA",I202/ChemData!Z202),"---")</f>
        <v>NA</v>
      </c>
      <c r="M202" s="870" t="str">
        <f>IF(Start!$C$17="x",IF(OR(I202="NA",I202="",ChemData!Y202="NA",ChemData!Y202=""),"NA",I202/ChemData!Y202),"---")</f>
        <v>NA</v>
      </c>
      <c r="N202" s="870" t="str">
        <f>IF(Start!$C$17="x",IF(OR(I202="NA",I202="",G202="NA",G202=""),"NA",I202/G202),"---")</f>
        <v>NA</v>
      </c>
      <c r="O202" s="794" t="str">
        <f>IF(Start!$C$17="x",(IF(C202="","",(IF(N202="NA","NA",IF(D202="NA","NA",IF(D202=0,"NA",(N202/D202))))))),"Not Req.")</f>
        <v/>
      </c>
    </row>
    <row r="203" spans="1:15" s="10" customFormat="1" ht="13.8" thickBot="1" x14ac:dyDescent="0.3">
      <c r="A203" s="405" t="s">
        <v>521</v>
      </c>
      <c r="B203" s="868" t="str">
        <f>IF(Start!$C$17="x",(IF($C203="NA","NA",(IF(C203="","",(IF(AND(N203="NA",C203&lt;&gt;"NA",D203&lt;&gt;"NA"),"Missing Data",(IF(OR(D203 = "NA",D203=""),"No Criteria",(IF(N203&lt;D203,IF(OR(I203&lt;D203,ChemData!AA203&lt;&gt;""),"No-1",IF(M203&lt;D203,"No-2","No-3")),"Needed")))))))))),"---")</f>
        <v/>
      </c>
      <c r="C203" s="426" t="str">
        <f>IF(TRUE=ISBLANK(ChemData!B203),"",(ChemData!B203))</f>
        <v/>
      </c>
      <c r="D203" s="289" t="str">
        <f>IF(TRUE=ISBLANK(ChemData!J203),"",(ChemData!J203))</f>
        <v>NA</v>
      </c>
      <c r="E203" s="290">
        <f>IF(TRUE=ISBLANK(ChemData!Q203),"",(ChemData!Q203))</f>
        <v>119.51907</v>
      </c>
      <c r="F203" s="290">
        <f>IF(TRUE=ISBLANK(ChemData!S203),"",(ChemData!S203))</f>
        <v>1</v>
      </c>
      <c r="G203" s="865">
        <f>IF(OR(TRUE=ISBLANK(ChemData!AA203),ChemData!AA203="NA",ChemData!AA203=0),ChemData!Z203,(ChemData!AA203))</f>
        <v>895.05984078013853</v>
      </c>
      <c r="H203" s="685" t="str">
        <f>IF(Start!$C$17="x",(IF(OR(C203="NA",C203=""),"NA",IF(OR(F203="NA",F203="",F203=0),"NA",C203*F203))),"---")</f>
        <v>NA</v>
      </c>
      <c r="I203" s="376" t="str">
        <f>IF(Start!$C$17="x",(IF($E203 = "NA", "NA", (IF(H203 = "NA", "NA",(IF(OR(ChemData!U203="NA",ChemData!U203=""),H203/((Data!$D$18+$E203*(1-Data!$D$18)*Data!$D$14)/(1000*(1-Data!$D$18)*Data!$D$14)),(IF(H203/((Data!$D$18+$E203*(1-Data!$D$18)*Data!$D$14)/(1000*(1-Data!$D$18)*Data!$D$14))&gt;ChemData!U203, ChemData!U203,H203/((Data!$D$18+$E203*(1-Data!$D$18)*Data!$D$14)/(1000*(1-Data!$D$18)*Data!$D$14)))))))))),"---")</f>
        <v>NA</v>
      </c>
      <c r="J203" s="870" t="str">
        <f>IF(Start!$C$17="x",IF(OR(I203="NA",I203="",ChemData!W203="NA",ChemData!W203=""),"NA",I203/ChemData!W203),"---")</f>
        <v>NA</v>
      </c>
      <c r="K203" s="870" t="str">
        <f>IF(Start!$C$17="x",IF(J203="NA","NA",IF(Data!$D$68&lt;ChemData!X203,J203*(Data!$D$68/ChemData!X203),J203)),"---")</f>
        <v>NA</v>
      </c>
      <c r="L203" s="870" t="str">
        <f>IF(Start!$C$17="x",IF(OR(I203="NA",I203="",ChemData!Z203="NA",ChemData!Z203=""),"NA",I203/ChemData!Z203),"---")</f>
        <v>NA</v>
      </c>
      <c r="M203" s="870" t="str">
        <f>IF(Start!$C$17="x",IF(OR(I203="NA",I203="",ChemData!Y203="NA",ChemData!Y203=""),"NA",I203/ChemData!Y203),"---")</f>
        <v>NA</v>
      </c>
      <c r="N203" s="870" t="str">
        <f>IF(Start!$C$17="x",IF(OR(I203="NA",I203="",G203="NA",G203=""),"NA",I203/G203),"---")</f>
        <v>NA</v>
      </c>
      <c r="O203" s="794" t="str">
        <f>IF(Start!$C$17="x",(IF(C203="","",(IF(N203="NA","NA",IF(D203="NA","NA",IF(D203=0,"NA",(N203/D203))))))),"Not Req.")</f>
        <v/>
      </c>
    </row>
    <row r="204" spans="1:15" s="10" customFormat="1" x14ac:dyDescent="0.25">
      <c r="A204" s="505" t="s">
        <v>522</v>
      </c>
      <c r="B204" s="527"/>
      <c r="C204" s="528"/>
      <c r="D204" s="511"/>
      <c r="E204" s="512"/>
      <c r="F204" s="512"/>
      <c r="G204" s="808"/>
      <c r="H204" s="511"/>
      <c r="I204" s="512"/>
      <c r="J204" s="534"/>
      <c r="K204" s="534"/>
      <c r="L204" s="534"/>
      <c r="M204" s="534"/>
      <c r="N204" s="534"/>
      <c r="O204" s="807"/>
    </row>
    <row r="205" spans="1:15" s="10" customFormat="1" x14ac:dyDescent="0.25">
      <c r="A205" s="405" t="s">
        <v>523</v>
      </c>
      <c r="B205" s="868" t="str">
        <f>IF(Start!$C$17="x",(IF($C205="NA","NA",(IF(C205="","",(IF(AND(N205="NA",C205&lt;&gt;"NA",D205&lt;&gt;"NA"),"Missing Data",(IF(OR(D205 = "NA",D205=""),"No Criteria",(IF(N205&lt;D205,IF(OR(I205&lt;D205,ChemData!AA205&lt;&gt;""),"No-1",IF(M205&lt;D205,"No-2","No-3")),"Needed")))))))))),"---")</f>
        <v/>
      </c>
      <c r="C205" s="426" t="str">
        <f>IF(TRUE=ISBLANK(ChemData!B205),"",(ChemData!B205))</f>
        <v/>
      </c>
      <c r="D205" s="289" t="str">
        <f>IF(TRUE=ISBLANK(ChemData!J205),"",(ChemData!J205))</f>
        <v>NA</v>
      </c>
      <c r="E205" s="290">
        <f>IF(TRUE=ISBLANK(ChemData!Q205),"",(ChemData!Q205))</f>
        <v>3693.2305450073991</v>
      </c>
      <c r="F205" s="290">
        <f>IF(TRUE=ISBLANK(ChemData!S205),"",(ChemData!S205))</f>
        <v>1</v>
      </c>
      <c r="G205" s="865">
        <f>IF(OR(TRUE=ISBLANK(ChemData!AA205),ChemData!AA205="NA",ChemData!AA205=0),ChemData!Z205,(ChemData!AA205))</f>
        <v>138026.34004749163</v>
      </c>
      <c r="H205" s="685" t="str">
        <f>IF(Start!$C$17="x",(IF(OR(C205="NA",C205=""),"NA",IF(OR(F205="NA",F205="",F205=0),"NA",C205*F205))),"---")</f>
        <v>NA</v>
      </c>
      <c r="I205" s="376" t="str">
        <f>IF(Start!$C$17="x",(IF($E205 = "NA", "NA", (IF(H205 = "NA", "NA",(IF(OR(ChemData!U205="NA",ChemData!U205=""),H205/((Data!$D$18+$E205*(1-Data!$D$18)*Data!$D$14)/(1000*(1-Data!$D$18)*Data!$D$14)),(IF(H205/((Data!$D$18+$E205*(1-Data!$D$18)*Data!$D$14)/(1000*(1-Data!$D$18)*Data!$D$14))&gt;ChemData!U205, ChemData!U205,H205/((Data!$D$18+$E205*(1-Data!$D$18)*Data!$D$14)/(1000*(1-Data!$D$18)*Data!$D$14)))))))))),"---")</f>
        <v>NA</v>
      </c>
      <c r="J205" s="870" t="str">
        <f>IF(Start!$C$17="x",IF(OR(I205="NA",I205="",ChemData!W205="NA",ChemData!W205=""),"NA",I205/ChemData!W205),"---")</f>
        <v>NA</v>
      </c>
      <c r="K205" s="870" t="str">
        <f>IF(Start!$C$17="x",IF(J205="NA","NA",IF(Data!$D$68&lt;ChemData!X205,J205*(Data!$D$68/ChemData!X205),J205)),"---")</f>
        <v>NA</v>
      </c>
      <c r="L205" s="870" t="str">
        <f>IF(Start!$C$17="x",IF(OR(I205="NA",I205="",ChemData!Z205="NA",ChemData!Z205=""),"NA",I205/ChemData!Z205),"---")</f>
        <v>NA</v>
      </c>
      <c r="M205" s="870" t="str">
        <f>IF(Start!$C$17="x",IF(OR(I205="NA",I205="",ChemData!Y205="NA",ChemData!Y205=""),"NA",I205/ChemData!Y205),"---")</f>
        <v>NA</v>
      </c>
      <c r="N205" s="870" t="str">
        <f>IF(Start!$C$17="x",IF(OR(I205="NA",I205="",G205="NA",G205=""),"NA",I205/G205),"---")</f>
        <v>NA</v>
      </c>
      <c r="O205" s="794" t="str">
        <f>IF(Start!$C$17="x",(IF(C205="","",(IF(N205="NA","NA",IF(D205="NA","NA",IF(D205=0,"NA",(N205/D205))))))),"Not Req.")</f>
        <v/>
      </c>
    </row>
    <row r="206" spans="1:15" s="10" customFormat="1" x14ac:dyDescent="0.25">
      <c r="A206" s="405" t="s">
        <v>524</v>
      </c>
      <c r="B206" s="868" t="str">
        <f>IF(Start!$C$17="x",(IF($C206="NA","NA",(IF(C206="","",(IF(AND(N206="NA",C206&lt;&gt;"NA",D206&lt;&gt;"NA"),"Missing Data",(IF(OR(D206 = "NA",D206=""),"No Criteria",(IF(N206&lt;D206,IF(OR(I206&lt;D206,ChemData!AA206&lt;&gt;""),"No-1",IF(M206&lt;D206,"No-2","No-3")),"Needed")))))))))),"---")</f>
        <v/>
      </c>
      <c r="C206" s="426" t="str">
        <f>IF(TRUE=ISBLANK(ChemData!B206),"",(ChemData!B206))</f>
        <v/>
      </c>
      <c r="D206" s="289" t="str">
        <f>IF(TRUE=ISBLANK(ChemData!J206),"",(ChemData!J206))</f>
        <v>NA</v>
      </c>
      <c r="E206" s="290">
        <f>IF(TRUE=ISBLANK(ChemData!Q206),"",(ChemData!Q206))</f>
        <v>10.408937929273366</v>
      </c>
      <c r="F206" s="290">
        <f>IF(TRUE=ISBLANK(ChemData!S206),"",(ChemData!S206))</f>
        <v>1</v>
      </c>
      <c r="G206" s="865">
        <f>IF(OR(TRUE=ISBLANK(ChemData!AA206),ChemData!AA206="NA",ChemData!AA206=0),ChemData!Z206,(ChemData!AA206))</f>
        <v>24.838922559481134</v>
      </c>
      <c r="H206" s="685" t="str">
        <f>IF(Start!$C$17="x",(IF(OR(C206="NA",C206=""),"NA",IF(OR(F206="NA",F206="",F206=0),"NA",C206*F206))),"---")</f>
        <v>NA</v>
      </c>
      <c r="I206" s="376" t="str">
        <f>IF(Start!$C$17="x",(IF($E206 = "NA", "NA", (IF(H206 = "NA", "NA",(IF(OR(ChemData!U206="NA",ChemData!U206=""),H206/((Data!$D$18+$E206*(1-Data!$D$18)*Data!$D$14)/(1000*(1-Data!$D$18)*Data!$D$14)),(IF(H206/((Data!$D$18+$E206*(1-Data!$D$18)*Data!$D$14)/(1000*(1-Data!$D$18)*Data!$D$14))&gt;ChemData!U206, ChemData!U206,H206/((Data!$D$18+$E206*(1-Data!$D$18)*Data!$D$14)/(1000*(1-Data!$D$18)*Data!$D$14)))))))))),"---")</f>
        <v>NA</v>
      </c>
      <c r="J206" s="870" t="str">
        <f>IF(Start!$C$17="x",IF(OR(I206="NA",I206="",ChemData!W206="NA",ChemData!W206=""),"NA",I206/ChemData!W206),"---")</f>
        <v>NA</v>
      </c>
      <c r="K206" s="870" t="str">
        <f>IF(Start!$C$17="x",IF(J206="NA","NA",IF(Data!$D$68&lt;ChemData!X206,J206*(Data!$D$68/ChemData!X206),J206)),"---")</f>
        <v>NA</v>
      </c>
      <c r="L206" s="870" t="str">
        <f>IF(Start!$C$17="x",IF(OR(I206="NA",I206="",ChemData!Z206="NA",ChemData!Z206=""),"NA",I206/ChemData!Z206),"---")</f>
        <v>NA</v>
      </c>
      <c r="M206" s="870" t="str">
        <f>IF(Start!$C$17="x",IF(OR(I206="NA",I206="",ChemData!Y206="NA",ChemData!Y206=""),"NA",I206/ChemData!Y206),"---")</f>
        <v>NA</v>
      </c>
      <c r="N206" s="870" t="str">
        <f>IF(Start!$C$17="x",IF(OR(I206="NA",I206="",G206="NA",G206=""),"NA",I206/G206),"---")</f>
        <v>NA</v>
      </c>
      <c r="O206" s="794" t="str">
        <f>IF(Start!$C$17="x",(IF(C206="","",(IF(N206="NA","NA",IF(D206="NA","NA",IF(D206=0,"NA",(N206/D206))))))),"Not Req.")</f>
        <v/>
      </c>
    </row>
    <row r="207" spans="1:15" s="10" customFormat="1" x14ac:dyDescent="0.25">
      <c r="A207" s="405" t="s">
        <v>525</v>
      </c>
      <c r="B207" s="868" t="str">
        <f>IF(Start!$C$17="x",(IF($C207="NA","NA",(IF(C207="","",(IF(AND(N207="NA",C207&lt;&gt;"NA",D207&lt;&gt;"NA"),"Missing Data",(IF(OR(D207 = "NA",D207=""),"No Criteria",(IF(N207&lt;D207,IF(OR(I207&lt;D207,ChemData!AA207&lt;&gt;""),"No-1",IF(M207&lt;D207,"No-2","No-3")),"Needed")))))))))),"---")</f>
        <v/>
      </c>
      <c r="C207" s="426" t="str">
        <f>IF(TRUE=ISBLANK(ChemData!B207),"",(ChemData!B207))</f>
        <v/>
      </c>
      <c r="D207" s="289">
        <f>IF(TRUE=ISBLANK(ChemData!J207),"",(ChemData!J207))</f>
        <v>2.2000000000000002</v>
      </c>
      <c r="E207" s="290">
        <f>IF(TRUE=ISBLANK(ChemData!Q207),"",(ChemData!Q207))</f>
        <v>116.79020446328389</v>
      </c>
      <c r="F207" s="290">
        <f>IF(TRUE=ISBLANK(ChemData!S207),"",(ChemData!S207))</f>
        <v>1</v>
      </c>
      <c r="G207" s="865">
        <f>IF(OR(TRUE=ISBLANK(ChemData!AA207),ChemData!AA207="NA",ChemData!AA207=0),ChemData!Z207,(ChemData!AA207))</f>
        <v>865.20945213412472</v>
      </c>
      <c r="H207" s="685" t="str">
        <f>IF(Start!$C$17="x",(IF(OR(C207="NA",C207=""),"NA",IF(OR(F207="NA",F207="",F207=0),"NA",C207*F207))),"---")</f>
        <v>NA</v>
      </c>
      <c r="I207" s="376" t="str">
        <f>IF(Start!$C$17="x",(IF($E207 = "NA", "NA", (IF(H207 = "NA", "NA",(IF(OR(ChemData!U207="NA",ChemData!U207=""),H207/((Data!$D$18+$E207*(1-Data!$D$18)*Data!$D$14)/(1000*(1-Data!$D$18)*Data!$D$14)),(IF(H207/((Data!$D$18+$E207*(1-Data!$D$18)*Data!$D$14)/(1000*(1-Data!$D$18)*Data!$D$14))&gt;ChemData!U207, ChemData!U207,H207/((Data!$D$18+$E207*(1-Data!$D$18)*Data!$D$14)/(1000*(1-Data!$D$18)*Data!$D$14)))))))))),"---")</f>
        <v>NA</v>
      </c>
      <c r="J207" s="870" t="str">
        <f>IF(Start!$C$17="x",IF(OR(I207="NA",I207="",ChemData!W207="NA",ChemData!W207=""),"NA",I207/ChemData!W207),"---")</f>
        <v>NA</v>
      </c>
      <c r="K207" s="870" t="str">
        <f>IF(Start!$C$17="x",IF(J207="NA","NA",IF(Data!$D$68&lt;ChemData!X207,J207*(Data!$D$68/ChemData!X207),J207)),"---")</f>
        <v>NA</v>
      </c>
      <c r="L207" s="870" t="str">
        <f>IF(Start!$C$17="x",IF(OR(I207="NA",I207="",ChemData!Z207="NA",ChemData!Z207=""),"NA",I207/ChemData!Z207),"---")</f>
        <v>NA</v>
      </c>
      <c r="M207" s="870" t="str">
        <f>IF(Start!$C$17="x",IF(OR(I207="NA",I207="",ChemData!Y207="NA",ChemData!Y207=""),"NA",I207/ChemData!Y207),"---")</f>
        <v>NA</v>
      </c>
      <c r="N207" s="870" t="str">
        <f>IF(Start!$C$17="x",IF(OR(I207="NA",I207="",G207="NA",G207=""),"NA",I207/G207),"---")</f>
        <v>NA</v>
      </c>
      <c r="O207" s="794" t="str">
        <f>IF(Start!$C$17="x",(IF(C207="","",(IF(N207="NA","NA",IF(D207="NA","NA",IF(D207=0,"NA",(N207/D207))))))),"Not Req.")</f>
        <v/>
      </c>
    </row>
    <row r="208" spans="1:15" s="10" customFormat="1" x14ac:dyDescent="0.25">
      <c r="A208" s="405" t="s">
        <v>526</v>
      </c>
      <c r="B208" s="868" t="str">
        <f>IF(Start!$C$17="x",(IF($C208="NA","NA",(IF(C208="","",(IF(AND(N208="NA",C208&lt;&gt;"NA",D208&lt;&gt;"NA"),"Missing Data",(IF(OR(D208 = "NA",D208=""),"No Criteria",(IF(N208&lt;D208,IF(OR(I208&lt;D208,ChemData!AA208&lt;&gt;""),"No-1",IF(M208&lt;D208,"No-2","No-3")),"Needed")))))))))),"---")</f>
        <v/>
      </c>
      <c r="C208" s="426" t="str">
        <f>IF(TRUE=ISBLANK(ChemData!B208),"",(ChemData!B208))</f>
        <v/>
      </c>
      <c r="D208" s="289">
        <f>IF(TRUE=ISBLANK(ChemData!J208),"",(ChemData!J208))</f>
        <v>2.2000000000000002</v>
      </c>
      <c r="E208" s="290">
        <f>IF(TRUE=ISBLANK(ChemData!Q208),"",(ChemData!Q208))</f>
        <v>116.79020446328389</v>
      </c>
      <c r="F208" s="290">
        <f>IF(TRUE=ISBLANK(ChemData!S208),"",(ChemData!S208))</f>
        <v>1</v>
      </c>
      <c r="G208" s="865">
        <f>IF(OR(TRUE=ISBLANK(ChemData!AA208),ChemData!AA208="NA",ChemData!AA208=0),ChemData!Z208,(ChemData!AA208))</f>
        <v>865.20945213412472</v>
      </c>
      <c r="H208" s="685" t="str">
        <f>IF(Start!$C$17="x",(IF(OR(C208="NA",C208=""),"NA",IF(OR(F208="NA",F208="",F208=0),"NA",C208*F208))),"---")</f>
        <v>NA</v>
      </c>
      <c r="I208" s="376" t="str">
        <f>IF(Start!$C$17="x",(IF($E208 = "NA", "NA", (IF(H208 = "NA", "NA",(IF(OR(ChemData!U208="NA",ChemData!U208=""),H208/((Data!$D$18+$E208*(1-Data!$D$18)*Data!$D$14)/(1000*(1-Data!$D$18)*Data!$D$14)),(IF(H208/((Data!$D$18+$E208*(1-Data!$D$18)*Data!$D$14)/(1000*(1-Data!$D$18)*Data!$D$14))&gt;ChemData!U208, ChemData!U208,H208/((Data!$D$18+$E208*(1-Data!$D$18)*Data!$D$14)/(1000*(1-Data!$D$18)*Data!$D$14)))))))))),"---")</f>
        <v>NA</v>
      </c>
      <c r="J208" s="870" t="str">
        <f>IF(Start!$C$17="x",IF(OR(I208="NA",I208="",ChemData!W208="NA",ChemData!W208=""),"NA",I208/ChemData!W208),"---")</f>
        <v>NA</v>
      </c>
      <c r="K208" s="870" t="str">
        <f>IF(Start!$C$17="x",IF(J208="NA","NA",IF(Data!$D$68&lt;ChemData!X208,J208*(Data!$D$68/ChemData!X208),J208)),"---")</f>
        <v>NA</v>
      </c>
      <c r="L208" s="870" t="str">
        <f>IF(Start!$C$17="x",IF(OR(I208="NA",I208="",ChemData!Z208="NA",ChemData!Z208=""),"NA",I208/ChemData!Z208),"---")</f>
        <v>NA</v>
      </c>
      <c r="M208" s="870" t="str">
        <f>IF(Start!$C$17="x",IF(OR(I208="NA",I208="",ChemData!Y208="NA",ChemData!Y208=""),"NA",I208/ChemData!Y208),"---")</f>
        <v>NA</v>
      </c>
      <c r="N208" s="870" t="str">
        <f>IF(Start!$C$17="x",IF(OR(I208="NA",I208="",G208="NA",G208=""),"NA",I208/G208),"---")</f>
        <v>NA</v>
      </c>
      <c r="O208" s="794" t="str">
        <f>IF(Start!$C$17="x",(IF(C208="","",(IF(N208="NA","NA",IF(D208="NA","NA",IF(D208=0,"NA",(N208/D208))))))),"Not Req.")</f>
        <v/>
      </c>
    </row>
    <row r="209" spans="1:15" s="10" customFormat="1" x14ac:dyDescent="0.25">
      <c r="A209" s="405" t="s">
        <v>527</v>
      </c>
      <c r="B209" s="868" t="str">
        <f>IF(Start!$C$17="x",(IF($C209="NA","NA",(IF(C209="","",(IF(AND(N209="NA",C209&lt;&gt;"NA",D209&lt;&gt;"NA"),"Missing Data",(IF(OR(D209 = "NA",D209=""),"No Criteria",(IF(N209&lt;D209,IF(OR(I209&lt;D209,ChemData!AA209&lt;&gt;""),"No-1",IF(M209&lt;D209,"No-2","No-3")),"Needed")))))))))),"---")</f>
        <v/>
      </c>
      <c r="C209" s="426" t="str">
        <f>IF(TRUE=ISBLANK(ChemData!B209),"",(ChemData!B209))</f>
        <v/>
      </c>
      <c r="D209" s="289">
        <f>IF(TRUE=ISBLANK(ChemData!J209),"",(ChemData!J209))</f>
        <v>2.2000000000000002</v>
      </c>
      <c r="E209" s="290">
        <f>IF(TRUE=ISBLANK(ChemData!Q209),"",(ChemData!Q209))</f>
        <v>255.50912737799382</v>
      </c>
      <c r="F209" s="290">
        <f>IF(TRUE=ISBLANK(ChemData!S209),"",(ChemData!S209))</f>
        <v>1</v>
      </c>
      <c r="G209" s="865">
        <f>IF(OR(TRUE=ISBLANK(ChemData!AA209),ChemData!AA209="NA",ChemData!AA209=0),ChemData!Z209,(ChemData!AA209))</f>
        <v>2731.6925474111094</v>
      </c>
      <c r="H209" s="685" t="str">
        <f>IF(Start!$C$17="x",(IF(OR(C209="NA",C209=""),"NA",IF(OR(F209="NA",F209="",F209=0),"NA",C209*F209))),"---")</f>
        <v>NA</v>
      </c>
      <c r="I209" s="376" t="str">
        <f>IF(Start!$C$17="x",(IF($E209 = "NA", "NA", (IF(H209 = "NA", "NA",(IF(OR(ChemData!U209="NA",ChemData!U209=""),H209/((Data!$D$18+$E209*(1-Data!$D$18)*Data!$D$14)/(1000*(1-Data!$D$18)*Data!$D$14)),(IF(H209/((Data!$D$18+$E209*(1-Data!$D$18)*Data!$D$14)/(1000*(1-Data!$D$18)*Data!$D$14))&gt;ChemData!U209, ChemData!U209,H209/((Data!$D$18+$E209*(1-Data!$D$18)*Data!$D$14)/(1000*(1-Data!$D$18)*Data!$D$14)))))))))),"---")</f>
        <v>NA</v>
      </c>
      <c r="J209" s="870" t="str">
        <f>IF(Start!$C$17="x",IF(OR(I209="NA",I209="",ChemData!W209="NA",ChemData!W209=""),"NA",I209/ChemData!W209),"---")</f>
        <v>NA</v>
      </c>
      <c r="K209" s="870" t="str">
        <f>IF(Start!$C$17="x",IF(J209="NA","NA",IF(Data!$D$68&lt;ChemData!X209,J209*(Data!$D$68/ChemData!X209),J209)),"---")</f>
        <v>NA</v>
      </c>
      <c r="L209" s="870" t="str">
        <f>IF(Start!$C$17="x",IF(OR(I209="NA",I209="",ChemData!Z209="NA",ChemData!Z209=""),"NA",I209/ChemData!Z209),"---")</f>
        <v>NA</v>
      </c>
      <c r="M209" s="870" t="str">
        <f>IF(Start!$C$17="x",IF(OR(I209="NA",I209="",ChemData!Y209="NA",ChemData!Y209=""),"NA",I209/ChemData!Y209),"---")</f>
        <v>NA</v>
      </c>
      <c r="N209" s="870" t="str">
        <f>IF(Start!$C$17="x",IF(OR(I209="NA",I209="",G209="NA",G209=""),"NA",I209/G209),"---")</f>
        <v>NA</v>
      </c>
      <c r="O209" s="794" t="str">
        <f>IF(Start!$C$17="x",(IF(C209="","",(IF(N209="NA","NA",IF(D209="NA","NA",IF(D209=0,"NA",(N209/D209))))))),"Not Req.")</f>
        <v/>
      </c>
    </row>
    <row r="210" spans="1:15" s="10" customFormat="1" x14ac:dyDescent="0.25">
      <c r="A210" s="405" t="s">
        <v>528</v>
      </c>
      <c r="B210" s="868" t="str">
        <f>IF(Start!$C$17="x",(IF($C210="NA","NA",(IF(C210="","",(IF(AND(N210="NA",C210&lt;&gt;"NA",D210&lt;&gt;"NA"),"Missing Data",(IF(OR(D210 = "NA",D210=""),"No Criteria",(IF(N210&lt;D210,IF(OR(I210&lt;D210,ChemData!AA210&lt;&gt;""),"No-1",IF(M210&lt;D210,"No-2","No-3")),"Needed")))))))))),"---")</f>
        <v/>
      </c>
      <c r="C210" s="426" t="str">
        <f>IF(TRUE=ISBLANK(ChemData!B210),"",(ChemData!B210))</f>
        <v/>
      </c>
      <c r="D210" s="289" t="str">
        <f>IF(TRUE=ISBLANK(ChemData!J210),"",(ChemData!J210))</f>
        <v>NA</v>
      </c>
      <c r="E210" s="290">
        <f>IF(TRUE=ISBLANK(ChemData!Q210),"",(ChemData!Q210))</f>
        <v>92.769756944408272</v>
      </c>
      <c r="F210" s="290">
        <f>IF(TRUE=ISBLANK(ChemData!S210),"",(ChemData!S210))</f>
        <v>1</v>
      </c>
      <c r="G210" s="865">
        <f>IF(OR(TRUE=ISBLANK(ChemData!AA210),ChemData!AA210="NA",ChemData!AA210=0),ChemData!Z210,(ChemData!AA210))</f>
        <v>616.97164854048935</v>
      </c>
      <c r="H210" s="685" t="str">
        <f>IF(Start!$C$17="x",(IF(OR(C210="NA",C210=""),"NA",IF(OR(F210="NA",F210="",F210=0),"NA",C210*F210))),"---")</f>
        <v>NA</v>
      </c>
      <c r="I210" s="376" t="str">
        <f>IF(Start!$C$17="x",(IF($E210 = "NA", "NA", (IF(H210 = "NA", "NA",(IF(OR(ChemData!U210="NA",ChemData!U210=""),H210/((Data!$D$18+$E210*(1-Data!$D$18)*Data!$D$14)/(1000*(1-Data!$D$18)*Data!$D$14)),(IF(H210/((Data!$D$18+$E210*(1-Data!$D$18)*Data!$D$14)/(1000*(1-Data!$D$18)*Data!$D$14))&gt;ChemData!U210, ChemData!U210,H210/((Data!$D$18+$E210*(1-Data!$D$18)*Data!$D$14)/(1000*(1-Data!$D$18)*Data!$D$14)))))))))),"---")</f>
        <v>NA</v>
      </c>
      <c r="J210" s="870" t="str">
        <f>IF(Start!$C$17="x",IF(OR(I210="NA",I210="",ChemData!W210="NA",ChemData!W210=""),"NA",I210/ChemData!W210),"---")</f>
        <v>NA</v>
      </c>
      <c r="K210" s="870" t="str">
        <f>IF(Start!$C$17="x",IF(J210="NA","NA",IF(Data!$D$68&lt;ChemData!X210,J210*(Data!$D$68/ChemData!X210),J210)),"---")</f>
        <v>NA</v>
      </c>
      <c r="L210" s="870" t="str">
        <f>IF(Start!$C$17="x",IF(OR(I210="NA",I210="",ChemData!Z210="NA",ChemData!Z210=""),"NA",I210/ChemData!Z210),"---")</f>
        <v>NA</v>
      </c>
      <c r="M210" s="870" t="str">
        <f>IF(Start!$C$17="x",IF(OR(I210="NA",I210="",ChemData!Y210="NA",ChemData!Y210=""),"NA",I210/ChemData!Y210),"---")</f>
        <v>NA</v>
      </c>
      <c r="N210" s="870" t="str">
        <f>IF(Start!$C$17="x",IF(OR(I210="NA",I210="",G210="NA",G210=""),"NA",I210/G210),"---")</f>
        <v>NA</v>
      </c>
      <c r="O210" s="794" t="str">
        <f>IF(Start!$C$17="x",(IF(C210="","",(IF(N210="NA","NA",IF(D210="NA","NA",IF(D210=0,"NA",(N210/D210))))))),"Not Req.")</f>
        <v/>
      </c>
    </row>
    <row r="211" spans="1:15" s="10" customFormat="1" x14ac:dyDescent="0.25">
      <c r="A211" s="405" t="s">
        <v>529</v>
      </c>
      <c r="B211" s="868" t="str">
        <f>IF(Start!$C$17="x",(IF($C211="NA","NA",(IF(C211="","",(IF(AND(N211="NA",C211&lt;&gt;"NA",D211&lt;&gt;"NA"),"Missing Data",(IF(OR(D211 = "NA",D211=""),"No Criteria",(IF(N211&lt;D211,IF(OR(I211&lt;D211,ChemData!AA211&lt;&gt;""),"No-1",IF(M211&lt;D211,"No-2","No-3")),"Needed")))))))))),"---")</f>
        <v/>
      </c>
      <c r="C211" s="426" t="str">
        <f>IF(TRUE=ISBLANK(ChemData!B211),"",(ChemData!B211))</f>
        <v/>
      </c>
      <c r="D211" s="289">
        <f>IF(TRUE=ISBLANK(ChemData!J211),"",(ChemData!J211))</f>
        <v>4.3E-3</v>
      </c>
      <c r="E211" s="290">
        <f>IF(TRUE=ISBLANK(ChemData!Q211),"",(ChemData!Q211))</f>
        <v>18510</v>
      </c>
      <c r="F211" s="290">
        <f>IF(TRUE=ISBLANK(ChemData!S211),"",(ChemData!S211))</f>
        <v>1</v>
      </c>
      <c r="G211" s="865">
        <f>IF(OR(TRUE=ISBLANK(ChemData!AA211),ChemData!AA211="NA",ChemData!AA211=0),ChemData!Z211,(ChemData!AA211))</f>
        <v>1472157.6049373213</v>
      </c>
      <c r="H211" s="685" t="str">
        <f>IF(Start!$C$17="x",(IF(OR(C211="NA",C211=""),"NA",IF(OR(F211="NA",F211="",F211=0),"NA",C211*F211))),"---")</f>
        <v>NA</v>
      </c>
      <c r="I211" s="376" t="str">
        <f>IF(Start!$C$17="x",(IF($E211 = "NA", "NA", (IF(H211 = "NA", "NA",(IF(OR(ChemData!U211="NA",ChemData!U211=""),H211/((Data!$D$18+$E211*(1-Data!$D$18)*Data!$D$14)/(1000*(1-Data!$D$18)*Data!$D$14)),(IF(H211/((Data!$D$18+$E211*(1-Data!$D$18)*Data!$D$14)/(1000*(1-Data!$D$18)*Data!$D$14))&gt;ChemData!U211, ChemData!U211,H211/((Data!$D$18+$E211*(1-Data!$D$18)*Data!$D$14)/(1000*(1-Data!$D$18)*Data!$D$14)))))))))),"---")</f>
        <v>NA</v>
      </c>
      <c r="J211" s="870" t="str">
        <f>IF(Start!$C$17="x",IF(OR(I211="NA",I211="",ChemData!W211="NA",ChemData!W211=""),"NA",I211/ChemData!W211),"---")</f>
        <v>NA</v>
      </c>
      <c r="K211" s="870" t="str">
        <f>IF(Start!$C$17="x",IF(J211="NA","NA",IF(Data!$D$68&lt;ChemData!X211,J211*(Data!$D$68/ChemData!X211),J211)),"---")</f>
        <v>NA</v>
      </c>
      <c r="L211" s="870" t="str">
        <f>IF(Start!$C$17="x",IF(OR(I211="NA",I211="",ChemData!Z211="NA",ChemData!Z211=""),"NA",I211/ChemData!Z211),"---")</f>
        <v>NA</v>
      </c>
      <c r="M211" s="870" t="str">
        <f>IF(Start!$C$17="x",IF(OR(I211="NA",I211="",ChemData!Y211="NA",ChemData!Y211=""),"NA",I211/ChemData!Y211),"---")</f>
        <v>NA</v>
      </c>
      <c r="N211" s="870" t="str">
        <f>IF(Start!$C$17="x",IF(OR(I211="NA",I211="",G211="NA",G211=""),"NA",I211/G211),"---")</f>
        <v>NA</v>
      </c>
      <c r="O211" s="794" t="str">
        <f>IF(Start!$C$17="x",(IF(C211="","",(IF(N211="NA","NA",IF(D211="NA","NA",IF(D211=0,"NA",(N211/D211))))))),"Not Req.")</f>
        <v/>
      </c>
    </row>
    <row r="212" spans="1:15" s="10" customFormat="1" x14ac:dyDescent="0.25">
      <c r="A212" s="405" t="s">
        <v>530</v>
      </c>
      <c r="B212" s="868" t="str">
        <f>IF(Start!$C$17="x",(IF($C212="NA","NA",(IF(C212="","",(IF(AND(N212="NA",C212&lt;&gt;"NA",D212&lt;&gt;"NA"),"Missing Data",(IF(OR(D212 = "NA",D212=""),"No Criteria",(IF(N212&lt;D212,IF(OR(I212&lt;D212,ChemData!AA212&lt;&gt;""),"No-1",IF(M212&lt;D212,"No-2","No-3")),"Needed")))))))))),"---")</f>
        <v/>
      </c>
      <c r="C212" s="426" t="str">
        <f>IF(TRUE=ISBLANK(ChemData!B212),"",(ChemData!B212))</f>
        <v/>
      </c>
      <c r="D212" s="289">
        <f>IF(TRUE=ISBLANK(ChemData!J212),"",(ChemData!J212))</f>
        <v>4.3E-3</v>
      </c>
      <c r="E212" s="290">
        <f>IF(TRUE=ISBLANK(ChemData!Q212),"",(ChemData!Q212))</f>
        <v>47578.025939051717</v>
      </c>
      <c r="F212" s="290">
        <f>IF(TRUE=ISBLANK(ChemData!S212),"",(ChemData!S212))</f>
        <v>1</v>
      </c>
      <c r="G212" s="865">
        <f>IF(OR(TRUE=ISBLANK(ChemData!AA212),ChemData!AA212="NA",ChemData!AA212=0),ChemData!Z212,(ChemData!AA212))</f>
        <v>5889305.7630685186</v>
      </c>
      <c r="H212" s="685" t="str">
        <f>IF(Start!$C$17="x",(IF(OR(C212="NA",C212=""),"NA",IF(OR(F212="NA",F212="",F212=0),"NA",C212*F212))),"---")</f>
        <v>NA</v>
      </c>
      <c r="I212" s="376" t="str">
        <f>IF(Start!$C$17="x",(IF($E212 = "NA", "NA", (IF(H212 = "NA", "NA",(IF(OR(ChemData!U212="NA",ChemData!U212=""),H212/((Data!$D$18+$E212*(1-Data!$D$18)*Data!$D$14)/(1000*(1-Data!$D$18)*Data!$D$14)),(IF(H212/((Data!$D$18+$E212*(1-Data!$D$18)*Data!$D$14)/(1000*(1-Data!$D$18)*Data!$D$14))&gt;ChemData!U212, ChemData!U212,H212/((Data!$D$18+$E212*(1-Data!$D$18)*Data!$D$14)/(1000*(1-Data!$D$18)*Data!$D$14)))))))))),"---")</f>
        <v>NA</v>
      </c>
      <c r="J212" s="870" t="str">
        <f>IF(Start!$C$17="x",IF(OR(I212="NA",I212="",ChemData!W212="NA",ChemData!W212=""),"NA",I212/ChemData!W212),"---")</f>
        <v>NA</v>
      </c>
      <c r="K212" s="870" t="str">
        <f>IF(Start!$C$17="x",IF(J212="NA","NA",IF(Data!$D$68&lt;ChemData!X212,J212*(Data!$D$68/ChemData!X212),J212)),"---")</f>
        <v>NA</v>
      </c>
      <c r="L212" s="870" t="str">
        <f>IF(Start!$C$17="x",IF(OR(I212="NA",I212="",ChemData!Z212="NA",ChemData!Z212=""),"NA",I212/ChemData!Z212),"---")</f>
        <v>NA</v>
      </c>
      <c r="M212" s="870" t="str">
        <f>IF(Start!$C$17="x",IF(OR(I212="NA",I212="",ChemData!Y212="NA",ChemData!Y212=""),"NA",I212/ChemData!Y212),"---")</f>
        <v>NA</v>
      </c>
      <c r="N212" s="870" t="str">
        <f>IF(Start!$C$17="x",IF(OR(I212="NA",I212="",G212="NA",G212=""),"NA",I212/G212),"---")</f>
        <v>NA</v>
      </c>
      <c r="O212" s="794" t="str">
        <f>IF(Start!$C$17="x",(IF(C212="","",(IF(N212="NA","NA",IF(D212="NA","NA",IF(D212=0,"NA",(N212/D212))))))),"Not Req.")</f>
        <v/>
      </c>
    </row>
    <row r="213" spans="1:15" s="10" customFormat="1" x14ac:dyDescent="0.25">
      <c r="A213" s="405" t="s">
        <v>531</v>
      </c>
      <c r="B213" s="868" t="str">
        <f>IF(Start!$C$17="x",(IF($C213="NA","NA",(IF(C213="","",(IF(AND(N213="NA",C213&lt;&gt;"NA",D213&lt;&gt;"NA"),"Missing Data",(IF(OR(D213 = "NA",D213=""),"No Criteria",(IF(N213&lt;D213,IF(OR(I213&lt;D213,ChemData!AA213&lt;&gt;""),"No-1",IF(M213&lt;D213,"No-2","No-3")),"Needed")))))))))),"---")</f>
        <v/>
      </c>
      <c r="C213" s="426" t="str">
        <f>IF(TRUE=ISBLANK(ChemData!B213),"",(ChemData!B213))</f>
        <v/>
      </c>
      <c r="D213" s="289">
        <f>IF(TRUE=ISBLANK(ChemData!J213),"",(ChemData!J213))</f>
        <v>4.3E-3</v>
      </c>
      <c r="E213" s="290">
        <f>IF(TRUE=ISBLANK(ChemData!Q213),"",(ChemData!Q213))</f>
        <v>1116.153</v>
      </c>
      <c r="F213" s="290">
        <f>IF(TRUE=ISBLANK(ChemData!S213),"",(ChemData!S213))</f>
        <v>1</v>
      </c>
      <c r="G213" s="865">
        <f>IF(OR(TRUE=ISBLANK(ChemData!AA213),ChemData!AA213="NA",ChemData!AA213=0),ChemData!Z213,(ChemData!AA213))</f>
        <v>23810.938635147624</v>
      </c>
      <c r="H213" s="685" t="str">
        <f>IF(Start!$C$17="x",(IF(OR(C213="NA",C213=""),"NA",IF(OR(F213="NA",F213="",F213=0),"NA",C213*F213))),"---")</f>
        <v>NA</v>
      </c>
      <c r="I213" s="376" t="str">
        <f>IF(Start!$C$17="x",(IF($E213 = "NA", "NA", (IF(H213 = "NA", "NA",(IF(OR(ChemData!U213="NA",ChemData!U213=""),H213/((Data!$D$18+$E213*(1-Data!$D$18)*Data!$D$14)/(1000*(1-Data!$D$18)*Data!$D$14)),(IF(H213/((Data!$D$18+$E213*(1-Data!$D$18)*Data!$D$14)/(1000*(1-Data!$D$18)*Data!$D$14))&gt;ChemData!U213, ChemData!U213,H213/((Data!$D$18+$E213*(1-Data!$D$18)*Data!$D$14)/(1000*(1-Data!$D$18)*Data!$D$14)))))))))),"---")</f>
        <v>NA</v>
      </c>
      <c r="J213" s="870" t="str">
        <f>IF(Start!$C$17="x",IF(OR(I213="NA",I213="",ChemData!W213="NA",ChemData!W213=""),"NA",I213/ChemData!W213),"---")</f>
        <v>NA</v>
      </c>
      <c r="K213" s="870" t="str">
        <f>IF(Start!$C$17="x",IF(J213="NA","NA",IF(Data!$D$68&lt;ChemData!X213,J213*(Data!$D$68/ChemData!X213),J213)),"---")</f>
        <v>NA</v>
      </c>
      <c r="L213" s="870" t="str">
        <f>IF(Start!$C$17="x",IF(OR(I213="NA",I213="",ChemData!Z213="NA",ChemData!Z213=""),"NA",I213/ChemData!Z213),"---")</f>
        <v>NA</v>
      </c>
      <c r="M213" s="870" t="str">
        <f>IF(Start!$C$17="x",IF(OR(I213="NA",I213="",ChemData!Y213="NA",ChemData!Y213=""),"NA",I213/ChemData!Y213),"---")</f>
        <v>NA</v>
      </c>
      <c r="N213" s="870" t="str">
        <f>IF(Start!$C$17="x",IF(OR(I213="NA",I213="",G213="NA",G213=""),"NA",I213/G213),"---")</f>
        <v>NA</v>
      </c>
      <c r="O213" s="794" t="str">
        <f>IF(Start!$C$17="x",(IF(C213="","",(IF(N213="NA","NA",IF(D213="NA","NA",IF(D213=0,"NA",(N213/D213))))))),"Not Req.")</f>
        <v/>
      </c>
    </row>
    <row r="214" spans="1:15" s="10" customFormat="1" x14ac:dyDescent="0.25">
      <c r="A214" s="307" t="s">
        <v>532</v>
      </c>
      <c r="B214" s="868" t="str">
        <f>IF(Start!$C$17="x",(IF($C214="NA","NA",(IF(C214="","",(IF(AND(N214="NA",C214&lt;&gt;"NA",D214&lt;&gt;"NA"),"Missing Data",(IF(OR(D214 = "NA",D214=""),"No Criteria",(IF(N214&lt;D214,IF(OR(I214&lt;D214,ChemData!AA214&lt;&gt;""),"No-1",IF(M214&lt;D214,"No-2","No-3")),"Needed")))))))))),"---")</f>
        <v/>
      </c>
      <c r="C214" s="426" t="str">
        <f>IF(TRUE=ISBLANK(ChemData!B214),"",(ChemData!B214))</f>
        <v/>
      </c>
      <c r="D214" s="289" t="str">
        <f>IF(TRUE=ISBLANK(ChemData!J214),"",(ChemData!J214))</f>
        <v>NA</v>
      </c>
      <c r="E214" s="290">
        <f>IF(TRUE=ISBLANK(ChemData!Q214),"",(ChemData!Q214))</f>
        <v>7201.2256338441457</v>
      </c>
      <c r="F214" s="290">
        <f>IF(TRUE=ISBLANK(ChemData!S214),"",(ChemData!S214))</f>
        <v>1</v>
      </c>
      <c r="G214" s="865">
        <f>IF(OR(TRUE=ISBLANK(ChemData!AA214),ChemData!AA214="NA",ChemData!AA214=0),ChemData!Z214,(ChemData!AA214))</f>
        <v>367997.19711710035</v>
      </c>
      <c r="H214" s="685" t="str">
        <f>IF(Start!$C$17="x",(IF(OR(C214="NA",C214=""),"NA",IF(OR(F214="NA",F214="",F214=0),"NA",C214*F214))),"---")</f>
        <v>NA</v>
      </c>
      <c r="I214" s="376" t="str">
        <f>IF(Start!$C$17="x",(IF($E214 = "NA", "NA", (IF(H214 = "NA", "NA",(IF(OR(ChemData!U214="NA",ChemData!U214=""),H214/((Data!$D$18+$E214*(1-Data!$D$18)*Data!$D$14)/(1000*(1-Data!$D$18)*Data!$D$14)),(IF(H214/((Data!$D$18+$E214*(1-Data!$D$18)*Data!$D$14)/(1000*(1-Data!$D$18)*Data!$D$14))&gt;ChemData!U214, ChemData!U214,H214/((Data!$D$18+$E214*(1-Data!$D$18)*Data!$D$14)/(1000*(1-Data!$D$18)*Data!$D$14)))))))))),"---")</f>
        <v>NA</v>
      </c>
      <c r="J214" s="870" t="str">
        <f>IF(Start!$C$17="x",IF(OR(I214="NA",I214="",ChemData!W214="NA",ChemData!W214=""),"NA",I214/ChemData!W214),"---")</f>
        <v>NA</v>
      </c>
      <c r="K214" s="870" t="str">
        <f>IF(Start!$C$17="x",IF(J214="NA","NA",IF(Data!$D$68&lt;ChemData!X214,J214*(Data!$D$68/ChemData!X214),J214)),"---")</f>
        <v>NA</v>
      </c>
      <c r="L214" s="870" t="str">
        <f>IF(Start!$C$17="x",IF(OR(I214="NA",I214="",ChemData!Z214="NA",ChemData!Z214=""),"NA",I214/ChemData!Z214),"---")</f>
        <v>NA</v>
      </c>
      <c r="M214" s="870" t="str">
        <f>IF(Start!$C$17="x",IF(OR(I214="NA",I214="",ChemData!Y214="NA",ChemData!Y214=""),"NA",I214/ChemData!Y214),"---")</f>
        <v>NA</v>
      </c>
      <c r="N214" s="870" t="str">
        <f>IF(Start!$C$17="x",IF(OR(I214="NA",I214="",G214="NA",G214=""),"NA",I214/G214),"---")</f>
        <v>NA</v>
      </c>
      <c r="O214" s="794" t="str">
        <f>IF(Start!$C$17="x",(IF(C214="","",(IF(N214="NA","NA",IF(D214="NA","NA",IF(D214=0,"NA",(N214/D214))))))),"Not Req.")</f>
        <v/>
      </c>
    </row>
    <row r="215" spans="1:15" s="10" customFormat="1" x14ac:dyDescent="0.25">
      <c r="A215" s="407" t="s">
        <v>533</v>
      </c>
      <c r="B215" s="868" t="str">
        <f>IF(Start!$C$17="x",(IF($C215="NA","NA",(IF(C215="","",(IF(AND(N215="NA",C215&lt;&gt;"NA",D215&lt;&gt;"NA"),"Missing Data",(IF(OR(D215 = "NA",D215=""),"No Criteria",(IF(N215&lt;D215,IF(OR(I215&lt;D215,ChemData!AA215&lt;&gt;""),"No-1",IF(M215&lt;D215,"No-2","No-3")),"Needed")))))))))),"---")</f>
        <v/>
      </c>
      <c r="C215" s="426" t="str">
        <f>IF(TRUE=ISBLANK(ChemData!B215),"",(ChemData!B215))</f>
        <v/>
      </c>
      <c r="D215" s="289" t="str">
        <f>IF(TRUE=ISBLANK(ChemData!J215),"",(ChemData!J215))</f>
        <v>NA</v>
      </c>
      <c r="E215" s="290">
        <f>IF(TRUE=ISBLANK(ChemData!Q215),"",(ChemData!Q215))</f>
        <v>8.0799080547654754</v>
      </c>
      <c r="F215" s="290">
        <f>IF(TRUE=ISBLANK(ChemData!S215),"",(ChemData!S215))</f>
        <v>1</v>
      </c>
      <c r="G215" s="865">
        <f>IF(OR(TRUE=ISBLANK(ChemData!AA215),ChemData!AA215="NA",ChemData!AA215=0),ChemData!Z215,(ChemData!AA215))</f>
        <v>17.12344333357839</v>
      </c>
      <c r="H215" s="685" t="str">
        <f>IF(Start!$C$17="x",(IF(OR(C215="NA",C215=""),"NA",IF(OR(F215="NA",F215="",F215=0),"NA",C215*F215))),"---")</f>
        <v>NA</v>
      </c>
      <c r="I215" s="376" t="str">
        <f>IF(Start!$C$17="x",(IF($E215 = "NA", "NA", (IF(H215 = "NA", "NA",(IF(OR(ChemData!U215="NA",ChemData!U215=""),H215/((Data!$D$18+$E215*(1-Data!$D$18)*Data!$D$14)/(1000*(1-Data!$D$18)*Data!$D$14)),(IF(H215/((Data!$D$18+$E215*(1-Data!$D$18)*Data!$D$14)/(1000*(1-Data!$D$18)*Data!$D$14))&gt;ChemData!U215, ChemData!U215,H215/((Data!$D$18+$E215*(1-Data!$D$18)*Data!$D$14)/(1000*(1-Data!$D$18)*Data!$D$14)))))))))),"---")</f>
        <v>NA</v>
      </c>
      <c r="J215" s="870" t="str">
        <f>IF(Start!$C$17="x",IF(OR(I215="NA",I215="",ChemData!W215="NA",ChemData!W215=""),"NA",I215/ChemData!W215),"---")</f>
        <v>NA</v>
      </c>
      <c r="K215" s="870" t="str">
        <f>IF(Start!$C$17="x",IF(J215="NA","NA",IF(Data!$D$68&lt;ChemData!X215,J215*(Data!$D$68/ChemData!X215),J215)),"---")</f>
        <v>NA</v>
      </c>
      <c r="L215" s="870" t="str">
        <f>IF(Start!$C$17="x",IF(OR(I215="NA",I215="",ChemData!Z215="NA",ChemData!Z215=""),"NA",I215/ChemData!Z215),"---")</f>
        <v>NA</v>
      </c>
      <c r="M215" s="870" t="str">
        <f>IF(Start!$C$17="x",IF(OR(I215="NA",I215="",ChemData!Y215="NA",ChemData!Y215=""),"NA",I215/ChemData!Y215),"---")</f>
        <v>NA</v>
      </c>
      <c r="N215" s="870" t="str">
        <f>IF(Start!$C$17="x",IF(OR(I215="NA",I215="",G215="NA",G215=""),"NA",I215/G215),"---")</f>
        <v>NA</v>
      </c>
      <c r="O215" s="794" t="str">
        <f>IF(Start!$C$17="x",(IF(C215="","",(IF(N215="NA","NA",IF(D215="NA","NA",IF(D215=0,"NA",(N215/D215))))))),"Not Req.")</f>
        <v/>
      </c>
    </row>
    <row r="216" spans="1:15" s="10" customFormat="1" x14ac:dyDescent="0.25">
      <c r="A216" s="407" t="s">
        <v>534</v>
      </c>
      <c r="B216" s="868" t="str">
        <f>IF(Start!$C$17="x",(IF($C216="NA","NA",(IF(C216="","",(IF(AND(N216="NA",C216&lt;&gt;"NA",D216&lt;&gt;"NA"),"Missing Data",(IF(OR(D216 = "NA",D216=""),"No Criteria",(IF(N216&lt;D216,IF(OR(I216&lt;D216,ChemData!AA216&lt;&gt;""),"No-1",IF(M216&lt;D216,"No-2","No-3")),"Needed")))))))))),"---")</f>
        <v/>
      </c>
      <c r="C216" s="426" t="str">
        <f>IF(TRUE=ISBLANK(ChemData!B216),"",(ChemData!B216))</f>
        <v/>
      </c>
      <c r="D216" s="289" t="str">
        <f>IF(TRUE=ISBLANK(ChemData!J216),"",(ChemData!J216))</f>
        <v>NA</v>
      </c>
      <c r="E216" s="290">
        <f>IF(TRUE=ISBLANK(ChemData!Q216),"",(ChemData!Q216))</f>
        <v>13721.652566479994</v>
      </c>
      <c r="F216" s="290">
        <f>IF(TRUE=ISBLANK(ChemData!S216),"",(ChemData!S216))</f>
        <v>1</v>
      </c>
      <c r="G216" s="865">
        <f>IF(OR(TRUE=ISBLANK(ChemData!AA216),ChemData!AA216="NA",ChemData!AA216=0),ChemData!Z216,(ChemData!AA216))</f>
        <v>948508.97507719207</v>
      </c>
      <c r="H216" s="685" t="str">
        <f>IF(Start!$C$17="x",(IF(OR(C216="NA",C216=""),"NA",IF(OR(F216="NA",F216="",F216=0),"NA",C216*F216))),"---")</f>
        <v>NA</v>
      </c>
      <c r="I216" s="376" t="str">
        <f>IF(Start!$C$17="x",(IF($E216 = "NA", "NA", (IF(H216 = "NA", "NA",(IF(OR(ChemData!U216="NA",ChemData!U216=""),H216/((Data!$D$18+$E216*(1-Data!$D$18)*Data!$D$14)/(1000*(1-Data!$D$18)*Data!$D$14)),(IF(H216/((Data!$D$18+$E216*(1-Data!$D$18)*Data!$D$14)/(1000*(1-Data!$D$18)*Data!$D$14))&gt;ChemData!U216, ChemData!U216,H216/((Data!$D$18+$E216*(1-Data!$D$18)*Data!$D$14)/(1000*(1-Data!$D$18)*Data!$D$14)))))))))),"---")</f>
        <v>NA</v>
      </c>
      <c r="J216" s="870" t="str">
        <f>IF(Start!$C$17="x",IF(OR(I216="NA",I216="",ChemData!W216="NA",ChemData!W216=""),"NA",I216/ChemData!W216),"---")</f>
        <v>NA</v>
      </c>
      <c r="K216" s="870" t="str">
        <f>IF(Start!$C$17="x",IF(J216="NA","NA",IF(Data!$D$68&lt;ChemData!X216,J216*(Data!$D$68/ChemData!X216),J216)),"---")</f>
        <v>NA</v>
      </c>
      <c r="L216" s="870" t="str">
        <f>IF(Start!$C$17="x",IF(OR(I216="NA",I216="",ChemData!Z216="NA",ChemData!Z216=""),"NA",I216/ChemData!Z216),"---")</f>
        <v>NA</v>
      </c>
      <c r="M216" s="870" t="str">
        <f>IF(Start!$C$17="x",IF(OR(I216="NA",I216="",ChemData!Y216="NA",ChemData!Y216=""),"NA",I216/ChemData!Y216),"---")</f>
        <v>NA</v>
      </c>
      <c r="N216" s="870" t="str">
        <f>IF(Start!$C$17="x",IF(OR(I216="NA",I216="",G216="NA",G216=""),"NA",I216/G216),"---")</f>
        <v>NA</v>
      </c>
      <c r="O216" s="794" t="str">
        <f>IF(Start!$C$17="x",(IF(C216="","",(IF(N216="NA","NA",IF(D216="NA","NA",IF(D216=0,"NA",(N216/D216))))))),"Not Req.")</f>
        <v/>
      </c>
    </row>
    <row r="217" spans="1:15" s="10" customFormat="1" x14ac:dyDescent="0.25">
      <c r="A217" s="407" t="s">
        <v>535</v>
      </c>
      <c r="B217" s="868" t="str">
        <f>IF(Start!$C$17="x",(IF($C217="NA","NA",(IF(C217="","",(IF(AND(N217="NA",C217&lt;&gt;"NA",D217&lt;&gt;"NA"),"Missing Data",(IF(OR(D217 = "NA",D217=""),"No Criteria",(IF(N217&lt;D217,IF(OR(I217&lt;D217,ChemData!AA217&lt;&gt;""),"No-1",IF(M217&lt;D217,"No-2","No-3")),"Needed")))))))))),"---")</f>
        <v/>
      </c>
      <c r="C217" s="426" t="str">
        <f>IF(TRUE=ISBLANK(ChemData!B217),"",(ChemData!B217))</f>
        <v/>
      </c>
      <c r="D217" s="289">
        <f>IF(TRUE=ISBLANK(ChemData!J217),"",(ChemData!J217))</f>
        <v>1.0999999999999999E-2</v>
      </c>
      <c r="E217" s="290">
        <f>IF(TRUE=ISBLANK(ChemData!Q217),"",(ChemData!Q217))</f>
        <v>18510</v>
      </c>
      <c r="F217" s="290">
        <f>IF(TRUE=ISBLANK(ChemData!S217),"",(ChemData!S217))</f>
        <v>1</v>
      </c>
      <c r="G217" s="865">
        <f>IF(OR(TRUE=ISBLANK(ChemData!AA217),ChemData!AA217="NA",ChemData!AA217=0),ChemData!Z217,(ChemData!AA217))</f>
        <v>1472157.6049373213</v>
      </c>
      <c r="H217" s="685" t="str">
        <f>IF(Start!$C$17="x",(IF(OR(C217="NA",C217=""),"NA",IF(OR(F217="NA",F217="",F217=0),"NA",C217*F217))),"---")</f>
        <v>NA</v>
      </c>
      <c r="I217" s="376" t="str">
        <f>IF(Start!$C$17="x",(IF($E217 = "NA", "NA", (IF(H217 = "NA", "NA",(IF(OR(ChemData!U217="NA",ChemData!U217=""),H217/((Data!$D$18+$E217*(1-Data!$D$18)*Data!$D$14)/(1000*(1-Data!$D$18)*Data!$D$14)),(IF(H217/((Data!$D$18+$E217*(1-Data!$D$18)*Data!$D$14)/(1000*(1-Data!$D$18)*Data!$D$14))&gt;ChemData!U217, ChemData!U217,H217/((Data!$D$18+$E217*(1-Data!$D$18)*Data!$D$14)/(1000*(1-Data!$D$18)*Data!$D$14)))))))))),"---")</f>
        <v>NA</v>
      </c>
      <c r="J217" s="870" t="str">
        <f>IF(Start!$C$17="x",IF(OR(I217="NA",I217="",ChemData!W217="NA",ChemData!W217=""),"NA",I217/ChemData!W217),"---")</f>
        <v>NA</v>
      </c>
      <c r="K217" s="870" t="str">
        <f>IF(Start!$C$17="x",IF(J217="NA","NA",IF(Data!$D$68&lt;ChemData!X217,J217*(Data!$D$68/ChemData!X217),J217)),"---")</f>
        <v>NA</v>
      </c>
      <c r="L217" s="870" t="str">
        <f>IF(Start!$C$17="x",IF(OR(I217="NA",I217="",ChemData!Z217="NA",ChemData!Z217=""),"NA",I217/ChemData!Z217),"---")</f>
        <v>NA</v>
      </c>
      <c r="M217" s="870" t="str">
        <f>IF(Start!$C$17="x",IF(OR(I217="NA",I217="",ChemData!Y217="NA",ChemData!Y217=""),"NA",I217/ChemData!Y217),"---")</f>
        <v>NA</v>
      </c>
      <c r="N217" s="870" t="str">
        <f>IF(Start!$C$17="x",IF(OR(I217="NA",I217="",G217="NA",G217=""),"NA",I217/G217),"---")</f>
        <v>NA</v>
      </c>
      <c r="O217" s="794" t="str">
        <f>IF(Start!$C$17="x",(IF(C217="","",(IF(N217="NA","NA",IF(D217="NA","NA",IF(D217=0,"NA",(N217/D217))))))),"Not Req.")</f>
        <v/>
      </c>
    </row>
    <row r="218" spans="1:15" s="10" customFormat="1" x14ac:dyDescent="0.25">
      <c r="A218" s="405" t="s">
        <v>686</v>
      </c>
      <c r="B218" s="868" t="str">
        <f>IF(Start!$C$17="x",(IF($C218="NA","NA",(IF(C218="","",(IF(AND(N218="NA",C218&lt;&gt;"NA",D218&lt;&gt;"NA"),"Missing Data",(IF(OR(D218 = "NA",D218=""),"No Criteria",(IF(N218&lt;D218,IF(OR(I218&lt;D218,ChemData!AA218&lt;&gt;""),"No-1",IF(M218&lt;D218,"No-2","No-3")),"Needed")))))))))),"---")</f>
        <v/>
      </c>
      <c r="C218" s="426" t="str">
        <f>IF(TRUE=ISBLANK(ChemData!B218),"",(ChemData!B218))</f>
        <v/>
      </c>
      <c r="D218" s="289" t="str">
        <f>IF(TRUE=ISBLANK(ChemData!J218),"",(ChemData!J218))</f>
        <v>NA</v>
      </c>
      <c r="E218" s="290">
        <f>IF(TRUE=ISBLANK(ChemData!Q218),"",(ChemData!Q218))</f>
        <v>185100</v>
      </c>
      <c r="F218" s="290">
        <f>IF(TRUE=ISBLANK(ChemData!S218),"",(ChemData!S218))</f>
        <v>1</v>
      </c>
      <c r="G218" s="865">
        <f>IF(OR(TRUE=ISBLANK(ChemData!AA218),ChemData!AA218="NA",ChemData!AA218=0),ChemData!Z218,(ChemData!AA218))</f>
        <v>43302680.908008166</v>
      </c>
      <c r="H218" s="685" t="str">
        <f>IF(Start!$C$17="x",(IF(OR(C218="NA",C218=""),"NA",IF(OR(F218="NA",F218="",F218=0),"NA",C218*F218))),"---")</f>
        <v>NA</v>
      </c>
      <c r="I218" s="376" t="str">
        <f>IF(Start!$C$17="x",(IF($E218 = "NA", "NA", (IF(H218 = "NA", "NA",(IF(OR(ChemData!U218="NA",ChemData!U218=""),H218/((Data!$D$18+$E218*(1-Data!$D$18)*Data!$D$14)/(1000*(1-Data!$D$18)*Data!$D$14)),(IF(H218/((Data!$D$18+$E218*(1-Data!$D$18)*Data!$D$14)/(1000*(1-Data!$D$18)*Data!$D$14))&gt;ChemData!U218, ChemData!U218,H218/((Data!$D$18+$E218*(1-Data!$D$18)*Data!$D$14)/(1000*(1-Data!$D$18)*Data!$D$14)))))))))),"---")</f>
        <v>NA</v>
      </c>
      <c r="J218" s="870" t="str">
        <f>IF(Start!$C$17="x",IF(OR(I218="NA",I218="",ChemData!W218="NA",ChemData!W218=""),"NA",I218/ChemData!W218),"---")</f>
        <v>NA</v>
      </c>
      <c r="K218" s="870" t="str">
        <f>IF(Start!$C$17="x",IF(J218="NA","NA",IF(Data!$D$68&lt;ChemData!X218,J218*(Data!$D$68/ChemData!X218),J218)),"---")</f>
        <v>NA</v>
      </c>
      <c r="L218" s="870" t="str">
        <f>IF(Start!$C$17="x",IF(OR(I218="NA",I218="",ChemData!Z218="NA",ChemData!Z218=""),"NA",I218/ChemData!Z218),"---")</f>
        <v>NA</v>
      </c>
      <c r="M218" s="870" t="str">
        <f>IF(Start!$C$17="x",IF(OR(I218="NA",I218="",ChemData!Y218="NA",ChemData!Y218=""),"NA",I218/ChemData!Y218),"---")</f>
        <v>NA</v>
      </c>
      <c r="N218" s="870" t="str">
        <f>IF(Start!$C$17="x",IF(OR(I218="NA",I218="",G218="NA",G218=""),"NA",I218/G218),"---")</f>
        <v>NA</v>
      </c>
      <c r="O218" s="794" t="str">
        <f>IF(Start!$C$17="x",(IF(C218="","",(IF(N218="NA","NA",IF(D218="NA","NA",IF(D218=0,"NA",(N218/D218))))))),"Not Req.")</f>
        <v/>
      </c>
    </row>
    <row r="219" spans="1:15" s="10" customFormat="1" x14ac:dyDescent="0.25">
      <c r="A219" s="405" t="s">
        <v>687</v>
      </c>
      <c r="B219" s="868" t="str">
        <f>IF(Start!$C$17="x",(IF($C219="NA","NA",(IF(C219="","",(IF(AND(N219="NA",C219&lt;&gt;"NA",D219&lt;&gt;"NA"),"Missing Data",(IF(OR(D219 = "NA",D219=""),"No Criteria",(IF(N219&lt;D219,IF(OR(I219&lt;D219,ChemData!AA219&lt;&gt;""),"No-1",IF(M219&lt;D219,"No-2","No-3")),"Needed")))))))))),"---")</f>
        <v/>
      </c>
      <c r="C219" s="426" t="str">
        <f>IF(TRUE=ISBLANK(ChemData!B219),"",(ChemData!B219))</f>
        <v/>
      </c>
      <c r="D219" s="289" t="str">
        <f>IF(TRUE=ISBLANK(ChemData!J219),"",(ChemData!J219))</f>
        <v>NA</v>
      </c>
      <c r="E219" s="290">
        <f>IF(TRUE=ISBLANK(ChemData!Q219),"",(ChemData!Q219))</f>
        <v>5098.0773298789536</v>
      </c>
      <c r="F219" s="290">
        <f>IF(TRUE=ISBLANK(ChemData!S219),"",(ChemData!S219))</f>
        <v>1</v>
      </c>
      <c r="G219" s="865">
        <f>IF(OR(TRUE=ISBLANK(ChemData!AA219),ChemData!AA219="NA",ChemData!AA219=0),ChemData!Z219,(ChemData!AA219))</f>
        <v>221595.24607400125</v>
      </c>
      <c r="H219" s="685" t="str">
        <f>IF(Start!$C$17="x",(IF(OR(C219="NA",C219=""),"NA",IF(OR(F219="NA",F219="",F219=0),"NA",C219*F219))),"---")</f>
        <v>NA</v>
      </c>
      <c r="I219" s="376" t="str">
        <f>IF(Start!$C$17="x",(IF($E219 = "NA", "NA", (IF(H219 = "NA", "NA",(IF(OR(ChemData!U219="NA",ChemData!U219=""),H219/((Data!$D$18+$E219*(1-Data!$D$18)*Data!$D$14)/(1000*(1-Data!$D$18)*Data!$D$14)),(IF(H219/((Data!$D$18+$E219*(1-Data!$D$18)*Data!$D$14)/(1000*(1-Data!$D$18)*Data!$D$14))&gt;ChemData!U219, ChemData!U219,H219/((Data!$D$18+$E219*(1-Data!$D$18)*Data!$D$14)/(1000*(1-Data!$D$18)*Data!$D$14)))))))))),"---")</f>
        <v>NA</v>
      </c>
      <c r="J219" s="870" t="str">
        <f>IF(Start!$C$17="x",IF(OR(I219="NA",I219="",ChemData!W219="NA",ChemData!W219=""),"NA",I219/ChemData!W219),"---")</f>
        <v>NA</v>
      </c>
      <c r="K219" s="870" t="str">
        <f>IF(Start!$C$17="x",IF(J219="NA","NA",IF(Data!$D$68&lt;ChemData!X219,J219*(Data!$D$68/ChemData!X219),J219)),"---")</f>
        <v>NA</v>
      </c>
      <c r="L219" s="870" t="str">
        <f>IF(Start!$C$17="x",IF(OR(I219="NA",I219="",ChemData!Z219="NA",ChemData!Z219=""),"NA",I219/ChemData!Z219),"---")</f>
        <v>NA</v>
      </c>
      <c r="M219" s="870" t="str">
        <f>IF(Start!$C$17="x",IF(OR(I219="NA",I219="",ChemData!Y219="NA",ChemData!Y219=""),"NA",I219/ChemData!Y219),"---")</f>
        <v>NA</v>
      </c>
      <c r="N219" s="870" t="str">
        <f>IF(Start!$C$17="x",IF(OR(I219="NA",I219="",G219="NA",G219=""),"NA",I219/G219),"---")</f>
        <v>NA</v>
      </c>
      <c r="O219" s="794" t="str">
        <f>IF(Start!$C$17="x",(IF(C219="","",(IF(N219="NA","NA",IF(D219="NA","NA",IF(D219=0,"NA",(N219/D219))))))),"Not Req.")</f>
        <v/>
      </c>
    </row>
    <row r="220" spans="1:15" s="10" customFormat="1" x14ac:dyDescent="0.25">
      <c r="A220" s="405" t="s">
        <v>538</v>
      </c>
      <c r="B220" s="868" t="str">
        <f>IF(Start!$C$17="x",(IF($C220="NA","NA",(IF(C220="","",(IF(AND(N220="NA",C220&lt;&gt;"NA",D220&lt;&gt;"NA"),"Missing Data",(IF(OR(D220 = "NA",D220=""),"No Criteria",(IF(N220&lt;D220,IF(OR(I220&lt;D220,ChemData!AA220&lt;&gt;""),"No-1",IF(M220&lt;D220,"No-2","No-3")),"Needed")))))))))),"---")</f>
        <v/>
      </c>
      <c r="C220" s="426" t="str">
        <f>IF(TRUE=ISBLANK(ChemData!B220),"",(ChemData!B220))</f>
        <v/>
      </c>
      <c r="D220" s="289" t="str">
        <f>IF(TRUE=ISBLANK(ChemData!J220),"",(ChemData!J220))</f>
        <v>NA</v>
      </c>
      <c r="E220" s="290">
        <f>IF(TRUE=ISBLANK(ChemData!Q220),"",(ChemData!Q220))</f>
        <v>114131.73484456044</v>
      </c>
      <c r="F220" s="290">
        <f>IF(TRUE=ISBLANK(ChemData!S220),"",(ChemData!S220))</f>
        <v>1</v>
      </c>
      <c r="G220" s="865">
        <f>IF(OR(TRUE=ISBLANK(ChemData!AA220),ChemData!AA220="NA",ChemData!AA220=0),ChemData!Z220,(ChemData!AA220))</f>
        <v>21287128.626940329</v>
      </c>
      <c r="H220" s="685" t="str">
        <f>IF(Start!$C$17="x",(IF(OR(C220="NA",C220=""),"NA",IF(OR(F220="NA",F220="",F220=0),"NA",C220*F220))),"---")</f>
        <v>NA</v>
      </c>
      <c r="I220" s="376" t="str">
        <f>IF(Start!$C$17="x",(IF($E220 = "NA", "NA", (IF(H220 = "NA", "NA",(IF(OR(ChemData!U220="NA",ChemData!U220=""),H220/((Data!$D$18+$E220*(1-Data!$D$18)*Data!$D$14)/(1000*(1-Data!$D$18)*Data!$D$14)),(IF(H220/((Data!$D$18+$E220*(1-Data!$D$18)*Data!$D$14)/(1000*(1-Data!$D$18)*Data!$D$14))&gt;ChemData!U220, ChemData!U220,H220/((Data!$D$18+$E220*(1-Data!$D$18)*Data!$D$14)/(1000*(1-Data!$D$18)*Data!$D$14)))))))))),"---")</f>
        <v>NA</v>
      </c>
      <c r="J220" s="870" t="str">
        <f>IF(Start!$C$17="x",IF(OR(I220="NA",I220="",ChemData!W220="NA",ChemData!W220=""),"NA",I220/ChemData!W220),"---")</f>
        <v>NA</v>
      </c>
      <c r="K220" s="870" t="str">
        <f>IF(Start!$C$17="x",IF(J220="NA","NA",IF(Data!$D$68&lt;ChemData!X220,J220*(Data!$D$68/ChemData!X220),J220)),"---")</f>
        <v>NA</v>
      </c>
      <c r="L220" s="870" t="str">
        <f>IF(Start!$C$17="x",IF(OR(I220="NA",I220="",ChemData!Z220="NA",ChemData!Z220=""),"NA",I220/ChemData!Z220),"---")</f>
        <v>NA</v>
      </c>
      <c r="M220" s="870" t="str">
        <f>IF(Start!$C$17="x",IF(OR(I220="NA",I220="",ChemData!Y220="NA",ChemData!Y220=""),"NA",I220/ChemData!Y220),"---")</f>
        <v>NA</v>
      </c>
      <c r="N220" s="870" t="str">
        <f>IF(Start!$C$17="x",IF(OR(I220="NA",I220="",G220="NA",G220=""),"NA",I220/G220),"---")</f>
        <v>NA</v>
      </c>
      <c r="O220" s="794" t="str">
        <f>IF(Start!$C$17="x",(IF(C220="","",(IF(N220="NA","NA",IF(D220="NA","NA",IF(D220=0,"NA",(N220/D220))))))),"Not Req.")</f>
        <v/>
      </c>
    </row>
    <row r="221" spans="1:15" s="10" customFormat="1" x14ac:dyDescent="0.25">
      <c r="A221" s="405" t="s">
        <v>688</v>
      </c>
      <c r="B221" s="868" t="str">
        <f>IF(Start!$C$17="x",(IF($C221="NA","NA",(IF(C221="","",(IF(AND(N221="NA",C221&lt;&gt;"NA",D221&lt;&gt;"NA"),"Missing Data",(IF(OR(D221 = "NA",D221=""),"No Criteria",(IF(N221&lt;D221,IF(OR(I221&lt;D221,ChemData!AA221&lt;&gt;""),"No-1",IF(M221&lt;D221,"No-2","No-3")),"Needed")))))))))),"---")</f>
        <v/>
      </c>
      <c r="C221" s="426" t="str">
        <f>IF(TRUE=ISBLANK(ChemData!B221),"",(ChemData!B221))</f>
        <v/>
      </c>
      <c r="D221" s="289">
        <f>IF(TRUE=ISBLANK(ChemData!J221),"",(ChemData!J221))</f>
        <v>1E-3</v>
      </c>
      <c r="E221" s="290">
        <f>IF(TRUE=ISBLANK(ChemData!Q221),"",(ChemData!Q221))</f>
        <v>28690.5</v>
      </c>
      <c r="F221" s="290">
        <f>IF(TRUE=ISBLANK(ChemData!S221),"",(ChemData!S221))</f>
        <v>1</v>
      </c>
      <c r="G221" s="865">
        <f>IF(OR(TRUE=ISBLANK(ChemData!AA221),ChemData!AA221="NA",ChemData!AA221=0),ChemData!Z221,(ChemData!AA221))</f>
        <v>2801998.6159877894</v>
      </c>
      <c r="H221" s="685" t="str">
        <f>IF(Start!$C$17="x",(IF(OR(C221="NA",C221=""),"NA",IF(OR(F221="NA",F221="",F221=0),"NA",C221*F221))),"---")</f>
        <v>NA</v>
      </c>
      <c r="I221" s="376" t="str">
        <f>IF(Start!$C$17="x",(IF($E221 = "NA", "NA", (IF(H221 = "NA", "NA",(IF(OR(ChemData!U221="NA",ChemData!U221=""),H221/((Data!$D$18+$E221*(1-Data!$D$18)*Data!$D$14)/(1000*(1-Data!$D$18)*Data!$D$14)),(IF(H221/((Data!$D$18+$E221*(1-Data!$D$18)*Data!$D$14)/(1000*(1-Data!$D$18)*Data!$D$14))&gt;ChemData!U221, ChemData!U221,H221/((Data!$D$18+$E221*(1-Data!$D$18)*Data!$D$14)/(1000*(1-Data!$D$18)*Data!$D$14)))))))))),"---")</f>
        <v>NA</v>
      </c>
      <c r="J221" s="870" t="str">
        <f>IF(Start!$C$17="x",IF(OR(I221="NA",I221="",ChemData!W221="NA",ChemData!W221=""),"NA",I221/ChemData!W221),"---")</f>
        <v>NA</v>
      </c>
      <c r="K221" s="870" t="str">
        <f>IF(Start!$C$17="x",IF(J221="NA","NA",IF(Data!$D$68&lt;ChemData!X221,J221*(Data!$D$68/ChemData!X221),J221)),"---")</f>
        <v>NA</v>
      </c>
      <c r="L221" s="870" t="str">
        <f>IF(Start!$C$17="x",IF(OR(I221="NA",I221="",ChemData!Z221="NA",ChemData!Z221=""),"NA",I221/ChemData!Z221),"---")</f>
        <v>NA</v>
      </c>
      <c r="M221" s="870" t="str">
        <f>IF(Start!$C$17="x",IF(OR(I221="NA",I221="",ChemData!Y221="NA",ChemData!Y221=""),"NA",I221/ChemData!Y221),"---")</f>
        <v>NA</v>
      </c>
      <c r="N221" s="870" t="str">
        <f>IF(Start!$C$17="x",IF(OR(I221="NA",I221="",G221="NA",G221=""),"NA",I221/G221),"---")</f>
        <v>NA</v>
      </c>
      <c r="O221" s="794" t="str">
        <f>IF(Start!$C$17="x",(IF(C221="","",(IF(N221="NA","NA",IF(D221="NA","NA",IF(D221=0,"NA",(N221/D221))))))),"Not Req.")</f>
        <v/>
      </c>
    </row>
    <row r="222" spans="1:15" s="10" customFormat="1" x14ac:dyDescent="0.25">
      <c r="A222" s="405" t="s">
        <v>689</v>
      </c>
      <c r="B222" s="868" t="str">
        <f>IF(Start!$C$17="x",(IF($C222="NA","NA",(IF(C222="","",(IF(AND(N222="NA",C222&lt;&gt;"NA",D222&lt;&gt;"NA"),"Missing Data",(IF(OR(D222 = "NA",D222=""),"No Criteria",(IF(N222&lt;D222,IF(OR(I222&lt;D222,ChemData!AA222&lt;&gt;""),"No-1",IF(M222&lt;D222,"No-2","No-3")),"Needed")))))))))),"---")</f>
        <v/>
      </c>
      <c r="C222" s="426" t="str">
        <f>IF(TRUE=ISBLANK(ChemData!B222),"",(ChemData!B222))</f>
        <v/>
      </c>
      <c r="D222" s="289" t="str">
        <f>IF(TRUE=ISBLANK(ChemData!J222),"",(ChemData!J222))</f>
        <v>NA</v>
      </c>
      <c r="E222" s="290">
        <f>IF(TRUE=ISBLANK(ChemData!Q222),"",(ChemData!Q222))</f>
        <v>464.9501784724244</v>
      </c>
      <c r="F222" s="290">
        <f>IF(TRUE=ISBLANK(ChemData!S222),"",(ChemData!S222))</f>
        <v>1</v>
      </c>
      <c r="G222" s="865">
        <f>IF(OR(TRUE=ISBLANK(ChemData!AA222),ChemData!AA222="NA",ChemData!AA222=0),ChemData!Z222,(ChemData!AA222))</f>
        <v>6580.4795238146735</v>
      </c>
      <c r="H222" s="685" t="str">
        <f>IF(Start!$C$17="x",(IF(OR(C222="NA",C222=""),"NA",IF(OR(F222="NA",F222="",F222=0),"NA",C222*F222))),"---")</f>
        <v>NA</v>
      </c>
      <c r="I222" s="376" t="str">
        <f>IF(Start!$C$17="x",(IF($E222 = "NA", "NA", (IF(H222 = "NA", "NA",(IF(OR(ChemData!U222="NA",ChemData!U222=""),H222/((Data!$D$18+$E222*(1-Data!$D$18)*Data!$D$14)/(1000*(1-Data!$D$18)*Data!$D$14)),(IF(H222/((Data!$D$18+$E222*(1-Data!$D$18)*Data!$D$14)/(1000*(1-Data!$D$18)*Data!$D$14))&gt;ChemData!U222, ChemData!U222,H222/((Data!$D$18+$E222*(1-Data!$D$18)*Data!$D$14)/(1000*(1-Data!$D$18)*Data!$D$14)))))))))),"---")</f>
        <v>NA</v>
      </c>
      <c r="J222" s="870" t="str">
        <f>IF(Start!$C$17="x",IF(OR(I222="NA",I222="",ChemData!W222="NA",ChemData!W222=""),"NA",I222/ChemData!W222),"---")</f>
        <v>NA</v>
      </c>
      <c r="K222" s="870" t="str">
        <f>IF(Start!$C$17="x",IF(J222="NA","NA",IF(Data!$D$68&lt;ChemData!X222,J222*(Data!$D$68/ChemData!X222),J222)),"---")</f>
        <v>NA</v>
      </c>
      <c r="L222" s="870" t="str">
        <f>IF(Start!$C$17="x",IF(OR(I222="NA",I222="",ChemData!Z222="NA",ChemData!Z222=""),"NA",I222/ChemData!Z222),"---")</f>
        <v>NA</v>
      </c>
      <c r="M222" s="870" t="str">
        <f>IF(Start!$C$17="x",IF(OR(I222="NA",I222="",ChemData!Y222="NA",ChemData!Y222=""),"NA",I222/ChemData!Y222),"---")</f>
        <v>NA</v>
      </c>
      <c r="N222" s="870" t="str">
        <f>IF(Start!$C$17="x",IF(OR(I222="NA",I222="",G222="NA",G222=""),"NA",I222/G222),"---")</f>
        <v>NA</v>
      </c>
      <c r="O222" s="794" t="str">
        <f>IF(Start!$C$17="x",(IF(C222="","",(IF(N222="NA","NA",IF(D222="NA","NA",IF(D222=0,"NA",(N222/D222))))))),"Not Req.")</f>
        <v/>
      </c>
    </row>
    <row r="223" spans="1:15" s="10" customFormat="1" x14ac:dyDescent="0.25">
      <c r="A223" s="405" t="s">
        <v>541</v>
      </c>
      <c r="B223" s="868" t="str">
        <f>IF(Start!$C$17="x",(IF($C223="NA","NA",(IF(C223="","",(IF(AND(N223="NA",C223&lt;&gt;"NA",D223&lt;&gt;"NA"),"Missing Data",(IF(OR(D223 = "NA",D223=""),"No Criteria",(IF(N223&lt;D223,IF(OR(I223&lt;D223,ChemData!AA223&lt;&gt;""),"No-1",IF(M223&lt;D223,"No-2","No-3")),"Needed")))))))))),"---")</f>
        <v/>
      </c>
      <c r="C223" s="426" t="str">
        <f>IF(TRUE=ISBLANK(ChemData!B223),"",(ChemData!B223))</f>
        <v/>
      </c>
      <c r="D223" s="289" t="str">
        <f>IF(TRUE=ISBLANK(ChemData!J223),"",(ChemData!J223))</f>
        <v>NA</v>
      </c>
      <c r="E223" s="290">
        <f>IF(TRUE=ISBLANK(ChemData!Q223),"",(ChemData!Q223))</f>
        <v>11.950056</v>
      </c>
      <c r="F223" s="290">
        <f>IF(TRUE=ISBLANK(ChemData!S223),"",(ChemData!S223))</f>
        <v>1</v>
      </c>
      <c r="G223" s="865">
        <f>IF(OR(TRUE=ISBLANK(ChemData!AA223),ChemData!AA223="NA",ChemData!AA223=0),ChemData!Z223,(ChemData!AA223))</f>
        <v>30.422353721685152</v>
      </c>
      <c r="H223" s="685" t="str">
        <f>IF(Start!$C$17="x",(IF(OR(C223="NA",C223=""),"NA",IF(OR(F223="NA",F223="",F223=0),"NA",C223*F223))),"---")</f>
        <v>NA</v>
      </c>
      <c r="I223" s="376" t="str">
        <f>IF(Start!$C$17="x",(IF($E223 = "NA", "NA", (IF(H223 = "NA", "NA",(IF(OR(ChemData!U223="NA",ChemData!U223=""),H223/((Data!$D$18+$E223*(1-Data!$D$18)*Data!$D$14)/(1000*(1-Data!$D$18)*Data!$D$14)),(IF(H223/((Data!$D$18+$E223*(1-Data!$D$18)*Data!$D$14)/(1000*(1-Data!$D$18)*Data!$D$14))&gt;ChemData!U223, ChemData!U223,H223/((Data!$D$18+$E223*(1-Data!$D$18)*Data!$D$14)/(1000*(1-Data!$D$18)*Data!$D$14)))))))))),"---")</f>
        <v>NA</v>
      </c>
      <c r="J223" s="870" t="str">
        <f>IF(Start!$C$17="x",IF(OR(I223="NA",I223="",ChemData!W223="NA",ChemData!W223=""),"NA",I223/ChemData!W223),"---")</f>
        <v>NA</v>
      </c>
      <c r="K223" s="870" t="str">
        <f>IF(Start!$C$17="x",IF(J223="NA","NA",IF(Data!$D$68&lt;ChemData!X223,J223*(Data!$D$68/ChemData!X223),J223)),"---")</f>
        <v>NA</v>
      </c>
      <c r="L223" s="870" t="str">
        <f>IF(Start!$C$17="x",IF(OR(I223="NA",I223="",ChemData!Z223="NA",ChemData!Z223=""),"NA",I223/ChemData!Z223),"---")</f>
        <v>NA</v>
      </c>
      <c r="M223" s="870" t="str">
        <f>IF(Start!$C$17="x",IF(OR(I223="NA",I223="",ChemData!Y223="NA",ChemData!Y223=""),"NA",I223/ChemData!Y223),"---")</f>
        <v>NA</v>
      </c>
      <c r="N223" s="870" t="str">
        <f>IF(Start!$C$17="x",IF(OR(I223="NA",I223="",G223="NA",G223=""),"NA",I223/G223),"---")</f>
        <v>NA</v>
      </c>
      <c r="O223" s="794" t="str">
        <f>IF(Start!$C$17="x",(IF(C223="","",(IF(N223="NA","NA",IF(D223="NA","NA",IF(D223=0,"NA",(N223/D223))))))),"Not Req.")</f>
        <v/>
      </c>
    </row>
    <row r="224" spans="1:15" s="10" customFormat="1" x14ac:dyDescent="0.25">
      <c r="A224" s="405" t="s">
        <v>542</v>
      </c>
      <c r="B224" s="868" t="str">
        <f>IF(Start!$C$17="x",(IF($C224="NA","NA",(IF(C224="","",(IF(AND(N224="NA",C224&lt;&gt;"NA",D224&lt;&gt;"NA"),"Missing Data",(IF(OR(D224 = "NA",D224=""),"No Criteria",(IF(N224&lt;D224,IF(OR(I224&lt;D224,ChemData!AA224&lt;&gt;""),"No-1",IF(M224&lt;D224,"No-2","No-3")),"Needed")))))))))),"---")</f>
        <v/>
      </c>
      <c r="C224" s="426" t="str">
        <f>IF(TRUE=ISBLANK(ChemData!B224),"",(ChemData!B224))</f>
        <v/>
      </c>
      <c r="D224" s="289" t="str">
        <f>IF(TRUE=ISBLANK(ChemData!J224),"",(ChemData!J224))</f>
        <v>NA</v>
      </c>
      <c r="E224" s="290">
        <f>IF(TRUE=ISBLANK(ChemData!Q224),"",(ChemData!Q224))</f>
        <v>1938.234942442215</v>
      </c>
      <c r="F224" s="290">
        <f>IF(TRUE=ISBLANK(ChemData!S224),"",(ChemData!S224))</f>
        <v>1</v>
      </c>
      <c r="G224" s="865">
        <f>IF(OR(TRUE=ISBLANK(ChemData!AA224),ChemData!AA224="NA",ChemData!AA224=0),ChemData!Z224,(ChemData!AA224))</f>
        <v>53550.685971816703</v>
      </c>
      <c r="H224" s="685" t="str">
        <f>IF(Start!$C$17="x",(IF(OR(C224="NA",C224=""),"NA",IF(OR(F224="NA",F224="",F224=0),"NA",C224*F224))),"---")</f>
        <v>NA</v>
      </c>
      <c r="I224" s="376" t="str">
        <f>IF(Start!$C$17="x",(IF($E224 = "NA", "NA", (IF(H224 = "NA", "NA",(IF(OR(ChemData!U224="NA",ChemData!U224=""),H224/((Data!$D$18+$E224*(1-Data!$D$18)*Data!$D$14)/(1000*(1-Data!$D$18)*Data!$D$14)),(IF(H224/((Data!$D$18+$E224*(1-Data!$D$18)*Data!$D$14)/(1000*(1-Data!$D$18)*Data!$D$14))&gt;ChemData!U224, ChemData!U224,H224/((Data!$D$18+$E224*(1-Data!$D$18)*Data!$D$14)/(1000*(1-Data!$D$18)*Data!$D$14)))))))))),"---")</f>
        <v>NA</v>
      </c>
      <c r="J224" s="870" t="str">
        <f>IF(Start!$C$17="x",IF(OR(I224="NA",I224="",ChemData!W224="NA",ChemData!W224=""),"NA",I224/ChemData!W224),"---")</f>
        <v>NA</v>
      </c>
      <c r="K224" s="870" t="str">
        <f>IF(Start!$C$17="x",IF(J224="NA","NA",IF(Data!$D$68&lt;ChemData!X224,J224*(Data!$D$68/ChemData!X224),J224)),"---")</f>
        <v>NA</v>
      </c>
      <c r="L224" s="870" t="str">
        <f>IF(Start!$C$17="x",IF(OR(I224="NA",I224="",ChemData!Z224="NA",ChemData!Z224=""),"NA",I224/ChemData!Z224),"---")</f>
        <v>NA</v>
      </c>
      <c r="M224" s="870" t="str">
        <f>IF(Start!$C$17="x",IF(OR(I224="NA",I224="",ChemData!Y224="NA",ChemData!Y224=""),"NA",I224/ChemData!Y224),"---")</f>
        <v>NA</v>
      </c>
      <c r="N224" s="870" t="str">
        <f>IF(Start!$C$17="x",IF(OR(I224="NA",I224="",G224="NA",G224=""),"NA",I224/G224),"---")</f>
        <v>NA</v>
      </c>
      <c r="O224" s="794" t="str">
        <f>IF(Start!$C$17="x",(IF(C224="","",(IF(N224="NA","NA",IF(D224="NA","NA",IF(D224=0,"NA",(N224/D224))))))),"Not Req.")</f>
        <v/>
      </c>
    </row>
    <row r="225" spans="1:15" s="10" customFormat="1" x14ac:dyDescent="0.25">
      <c r="A225" s="405" t="s">
        <v>543</v>
      </c>
      <c r="B225" s="868" t="str">
        <f>IF(Start!$C$17="x",(IF($C225="NA","NA",(IF(C225="","",(IF(AND(N225="NA",C225&lt;&gt;"NA",D225&lt;&gt;"NA"),"Missing Data",(IF(OR(D225 = "NA",D225=""),"No Criteria",(IF(N225&lt;D225,IF(OR(I225&lt;D225,ChemData!AA225&lt;&gt;""),"No-1",IF(M225&lt;D225,"No-2","No-3")),"Needed")))))))))),"---")</f>
        <v/>
      </c>
      <c r="C225" s="426" t="str">
        <f>IF(TRUE=ISBLANK(ChemData!B225),"",(ChemData!B225))</f>
        <v/>
      </c>
      <c r="D225" s="289">
        <f>IF(TRUE=ISBLANK(ChemData!J225),"",(ChemData!J225))</f>
        <v>5.6000000000000001E-2</v>
      </c>
      <c r="E225" s="290">
        <f>IF(TRUE=ISBLANK(ChemData!Q225),"",(ChemData!Q225))</f>
        <v>4339.1675371571837</v>
      </c>
      <c r="F225" s="290">
        <f>IF(TRUE=ISBLANK(ChemData!S225),"",(ChemData!S225))</f>
        <v>1</v>
      </c>
      <c r="G225" s="865">
        <f>IF(OR(TRUE=ISBLANK(ChemData!AA225),ChemData!AA225="NA",ChemData!AA225=0),ChemData!Z225,(ChemData!AA225))</f>
        <v>174888.48100294577</v>
      </c>
      <c r="H225" s="685" t="str">
        <f>IF(Start!$C$17="x",(IF(OR(C225="NA",C225=""),"NA",IF(OR(F225="NA",F225="",F225=0),"NA",C225*F225))),"---")</f>
        <v>NA</v>
      </c>
      <c r="I225" s="376" t="str">
        <f>IF(Start!$C$17="x",(IF($E225 = "NA", "NA", (IF(H225 = "NA", "NA",(IF(OR(ChemData!U225="NA",ChemData!U225=""),H225/((Data!$D$18+$E225*(1-Data!$D$18)*Data!$D$14)/(1000*(1-Data!$D$18)*Data!$D$14)),(IF(H225/((Data!$D$18+$E225*(1-Data!$D$18)*Data!$D$14)/(1000*(1-Data!$D$18)*Data!$D$14))&gt;ChemData!U225, ChemData!U225,H225/((Data!$D$18+$E225*(1-Data!$D$18)*Data!$D$14)/(1000*(1-Data!$D$18)*Data!$D$14)))))))))),"---")</f>
        <v>NA</v>
      </c>
      <c r="J225" s="870" t="str">
        <f>IF(Start!$C$17="x",IF(OR(I225="NA",I225="",ChemData!W225="NA",ChemData!W225=""),"NA",I225/ChemData!W225),"---")</f>
        <v>NA</v>
      </c>
      <c r="K225" s="870" t="str">
        <f>IF(Start!$C$17="x",IF(J225="NA","NA",IF(Data!$D$68&lt;ChemData!X225,J225*(Data!$D$68/ChemData!X225),J225)),"---")</f>
        <v>NA</v>
      </c>
      <c r="L225" s="870" t="str">
        <f>IF(Start!$C$17="x",IF(OR(I225="NA",I225="",ChemData!Z225="NA",ChemData!Z225=""),"NA",I225/ChemData!Z225),"---")</f>
        <v>NA</v>
      </c>
      <c r="M225" s="870" t="str">
        <f>IF(Start!$C$17="x",IF(OR(I225="NA",I225="",ChemData!Y225="NA",ChemData!Y225=""),"NA",I225/ChemData!Y225),"---")</f>
        <v>NA</v>
      </c>
      <c r="N225" s="870" t="str">
        <f>IF(Start!$C$17="x",IF(OR(I225="NA",I225="",G225="NA",G225=""),"NA",I225/G225),"---")</f>
        <v>NA</v>
      </c>
      <c r="O225" s="794" t="str">
        <f>IF(Start!$C$17="x",(IF(C225="","",(IF(N225="NA","NA",IF(D225="NA","NA",IF(D225=0,"NA",(N225/D225))))))),"Not Req.")</f>
        <v/>
      </c>
    </row>
    <row r="226" spans="1:15" s="10" customFormat="1" x14ac:dyDescent="0.25">
      <c r="A226" s="405" t="s">
        <v>544</v>
      </c>
      <c r="B226" s="868" t="str">
        <f>IF(Start!$C$17="x",(IF($C226="NA","NA",(IF(C226="","",(IF(AND(N226="NA",C226&lt;&gt;"NA",D226&lt;&gt;"NA"),"Missing Data",(IF(OR(D226 = "NA",D226=""),"No Criteria",(IF(N226&lt;D226,IF(OR(I226&lt;D226,ChemData!AA226&lt;&gt;""),"No-1",IF(M226&lt;D226,"No-2","No-3")),"Needed")))))))))),"---")</f>
        <v/>
      </c>
      <c r="C226" s="426" t="str">
        <f>IF(TRUE=ISBLANK(ChemData!B226),"",(ChemData!B226))</f>
        <v/>
      </c>
      <c r="D226" s="289">
        <f>IF(TRUE=ISBLANK(ChemData!J226),"",(ChemData!J226))</f>
        <v>5.6000000000000001E-2</v>
      </c>
      <c r="E226" s="290">
        <f>IF(TRUE=ISBLANK(ChemData!Q226),"",(ChemData!Q226))</f>
        <v>77.162522880359163</v>
      </c>
      <c r="F226" s="290">
        <f>IF(TRUE=ISBLANK(ChemData!S226),"",(ChemData!S226))</f>
        <v>1</v>
      </c>
      <c r="G226" s="865">
        <f>IF(OR(TRUE=ISBLANK(ChemData!AA226),ChemData!AA226="NA",ChemData!AA226=0),ChemData!Z226,(ChemData!AA226))</f>
        <v>470.73920471359901</v>
      </c>
      <c r="H226" s="685" t="str">
        <f>IF(Start!$C$17="x",(IF(OR(C226="NA",C226=""),"NA",IF(OR(F226="NA",F226="",F226=0),"NA",C226*F226))),"---")</f>
        <v>NA</v>
      </c>
      <c r="I226" s="376" t="str">
        <f>IF(Start!$C$17="x",(IF($E226 = "NA", "NA", (IF(H226 = "NA", "NA",(IF(OR(ChemData!U226="NA",ChemData!U226=""),H226/((Data!$D$18+$E226*(1-Data!$D$18)*Data!$D$14)/(1000*(1-Data!$D$18)*Data!$D$14)),(IF(H226/((Data!$D$18+$E226*(1-Data!$D$18)*Data!$D$14)/(1000*(1-Data!$D$18)*Data!$D$14))&gt;ChemData!U226, ChemData!U226,H226/((Data!$D$18+$E226*(1-Data!$D$18)*Data!$D$14)/(1000*(1-Data!$D$18)*Data!$D$14)))))))))),"---")</f>
        <v>NA</v>
      </c>
      <c r="J226" s="870" t="str">
        <f>IF(Start!$C$17="x",IF(OR(I226="NA",I226="",ChemData!W226="NA",ChemData!W226=""),"NA",I226/ChemData!W226),"---")</f>
        <v>NA</v>
      </c>
      <c r="K226" s="870" t="str">
        <f>IF(Start!$C$17="x",IF(J226="NA","NA",IF(Data!$D$68&lt;ChemData!X226,J226*(Data!$D$68/ChemData!X226),J226)),"---")</f>
        <v>NA</v>
      </c>
      <c r="L226" s="870" t="str">
        <f>IF(Start!$C$17="x",IF(OR(I226="NA",I226="",ChemData!Z226="NA",ChemData!Z226=""),"NA",I226/ChemData!Z226),"---")</f>
        <v>NA</v>
      </c>
      <c r="M226" s="870" t="str">
        <f>IF(Start!$C$17="x",IF(OR(I226="NA",I226="",ChemData!Y226="NA",ChemData!Y226=""),"NA",I226/ChemData!Y226),"---")</f>
        <v>NA</v>
      </c>
      <c r="N226" s="870" t="str">
        <f>IF(Start!$C$17="x",IF(OR(I226="NA",I226="",G226="NA",G226=""),"NA",I226/G226),"---")</f>
        <v>NA</v>
      </c>
      <c r="O226" s="794" t="str">
        <f>IF(Start!$C$17="x",(IF(C226="","",(IF(N226="NA","NA",IF(D226="NA","NA",IF(D226=0,"NA",(N226/D226))))))),"Not Req.")</f>
        <v/>
      </c>
    </row>
    <row r="227" spans="1:15" s="10" customFormat="1" x14ac:dyDescent="0.25">
      <c r="A227" s="405" t="s">
        <v>545</v>
      </c>
      <c r="B227" s="868" t="str">
        <f>IF(Start!$C$17="x",(IF($C227="NA","NA",(IF(C227="","",(IF(AND(N227="NA",C227&lt;&gt;"NA",D227&lt;&gt;"NA"),"Missing Data",(IF(OR(D227 = "NA",D227=""),"No Criteria",(IF(N227&lt;D227,IF(OR(I227&lt;D227,ChemData!AA227&lt;&gt;""),"No-1",IF(M227&lt;D227,"No-2","No-3")),"Needed")))))))))),"---")</f>
        <v/>
      </c>
      <c r="C227" s="426" t="str">
        <f>IF(TRUE=ISBLANK(ChemData!B227),"",(ChemData!B227))</f>
        <v/>
      </c>
      <c r="D227" s="289">
        <f>IF(TRUE=ISBLANK(ChemData!J227),"",(ChemData!J227))</f>
        <v>5.6000000000000001E-2</v>
      </c>
      <c r="E227" s="290">
        <f>IF(TRUE=ISBLANK(ChemData!Q227),"",(ChemData!Q227))</f>
        <v>125.14295874505591</v>
      </c>
      <c r="F227" s="290">
        <f>IF(TRUE=ISBLANK(ChemData!S227),"",(ChemData!S227))</f>
        <v>1</v>
      </c>
      <c r="G227" s="865">
        <f>IF(OR(TRUE=ISBLANK(ChemData!AA227),ChemData!AA227="NA",ChemData!AA227=0),ChemData!Z227,(ChemData!AA227))</f>
        <v>957.58662099710602</v>
      </c>
      <c r="H227" s="685" t="str">
        <f>IF(Start!$C$17="x",(IF(OR(C227="NA",C227=""),"NA",IF(OR(F227="NA",F227="",F227=0),"NA",C227*F227))),"---")</f>
        <v>NA</v>
      </c>
      <c r="I227" s="376" t="str">
        <f>IF(Start!$C$17="x",(IF($E227 = "NA", "NA", (IF(H227 = "NA", "NA",(IF(OR(ChemData!U227="NA",ChemData!U227=""),H227/((Data!$D$18+$E227*(1-Data!$D$18)*Data!$D$14)/(1000*(1-Data!$D$18)*Data!$D$14)),(IF(H227/((Data!$D$18+$E227*(1-Data!$D$18)*Data!$D$14)/(1000*(1-Data!$D$18)*Data!$D$14))&gt;ChemData!U227, ChemData!U227,H227/((Data!$D$18+$E227*(1-Data!$D$18)*Data!$D$14)/(1000*(1-Data!$D$18)*Data!$D$14)))))))))),"---")</f>
        <v>NA</v>
      </c>
      <c r="J227" s="870" t="str">
        <f>IF(Start!$C$17="x",IF(OR(I227="NA",I227="",ChemData!W227="NA",ChemData!W227=""),"NA",I227/ChemData!W227),"---")</f>
        <v>NA</v>
      </c>
      <c r="K227" s="870" t="str">
        <f>IF(Start!$C$17="x",IF(J227="NA","NA",IF(Data!$D$68&lt;ChemData!X227,J227*(Data!$D$68/ChemData!X227),J227)),"---")</f>
        <v>NA</v>
      </c>
      <c r="L227" s="870" t="str">
        <f>IF(Start!$C$17="x",IF(OR(I227="NA",I227="",ChemData!Z227="NA",ChemData!Z227=""),"NA",I227/ChemData!Z227),"---")</f>
        <v>NA</v>
      </c>
      <c r="M227" s="870" t="str">
        <f>IF(Start!$C$17="x",IF(OR(I227="NA",I227="",ChemData!Y227="NA",ChemData!Y227=""),"NA",I227/ChemData!Y227),"---")</f>
        <v>NA</v>
      </c>
      <c r="N227" s="870" t="str">
        <f>IF(Start!$C$17="x",IF(OR(I227="NA",I227="",G227="NA",G227=""),"NA",I227/G227),"---")</f>
        <v>NA</v>
      </c>
      <c r="O227" s="794" t="str">
        <f>IF(Start!$C$17="x",(IF(C227="","",(IF(N227="NA","NA",IF(D227="NA","NA",IF(D227=0,"NA",(N227/D227))))))),"Not Req.")</f>
        <v/>
      </c>
    </row>
    <row r="228" spans="1:15" s="10" customFormat="1" x14ac:dyDescent="0.25">
      <c r="A228" s="405" t="s">
        <v>546</v>
      </c>
      <c r="B228" s="868" t="str">
        <f>IF(Start!$C$17="x",(IF($C228="NA","NA",(IF(C228="","",(IF(AND(N228="NA",C228&lt;&gt;"NA",D228&lt;&gt;"NA"),"Missing Data",(IF(OR(D228 = "NA",D228=""),"No Criteria",(IF(N228&lt;D228,IF(OR(I228&lt;D228,ChemData!AA228&lt;&gt;""),"No-1",IF(M228&lt;D228,"No-2","No-3")),"Needed")))))))))),"---")</f>
        <v/>
      </c>
      <c r="C228" s="426" t="str">
        <f>IF(TRUE=ISBLANK(ChemData!B228),"",(ChemData!B228))</f>
        <v/>
      </c>
      <c r="D228" s="289" t="str">
        <f>IF(TRUE=ISBLANK(ChemData!J228),"",(ChemData!J228))</f>
        <v>NA</v>
      </c>
      <c r="E228" s="290">
        <f>IF(TRUE=ISBLANK(ChemData!Q228),"",(ChemData!Q228))</f>
        <v>84.607023897713418</v>
      </c>
      <c r="F228" s="290">
        <f>IF(TRUE=ISBLANK(ChemData!S228),"",(ChemData!S228))</f>
        <v>1</v>
      </c>
      <c r="G228" s="865">
        <f>IF(OR(TRUE=ISBLANK(ChemData!AA228),ChemData!AA228="NA",ChemData!AA228=0),ChemData!Z228,(ChemData!AA228))</f>
        <v>538.91812287655341</v>
      </c>
      <c r="H228" s="685" t="str">
        <f>IF(Start!$C$17="x",(IF(OR(C228="NA",C228=""),"NA",IF(OR(F228="NA",F228="",F228=0),"NA",C228*F228))),"---")</f>
        <v>NA</v>
      </c>
      <c r="I228" s="376" t="str">
        <f>IF(Start!$C$17="x",(IF($E228 = "NA", "NA", (IF(H228 = "NA", "NA",(IF(OR(ChemData!U228="NA",ChemData!U228=""),H228/((Data!$D$18+$E228*(1-Data!$D$18)*Data!$D$14)/(1000*(1-Data!$D$18)*Data!$D$14)),(IF(H228/((Data!$D$18+$E228*(1-Data!$D$18)*Data!$D$14)/(1000*(1-Data!$D$18)*Data!$D$14))&gt;ChemData!U228, ChemData!U228,H228/((Data!$D$18+$E228*(1-Data!$D$18)*Data!$D$14)/(1000*(1-Data!$D$18)*Data!$D$14)))))))))),"---")</f>
        <v>NA</v>
      </c>
      <c r="J228" s="870" t="str">
        <f>IF(Start!$C$17="x",IF(OR(I228="NA",I228="",ChemData!W228="NA",ChemData!W228=""),"NA",I228/ChemData!W228),"---")</f>
        <v>NA</v>
      </c>
      <c r="K228" s="870" t="str">
        <f>IF(Start!$C$17="x",IF(J228="NA","NA",IF(Data!$D$68&lt;ChemData!X228,J228*(Data!$D$68/ChemData!X228),J228)),"---")</f>
        <v>NA</v>
      </c>
      <c r="L228" s="870" t="str">
        <f>IF(Start!$C$17="x",IF(OR(I228="NA",I228="",ChemData!Z228="NA",ChemData!Z228=""),"NA",I228/ChemData!Z228),"---")</f>
        <v>NA</v>
      </c>
      <c r="M228" s="870" t="str">
        <f>IF(Start!$C$17="x",IF(OR(I228="NA",I228="",ChemData!Y228="NA",ChemData!Y228=""),"NA",I228/ChemData!Y228),"---")</f>
        <v>NA</v>
      </c>
      <c r="N228" s="870" t="str">
        <f>IF(Start!$C$17="x",IF(OR(I228="NA",I228="",G228="NA",G228=""),"NA",I228/G228),"---")</f>
        <v>NA</v>
      </c>
      <c r="O228" s="794" t="str">
        <f>IF(Start!$C$17="x",(IF(C228="","",(IF(N228="NA","NA",IF(D228="NA","NA",IF(D228=0,"NA",(N228/D228))))))),"Not Req.")</f>
        <v/>
      </c>
    </row>
    <row r="229" spans="1:15" s="10" customFormat="1" x14ac:dyDescent="0.25">
      <c r="A229" s="405" t="s">
        <v>547</v>
      </c>
      <c r="B229" s="868" t="str">
        <f>IF(Start!$C$17="x",(IF($C229="NA","NA",(IF(C229="","",(IF(AND(N229="NA",C229&lt;&gt;"NA",D229&lt;&gt;"NA"),"Missing Data",(IF(OR(D229 = "NA",D229=""),"No Criteria",(IF(N229&lt;D229,IF(OR(I229&lt;D229,ChemData!AA229&lt;&gt;""),"No-1",IF(M229&lt;D229,"No-2","No-3")),"Needed")))))))))),"---")</f>
        <v/>
      </c>
      <c r="C229" s="426" t="str">
        <f>IF(TRUE=ISBLANK(ChemData!B229),"",(ChemData!B229))</f>
        <v/>
      </c>
      <c r="D229" s="289">
        <f>IF(TRUE=ISBLANK(ChemData!J229),"",(ChemData!J229))</f>
        <v>3.5999999999999997E-2</v>
      </c>
      <c r="E229" s="290">
        <f>IF(TRUE=ISBLANK(ChemData!Q229),"",(ChemData!Q229))</f>
        <v>2933.6372992455267</v>
      </c>
      <c r="F229" s="290">
        <f>IF(TRUE=ISBLANK(ChemData!S229),"",(ChemData!S229))</f>
        <v>1</v>
      </c>
      <c r="G229" s="865">
        <f>IF(OR(TRUE=ISBLANK(ChemData!AA229),ChemData!AA229="NA",ChemData!AA229=0),ChemData!Z229,(ChemData!AA229))</f>
        <v>98425.113538761667</v>
      </c>
      <c r="H229" s="685" t="str">
        <f>IF(Start!$C$17="x",(IF(OR(C229="NA",C229=""),"NA",IF(OR(F229="NA",F229="",F229=0),"NA",C229*F229))),"---")</f>
        <v>NA</v>
      </c>
      <c r="I229" s="376" t="str">
        <f>IF(Start!$C$17="x",(IF($E229 = "NA", "NA", (IF(H229 = "NA", "NA",(IF(OR(ChemData!U229="NA",ChemData!U229=""),H229/((Data!$D$18+$E229*(1-Data!$D$18)*Data!$D$14)/(1000*(1-Data!$D$18)*Data!$D$14)),(IF(H229/((Data!$D$18+$E229*(1-Data!$D$18)*Data!$D$14)/(1000*(1-Data!$D$18)*Data!$D$14))&gt;ChemData!U229, ChemData!U229,H229/((Data!$D$18+$E229*(1-Data!$D$18)*Data!$D$14)/(1000*(1-Data!$D$18)*Data!$D$14)))))))))),"---")</f>
        <v>NA</v>
      </c>
      <c r="J229" s="870" t="str">
        <f>IF(Start!$C$17="x",IF(OR(I229="NA",I229="",ChemData!W229="NA",ChemData!W229=""),"NA",I229/ChemData!W229),"---")</f>
        <v>NA</v>
      </c>
      <c r="K229" s="870" t="str">
        <f>IF(Start!$C$17="x",IF(J229="NA","NA",IF(Data!$D$68&lt;ChemData!X229,J229*(Data!$D$68/ChemData!X229),J229)),"---")</f>
        <v>NA</v>
      </c>
      <c r="L229" s="870" t="str">
        <f>IF(Start!$C$17="x",IF(OR(I229="NA",I229="",ChemData!Z229="NA",ChemData!Z229=""),"NA",I229/ChemData!Z229),"---")</f>
        <v>NA</v>
      </c>
      <c r="M229" s="870" t="str">
        <f>IF(Start!$C$17="x",IF(OR(I229="NA",I229="",ChemData!Y229="NA",ChemData!Y229=""),"NA",I229/ChemData!Y229),"---")</f>
        <v>NA</v>
      </c>
      <c r="N229" s="870" t="str">
        <f>IF(Start!$C$17="x",IF(OR(I229="NA",I229="",G229="NA",G229=""),"NA",I229/G229),"---")</f>
        <v>NA</v>
      </c>
      <c r="O229" s="794" t="str">
        <f>IF(Start!$C$17="x",(IF(C229="","",(IF(N229="NA","NA",IF(D229="NA","NA",IF(D229=0,"NA",(N229/D229))))))),"Not Req.")</f>
        <v/>
      </c>
    </row>
    <row r="230" spans="1:15" s="10" customFormat="1" x14ac:dyDescent="0.25">
      <c r="A230" s="405" t="s">
        <v>548</v>
      </c>
      <c r="B230" s="868" t="str">
        <f>IF(Start!$C$17="x",(IF($C230="NA","NA",(IF(C230="","",(IF(AND(N230="NA",C230&lt;&gt;"NA",D230&lt;&gt;"NA"),"Missing Data",(IF(OR(D230 = "NA",D230=""),"No Criteria",(IF(N230&lt;D230,IF(OR(I230&lt;D230,ChemData!AA230&lt;&gt;""),"No-1",IF(M230&lt;D230,"No-2","No-3")),"Needed")))))))))),"---")</f>
        <v/>
      </c>
      <c r="C230" s="426" t="str">
        <f>IF(TRUE=ISBLANK(ChemData!B230),"",(ChemData!B230))</f>
        <v/>
      </c>
      <c r="D230" s="289" t="str">
        <f>IF(TRUE=ISBLANK(ChemData!J230),"",(ChemData!J230))</f>
        <v>NA</v>
      </c>
      <c r="E230" s="290">
        <f>IF(TRUE=ISBLANK(ChemData!Q230),"",(ChemData!Q230))</f>
        <v>185.1</v>
      </c>
      <c r="F230" s="290">
        <f>IF(TRUE=ISBLANK(ChemData!S230),"",(ChemData!S230))</f>
        <v>1</v>
      </c>
      <c r="G230" s="865">
        <f>IF(OR(TRUE=ISBLANK(ChemData!AA230),ChemData!AA230="NA",ChemData!AA230=0),ChemData!Z230,(ChemData!AA230))</f>
        <v>1701.5054751140763</v>
      </c>
      <c r="H230" s="685" t="str">
        <f>IF(Start!$C$17="x",(IF(OR(C230="NA",C230=""),"NA",IF(OR(F230="NA",F230="",F230=0),"NA",C230*F230))),"---")</f>
        <v>NA</v>
      </c>
      <c r="I230" s="376" t="str">
        <f>IF(Start!$C$17="x",(IF($E230 = "NA", "NA", (IF(H230 = "NA", "NA",(IF(OR(ChemData!U230="NA",ChemData!U230=""),H230/((Data!$D$18+$E230*(1-Data!$D$18)*Data!$D$14)/(1000*(1-Data!$D$18)*Data!$D$14)),(IF(H230/((Data!$D$18+$E230*(1-Data!$D$18)*Data!$D$14)/(1000*(1-Data!$D$18)*Data!$D$14))&gt;ChemData!U230, ChemData!U230,H230/((Data!$D$18+$E230*(1-Data!$D$18)*Data!$D$14)/(1000*(1-Data!$D$18)*Data!$D$14)))))))))),"---")</f>
        <v>NA</v>
      </c>
      <c r="J230" s="870" t="str">
        <f>IF(Start!$C$17="x",IF(OR(I230="NA",I230="",ChemData!W230="NA",ChemData!W230=""),"NA",I230/ChemData!W230),"---")</f>
        <v>NA</v>
      </c>
      <c r="K230" s="870" t="str">
        <f>IF(Start!$C$17="x",IF(J230="NA","NA",IF(Data!$D$68&lt;ChemData!X230,J230*(Data!$D$68/ChemData!X230),J230)),"---")</f>
        <v>NA</v>
      </c>
      <c r="L230" s="870" t="str">
        <f>IF(Start!$C$17="x",IF(OR(I230="NA",I230="",ChemData!Z230="NA",ChemData!Z230=""),"NA",I230/ChemData!Z230),"---")</f>
        <v>NA</v>
      </c>
      <c r="M230" s="870" t="str">
        <f>IF(Start!$C$17="x",IF(OR(I230="NA",I230="",ChemData!Y230="NA",ChemData!Y230=""),"NA",I230/ChemData!Y230),"---")</f>
        <v>NA</v>
      </c>
      <c r="N230" s="870" t="str">
        <f>IF(Start!$C$17="x",IF(OR(I230="NA",I230="",G230="NA",G230=""),"NA",I230/G230),"---")</f>
        <v>NA</v>
      </c>
      <c r="O230" s="794" t="str">
        <f>IF(Start!$C$17="x",(IF(C230="","",(IF(N230="NA","NA",IF(D230="NA","NA",IF(D230=0,"NA",(N230/D230))))))),"Not Req.")</f>
        <v/>
      </c>
    </row>
    <row r="231" spans="1:15" s="10" customFormat="1" x14ac:dyDescent="0.25">
      <c r="A231" s="405" t="s">
        <v>549</v>
      </c>
      <c r="B231" s="868" t="str">
        <f>IF(Start!$C$17="x",(IF($C231="NA","NA",(IF(C231="","",(IF(AND(N231="NA",C231&lt;&gt;"NA",D231&lt;&gt;"NA"),"Missing Data",(IF(OR(D231 = "NA",D231=""),"No Criteria",(IF(N231&lt;D231,IF(OR(I231&lt;D231,ChemData!AA231&lt;&gt;""),"No-1",IF(M231&lt;D231,"No-2","No-3")),"Needed")))))))))),"---")</f>
        <v/>
      </c>
      <c r="C231" s="426" t="str">
        <f>IF(TRUE=ISBLANK(ChemData!B231),"",(ChemData!B231))</f>
        <v/>
      </c>
      <c r="D231" s="289" t="str">
        <f>IF(TRUE=ISBLANK(ChemData!J231),"",(ChemData!J231))</f>
        <v>NA</v>
      </c>
      <c r="E231" s="290">
        <f>IF(TRUE=ISBLANK(ChemData!Q231),"",(ChemData!Q231))</f>
        <v>1808.866095989209</v>
      </c>
      <c r="F231" s="290">
        <f>IF(TRUE=ISBLANK(ChemData!S231),"",(ChemData!S231))</f>
        <v>1</v>
      </c>
      <c r="G231" s="865">
        <f>IF(OR(TRUE=ISBLANK(ChemData!AA231),ChemData!AA231="NA",ChemData!AA231=0),ChemData!Z231,(ChemData!AA231))</f>
        <v>48384.719100228824</v>
      </c>
      <c r="H231" s="685" t="str">
        <f>IF(Start!$C$17="x",(IF(OR(C231="NA",C231=""),"NA",IF(OR(F231="NA",F231="",F231=0),"NA",C231*F231))),"---")</f>
        <v>NA</v>
      </c>
      <c r="I231" s="376" t="str">
        <f>IF(Start!$C$17="x",(IF($E231 = "NA", "NA", (IF(H231 = "NA", "NA",(IF(OR(ChemData!U231="NA",ChemData!U231=""),H231/((Data!$D$18+$E231*(1-Data!$D$18)*Data!$D$14)/(1000*(1-Data!$D$18)*Data!$D$14)),(IF(H231/((Data!$D$18+$E231*(1-Data!$D$18)*Data!$D$14)/(1000*(1-Data!$D$18)*Data!$D$14))&gt;ChemData!U231, ChemData!U231,H231/((Data!$D$18+$E231*(1-Data!$D$18)*Data!$D$14)/(1000*(1-Data!$D$18)*Data!$D$14)))))))))),"---")</f>
        <v>NA</v>
      </c>
      <c r="J231" s="870" t="str">
        <f>IF(Start!$C$17="x",IF(OR(I231="NA",I231="",ChemData!W231="NA",ChemData!W231=""),"NA",I231/ChemData!W231),"---")</f>
        <v>NA</v>
      </c>
      <c r="K231" s="870" t="str">
        <f>IF(Start!$C$17="x",IF(J231="NA","NA",IF(Data!$D$68&lt;ChemData!X231,J231*(Data!$D$68/ChemData!X231),J231)),"---")</f>
        <v>NA</v>
      </c>
      <c r="L231" s="870" t="str">
        <f>IF(Start!$C$17="x",IF(OR(I231="NA",I231="",ChemData!Z231="NA",ChemData!Z231=""),"NA",I231/ChemData!Z231),"---")</f>
        <v>NA</v>
      </c>
      <c r="M231" s="870" t="str">
        <f>IF(Start!$C$17="x",IF(OR(I231="NA",I231="",ChemData!Y231="NA",ChemData!Y231=""),"NA",I231/ChemData!Y231),"---")</f>
        <v>NA</v>
      </c>
      <c r="N231" s="870" t="str">
        <f>IF(Start!$C$17="x",IF(OR(I231="NA",I231="",G231="NA",G231=""),"NA",I231/G231),"---")</f>
        <v>NA</v>
      </c>
      <c r="O231" s="794" t="str">
        <f>IF(Start!$C$17="x",(IF(C231="","",(IF(N231="NA","NA",IF(D231="NA","NA",IF(D231=0,"NA",(N231/D231))))))),"Not Req.")</f>
        <v/>
      </c>
    </row>
    <row r="232" spans="1:15" s="10" customFormat="1" x14ac:dyDescent="0.25">
      <c r="A232" s="405" t="s">
        <v>550</v>
      </c>
      <c r="B232" s="868" t="str">
        <f>IF(Start!$C$17="x",(IF($C232="NA","NA",(IF(C232="","",(IF(AND(N232="NA",C232&lt;&gt;"NA",D232&lt;&gt;"NA"),"Missing Data",(IF(OR(D232 = "NA",D232=""),"No Criteria",(IF(N232&lt;D232,IF(OR(I232&lt;D232,ChemData!AA232&lt;&gt;""),"No-1",IF(M232&lt;D232,"No-2","No-3")),"Needed")))))))))),"---")</f>
        <v/>
      </c>
      <c r="C232" s="426" t="str">
        <f>IF(TRUE=ISBLANK(ChemData!B232),"",(ChemData!B232))</f>
        <v/>
      </c>
      <c r="D232" s="289">
        <f>IF(TRUE=ISBLANK(ChemData!J232),"",(ChemData!J232))</f>
        <v>3.8E-3</v>
      </c>
      <c r="E232" s="290">
        <f>IF(TRUE=ISBLANK(ChemData!Q232),"",(ChemData!Q232))</f>
        <v>3446.7232899629657</v>
      </c>
      <c r="F232" s="290">
        <f>IF(TRUE=ISBLANK(ChemData!S232),"",(ChemData!S232))</f>
        <v>1</v>
      </c>
      <c r="G232" s="865">
        <f>IF(OR(TRUE=ISBLANK(ChemData!AA232),ChemData!AA232="NA",ChemData!AA232=0),ChemData!Z232,(ChemData!AA232))</f>
        <v>124711.1137875112</v>
      </c>
      <c r="H232" s="685" t="str">
        <f>IF(Start!$C$17="x",(IF(OR(C232="NA",C232=""),"NA",IF(OR(F232="NA",F232="",F232=0),"NA",C232*F232))),"---")</f>
        <v>NA</v>
      </c>
      <c r="I232" s="376" t="str">
        <f>IF(Start!$C$17="x",(IF($E232 = "NA", "NA", (IF(H232 = "NA", "NA",(IF(OR(ChemData!U232="NA",ChemData!U232=""),H232/((Data!$D$18+$E232*(1-Data!$D$18)*Data!$D$14)/(1000*(1-Data!$D$18)*Data!$D$14)),(IF(H232/((Data!$D$18+$E232*(1-Data!$D$18)*Data!$D$14)/(1000*(1-Data!$D$18)*Data!$D$14))&gt;ChemData!U232, ChemData!U232,H232/((Data!$D$18+$E232*(1-Data!$D$18)*Data!$D$14)/(1000*(1-Data!$D$18)*Data!$D$14)))))))))),"---")</f>
        <v>NA</v>
      </c>
      <c r="J232" s="870" t="str">
        <f>IF(Start!$C$17="x",IF(OR(I232="NA",I232="",ChemData!W232="NA",ChemData!W232=""),"NA",I232/ChemData!W232),"---")</f>
        <v>NA</v>
      </c>
      <c r="K232" s="870" t="str">
        <f>IF(Start!$C$17="x",IF(J232="NA","NA",IF(Data!$D$68&lt;ChemData!X232,J232*(Data!$D$68/ChemData!X232),J232)),"---")</f>
        <v>NA</v>
      </c>
      <c r="L232" s="870" t="str">
        <f>IF(Start!$C$17="x",IF(OR(I232="NA",I232="",ChemData!Z232="NA",ChemData!Z232=""),"NA",I232/ChemData!Z232),"---")</f>
        <v>NA</v>
      </c>
      <c r="M232" s="870" t="str">
        <f>IF(Start!$C$17="x",IF(OR(I232="NA",I232="",ChemData!Y232="NA",ChemData!Y232=""),"NA",I232/ChemData!Y232),"---")</f>
        <v>NA</v>
      </c>
      <c r="N232" s="870" t="str">
        <f>IF(Start!$C$17="x",IF(OR(I232="NA",I232="",G232="NA",G232=""),"NA",I232/G232),"---")</f>
        <v>NA</v>
      </c>
      <c r="O232" s="794" t="str">
        <f>IF(Start!$C$17="x",(IF(C232="","",(IF(N232="NA","NA",IF(D232="NA","NA",IF(D232=0,"NA",(N232/D232))))))),"Not Req.")</f>
        <v/>
      </c>
    </row>
    <row r="233" spans="1:15" s="10" customFormat="1" x14ac:dyDescent="0.25">
      <c r="A233" s="405" t="s">
        <v>551</v>
      </c>
      <c r="B233" s="868" t="str">
        <f>IF(Start!$C$17="x",(IF($C233="NA","NA",(IF(C233="","",(IF(AND(N233="NA",C233&lt;&gt;"NA",D233&lt;&gt;"NA"),"Missing Data",(IF(OR(D233 = "NA",D233=""),"No Criteria",(IF(N233&lt;D233,IF(OR(I233&lt;D233,ChemData!AA233&lt;&gt;""),"No-1",IF(M233&lt;D233,"No-2","No-3")),"Needed")))))))))),"---")</f>
        <v/>
      </c>
      <c r="C233" s="426" t="str">
        <f>IF(TRUE=ISBLANK(ChemData!B233),"",(ChemData!B233))</f>
        <v/>
      </c>
      <c r="D233" s="289">
        <f>IF(TRUE=ISBLANK(ChemData!J233),"",(ChemData!J233))</f>
        <v>3.8E-3</v>
      </c>
      <c r="E233" s="290">
        <f>IF(TRUE=ISBLANK(ChemData!Q233),"",(ChemData!Q233))</f>
        <v>1851</v>
      </c>
      <c r="F233" s="290">
        <f>IF(TRUE=ISBLANK(ChemData!S233),"",(ChemData!S233))</f>
        <v>1</v>
      </c>
      <c r="G233" s="865">
        <f>IF(OR(TRUE=ISBLANK(ChemData!AA233),ChemData!AA233="NA",ChemData!AA233=0),ChemData!Z233,(ChemData!AA233))</f>
        <v>50048.818417937429</v>
      </c>
      <c r="H233" s="685" t="str">
        <f>IF(Start!$C$17="x",(IF(OR(C233="NA",C233=""),"NA",IF(OR(F233="NA",F233="",F233=0),"NA",C233*F233))),"---")</f>
        <v>NA</v>
      </c>
      <c r="I233" s="376" t="str">
        <f>IF(Start!$C$17="x",(IF($E233 = "NA", "NA", (IF(H233 = "NA", "NA",(IF(OR(ChemData!U233="NA",ChemData!U233=""),H233/((Data!$D$18+$E233*(1-Data!$D$18)*Data!$D$14)/(1000*(1-Data!$D$18)*Data!$D$14)),(IF(H233/((Data!$D$18+$E233*(1-Data!$D$18)*Data!$D$14)/(1000*(1-Data!$D$18)*Data!$D$14))&gt;ChemData!U233, ChemData!U233,H233/((Data!$D$18+$E233*(1-Data!$D$18)*Data!$D$14)/(1000*(1-Data!$D$18)*Data!$D$14)))))))))),"---")</f>
        <v>NA</v>
      </c>
      <c r="J233" s="870" t="str">
        <f>IF(Start!$C$17="x",IF(OR(I233="NA",I233="",ChemData!W233="NA",ChemData!W233=""),"NA",I233/ChemData!W233),"---")</f>
        <v>NA</v>
      </c>
      <c r="K233" s="870" t="str">
        <f>IF(Start!$C$17="x",IF(J233="NA","NA",IF(Data!$D$68&lt;ChemData!X233,J233*(Data!$D$68/ChemData!X233),J233)),"---")</f>
        <v>NA</v>
      </c>
      <c r="L233" s="870" t="str">
        <f>IF(Start!$C$17="x",IF(OR(I233="NA",I233="",ChemData!Z233="NA",ChemData!Z233=""),"NA",I233/ChemData!Z233),"---")</f>
        <v>NA</v>
      </c>
      <c r="M233" s="870" t="str">
        <f>IF(Start!$C$17="x",IF(OR(I233="NA",I233="",ChemData!Y233="NA",ChemData!Y233=""),"NA",I233/ChemData!Y233),"---")</f>
        <v>NA</v>
      </c>
      <c r="N233" s="870" t="str">
        <f>IF(Start!$C$17="x",IF(OR(I233="NA",I233="",G233="NA",G233=""),"NA",I233/G233),"---")</f>
        <v>NA</v>
      </c>
      <c r="O233" s="794" t="str">
        <f>IF(Start!$C$17="x",(IF(C233="","",(IF(N233="NA","NA",IF(D233="NA","NA",IF(D233=0,"NA",(N233/D233))))))),"Not Req.")</f>
        <v/>
      </c>
    </row>
    <row r="234" spans="1:15" s="10" customFormat="1" x14ac:dyDescent="0.25">
      <c r="A234" s="405" t="s">
        <v>552</v>
      </c>
      <c r="B234" s="868" t="str">
        <f>IF(Start!$C$17="x",(IF($C234="NA","NA",(IF(C234="","",(IF(AND(N234="NA",C234&lt;&gt;"NA",D234&lt;&gt;"NA"),"Missing Data",(IF(OR(D234 = "NA",D234=""),"No Criteria",(IF(N234&lt;D234,IF(OR(I234&lt;D234,ChemData!AA234&lt;&gt;""),"No-1",IF(M234&lt;D234,"No-2","No-3")),"Needed")))))))))),"---")</f>
        <v/>
      </c>
      <c r="C234" s="426" t="str">
        <f>IF(TRUE=ISBLANK(ChemData!B234),"",(ChemData!B234))</f>
        <v/>
      </c>
      <c r="D234" s="289" t="str">
        <f>IF(TRUE=ISBLANK(ChemData!J234),"",(ChemData!J234))</f>
        <v>NA</v>
      </c>
      <c r="E234" s="290">
        <f>IF(TRUE=ISBLANK(ChemData!Q234),"",(ChemData!Q234))</f>
        <v>7.5406089421541254E-3</v>
      </c>
      <c r="F234" s="290">
        <f>IF(TRUE=ISBLANK(ChemData!S234),"",(ChemData!S234))</f>
        <v>1</v>
      </c>
      <c r="G234" s="865">
        <f>IF(OR(TRUE=ISBLANK(ChemData!AA234),ChemData!AA234="NA",ChemData!AA234=0),ChemData!Z234,(ChemData!AA234))</f>
        <v>6.8495741227413927</v>
      </c>
      <c r="H234" s="685" t="str">
        <f>IF(Start!$C$17="x",(IF(OR(C234="NA",C234=""),"NA",IF(OR(F234="NA",F234="",F234=0),"NA",C234*F234))),"---")</f>
        <v>NA</v>
      </c>
      <c r="I234" s="376" t="str">
        <f>IF(Start!$C$17="x",(IF($E234 = "NA", "NA", (IF(H234 = "NA", "NA",(IF(OR(ChemData!U234="NA",ChemData!U234=""),H234/((Data!$D$18+$E234*(1-Data!$D$18)*Data!$D$14)/(1000*(1-Data!$D$18)*Data!$D$14)),(IF(H234/((Data!$D$18+$E234*(1-Data!$D$18)*Data!$D$14)/(1000*(1-Data!$D$18)*Data!$D$14))&gt;ChemData!U234, ChemData!U234,H234/((Data!$D$18+$E234*(1-Data!$D$18)*Data!$D$14)/(1000*(1-Data!$D$18)*Data!$D$14)))))))))),"---")</f>
        <v>NA</v>
      </c>
      <c r="J234" s="870" t="str">
        <f>IF(Start!$C$17="x",IF(OR(I234="NA",I234="",ChemData!W234="NA",ChemData!W234=""),"NA",I234/ChemData!W234),"---")</f>
        <v>NA</v>
      </c>
      <c r="K234" s="870" t="str">
        <f>IF(Start!$C$17="x",IF(J234="NA","NA",IF(Data!$D$68&lt;ChemData!X234,J234*(Data!$D$68/ChemData!X234),J234)),"---")</f>
        <v>NA</v>
      </c>
      <c r="L234" s="870" t="str">
        <f>IF(Start!$C$17="x",IF(OR(I234="NA",I234="",ChemData!Z234="NA",ChemData!Z234=""),"NA",I234/ChemData!Z234),"---")</f>
        <v>NA</v>
      </c>
      <c r="M234" s="870" t="str">
        <f>IF(Start!$C$17="x",IF(OR(I234="NA",I234="",ChemData!Y234="NA",ChemData!Y234=""),"NA",I234/ChemData!Y234),"---")</f>
        <v>NA</v>
      </c>
      <c r="N234" s="870" t="str">
        <f>IF(Start!$C$17="x",IF(OR(I234="NA",I234="",G234="NA",G234=""),"NA",I234/G234),"---")</f>
        <v>NA</v>
      </c>
      <c r="O234" s="794" t="str">
        <f>IF(Start!$C$17="x",(IF(C234="","",(IF(N234="NA","NA",IF(D234="NA","NA",IF(D234=0,"NA",(N234/D234))))))),"Not Req.")</f>
        <v/>
      </c>
    </row>
    <row r="235" spans="1:15" s="10" customFormat="1" x14ac:dyDescent="0.25">
      <c r="A235" s="405" t="s">
        <v>553</v>
      </c>
      <c r="B235" s="868" t="str">
        <f>IF(Start!$C$17="x",(IF($C235="NA","NA",(IF(C235="","",(IF(AND(N235="NA",C235&lt;&gt;"NA",D235&lt;&gt;"NA"),"Missing Data",(IF(OR(D235 = "NA",D235=""),"No Criteria",(IF(N235&lt;D235,IF(OR(I235&lt;D235,ChemData!AA235&lt;&gt;""),"No-1",IF(M235&lt;D235,"No-2","No-3")),"Needed")))))))))),"---")</f>
        <v/>
      </c>
      <c r="C235" s="426" t="str">
        <f>IF(TRUE=ISBLANK(ChemData!B235),"",(ChemData!B235))</f>
        <v/>
      </c>
      <c r="D235" s="289" t="str">
        <f>IF(TRUE=ISBLANK(ChemData!J235),"",(ChemData!J235))</f>
        <v>NA</v>
      </c>
      <c r="E235" s="290">
        <f>IF(TRUE=ISBLANK(ChemData!Q235),"",(ChemData!Q235))</f>
        <v>8.3294999999999994E-2</v>
      </c>
      <c r="F235" s="290">
        <f>IF(TRUE=ISBLANK(ChemData!S235),"",(ChemData!S235))</f>
        <v>1</v>
      </c>
      <c r="G235" s="865">
        <f>IF(OR(TRUE=ISBLANK(ChemData!AA235),ChemData!AA235="NA",ChemData!AA235=0),ChemData!Z235,(ChemData!AA235))</f>
        <v>6.8495741227413927</v>
      </c>
      <c r="H235" s="685" t="str">
        <f>IF(Start!$C$17="x",(IF(OR(C235="NA",C235=""),"NA",IF(OR(F235="NA",F235="",F235=0),"NA",C235*F235))),"---")</f>
        <v>NA</v>
      </c>
      <c r="I235" s="376" t="str">
        <f>IF(Start!$C$17="x",(IF($E235 = "NA", "NA", (IF(H235 = "NA", "NA",(IF(OR(ChemData!U235="NA",ChemData!U235=""),H235/((Data!$D$18+$E235*(1-Data!$D$18)*Data!$D$14)/(1000*(1-Data!$D$18)*Data!$D$14)),(IF(H235/((Data!$D$18+$E235*(1-Data!$D$18)*Data!$D$14)/(1000*(1-Data!$D$18)*Data!$D$14))&gt;ChemData!U235, ChemData!U235,H235/((Data!$D$18+$E235*(1-Data!$D$18)*Data!$D$14)/(1000*(1-Data!$D$18)*Data!$D$14)))))))))),"---")</f>
        <v>NA</v>
      </c>
      <c r="J235" s="870" t="str">
        <f>IF(Start!$C$17="x",IF(OR(I235="NA",I235="",ChemData!W235="NA",ChemData!W235=""),"NA",I235/ChemData!W235),"---")</f>
        <v>NA</v>
      </c>
      <c r="K235" s="870" t="str">
        <f>IF(Start!$C$17="x",IF(J235="NA","NA",IF(Data!$D$68&lt;ChemData!X235,J235*(Data!$D$68/ChemData!X235),J235)),"---")</f>
        <v>NA</v>
      </c>
      <c r="L235" s="870" t="str">
        <f>IF(Start!$C$17="x",IF(OR(I235="NA",I235="",ChemData!Z235="NA",ChemData!Z235=""),"NA",I235/ChemData!Z235),"---")</f>
        <v>NA</v>
      </c>
      <c r="M235" s="870" t="str">
        <f>IF(Start!$C$17="x",IF(OR(I235="NA",I235="",ChemData!Y235="NA",ChemData!Y235=""),"NA",I235/ChemData!Y235),"---")</f>
        <v>NA</v>
      </c>
      <c r="N235" s="870" t="str">
        <f>IF(Start!$C$17="x",IF(OR(I235="NA",I235="",G235="NA",G235=""),"NA",I235/G235),"---")</f>
        <v>NA</v>
      </c>
      <c r="O235" s="794" t="str">
        <f>IF(Start!$C$17="x",(IF(C235="","",(IF(N235="NA","NA",IF(D235="NA","NA",IF(D235=0,"NA",(N235/D235))))))),"Not Req.")</f>
        <v/>
      </c>
    </row>
    <row r="236" spans="1:15" s="10" customFormat="1" x14ac:dyDescent="0.25">
      <c r="A236" s="405" t="s">
        <v>554</v>
      </c>
      <c r="B236" s="868" t="str">
        <f>IF(Start!$C$17="x",(IF($C236="NA","NA",(IF(C236="","",(IF(AND(N236="NA",C236&lt;&gt;"NA",D236&lt;&gt;"NA"),"Missing Data",(IF(OR(D236 = "NA",D236=""),"No Criteria",(IF(N236&lt;D236,IF(OR(I236&lt;D236,ChemData!AA236&lt;&gt;""),"No-1",IF(M236&lt;D236,"No-2","No-3")),"Needed")))))))))),"---")</f>
        <v/>
      </c>
      <c r="C236" s="426" t="str">
        <f>IF(TRUE=ISBLANK(ChemData!B236),"",(ChemData!B236))</f>
        <v/>
      </c>
      <c r="D236" s="289">
        <f>IF(TRUE=ISBLANK(ChemData!J236),"",(ChemData!J236))</f>
        <v>0.03</v>
      </c>
      <c r="E236" s="290">
        <f>IF(TRUE=ISBLANK(ChemData!Q236),"",(ChemData!Q236))</f>
        <v>2225.3914684768338</v>
      </c>
      <c r="F236" s="290">
        <f>IF(TRUE=ISBLANK(ChemData!S236),"",(ChemData!S236))</f>
        <v>1</v>
      </c>
      <c r="G236" s="865">
        <f>IF(OR(TRUE=ISBLANK(ChemData!AA236),ChemData!AA236="NA",ChemData!AA236=0),ChemData!Z236,(ChemData!AA236))</f>
        <v>65596.197847182353</v>
      </c>
      <c r="H236" s="685" t="str">
        <f>IF(Start!$C$17="x",(IF(OR(C236="NA",C236=""),"NA",IF(OR(F236="NA",F236="",F236=0),"NA",C236*F236))),"---")</f>
        <v>NA</v>
      </c>
      <c r="I236" s="376" t="str">
        <f>IF(Start!$C$17="x",(IF($E236 = "NA", "NA", (IF(H236 = "NA", "NA",(IF(OR(ChemData!U236="NA",ChemData!U236=""),H236/((Data!$D$18+$E236*(1-Data!$D$18)*Data!$D$14)/(1000*(1-Data!$D$18)*Data!$D$14)),(IF(H236/((Data!$D$18+$E236*(1-Data!$D$18)*Data!$D$14)/(1000*(1-Data!$D$18)*Data!$D$14))&gt;ChemData!U236, ChemData!U236,H236/((Data!$D$18+$E236*(1-Data!$D$18)*Data!$D$14)/(1000*(1-Data!$D$18)*Data!$D$14)))))))))),"---")</f>
        <v>NA</v>
      </c>
      <c r="J236" s="870" t="str">
        <f>IF(Start!$C$17="x",IF(OR(I236="NA",I236="",ChemData!W236="NA",ChemData!W236=""),"NA",I236/ChemData!W236),"---")</f>
        <v>NA</v>
      </c>
      <c r="K236" s="870" t="str">
        <f>IF(Start!$C$17="x",IF(J236="NA","NA",IF(Data!$D$68&lt;ChemData!X236,J236*(Data!$D$68/ChemData!X236),J236)),"---")</f>
        <v>NA</v>
      </c>
      <c r="L236" s="870" t="str">
        <f>IF(Start!$C$17="x",IF(OR(I236="NA",I236="",ChemData!Z236="NA",ChemData!Z236=""),"NA",I236/ChemData!Z236),"---")</f>
        <v>NA</v>
      </c>
      <c r="M236" s="870" t="str">
        <f>IF(Start!$C$17="x",IF(OR(I236="NA",I236="",ChemData!Y236="NA",ChemData!Y236=""),"NA",I236/ChemData!Y236),"---")</f>
        <v>NA</v>
      </c>
      <c r="N236" s="870" t="str">
        <f>IF(Start!$C$17="x",IF(OR(I236="NA",I236="",G236="NA",G236=""),"NA",I236/G236),"---")</f>
        <v>NA</v>
      </c>
      <c r="O236" s="794" t="str">
        <f>IF(Start!$C$17="x",(IF(C236="","",(IF(N236="NA","NA",IF(D236="NA","NA",IF(D236=0,"NA",(N236/D236))))))),"Not Req.")</f>
        <v/>
      </c>
    </row>
    <row r="237" spans="1:15" s="10" customFormat="1" x14ac:dyDescent="0.25">
      <c r="A237" s="405" t="s">
        <v>555</v>
      </c>
      <c r="B237" s="868" t="str">
        <f>IF(Start!$C$17="x",(IF($C237="NA","NA",(IF(C237="","",(IF(AND(N237="NA",C237&lt;&gt;"NA",D237&lt;&gt;"NA"),"Missing Data",(IF(OR(D237 = "NA",D237=""),"No Criteria",(IF(N237&lt;D237,IF(OR(I237&lt;D237,ChemData!AA237&lt;&gt;""),"No-1",IF(M237&lt;D237,"No-2","No-3")),"Needed")))))))))),"---")</f>
        <v/>
      </c>
      <c r="C237" s="426" t="str">
        <f>IF(TRUE=ISBLANK(ChemData!B237),"",(ChemData!B237))</f>
        <v/>
      </c>
      <c r="D237" s="289">
        <f>IF(TRUE=ISBLANK(ChemData!J237),"",(ChemData!J237))</f>
        <v>1E-3</v>
      </c>
      <c r="E237" s="290">
        <f>IF(TRUE=ISBLANK(ChemData!Q237),"",(ChemData!Q237))</f>
        <v>147030.15624746474</v>
      </c>
      <c r="F237" s="290">
        <f>IF(TRUE=ISBLANK(ChemData!S237),"",(ChemData!S237))</f>
        <v>1</v>
      </c>
      <c r="G237" s="865">
        <f>IF(OR(TRUE=ISBLANK(ChemData!AA237),ChemData!AA237="NA",ChemData!AA237=0),ChemData!Z237,(ChemData!AA237))</f>
        <v>30878680.717296388</v>
      </c>
      <c r="H237" s="685" t="str">
        <f>IF(Start!$C$17="x",(IF(OR(C237="NA",C237=""),"NA",IF(OR(F237="NA",F237="",F237=0),"NA",C237*F237))),"---")</f>
        <v>NA</v>
      </c>
      <c r="I237" s="376" t="str">
        <f>IF(Start!$C$17="x",(IF($E237 = "NA", "NA", (IF(H237 = "NA", "NA",(IF(OR(ChemData!U237="NA",ChemData!U237=""),H237/((Data!$D$18+$E237*(1-Data!$D$18)*Data!$D$14)/(1000*(1-Data!$D$18)*Data!$D$14)),(IF(H237/((Data!$D$18+$E237*(1-Data!$D$18)*Data!$D$14)/(1000*(1-Data!$D$18)*Data!$D$14))&gt;ChemData!U237, ChemData!U237,H237/((Data!$D$18+$E237*(1-Data!$D$18)*Data!$D$14)/(1000*(1-Data!$D$18)*Data!$D$14)))))))))),"---")</f>
        <v>NA</v>
      </c>
      <c r="J237" s="870" t="str">
        <f>IF(Start!$C$17="x",IF(OR(I237="NA",I237="",ChemData!W237="NA",ChemData!W237=""),"NA",I237/ChemData!W237),"---")</f>
        <v>NA</v>
      </c>
      <c r="K237" s="870" t="str">
        <f>IF(Start!$C$17="x",IF(J237="NA","NA",IF(Data!$D$68&lt;ChemData!X237,J237*(Data!$D$68/ChemData!X237),J237)),"---")</f>
        <v>NA</v>
      </c>
      <c r="L237" s="870" t="str">
        <f>IF(Start!$C$17="x",IF(OR(I237="NA",I237="",ChemData!Z237="NA",ChemData!Z237=""),"NA",I237/ChemData!Z237),"---")</f>
        <v>NA</v>
      </c>
      <c r="M237" s="870" t="str">
        <f>IF(Start!$C$17="x",IF(OR(I237="NA",I237="",ChemData!Y237="NA",ChemData!Y237=""),"NA",I237/ChemData!Y237),"---")</f>
        <v>NA</v>
      </c>
      <c r="N237" s="870" t="str">
        <f>IF(Start!$C$17="x",IF(OR(I237="NA",I237="",G237="NA",G237=""),"NA",I237/G237),"---")</f>
        <v>NA</v>
      </c>
      <c r="O237" s="794" t="str">
        <f>IF(Start!$C$17="x",(IF(C237="","",(IF(N237="NA","NA",IF(D237="NA","NA",IF(D237=0,"NA",(N237/D237))))))),"Not Req.")</f>
        <v/>
      </c>
    </row>
    <row r="238" spans="1:15" s="10" customFormat="1" x14ac:dyDescent="0.25">
      <c r="A238" s="405" t="s">
        <v>556</v>
      </c>
      <c r="B238" s="868" t="str">
        <f>IF(Start!$C$17="x",(IF($C238="NA","NA",(IF(C238="","",(IF(AND(N238="NA",C238&lt;&gt;"NA",D238&lt;&gt;"NA"),"Missing Data",(IF(OR(D238 = "NA",D238=""),"No Criteria",(IF(N238&lt;D238,IF(OR(I238&lt;D238,ChemData!AA238&lt;&gt;""),"No-1",IF(M238&lt;D238,"No-2","No-3")),"Needed")))))))))),"---")</f>
        <v/>
      </c>
      <c r="C238" s="426" t="str">
        <f>IF(TRUE=ISBLANK(ChemData!B238),"",(ChemData!B238))</f>
        <v/>
      </c>
      <c r="D238" s="289" t="str">
        <f>IF(TRUE=ISBLANK(ChemData!J238),"",(ChemData!J238))</f>
        <v>NA</v>
      </c>
      <c r="E238" s="290">
        <f>IF(TRUE=ISBLANK(ChemData!Q238),"",(ChemData!Q238))</f>
        <v>22253.914684768366</v>
      </c>
      <c r="F238" s="290">
        <f>IF(TRUE=ISBLANK(ChemData!S238),"",(ChemData!S238))</f>
        <v>1</v>
      </c>
      <c r="G238" s="865">
        <f>IF(OR(TRUE=ISBLANK(ChemData!AA238),ChemData!AA238="NA",ChemData!AA238=0),ChemData!Z238,(ChemData!AA238))</f>
        <v>1929474.9520219064</v>
      </c>
      <c r="H238" s="685" t="str">
        <f>IF(Start!$C$17="x",(IF(OR(C238="NA",C238=""),"NA",IF(OR(F238="NA",F238="",F238=0),"NA",C238*F238))),"---")</f>
        <v>NA</v>
      </c>
      <c r="I238" s="376" t="str">
        <f>IF(Start!$C$17="x",(IF($E238 = "NA", "NA", (IF(H238 = "NA", "NA",(IF(OR(ChemData!U238="NA",ChemData!U238=""),H238/((Data!$D$18+$E238*(1-Data!$D$18)*Data!$D$14)/(1000*(1-Data!$D$18)*Data!$D$14)),(IF(H238/((Data!$D$18+$E238*(1-Data!$D$18)*Data!$D$14)/(1000*(1-Data!$D$18)*Data!$D$14))&gt;ChemData!U238, ChemData!U238,H238/((Data!$D$18+$E238*(1-Data!$D$18)*Data!$D$14)/(1000*(1-Data!$D$18)*Data!$D$14)))))))))),"---")</f>
        <v>NA</v>
      </c>
      <c r="J238" s="870" t="str">
        <f>IF(Start!$C$17="x",IF(OR(I238="NA",I238="",ChemData!W238="NA",ChemData!W238=""),"NA",I238/ChemData!W238),"---")</f>
        <v>NA</v>
      </c>
      <c r="K238" s="870" t="str">
        <f>IF(Start!$C$17="x",IF(J238="NA","NA",IF(Data!$D$68&lt;ChemData!X238,J238*(Data!$D$68/ChemData!X238),J238)),"---")</f>
        <v>NA</v>
      </c>
      <c r="L238" s="870" t="str">
        <f>IF(Start!$C$17="x",IF(OR(I238="NA",I238="",ChemData!Z238="NA",ChemData!Z238=""),"NA",I238/ChemData!Z238),"---")</f>
        <v>NA</v>
      </c>
      <c r="M238" s="870" t="str">
        <f>IF(Start!$C$17="x",IF(OR(I238="NA",I238="",ChemData!Y238="NA",ChemData!Y238=""),"NA",I238/ChemData!Y238),"---")</f>
        <v>NA</v>
      </c>
      <c r="N238" s="870" t="str">
        <f>IF(Start!$C$17="x",IF(OR(I238="NA",I238="",G238="NA",G238=""),"NA",I238/G238),"---")</f>
        <v>NA</v>
      </c>
      <c r="O238" s="794" t="str">
        <f>IF(Start!$C$17="x",(IF(C238="","",(IF(N238="NA","NA",IF(D238="NA","NA",IF(D238=0,"NA",(N238/D238))))))),"Not Req.")</f>
        <v/>
      </c>
    </row>
    <row r="239" spans="1:15" s="10" customFormat="1" x14ac:dyDescent="0.25">
      <c r="A239" s="405" t="s">
        <v>557</v>
      </c>
      <c r="B239" s="868" t="str">
        <f>IF(Start!$C$17="x",(IF($C239="NA","NA",(IF(C239="","",(IF(AND(N239="NA",C239&lt;&gt;"NA",D239&lt;&gt;"NA"),"Missing Data",(IF(OR(D239 = "NA",D239=""),"No Criteria",(IF(N239&lt;D239,IF(OR(I239&lt;D239,ChemData!AA239&lt;&gt;""),"No-1",IF(M239&lt;D239,"No-2","No-3")),"Needed")))))))))),"---")</f>
        <v/>
      </c>
      <c r="C239" s="426" t="str">
        <f>IF(TRUE=ISBLANK(ChemData!B239),"",(ChemData!B239))</f>
        <v/>
      </c>
      <c r="D239" s="289" t="str">
        <f>IF(TRUE=ISBLANK(ChemData!J239),"",(ChemData!J239))</f>
        <v>NA</v>
      </c>
      <c r="E239" s="290">
        <f>IF(TRUE=ISBLANK(ChemData!Q239),"",(ChemData!Q239))</f>
        <v>41438.728274899957</v>
      </c>
      <c r="F239" s="290">
        <f>IF(TRUE=ISBLANK(ChemData!S239),"",(ChemData!S239))</f>
        <v>1</v>
      </c>
      <c r="G239" s="865">
        <f>IF(OR(TRUE=ISBLANK(ChemData!AA239),ChemData!AA239="NA",ChemData!AA239=0),ChemData!Z239,(ChemData!AA239))</f>
        <v>4807845.1779296128</v>
      </c>
      <c r="H239" s="685" t="str">
        <f>IF(Start!$C$17="x",(IF(OR(C239="NA",C239=""),"NA",IF(OR(F239="NA",F239="",F239=0),"NA",C239*F239))),"---")</f>
        <v>NA</v>
      </c>
      <c r="I239" s="376" t="str">
        <f>IF(Start!$C$17="x",(IF($E239 = "NA", "NA", (IF(H239 = "NA", "NA",(IF(OR(ChemData!U239="NA",ChemData!U239=""),H239/((Data!$D$18+$E239*(1-Data!$D$18)*Data!$D$14)/(1000*(1-Data!$D$18)*Data!$D$14)),(IF(H239/((Data!$D$18+$E239*(1-Data!$D$18)*Data!$D$14)/(1000*(1-Data!$D$18)*Data!$D$14))&gt;ChemData!U239, ChemData!U239,H239/((Data!$D$18+$E239*(1-Data!$D$18)*Data!$D$14)/(1000*(1-Data!$D$18)*Data!$D$14)))))))))),"---")</f>
        <v>NA</v>
      </c>
      <c r="J239" s="870" t="str">
        <f>IF(Start!$C$17="x",IF(OR(I239="NA",I239="",ChemData!W239="NA",ChemData!W239=""),"NA",I239/ChemData!W239),"---")</f>
        <v>NA</v>
      </c>
      <c r="K239" s="870" t="str">
        <f>IF(Start!$C$17="x",IF(J239="NA","NA",IF(Data!$D$68&lt;ChemData!X239,J239*(Data!$D$68/ChemData!X239),J239)),"---")</f>
        <v>NA</v>
      </c>
      <c r="L239" s="870" t="str">
        <f>IF(Start!$C$17="x",IF(OR(I239="NA",I239="",ChemData!Z239="NA",ChemData!Z239=""),"NA",I239/ChemData!Z239),"---")</f>
        <v>NA</v>
      </c>
      <c r="M239" s="870" t="str">
        <f>IF(Start!$C$17="x",IF(OR(I239="NA",I239="",ChemData!Y239="NA",ChemData!Y239=""),"NA",I239/ChemData!Y239),"---")</f>
        <v>NA</v>
      </c>
      <c r="N239" s="870" t="str">
        <f>IF(Start!$C$17="x",IF(OR(I239="NA",I239="",G239="NA",G239=""),"NA",I239/G239),"---")</f>
        <v>NA</v>
      </c>
      <c r="O239" s="794" t="str">
        <f>IF(Start!$C$17="x",(IF(C239="","",(IF(N239="NA","NA",IF(D239="NA","NA",IF(D239=0,"NA",(N239/D239))))))),"Not Req.")</f>
        <v/>
      </c>
    </row>
    <row r="240" spans="1:15" s="10" customFormat="1" x14ac:dyDescent="0.25">
      <c r="A240" s="405" t="s">
        <v>558</v>
      </c>
      <c r="B240" s="868" t="str">
        <f>IF(Start!$C$17="x",(IF($C240="NA","NA",(IF(C240="","",(IF(AND(N240="NA",C240&lt;&gt;"NA",D240&lt;&gt;"NA"),"Missing Data",(IF(OR(D240 = "NA",D240=""),"No Criteria",(IF(N240&lt;D240,IF(OR(I240&lt;D240,ChemData!AA240&lt;&gt;""),"No-1",IF(M240&lt;D240,"No-2","No-3")),"Needed")))))))))),"---")</f>
        <v/>
      </c>
      <c r="C240" s="426" t="str">
        <f>IF(TRUE=ISBLANK(ChemData!B240),"",(ChemData!B240))</f>
        <v/>
      </c>
      <c r="D240" s="289" t="str">
        <f>IF(TRUE=ISBLANK(ChemData!J240),"",(ChemData!J240))</f>
        <v>NA</v>
      </c>
      <c r="E240" s="290">
        <f>IF(TRUE=ISBLANK(ChemData!Q240),"",(ChemData!Q240))</f>
        <v>12514.295874505597</v>
      </c>
      <c r="F240" s="290">
        <f>IF(TRUE=ISBLANK(ChemData!S240),"",(ChemData!S240))</f>
        <v>1</v>
      </c>
      <c r="G240" s="865">
        <f>IF(OR(TRUE=ISBLANK(ChemData!AA240),ChemData!AA240="NA",ChemData!AA240=0),ChemData!Z240,(ChemData!AA240))</f>
        <v>828512.42450019834</v>
      </c>
      <c r="H240" s="685" t="str">
        <f>IF(Start!$C$17="x",(IF(OR(C240="NA",C240=""),"NA",IF(OR(F240="NA",F240="",F240=0),"NA",C240*F240))),"---")</f>
        <v>NA</v>
      </c>
      <c r="I240" s="376" t="str">
        <f>IF(Start!$C$17="x",(IF($E240 = "NA", "NA", (IF(H240 = "NA", "NA",(IF(OR(ChemData!U240="NA",ChemData!U240=""),H240/((Data!$D$18+$E240*(1-Data!$D$18)*Data!$D$14)/(1000*(1-Data!$D$18)*Data!$D$14)),(IF(H240/((Data!$D$18+$E240*(1-Data!$D$18)*Data!$D$14)/(1000*(1-Data!$D$18)*Data!$D$14))&gt;ChemData!U240, ChemData!U240,H240/((Data!$D$18+$E240*(1-Data!$D$18)*Data!$D$14)/(1000*(1-Data!$D$18)*Data!$D$14)))))))))),"---")</f>
        <v>NA</v>
      </c>
      <c r="J240" s="870" t="str">
        <f>IF(Start!$C$17="x",IF(OR(I240="NA",I240="",ChemData!W240="NA",ChemData!W240=""),"NA",I240/ChemData!W240),"---")</f>
        <v>NA</v>
      </c>
      <c r="K240" s="870" t="str">
        <f>IF(Start!$C$17="x",IF(J240="NA","NA",IF(Data!$D$68&lt;ChemData!X240,J240*(Data!$D$68/ChemData!X240),J240)),"---")</f>
        <v>NA</v>
      </c>
      <c r="L240" s="870" t="str">
        <f>IF(Start!$C$17="x",IF(OR(I240="NA",I240="",ChemData!Z240="NA",ChemData!Z240=""),"NA",I240/ChemData!Z240),"---")</f>
        <v>NA</v>
      </c>
      <c r="M240" s="870" t="str">
        <f>IF(Start!$C$17="x",IF(OR(I240="NA",I240="",ChemData!Y240="NA",ChemData!Y240=""),"NA",I240/ChemData!Y240),"---")</f>
        <v>NA</v>
      </c>
      <c r="N240" s="870" t="str">
        <f>IF(Start!$C$17="x",IF(OR(I240="NA",I240="",G240="NA",G240=""),"NA",I240/G240),"---")</f>
        <v>NA</v>
      </c>
      <c r="O240" s="794" t="str">
        <f>IF(Start!$C$17="x",(IF(C240="","",(IF(N240="NA","NA",IF(D240="NA","NA",IF(D240=0,"NA",(N240/D240))))))),"Not Req.")</f>
        <v/>
      </c>
    </row>
    <row r="241" spans="1:15" s="10" customFormat="1" x14ac:dyDescent="0.25">
      <c r="A241" s="405" t="s">
        <v>559</v>
      </c>
      <c r="B241" s="868" t="str">
        <f>IF(Start!$C$17="x",(IF($C241="NA","NA",(IF(C241="","",(IF(AND(N241="NA",C241&lt;&gt;"NA",D241&lt;&gt;"NA"),"Missing Data",(IF(OR(D241 = "NA",D241=""),"No Criteria",(IF(N241&lt;D241,IF(OR(I241&lt;D241,ChemData!AA241&lt;&gt;""),"No-1",IF(M241&lt;D241,"No-2","No-3")),"Needed")))))))))),"---")</f>
        <v/>
      </c>
      <c r="C241" s="426" t="str">
        <f>IF(TRUE=ISBLANK(ChemData!B241),"",(ChemData!B241))</f>
        <v/>
      </c>
      <c r="D241" s="289" t="str">
        <f>IF(TRUE=ISBLANK(ChemData!J241),"",(ChemData!J241))</f>
        <v>NA</v>
      </c>
      <c r="E241" s="290">
        <f>IF(TRUE=ISBLANK(ChemData!Q241),"",(ChemData!Q241))</f>
        <v>23302.709372310041</v>
      </c>
      <c r="F241" s="290">
        <f>IF(TRUE=ISBLANK(ChemData!S241),"",(ChemData!S241))</f>
        <v>1</v>
      </c>
      <c r="G241" s="865">
        <f>IF(OR(TRUE=ISBLANK(ChemData!AA241),ChemData!AA241="NA",ChemData!AA241=0),ChemData!Z241,(ChemData!AA241))</f>
        <v>2064478.4534849145</v>
      </c>
      <c r="H241" s="685" t="str">
        <f>IF(Start!$C$17="x",(IF(OR(C241="NA",C241=""),"NA",IF(OR(F241="NA",F241="",F241=0),"NA",C241*F241))),"---")</f>
        <v>NA</v>
      </c>
      <c r="I241" s="376" t="str">
        <f>IF(Start!$C$17="x",(IF($E241 = "NA", "NA", (IF(H241 = "NA", "NA",(IF(OR(ChemData!U241="NA",ChemData!U241=""),H241/((Data!$D$18+$E241*(1-Data!$D$18)*Data!$D$14)/(1000*(1-Data!$D$18)*Data!$D$14)),(IF(H241/((Data!$D$18+$E241*(1-Data!$D$18)*Data!$D$14)/(1000*(1-Data!$D$18)*Data!$D$14))&gt;ChemData!U241, ChemData!U241,H241/((Data!$D$18+$E241*(1-Data!$D$18)*Data!$D$14)/(1000*(1-Data!$D$18)*Data!$D$14)))))))))),"---")</f>
        <v>NA</v>
      </c>
      <c r="J241" s="870" t="str">
        <f>IF(Start!$C$17="x",IF(OR(I241="NA",I241="",ChemData!W241="NA",ChemData!W241=""),"NA",I241/ChemData!W241),"---")</f>
        <v>NA</v>
      </c>
      <c r="K241" s="870" t="str">
        <f>IF(Start!$C$17="x",IF(J241="NA","NA",IF(Data!$D$68&lt;ChemData!X241,J241*(Data!$D$68/ChemData!X241),J241)),"---")</f>
        <v>NA</v>
      </c>
      <c r="L241" s="870" t="str">
        <f>IF(Start!$C$17="x",IF(OR(I241="NA",I241="",ChemData!Z241="NA",ChemData!Z241=""),"NA",I241/ChemData!Z241),"---")</f>
        <v>NA</v>
      </c>
      <c r="M241" s="870" t="str">
        <f>IF(Start!$C$17="x",IF(OR(I241="NA",I241="",ChemData!Y241="NA",ChemData!Y241=""),"NA",I241/ChemData!Y241),"---")</f>
        <v>NA</v>
      </c>
      <c r="N241" s="870" t="str">
        <f>IF(Start!$C$17="x",IF(OR(I241="NA",I241="",G241="NA",G241=""),"NA",I241/G241),"---")</f>
        <v>NA</v>
      </c>
      <c r="O241" s="794" t="str">
        <f>IF(Start!$C$17="x",(IF(C241="","",(IF(N241="NA","NA",IF(D241="NA","NA",IF(D241=0,"NA",(N241/D241))))))),"Not Req.")</f>
        <v/>
      </c>
    </row>
    <row r="242" spans="1:15" s="10" customFormat="1" x14ac:dyDescent="0.25">
      <c r="A242" s="405" t="s">
        <v>560</v>
      </c>
      <c r="B242" s="868" t="str">
        <f>IF(Start!$C$17="x",(IF($C242="NA","NA",(IF(C242="","",(IF(AND(N242="NA",C242&lt;&gt;"NA",D242&lt;&gt;"NA"),"Missing Data",(IF(OR(D242 = "NA",D242=""),"No Criteria",(IF(N242&lt;D242,IF(OR(I242&lt;D242,ChemData!AA242&lt;&gt;""),"No-1",IF(M242&lt;D242,"No-2","No-3")),"Needed")))))))))),"---")</f>
        <v/>
      </c>
      <c r="C242" s="426" t="str">
        <f>IF(TRUE=ISBLANK(ChemData!B242),"",(ChemData!B242))</f>
        <v/>
      </c>
      <c r="D242" s="289" t="str">
        <f>IF(TRUE=ISBLANK(ChemData!J242),"",(ChemData!J242))</f>
        <v>NA</v>
      </c>
      <c r="E242" s="290">
        <f>IF(TRUE=ISBLANK(ChemData!Q242),"",(ChemData!Q242))</f>
        <v>23302.709372310041</v>
      </c>
      <c r="F242" s="290">
        <f>IF(TRUE=ISBLANK(ChemData!S242),"",(ChemData!S242))</f>
        <v>1</v>
      </c>
      <c r="G242" s="865">
        <f>IF(OR(TRUE=ISBLANK(ChemData!AA242),ChemData!AA242="NA",ChemData!AA242=0),ChemData!Z242,(ChemData!AA242))</f>
        <v>2064478.4534849145</v>
      </c>
      <c r="H242" s="685" t="str">
        <f>IF(Start!$C$17="x",(IF(OR(C242="NA",C242=""),"NA",IF(OR(F242="NA",F242="",F242=0),"NA",C242*F242))),"---")</f>
        <v>NA</v>
      </c>
      <c r="I242" s="376" t="str">
        <f>IF(Start!$C$17="x",(IF($E242 = "NA", "NA", (IF(H242 = "NA", "NA",(IF(OR(ChemData!U242="NA",ChemData!U242=""),H242/((Data!$D$18+$E242*(1-Data!$D$18)*Data!$D$14)/(1000*(1-Data!$D$18)*Data!$D$14)),(IF(H242/((Data!$D$18+$E242*(1-Data!$D$18)*Data!$D$14)/(1000*(1-Data!$D$18)*Data!$D$14))&gt;ChemData!U242, ChemData!U242,H242/((Data!$D$18+$E242*(1-Data!$D$18)*Data!$D$14)/(1000*(1-Data!$D$18)*Data!$D$14)))))))))),"---")</f>
        <v>NA</v>
      </c>
      <c r="J242" s="870" t="str">
        <f>IF(Start!$C$17="x",IF(OR(I242="NA",I242="",ChemData!W242="NA",ChemData!W242=""),"NA",I242/ChemData!W242),"---")</f>
        <v>NA</v>
      </c>
      <c r="K242" s="870" t="str">
        <f>IF(Start!$C$17="x",IF(J242="NA","NA",IF(Data!$D$68&lt;ChemData!X242,J242*(Data!$D$68/ChemData!X242),J242)),"---")</f>
        <v>NA</v>
      </c>
      <c r="L242" s="870" t="str">
        <f>IF(Start!$C$17="x",IF(OR(I242="NA",I242="",ChemData!Z242="NA",ChemData!Z242=""),"NA",I242/ChemData!Z242),"---")</f>
        <v>NA</v>
      </c>
      <c r="M242" s="870" t="str">
        <f>IF(Start!$C$17="x",IF(OR(I242="NA",I242="",ChemData!Y242="NA",ChemData!Y242=""),"NA",I242/ChemData!Y242),"---")</f>
        <v>NA</v>
      </c>
      <c r="N242" s="870" t="str">
        <f>IF(Start!$C$17="x",IF(OR(I242="NA",I242="",G242="NA",G242=""),"NA",I242/G242),"---")</f>
        <v>NA</v>
      </c>
      <c r="O242" s="794" t="str">
        <f>IF(Start!$C$17="x",(IF(C242="","",(IF(N242="NA","NA",IF(D242="NA","NA",IF(D242=0,"NA",(N242/D242))))))),"Not Req.")</f>
        <v/>
      </c>
    </row>
    <row r="243" spans="1:15" s="10" customFormat="1" x14ac:dyDescent="0.25">
      <c r="A243" s="405" t="s">
        <v>690</v>
      </c>
      <c r="B243" s="868" t="str">
        <f>IF(Start!$C$17="x",(IF($C243="NA","NA",(IF(C243="","",(IF(AND(N243="NA",C243&lt;&gt;"NA",D243&lt;&gt;"NA"),"Missing Data",(IF(OR(D243 = "NA",D243=""),"No Criteria",(IF(N243&lt;D243,IF(OR(I243&lt;D243,ChemData!AA243&lt;&gt;""),"No-1",IF(M243&lt;D243,"No-2","No-3")),"Needed")))))))))),"---")</f>
        <v/>
      </c>
      <c r="C243" s="426" t="str">
        <f>IF(TRUE=ISBLANK(ChemData!B243),"",(ChemData!B243))</f>
        <v/>
      </c>
      <c r="D243" s="289" t="str">
        <f>IF(TRUE=ISBLANK(ChemData!J243),"",(ChemData!J243))</f>
        <v>NA</v>
      </c>
      <c r="E243" s="290">
        <f>IF(TRUE=ISBLANK(ChemData!Q243),"",(ChemData!Q243))</f>
        <v>47.570699999999995</v>
      </c>
      <c r="F243" s="290">
        <f>IF(TRUE=ISBLANK(ChemData!S243),"",(ChemData!S243))</f>
        <v>1</v>
      </c>
      <c r="G243" s="865">
        <f>IF(OR(TRUE=ISBLANK(ChemData!AA243),ChemData!AA243="NA",ChemData!AA243=0),ChemData!Z243,(ChemData!AA243))</f>
        <v>231.35796546088372</v>
      </c>
      <c r="H243" s="685" t="str">
        <f>IF(Start!$C$17="x",(IF(OR(C243="NA",C243=""),"NA",IF(OR(F243="NA",F243="",F243=0),"NA",C243*F243))),"---")</f>
        <v>NA</v>
      </c>
      <c r="I243" s="376" t="str">
        <f>IF(Start!$C$17="x",(IF($E243 = "NA", "NA", (IF(H243 = "NA", "NA",(IF(OR(ChemData!U243="NA",ChemData!U243=""),H243/((Data!$D$18+$E243*(1-Data!$D$18)*Data!$D$14)/(1000*(1-Data!$D$18)*Data!$D$14)),(IF(H243/((Data!$D$18+$E243*(1-Data!$D$18)*Data!$D$14)/(1000*(1-Data!$D$18)*Data!$D$14))&gt;ChemData!U243, ChemData!U243,H243/((Data!$D$18+$E243*(1-Data!$D$18)*Data!$D$14)/(1000*(1-Data!$D$18)*Data!$D$14)))))))))),"---")</f>
        <v>NA</v>
      </c>
      <c r="J243" s="870" t="str">
        <f>IF(Start!$C$17="x",IF(OR(I243="NA",I243="",ChemData!W243="NA",ChemData!W243=""),"NA",I243/ChemData!W243),"---")</f>
        <v>NA</v>
      </c>
      <c r="K243" s="870" t="str">
        <f>IF(Start!$C$17="x",IF(J243="NA","NA",IF(Data!$D$68&lt;ChemData!X243,J243*(Data!$D$68/ChemData!X243),J243)),"---")</f>
        <v>NA</v>
      </c>
      <c r="L243" s="870" t="str">
        <f>IF(Start!$C$17="x",IF(OR(I243="NA",I243="",ChemData!Z243="NA",ChemData!Z243=""),"NA",I243/ChemData!Z243),"---")</f>
        <v>NA</v>
      </c>
      <c r="M243" s="870" t="str">
        <f>IF(Start!$C$17="x",IF(OR(I243="NA",I243="",ChemData!Y243="NA",ChemData!Y243=""),"NA",I243/ChemData!Y243),"---")</f>
        <v>NA</v>
      </c>
      <c r="N243" s="870" t="str">
        <f>IF(Start!$C$17="x",IF(OR(I243="NA",I243="",G243="NA",G243=""),"NA",I243/G243),"---")</f>
        <v>NA</v>
      </c>
      <c r="O243" s="794" t="str">
        <f>IF(Start!$C$17="x",(IF(C243="","",(IF(N243="NA","NA",IF(D243="NA","NA",IF(D243=0,"NA",(N243/D243))))))),"Not Req.")</f>
        <v/>
      </c>
    </row>
    <row r="244" spans="1:15" s="10" customFormat="1" ht="13.8" thickBot="1" x14ac:dyDescent="0.3">
      <c r="A244" s="405" t="s">
        <v>562</v>
      </c>
      <c r="B244" s="868" t="str">
        <f>IF(Start!$C$17="x",(IF($C244="NA","NA",(IF(C244="","",(IF(AND(N244="NA",C244&lt;&gt;"NA",D244&lt;&gt;"NA"),"Missing Data",(IF(OR(D244 = "NA",D244=""),"No Criteria",(IF(N244&lt;D244,IF(OR(I244&lt;D244,ChemData!AA244&lt;&gt;""),"No-1",IF(M244&lt;D244,"No-2","No-3")),"Needed")))))))))),"---")</f>
        <v/>
      </c>
      <c r="C244" s="426" t="str">
        <f>IF(TRUE=ISBLANK(ChemData!B244),"",(ChemData!B244))</f>
        <v/>
      </c>
      <c r="D244" s="921">
        <f>IF(TRUE=ISBLANK(ChemData!J244),"",(ChemData!J244))</f>
        <v>2.0000000000000001E-4</v>
      </c>
      <c r="E244" s="290">
        <f>IF(TRUE=ISBLANK(ChemData!Q244),"",(ChemData!Q244))</f>
        <v>5853.3759489716749</v>
      </c>
      <c r="F244" s="290">
        <f>IF(TRUE=ISBLANK(ChemData!S244),"",(ChemData!S244))</f>
        <v>1</v>
      </c>
      <c r="G244" s="865">
        <f>IF(OR(TRUE=ISBLANK(ChemData!AA244),ChemData!AA244="NA",ChemData!AA244=0),ChemData!Z244,(ChemData!AA244))</f>
        <v>271440.13824800111</v>
      </c>
      <c r="H244" s="685" t="str">
        <f>IF(Start!$C$17="x",(IF(OR(C244="NA",C244=""),"NA",IF(OR(F244="NA",F244="",F244=0),"NA",C244*F244))),"---")</f>
        <v>NA</v>
      </c>
      <c r="I244" s="376" t="str">
        <f>IF(Start!$C$17="x",(IF($E244 = "NA", "NA", (IF(H244 = "NA", "NA",(IF(OR(ChemData!U244="NA",ChemData!U244=""),H244/((Data!$D$18+$E244*(1-Data!$D$18)*Data!$D$14)/(1000*(1-Data!$D$18)*Data!$D$14)),(IF(H244/((Data!$D$18+$E244*(1-Data!$D$18)*Data!$D$14)/(1000*(1-Data!$D$18)*Data!$D$14))&gt;ChemData!U244, ChemData!U244,H244/((Data!$D$18+$E244*(1-Data!$D$18)*Data!$D$14)/(1000*(1-Data!$D$18)*Data!$D$14)))))))))),"---")</f>
        <v>NA</v>
      </c>
      <c r="J244" s="870" t="str">
        <f>IF(Start!$C$17="x",IF(OR(I244="NA",I244="",ChemData!W244="NA",ChemData!W244=""),"NA",I244/ChemData!W244),"---")</f>
        <v>NA</v>
      </c>
      <c r="K244" s="870" t="str">
        <f>IF(Start!$C$17="x",IF(J244="NA","NA",IF(Data!$D$68&lt;ChemData!X244,J244*(Data!$D$68/ChemData!X244),J244)),"---")</f>
        <v>NA</v>
      </c>
      <c r="L244" s="870" t="str">
        <f>IF(Start!$C$17="x",IF(OR(I244="NA",I244="",ChemData!Z244="NA",ChemData!Z244=""),"NA",I244/ChemData!Z244),"---")</f>
        <v>NA</v>
      </c>
      <c r="M244" s="870" t="str">
        <f>IF(Start!$C$17="x",IF(OR(I244="NA",I244="",ChemData!Y244="NA",ChemData!Y244=""),"NA",I244/ChemData!Y244),"---")</f>
        <v>NA</v>
      </c>
      <c r="N244" s="870" t="str">
        <f>IF(Start!$C$17="x",IF(OR(I244="NA",I244="",G244="NA",G244=""),"NA",I244/G244),"---")</f>
        <v>NA</v>
      </c>
      <c r="O244" s="794" t="str">
        <f>IF(Start!$C$17="x",(IF(C244="","",(IF(N244="NA","NA",IF(D244="NA","NA",IF(D244=0,"NA",(N244/D244))))))),"Not Req.")</f>
        <v/>
      </c>
    </row>
    <row r="245" spans="1:15" s="10" customFormat="1" x14ac:dyDescent="0.25">
      <c r="A245" s="505" t="s">
        <v>563</v>
      </c>
      <c r="B245" s="527"/>
      <c r="C245" s="528"/>
      <c r="D245" s="511"/>
      <c r="E245" s="512"/>
      <c r="F245" s="512"/>
      <c r="G245" s="808"/>
      <c r="H245" s="511"/>
      <c r="I245" s="512"/>
      <c r="J245" s="534"/>
      <c r="K245" s="534"/>
      <c r="L245" s="534"/>
      <c r="M245" s="534"/>
      <c r="N245" s="534"/>
      <c r="O245" s="807"/>
    </row>
    <row r="246" spans="1:15" s="10" customFormat="1" x14ac:dyDescent="0.25">
      <c r="A246" s="405" t="s">
        <v>564</v>
      </c>
      <c r="B246" s="868" t="str">
        <f>IF(Start!$C$17="x",(IF($C246="NA","NA",(IF(C246="","",(IF(AND(N246="NA",C246&lt;&gt;"NA",D246&lt;&gt;"NA"),"Missing Data",(IF(OR(D246 = "NA",D246=""),"No Criteria",(IF(N246&lt;D246,IF(OR(I246&lt;D246,ChemData!AA246&lt;&gt;""),"No-1",IF(M246&lt;D246,"No-2","No-3")),"Needed")))))))))),"---")</f>
        <v/>
      </c>
      <c r="C246" s="426" t="str">
        <f>IF(TRUE=ISBLANK(ChemData!B246),"",(ChemData!B246))</f>
        <v/>
      </c>
      <c r="D246" s="289" t="str">
        <f>IF(TRUE=ISBLANK(ChemData!J246),"",(ChemData!J246))</f>
        <v>NA</v>
      </c>
      <c r="E246" s="290">
        <f>IF(TRUE=ISBLANK(ChemData!Q246),"",(ChemData!Q246))</f>
        <v>1851000</v>
      </c>
      <c r="F246" s="290">
        <f>IF(TRUE=ISBLANK(ChemData!S246),"",(ChemData!S246))</f>
        <v>1</v>
      </c>
      <c r="G246" s="865">
        <f>IF(OR(TRUE=ISBLANK(ChemData!AA246),ChemData!AA246="NA",ChemData!AA246=0),ChemData!Z246,(ChemData!AA246))</f>
        <v>1273723796.6451402</v>
      </c>
      <c r="H246" s="685" t="str">
        <f>IF(Start!$C$17="x",(IF(OR(C246="NA",C246=""),"NA",IF(OR(F246="NA",F246="",F246=0),"NA",C246*F246))),"---")</f>
        <v>NA</v>
      </c>
      <c r="I246" s="376" t="str">
        <f>IF(Start!$C$17="x",(IF($E246 = "NA", "NA", (IF(H246 = "NA", "NA",(IF(OR(ChemData!U246="NA",ChemData!U246=""),H246/((Data!$D$18+$E246*(1-Data!$D$18)*Data!$D$14)/(1000*(1-Data!$D$18)*Data!$D$14)),(IF(H246/((Data!$D$18+$E246*(1-Data!$D$18)*Data!$D$14)/(1000*(1-Data!$D$18)*Data!$D$14))&gt;ChemData!U246, ChemData!U246,H246/((Data!$D$18+$E246*(1-Data!$D$18)*Data!$D$14)/(1000*(1-Data!$D$18)*Data!$D$14)))))))))),"---")</f>
        <v>NA</v>
      </c>
      <c r="J246" s="870" t="str">
        <f>IF(Start!$C$17="x",IF(OR(I246="NA",I246="",ChemData!W246="NA",ChemData!W246=""),"NA",I246/ChemData!W246),"---")</f>
        <v>NA</v>
      </c>
      <c r="K246" s="870" t="str">
        <f>IF(Start!$C$17="x",IF(J246="NA","NA",IF(Data!$D$68&lt;ChemData!X246,J246*(Data!$D$68/ChemData!X246),J246)),"---")</f>
        <v>NA</v>
      </c>
      <c r="L246" s="870" t="str">
        <f>IF(Start!$C$17="x",IF(OR(I246="NA",I246="",ChemData!Z246="NA",ChemData!Z246=""),"NA",I246/ChemData!Z246),"---")</f>
        <v>NA</v>
      </c>
      <c r="M246" s="870" t="str">
        <f>IF(Start!$C$17="x",IF(OR(I246="NA",I246="",ChemData!Y246="NA",ChemData!Y246=""),"NA",I246/ChemData!Y246),"---")</f>
        <v>NA</v>
      </c>
      <c r="N246" s="870" t="str">
        <f>IF(Start!$C$17="x",IF(OR(I246="NA",I246="",G246="NA",G246=""),"NA",I246/G246),"---")</f>
        <v>NA</v>
      </c>
      <c r="O246" s="794" t="str">
        <f>IF(Start!$C$17="x",(IF(C246="","",(IF(N246="NA","NA",IF(D246="NA","NA",IF(D246=0,"NA",(N246/D246))))))),"Not Req.")</f>
        <v/>
      </c>
    </row>
    <row r="247" spans="1:15" s="10" customFormat="1" x14ac:dyDescent="0.25">
      <c r="A247" s="405" t="s">
        <v>565</v>
      </c>
      <c r="B247" s="868" t="str">
        <f>IF(Start!$C$17="x",(IF($C247="NA","NA",(IF(C247="","",(IF(AND(N247="NA",C247&lt;&gt;"NA",D247&lt;&gt;"NA"),"Missing Data",(IF(OR(D247 = "NA",D247=""),"No Criteria",(IF(N247&lt;D247,IF(OR(I247&lt;D247,ChemData!AA247&lt;&gt;""),"No-1",IF(M247&lt;D247,"No-2","No-3")),"Needed")))))))))),"---")</f>
        <v/>
      </c>
      <c r="C247" s="426" t="str">
        <f>IF(TRUE=ISBLANK(ChemData!B247),"",(ChemData!B247))</f>
        <v/>
      </c>
      <c r="D247" s="289" t="str">
        <f>IF(TRUE=ISBLANK(ChemData!J247),"",(ChemData!J247))</f>
        <v>NA</v>
      </c>
      <c r="E247" s="290">
        <f>IF(TRUE=ISBLANK(ChemData!Q247),"",(ChemData!Q247))</f>
        <v>1539594.740311048</v>
      </c>
      <c r="F247" s="290">
        <f>IF(TRUE=ISBLANK(ChemData!S247),"",(ChemData!S247))</f>
        <v>1</v>
      </c>
      <c r="G247" s="865">
        <f>IF(OR(TRUE=ISBLANK(ChemData!AA247),ChemData!AA247="NA",ChemData!AA247=0),ChemData!Z247,(ChemData!AA247))</f>
        <v>971830275.30668092</v>
      </c>
      <c r="H247" s="685" t="str">
        <f>IF(Start!$C$17="x",(IF(OR(C247="NA",C247=""),"NA",IF(OR(F247="NA",F247="",F247=0),"NA",C247*F247))),"---")</f>
        <v>NA</v>
      </c>
      <c r="I247" s="376" t="str">
        <f>IF(Start!$C$17="x",(IF($E247 = "NA", "NA", (IF(H247 = "NA", "NA",(IF(OR(ChemData!U247="NA",ChemData!U247=""),H247/((Data!$D$18+$E247*(1-Data!$D$18)*Data!$D$14)/(1000*(1-Data!$D$18)*Data!$D$14)),(IF(H247/((Data!$D$18+$E247*(1-Data!$D$18)*Data!$D$14)/(1000*(1-Data!$D$18)*Data!$D$14))&gt;ChemData!U247, ChemData!U247,H247/((Data!$D$18+$E247*(1-Data!$D$18)*Data!$D$14)/(1000*(1-Data!$D$18)*Data!$D$14)))))))))),"---")</f>
        <v>NA</v>
      </c>
      <c r="J247" s="870" t="str">
        <f>IF(Start!$C$17="x",IF(OR(I247="NA",I247="",ChemData!W247="NA",ChemData!W247=""),"NA",I247/ChemData!W247),"---")</f>
        <v>NA</v>
      </c>
      <c r="K247" s="870" t="str">
        <f>IF(Start!$C$17="x",IF(J247="NA","NA",IF(Data!$D$68&lt;ChemData!X247,J247*(Data!$D$68/ChemData!X247),J247)),"---")</f>
        <v>NA</v>
      </c>
      <c r="L247" s="870" t="str">
        <f>IF(Start!$C$17="x",IF(OR(I247="NA",I247="",ChemData!Z247="NA",ChemData!Z247=""),"NA",I247/ChemData!Z247),"---")</f>
        <v>NA</v>
      </c>
      <c r="M247" s="870" t="str">
        <f>IF(Start!$C$17="x",IF(OR(I247="NA",I247="",ChemData!Y247="NA",ChemData!Y247=""),"NA",I247/ChemData!Y247),"---")</f>
        <v>NA</v>
      </c>
      <c r="N247" s="870" t="str">
        <f>IF(Start!$C$17="x",IF(OR(I247="NA",I247="",G247="NA",G247=""),"NA",I247/G247),"---")</f>
        <v>NA</v>
      </c>
      <c r="O247" s="794" t="str">
        <f>IF(Start!$C$17="x",(IF(C247="","",(IF(N247="NA","NA",IF(D247="NA","NA",IF(D247=0,"NA",(N247/D247))))))),"Not Req.")</f>
        <v/>
      </c>
    </row>
    <row r="248" spans="1:15" s="10" customFormat="1" x14ac:dyDescent="0.25">
      <c r="A248" s="405" t="s">
        <v>566</v>
      </c>
      <c r="B248" s="868" t="str">
        <f>IF(Start!$C$17="x",(IF($C248="NA","NA",(IF(C248="","",(IF(AND(N248="NA",C248&lt;&gt;"NA",D248&lt;&gt;"NA"),"Missing Data",(IF(OR(D248 = "NA",D248=""),"No Criteria",(IF(N248&lt;D248,IF(OR(I248&lt;D248,ChemData!AA248&lt;&gt;""),"No-1",IF(M248&lt;D248,"No-2","No-3")),"Needed")))))))))),"---")</f>
        <v/>
      </c>
      <c r="C248" s="426" t="str">
        <f>IF(TRUE=ISBLANK(ChemData!B248),"",(ChemData!B248))</f>
        <v/>
      </c>
      <c r="D248" s="289" t="str">
        <f>IF(TRUE=ISBLANK(ChemData!J248),"",(ChemData!J248))</f>
        <v>NA</v>
      </c>
      <c r="E248" s="290" t="str">
        <f>IF(TRUE=ISBLANK(ChemData!Q248),"",(ChemData!Q248))</f>
        <v>NA</v>
      </c>
      <c r="F248" s="290">
        <f>IF(TRUE=ISBLANK(ChemData!S248),"",(ChemData!S248))</f>
        <v>1</v>
      </c>
      <c r="G248" s="865" t="str">
        <f>IF(OR(TRUE=ISBLANK(ChemData!AA248),ChemData!AA248="NA",ChemData!AA248=0),ChemData!Z248,(ChemData!AA248))</f>
        <v>NA</v>
      </c>
      <c r="H248" s="685" t="str">
        <f>IF(Start!$C$17="x",(IF(OR(C248="NA",C248=""),"NA",IF(OR(F248="NA",F248="",F248=0),"NA",C248*F248))),"---")</f>
        <v>NA</v>
      </c>
      <c r="I248" s="376" t="str">
        <f>IF(Start!$C$17="x",(IF($E248 = "NA", "NA", (IF(H248 = "NA", "NA",(IF(OR(ChemData!U248="NA",ChemData!U248=""),H248/((Data!$D$18+$E248*(1-Data!$D$18)*Data!$D$14)/(1000*(1-Data!$D$18)*Data!$D$14)),(IF(H248/((Data!$D$18+$E248*(1-Data!$D$18)*Data!$D$14)/(1000*(1-Data!$D$18)*Data!$D$14))&gt;ChemData!U248, ChemData!U248,H248/((Data!$D$18+$E248*(1-Data!$D$18)*Data!$D$14)/(1000*(1-Data!$D$18)*Data!$D$14)))))))))),"---")</f>
        <v>NA</v>
      </c>
      <c r="J248" s="870" t="str">
        <f>IF(Start!$C$17="x",IF(OR(I248="NA",I248="",ChemData!W248="NA",ChemData!W248=""),"NA",I248/ChemData!W248),"---")</f>
        <v>NA</v>
      </c>
      <c r="K248" s="870" t="str">
        <f>IF(Start!$C$17="x",IF(J248="NA","NA",IF(Data!$D$68&lt;ChemData!X248,J248*(Data!$D$68/ChemData!X248),J248)),"---")</f>
        <v>NA</v>
      </c>
      <c r="L248" s="870" t="str">
        <f>IF(Start!$C$17="x",IF(OR(I248="NA",I248="",ChemData!Z248="NA",ChemData!Z248=""),"NA",I248/ChemData!Z248),"---")</f>
        <v>NA</v>
      </c>
      <c r="M248" s="870" t="str">
        <f>IF(Start!$C$17="x",IF(OR(I248="NA",I248="",ChemData!Y248="NA",ChemData!Y248=""),"NA",I248/ChemData!Y248),"---")</f>
        <v>NA</v>
      </c>
      <c r="N248" s="870" t="str">
        <f>IF(Start!$C$17="x",IF(OR(I248="NA",I248="",G248="NA",G248=""),"NA",I248/G248),"---")</f>
        <v>NA</v>
      </c>
      <c r="O248" s="794" t="str">
        <f>IF(Start!$C$17="x",(IF(C248="","",(IF(N248="NA","NA",IF(D248="NA","NA",IF(D248=0,"NA",(N248/D248))))))),"Not Req.")</f>
        <v/>
      </c>
    </row>
    <row r="249" spans="1:15" s="10" customFormat="1" x14ac:dyDescent="0.25">
      <c r="A249" s="405" t="s">
        <v>567</v>
      </c>
      <c r="B249" s="868" t="str">
        <f>IF(Start!$C$17="x",(IF($C249="NA","NA",(IF(C249="","",(IF(AND(N249="NA",C249&lt;&gt;"NA",D249&lt;&gt;"NA"),"Missing Data",(IF(OR(D249 = "NA",D249=""),"No Criteria",(IF(N249&lt;D249,IF(OR(I249&lt;D249,ChemData!AA249&lt;&gt;""),"No-1",IF(M249&lt;D249,"No-2","No-3")),"Needed")))))))))),"---")</f>
        <v/>
      </c>
      <c r="C249" s="426" t="str">
        <f>IF(TRUE=ISBLANK(ChemData!B249),"",(ChemData!B249))</f>
        <v/>
      </c>
      <c r="D249" s="289" t="str">
        <f>IF(TRUE=ISBLANK(ChemData!J249),"",(ChemData!J249))</f>
        <v>NA</v>
      </c>
      <c r="E249" s="290">
        <f>IF(TRUE=ISBLANK(ChemData!Q249),"",(ChemData!Q249))</f>
        <v>1167902.0446328379</v>
      </c>
      <c r="F249" s="290">
        <f>IF(TRUE=ISBLANK(ChemData!S249),"",(ChemData!S249))</f>
        <v>1</v>
      </c>
      <c r="G249" s="865">
        <f>IF(OR(TRUE=ISBLANK(ChemData!AA249),ChemData!AA249="NA",ChemData!AA249=0),ChemData!Z249,(ChemData!AA249))</f>
        <v>647683997.72069669</v>
      </c>
      <c r="H249" s="685" t="str">
        <f>IF(Start!$C$17="x",(IF(OR(C249="NA",C249=""),"NA",IF(OR(F249="NA",F249="",F249=0),"NA",C249*F249))),"---")</f>
        <v>NA</v>
      </c>
      <c r="I249" s="376" t="str">
        <f>IF(Start!$C$17="x",(IF($E249 = "NA", "NA", (IF(H249 = "NA", "NA",(IF(OR(ChemData!U249="NA",ChemData!U249=""),H249/((Data!$D$18+$E249*(1-Data!$D$18)*Data!$D$14)/(1000*(1-Data!$D$18)*Data!$D$14)),(IF(H249/((Data!$D$18+$E249*(1-Data!$D$18)*Data!$D$14)/(1000*(1-Data!$D$18)*Data!$D$14))&gt;ChemData!U249, ChemData!U249,H249/((Data!$D$18+$E249*(1-Data!$D$18)*Data!$D$14)/(1000*(1-Data!$D$18)*Data!$D$14)))))))))),"---")</f>
        <v>NA</v>
      </c>
      <c r="J249" s="870" t="str">
        <f>IF(Start!$C$17="x",IF(OR(I249="NA",I249="",ChemData!W249="NA",ChemData!W249=""),"NA",I249/ChemData!W249),"---")</f>
        <v>NA</v>
      </c>
      <c r="K249" s="870" t="str">
        <f>IF(Start!$C$17="x",IF(J249="NA","NA",IF(Data!$D$68&lt;ChemData!X249,J249*(Data!$D$68/ChemData!X249),J249)),"---")</f>
        <v>NA</v>
      </c>
      <c r="L249" s="870" t="str">
        <f>IF(Start!$C$17="x",IF(OR(I249="NA",I249="",ChemData!Z249="NA",ChemData!Z249=""),"NA",I249/ChemData!Z249),"---")</f>
        <v>NA</v>
      </c>
      <c r="M249" s="870" t="str">
        <f>IF(Start!$C$17="x",IF(OR(I249="NA",I249="",ChemData!Y249="NA",ChemData!Y249=""),"NA",I249/ChemData!Y249),"---")</f>
        <v>NA</v>
      </c>
      <c r="N249" s="870" t="str">
        <f>IF(Start!$C$17="x",IF(OR(I249="NA",I249="",G249="NA",G249=""),"NA",I249/G249),"---")</f>
        <v>NA</v>
      </c>
      <c r="O249" s="794" t="str">
        <f>IF(Start!$C$17="x",(IF(C249="","",(IF(N249="NA","NA",IF(D249="NA","NA",IF(D249=0,"NA",(N249/D249))))))),"Not Req.")</f>
        <v/>
      </c>
    </row>
    <row r="250" spans="1:15" s="10" customFormat="1" x14ac:dyDescent="0.25">
      <c r="A250" s="405" t="s">
        <v>568</v>
      </c>
      <c r="B250" s="868" t="str">
        <f>IF(Start!$C$17="x",(IF($C250="NA","NA",(IF(C250="","",(IF(AND(N250="NA",C250&lt;&gt;"NA",D250&lt;&gt;"NA"),"Missing Data",(IF(OR(D250 = "NA",D250=""),"No Criteria",(IF(N250&lt;D250,IF(OR(I250&lt;D250,ChemData!AA250&lt;&gt;""),"No-1",IF(M250&lt;D250,"No-2","No-3")),"Needed")))))))))),"---")</f>
        <v/>
      </c>
      <c r="C250" s="426" t="str">
        <f>IF(TRUE=ISBLANK(ChemData!B250),"",(ChemData!B250))</f>
        <v/>
      </c>
      <c r="D250" s="289" t="str">
        <f>IF(TRUE=ISBLANK(ChemData!J250),"",(ChemData!J250))</f>
        <v>NA</v>
      </c>
      <c r="E250" s="290">
        <f>IF(TRUE=ISBLANK(ChemData!Q250),"",(ChemData!Q250))</f>
        <v>62720053.301366471</v>
      </c>
      <c r="F250" s="290">
        <f>IF(TRUE=ISBLANK(ChemData!S250),"",(ChemData!S250))</f>
        <v>1</v>
      </c>
      <c r="G250" s="865">
        <f>IF(OR(TRUE=ISBLANK(ChemData!AA250),ChemData!AA250="NA",ChemData!AA250=0),ChemData!Z250,(ChemData!AA250))</f>
        <v>224891371993.59338</v>
      </c>
      <c r="H250" s="685" t="str">
        <f>IF(Start!$C$17="x",(IF(OR(C250="NA",C250=""),"NA",IF(OR(F250="NA",F250="",F250=0),"NA",C250*F250))),"---")</f>
        <v>NA</v>
      </c>
      <c r="I250" s="376" t="str">
        <f>IF(Start!$C$17="x",(IF($E250 = "NA", "NA", (IF(H250 = "NA", "NA",(IF(OR(ChemData!U250="NA",ChemData!U250=""),H250/((Data!$D$18+$E250*(1-Data!$D$18)*Data!$D$14)/(1000*(1-Data!$D$18)*Data!$D$14)),(IF(H250/((Data!$D$18+$E250*(1-Data!$D$18)*Data!$D$14)/(1000*(1-Data!$D$18)*Data!$D$14))&gt;ChemData!U250, ChemData!U250,H250/((Data!$D$18+$E250*(1-Data!$D$18)*Data!$D$14)/(1000*(1-Data!$D$18)*Data!$D$14)))))))))),"---")</f>
        <v>NA</v>
      </c>
      <c r="J250" s="870" t="str">
        <f>IF(Start!$C$17="x",IF(OR(I250="NA",I250="",ChemData!W250="NA",ChemData!W250=""),"NA",I250/ChemData!W250),"---")</f>
        <v>NA</v>
      </c>
      <c r="K250" s="870" t="str">
        <f>IF(Start!$C$17="x",IF(J250="NA","NA",IF(Data!$D$68&lt;ChemData!X250,J250*(Data!$D$68/ChemData!X250),J250)),"---")</f>
        <v>NA</v>
      </c>
      <c r="L250" s="870" t="str">
        <f>IF(Start!$C$17="x",IF(OR(I250="NA",I250="",ChemData!Z250="NA",ChemData!Z250=""),"NA",I250/ChemData!Z250),"---")</f>
        <v>NA</v>
      </c>
      <c r="M250" s="870" t="str">
        <f>IF(Start!$C$17="x",IF(OR(I250="NA",I250="",ChemData!Y250="NA",ChemData!Y250=""),"NA",I250/ChemData!Y250),"---")</f>
        <v>NA</v>
      </c>
      <c r="N250" s="870" t="str">
        <f>IF(Start!$C$17="x",IF(OR(I250="NA",I250="",G250="NA",G250=""),"NA",I250/G250),"---")</f>
        <v>NA</v>
      </c>
      <c r="O250" s="794" t="str">
        <f>IF(Start!$C$17="x",(IF(C250="","",(IF(N250="NA","NA",IF(D250="NA","NA",IF(D250=0,"NA",(N250/D250))))))),"Not Req.")</f>
        <v/>
      </c>
    </row>
    <row r="251" spans="1:15" s="10" customFormat="1" x14ac:dyDescent="0.25">
      <c r="A251" s="405" t="s">
        <v>569</v>
      </c>
      <c r="B251" s="868" t="str">
        <f>IF(Start!$C$17="x",(IF($C251="NA","NA",(IF(C251="","",(IF(AND(N251="NA",C251&lt;&gt;"NA",D251&lt;&gt;"NA"),"Missing Data",(IF(OR(D251 = "NA",D251=""),"No Criteria",(IF(N251&lt;D251,IF(OR(I251&lt;D251,ChemData!AA251&lt;&gt;""),"No-1",IF(M251&lt;D251,"No-2","No-3")),"Needed")))))))))),"---")</f>
        <v/>
      </c>
      <c r="C251" s="426" t="str">
        <f>IF(TRUE=ISBLANK(ChemData!B251),"",(ChemData!B251))</f>
        <v/>
      </c>
      <c r="D251" s="289" t="str">
        <f>IF(TRUE=ISBLANK(ChemData!J251),"",(ChemData!J251))</f>
        <v>NA</v>
      </c>
      <c r="E251" s="290">
        <f>IF(TRUE=ISBLANK(ChemData!Q251),"",(ChemData!Q251))</f>
        <v>1167902.0446328379</v>
      </c>
      <c r="F251" s="290">
        <f>IF(TRUE=ISBLANK(ChemData!S251),"",(ChemData!S251))</f>
        <v>1</v>
      </c>
      <c r="G251" s="865">
        <f>IF(OR(TRUE=ISBLANK(ChemData!AA251),ChemData!AA251="NA",ChemData!AA251=0),ChemData!Z251,(ChemData!AA251))</f>
        <v>647683997.72069669</v>
      </c>
      <c r="H251" s="685" t="str">
        <f>IF(Start!$C$17="x",(IF(OR(C251="NA",C251=""),"NA",IF(OR(F251="NA",F251="",F251=0),"NA",C251*F251))),"---")</f>
        <v>NA</v>
      </c>
      <c r="I251" s="376" t="str">
        <f>IF(Start!$C$17="x",(IF($E251 = "NA", "NA", (IF(H251 = "NA", "NA",(IF(OR(ChemData!U251="NA",ChemData!U251=""),H251/((Data!$D$18+$E251*(1-Data!$D$18)*Data!$D$14)/(1000*(1-Data!$D$18)*Data!$D$14)),(IF(H251/((Data!$D$18+$E251*(1-Data!$D$18)*Data!$D$14)/(1000*(1-Data!$D$18)*Data!$D$14))&gt;ChemData!U251, ChemData!U251,H251/((Data!$D$18+$E251*(1-Data!$D$18)*Data!$D$14)/(1000*(1-Data!$D$18)*Data!$D$14)))))))))),"---")</f>
        <v>NA</v>
      </c>
      <c r="J251" s="870" t="str">
        <f>IF(Start!$C$17="x",IF(OR(I251="NA",I251="",ChemData!W251="NA",ChemData!W251=""),"NA",I251/ChemData!W251),"---")</f>
        <v>NA</v>
      </c>
      <c r="K251" s="870" t="str">
        <f>IF(Start!$C$17="x",IF(J251="NA","NA",IF(Data!$D$68&lt;ChemData!X251,J251*(Data!$D$68/ChemData!X251),J251)),"---")</f>
        <v>NA</v>
      </c>
      <c r="L251" s="870" t="str">
        <f>IF(Start!$C$17="x",IF(OR(I251="NA",I251="",ChemData!Z251="NA",ChemData!Z251=""),"NA",I251/ChemData!Z251),"---")</f>
        <v>NA</v>
      </c>
      <c r="M251" s="870" t="str">
        <f>IF(Start!$C$17="x",IF(OR(I251="NA",I251="",ChemData!Y251="NA",ChemData!Y251=""),"NA",I251/ChemData!Y251),"---")</f>
        <v>NA</v>
      </c>
      <c r="N251" s="870" t="str">
        <f>IF(Start!$C$17="x",IF(OR(I251="NA",I251="",G251="NA",G251=""),"NA",I251/G251),"---")</f>
        <v>NA</v>
      </c>
      <c r="O251" s="794" t="str">
        <f>IF(Start!$C$17="x",(IF(C251="","",(IF(N251="NA","NA",IF(D251="NA","NA",IF(D251=0,"NA",(N251/D251))))))),"Not Req.")</f>
        <v/>
      </c>
    </row>
    <row r="252" spans="1:15" s="10" customFormat="1" x14ac:dyDescent="0.25">
      <c r="A252" s="405" t="s">
        <v>570</v>
      </c>
      <c r="B252" s="868" t="str">
        <f>IF(Start!$C$17="x",(IF($C252="NA","NA",(IF(C252="","",(IF(AND(N252="NA",C252&lt;&gt;"NA",D252&lt;&gt;"NA"),"Missing Data",(IF(OR(D252 = "NA",D252=""),"No Criteria",(IF(N252&lt;D252,IF(OR(I252&lt;D252,ChemData!AA252&lt;&gt;""),"No-1",IF(M252&lt;D252,"No-2","No-3")),"Needed")))))))))),"---")</f>
        <v/>
      </c>
      <c r="C252" s="426" t="str">
        <f>IF(TRUE=ISBLANK(ChemData!B252),"",(ChemData!B252))</f>
        <v/>
      </c>
      <c r="D252" s="289" t="str">
        <f>IF(TRUE=ISBLANK(ChemData!J252),"",(ChemData!J252))</f>
        <v>NA</v>
      </c>
      <c r="E252" s="290">
        <f>IF(TRUE=ISBLANK(ChemData!Q252),"",(ChemData!Q252))</f>
        <v>1539594.740311048</v>
      </c>
      <c r="F252" s="290">
        <f>IF(TRUE=ISBLANK(ChemData!S252),"",(ChemData!S252))</f>
        <v>1</v>
      </c>
      <c r="G252" s="865">
        <f>IF(OR(TRUE=ISBLANK(ChemData!AA252),ChemData!AA252="NA",ChemData!AA252=0),ChemData!Z252,(ChemData!AA252))</f>
        <v>971830275.30668092</v>
      </c>
      <c r="H252" s="685" t="str">
        <f>IF(Start!$C$17="x",(IF(OR(C252="NA",C252=""),"NA",IF(OR(F252="NA",F252="",F252=0),"NA",C252*F252))),"---")</f>
        <v>NA</v>
      </c>
      <c r="I252" s="376" t="str">
        <f>IF(Start!$C$17="x",(IF($E252 = "NA", "NA", (IF(H252 = "NA", "NA",(IF(OR(ChemData!U252="NA",ChemData!U252=""),H252/((Data!$D$18+$E252*(1-Data!$D$18)*Data!$D$14)/(1000*(1-Data!$D$18)*Data!$D$14)),(IF(H252/((Data!$D$18+$E252*(1-Data!$D$18)*Data!$D$14)/(1000*(1-Data!$D$18)*Data!$D$14))&gt;ChemData!U252, ChemData!U252,H252/((Data!$D$18+$E252*(1-Data!$D$18)*Data!$D$14)/(1000*(1-Data!$D$18)*Data!$D$14)))))))))),"---")</f>
        <v>NA</v>
      </c>
      <c r="J252" s="870" t="str">
        <f>IF(Start!$C$17="x",IF(OR(I252="NA",I252="",ChemData!W252="NA",ChemData!W252=""),"NA",I252/ChemData!W252),"---")</f>
        <v>NA</v>
      </c>
      <c r="K252" s="870" t="str">
        <f>IF(Start!$C$17="x",IF(J252="NA","NA",IF(Data!$D$68&lt;ChemData!X252,J252*(Data!$D$68/ChemData!X252),J252)),"---")</f>
        <v>NA</v>
      </c>
      <c r="L252" s="870" t="str">
        <f>IF(Start!$C$17="x",IF(OR(I252="NA",I252="",ChemData!Z252="NA",ChemData!Z252=""),"NA",I252/ChemData!Z252),"---")</f>
        <v>NA</v>
      </c>
      <c r="M252" s="870" t="str">
        <f>IF(Start!$C$17="x",IF(OR(I252="NA",I252="",ChemData!Y252="NA",ChemData!Y252=""),"NA",I252/ChemData!Y252),"---")</f>
        <v>NA</v>
      </c>
      <c r="N252" s="870" t="str">
        <f>IF(Start!$C$17="x",IF(OR(I252="NA",I252="",G252="NA",G252=""),"NA",I252/G252),"---")</f>
        <v>NA</v>
      </c>
      <c r="O252" s="794" t="str">
        <f>IF(Start!$C$17="x",(IF(C252="","",(IF(N252="NA","NA",IF(D252="NA","NA",IF(D252=0,"NA",(N252/D252))))))),"Not Req.")</f>
        <v/>
      </c>
    </row>
    <row r="253" spans="1:15" s="10" customFormat="1" x14ac:dyDescent="0.25">
      <c r="A253" s="405" t="s">
        <v>571</v>
      </c>
      <c r="B253" s="868" t="str">
        <f>IF(Start!$C$17="x",(IF($C253="NA","NA",(IF(C253="","",(IF(AND(N253="NA",C253&lt;&gt;"NA",D253&lt;&gt;"NA"),"Missing Data",(IF(OR(D253 = "NA",D253=""),"No Criteria",(IF(N253&lt;D253,IF(OR(I253&lt;D253,ChemData!AA253&lt;&gt;""),"No-1",IF(M253&lt;D253,"No-2","No-3")),"Needed")))))))))),"---")</f>
        <v/>
      </c>
      <c r="C253" s="426" t="str">
        <f>IF(TRUE=ISBLANK(ChemData!B253),"",(ChemData!B253))</f>
        <v/>
      </c>
      <c r="D253" s="289" t="str">
        <f>IF(TRUE=ISBLANK(ChemData!J253),"",(ChemData!J253))</f>
        <v>NA</v>
      </c>
      <c r="E253" s="290" t="str">
        <f>IF(TRUE=ISBLANK(ChemData!Q253),"",(ChemData!Q253))</f>
        <v>NA</v>
      </c>
      <c r="F253" s="290">
        <f>IF(TRUE=ISBLANK(ChemData!S253),"",(ChemData!S253))</f>
        <v>1</v>
      </c>
      <c r="G253" s="865" t="str">
        <f>IF(OR(TRUE=ISBLANK(ChemData!AA253),ChemData!AA253="NA",ChemData!AA253=0),ChemData!Z253,(ChemData!AA253))</f>
        <v>NA</v>
      </c>
      <c r="H253" s="685" t="str">
        <f>IF(Start!$C$17="x",(IF(OR(C253="NA",C253=""),"NA",IF(OR(F253="NA",F253="",F253=0),"NA",C253*F253))),"---")</f>
        <v>NA</v>
      </c>
      <c r="I253" s="376" t="str">
        <f>IF(Start!$C$17="x",(IF($E253 = "NA", "NA", (IF(H253 = "NA", "NA",(IF(OR(ChemData!U253="NA",ChemData!U253=""),H253/((Data!$D$18+$E253*(1-Data!$D$18)*Data!$D$14)/(1000*(1-Data!$D$18)*Data!$D$14)),(IF(H253/((Data!$D$18+$E253*(1-Data!$D$18)*Data!$D$14)/(1000*(1-Data!$D$18)*Data!$D$14))&gt;ChemData!U253, ChemData!U253,H253/((Data!$D$18+$E253*(1-Data!$D$18)*Data!$D$14)/(1000*(1-Data!$D$18)*Data!$D$14)))))))))),"---")</f>
        <v>NA</v>
      </c>
      <c r="J253" s="870" t="str">
        <f>IF(Start!$C$17="x",IF(OR(I253="NA",I253="",ChemData!W253="NA",ChemData!W253=""),"NA",I253/ChemData!W253),"---")</f>
        <v>NA</v>
      </c>
      <c r="K253" s="870" t="str">
        <f>IF(Start!$C$17="x",IF(J253="NA","NA",IF(Data!$D$68&lt;ChemData!X253,J253*(Data!$D$68/ChemData!X253),J253)),"---")</f>
        <v>NA</v>
      </c>
      <c r="L253" s="870" t="str">
        <f>IF(Start!$C$17="x",IF(OR(I253="NA",I253="",ChemData!Z253="NA",ChemData!Z253=""),"NA",I253/ChemData!Z253),"---")</f>
        <v>NA</v>
      </c>
      <c r="M253" s="870" t="str">
        <f>IF(Start!$C$17="x",IF(OR(I253="NA",I253="",ChemData!Y253="NA",ChemData!Y253=""),"NA",I253/ChemData!Y253),"---")</f>
        <v>NA</v>
      </c>
      <c r="N253" s="870" t="str">
        <f>IF(Start!$C$17="x",IF(OR(I253="NA",I253="",G253="NA",G253=""),"NA",I253/G253),"---")</f>
        <v>NA</v>
      </c>
      <c r="O253" s="794" t="str">
        <f>IF(Start!$C$17="x",(IF(C253="","",(IF(N253="NA","NA",IF(D253="NA","NA",IF(D253=0,"NA",(N253/D253))))))),"Not Req.")</f>
        <v/>
      </c>
    </row>
    <row r="254" spans="1:15" s="10" customFormat="1" x14ac:dyDescent="0.25">
      <c r="A254" s="405" t="s">
        <v>572</v>
      </c>
      <c r="B254" s="868" t="str">
        <f>IF(Start!$C$17="x",(IF($C254="NA","NA",(IF(C254="","",(IF(AND(N254="NA",C254&lt;&gt;"NA",D254&lt;&gt;"NA"),"Missing Data",(IF(OR(D254 = "NA",D254=""),"No Criteria",(IF(N254&lt;D254,IF(OR(I254&lt;D254,ChemData!AA254&lt;&gt;""),"No-1",IF(M254&lt;D254,"No-2","No-3")),"Needed")))))))))),"---")</f>
        <v/>
      </c>
      <c r="C254" s="426" t="str">
        <f>IF(TRUE=ISBLANK(ChemData!B254),"",(ChemData!B254))</f>
        <v/>
      </c>
      <c r="D254" s="289" t="str">
        <f>IF(TRUE=ISBLANK(ChemData!J254),"",(ChemData!J254))</f>
        <v>NA</v>
      </c>
      <c r="E254" s="290">
        <f>IF(TRUE=ISBLANK(ChemData!Q254),"",(ChemData!Q254))</f>
        <v>703730.57258936029</v>
      </c>
      <c r="F254" s="290">
        <f>IF(TRUE=ISBLANK(ChemData!S254),"",(ChemData!S254))</f>
        <v>1</v>
      </c>
      <c r="G254" s="865">
        <f>IF(OR(TRUE=ISBLANK(ChemData!AA254),ChemData!AA254="NA",ChemData!AA254=0),ChemData!Z254,(ChemData!AA254))</f>
        <v>307807970.87224567</v>
      </c>
      <c r="H254" s="685" t="str">
        <f>IF(Start!$C$17="x",(IF(OR(C254="NA",C254=""),"NA",IF(OR(F254="NA",F254="",F254=0),"NA",C254*F254))),"---")</f>
        <v>NA</v>
      </c>
      <c r="I254" s="376" t="str">
        <f>IF(Start!$C$17="x",(IF($E254 = "NA", "NA", (IF(H254 = "NA", "NA",(IF(OR(ChemData!U254="NA",ChemData!U254=""),H254/((Data!$D$18+$E254*(1-Data!$D$18)*Data!$D$14)/(1000*(1-Data!$D$18)*Data!$D$14)),(IF(H254/((Data!$D$18+$E254*(1-Data!$D$18)*Data!$D$14)/(1000*(1-Data!$D$18)*Data!$D$14))&gt;ChemData!U254, ChemData!U254,H254/((Data!$D$18+$E254*(1-Data!$D$18)*Data!$D$14)/(1000*(1-Data!$D$18)*Data!$D$14)))))))))),"---")</f>
        <v>NA</v>
      </c>
      <c r="J254" s="870" t="str">
        <f>IF(Start!$C$17="x",IF(OR(I254="NA",I254="",ChemData!W254="NA",ChemData!W254=""),"NA",I254/ChemData!W254),"---")</f>
        <v>NA</v>
      </c>
      <c r="K254" s="870" t="str">
        <f>IF(Start!$C$17="x",IF(J254="NA","NA",IF(Data!$D$68&lt;ChemData!X254,J254*(Data!$D$68/ChemData!X254),J254)),"---")</f>
        <v>NA</v>
      </c>
      <c r="L254" s="870" t="str">
        <f>IF(Start!$C$17="x",IF(OR(I254="NA",I254="",ChemData!Z254="NA",ChemData!Z254=""),"NA",I254/ChemData!Z254),"---")</f>
        <v>NA</v>
      </c>
      <c r="M254" s="870" t="str">
        <f>IF(Start!$C$17="x",IF(OR(I254="NA",I254="",ChemData!Y254="NA",ChemData!Y254=""),"NA",I254/ChemData!Y254),"---")</f>
        <v>NA</v>
      </c>
      <c r="N254" s="870" t="str">
        <f>IF(Start!$C$17="x",IF(OR(I254="NA",I254="",G254="NA",G254=""),"NA",I254/G254),"---")</f>
        <v>NA</v>
      </c>
      <c r="O254" s="794" t="str">
        <f>IF(Start!$C$17="x",(IF(C254="","",(IF(N254="NA","NA",IF(D254="NA","NA",IF(D254=0,"NA",(N254/D254))))))),"Not Req.")</f>
        <v/>
      </c>
    </row>
    <row r="255" spans="1:15" s="10" customFormat="1" x14ac:dyDescent="0.25">
      <c r="A255" s="405" t="s">
        <v>573</v>
      </c>
      <c r="B255" s="868" t="str">
        <f>IF(Start!$C$17="x",(IF($C255="NA","NA",(IF(C255="","",(IF(AND(N255="NA",C255&lt;&gt;"NA",D255&lt;&gt;"NA"),"Missing Data",(IF(OR(D255 = "NA",D255=""),"No Criteria",(IF(N255&lt;D255,IF(OR(I255&lt;D255,ChemData!AA255&lt;&gt;""),"No-1",IF(M255&lt;D255,"No-2","No-3")),"Needed")))))))))),"---")</f>
        <v/>
      </c>
      <c r="C255" s="426" t="str">
        <f>IF(TRUE=ISBLANK(ChemData!B255),"",(ChemData!B255))</f>
        <v/>
      </c>
      <c r="D255" s="289" t="str">
        <f>IF(TRUE=ISBLANK(ChemData!J255),"",(ChemData!J255))</f>
        <v>NA</v>
      </c>
      <c r="E255" s="290">
        <f>IF(TRUE=ISBLANK(ChemData!Q255),"",(ChemData!Q255))</f>
        <v>80799.080547654768</v>
      </c>
      <c r="F255" s="290">
        <f>IF(TRUE=ISBLANK(ChemData!S255),"",(ChemData!S255))</f>
        <v>1</v>
      </c>
      <c r="G255" s="865">
        <f>IF(OR(TRUE=ISBLANK(ChemData!AA255),ChemData!AA255="NA",ChemData!AA255=0),ChemData!Z255,(ChemData!AA255))</f>
        <v>12818376.181258585</v>
      </c>
      <c r="H255" s="685" t="str">
        <f>IF(Start!$C$17="x",(IF(OR(C255="NA",C255=""),"NA",IF(OR(F255="NA",F255="",F255=0),"NA",C255*F255))),"---")</f>
        <v>NA</v>
      </c>
      <c r="I255" s="376" t="str">
        <f>IF(Start!$C$17="x",(IF($E255 = "NA", "NA", (IF(H255 = "NA", "NA",(IF(OR(ChemData!U255="NA",ChemData!U255=""),H255/((Data!$D$18+$E255*(1-Data!$D$18)*Data!$D$14)/(1000*(1-Data!$D$18)*Data!$D$14)),(IF(H255/((Data!$D$18+$E255*(1-Data!$D$18)*Data!$D$14)/(1000*(1-Data!$D$18)*Data!$D$14))&gt;ChemData!U255, ChemData!U255,H255/((Data!$D$18+$E255*(1-Data!$D$18)*Data!$D$14)/(1000*(1-Data!$D$18)*Data!$D$14)))))))))),"---")</f>
        <v>NA</v>
      </c>
      <c r="J255" s="870" t="str">
        <f>IF(Start!$C$17="x",IF(OR(I255="NA",I255="",ChemData!W255="NA",ChemData!W255=""),"NA",I255/ChemData!W255),"---")</f>
        <v>NA</v>
      </c>
      <c r="K255" s="870" t="str">
        <f>IF(Start!$C$17="x",IF(J255="NA","NA",IF(Data!$D$68&lt;ChemData!X255,J255*(Data!$D$68/ChemData!X255),J255)),"---")</f>
        <v>NA</v>
      </c>
      <c r="L255" s="870" t="str">
        <f>IF(Start!$C$17="x",IF(OR(I255="NA",I255="",ChemData!Z255="NA",ChemData!Z255=""),"NA",I255/ChemData!Z255),"---")</f>
        <v>NA</v>
      </c>
      <c r="M255" s="870" t="str">
        <f>IF(Start!$C$17="x",IF(OR(I255="NA",I255="",ChemData!Y255="NA",ChemData!Y255=""),"NA",I255/ChemData!Y255),"---")</f>
        <v>NA</v>
      </c>
      <c r="N255" s="870" t="str">
        <f>IF(Start!$C$17="x",IF(OR(I255="NA",I255="",G255="NA",G255=""),"NA",I255/G255),"---")</f>
        <v>NA</v>
      </c>
      <c r="O255" s="794" t="str">
        <f>IF(Start!$C$17="x",(IF(C255="","",(IF(N255="NA","NA",IF(D255="NA","NA",IF(D255=0,"NA",(N255/D255))))))),"Not Req.")</f>
        <v/>
      </c>
    </row>
    <row r="256" spans="1:15" s="10" customFormat="1" x14ac:dyDescent="0.25">
      <c r="A256" s="405" t="s">
        <v>574</v>
      </c>
      <c r="B256" s="868" t="str">
        <f>IF(Start!$C$17="x",(IF($C256="NA","NA",(IF(C256="","",(IF(AND(N256="NA",C256&lt;&gt;"NA",D256&lt;&gt;"NA"),"Missing Data",(IF(OR(D256 = "NA",D256=""),"No Criteria",(IF(N256&lt;D256,IF(OR(I256&lt;D256,ChemData!AA256&lt;&gt;""),"No-1",IF(M256&lt;D256,"No-2","No-3")),"Needed")))))))))),"---")</f>
        <v/>
      </c>
      <c r="C256" s="426" t="str">
        <f>IF(TRUE=ISBLANK(ChemData!B256),"",(ChemData!B256))</f>
        <v/>
      </c>
      <c r="D256" s="289" t="str">
        <f>IF(TRUE=ISBLANK(ChemData!J256),"",(ChemData!J256))</f>
        <v>NA</v>
      </c>
      <c r="E256" s="290">
        <f>IF(TRUE=ISBLANK(ChemData!Q256),"",(ChemData!Q256))</f>
        <v>104089.37929273375</v>
      </c>
      <c r="F256" s="290">
        <f>IF(TRUE=ISBLANK(ChemData!S256),"",(ChemData!S256))</f>
        <v>1</v>
      </c>
      <c r="G256" s="865">
        <f>IF(OR(TRUE=ISBLANK(ChemData!AA256),ChemData!AA256="NA",ChemData!AA256=0),ChemData!Z256,(ChemData!AA256))</f>
        <v>18594078.720149759</v>
      </c>
      <c r="H256" s="685" t="str">
        <f>IF(Start!$C$17="x",(IF(OR(C256="NA",C256=""),"NA",IF(OR(F256="NA",F256="",F256=0),"NA",C256*F256))),"---")</f>
        <v>NA</v>
      </c>
      <c r="I256" s="376" t="str">
        <f>IF(Start!$C$17="x",(IF($E256 = "NA", "NA", (IF(H256 = "NA", "NA",(IF(OR(ChemData!U256="NA",ChemData!U256=""),H256/((Data!$D$18+$E256*(1-Data!$D$18)*Data!$D$14)/(1000*(1-Data!$D$18)*Data!$D$14)),(IF(H256/((Data!$D$18+$E256*(1-Data!$D$18)*Data!$D$14)/(1000*(1-Data!$D$18)*Data!$D$14))&gt;ChemData!U256, ChemData!U256,H256/((Data!$D$18+$E256*(1-Data!$D$18)*Data!$D$14)/(1000*(1-Data!$D$18)*Data!$D$14)))))))))),"---")</f>
        <v>NA</v>
      </c>
      <c r="J256" s="870" t="str">
        <f>IF(Start!$C$17="x",IF(OR(I256="NA",I256="",ChemData!W256="NA",ChemData!W256=""),"NA",I256/ChemData!W256),"---")</f>
        <v>NA</v>
      </c>
      <c r="K256" s="870" t="str">
        <f>IF(Start!$C$17="x",IF(J256="NA","NA",IF(Data!$D$68&lt;ChemData!X256,J256*(Data!$D$68/ChemData!X256),J256)),"---")</f>
        <v>NA</v>
      </c>
      <c r="L256" s="870" t="str">
        <f>IF(Start!$C$17="x",IF(OR(I256="NA",I256="",ChemData!Z256="NA",ChemData!Z256=""),"NA",I256/ChemData!Z256),"---")</f>
        <v>NA</v>
      </c>
      <c r="M256" s="870" t="str">
        <f>IF(Start!$C$17="x",IF(OR(I256="NA",I256="",ChemData!Y256="NA",ChemData!Y256=""),"NA",I256/ChemData!Y256),"---")</f>
        <v>NA</v>
      </c>
      <c r="N256" s="870" t="str">
        <f>IF(Start!$C$17="x",IF(OR(I256="NA",I256="",G256="NA",G256=""),"NA",I256/G256),"---")</f>
        <v>NA</v>
      </c>
      <c r="O256" s="794" t="str">
        <f>IF(Start!$C$17="x",(IF(C256="","",(IF(N256="NA","NA",IF(D256="NA","NA",IF(D256=0,"NA",(N256/D256))))))),"Not Req.")</f>
        <v/>
      </c>
    </row>
    <row r="257" spans="1:15" s="10" customFormat="1" x14ac:dyDescent="0.25">
      <c r="A257" s="405" t="s">
        <v>575</v>
      </c>
      <c r="B257" s="868" t="str">
        <f>IF(Start!$C$17="x",(IF($C257="NA","NA",(IF(C257="","",(IF(AND(N257="NA",C257&lt;&gt;"NA",D257&lt;&gt;"NA"),"Missing Data",(IF(OR(D257 = "NA",D257=""),"No Criteria",(IF(N257&lt;D257,IF(OR(I257&lt;D257,ChemData!AA257&lt;&gt;""),"No-1",IF(M257&lt;D257,"No-2","No-3")),"Needed")))))))))),"---")</f>
        <v/>
      </c>
      <c r="C257" s="426" t="str">
        <f>IF(TRUE=ISBLANK(ChemData!B257),"",(ChemData!B257))</f>
        <v/>
      </c>
      <c r="D257" s="289" t="str">
        <f>IF(TRUE=ISBLANK(ChemData!J257),"",(ChemData!J257))</f>
        <v>NA</v>
      </c>
      <c r="E257" s="290">
        <f>IF(TRUE=ISBLANK(ChemData!Q257),"",(ChemData!Q257))</f>
        <v>1539594.740311048</v>
      </c>
      <c r="F257" s="290">
        <f>IF(TRUE=ISBLANK(ChemData!S257),"",(ChemData!S257))</f>
        <v>1</v>
      </c>
      <c r="G257" s="865">
        <f>IF(OR(TRUE=ISBLANK(ChemData!AA257),ChemData!AA257="NA",ChemData!AA257=0),ChemData!Z257,(ChemData!AA257))</f>
        <v>971830275.30668092</v>
      </c>
      <c r="H257" s="685" t="str">
        <f>IF(Start!$C$17="x",(IF(OR(C257="NA",C257=""),"NA",IF(OR(F257="NA",F257="",F257=0),"NA",C257*F257))),"---")</f>
        <v>NA</v>
      </c>
      <c r="I257" s="376" t="str">
        <f>IF(Start!$C$17="x",(IF($E257 = "NA", "NA", (IF(H257 = "NA", "NA",(IF(OR(ChemData!U257="NA",ChemData!U257=""),H257/((Data!$D$18+$E257*(1-Data!$D$18)*Data!$D$14)/(1000*(1-Data!$D$18)*Data!$D$14)),(IF(H257/((Data!$D$18+$E257*(1-Data!$D$18)*Data!$D$14)/(1000*(1-Data!$D$18)*Data!$D$14))&gt;ChemData!U257, ChemData!U257,H257/((Data!$D$18+$E257*(1-Data!$D$18)*Data!$D$14)/(1000*(1-Data!$D$18)*Data!$D$14)))))))))),"---")</f>
        <v>NA</v>
      </c>
      <c r="J257" s="870" t="str">
        <f>IF(Start!$C$17="x",IF(OR(I257="NA",I257="",ChemData!W257="NA",ChemData!W257=""),"NA",I257/ChemData!W257),"---")</f>
        <v>NA</v>
      </c>
      <c r="K257" s="870" t="str">
        <f>IF(Start!$C$17="x",IF(J257="NA","NA",IF(Data!$D$68&lt;ChemData!X257,J257*(Data!$D$68/ChemData!X257),J257)),"---")</f>
        <v>NA</v>
      </c>
      <c r="L257" s="870" t="str">
        <f>IF(Start!$C$17="x",IF(OR(I257="NA",I257="",ChemData!Z257="NA",ChemData!Z257=""),"NA",I257/ChemData!Z257),"---")</f>
        <v>NA</v>
      </c>
      <c r="M257" s="870" t="str">
        <f>IF(Start!$C$17="x",IF(OR(I257="NA",I257="",ChemData!Y257="NA",ChemData!Y257=""),"NA",I257/ChemData!Y257),"---")</f>
        <v>NA</v>
      </c>
      <c r="N257" s="870" t="str">
        <f>IF(Start!$C$17="x",IF(OR(I257="NA",I257="",G257="NA",G257=""),"NA",I257/G257),"---")</f>
        <v>NA</v>
      </c>
      <c r="O257" s="794" t="str">
        <f>IF(Start!$C$17="x",(IF(C257="","",(IF(N257="NA","NA",IF(D257="NA","NA",IF(D257=0,"NA",(N257/D257))))))),"Not Req.")</f>
        <v/>
      </c>
    </row>
    <row r="258" spans="1:15" s="10" customFormat="1" x14ac:dyDescent="0.25">
      <c r="A258" s="405" t="s">
        <v>576</v>
      </c>
      <c r="B258" s="868" t="str">
        <f>IF(Start!$C$17="x",(IF($C258="NA","NA",(IF(C258="","",(IF(AND(N258="NA",C258&lt;&gt;"NA",D258&lt;&gt;"NA"),"Missing Data",(IF(OR(D258 = "NA",D258=""),"No Criteria",(IF(N258&lt;D258,IF(OR(I258&lt;D258,ChemData!AA258&lt;&gt;""),"No-1",IF(M258&lt;D258,"No-2","No-3")),"Needed")))))))))),"---")</f>
        <v/>
      </c>
      <c r="C258" s="426" t="str">
        <f>IF(TRUE=ISBLANK(ChemData!B258),"",(ChemData!B258))</f>
        <v/>
      </c>
      <c r="D258" s="289" t="str">
        <f>IF(TRUE=ISBLANK(ChemData!J258),"",(ChemData!J258))</f>
        <v>NA</v>
      </c>
      <c r="E258" s="290">
        <f>IF(TRUE=ISBLANK(ChemData!Q258),"",(ChemData!Q258))</f>
        <v>153959.47403110462</v>
      </c>
      <c r="F258" s="290">
        <f>IF(TRUE=ISBLANK(ChemData!S258),"",(ChemData!S258))</f>
        <v>1</v>
      </c>
      <c r="G258" s="865">
        <f>IF(OR(TRUE=ISBLANK(ChemData!AA258),ChemData!AA258="NA",ChemData!AA258=0),ChemData!Z258,(ChemData!AA258))</f>
        <v>33039232.225376453</v>
      </c>
      <c r="H258" s="685" t="str">
        <f>IF(Start!$C$17="x",(IF(OR(C258="NA",C258=""),"NA",IF(OR(F258="NA",F258="",F258=0),"NA",C258*F258))),"---")</f>
        <v>NA</v>
      </c>
      <c r="I258" s="376" t="str">
        <f>IF(Start!$C$17="x",(IF($E258 = "NA", "NA", (IF(H258 = "NA", "NA",(IF(OR(ChemData!U258="NA",ChemData!U258=""),H258/((Data!$D$18+$E258*(1-Data!$D$18)*Data!$D$14)/(1000*(1-Data!$D$18)*Data!$D$14)),(IF(H258/((Data!$D$18+$E258*(1-Data!$D$18)*Data!$D$14)/(1000*(1-Data!$D$18)*Data!$D$14))&gt;ChemData!U258, ChemData!U258,H258/((Data!$D$18+$E258*(1-Data!$D$18)*Data!$D$14)/(1000*(1-Data!$D$18)*Data!$D$14)))))))))),"---")</f>
        <v>NA</v>
      </c>
      <c r="J258" s="870" t="str">
        <f>IF(Start!$C$17="x",IF(OR(I258="NA",I258="",ChemData!W258="NA",ChemData!W258=""),"NA",I258/ChemData!W258),"---")</f>
        <v>NA</v>
      </c>
      <c r="K258" s="870" t="str">
        <f>IF(Start!$C$17="x",IF(J258="NA","NA",IF(Data!$D$68&lt;ChemData!X258,J258*(Data!$D$68/ChemData!X258),J258)),"---")</f>
        <v>NA</v>
      </c>
      <c r="L258" s="870" t="str">
        <f>IF(Start!$C$17="x",IF(OR(I258="NA",I258="",ChemData!Z258="NA",ChemData!Z258=""),"NA",I258/ChemData!Z258),"---")</f>
        <v>NA</v>
      </c>
      <c r="M258" s="870" t="str">
        <f>IF(Start!$C$17="x",IF(OR(I258="NA",I258="",ChemData!Y258="NA",ChemData!Y258=""),"NA",I258/ChemData!Y258),"---")</f>
        <v>NA</v>
      </c>
      <c r="N258" s="870" t="str">
        <f>IF(Start!$C$17="x",IF(OR(I258="NA",I258="",G258="NA",G258=""),"NA",I258/G258),"---")</f>
        <v>NA</v>
      </c>
      <c r="O258" s="794" t="str">
        <f>IF(Start!$C$17="x",(IF(C258="","",(IF(N258="NA","NA",IF(D258="NA","NA",IF(D258=0,"NA",(N258/D258))))))),"Not Req.")</f>
        <v/>
      </c>
    </row>
    <row r="259" spans="1:15" s="10" customFormat="1" x14ac:dyDescent="0.25">
      <c r="A259" s="405" t="s">
        <v>577</v>
      </c>
      <c r="B259" s="868" t="str">
        <f>IF(Start!$C$17="x",(IF($C259="NA","NA",(IF(C259="","",(IF(AND(N259="NA",C259&lt;&gt;"NA",D259&lt;&gt;"NA"),"Missing Data",(IF(OR(D259 = "NA",D259=""),"No Criteria",(IF(N259&lt;D259,IF(OR(I259&lt;D259,ChemData!AA259&lt;&gt;""),"No-1",IF(M259&lt;D259,"No-2","No-3")),"Needed")))))))))),"---")</f>
        <v/>
      </c>
      <c r="C259" s="426" t="str">
        <f>IF(TRUE=ISBLANK(ChemData!B259),"",(ChemData!B259))</f>
        <v/>
      </c>
      <c r="D259" s="289">
        <f>IF(TRUE=ISBLANK(ChemData!J259),"",(ChemData!J259))</f>
        <v>1.0000000000000001E-5</v>
      </c>
      <c r="E259" s="290">
        <f>IF(TRUE=ISBLANK(ChemData!Q259),"",(ChemData!Q259))</f>
        <v>116790.20446328387</v>
      </c>
      <c r="F259" s="290">
        <f>IF(TRUE=ISBLANK(ChemData!S259),"",(ChemData!S259))</f>
        <v>1</v>
      </c>
      <c r="G259" s="865">
        <f>IF(OR(TRUE=ISBLANK(ChemData!AA259),ChemData!AA259="NA",ChemData!AA259=0),ChemData!Z259,(ChemData!AA259))</f>
        <v>22019258.458069213</v>
      </c>
      <c r="H259" s="685" t="str">
        <f>IF(Start!$C$17="x",(IF(OR(C259="NA",C259=""),"NA",IF(OR(F259="NA",F259="",F259=0),"NA",C259*F259))),"---")</f>
        <v>NA</v>
      </c>
      <c r="I259" s="376" t="str">
        <f>IF(Start!$C$17="x",(IF($E259 = "NA", "NA", (IF(H259 = "NA", "NA",(IF(OR(ChemData!U259="NA",ChemData!U259=""),H259/((Data!$D$18+$E259*(1-Data!$D$18)*Data!$D$14)/(1000*(1-Data!$D$18)*Data!$D$14)),(IF(H259/((Data!$D$18+$E259*(1-Data!$D$18)*Data!$D$14)/(1000*(1-Data!$D$18)*Data!$D$14))&gt;ChemData!U259, ChemData!U259,H259/((Data!$D$18+$E259*(1-Data!$D$18)*Data!$D$14)/(1000*(1-Data!$D$18)*Data!$D$14)))))))))),"---")</f>
        <v>NA</v>
      </c>
      <c r="J259" s="870" t="str">
        <f>IF(Start!$C$17="x",IF(OR(I259="NA",I259="",ChemData!W259="NA",ChemData!W259=""),"NA",I259/ChemData!W259),"---")</f>
        <v>NA</v>
      </c>
      <c r="K259" s="870" t="str">
        <f>IF(Start!$C$17="x",IF(J259="NA","NA",IF(Data!$D$68&lt;ChemData!X259,J259*(Data!$D$68/ChemData!X259),J259)),"---")</f>
        <v>NA</v>
      </c>
      <c r="L259" s="870" t="str">
        <f>IF(Start!$C$17="x",IF(OR(I259="NA",I259="",ChemData!Z259="NA",ChemData!Z259=""),"NA",I259/ChemData!Z259),"---")</f>
        <v>NA</v>
      </c>
      <c r="M259" s="870" t="str">
        <f>IF(Start!$C$17="x",IF(OR(I259="NA",I259="",ChemData!Y259="NA",ChemData!Y259=""),"NA",I259/ChemData!Y259),"---")</f>
        <v>NA</v>
      </c>
      <c r="N259" s="870" t="str">
        <f>IF(Start!$C$17="x",IF(OR(I259="NA",I259="",G259="NA",G259=""),"NA",I259/G259),"---")</f>
        <v>NA</v>
      </c>
      <c r="O259" s="794" t="str">
        <f>IF(Start!$C$17="x",(IF(C259="","",(IF(N259="NA","NA",IF(D259="NA","NA",IF(D259=0,"NA",(N259/D259))))))),"Not Req.")</f>
        <v/>
      </c>
    </row>
    <row r="260" spans="1:15" s="10" customFormat="1" x14ac:dyDescent="0.25">
      <c r="A260" s="405" t="s">
        <v>578</v>
      </c>
      <c r="B260" s="868" t="str">
        <f>IF(Start!$C$17="x",(IF($C260="NA","NA",(IF(C260="","",(IF(AND(N260="NA",C260&lt;&gt;"NA",D260&lt;&gt;"NA"),"Missing Data",(IF(OR(D260 = "NA",D260=""),"No Criteria",(IF(N260&lt;D260,IF(OR(I260&lt;D260,ChemData!AA260&lt;&gt;""),"No-1",IF(M260&lt;D260,"No-2","No-3")),"Needed")))))))))),"---")</f>
        <v/>
      </c>
      <c r="C260" s="426" t="str">
        <f>IF(TRUE=ISBLANK(ChemData!B260),"",(ChemData!B260))</f>
        <v/>
      </c>
      <c r="D260" s="289" t="str">
        <f>IF(TRUE=ISBLANK(ChemData!J260),"",(ChemData!J260))</f>
        <v>NA</v>
      </c>
      <c r="E260" s="290">
        <f>IF(TRUE=ISBLANK(ChemData!Q260),"",(ChemData!Q260))</f>
        <v>62720.053301366483</v>
      </c>
      <c r="F260" s="290">
        <f>IF(TRUE=ISBLANK(ChemData!S260),"",(ChemData!S260))</f>
        <v>1</v>
      </c>
      <c r="G260" s="865">
        <f>IF(OR(TRUE=ISBLANK(ChemData!AA260),ChemData!AA260="NA",ChemData!AA260=0),ChemData!Z260,(ChemData!AA260))</f>
        <v>8836725.4112030827</v>
      </c>
      <c r="H260" s="685" t="str">
        <f>IF(Start!$C$17="x",(IF(OR(C260="NA",C260=""),"NA",IF(OR(F260="NA",F260="",F260=0),"NA",C260*F260))),"---")</f>
        <v>NA</v>
      </c>
      <c r="I260" s="376" t="str">
        <f>IF(Start!$C$17="x",(IF($E260 = "NA", "NA", (IF(H260 = "NA", "NA",(IF(OR(ChemData!U260="NA",ChemData!U260=""),H260/((Data!$D$18+$E260*(1-Data!$D$18)*Data!$D$14)/(1000*(1-Data!$D$18)*Data!$D$14)),(IF(H260/((Data!$D$18+$E260*(1-Data!$D$18)*Data!$D$14)/(1000*(1-Data!$D$18)*Data!$D$14))&gt;ChemData!U260, ChemData!U260,H260/((Data!$D$18+$E260*(1-Data!$D$18)*Data!$D$14)/(1000*(1-Data!$D$18)*Data!$D$14)))))))))),"---")</f>
        <v>NA</v>
      </c>
      <c r="J260" s="870" t="str">
        <f>IF(Start!$C$17="x",IF(OR(I260="NA",I260="",ChemData!W260="NA",ChemData!W260=""),"NA",I260/ChemData!W260),"---")</f>
        <v>NA</v>
      </c>
      <c r="K260" s="870" t="str">
        <f>IF(Start!$C$17="x",IF(J260="NA","NA",IF(Data!$D$68&lt;ChemData!X260,J260*(Data!$D$68/ChemData!X260),J260)),"---")</f>
        <v>NA</v>
      </c>
      <c r="L260" s="870" t="str">
        <f>IF(Start!$C$17="x",IF(OR(I260="NA",I260="",ChemData!Z260="NA",ChemData!Z260=""),"NA",I260/ChemData!Z260),"---")</f>
        <v>NA</v>
      </c>
      <c r="M260" s="870" t="str">
        <f>IF(Start!$C$17="x",IF(OR(I260="NA",I260="",ChemData!Y260="NA",ChemData!Y260=""),"NA",I260/ChemData!Y260),"---")</f>
        <v>NA</v>
      </c>
      <c r="N260" s="870" t="str">
        <f>IF(Start!$C$17="x",IF(OR(I260="NA",I260="",G260="NA",G260=""),"NA",I260/G260),"---")</f>
        <v>NA</v>
      </c>
      <c r="O260" s="794" t="str">
        <f>IF(Start!$C$17="x",(IF(C260="","",(IF(N260="NA","NA",IF(D260="NA","NA",IF(D260=0,"NA",(N260/D260))))))),"Not Req.")</f>
        <v/>
      </c>
    </row>
    <row r="261" spans="1:15" s="10" customFormat="1" x14ac:dyDescent="0.25">
      <c r="A261" s="405" t="s">
        <v>579</v>
      </c>
      <c r="B261" s="868" t="str">
        <f>IF(Start!$C$17="x",(IF($C261="NA","NA",(IF(C261="","",(IF(AND(N261="NA",C261&lt;&gt;"NA",D261&lt;&gt;"NA"),"Missing Data",(IF(OR(D261 = "NA",D261=""),"No Criteria",(IF(N261&lt;D261,IF(OR(I261&lt;D261,ChemData!AA261&lt;&gt;""),"No-1",IF(M261&lt;D261,"No-2","No-3")),"Needed")))))))))),"---")</f>
        <v/>
      </c>
      <c r="C261" s="426" t="str">
        <f>IF(TRUE=ISBLANK(ChemData!B261),"",(ChemData!B261))</f>
        <v/>
      </c>
      <c r="D261" s="289" t="str">
        <f>IF(TRUE=ISBLANK(ChemData!J261),"",(ChemData!J261))</f>
        <v>NA</v>
      </c>
      <c r="E261" s="290">
        <f>IF(TRUE=ISBLANK(ChemData!Q261),"",(ChemData!Q261))</f>
        <v>2933637.299245521</v>
      </c>
      <c r="F261" s="290">
        <f>IF(TRUE=ISBLANK(ChemData!S261),"",(ChemData!S261))</f>
        <v>1</v>
      </c>
      <c r="G261" s="865">
        <f>IF(OR(TRUE=ISBLANK(ChemData!AA261),ChemData!AA261="NA",ChemData!AA261=0),ChemData!Z261,(ChemData!AA261))</f>
        <v>2504882498.0229435</v>
      </c>
      <c r="H261" s="685" t="str">
        <f>IF(Start!$C$17="x",(IF(OR(C261="NA",C261=""),"NA",IF(OR(F261="NA",F261="",F261=0),"NA",C261*F261))),"---")</f>
        <v>NA</v>
      </c>
      <c r="I261" s="376" t="str">
        <f>IF(Start!$C$17="x",(IF($E261 = "NA", "NA", (IF(H261 = "NA", "NA",(IF(OR(ChemData!U261="NA",ChemData!U261=""),H261/((Data!$D$18+$E261*(1-Data!$D$18)*Data!$D$14)/(1000*(1-Data!$D$18)*Data!$D$14)),(IF(H261/((Data!$D$18+$E261*(1-Data!$D$18)*Data!$D$14)/(1000*(1-Data!$D$18)*Data!$D$14))&gt;ChemData!U261, ChemData!U261,H261/((Data!$D$18+$E261*(1-Data!$D$18)*Data!$D$14)/(1000*(1-Data!$D$18)*Data!$D$14)))))))))),"---")</f>
        <v>NA</v>
      </c>
      <c r="J261" s="870" t="str">
        <f>IF(Start!$C$17="x",IF(OR(I261="NA",I261="",ChemData!W261="NA",ChemData!W261=""),"NA",I261/ChemData!W261),"---")</f>
        <v>NA</v>
      </c>
      <c r="K261" s="870" t="str">
        <f>IF(Start!$C$17="x",IF(J261="NA","NA",IF(Data!$D$68&lt;ChemData!X261,J261*(Data!$D$68/ChemData!X261),J261)),"---")</f>
        <v>NA</v>
      </c>
      <c r="L261" s="870" t="str">
        <f>IF(Start!$C$17="x",IF(OR(I261="NA",I261="",ChemData!Z261="NA",ChemData!Z261=""),"NA",I261/ChemData!Z261),"---")</f>
        <v>NA</v>
      </c>
      <c r="M261" s="870" t="str">
        <f>IF(Start!$C$17="x",IF(OR(I261="NA",I261="",ChemData!Y261="NA",ChemData!Y261=""),"NA",I261/ChemData!Y261),"---")</f>
        <v>NA</v>
      </c>
      <c r="N261" s="870" t="str">
        <f>IF(Start!$C$17="x",IF(OR(I261="NA",I261="",G261="NA",G261=""),"NA",I261/G261),"---")</f>
        <v>NA</v>
      </c>
      <c r="O261" s="794" t="str">
        <f>IF(Start!$C$17="x",(IF(C261="","",(IF(N261="NA","NA",IF(D261="NA","NA",IF(D261=0,"NA",(N261/D261))))))),"Not Req.")</f>
        <v/>
      </c>
    </row>
    <row r="262" spans="1:15" s="10" customFormat="1" x14ac:dyDescent="0.25">
      <c r="A262" s="405" t="s">
        <v>580</v>
      </c>
      <c r="B262" s="868" t="str">
        <f>IF(Start!$C$17="x",(IF($C262="NA","NA",(IF(C262="","",(IF(AND(N262="NA",C262&lt;&gt;"NA",D262&lt;&gt;"NA"),"Missing Data",(IF(OR(D262 = "NA",D262=""),"No Criteria",(IF(N262&lt;D262,IF(OR(I262&lt;D262,ChemData!AA262&lt;&gt;""),"No-1",IF(M262&lt;D262,"No-2","No-3")),"Needed")))))))))),"---")</f>
        <v/>
      </c>
      <c r="C262" s="426" t="str">
        <f>IF(TRUE=ISBLANK(ChemData!B262),"",(ChemData!B262))</f>
        <v/>
      </c>
      <c r="D262" s="289" t="str">
        <f>IF(TRUE=ISBLANK(ChemData!J262),"",(ChemData!J262))</f>
        <v>NA</v>
      </c>
      <c r="E262" s="290">
        <f>IF(TRUE=ISBLANK(ChemData!Q262),"",(ChemData!Q262))</f>
        <v>1851000</v>
      </c>
      <c r="F262" s="290">
        <f>IF(TRUE=ISBLANK(ChemData!S262),"",(ChemData!S262))</f>
        <v>1</v>
      </c>
      <c r="G262" s="865">
        <f>IF(OR(TRUE=ISBLANK(ChemData!AA262),ChemData!AA262="NA",ChemData!AA262=0),ChemData!Z262,(ChemData!AA262))</f>
        <v>1273723796.6451402</v>
      </c>
      <c r="H262" s="685" t="str">
        <f>IF(Start!$C$17="x",(IF(OR(C262="NA",C262=""),"NA",IF(OR(F262="NA",F262="",F262=0),"NA",C262*F262))),"---")</f>
        <v>NA</v>
      </c>
      <c r="I262" s="376" t="str">
        <f>IF(Start!$C$17="x",(IF($E262 = "NA", "NA", (IF(H262 = "NA", "NA",(IF(OR(ChemData!U262="NA",ChemData!U262=""),H262/((Data!$D$18+$E262*(1-Data!$D$18)*Data!$D$14)/(1000*(1-Data!$D$18)*Data!$D$14)),(IF(H262/((Data!$D$18+$E262*(1-Data!$D$18)*Data!$D$14)/(1000*(1-Data!$D$18)*Data!$D$14))&gt;ChemData!U262, ChemData!U262,H262/((Data!$D$18+$E262*(1-Data!$D$18)*Data!$D$14)/(1000*(1-Data!$D$18)*Data!$D$14)))))))))),"---")</f>
        <v>NA</v>
      </c>
      <c r="J262" s="870" t="str">
        <f>IF(Start!$C$17="x",IF(OR(I262="NA",I262="",ChemData!W262="NA",ChemData!W262=""),"NA",I262/ChemData!W262),"---")</f>
        <v>NA</v>
      </c>
      <c r="K262" s="870" t="str">
        <f>IF(Start!$C$17="x",IF(J262="NA","NA",IF(Data!$D$68&lt;ChemData!X262,J262*(Data!$D$68/ChemData!X262),J262)),"---")</f>
        <v>NA</v>
      </c>
      <c r="L262" s="870" t="str">
        <f>IF(Start!$C$17="x",IF(OR(I262="NA",I262="",ChemData!Z262="NA",ChemData!Z262=""),"NA",I262/ChemData!Z262),"---")</f>
        <v>NA</v>
      </c>
      <c r="M262" s="870" t="str">
        <f>IF(Start!$C$17="x",IF(OR(I262="NA",I262="",ChemData!Y262="NA",ChemData!Y262=""),"NA",I262/ChemData!Y262),"---")</f>
        <v>NA</v>
      </c>
      <c r="N262" s="870" t="str">
        <f>IF(Start!$C$17="x",IF(OR(I262="NA",I262="",G262="NA",G262=""),"NA",I262/G262),"---")</f>
        <v>NA</v>
      </c>
      <c r="O262" s="794" t="str">
        <f>IF(Start!$C$17="x",(IF(C262="","",(IF(N262="NA","NA",IF(D262="NA","NA",IF(D262=0,"NA",(N262/D262))))))),"Not Req.")</f>
        <v/>
      </c>
    </row>
    <row r="263" spans="1:15" s="10" customFormat="1" x14ac:dyDescent="0.25">
      <c r="A263" s="405" t="s">
        <v>581</v>
      </c>
      <c r="B263" s="868" t="str">
        <f>IF(Start!$C$17="x",(IF($C263="NA","NA",(IF(C263="","",(IF(AND(N263="NA",C263&lt;&gt;"NA",D263&lt;&gt;"NA"),"Missing Data",(IF(OR(D263 = "NA",D263=""),"No Criteria",(IF(N263&lt;D263,IF(OR(I263&lt;D263,ChemData!AA263&lt;&gt;""),"No-1",IF(M263&lt;D263,"No-2","No-3")),"Needed")))))))))),"---")</f>
        <v/>
      </c>
      <c r="C263" s="426" t="str">
        <f>IF(TRUE=ISBLANK(ChemData!B263),"",(ChemData!B263))</f>
        <v/>
      </c>
      <c r="D263" s="289" t="str">
        <f>IF(TRUE=ISBLANK(ChemData!J263),"",(ChemData!J263))</f>
        <v>NA</v>
      </c>
      <c r="E263" s="290" t="str">
        <f>IF(TRUE=ISBLANK(ChemData!Q263),"",(ChemData!Q263))</f>
        <v>NA</v>
      </c>
      <c r="F263" s="290">
        <f>IF(TRUE=ISBLANK(ChemData!S263),"",(ChemData!S263))</f>
        <v>1</v>
      </c>
      <c r="G263" s="865" t="str">
        <f>IF(OR(TRUE=ISBLANK(ChemData!AA263),ChemData!AA263="NA",ChemData!AA263=0),ChemData!Z263,(ChemData!AA263))</f>
        <v>NA</v>
      </c>
      <c r="H263" s="685" t="str">
        <f>IF(Start!$C$17="x",(IF(OR(C263="NA",C263=""),"NA",IF(OR(F263="NA",F263="",F263=0),"NA",C263*F263))),"---")</f>
        <v>NA</v>
      </c>
      <c r="I263" s="376" t="str">
        <f>IF(Start!$C$17="x",(IF($E263 = "NA", "NA", (IF(H263 = "NA", "NA",(IF(OR(ChemData!U263="NA",ChemData!U263=""),H263/((Data!$D$18+$E263*(1-Data!$D$18)*Data!$D$14)/(1000*(1-Data!$D$18)*Data!$D$14)),(IF(H263/((Data!$D$18+$E263*(1-Data!$D$18)*Data!$D$14)/(1000*(1-Data!$D$18)*Data!$D$14))&gt;ChemData!U263, ChemData!U263,H263/((Data!$D$18+$E263*(1-Data!$D$18)*Data!$D$14)/(1000*(1-Data!$D$18)*Data!$D$14)))))))))),"---")</f>
        <v>NA</v>
      </c>
      <c r="J263" s="870" t="str">
        <f>IF(Start!$C$17="x",IF(OR(I263="NA",I263="",ChemData!W263="NA",ChemData!W263=""),"NA",I263/ChemData!W263),"---")</f>
        <v>NA</v>
      </c>
      <c r="K263" s="870" t="str">
        <f>IF(Start!$C$17="x",IF(J263="NA","NA",IF(Data!$D$68&lt;ChemData!X263,J263*(Data!$D$68/ChemData!X263),J263)),"---")</f>
        <v>NA</v>
      </c>
      <c r="L263" s="870" t="str">
        <f>IF(Start!$C$17="x",IF(OR(I263="NA",I263="",ChemData!Z263="NA",ChemData!Z263=""),"NA",I263/ChemData!Z263),"---")</f>
        <v>NA</v>
      </c>
      <c r="M263" s="870" t="str">
        <f>IF(Start!$C$17="x",IF(OR(I263="NA",I263="",ChemData!Y263="NA",ChemData!Y263=""),"NA",I263/ChemData!Y263),"---")</f>
        <v>NA</v>
      </c>
      <c r="N263" s="870" t="str">
        <f>IF(Start!$C$17="x",IF(OR(I263="NA",I263="",G263="NA",G263=""),"NA",I263/G263),"---")</f>
        <v>NA</v>
      </c>
      <c r="O263" s="794" t="str">
        <f>IF(Start!$C$17="x",(IF(C263="","",(IF(N263="NA","NA",IF(D263="NA","NA",IF(D263=0,"NA",(N263/D263))))))),"Not Req.")</f>
        <v/>
      </c>
    </row>
    <row r="264" spans="1:15" s="10" customFormat="1" x14ac:dyDescent="0.25">
      <c r="A264" s="405" t="s">
        <v>582</v>
      </c>
      <c r="B264" s="868" t="str">
        <f>IF(Start!$C$17="x",(IF($C264="NA","NA",(IF(C264="","",(IF(AND(N264="NA",C264&lt;&gt;"NA",D264&lt;&gt;"NA"),"Missing Data",(IF(OR(D264 = "NA",D264=""),"No Criteria",(IF(N264&lt;D264,IF(OR(I264&lt;D264,ChemData!AA264&lt;&gt;""),"No-1",IF(M264&lt;D264,"No-2","No-3")),"Needed")))))))))),"---")</f>
        <v/>
      </c>
      <c r="C264" s="426" t="str">
        <f>IF(TRUE=ISBLANK(ChemData!B264),"",(ChemData!B264))</f>
        <v/>
      </c>
      <c r="D264" s="289" t="str">
        <f>IF(TRUE=ISBLANK(ChemData!J264),"",(ChemData!J264))</f>
        <v>NA</v>
      </c>
      <c r="E264" s="290" t="str">
        <f>IF(TRUE=ISBLANK(ChemData!Q264),"",(ChemData!Q264))</f>
        <v>NA</v>
      </c>
      <c r="F264" s="290">
        <f>IF(TRUE=ISBLANK(ChemData!S264),"",(ChemData!S264))</f>
        <v>1</v>
      </c>
      <c r="G264" s="865" t="str">
        <f>IF(OR(TRUE=ISBLANK(ChemData!AA264),ChemData!AA264="NA",ChemData!AA264=0),ChemData!Z264,(ChemData!AA264))</f>
        <v>NA</v>
      </c>
      <c r="H264" s="685" t="str">
        <f>IF(Start!$C$17="x",(IF(OR(C264="NA",C264=""),"NA",IF(OR(F264="NA",F264="",F264=0),"NA",C264*F264))),"---")</f>
        <v>NA</v>
      </c>
      <c r="I264" s="376" t="str">
        <f>IF(Start!$C$17="x",(IF($E264 = "NA", "NA", (IF(H264 = "NA", "NA",(IF(OR(ChemData!U264="NA",ChemData!U264=""),H264/((Data!$D$18+$E264*(1-Data!$D$18)*Data!$D$14)/(1000*(1-Data!$D$18)*Data!$D$14)),(IF(H264/((Data!$D$18+$E264*(1-Data!$D$18)*Data!$D$14)/(1000*(1-Data!$D$18)*Data!$D$14))&gt;ChemData!U264, ChemData!U264,H264/((Data!$D$18+$E264*(1-Data!$D$18)*Data!$D$14)/(1000*(1-Data!$D$18)*Data!$D$14)))))))))),"---")</f>
        <v>NA</v>
      </c>
      <c r="J264" s="870" t="str">
        <f>IF(Start!$C$17="x",IF(OR(I264="NA",I264="",ChemData!W264="NA",ChemData!W264=""),"NA",I264/ChemData!W264),"---")</f>
        <v>NA</v>
      </c>
      <c r="K264" s="870" t="str">
        <f>IF(Start!$C$17="x",IF(J264="NA","NA",IF(Data!$D$68&lt;ChemData!X264,J264*(Data!$D$68/ChemData!X264),J264)),"---")</f>
        <v>NA</v>
      </c>
      <c r="L264" s="870" t="str">
        <f>IF(Start!$C$17="x",IF(OR(I264="NA",I264="",ChemData!Z264="NA",ChemData!Z264=""),"NA",I264/ChemData!Z264),"---")</f>
        <v>NA</v>
      </c>
      <c r="M264" s="870" t="str">
        <f>IF(Start!$C$17="x",IF(OR(I264="NA",I264="",ChemData!Y264="NA",ChemData!Y264=""),"NA",I264/ChemData!Y264),"---")</f>
        <v>NA</v>
      </c>
      <c r="N264" s="870" t="str">
        <f>IF(Start!$C$17="x",IF(OR(I264="NA",I264="",G264="NA",G264=""),"NA",I264/G264),"---")</f>
        <v>NA</v>
      </c>
      <c r="O264" s="794" t="str">
        <f>IF(Start!$C$17="x",(IF(C264="","",(IF(N264="NA","NA",IF(D264="NA","NA",IF(D264=0,"NA",(N264/D264))))))),"Not Req.")</f>
        <v/>
      </c>
    </row>
    <row r="265" spans="1:15" s="10" customFormat="1" x14ac:dyDescent="0.25">
      <c r="A265" s="405" t="s">
        <v>583</v>
      </c>
      <c r="B265" s="868" t="str">
        <f>IF(Start!$C$17="x",(IF($C265="NA","NA",(IF(C265="","",(IF(AND(N265="NA",C265&lt;&gt;"NA",D265&lt;&gt;"NA"),"Missing Data",(IF(OR(D265 = "NA",D265=""),"No Criteria",(IF(N265&lt;D265,IF(OR(I265&lt;D265,ChemData!AA265&lt;&gt;""),"No-1",IF(M265&lt;D265,"No-2","No-3")),"Needed")))))))))),"---")</f>
        <v/>
      </c>
      <c r="C265" s="426" t="str">
        <f>IF(TRUE=ISBLANK(ChemData!B265),"",(ChemData!B265))</f>
        <v/>
      </c>
      <c r="D265" s="289" t="str">
        <f>IF(TRUE=ISBLANK(ChemData!J265),"",(ChemData!J265))</f>
        <v>NA</v>
      </c>
      <c r="E265" s="290" t="str">
        <f>IF(TRUE=ISBLANK(ChemData!Q265),"",(ChemData!Q265))</f>
        <v>NA</v>
      </c>
      <c r="F265" s="290">
        <f>IF(TRUE=ISBLANK(ChemData!S265),"",(ChemData!S265))</f>
        <v>1</v>
      </c>
      <c r="G265" s="865" t="str">
        <f>IF(OR(TRUE=ISBLANK(ChemData!AA265),ChemData!AA265="NA",ChemData!AA265=0),ChemData!Z265,(ChemData!AA265))</f>
        <v>NA</v>
      </c>
      <c r="H265" s="685" t="str">
        <f>IF(Start!$C$17="x",(IF(OR(C265="NA",C265=""),"NA",IF(OR(F265="NA",F265="",F265=0),"NA",C265*F265))),"---")</f>
        <v>NA</v>
      </c>
      <c r="I265" s="376" t="str">
        <f>IF(Start!$C$17="x",(IF($E265 = "NA", "NA", (IF(H265 = "NA", "NA",(IF(OR(ChemData!U265="NA",ChemData!U265=""),H265/((Data!$D$18+$E265*(1-Data!$D$18)*Data!$D$14)/(1000*(1-Data!$D$18)*Data!$D$14)),(IF(H265/((Data!$D$18+$E265*(1-Data!$D$18)*Data!$D$14)/(1000*(1-Data!$D$18)*Data!$D$14))&gt;ChemData!U265, ChemData!U265,H265/((Data!$D$18+$E265*(1-Data!$D$18)*Data!$D$14)/(1000*(1-Data!$D$18)*Data!$D$14)))))))))),"---")</f>
        <v>NA</v>
      </c>
      <c r="J265" s="870" t="str">
        <f>IF(Start!$C$17="x",IF(OR(I265="NA",I265="",ChemData!W265="NA",ChemData!W265=""),"NA",I265/ChemData!W265),"---")</f>
        <v>NA</v>
      </c>
      <c r="K265" s="870" t="str">
        <f>IF(Start!$C$17="x",IF(J265="NA","NA",IF(Data!$D$68&lt;ChemData!X265,J265*(Data!$D$68/ChemData!X265),J265)),"---")</f>
        <v>NA</v>
      </c>
      <c r="L265" s="870" t="str">
        <f>IF(Start!$C$17="x",IF(OR(I265="NA",I265="",ChemData!Z265="NA",ChemData!Z265=""),"NA",I265/ChemData!Z265),"---")</f>
        <v>NA</v>
      </c>
      <c r="M265" s="870" t="str">
        <f>IF(Start!$C$17="x",IF(OR(I265="NA",I265="",ChemData!Y265="NA",ChemData!Y265=""),"NA",I265/ChemData!Y265),"---")</f>
        <v>NA</v>
      </c>
      <c r="N265" s="870" t="str">
        <f>IF(Start!$C$17="x",IF(OR(I265="NA",I265="",G265="NA",G265=""),"NA",I265/G265),"---")</f>
        <v>NA</v>
      </c>
      <c r="O265" s="794" t="str">
        <f>IF(Start!$C$17="x",(IF(C265="","",(IF(N265="NA","NA",IF(D265="NA","NA",IF(D265=0,"NA",(N265/D265))))))),"Not Req.")</f>
        <v/>
      </c>
    </row>
    <row r="266" spans="1:15" s="10" customFormat="1" x14ac:dyDescent="0.25">
      <c r="A266" s="405" t="s">
        <v>584</v>
      </c>
      <c r="B266" s="868" t="str">
        <f>IF(Start!$C$17="x",(IF($C266="NA","NA",(IF(C266="","",(IF(AND(N266="NA",C266&lt;&gt;"NA",D266&lt;&gt;"NA"),"Missing Data",(IF(OR(D266 = "NA",D266=""),"No Criteria",(IF(N266&lt;D266,IF(OR(I266&lt;D266,ChemData!AA266&lt;&gt;""),"No-1",IF(M266&lt;D266,"No-2","No-3")),"Needed")))))))))),"---")</f>
        <v/>
      </c>
      <c r="C266" s="426" t="str">
        <f>IF(TRUE=ISBLANK(ChemData!B266),"",(ChemData!B266))</f>
        <v/>
      </c>
      <c r="D266" s="289" t="str">
        <f>IF(TRUE=ISBLANK(ChemData!J266),"",(ChemData!J266))</f>
        <v>NA</v>
      </c>
      <c r="E266" s="290" t="str">
        <f>IF(TRUE=ISBLANK(ChemData!Q266),"",(ChemData!Q266))</f>
        <v>NA</v>
      </c>
      <c r="F266" s="290">
        <f>IF(TRUE=ISBLANK(ChemData!S266),"",(ChemData!S266))</f>
        <v>1</v>
      </c>
      <c r="G266" s="865" t="str">
        <f>IF(OR(TRUE=ISBLANK(ChemData!AA266),ChemData!AA266="NA",ChemData!AA266=0),ChemData!Z266,(ChemData!AA266))</f>
        <v>NA</v>
      </c>
      <c r="H266" s="685" t="str">
        <f>IF(Start!$C$17="x",(IF(OR(C266="NA",C266=""),"NA",IF(OR(F266="NA",F266="",F266=0),"NA",C266*F266))),"---")</f>
        <v>NA</v>
      </c>
      <c r="I266" s="376" t="str">
        <f>IF(Start!$C$17="x",(IF($E266 = "NA", "NA", (IF(H266 = "NA", "NA",(IF(OR(ChemData!U266="NA",ChemData!U266=""),H266/((Data!$D$18+$E266*(1-Data!$D$18)*Data!$D$14)/(1000*(1-Data!$D$18)*Data!$D$14)),(IF(H266/((Data!$D$18+$E266*(1-Data!$D$18)*Data!$D$14)/(1000*(1-Data!$D$18)*Data!$D$14))&gt;ChemData!U266, ChemData!U266,H266/((Data!$D$18+$E266*(1-Data!$D$18)*Data!$D$14)/(1000*(1-Data!$D$18)*Data!$D$14)))))))))),"---")</f>
        <v>NA</v>
      </c>
      <c r="J266" s="870" t="str">
        <f>IF(Start!$C$17="x",IF(OR(I266="NA",I266="",ChemData!W266="NA",ChemData!W266=""),"NA",I266/ChemData!W266),"---")</f>
        <v>NA</v>
      </c>
      <c r="K266" s="870" t="str">
        <f>IF(Start!$C$17="x",IF(J266="NA","NA",IF(Data!$D$68&lt;ChemData!X266,J266*(Data!$D$68/ChemData!X266),J266)),"---")</f>
        <v>NA</v>
      </c>
      <c r="L266" s="870" t="str">
        <f>IF(Start!$C$17="x",IF(OR(I266="NA",I266="",ChemData!Z266="NA",ChemData!Z266=""),"NA",I266/ChemData!Z266),"---")</f>
        <v>NA</v>
      </c>
      <c r="M266" s="870" t="str">
        <f>IF(Start!$C$17="x",IF(OR(I266="NA",I266="",ChemData!Y266="NA",ChemData!Y266=""),"NA",I266/ChemData!Y266),"---")</f>
        <v>NA</v>
      </c>
      <c r="N266" s="870" t="str">
        <f>IF(Start!$C$17="x",IF(OR(I266="NA",I266="",G266="NA",G266=""),"NA",I266/G266),"---")</f>
        <v>NA</v>
      </c>
      <c r="O266" s="794" t="str">
        <f>IF(Start!$C$17="x",(IF(C266="","",(IF(N266="NA","NA",IF(D266="NA","NA",IF(D266=0,"NA",(N266/D266))))))),"Not Req.")</f>
        <v/>
      </c>
    </row>
    <row r="267" spans="1:15" s="10" customFormat="1" x14ac:dyDescent="0.25">
      <c r="A267" s="405" t="s">
        <v>585</v>
      </c>
      <c r="B267" s="868" t="str">
        <f>IF(Start!$C$17="x",(IF($C267="NA","NA",(IF(C267="","",(IF(AND(N267="NA",C267&lt;&gt;"NA",D267&lt;&gt;"NA"),"Missing Data",(IF(OR(D267 = "NA",D267=""),"No Criteria",(IF(N267&lt;D267,IF(OR(I267&lt;D267,ChemData!AA267&lt;&gt;""),"No-1",IF(M267&lt;D267,"No-2","No-3")),"Needed")))))))))),"---")</f>
        <v/>
      </c>
      <c r="C267" s="426" t="str">
        <f>IF(TRUE=ISBLANK(ChemData!B267),"",(ChemData!B267))</f>
        <v/>
      </c>
      <c r="D267" s="289" t="str">
        <f>IF(TRUE=ISBLANK(ChemData!J267),"",(ChemData!J267))</f>
        <v>NA</v>
      </c>
      <c r="E267" s="290" t="str">
        <f>IF(TRUE=ISBLANK(ChemData!Q267),"",(ChemData!Q267))</f>
        <v>NA</v>
      </c>
      <c r="F267" s="290">
        <f>IF(TRUE=ISBLANK(ChemData!S267),"",(ChemData!S267))</f>
        <v>1</v>
      </c>
      <c r="G267" s="865" t="str">
        <f>IF(OR(TRUE=ISBLANK(ChemData!AA267),ChemData!AA267="NA",ChemData!AA267=0),ChemData!Z267,(ChemData!AA267))</f>
        <v>NA</v>
      </c>
      <c r="H267" s="685" t="str">
        <f>IF(Start!$C$17="x",(IF(OR(C267="NA",C267=""),"NA",IF(OR(F267="NA",F267="",F267=0),"NA",C267*F267))),"---")</f>
        <v>NA</v>
      </c>
      <c r="I267" s="376" t="str">
        <f>IF(Start!$C$17="x",(IF($E267 = "NA", "NA", (IF(H267 = "NA", "NA",(IF(OR(ChemData!U267="NA",ChemData!U267=""),H267/((Data!$D$18+$E267*(1-Data!$D$18)*Data!$D$14)/(1000*(1-Data!$D$18)*Data!$D$14)),(IF(H267/((Data!$D$18+$E267*(1-Data!$D$18)*Data!$D$14)/(1000*(1-Data!$D$18)*Data!$D$14))&gt;ChemData!U267, ChemData!U267,H267/((Data!$D$18+$E267*(1-Data!$D$18)*Data!$D$14)/(1000*(1-Data!$D$18)*Data!$D$14)))))))))),"---")</f>
        <v>NA</v>
      </c>
      <c r="J267" s="870" t="str">
        <f>IF(Start!$C$17="x",IF(OR(I267="NA",I267="",ChemData!W267="NA",ChemData!W267=""),"NA",I267/ChemData!W267),"---")</f>
        <v>NA</v>
      </c>
      <c r="K267" s="870" t="str">
        <f>IF(Start!$C$17="x",IF(J267="NA","NA",IF(Data!$D$68&lt;ChemData!X267,J267*(Data!$D$68/ChemData!X267),J267)),"---")</f>
        <v>NA</v>
      </c>
      <c r="L267" s="870" t="str">
        <f>IF(Start!$C$17="x",IF(OR(I267="NA",I267="",ChemData!Z267="NA",ChemData!Z267=""),"NA",I267/ChemData!Z267),"---")</f>
        <v>NA</v>
      </c>
      <c r="M267" s="870" t="str">
        <f>IF(Start!$C$17="x",IF(OR(I267="NA",I267="",ChemData!Y267="NA",ChemData!Y267=""),"NA",I267/ChemData!Y267),"---")</f>
        <v>NA</v>
      </c>
      <c r="N267" s="870" t="str">
        <f>IF(Start!$C$17="x",IF(OR(I267="NA",I267="",G267="NA",G267=""),"NA",I267/G267),"---")</f>
        <v>NA</v>
      </c>
      <c r="O267" s="794" t="str">
        <f>IF(Start!$C$17="x",(IF(C267="","",(IF(N267="NA","NA",IF(D267="NA","NA",IF(D267=0,"NA",(N267/D267))))))),"Not Req.")</f>
        <v/>
      </c>
    </row>
    <row r="268" spans="1:15" s="10" customFormat="1" x14ac:dyDescent="0.25">
      <c r="A268" s="405" t="s">
        <v>586</v>
      </c>
      <c r="B268" s="868" t="str">
        <f>IF(Start!$C$17="x",(IF($C268="NA","NA",(IF(C268="","",(IF(AND(N268="NA",C268&lt;&gt;"NA",D268&lt;&gt;"NA"),"Missing Data",(IF(OR(D268 = "NA",D268=""),"No Criteria",(IF(N268&lt;D268,IF(OR(I268&lt;D268,ChemData!AA268&lt;&gt;""),"No-1",IF(M268&lt;D268,"No-2","No-3")),"Needed")))))))))),"---")</f>
        <v/>
      </c>
      <c r="C268" s="426" t="str">
        <f>IF(TRUE=ISBLANK(ChemData!B268),"",(ChemData!B268))</f>
        <v/>
      </c>
      <c r="D268" s="289" t="str">
        <f>IF(TRUE=ISBLANK(ChemData!J268),"",(ChemData!J268))</f>
        <v>NA</v>
      </c>
      <c r="E268" s="290">
        <f>IF(TRUE=ISBLANK(ChemData!Q268),"",(ChemData!Q268))</f>
        <v>1115337.7938236406</v>
      </c>
      <c r="F268" s="290">
        <f>IF(TRUE=ISBLANK(ChemData!S268),"",(ChemData!S268))</f>
        <v>1</v>
      </c>
      <c r="G268" s="865">
        <f>IF(OR(TRUE=ISBLANK(ChemData!AA268),ChemData!AA268="NA",ChemData!AA268=0),ChemData!Z268,(ChemData!AA268))</f>
        <v>605329664.89331841</v>
      </c>
      <c r="H268" s="685" t="str">
        <f>IF(Start!$C$17="x",(IF(OR(C268="NA",C268=""),"NA",IF(OR(F268="NA",F268="",F268=0),"NA",C268*F268))),"---")</f>
        <v>NA</v>
      </c>
      <c r="I268" s="376" t="str">
        <f>IF(Start!$C$17="x",(IF($E268 = "NA", "NA", (IF(H268 = "NA", "NA",(IF(OR(ChemData!U268="NA",ChemData!U268=""),H268/((Data!$D$18+$E268*(1-Data!$D$18)*Data!$D$14)/(1000*(1-Data!$D$18)*Data!$D$14)),(IF(H268/((Data!$D$18+$E268*(1-Data!$D$18)*Data!$D$14)/(1000*(1-Data!$D$18)*Data!$D$14))&gt;ChemData!U268, ChemData!U268,H268/((Data!$D$18+$E268*(1-Data!$D$18)*Data!$D$14)/(1000*(1-Data!$D$18)*Data!$D$14)))))))))),"---")</f>
        <v>NA</v>
      </c>
      <c r="J268" s="870" t="str">
        <f>IF(Start!$C$17="x",IF(OR(I268="NA",I268="",ChemData!W268="NA",ChemData!W268=""),"NA",I268/ChemData!W268),"---")</f>
        <v>NA</v>
      </c>
      <c r="K268" s="870" t="str">
        <f>IF(Start!$C$17="x",IF(J268="NA","NA",IF(Data!$D$68&lt;ChemData!X268,J268*(Data!$D$68/ChemData!X268),J268)),"---")</f>
        <v>NA</v>
      </c>
      <c r="L268" s="870" t="str">
        <f>IF(Start!$C$17="x",IF(OR(I268="NA",I268="",ChemData!Z268="NA",ChemData!Z268=""),"NA",I268/ChemData!Z268),"---")</f>
        <v>NA</v>
      </c>
      <c r="M268" s="870" t="str">
        <f>IF(Start!$C$17="x",IF(OR(I268="NA",I268="",ChemData!Y268="NA",ChemData!Y268=""),"NA",I268/ChemData!Y268),"---")</f>
        <v>NA</v>
      </c>
      <c r="N268" s="870" t="str">
        <f>IF(Start!$C$17="x",IF(OR(I268="NA",I268="",G268="NA",G268=""),"NA",I268/G268),"---")</f>
        <v>NA</v>
      </c>
      <c r="O268" s="794" t="str">
        <f>IF(Start!$C$17="x",(IF(C268="","",(IF(N268="NA","NA",IF(D268="NA","NA",IF(D268=0,"NA",(N268/D268))))))),"Not Req.")</f>
        <v/>
      </c>
    </row>
    <row r="269" spans="1:15" s="10" customFormat="1" x14ac:dyDescent="0.25">
      <c r="A269" s="405" t="s">
        <v>587</v>
      </c>
      <c r="B269" s="868" t="str">
        <f>IF(Start!$C$17="x",(IF($C269="NA","NA",(IF(C269="","",(IF(AND(N269="NA",C269&lt;&gt;"NA",D269&lt;&gt;"NA"),"Missing Data",(IF(OR(D269 = "NA",D269=""),"No Criteria",(IF(N269&lt;D269,IF(OR(I269&lt;D269,ChemData!AA269&lt;&gt;""),"No-1",IF(M269&lt;D269,"No-2","No-3")),"Needed")))))))))),"---")</f>
        <v/>
      </c>
      <c r="C269" s="426" t="str">
        <f>IF(TRUE=ISBLANK(ChemData!B269),"",(ChemData!B269))</f>
        <v/>
      </c>
      <c r="D269" s="289" t="str">
        <f>IF(TRUE=ISBLANK(ChemData!J269),"",(ChemData!J269))</f>
        <v>NA</v>
      </c>
      <c r="E269" s="290">
        <f>IF(TRUE=ISBLANK(ChemData!Q269),"",(ChemData!Q269))</f>
        <v>3143449.0007066983</v>
      </c>
      <c r="F269" s="290">
        <f>IF(TRUE=ISBLANK(ChemData!S269),"",(ChemData!S269))</f>
        <v>1</v>
      </c>
      <c r="G269" s="865">
        <f>IF(OR(TRUE=ISBLANK(ChemData!AA269),ChemData!AA269="NA",ChemData!AA269=0),ChemData!Z269,(ChemData!AA269))</f>
        <v>2772325199.8231239</v>
      </c>
      <c r="H269" s="685" t="str">
        <f>IF(Start!$C$17="x",(IF(OR(C269="NA",C269=""),"NA",IF(OR(F269="NA",F269="",F269=0),"NA",C269*F269))),"---")</f>
        <v>NA</v>
      </c>
      <c r="I269" s="376" t="str">
        <f>IF(Start!$C$17="x",(IF($E269 = "NA", "NA", (IF(H269 = "NA", "NA",(IF(OR(ChemData!U269="NA",ChemData!U269=""),H269/((Data!$D$18+$E269*(1-Data!$D$18)*Data!$D$14)/(1000*(1-Data!$D$18)*Data!$D$14)),(IF(H269/((Data!$D$18+$E269*(1-Data!$D$18)*Data!$D$14)/(1000*(1-Data!$D$18)*Data!$D$14))&gt;ChemData!U269, ChemData!U269,H269/((Data!$D$18+$E269*(1-Data!$D$18)*Data!$D$14)/(1000*(1-Data!$D$18)*Data!$D$14)))))))))),"---")</f>
        <v>NA</v>
      </c>
      <c r="J269" s="870" t="str">
        <f>IF(Start!$C$17="x",IF(OR(I269="NA",I269="",ChemData!W269="NA",ChemData!W269=""),"NA",I269/ChemData!W269),"---")</f>
        <v>NA</v>
      </c>
      <c r="K269" s="870" t="str">
        <f>IF(Start!$C$17="x",IF(J269="NA","NA",IF(Data!$D$68&lt;ChemData!X269,J269*(Data!$D$68/ChemData!X269),J269)),"---")</f>
        <v>NA</v>
      </c>
      <c r="L269" s="870" t="str">
        <f>IF(Start!$C$17="x",IF(OR(I269="NA",I269="",ChemData!Z269="NA",ChemData!Z269=""),"NA",I269/ChemData!Z269),"---")</f>
        <v>NA</v>
      </c>
      <c r="M269" s="870" t="str">
        <f>IF(Start!$C$17="x",IF(OR(I269="NA",I269="",ChemData!Y269="NA",ChemData!Y269=""),"NA",I269/ChemData!Y269),"---")</f>
        <v>NA</v>
      </c>
      <c r="N269" s="870" t="str">
        <f>IF(Start!$C$17="x",IF(OR(I269="NA",I269="",G269="NA",G269=""),"NA",I269/G269),"---")</f>
        <v>NA</v>
      </c>
      <c r="O269" s="794" t="str">
        <f>IF(Start!$C$17="x",(IF(C269="","",(IF(N269="NA","NA",IF(D269="NA","NA",IF(D269=0,"NA",(N269/D269))))))),"Not Req.")</f>
        <v/>
      </c>
    </row>
    <row r="270" spans="1:15" s="10" customFormat="1" x14ac:dyDescent="0.25">
      <c r="A270" s="405" t="s">
        <v>588</v>
      </c>
      <c r="B270" s="868" t="str">
        <f>IF(Start!$C$17="x",(IF($C270="NA","NA",(IF(C270="","",(IF(AND(N270="NA",C270&lt;&gt;"NA",D270&lt;&gt;"NA"),"Missing Data",(IF(OR(D270 = "NA",D270=""),"No Criteria",(IF(N270&lt;D270,IF(OR(I270&lt;D270,ChemData!AA270&lt;&gt;""),"No-1",IF(M270&lt;D270,"No-2","No-3")),"Needed")))))))))),"---")</f>
        <v/>
      </c>
      <c r="C270" s="426" t="str">
        <f>IF(TRUE=ISBLANK(ChemData!B270),"",(ChemData!B270))</f>
        <v/>
      </c>
      <c r="D270" s="289" t="str">
        <f>IF(TRUE=ISBLANK(ChemData!J270),"",(ChemData!J270))</f>
        <v>NA</v>
      </c>
      <c r="E270" s="290">
        <f>IF(TRUE=ISBLANK(ChemData!Q270),"",(ChemData!Q270))</f>
        <v>3001970.490211389</v>
      </c>
      <c r="F270" s="290">
        <f>IF(TRUE=ISBLANK(ChemData!S270),"",(ChemData!S270))</f>
        <v>1</v>
      </c>
      <c r="G270" s="865">
        <f>IF(OR(TRUE=ISBLANK(ChemData!AA270),ChemData!AA270="NA",ChemData!AA270=0),ChemData!Z270,(ChemData!AA270))</f>
        <v>2591033111.9650507</v>
      </c>
      <c r="H270" s="685" t="str">
        <f>IF(Start!$C$17="x",(IF(OR(C270="NA",C270=""),"NA",IF(OR(F270="NA",F270="",F270=0),"NA",C270*F270))),"---")</f>
        <v>NA</v>
      </c>
      <c r="I270" s="376" t="str">
        <f>IF(Start!$C$17="x",(IF($E270 = "NA", "NA", (IF(H270 = "NA", "NA",(IF(OR(ChemData!U270="NA",ChemData!U270=""),H270/((Data!$D$18+$E270*(1-Data!$D$18)*Data!$D$14)/(1000*(1-Data!$D$18)*Data!$D$14)),(IF(H270/((Data!$D$18+$E270*(1-Data!$D$18)*Data!$D$14)/(1000*(1-Data!$D$18)*Data!$D$14))&gt;ChemData!U270, ChemData!U270,H270/((Data!$D$18+$E270*(1-Data!$D$18)*Data!$D$14)/(1000*(1-Data!$D$18)*Data!$D$14)))))))))),"---")</f>
        <v>NA</v>
      </c>
      <c r="J270" s="870" t="str">
        <f>IF(Start!$C$17="x",IF(OR(I270="NA",I270="",ChemData!W270="NA",ChemData!W270=""),"NA",I270/ChemData!W270),"---")</f>
        <v>NA</v>
      </c>
      <c r="K270" s="870" t="str">
        <f>IF(Start!$C$17="x",IF(J270="NA","NA",IF(Data!$D$68&lt;ChemData!X270,J270*(Data!$D$68/ChemData!X270),J270)),"---")</f>
        <v>NA</v>
      </c>
      <c r="L270" s="870" t="str">
        <f>IF(Start!$C$17="x",IF(OR(I270="NA",I270="",ChemData!Z270="NA",ChemData!Z270=""),"NA",I270/ChemData!Z270),"---")</f>
        <v>NA</v>
      </c>
      <c r="M270" s="870" t="str">
        <f>IF(Start!$C$17="x",IF(OR(I270="NA",I270="",ChemData!Y270="NA",ChemData!Y270=""),"NA",I270/ChemData!Y270),"---")</f>
        <v>NA</v>
      </c>
      <c r="N270" s="870" t="str">
        <f>IF(Start!$C$17="x",IF(OR(I270="NA",I270="",G270="NA",G270=""),"NA",I270/G270),"---")</f>
        <v>NA</v>
      </c>
      <c r="O270" s="794" t="str">
        <f>IF(Start!$C$17="x",(IF(C270="","",(IF(N270="NA","NA",IF(D270="NA","NA",IF(D270=0,"NA",(N270/D270))))))),"Not Req.")</f>
        <v/>
      </c>
    </row>
    <row r="271" spans="1:15" s="10" customFormat="1" x14ac:dyDescent="0.25">
      <c r="A271" s="405" t="s">
        <v>589</v>
      </c>
      <c r="B271" s="868" t="str">
        <f>IF(Start!$C$17="x",(IF($C271="NA","NA",(IF(C271="","",(IF(AND(N271="NA",C271&lt;&gt;"NA",D271&lt;&gt;"NA"),"Missing Data",(IF(OR(D271 = "NA",D271=""),"No Criteria",(IF(N271&lt;D271,IF(OR(I271&lt;D271,ChemData!AA271&lt;&gt;""),"No-1",IF(M271&lt;D271,"No-2","No-3")),"Needed")))))))))),"---")</f>
        <v/>
      </c>
      <c r="C271" s="426" t="str">
        <f>IF(TRUE=ISBLANK(ChemData!B271),"",(ChemData!B271))</f>
        <v/>
      </c>
      <c r="D271" s="289" t="str">
        <f>IF(TRUE=ISBLANK(ChemData!J271),"",(ChemData!J271))</f>
        <v>NA</v>
      </c>
      <c r="E271" s="290">
        <f>IF(TRUE=ISBLANK(ChemData!Q271),"",(ChemData!Q271))</f>
        <v>703730.57258936029</v>
      </c>
      <c r="F271" s="290">
        <f>IF(TRUE=ISBLANK(ChemData!S271),"",(ChemData!S271))</f>
        <v>1</v>
      </c>
      <c r="G271" s="865">
        <f>IF(OR(TRUE=ISBLANK(ChemData!AA271),ChemData!AA271="NA",ChemData!AA271=0),ChemData!Z271,(ChemData!AA271))</f>
        <v>307807970.87224567</v>
      </c>
      <c r="H271" s="685" t="str">
        <f>IF(Start!$C$17="x",(IF(OR(C271="NA",C271=""),"NA",IF(OR(F271="NA",F271="",F271=0),"NA",C271*F271))),"---")</f>
        <v>NA</v>
      </c>
      <c r="I271" s="376" t="str">
        <f>IF(Start!$C$17="x",(IF($E271 = "NA", "NA", (IF(H271 = "NA", "NA",(IF(OR(ChemData!U271="NA",ChemData!U271=""),H271/((Data!$D$18+$E271*(1-Data!$D$18)*Data!$D$14)/(1000*(1-Data!$D$18)*Data!$D$14)),(IF(H271/((Data!$D$18+$E271*(1-Data!$D$18)*Data!$D$14)/(1000*(1-Data!$D$18)*Data!$D$14))&gt;ChemData!U271, ChemData!U271,H271/((Data!$D$18+$E271*(1-Data!$D$18)*Data!$D$14)/(1000*(1-Data!$D$18)*Data!$D$14)))))))))),"---")</f>
        <v>NA</v>
      </c>
      <c r="J271" s="870" t="str">
        <f>IF(Start!$C$17="x",IF(OR(I271="NA",I271="",ChemData!W271="NA",ChemData!W271=""),"NA",I271/ChemData!W271),"---")</f>
        <v>NA</v>
      </c>
      <c r="K271" s="870" t="str">
        <f>IF(Start!$C$17="x",IF(J271="NA","NA",IF(Data!$D$68&lt;ChemData!X271,J271*(Data!$D$68/ChemData!X271),J271)),"---")</f>
        <v>NA</v>
      </c>
      <c r="L271" s="870" t="str">
        <f>IF(Start!$C$17="x",IF(OR(I271="NA",I271="",ChemData!Z271="NA",ChemData!Z271=""),"NA",I271/ChemData!Z271),"---")</f>
        <v>NA</v>
      </c>
      <c r="M271" s="870" t="str">
        <f>IF(Start!$C$17="x",IF(OR(I271="NA",I271="",ChemData!Y271="NA",ChemData!Y271=""),"NA",I271/ChemData!Y271),"---")</f>
        <v>NA</v>
      </c>
      <c r="N271" s="870" t="str">
        <f>IF(Start!$C$17="x",IF(OR(I271="NA",I271="",G271="NA",G271=""),"NA",I271/G271),"---")</f>
        <v>NA</v>
      </c>
      <c r="O271" s="794" t="str">
        <f>IF(Start!$C$17="x",(IF(C271="","",(IF(N271="NA","NA",IF(D271="NA","NA",IF(D271=0,"NA",(N271/D271))))))),"Not Req.")</f>
        <v/>
      </c>
    </row>
    <row r="272" spans="1:15" s="10" customFormat="1" x14ac:dyDescent="0.25">
      <c r="A272" s="405" t="s">
        <v>590</v>
      </c>
      <c r="B272" s="868" t="str">
        <f>IF(Start!$C$17="x",(IF($C272="NA","NA",(IF(C272="","",(IF(AND(N272="NA",C272&lt;&gt;"NA",D272&lt;&gt;"NA"),"Missing Data",(IF(OR(D272 = "NA",D272=""),"No Criteria",(IF(N272&lt;D272,IF(OR(I272&lt;D272,ChemData!AA272&lt;&gt;""),"No-1",IF(M272&lt;D272,"No-2","No-3")),"Needed")))))))))),"---")</f>
        <v/>
      </c>
      <c r="C272" s="426" t="str">
        <f>IF(TRUE=ISBLANK(ChemData!B272),"",(ChemData!B272))</f>
        <v/>
      </c>
      <c r="D272" s="289" t="str">
        <f>IF(TRUE=ISBLANK(ChemData!J272),"",(ChemData!J272))</f>
        <v>NA</v>
      </c>
      <c r="E272" s="290">
        <f>IF(TRUE=ISBLANK(ChemData!Q272),"",(ChemData!Q272))</f>
        <v>58533.759489716802</v>
      </c>
      <c r="F272" s="290">
        <f>IF(TRUE=ISBLANK(ChemData!S272),"",(ChemData!S272))</f>
        <v>1</v>
      </c>
      <c r="G272" s="865">
        <f>IF(OR(TRUE=ISBLANK(ChemData!AA272),ChemData!AA272="NA",ChemData!AA272=0),ChemData!Z272,(ChemData!AA272))</f>
        <v>7984257.6995547069</v>
      </c>
      <c r="H272" s="685" t="str">
        <f>IF(Start!$C$17="x",(IF(OR(C272="NA",C272=""),"NA",IF(OR(F272="NA",F272="",F272=0),"NA",C272*F272))),"---")</f>
        <v>NA</v>
      </c>
      <c r="I272" s="376" t="str">
        <f>IF(Start!$C$17="x",(IF($E272 = "NA", "NA", (IF(H272 = "NA", "NA",(IF(OR(ChemData!U272="NA",ChemData!U272=""),H272/((Data!$D$18+$E272*(1-Data!$D$18)*Data!$D$14)/(1000*(1-Data!$D$18)*Data!$D$14)),(IF(H272/((Data!$D$18+$E272*(1-Data!$D$18)*Data!$D$14)/(1000*(1-Data!$D$18)*Data!$D$14))&gt;ChemData!U272, ChemData!U272,H272/((Data!$D$18+$E272*(1-Data!$D$18)*Data!$D$14)/(1000*(1-Data!$D$18)*Data!$D$14)))))))))),"---")</f>
        <v>NA</v>
      </c>
      <c r="J272" s="870" t="str">
        <f>IF(Start!$C$17="x",IF(OR(I272="NA",I272="",ChemData!W272="NA",ChemData!W272=""),"NA",I272/ChemData!W272),"---")</f>
        <v>NA</v>
      </c>
      <c r="K272" s="870" t="str">
        <f>IF(Start!$C$17="x",IF(J272="NA","NA",IF(Data!$D$68&lt;ChemData!X272,J272*(Data!$D$68/ChemData!X272),J272)),"---")</f>
        <v>NA</v>
      </c>
      <c r="L272" s="870" t="str">
        <f>IF(Start!$C$17="x",IF(OR(I272="NA",I272="",ChemData!Z272="NA",ChemData!Z272=""),"NA",I272/ChemData!Z272),"---")</f>
        <v>NA</v>
      </c>
      <c r="M272" s="870" t="str">
        <f>IF(Start!$C$17="x",IF(OR(I272="NA",I272="",ChemData!Y272="NA",ChemData!Y272=""),"NA",I272/ChemData!Y272),"---")</f>
        <v>NA</v>
      </c>
      <c r="N272" s="870" t="str">
        <f>IF(Start!$C$17="x",IF(OR(I272="NA",I272="",G272="NA",G272=""),"NA",I272/G272),"---")</f>
        <v>NA</v>
      </c>
      <c r="O272" s="794" t="str">
        <f>IF(Start!$C$17="x",(IF(C272="","",(IF(N272="NA","NA",IF(D272="NA","NA",IF(D272=0,"NA",(N272/D272))))))),"Not Req.")</f>
        <v/>
      </c>
    </row>
    <row r="273" spans="1:15" s="10" customFormat="1" x14ac:dyDescent="0.25">
      <c r="A273" s="405" t="s">
        <v>591</v>
      </c>
      <c r="B273" s="868" t="str">
        <f>IF(Start!$C$17="x",(IF($C273="NA","NA",(IF(C273="","",(IF(AND(N273="NA",C273&lt;&gt;"NA",D273&lt;&gt;"NA"),"Missing Data",(IF(OR(D273 = "NA",D273=""),"No Criteria",(IF(N273&lt;D273,IF(OR(I273&lt;D273,ChemData!AA273&lt;&gt;""),"No-1",IF(M273&lt;D273,"No-2","No-3")),"Needed")))))))))),"---")</f>
        <v/>
      </c>
      <c r="C273" s="426" t="str">
        <f>IF(TRUE=ISBLANK(ChemData!B273),"",(ChemData!B273))</f>
        <v/>
      </c>
      <c r="D273" s="289" t="str">
        <f>IF(TRUE=ISBLANK(ChemData!J273),"",(ChemData!J273))</f>
        <v>NA</v>
      </c>
      <c r="E273" s="290">
        <f>IF(TRUE=ISBLANK(ChemData!Q273),"",(ChemData!Q273))</f>
        <v>161215.36050087097</v>
      </c>
      <c r="F273" s="290">
        <f>IF(TRUE=ISBLANK(ChemData!S273),"",(ChemData!S273))</f>
        <v>1</v>
      </c>
      <c r="G273" s="865">
        <f>IF(OR(TRUE=ISBLANK(ChemData!AA273),ChemData!AA273="NA",ChemData!AA273=0),ChemData!Z273,(ChemData!AA273))</f>
        <v>35350955.438679472</v>
      </c>
      <c r="H273" s="685" t="str">
        <f>IF(Start!$C$17="x",(IF(OR(C273="NA",C273=""),"NA",IF(OR(F273="NA",F273="",F273=0),"NA",C273*F273))),"---")</f>
        <v>NA</v>
      </c>
      <c r="I273" s="376" t="str">
        <f>IF(Start!$C$17="x",(IF($E273 = "NA", "NA", (IF(H273 = "NA", "NA",(IF(OR(ChemData!U273="NA",ChemData!U273=""),H273/((Data!$D$18+$E273*(1-Data!$D$18)*Data!$D$14)/(1000*(1-Data!$D$18)*Data!$D$14)),(IF(H273/((Data!$D$18+$E273*(1-Data!$D$18)*Data!$D$14)/(1000*(1-Data!$D$18)*Data!$D$14))&gt;ChemData!U273, ChemData!U273,H273/((Data!$D$18+$E273*(1-Data!$D$18)*Data!$D$14)/(1000*(1-Data!$D$18)*Data!$D$14)))))))))),"---")</f>
        <v>NA</v>
      </c>
      <c r="J273" s="870" t="str">
        <f>IF(Start!$C$17="x",IF(OR(I273="NA",I273="",ChemData!W273="NA",ChemData!W273=""),"NA",I273/ChemData!W273),"---")</f>
        <v>NA</v>
      </c>
      <c r="K273" s="870" t="str">
        <f>IF(Start!$C$17="x",IF(J273="NA","NA",IF(Data!$D$68&lt;ChemData!X273,J273*(Data!$D$68/ChemData!X273),J273)),"---")</f>
        <v>NA</v>
      </c>
      <c r="L273" s="870" t="str">
        <f>IF(Start!$C$17="x",IF(OR(I273="NA",I273="",ChemData!Z273="NA",ChemData!Z273=""),"NA",I273/ChemData!Z273),"---")</f>
        <v>NA</v>
      </c>
      <c r="M273" s="870" t="str">
        <f>IF(Start!$C$17="x",IF(OR(I273="NA",I273="",ChemData!Y273="NA",ChemData!Y273=""),"NA",I273/ChemData!Y273),"---")</f>
        <v>NA</v>
      </c>
      <c r="N273" s="870" t="str">
        <f>IF(Start!$C$17="x",IF(OR(I273="NA",I273="",G273="NA",G273=""),"NA",I273/G273),"---")</f>
        <v>NA</v>
      </c>
      <c r="O273" s="794" t="str">
        <f>IF(Start!$C$17="x",(IF(C273="","",(IF(N273="NA","NA",IF(D273="NA","NA",IF(D273=0,"NA",(N273/D273))))))),"Not Req.")</f>
        <v/>
      </c>
    </row>
    <row r="274" spans="1:15" s="10" customFormat="1" x14ac:dyDescent="0.25">
      <c r="A274" s="405" t="s">
        <v>592</v>
      </c>
      <c r="B274" s="868" t="str">
        <f>IF(Start!$C$17="x",(IF($C274="NA","NA",(IF(C274="","",(IF(AND(N274="NA",C274&lt;&gt;"NA",D274&lt;&gt;"NA"),"Missing Data",(IF(OR(D274 = "NA",D274=""),"No Criteria",(IF(N274&lt;D274,IF(OR(I274&lt;D274,ChemData!AA274&lt;&gt;""),"No-1",IF(M274&lt;D274,"No-2","No-3")),"Needed")))))))))),"---")</f>
        <v/>
      </c>
      <c r="C274" s="426" t="str">
        <f>IF(TRUE=ISBLANK(ChemData!B274),"",(ChemData!B274))</f>
        <v/>
      </c>
      <c r="D274" s="289" t="str">
        <f>IF(TRUE=ISBLANK(ChemData!J274),"",(ChemData!J274))</f>
        <v>NA</v>
      </c>
      <c r="E274" s="290">
        <f>IF(TRUE=ISBLANK(ChemData!Q274),"",(ChemData!Q274))</f>
        <v>46495.01784724246</v>
      </c>
      <c r="F274" s="290">
        <f>IF(TRUE=ISBLANK(ChemData!S274),"",(ChemData!S274))</f>
        <v>1</v>
      </c>
      <c r="G274" s="865">
        <f>IF(OR(TRUE=ISBLANK(ChemData!AA274),ChemData!AA274="NA",ChemData!AA274=0),ChemData!Z274,(ChemData!AA274))</f>
        <v>5693489.1581636686</v>
      </c>
      <c r="H274" s="685" t="str">
        <f>IF(Start!$C$17="x",(IF(OR(C274="NA",C274=""),"NA",IF(OR(F274="NA",F274="",F274=0),"NA",C274*F274))),"---")</f>
        <v>NA</v>
      </c>
      <c r="I274" s="376" t="str">
        <f>IF(Start!$C$17="x",(IF($E274 = "NA", "NA", (IF(H274 = "NA", "NA",(IF(OR(ChemData!U274="NA",ChemData!U274=""),H274/((Data!$D$18+$E274*(1-Data!$D$18)*Data!$D$14)/(1000*(1-Data!$D$18)*Data!$D$14)),(IF(H274/((Data!$D$18+$E274*(1-Data!$D$18)*Data!$D$14)/(1000*(1-Data!$D$18)*Data!$D$14))&gt;ChemData!U274, ChemData!U274,H274/((Data!$D$18+$E274*(1-Data!$D$18)*Data!$D$14)/(1000*(1-Data!$D$18)*Data!$D$14)))))))))),"---")</f>
        <v>NA</v>
      </c>
      <c r="J274" s="870" t="str">
        <f>IF(Start!$C$17="x",IF(OR(I274="NA",I274="",ChemData!W274="NA",ChemData!W274=""),"NA",I274/ChemData!W274),"---")</f>
        <v>NA</v>
      </c>
      <c r="K274" s="870" t="str">
        <f>IF(Start!$C$17="x",IF(J274="NA","NA",IF(Data!$D$68&lt;ChemData!X274,J274*(Data!$D$68/ChemData!X274),J274)),"---")</f>
        <v>NA</v>
      </c>
      <c r="L274" s="870" t="str">
        <f>IF(Start!$C$17="x",IF(OR(I274="NA",I274="",ChemData!Z274="NA",ChemData!Z274=""),"NA",I274/ChemData!Z274),"---")</f>
        <v>NA</v>
      </c>
      <c r="M274" s="870" t="str">
        <f>IF(Start!$C$17="x",IF(OR(I274="NA",I274="",ChemData!Y274="NA",ChemData!Y274=""),"NA",I274/ChemData!Y274),"---")</f>
        <v>NA</v>
      </c>
      <c r="N274" s="870" t="str">
        <f>IF(Start!$C$17="x",IF(OR(I274="NA",I274="",G274="NA",G274=""),"NA",I274/G274),"---")</f>
        <v>NA</v>
      </c>
      <c r="O274" s="794" t="str">
        <f>IF(Start!$C$17="x",(IF(C274="","",(IF(N274="NA","NA",IF(D274="NA","NA",IF(D274=0,"NA",(N274/D274))))))),"Not Req.")</f>
        <v/>
      </c>
    </row>
    <row r="275" spans="1:15" s="10" customFormat="1" ht="13.8" thickBot="1" x14ac:dyDescent="0.3">
      <c r="A275" s="405" t="s">
        <v>593</v>
      </c>
      <c r="B275" s="868" t="str">
        <f>IF(Start!$C$17="x",(IF($C275="NA","NA",(IF(C275="","",(IF(AND(N275="NA",C275&lt;&gt;"NA",D275&lt;&gt;"NA"),"Missing Data",(IF(OR(D275 = "NA",D275=""),"No Criteria",(IF(N275&lt;D275,IF(OR(I275&lt;D275,ChemData!AA275&lt;&gt;""),"No-1",IF(M275&lt;D275,"No-2","No-3")),"Needed")))))))))),"---")</f>
        <v/>
      </c>
      <c r="C275" s="426" t="str">
        <f>IF(TRUE=ISBLANK(ChemData!B275),"",(ChemData!B275))</f>
        <v/>
      </c>
      <c r="D275" s="289" t="str">
        <f>IF(TRUE=ISBLANK(ChemData!J275),"",(ChemData!J275))</f>
        <v>NA</v>
      </c>
      <c r="E275" s="290">
        <f>IF(TRUE=ISBLANK(ChemData!Q275),"",(ChemData!Q275))</f>
        <v>36091.623541521498</v>
      </c>
      <c r="F275" s="290">
        <f>IF(TRUE=ISBLANK(ChemData!S275),"",(ChemData!S275))</f>
        <v>1</v>
      </c>
      <c r="G275" s="865">
        <f>IF(OR(TRUE=ISBLANK(ChemData!AA275),ChemData!AA275="NA",ChemData!AA275=0),ChemData!Z275,(ChemData!AA275))</f>
        <v>3924974.5530103543</v>
      </c>
      <c r="H275" s="685" t="str">
        <f>IF(Start!$C$17="x",(IF(OR(C275="NA",C275=""),"NA",IF(OR(F275="NA",F275="",F275=0),"NA",C275*F275))),"---")</f>
        <v>NA</v>
      </c>
      <c r="I275" s="376" t="str">
        <f>IF(Start!$C$17="x",(IF($E275 = "NA", "NA", (IF(H275 = "NA", "NA",(IF(OR(ChemData!U275="NA",ChemData!U275=""),H275/((Data!$D$18+$E275*(1-Data!$D$18)*Data!$D$14)/(1000*(1-Data!$D$18)*Data!$D$14)),(IF(H275/((Data!$D$18+$E275*(1-Data!$D$18)*Data!$D$14)/(1000*(1-Data!$D$18)*Data!$D$14))&gt;ChemData!U275, ChemData!U275,H275/((Data!$D$18+$E275*(1-Data!$D$18)*Data!$D$14)/(1000*(1-Data!$D$18)*Data!$D$14)))))))))),"---")</f>
        <v>NA</v>
      </c>
      <c r="J275" s="870" t="str">
        <f>IF(Start!$C$17="x",IF(OR(I275="NA",I275="",ChemData!W275="NA",ChemData!W275=""),"NA",I275/ChemData!W275),"---")</f>
        <v>NA</v>
      </c>
      <c r="K275" s="870" t="str">
        <f>IF(Start!$C$17="x",IF(J275="NA","NA",IF(Data!$D$68&lt;ChemData!X275,J275*(Data!$D$68/ChemData!X275),J275)),"---")</f>
        <v>NA</v>
      </c>
      <c r="L275" s="870" t="str">
        <f>IF(Start!$C$17="x",IF(OR(I275="NA",I275="",ChemData!Z275="NA",ChemData!Z275=""),"NA",I275/ChemData!Z275),"---")</f>
        <v>NA</v>
      </c>
      <c r="M275" s="870" t="str">
        <f>IF(Start!$C$17="x",IF(OR(I275="NA",I275="",ChemData!Y275="NA",ChemData!Y275=""),"NA",I275/ChemData!Y275),"---")</f>
        <v>NA</v>
      </c>
      <c r="N275" s="870" t="str">
        <f>IF(Start!$C$17="x",IF(OR(I275="NA",I275="",G275="NA",G275=""),"NA",I275/G275),"---")</f>
        <v>NA</v>
      </c>
      <c r="O275" s="794" t="str">
        <f>IF(Start!$C$17="x",(IF(C275="","",(IF(N275="NA","NA",IF(D275="NA","NA",IF(D275=0,"NA",(N275/D275))))))),"Not Req.")</f>
        <v/>
      </c>
    </row>
    <row r="276" spans="1:15" s="10" customFormat="1" x14ac:dyDescent="0.25">
      <c r="A276" s="505" t="s">
        <v>594</v>
      </c>
      <c r="B276" s="527"/>
      <c r="C276" s="528"/>
      <c r="D276" s="511"/>
      <c r="E276" s="512"/>
      <c r="F276" s="512"/>
      <c r="G276" s="808"/>
      <c r="H276" s="511"/>
      <c r="I276" s="512"/>
      <c r="J276" s="534"/>
      <c r="K276" s="534"/>
      <c r="L276" s="534"/>
      <c r="M276" s="534"/>
      <c r="N276" s="534"/>
      <c r="O276" s="807" t="str">
        <f>IF(Start!$C$17="x",(IF(C276="","",(IF(I276="NA","NA",IF(D276="NA","NA",IF(D276=0,"NA",(I276/D276))))))),"Not Req.")</f>
        <v/>
      </c>
    </row>
    <row r="277" spans="1:15" s="10" customFormat="1" x14ac:dyDescent="0.25">
      <c r="A277" s="405" t="s">
        <v>595</v>
      </c>
      <c r="B277" s="868" t="str">
        <f>IF(Start!$C$17="x",(IF($C277="NA","NA",(IF(C277="","",(IF(AND(N277="NA",C277&lt;&gt;"NA",D277&lt;&gt;"NA"),"Missing Data",(IF(OR(D277 = "NA",D277=""),"No Criteria",(IF(N277&lt;D277,IF(OR(I277&lt;D277,ChemData!AA277&lt;&gt;""),"No-1",IF(M277&lt;D277,"No-2","No-3")),"Needed")))))))))),"---")</f>
        <v/>
      </c>
      <c r="C277" s="426" t="str">
        <f>IF(TRUE=ISBLANK(ChemData!B277),"",(ChemData!B277))</f>
        <v/>
      </c>
      <c r="D277" s="289" t="str">
        <f>IF(TRUE=ISBLANK(ChemData!J277),"",(ChemData!J277))</f>
        <v>NA</v>
      </c>
      <c r="E277" s="290">
        <f>IF(TRUE=ISBLANK(ChemData!Q277),"",(ChemData!Q277))</f>
        <v>2330.270937231006</v>
      </c>
      <c r="F277" s="290">
        <f>IF(TRUE=ISBLANK(ChemData!S277),"",(ChemData!S277))</f>
        <v>1</v>
      </c>
      <c r="G277" s="865">
        <f>IF(OR(TRUE=ISBLANK(ChemData!AA277),ChemData!AA277="NA",ChemData!AA277=0),ChemData!Z277,(ChemData!AA277))</f>
        <v>70185.900544670279</v>
      </c>
      <c r="H277" s="685" t="str">
        <f>IF(Start!$C$17="x",(IF(OR(C277="NA",C277=""),"NA",IF(OR(F277="NA",F277="",F277=0),"NA",C277*F277))),"---")</f>
        <v>NA</v>
      </c>
      <c r="I277" s="376" t="str">
        <f>IF(Start!$C$17="x",(IF($E277 = "NA", "NA", (IF(H277 = "NA", "NA",(IF(OR(ChemData!U277="NA",ChemData!U277=""),H277/((Data!$D$18+$E277*(1-Data!$D$18)*Data!$D$14)/(1000*(1-Data!$D$18)*Data!$D$14)),(IF(H277/((Data!$D$18+$E277*(1-Data!$D$18)*Data!$D$14)/(1000*(1-Data!$D$18)*Data!$D$14))&gt;ChemData!U277, ChemData!U277,H277/((Data!$D$18+$E277*(1-Data!$D$18)*Data!$D$14)/(1000*(1-Data!$D$18)*Data!$D$14)))))))))),"---")</f>
        <v>NA</v>
      </c>
      <c r="J277" s="870" t="str">
        <f>IF(Start!$C$17="x",IF(OR(I277="NA",I277="",ChemData!W277="NA",ChemData!W277=""),"NA",I277/ChemData!W277),"---")</f>
        <v>NA</v>
      </c>
      <c r="K277" s="870" t="str">
        <f>IF(Start!$C$17="x",IF(J277="NA","NA",IF(Data!$D$68&lt;ChemData!X277,J277*(Data!$D$68/ChemData!X277),J277)),"---")</f>
        <v>NA</v>
      </c>
      <c r="L277" s="870" t="str">
        <f>IF(Start!$C$17="x",IF(OR(I277="NA",I277="",ChemData!Z277="NA",ChemData!Z277=""),"NA",I277/ChemData!Z277),"---")</f>
        <v>NA</v>
      </c>
      <c r="M277" s="870" t="str">
        <f>IF(Start!$C$17="x",IF(OR(I277="NA",I277="",ChemData!Y277="NA",ChemData!Y277=""),"NA",I277/ChemData!Y277),"---")</f>
        <v>NA</v>
      </c>
      <c r="N277" s="870" t="str">
        <f>IF(Start!$C$17="x",IF(OR(I277="NA",I277="",G277="NA",G277=""),"NA",I277/G277),"---")</f>
        <v>NA</v>
      </c>
      <c r="O277" s="794" t="str">
        <f>IF(Start!$C$17="x",(IF(C277="","",(IF(N277="NA","NA",IF(D277="NA","NA",IF(D277=0,"NA",(N277/D277))))))),"Not Req.")</f>
        <v/>
      </c>
    </row>
    <row r="278" spans="1:15" s="10" customFormat="1" x14ac:dyDescent="0.25">
      <c r="A278" s="405" t="s">
        <v>596</v>
      </c>
      <c r="B278" s="868" t="str">
        <f>IF(Start!$C$17="x",(IF($C278="NA","NA",(IF(C278="","",(IF(AND(N278="NA",C278&lt;&gt;"NA",D278&lt;&gt;"NA"),"Missing Data",(IF(OR(D278 = "NA",D278=""),"No Criteria",(IF(N278&lt;D278,IF(OR(I278&lt;D278,ChemData!AA278&lt;&gt;""),"No-1",IF(M278&lt;D278,"No-2","No-3")),"Needed")))))))))),"---")</f>
        <v/>
      </c>
      <c r="C278" s="426" t="str">
        <f>IF(TRUE=ISBLANK(ChemData!B278),"",(ChemData!B278))</f>
        <v/>
      </c>
      <c r="D278" s="289" t="str">
        <f>IF(TRUE=ISBLANK(ChemData!J278),"",(ChemData!J278))</f>
        <v>NA</v>
      </c>
      <c r="E278" s="290">
        <f>IF(TRUE=ISBLANK(ChemData!Q278),"",(ChemData!Q278))</f>
        <v>7368.9637269452323</v>
      </c>
      <c r="F278" s="290">
        <f>IF(TRUE=ISBLANK(ChemData!S278),"",(ChemData!S278))</f>
        <v>1</v>
      </c>
      <c r="G278" s="865">
        <f>IF(OR(TRUE=ISBLANK(ChemData!AA278),ChemData!AA278="NA",ChemData!AA278=0),ChemData!Z278,(ChemData!AA278))</f>
        <v>380653.75265837979</v>
      </c>
      <c r="H278" s="685" t="str">
        <f>IF(Start!$C$17="x",(IF(OR(C278="NA",C278=""),"NA",IF(OR(F278="NA",F278="",F278=0),"NA",C278*F278))),"---")</f>
        <v>NA</v>
      </c>
      <c r="I278" s="376" t="str">
        <f>IF(Start!$C$17="x",(IF($E278 = "NA", "NA", (IF(H278 = "NA", "NA",(IF(OR(ChemData!U278="NA",ChemData!U278=""),H278/((Data!$D$18+$E278*(1-Data!$D$18)*Data!$D$14)/(1000*(1-Data!$D$18)*Data!$D$14)),(IF(H278/((Data!$D$18+$E278*(1-Data!$D$18)*Data!$D$14)/(1000*(1-Data!$D$18)*Data!$D$14))&gt;ChemData!U278, ChemData!U278,H278/((Data!$D$18+$E278*(1-Data!$D$18)*Data!$D$14)/(1000*(1-Data!$D$18)*Data!$D$14)))))))))),"---")</f>
        <v>NA</v>
      </c>
      <c r="J278" s="870" t="str">
        <f>IF(Start!$C$17="x",IF(OR(I278="NA",I278="",ChemData!W278="NA",ChemData!W278=""),"NA",I278/ChemData!W278),"---")</f>
        <v>NA</v>
      </c>
      <c r="K278" s="870" t="str">
        <f>IF(Start!$C$17="x",IF(J278="NA","NA",IF(Data!$D$68&lt;ChemData!X278,J278*(Data!$D$68/ChemData!X278),J278)),"---")</f>
        <v>NA</v>
      </c>
      <c r="L278" s="870" t="str">
        <f>IF(Start!$C$17="x",IF(OR(I278="NA",I278="",ChemData!Z278="NA",ChemData!Z278=""),"NA",I278/ChemData!Z278),"---")</f>
        <v>NA</v>
      </c>
      <c r="M278" s="870" t="str">
        <f>IF(Start!$C$17="x",IF(OR(I278="NA",I278="",ChemData!Y278="NA",ChemData!Y278=""),"NA",I278/ChemData!Y278),"---")</f>
        <v>NA</v>
      </c>
      <c r="N278" s="870" t="str">
        <f>IF(Start!$C$17="x",IF(OR(I278="NA",I278="",G278="NA",G278=""),"NA",I278/G278),"---")</f>
        <v>NA</v>
      </c>
      <c r="O278" s="794" t="str">
        <f>IF(Start!$C$17="x",(IF(C278="","",(IF(N278="NA","NA",IF(D278="NA","NA",IF(D278=0,"NA",(N278/D278))))))),"Not Req.")</f>
        <v/>
      </c>
    </row>
    <row r="279" spans="1:15" s="10" customFormat="1" x14ac:dyDescent="0.25">
      <c r="A279" s="405" t="s">
        <v>597</v>
      </c>
      <c r="B279" s="868" t="str">
        <f>IF(Start!$C$17="x",(IF($C279="NA","NA",(IF(C279="","",(IF(AND(N279="NA",C279&lt;&gt;"NA",D279&lt;&gt;"NA"),"Missing Data",(IF(OR(D279 = "NA",D279=""),"No Criteria",(IF(N279&lt;D279,IF(OR(I279&lt;D279,ChemData!AA279&lt;&gt;""),"No-1",IF(M279&lt;D279,"No-2","No-3")),"Needed")))))))))),"---")</f>
        <v/>
      </c>
      <c r="C279" s="426" t="str">
        <f>IF(TRUE=ISBLANK(ChemData!B279),"",(ChemData!B279))</f>
        <v/>
      </c>
      <c r="D279" s="289" t="str">
        <f>IF(TRUE=ISBLANK(ChemData!J279),"",(ChemData!J279))</f>
        <v>NA</v>
      </c>
      <c r="E279" s="290">
        <f>IF(TRUE=ISBLANK(ChemData!Q279),"",(ChemData!Q279))</f>
        <v>11679.020446328394</v>
      </c>
      <c r="F279" s="290">
        <f>IF(TRUE=ISBLANK(ChemData!S279),"",(ChemData!S279))</f>
        <v>1</v>
      </c>
      <c r="G279" s="865">
        <f>IF(OR(TRUE=ISBLANK(ChemData!AA279),ChemData!AA279="NA",ChemData!AA279=0),ChemData!Z279,(ChemData!AA279))</f>
        <v>748586.87994378177</v>
      </c>
      <c r="H279" s="685" t="str">
        <f>IF(Start!$C$17="x",(IF(OR(C279="NA",C279=""),"NA",IF(OR(F279="NA",F279="",F279=0),"NA",C279*F279))),"---")</f>
        <v>NA</v>
      </c>
      <c r="I279" s="376" t="str">
        <f>IF(Start!$C$17="x",(IF($E279 = "NA", "NA", (IF(H279 = "NA", "NA",(IF(OR(ChemData!U279="NA",ChemData!U279=""),H279/((Data!$D$18+$E279*(1-Data!$D$18)*Data!$D$14)/(1000*(1-Data!$D$18)*Data!$D$14)),(IF(H279/((Data!$D$18+$E279*(1-Data!$D$18)*Data!$D$14)/(1000*(1-Data!$D$18)*Data!$D$14))&gt;ChemData!U279, ChemData!U279,H279/((Data!$D$18+$E279*(1-Data!$D$18)*Data!$D$14)/(1000*(1-Data!$D$18)*Data!$D$14)))))))))),"---")</f>
        <v>NA</v>
      </c>
      <c r="J279" s="870" t="str">
        <f>IF(Start!$C$17="x",IF(OR(I279="NA",I279="",ChemData!W279="NA",ChemData!W279=""),"NA",I279/ChemData!W279),"---")</f>
        <v>NA</v>
      </c>
      <c r="K279" s="870" t="str">
        <f>IF(Start!$C$17="x",IF(J279="NA","NA",IF(Data!$D$68&lt;ChemData!X279,J279*(Data!$D$68/ChemData!X279),J279)),"---")</f>
        <v>NA</v>
      </c>
      <c r="L279" s="870" t="str">
        <f>IF(Start!$C$17="x",IF(OR(I279="NA",I279="",ChemData!Z279="NA",ChemData!Z279=""),"NA",I279/ChemData!Z279),"---")</f>
        <v>NA</v>
      </c>
      <c r="M279" s="870" t="str">
        <f>IF(Start!$C$17="x",IF(OR(I279="NA",I279="",ChemData!Y279="NA",ChemData!Y279=""),"NA",I279/ChemData!Y279),"---")</f>
        <v>NA</v>
      </c>
      <c r="N279" s="870" t="str">
        <f>IF(Start!$C$17="x",IF(OR(I279="NA",I279="",G279="NA",G279=""),"NA",I279/G279),"---")</f>
        <v>NA</v>
      </c>
      <c r="O279" s="794" t="str">
        <f>IF(Start!$C$17="x",(IF(C279="","",(IF(N279="NA","NA",IF(D279="NA","NA",IF(D279=0,"NA",(N279/D279))))))),"Not Req.")</f>
        <v/>
      </c>
    </row>
    <row r="280" spans="1:15" s="10" customFormat="1" x14ac:dyDescent="0.25">
      <c r="A280" s="405" t="s">
        <v>598</v>
      </c>
      <c r="B280" s="868" t="str">
        <f>IF(Start!$C$17="x",(IF($C280="NA","NA",(IF(C280="","",(IF(AND(N280="NA",C280&lt;&gt;"NA",D280&lt;&gt;"NA"),"Missing Data",(IF(OR(D280 = "NA",D280=""),"No Criteria",(IF(N280&lt;D280,IF(OR(I280&lt;D280,ChemData!AA280&lt;&gt;""),"No-1",IF(M280&lt;D280,"No-2","No-3")),"Needed")))))))))),"---")</f>
        <v/>
      </c>
      <c r="C280" s="426" t="str">
        <f>IF(TRUE=ISBLANK(ChemData!B280),"",(ChemData!B280))</f>
        <v/>
      </c>
      <c r="D280" s="289" t="str">
        <f>IF(TRUE=ISBLANK(ChemData!J280),"",(ChemData!J280))</f>
        <v>NA</v>
      </c>
      <c r="E280" s="290">
        <f>IF(TRUE=ISBLANK(ChemData!Q280),"",(ChemData!Q280))</f>
        <v>18510</v>
      </c>
      <c r="F280" s="290">
        <f>IF(TRUE=ISBLANK(ChemData!S280),"",(ChemData!S280))</f>
        <v>1</v>
      </c>
      <c r="G280" s="865">
        <f>IF(OR(TRUE=ISBLANK(ChemData!AA280),ChemData!AA280="NA",ChemData!AA280=0),ChemData!Z280,(ChemData!AA280))</f>
        <v>1472157.6049373213</v>
      </c>
      <c r="H280" s="685" t="str">
        <f>IF(Start!$C$17="x",(IF(OR(C280="NA",C280=""),"NA",IF(OR(F280="NA",F280="",F280=0),"NA",C280*F280))),"---")</f>
        <v>NA</v>
      </c>
      <c r="I280" s="376" t="str">
        <f>IF(Start!$C$17="x",(IF($E280 = "NA", "NA", (IF(H280 = "NA", "NA",(IF(OR(ChemData!U280="NA",ChemData!U280=""),H280/((Data!$D$18+$E280*(1-Data!$D$18)*Data!$D$14)/(1000*(1-Data!$D$18)*Data!$D$14)),(IF(H280/((Data!$D$18+$E280*(1-Data!$D$18)*Data!$D$14)/(1000*(1-Data!$D$18)*Data!$D$14))&gt;ChemData!U280, ChemData!U280,H280/((Data!$D$18+$E280*(1-Data!$D$18)*Data!$D$14)/(1000*(1-Data!$D$18)*Data!$D$14)))))))))),"---")</f>
        <v>NA</v>
      </c>
      <c r="J280" s="870" t="str">
        <f>IF(Start!$C$17="x",IF(OR(I280="NA",I280="",ChemData!W280="NA",ChemData!W280=""),"NA",I280/ChemData!W280),"---")</f>
        <v>NA</v>
      </c>
      <c r="K280" s="870" t="str">
        <f>IF(Start!$C$17="x",IF(J280="NA","NA",IF(Data!$D$68&lt;ChemData!X280,J280*(Data!$D$68/ChemData!X280),J280)),"---")</f>
        <v>NA</v>
      </c>
      <c r="L280" s="870" t="str">
        <f>IF(Start!$C$17="x",IF(OR(I280="NA",I280="",ChemData!Z280="NA",ChemData!Z280=""),"NA",I280/ChemData!Z280),"---")</f>
        <v>NA</v>
      </c>
      <c r="M280" s="870" t="str">
        <f>IF(Start!$C$17="x",IF(OR(I280="NA",I280="",ChemData!Y280="NA",ChemData!Y280=""),"NA",I280/ChemData!Y280),"---")</f>
        <v>NA</v>
      </c>
      <c r="N280" s="870" t="str">
        <f>IF(Start!$C$17="x",IF(OR(I280="NA",I280="",G280="NA",G280=""),"NA",I280/G280),"---")</f>
        <v>NA</v>
      </c>
      <c r="O280" s="794" t="str">
        <f>IF(Start!$C$17="x",(IF(C280="","",(IF(N280="NA","NA",IF(D280="NA","NA",IF(D280=0,"NA",(N280/D280))))))),"Not Req.")</f>
        <v/>
      </c>
    </row>
    <row r="281" spans="1:15" s="10" customFormat="1" x14ac:dyDescent="0.25">
      <c r="A281" s="405" t="s">
        <v>599</v>
      </c>
      <c r="B281" s="868" t="str">
        <f>IF(Start!$C$17="x",(IF($C281="NA","NA",(IF(C281="","",(IF(AND(N281="NA",C281&lt;&gt;"NA",D281&lt;&gt;"NA"),"Missing Data",(IF(OR(D281 = "NA",D281=""),"No Criteria",(IF(N281&lt;D281,IF(OR(I281&lt;D281,ChemData!AA281&lt;&gt;""),"No-1",IF(M281&lt;D281,"No-2","No-3")),"Needed")))))))))),"---")</f>
        <v/>
      </c>
      <c r="C281" s="426" t="str">
        <f>IF(TRUE=ISBLANK(ChemData!B281),"",(ChemData!B281))</f>
        <v/>
      </c>
      <c r="D281" s="289" t="str">
        <f>IF(TRUE=ISBLANK(ChemData!J281),"",(ChemData!J281))</f>
        <v>NA</v>
      </c>
      <c r="E281" s="290">
        <f>IF(TRUE=ISBLANK(ChemData!Q281),"",(ChemData!Q281))</f>
        <v>23302.709372310041</v>
      </c>
      <c r="F281" s="290">
        <f>IF(TRUE=ISBLANK(ChemData!S281),"",(ChemData!S281))</f>
        <v>1</v>
      </c>
      <c r="G281" s="865">
        <f>IF(OR(TRUE=ISBLANK(ChemData!AA281),ChemData!AA281="NA",ChemData!AA281=0),ChemData!Z281,(ChemData!AA281))</f>
        <v>2064478.4534849145</v>
      </c>
      <c r="H281" s="685" t="str">
        <f>IF(Start!$C$17="x",(IF(OR(C281="NA",C281=""),"NA",IF(OR(F281="NA",F281="",F281=0),"NA",C281*F281))),"---")</f>
        <v>NA</v>
      </c>
      <c r="I281" s="376" t="str">
        <f>IF(Start!$C$17="x",(IF($E281 = "NA", "NA", (IF(H281 = "NA", "NA",(IF(OR(ChemData!U281="NA",ChemData!U281=""),H281/((Data!$D$18+$E281*(1-Data!$D$18)*Data!$D$14)/(1000*(1-Data!$D$18)*Data!$D$14)),(IF(H281/((Data!$D$18+$E281*(1-Data!$D$18)*Data!$D$14)/(1000*(1-Data!$D$18)*Data!$D$14))&gt;ChemData!U281, ChemData!U281,H281/((Data!$D$18+$E281*(1-Data!$D$18)*Data!$D$14)/(1000*(1-Data!$D$18)*Data!$D$14)))))))))),"---")</f>
        <v>NA</v>
      </c>
      <c r="J281" s="870" t="str">
        <f>IF(Start!$C$17="x",IF(OR(I281="NA",I281="",ChemData!W281="NA",ChemData!W281=""),"NA",I281/ChemData!W281),"---")</f>
        <v>NA</v>
      </c>
      <c r="K281" s="870" t="str">
        <f>IF(Start!$C$17="x",IF(J281="NA","NA",IF(Data!$D$68&lt;ChemData!X281,J281*(Data!$D$68/ChemData!X281),J281)),"---")</f>
        <v>NA</v>
      </c>
      <c r="L281" s="870" t="str">
        <f>IF(Start!$C$17="x",IF(OR(I281="NA",I281="",ChemData!Z281="NA",ChemData!Z281=""),"NA",I281/ChemData!Z281),"---")</f>
        <v>NA</v>
      </c>
      <c r="M281" s="870" t="str">
        <f>IF(Start!$C$17="x",IF(OR(I281="NA",I281="",ChemData!Y281="NA",ChemData!Y281=""),"NA",I281/ChemData!Y281),"---")</f>
        <v>NA</v>
      </c>
      <c r="N281" s="870" t="str">
        <f>IF(Start!$C$17="x",IF(OR(I281="NA",I281="",G281="NA",G281=""),"NA",I281/G281),"---")</f>
        <v>NA</v>
      </c>
      <c r="O281" s="794" t="str">
        <f>IF(Start!$C$17="x",(IF(C281="","",(IF(N281="NA","NA",IF(D281="NA","NA",IF(D281=0,"NA",(N281/D281))))))),"Not Req.")</f>
        <v/>
      </c>
    </row>
    <row r="282" spans="1:15" s="10" customFormat="1" x14ac:dyDescent="0.25">
      <c r="A282" s="405" t="s">
        <v>600</v>
      </c>
      <c r="B282" s="868" t="str">
        <f>IF(Start!$C$17="x",(IF($C282="NA","NA",(IF(C282="","",(IF(AND(N282="NA",C282&lt;&gt;"NA",D282&lt;&gt;"NA"),"Missing Data",(IF(OR(D282 = "NA",D282=""),"No Criteria",(IF(N282&lt;D282,IF(OR(I282&lt;D282,ChemData!AA282&lt;&gt;""),"No-1",IF(M282&lt;D282,"No-2","No-3")),"Needed")))))))))),"---")</f>
        <v/>
      </c>
      <c r="C282" s="426" t="str">
        <f>IF(TRUE=ISBLANK(ChemData!B282),"",(ChemData!B282))</f>
        <v/>
      </c>
      <c r="D282" s="289" t="str">
        <f>IF(TRUE=ISBLANK(ChemData!J282),"",(ChemData!J282))</f>
        <v>NA</v>
      </c>
      <c r="E282" s="290">
        <f>IF(TRUE=ISBLANK(ChemData!Q282),"",(ChemData!Q282))</f>
        <v>23302.709372310041</v>
      </c>
      <c r="F282" s="290">
        <f>IF(TRUE=ISBLANK(ChemData!S282),"",(ChemData!S282))</f>
        <v>1</v>
      </c>
      <c r="G282" s="865">
        <f>IF(OR(TRUE=ISBLANK(ChemData!AA282),ChemData!AA282="NA",ChemData!AA282=0),ChemData!Z282,(ChemData!AA282))</f>
        <v>2064478.4534849145</v>
      </c>
      <c r="H282" s="685" t="str">
        <f>IF(Start!$C$17="x",(IF(OR(C282="NA",C282=""),"NA",IF(OR(F282="NA",F282="",F282=0),"NA",C282*F282))),"---")</f>
        <v>NA</v>
      </c>
      <c r="I282" s="376" t="str">
        <f>IF(Start!$C$17="x",(IF($E282 = "NA", "NA", (IF(H282 = "NA", "NA",(IF(OR(ChemData!U282="NA",ChemData!U282=""),H282/((Data!$D$18+$E282*(1-Data!$D$18)*Data!$D$14)/(1000*(1-Data!$D$18)*Data!$D$14)),(IF(H282/((Data!$D$18+$E282*(1-Data!$D$18)*Data!$D$14)/(1000*(1-Data!$D$18)*Data!$D$14))&gt;ChemData!U282, ChemData!U282,H282/((Data!$D$18+$E282*(1-Data!$D$18)*Data!$D$14)/(1000*(1-Data!$D$18)*Data!$D$14)))))))))),"---")</f>
        <v>NA</v>
      </c>
      <c r="J282" s="870" t="str">
        <f>IF(Start!$C$17="x",IF(OR(I282="NA",I282="",ChemData!W282="NA",ChemData!W282=""),"NA",I282/ChemData!W282),"---")</f>
        <v>NA</v>
      </c>
      <c r="K282" s="870" t="str">
        <f>IF(Start!$C$17="x",IF(J282="NA","NA",IF(Data!$D$68&lt;ChemData!X282,J282*(Data!$D$68/ChemData!X282),J282)),"---")</f>
        <v>NA</v>
      </c>
      <c r="L282" s="870" t="str">
        <f>IF(Start!$C$17="x",IF(OR(I282="NA",I282="",ChemData!Z282="NA",ChemData!Z282=""),"NA",I282/ChemData!Z282),"---")</f>
        <v>NA</v>
      </c>
      <c r="M282" s="870" t="str">
        <f>IF(Start!$C$17="x",IF(OR(I282="NA",I282="",ChemData!Y282="NA",ChemData!Y282=""),"NA",I282/ChemData!Y282),"---")</f>
        <v>NA</v>
      </c>
      <c r="N282" s="870" t="str">
        <f>IF(Start!$C$17="x",IF(OR(I282="NA",I282="",G282="NA",G282=""),"NA",I282/G282),"---")</f>
        <v>NA</v>
      </c>
      <c r="O282" s="794" t="str">
        <f>IF(Start!$C$17="x",(IF(C282="","",(IF(N282="NA","NA",IF(D282="NA","NA",IF(D282=0,"NA",(N282/D282))))))),"Not Req.")</f>
        <v/>
      </c>
    </row>
    <row r="283" spans="1:15" s="10" customFormat="1" x14ac:dyDescent="0.25">
      <c r="A283" s="405" t="s">
        <v>601</v>
      </c>
      <c r="B283" s="868" t="str">
        <f>IF(Start!$C$17="x",(IF($C283="NA","NA",(IF(C283="","",(IF(AND(N283="NA",C283&lt;&gt;"NA",D283&lt;&gt;"NA"),"Missing Data",(IF(OR(D283 = "NA",D283=""),"No Criteria",(IF(N283&lt;D283,IF(OR(I283&lt;D283,ChemData!AA283&lt;&gt;""),"No-1",IF(M283&lt;D283,"No-2","No-3")),"Needed")))))))))),"---")</f>
        <v/>
      </c>
      <c r="C283" s="426" t="str">
        <f>IF(TRUE=ISBLANK(ChemData!B283),"",(ChemData!B283))</f>
        <v/>
      </c>
      <c r="D283" s="289" t="str">
        <f>IF(TRUE=ISBLANK(ChemData!J283),"",(ChemData!J283))</f>
        <v>NA</v>
      </c>
      <c r="E283" s="290">
        <f>IF(TRUE=ISBLANK(ChemData!Q283),"",(ChemData!Q283))</f>
        <v>11679.020446328394</v>
      </c>
      <c r="F283" s="290">
        <f>IF(TRUE=ISBLANK(ChemData!S283),"",(ChemData!S283))</f>
        <v>1</v>
      </c>
      <c r="G283" s="865">
        <f>IF(OR(TRUE=ISBLANK(ChemData!AA283),ChemData!AA283="NA",ChemData!AA283=0),ChemData!Z283,(ChemData!AA283))</f>
        <v>748586.87994378177</v>
      </c>
      <c r="H283" s="685" t="str">
        <f>IF(Start!$C$17="x",(IF(OR(C283="NA",C283=""),"NA",IF(OR(F283="NA",F283="",F283=0),"NA",C283*F283))),"---")</f>
        <v>NA</v>
      </c>
      <c r="I283" s="376" t="str">
        <f>IF(Start!$C$17="x",(IF($E283 = "NA", "NA", (IF(H283 = "NA", "NA",(IF(OR(ChemData!U283="NA",ChemData!U283=""),H283/((Data!$D$18+$E283*(1-Data!$D$18)*Data!$D$14)/(1000*(1-Data!$D$18)*Data!$D$14)),(IF(H283/((Data!$D$18+$E283*(1-Data!$D$18)*Data!$D$14)/(1000*(1-Data!$D$18)*Data!$D$14))&gt;ChemData!U283, ChemData!U283,H283/((Data!$D$18+$E283*(1-Data!$D$18)*Data!$D$14)/(1000*(1-Data!$D$18)*Data!$D$14)))))))))),"---")</f>
        <v>NA</v>
      </c>
      <c r="J283" s="870" t="str">
        <f>IF(Start!$C$17="x",IF(OR(I283="NA",I283="",ChemData!W283="NA",ChemData!W283=""),"NA",I283/ChemData!W283),"---")</f>
        <v>NA</v>
      </c>
      <c r="K283" s="870" t="str">
        <f>IF(Start!$C$17="x",IF(J283="NA","NA",IF(Data!$D$68&lt;ChemData!X283,J283*(Data!$D$68/ChemData!X283),J283)),"---")</f>
        <v>NA</v>
      </c>
      <c r="L283" s="870" t="str">
        <f>IF(Start!$C$17="x",IF(OR(I283="NA",I283="",ChemData!Z283="NA",ChemData!Z283=""),"NA",I283/ChemData!Z283),"---")</f>
        <v>NA</v>
      </c>
      <c r="M283" s="870" t="str">
        <f>IF(Start!$C$17="x",IF(OR(I283="NA",I283="",ChemData!Y283="NA",ChemData!Y283=""),"NA",I283/ChemData!Y283),"---")</f>
        <v>NA</v>
      </c>
      <c r="N283" s="870" t="str">
        <f>IF(Start!$C$17="x",IF(OR(I283="NA",I283="",G283="NA",G283=""),"NA",I283/G283),"---")</f>
        <v>NA</v>
      </c>
      <c r="O283" s="794" t="str">
        <f>IF(Start!$C$17="x",(IF(C283="","",(IF(N283="NA","NA",IF(D283="NA","NA",IF(D283=0,"NA",(N283/D283))))))),"Not Req.")</f>
        <v/>
      </c>
    </row>
    <row r="284" spans="1:15" s="10" customFormat="1" x14ac:dyDescent="0.25">
      <c r="A284" s="405" t="s">
        <v>602</v>
      </c>
      <c r="B284" s="868" t="str">
        <f>IF(Start!$C$17="x",(IF($C284="NA","NA",(IF(C284="","",(IF(AND(N284="NA",C284&lt;&gt;"NA",D284&lt;&gt;"NA"),"Missing Data",(IF(OR(D284 = "NA",D284=""),"No Criteria",(IF(N284&lt;D284,IF(OR(I284&lt;D284,ChemData!AA284&lt;&gt;""),"No-1",IF(M284&lt;D284,"No-2","No-3")),"Needed")))))))))),"---")</f>
        <v/>
      </c>
      <c r="C284" s="426" t="str">
        <f>IF(TRUE=ISBLANK(ChemData!B284),"",(ChemData!B284))</f>
        <v/>
      </c>
      <c r="D284" s="289" t="str">
        <f>IF(TRUE=ISBLANK(ChemData!J284),"",(ChemData!J284))</f>
        <v>NA</v>
      </c>
      <c r="E284" s="290">
        <f>IF(TRUE=ISBLANK(ChemData!Q284),"",(ChemData!Q284))</f>
        <v>58533.759489716802</v>
      </c>
      <c r="F284" s="290">
        <f>IF(TRUE=ISBLANK(ChemData!S284),"",(ChemData!S284))</f>
        <v>1</v>
      </c>
      <c r="G284" s="865">
        <f>IF(OR(TRUE=ISBLANK(ChemData!AA284),ChemData!AA284="NA",ChemData!AA284=0),ChemData!Z284,(ChemData!AA284))</f>
        <v>7984257.6995547069</v>
      </c>
      <c r="H284" s="685" t="str">
        <f>IF(Start!$C$17="x",(IF(OR(C284="NA",C284=""),"NA",IF(OR(F284="NA",F284="",F284=0),"NA",C284*F284))),"---")</f>
        <v>NA</v>
      </c>
      <c r="I284" s="376" t="str">
        <f>IF(Start!$C$17="x",(IF($E284 = "NA", "NA", (IF(H284 = "NA", "NA",(IF(OR(ChemData!U284="NA",ChemData!U284=""),H284/((Data!$D$18+$E284*(1-Data!$D$18)*Data!$D$14)/(1000*(1-Data!$D$18)*Data!$D$14)),(IF(H284/((Data!$D$18+$E284*(1-Data!$D$18)*Data!$D$14)/(1000*(1-Data!$D$18)*Data!$D$14))&gt;ChemData!U284, ChemData!U284,H284/((Data!$D$18+$E284*(1-Data!$D$18)*Data!$D$14)/(1000*(1-Data!$D$18)*Data!$D$14)))))))))),"---")</f>
        <v>NA</v>
      </c>
      <c r="J284" s="870" t="str">
        <f>IF(Start!$C$17="x",IF(OR(I284="NA",I284="",ChemData!W284="NA",ChemData!W284=""),"NA",I284/ChemData!W284),"---")</f>
        <v>NA</v>
      </c>
      <c r="K284" s="870" t="str">
        <f>IF(Start!$C$17="x",IF(J284="NA","NA",IF(Data!$D$68&lt;ChemData!X284,J284*(Data!$D$68/ChemData!X284),J284)),"---")</f>
        <v>NA</v>
      </c>
      <c r="L284" s="870" t="str">
        <f>IF(Start!$C$17="x",IF(OR(I284="NA",I284="",ChemData!Z284="NA",ChemData!Z284=""),"NA",I284/ChemData!Z284),"---")</f>
        <v>NA</v>
      </c>
      <c r="M284" s="870" t="str">
        <f>IF(Start!$C$17="x",IF(OR(I284="NA",I284="",ChemData!Y284="NA",ChemData!Y284=""),"NA",I284/ChemData!Y284),"---")</f>
        <v>NA</v>
      </c>
      <c r="N284" s="870" t="str">
        <f>IF(Start!$C$17="x",IF(OR(I284="NA",I284="",G284="NA",G284=""),"NA",I284/G284),"---")</f>
        <v>NA</v>
      </c>
      <c r="O284" s="794" t="str">
        <f>IF(Start!$C$17="x",(IF(C284="","",(IF(N284="NA","NA",IF(D284="NA","NA",IF(D284=0,"NA",(N284/D284))))))),"Not Req.")</f>
        <v/>
      </c>
    </row>
    <row r="285" spans="1:15" s="10" customFormat="1" x14ac:dyDescent="0.25">
      <c r="A285" s="405" t="s">
        <v>603</v>
      </c>
      <c r="B285" s="868" t="str">
        <f>IF(Start!$C$17="x",(IF($C285="NA","NA",(IF(C285="","",(IF(AND(N285="NA",C285&lt;&gt;"NA",D285&lt;&gt;"NA"),"Missing Data",(IF(OR(D285 = "NA",D285=""),"No Criteria",(IF(N285&lt;D285,IF(OR(I285&lt;D285,ChemData!AA285&lt;&gt;""),"No-1",IF(M285&lt;D285,"No-2","No-3")),"Needed")))))))))),"---")</f>
        <v/>
      </c>
      <c r="C285" s="426" t="str">
        <f>IF(TRUE=ISBLANK(ChemData!B285),"",(ChemData!B285))</f>
        <v/>
      </c>
      <c r="D285" s="289" t="str">
        <f>IF(TRUE=ISBLANK(ChemData!J285),"",(ChemData!J285))</f>
        <v>NA</v>
      </c>
      <c r="E285" s="290">
        <f>IF(TRUE=ISBLANK(ChemData!Q285),"",(ChemData!Q285))</f>
        <v>58533.759489716802</v>
      </c>
      <c r="F285" s="290">
        <f>IF(TRUE=ISBLANK(ChemData!S285),"",(ChemData!S285))</f>
        <v>1</v>
      </c>
      <c r="G285" s="865">
        <f>IF(OR(TRUE=ISBLANK(ChemData!AA285),ChemData!AA285="NA",ChemData!AA285=0),ChemData!Z285,(ChemData!AA285))</f>
        <v>7984257.6995547069</v>
      </c>
      <c r="H285" s="685" t="str">
        <f>IF(Start!$C$17="x",(IF(OR(C285="NA",C285=""),"NA",IF(OR(F285="NA",F285="",F285=0),"NA",C285*F285))),"---")</f>
        <v>NA</v>
      </c>
      <c r="I285" s="376" t="str">
        <f>IF(Start!$C$17="x",(IF($E285 = "NA", "NA", (IF(H285 = "NA", "NA",(IF(OR(ChemData!U285="NA",ChemData!U285=""),H285/((Data!$D$18+$E285*(1-Data!$D$18)*Data!$D$14)/(1000*(1-Data!$D$18)*Data!$D$14)),(IF(H285/((Data!$D$18+$E285*(1-Data!$D$18)*Data!$D$14)/(1000*(1-Data!$D$18)*Data!$D$14))&gt;ChemData!U285, ChemData!U285,H285/((Data!$D$18+$E285*(1-Data!$D$18)*Data!$D$14)/(1000*(1-Data!$D$18)*Data!$D$14)))))))))),"---")</f>
        <v>NA</v>
      </c>
      <c r="J285" s="870" t="str">
        <f>IF(Start!$C$17="x",IF(OR(I285="NA",I285="",ChemData!W285="NA",ChemData!W285=""),"NA",I285/ChemData!W285),"---")</f>
        <v>NA</v>
      </c>
      <c r="K285" s="870" t="str">
        <f>IF(Start!$C$17="x",IF(J285="NA","NA",IF(Data!$D$68&lt;ChemData!X285,J285*(Data!$D$68/ChemData!X285),J285)),"---")</f>
        <v>NA</v>
      </c>
      <c r="L285" s="870" t="str">
        <f>IF(Start!$C$17="x",IF(OR(I285="NA",I285="",ChemData!Z285="NA",ChemData!Z285=""),"NA",I285/ChemData!Z285),"---")</f>
        <v>NA</v>
      </c>
      <c r="M285" s="870" t="str">
        <f>IF(Start!$C$17="x",IF(OR(I285="NA",I285="",ChemData!Y285="NA",ChemData!Y285=""),"NA",I285/ChemData!Y285),"---")</f>
        <v>NA</v>
      </c>
      <c r="N285" s="870" t="str">
        <f>IF(Start!$C$17="x",IF(OR(I285="NA",I285="",G285="NA",G285=""),"NA",I285/G285),"---")</f>
        <v>NA</v>
      </c>
      <c r="O285" s="794" t="str">
        <f>IF(Start!$C$17="x",(IF(C285="","",(IF(N285="NA","NA",IF(D285="NA","NA",IF(D285=0,"NA",(N285/D285))))))),"Not Req.")</f>
        <v/>
      </c>
    </row>
    <row r="286" spans="1:15" s="10" customFormat="1" x14ac:dyDescent="0.25">
      <c r="A286" s="405" t="s">
        <v>604</v>
      </c>
      <c r="B286" s="868" t="str">
        <f>IF(Start!$C$17="x",(IF($C286="NA","NA",(IF(C286="","",(IF(AND(N286="NA",C286&lt;&gt;"NA",D286&lt;&gt;"NA"),"Missing Data",(IF(OR(D286 = "NA",D286=""),"No Criteria",(IF(N286&lt;D286,IF(OR(I286&lt;D286,ChemData!AA286&lt;&gt;""),"No-1",IF(M286&lt;D286,"No-2","No-3")),"Needed")))))))))),"---")</f>
        <v/>
      </c>
      <c r="C286" s="426" t="str">
        <f>IF(TRUE=ISBLANK(ChemData!B286),"",(ChemData!B286))</f>
        <v/>
      </c>
      <c r="D286" s="289" t="str">
        <f>IF(TRUE=ISBLANK(ChemData!J286),"",(ChemData!J286))</f>
        <v>NA</v>
      </c>
      <c r="E286" s="290">
        <f>IF(TRUE=ISBLANK(ChemData!Q286),"",(ChemData!Q286))</f>
        <v>46495.01784724246</v>
      </c>
      <c r="F286" s="290">
        <f>IF(TRUE=ISBLANK(ChemData!S286),"",(ChemData!S286))</f>
        <v>1</v>
      </c>
      <c r="G286" s="865">
        <f>IF(OR(TRUE=ISBLANK(ChemData!AA286),ChemData!AA286="NA",ChemData!AA286=0),ChemData!Z286,(ChemData!AA286))</f>
        <v>5693489.1581636686</v>
      </c>
      <c r="H286" s="685" t="str">
        <f>IF(Start!$C$17="x",(IF(OR(C286="NA",C286=""),"NA",IF(OR(F286="NA",F286="",F286=0),"NA",C286*F286))),"---")</f>
        <v>NA</v>
      </c>
      <c r="I286" s="376" t="str">
        <f>IF(Start!$C$17="x",(IF($E286 = "NA", "NA", (IF(H286 = "NA", "NA",(IF(OR(ChemData!U286="NA",ChemData!U286=""),H286/((Data!$D$18+$E286*(1-Data!$D$18)*Data!$D$14)/(1000*(1-Data!$D$18)*Data!$D$14)),(IF(H286/((Data!$D$18+$E286*(1-Data!$D$18)*Data!$D$14)/(1000*(1-Data!$D$18)*Data!$D$14))&gt;ChemData!U286, ChemData!U286,H286/((Data!$D$18+$E286*(1-Data!$D$18)*Data!$D$14)/(1000*(1-Data!$D$18)*Data!$D$14)))))))))),"---")</f>
        <v>NA</v>
      </c>
      <c r="J286" s="870" t="str">
        <f>IF(Start!$C$17="x",IF(OR(I286="NA",I286="",ChemData!W286="NA",ChemData!W286=""),"NA",I286/ChemData!W286),"---")</f>
        <v>NA</v>
      </c>
      <c r="K286" s="870" t="str">
        <f>IF(Start!$C$17="x",IF(J286="NA","NA",IF(Data!$D$68&lt;ChemData!X286,J286*(Data!$D$68/ChemData!X286),J286)),"---")</f>
        <v>NA</v>
      </c>
      <c r="L286" s="870" t="str">
        <f>IF(Start!$C$17="x",IF(OR(I286="NA",I286="",ChemData!Z286="NA",ChemData!Z286=""),"NA",I286/ChemData!Z286),"---")</f>
        <v>NA</v>
      </c>
      <c r="M286" s="870" t="str">
        <f>IF(Start!$C$17="x",IF(OR(I286="NA",I286="",ChemData!Y286="NA",ChemData!Y286=""),"NA",I286/ChemData!Y286),"---")</f>
        <v>NA</v>
      </c>
      <c r="N286" s="870" t="str">
        <f>IF(Start!$C$17="x",IF(OR(I286="NA",I286="",G286="NA",G286=""),"NA",I286/G286),"---")</f>
        <v>NA</v>
      </c>
      <c r="O286" s="794" t="str">
        <f>IF(Start!$C$17="x",(IF(C286="","",(IF(N286="NA","NA",IF(D286="NA","NA",IF(D286=0,"NA",(N286/D286))))))),"Not Req.")</f>
        <v/>
      </c>
    </row>
    <row r="287" spans="1:15" s="10" customFormat="1" x14ac:dyDescent="0.25">
      <c r="A287" s="405" t="s">
        <v>605</v>
      </c>
      <c r="B287" s="868" t="str">
        <f>IF(Start!$C$17="x",(IF($C287="NA","NA",(IF(C287="","",(IF(AND(N287="NA",C287&lt;&gt;"NA",D287&lt;&gt;"NA"),"Missing Data",(IF(OR(D287 = "NA",D287=""),"No Criteria",(IF(N287&lt;D287,IF(OR(I287&lt;D287,ChemData!AA287&lt;&gt;""),"No-1",IF(M287&lt;D287,"No-2","No-3")),"Needed")))))))))),"---")</f>
        <v/>
      </c>
      <c r="C287" s="426" t="str">
        <f>IF(TRUE=ISBLANK(ChemData!B287),"",(ChemData!B287))</f>
        <v/>
      </c>
      <c r="D287" s="289" t="str">
        <f>IF(TRUE=ISBLANK(ChemData!J287),"",(ChemData!J287))</f>
        <v>NA</v>
      </c>
      <c r="E287" s="290">
        <f>IF(TRUE=ISBLANK(ChemData!Q287),"",(ChemData!Q287))</f>
        <v>114131.73484456044</v>
      </c>
      <c r="F287" s="290">
        <f>IF(TRUE=ISBLANK(ChemData!S287),"",(ChemData!S287))</f>
        <v>1</v>
      </c>
      <c r="G287" s="865">
        <f>IF(OR(TRUE=ISBLANK(ChemData!AA287),ChemData!AA287="NA",ChemData!AA287=0),ChemData!Z287,(ChemData!AA287))</f>
        <v>21287128.626940329</v>
      </c>
      <c r="H287" s="685" t="str">
        <f>IF(Start!$C$17="x",(IF(OR(C287="NA",C287=""),"NA",IF(OR(F287="NA",F287="",F287=0),"NA",C287*F287))),"---")</f>
        <v>NA</v>
      </c>
      <c r="I287" s="376" t="str">
        <f>IF(Start!$C$17="x",(IF($E287 = "NA", "NA", (IF(H287 = "NA", "NA",(IF(OR(ChemData!U287="NA",ChemData!U287=""),H287/((Data!$D$18+$E287*(1-Data!$D$18)*Data!$D$14)/(1000*(1-Data!$D$18)*Data!$D$14)),(IF(H287/((Data!$D$18+$E287*(1-Data!$D$18)*Data!$D$14)/(1000*(1-Data!$D$18)*Data!$D$14))&gt;ChemData!U287, ChemData!U287,H287/((Data!$D$18+$E287*(1-Data!$D$18)*Data!$D$14)/(1000*(1-Data!$D$18)*Data!$D$14)))))))))),"---")</f>
        <v>NA</v>
      </c>
      <c r="J287" s="870" t="str">
        <f>IF(Start!$C$17="x",IF(OR(I287="NA",I287="",ChemData!W287="NA",ChemData!W287=""),"NA",I287/ChemData!W287),"---")</f>
        <v>NA</v>
      </c>
      <c r="K287" s="870" t="str">
        <f>IF(Start!$C$17="x",IF(J287="NA","NA",IF(Data!$D$68&lt;ChemData!X287,J287*(Data!$D$68/ChemData!X287),J287)),"---")</f>
        <v>NA</v>
      </c>
      <c r="L287" s="870" t="str">
        <f>IF(Start!$C$17="x",IF(OR(I287="NA",I287="",ChemData!Z287="NA",ChemData!Z287=""),"NA",I287/ChemData!Z287),"---")</f>
        <v>NA</v>
      </c>
      <c r="M287" s="870" t="str">
        <f>IF(Start!$C$17="x",IF(OR(I287="NA",I287="",ChemData!Y287="NA",ChemData!Y287=""),"NA",I287/ChemData!Y287),"---")</f>
        <v>NA</v>
      </c>
      <c r="N287" s="870" t="str">
        <f>IF(Start!$C$17="x",IF(OR(I287="NA",I287="",G287="NA",G287=""),"NA",I287/G287),"---")</f>
        <v>NA</v>
      </c>
      <c r="O287" s="794" t="str">
        <f>IF(Start!$C$17="x",(IF(C287="","",(IF(N287="NA","NA",IF(D287="NA","NA",IF(D287=0,"NA",(N287/D287))))))),"Not Req.")</f>
        <v/>
      </c>
    </row>
    <row r="288" spans="1:15" s="10" customFormat="1" x14ac:dyDescent="0.25">
      <c r="A288" s="405" t="s">
        <v>606</v>
      </c>
      <c r="B288" s="868" t="str">
        <f>IF(Start!$C$17="x",(IF($C288="NA","NA",(IF(C288="","",(IF(AND(N288="NA",C288&lt;&gt;"NA",D288&lt;&gt;"NA"),"Missing Data",(IF(OR(D288 = "NA",D288=""),"No Criteria",(IF(N288&lt;D288,IF(OR(I288&lt;D288,ChemData!AA288&lt;&gt;""),"No-1",IF(M288&lt;D288,"No-2","No-3")),"Needed")))))))))),"---")</f>
        <v/>
      </c>
      <c r="C288" s="426" t="str">
        <f>IF(TRUE=ISBLANK(ChemData!B288),"",(ChemData!B288))</f>
        <v/>
      </c>
      <c r="D288" s="289" t="str">
        <f>IF(TRUE=ISBLANK(ChemData!J288),"",(ChemData!J288))</f>
        <v>NA</v>
      </c>
      <c r="E288" s="290">
        <f>IF(TRUE=ISBLANK(ChemData!Q288),"",(ChemData!Q288))</f>
        <v>53383.423122873501</v>
      </c>
      <c r="F288" s="290">
        <f>IF(TRUE=ISBLANK(ChemData!S288),"",(ChemData!S288))</f>
        <v>1</v>
      </c>
      <c r="G288" s="865">
        <f>IF(OR(TRUE=ISBLANK(ChemData!AA288),ChemData!AA288="NA",ChemData!AA288=0),ChemData!Z288,(ChemData!AA288))</f>
        <v>6974163.5327742519</v>
      </c>
      <c r="H288" s="685" t="str">
        <f>IF(Start!$C$17="x",(IF(OR(C288="NA",C288=""),"NA",IF(OR(F288="NA",F288="",F288=0),"NA",C288*F288))),"---")</f>
        <v>NA</v>
      </c>
      <c r="I288" s="376" t="str">
        <f>IF(Start!$C$17="x",(IF($E288 = "NA", "NA", (IF(H288 = "NA", "NA",(IF(OR(ChemData!U288="NA",ChemData!U288=""),H288/((Data!$D$18+$E288*(1-Data!$D$18)*Data!$D$14)/(1000*(1-Data!$D$18)*Data!$D$14)),(IF(H288/((Data!$D$18+$E288*(1-Data!$D$18)*Data!$D$14)/(1000*(1-Data!$D$18)*Data!$D$14))&gt;ChemData!U288, ChemData!U288,H288/((Data!$D$18+$E288*(1-Data!$D$18)*Data!$D$14)/(1000*(1-Data!$D$18)*Data!$D$14)))))))))),"---")</f>
        <v>NA</v>
      </c>
      <c r="J288" s="870" t="str">
        <f>IF(Start!$C$17="x",IF(OR(I288="NA",I288="",ChemData!W288="NA",ChemData!W288=""),"NA",I288/ChemData!W288),"---")</f>
        <v>NA</v>
      </c>
      <c r="K288" s="870" t="str">
        <f>IF(Start!$C$17="x",IF(J288="NA","NA",IF(Data!$D$68&lt;ChemData!X288,J288*(Data!$D$68/ChemData!X288),J288)),"---")</f>
        <v>NA</v>
      </c>
      <c r="L288" s="870" t="str">
        <f>IF(Start!$C$17="x",IF(OR(I288="NA",I288="",ChemData!Z288="NA",ChemData!Z288=""),"NA",I288/ChemData!Z288),"---")</f>
        <v>NA</v>
      </c>
      <c r="M288" s="870" t="str">
        <f>IF(Start!$C$17="x",IF(OR(I288="NA",I288="",ChemData!Y288="NA",ChemData!Y288=""),"NA",I288/ChemData!Y288),"---")</f>
        <v>NA</v>
      </c>
      <c r="N288" s="870" t="str">
        <f>IF(Start!$C$17="x",IF(OR(I288="NA",I288="",G288="NA",G288=""),"NA",I288/G288),"---")</f>
        <v>NA</v>
      </c>
      <c r="O288" s="794" t="str">
        <f>IF(Start!$C$17="x",(IF(C288="","",(IF(N288="NA","NA",IF(D288="NA","NA",IF(D288=0,"NA",(N288/D288))))))),"Not Req.")</f>
        <v/>
      </c>
    </row>
    <row r="289" spans="1:15" s="10" customFormat="1" x14ac:dyDescent="0.25">
      <c r="A289" s="405" t="s">
        <v>607</v>
      </c>
      <c r="B289" s="868" t="str">
        <f>IF(Start!$C$17="x",(IF($C289="NA","NA",(IF(C289="","",(IF(AND(N289="NA",C289&lt;&gt;"NA",D289&lt;&gt;"NA"),"Missing Data",(IF(OR(D289 = "NA",D289=""),"No Criteria",(IF(N289&lt;D289,IF(OR(I289&lt;D289,ChemData!AA289&lt;&gt;""),"No-1",IF(M289&lt;D289,"No-2","No-3")),"Needed")))))))))),"---")</f>
        <v/>
      </c>
      <c r="C289" s="426" t="str">
        <f>IF(TRUE=ISBLANK(ChemData!B289),"",(ChemData!B289))</f>
        <v/>
      </c>
      <c r="D289" s="289" t="str">
        <f>IF(TRUE=ISBLANK(ChemData!J289),"",(ChemData!J289))</f>
        <v>NA</v>
      </c>
      <c r="E289" s="290">
        <f>IF(TRUE=ISBLANK(ChemData!Q289),"",(ChemData!Q289))</f>
        <v>73689.637269452403</v>
      </c>
      <c r="F289" s="290">
        <f>IF(TRUE=ISBLANK(ChemData!S289),"",(ChemData!S289))</f>
        <v>1</v>
      </c>
      <c r="G289" s="865">
        <f>IF(OR(TRUE=ISBLANK(ChemData!AA289),ChemData!AA289="NA",ChemData!AA289=0),ChemData!Z289,(ChemData!AA289))</f>
        <v>11196714.218993893</v>
      </c>
      <c r="H289" s="685" t="str">
        <f>IF(Start!$C$17="x",(IF(OR(C289="NA",C289=""),"NA",IF(OR(F289="NA",F289="",F289=0),"NA",C289*F289))),"---")</f>
        <v>NA</v>
      </c>
      <c r="I289" s="376" t="str">
        <f>IF(Start!$C$17="x",(IF($E289 = "NA", "NA", (IF(H289 = "NA", "NA",(IF(OR(ChemData!U289="NA",ChemData!U289=""),H289/((Data!$D$18+$E289*(1-Data!$D$18)*Data!$D$14)/(1000*(1-Data!$D$18)*Data!$D$14)),(IF(H289/((Data!$D$18+$E289*(1-Data!$D$18)*Data!$D$14)/(1000*(1-Data!$D$18)*Data!$D$14))&gt;ChemData!U289, ChemData!U289,H289/((Data!$D$18+$E289*(1-Data!$D$18)*Data!$D$14)/(1000*(1-Data!$D$18)*Data!$D$14)))))))))),"---")</f>
        <v>NA</v>
      </c>
      <c r="J289" s="870" t="str">
        <f>IF(Start!$C$17="x",IF(OR(I289="NA",I289="",ChemData!W289="NA",ChemData!W289=""),"NA",I289/ChemData!W289),"---")</f>
        <v>NA</v>
      </c>
      <c r="K289" s="870" t="str">
        <f>IF(Start!$C$17="x",IF(J289="NA","NA",IF(Data!$D$68&lt;ChemData!X289,J289*(Data!$D$68/ChemData!X289),J289)),"---")</f>
        <v>NA</v>
      </c>
      <c r="L289" s="870" t="str">
        <f>IF(Start!$C$17="x",IF(OR(I289="NA",I289="",ChemData!Z289="NA",ChemData!Z289=""),"NA",I289/ChemData!Z289),"---")</f>
        <v>NA</v>
      </c>
      <c r="M289" s="870" t="str">
        <f>IF(Start!$C$17="x",IF(OR(I289="NA",I289="",ChemData!Y289="NA",ChemData!Y289=""),"NA",I289/ChemData!Y289),"---")</f>
        <v>NA</v>
      </c>
      <c r="N289" s="870" t="str">
        <f>IF(Start!$C$17="x",IF(OR(I289="NA",I289="",G289="NA",G289=""),"NA",I289/G289),"---")</f>
        <v>NA</v>
      </c>
      <c r="O289" s="794" t="str">
        <f>IF(Start!$C$17="x",(IF(C289="","",(IF(N289="NA","NA",IF(D289="NA","NA",IF(D289=0,"NA",(N289/D289))))))),"Not Req.")</f>
        <v/>
      </c>
    </row>
    <row r="290" spans="1:15" s="10" customFormat="1" x14ac:dyDescent="0.25">
      <c r="A290" s="405" t="s">
        <v>608</v>
      </c>
      <c r="B290" s="868" t="str">
        <f>IF(Start!$C$17="x",(IF($C290="NA","NA",(IF(C290="","",(IF(AND(N290="NA",C290&lt;&gt;"NA",D290&lt;&gt;"NA"),"Missing Data",(IF(OR(D290 = "NA",D290=""),"No Criteria",(IF(N290&lt;D290,IF(OR(I290&lt;D290,ChemData!AA290&lt;&gt;""),"No-1",IF(M290&lt;D290,"No-2","No-3")),"Needed")))))))))),"---")</f>
        <v/>
      </c>
      <c r="C290" s="426" t="str">
        <f>IF(TRUE=ISBLANK(ChemData!B290),"",(ChemData!B290))</f>
        <v/>
      </c>
      <c r="D290" s="289" t="str">
        <f>IF(TRUE=ISBLANK(ChemData!J290),"",(ChemData!J290))</f>
        <v>NA</v>
      </c>
      <c r="E290" s="290">
        <f>IF(TRUE=ISBLANK(ChemData!Q290),"",(ChemData!Q290))</f>
        <v>377925.6935583303</v>
      </c>
      <c r="F290" s="290">
        <f>IF(TRUE=ISBLANK(ChemData!S290),"",(ChemData!S290))</f>
        <v>1</v>
      </c>
      <c r="G290" s="865">
        <f>IF(OR(TRUE=ISBLANK(ChemData!AA290),ChemData!AA290="NA",ChemData!AA290=0),ChemData!Z290,(ChemData!AA290))</f>
        <v>123528888.27556521</v>
      </c>
      <c r="H290" s="685" t="str">
        <f>IF(Start!$C$17="x",(IF(OR(C290="NA",C290=""),"NA",IF(OR(F290="NA",F290="",F290=0),"NA",C290*F290))),"---")</f>
        <v>NA</v>
      </c>
      <c r="I290" s="376" t="str">
        <f>IF(Start!$C$17="x",(IF($E290 = "NA", "NA", (IF(H290 = "NA", "NA",(IF(OR(ChemData!U290="NA",ChemData!U290=""),H290/((Data!$D$18+$E290*(1-Data!$D$18)*Data!$D$14)/(1000*(1-Data!$D$18)*Data!$D$14)),(IF(H290/((Data!$D$18+$E290*(1-Data!$D$18)*Data!$D$14)/(1000*(1-Data!$D$18)*Data!$D$14))&gt;ChemData!U290, ChemData!U290,H290/((Data!$D$18+$E290*(1-Data!$D$18)*Data!$D$14)/(1000*(1-Data!$D$18)*Data!$D$14)))))))))),"---")</f>
        <v>NA</v>
      </c>
      <c r="J290" s="870" t="str">
        <f>IF(Start!$C$17="x",IF(OR(I290="NA",I290="",ChemData!W290="NA",ChemData!W290=""),"NA",I290/ChemData!W290),"---")</f>
        <v>NA</v>
      </c>
      <c r="K290" s="870" t="str">
        <f>IF(Start!$C$17="x",IF(J290="NA","NA",IF(Data!$D$68&lt;ChemData!X290,J290*(Data!$D$68/ChemData!X290),J290)),"---")</f>
        <v>NA</v>
      </c>
      <c r="L290" s="870" t="str">
        <f>IF(Start!$C$17="x",IF(OR(I290="NA",I290="",ChemData!Z290="NA",ChemData!Z290=""),"NA",I290/ChemData!Z290),"---")</f>
        <v>NA</v>
      </c>
      <c r="M290" s="870" t="str">
        <f>IF(Start!$C$17="x",IF(OR(I290="NA",I290="",ChemData!Y290="NA",ChemData!Y290=""),"NA",I290/ChemData!Y290),"---")</f>
        <v>NA</v>
      </c>
      <c r="N290" s="870" t="str">
        <f>IF(Start!$C$17="x",IF(OR(I290="NA",I290="",G290="NA",G290=""),"NA",I290/G290),"---")</f>
        <v>NA</v>
      </c>
      <c r="O290" s="794" t="str">
        <f>IF(Start!$C$17="x",(IF(C290="","",(IF(N290="NA","NA",IF(D290="NA","NA",IF(D290=0,"NA",(N290/D290))))))),"Not Req.")</f>
        <v/>
      </c>
    </row>
    <row r="291" spans="1:15" s="10" customFormat="1" x14ac:dyDescent="0.25">
      <c r="A291" s="405" t="s">
        <v>609</v>
      </c>
      <c r="B291" s="868" t="str">
        <f>IF(Start!$C$17="x",(IF($C291="NA","NA",(IF(C291="","",(IF(AND(N291="NA",C291&lt;&gt;"NA",D291&lt;&gt;"NA"),"Missing Data",(IF(OR(D291 = "NA",D291=""),"No Criteria",(IF(N291&lt;D291,IF(OR(I291&lt;D291,ChemData!AA291&lt;&gt;""),"No-1",IF(M291&lt;D291,"No-2","No-3")),"Needed")))))))))),"---")</f>
        <v/>
      </c>
      <c r="C291" s="426" t="str">
        <f>IF(TRUE=ISBLANK(ChemData!B291),"",(ChemData!B291))</f>
        <v/>
      </c>
      <c r="D291" s="289" t="str">
        <f>IF(TRUE=ISBLANK(ChemData!J291),"",(ChemData!J291))</f>
        <v>NA</v>
      </c>
      <c r="E291" s="290">
        <f>IF(TRUE=ISBLANK(ChemData!Q291),"",(ChemData!Q291))</f>
        <v>94930.64217680179</v>
      </c>
      <c r="F291" s="290">
        <f>IF(TRUE=ISBLANK(ChemData!S291),"",(ChemData!S291))</f>
        <v>1</v>
      </c>
      <c r="G291" s="865">
        <f>IF(OR(TRUE=ISBLANK(ChemData!AA291),ChemData!AA291="NA",ChemData!AA291=0),ChemData!Z291,(ChemData!AA291))</f>
        <v>16241728.488151701</v>
      </c>
      <c r="H291" s="685" t="str">
        <f>IF(Start!$C$17="x",(IF(OR(C291="NA",C291=""),"NA",IF(OR(F291="NA",F291="",F291=0),"NA",C291*F291))),"---")</f>
        <v>NA</v>
      </c>
      <c r="I291" s="376" t="str">
        <f>IF(Start!$C$17="x",(IF($E291 = "NA", "NA", (IF(H291 = "NA", "NA",(IF(OR(ChemData!U291="NA",ChemData!U291=""),H291/((Data!$D$18+$E291*(1-Data!$D$18)*Data!$D$14)/(1000*(1-Data!$D$18)*Data!$D$14)),(IF(H291/((Data!$D$18+$E291*(1-Data!$D$18)*Data!$D$14)/(1000*(1-Data!$D$18)*Data!$D$14))&gt;ChemData!U291, ChemData!U291,H291/((Data!$D$18+$E291*(1-Data!$D$18)*Data!$D$14)/(1000*(1-Data!$D$18)*Data!$D$14)))))))))),"---")</f>
        <v>NA</v>
      </c>
      <c r="J291" s="870" t="str">
        <f>IF(Start!$C$17="x",IF(OR(I291="NA",I291="",ChemData!W291="NA",ChemData!W291=""),"NA",I291/ChemData!W291),"---")</f>
        <v>NA</v>
      </c>
      <c r="K291" s="870" t="str">
        <f>IF(Start!$C$17="x",IF(J291="NA","NA",IF(Data!$D$68&lt;ChemData!X291,J291*(Data!$D$68/ChemData!X291),J291)),"---")</f>
        <v>NA</v>
      </c>
      <c r="L291" s="870" t="str">
        <f>IF(Start!$C$17="x",IF(OR(I291="NA",I291="",ChemData!Z291="NA",ChemData!Z291=""),"NA",I291/ChemData!Z291),"---")</f>
        <v>NA</v>
      </c>
      <c r="M291" s="870" t="str">
        <f>IF(Start!$C$17="x",IF(OR(I291="NA",I291="",ChemData!Y291="NA",ChemData!Y291=""),"NA",I291/ChemData!Y291),"---")</f>
        <v>NA</v>
      </c>
      <c r="N291" s="870" t="str">
        <f>IF(Start!$C$17="x",IF(OR(I291="NA",I291="",G291="NA",G291=""),"NA",I291/G291),"---")</f>
        <v>NA</v>
      </c>
      <c r="O291" s="794" t="str">
        <f>IF(Start!$C$17="x",(IF(C291="","",(IF(N291="NA","NA",IF(D291="NA","NA",IF(D291=0,"NA",(N291/D291))))))),"Not Req.")</f>
        <v/>
      </c>
    </row>
    <row r="292" spans="1:15" s="10" customFormat="1" x14ac:dyDescent="0.25">
      <c r="A292" s="405" t="s">
        <v>610</v>
      </c>
      <c r="B292" s="868" t="str">
        <f>IF(Start!$C$17="x",(IF($C292="NA","NA",(IF(C292="","",(IF(AND(N292="NA",C292&lt;&gt;"NA",D292&lt;&gt;"NA"),"Missing Data",(IF(OR(D292 = "NA",D292=""),"No Criteria",(IF(N292&lt;D292,IF(OR(I292&lt;D292,ChemData!AA292&lt;&gt;""),"No-1",IF(M292&lt;D292,"No-2","No-3")),"Needed")))))))))),"---")</f>
        <v/>
      </c>
      <c r="C292" s="426" t="str">
        <f>IF(TRUE=ISBLANK(ChemData!B292),"",(ChemData!B292))</f>
        <v/>
      </c>
      <c r="D292" s="289" t="str">
        <f>IF(TRUE=ISBLANK(ChemData!J292),"",(ChemData!J292))</f>
        <v>NA</v>
      </c>
      <c r="E292" s="290">
        <f>IF(TRUE=ISBLANK(ChemData!Q292),"",(ChemData!Q292))</f>
        <v>147030.15624746474</v>
      </c>
      <c r="F292" s="290">
        <f>IF(TRUE=ISBLANK(ChemData!S292),"",(ChemData!S292))</f>
        <v>1</v>
      </c>
      <c r="G292" s="865">
        <f>IF(OR(TRUE=ISBLANK(ChemData!AA292),ChemData!AA292="NA",ChemData!AA292=0),ChemData!Z292,(ChemData!AA292))</f>
        <v>30878680.717296388</v>
      </c>
      <c r="H292" s="685" t="str">
        <f>IF(Start!$C$17="x",(IF(OR(C292="NA",C292=""),"NA",IF(OR(F292="NA",F292="",F292=0),"NA",C292*F292))),"---")</f>
        <v>NA</v>
      </c>
      <c r="I292" s="376" t="str">
        <f>IF(Start!$C$17="x",(IF($E292 = "NA", "NA", (IF(H292 = "NA", "NA",(IF(OR(ChemData!U292="NA",ChemData!U292=""),H292/((Data!$D$18+$E292*(1-Data!$D$18)*Data!$D$14)/(1000*(1-Data!$D$18)*Data!$D$14)),(IF(H292/((Data!$D$18+$E292*(1-Data!$D$18)*Data!$D$14)/(1000*(1-Data!$D$18)*Data!$D$14))&gt;ChemData!U292, ChemData!U292,H292/((Data!$D$18+$E292*(1-Data!$D$18)*Data!$D$14)/(1000*(1-Data!$D$18)*Data!$D$14)))))))))),"---")</f>
        <v>NA</v>
      </c>
      <c r="J292" s="870" t="str">
        <f>IF(Start!$C$17="x",IF(OR(I292="NA",I292="",ChemData!W292="NA",ChemData!W292=""),"NA",I292/ChemData!W292),"---")</f>
        <v>NA</v>
      </c>
      <c r="K292" s="870" t="str">
        <f>IF(Start!$C$17="x",IF(J292="NA","NA",IF(Data!$D$68&lt;ChemData!X292,J292*(Data!$D$68/ChemData!X292),J292)),"---")</f>
        <v>NA</v>
      </c>
      <c r="L292" s="870" t="str">
        <f>IF(Start!$C$17="x",IF(OR(I292="NA",I292="",ChemData!Z292="NA",ChemData!Z292=""),"NA",I292/ChemData!Z292),"---")</f>
        <v>NA</v>
      </c>
      <c r="M292" s="870" t="str">
        <f>IF(Start!$C$17="x",IF(OR(I292="NA",I292="",ChemData!Y292="NA",ChemData!Y292=""),"NA",I292/ChemData!Y292),"---")</f>
        <v>NA</v>
      </c>
      <c r="N292" s="870" t="str">
        <f>IF(Start!$C$17="x",IF(OR(I292="NA",I292="",G292="NA",G292=""),"NA",I292/G292),"---")</f>
        <v>NA</v>
      </c>
      <c r="O292" s="794" t="str">
        <f>IF(Start!$C$17="x",(IF(C292="","",(IF(N292="NA","NA",IF(D292="NA","NA",IF(D292=0,"NA",(N292/D292))))))),"Not Req.")</f>
        <v/>
      </c>
    </row>
    <row r="293" spans="1:15" s="10" customFormat="1" x14ac:dyDescent="0.25">
      <c r="A293" s="405" t="s">
        <v>611</v>
      </c>
      <c r="B293" s="868" t="str">
        <f>IF(Start!$C$17="x",(IF($C293="NA","NA",(IF(C293="","",(IF(AND(N293="NA",C293&lt;&gt;"NA",D293&lt;&gt;"NA"),"Missing Data",(IF(OR(D293 = "NA",D293=""),"No Criteria",(IF(N293&lt;D293,IF(OR(I293&lt;D293,ChemData!AA293&lt;&gt;""),"No-1",IF(M293&lt;D293,"No-2","No-3")),"Needed")))))))))),"---")</f>
        <v/>
      </c>
      <c r="C293" s="426" t="str">
        <f>IF(TRUE=ISBLANK(ChemData!B293),"",(ChemData!B293))</f>
        <v/>
      </c>
      <c r="D293" s="289" t="str">
        <f>IF(TRUE=ISBLANK(ChemData!J293),"",(ChemData!J293))</f>
        <v>NA</v>
      </c>
      <c r="E293" s="290">
        <f>IF(TRUE=ISBLANK(ChemData!Q293),"",(ChemData!Q293))</f>
        <v>128057.91271709518</v>
      </c>
      <c r="F293" s="290">
        <f>IF(TRUE=ISBLANK(ChemData!S293),"",(ChemData!S293))</f>
        <v>1</v>
      </c>
      <c r="G293" s="865">
        <f>IF(OR(TRUE=ISBLANK(ChemData!AA293),ChemData!AA293="NA",ChemData!AA293=0),ChemData!Z293,(ChemData!AA293))</f>
        <v>25208389.946140174</v>
      </c>
      <c r="H293" s="685" t="str">
        <f>IF(Start!$C$17="x",(IF(OR(C293="NA",C293=""),"NA",IF(OR(F293="NA",F293="",F293=0),"NA",C293*F293))),"---")</f>
        <v>NA</v>
      </c>
      <c r="I293" s="376" t="str">
        <f>IF(Start!$C$17="x",(IF($E293 = "NA", "NA", (IF(H293 = "NA", "NA",(IF(OR(ChemData!U293="NA",ChemData!U293=""),H293/((Data!$D$18+$E293*(1-Data!$D$18)*Data!$D$14)/(1000*(1-Data!$D$18)*Data!$D$14)),(IF(H293/((Data!$D$18+$E293*(1-Data!$D$18)*Data!$D$14)/(1000*(1-Data!$D$18)*Data!$D$14))&gt;ChemData!U293, ChemData!U293,H293/((Data!$D$18+$E293*(1-Data!$D$18)*Data!$D$14)/(1000*(1-Data!$D$18)*Data!$D$14)))))))))),"---")</f>
        <v>NA</v>
      </c>
      <c r="J293" s="870" t="str">
        <f>IF(Start!$C$17="x",IF(OR(I293="NA",I293="",ChemData!W293="NA",ChemData!W293=""),"NA",I293/ChemData!W293),"---")</f>
        <v>NA</v>
      </c>
      <c r="K293" s="870" t="str">
        <f>IF(Start!$C$17="x",IF(J293="NA","NA",IF(Data!$D$68&lt;ChemData!X293,J293*(Data!$D$68/ChemData!X293),J293)),"---")</f>
        <v>NA</v>
      </c>
      <c r="L293" s="870" t="str">
        <f>IF(Start!$C$17="x",IF(OR(I293="NA",I293="",ChemData!Z293="NA",ChemData!Z293=""),"NA",I293/ChemData!Z293),"---")</f>
        <v>NA</v>
      </c>
      <c r="M293" s="870" t="str">
        <f>IF(Start!$C$17="x",IF(OR(I293="NA",I293="",ChemData!Y293="NA",ChemData!Y293=""),"NA",I293/ChemData!Y293),"---")</f>
        <v>NA</v>
      </c>
      <c r="N293" s="870" t="str">
        <f>IF(Start!$C$17="x",IF(OR(I293="NA",I293="",G293="NA",G293=""),"NA",I293/G293),"---")</f>
        <v>NA</v>
      </c>
      <c r="O293" s="794" t="str">
        <f>IF(Start!$C$17="x",(IF(C293="","",(IF(N293="NA","NA",IF(D293="NA","NA",IF(D293=0,"NA",(N293/D293))))))),"Not Req.")</f>
        <v/>
      </c>
    </row>
    <row r="294" spans="1:15" s="10" customFormat="1" x14ac:dyDescent="0.25">
      <c r="A294" s="405" t="s">
        <v>612</v>
      </c>
      <c r="B294" s="868" t="str">
        <f>IF(Start!$C$17="x",(IF($C294="NA","NA",(IF(C294="","",(IF(AND(N294="NA",C294&lt;&gt;"NA",D294&lt;&gt;"NA"),"Missing Data",(IF(OR(D294 = "NA",D294=""),"No Criteria",(IF(N294&lt;D294,IF(OR(I294&lt;D294,ChemData!AA294&lt;&gt;""),"No-1",IF(M294&lt;D294,"No-2","No-3")),"Needed")))))))))),"---")</f>
        <v/>
      </c>
      <c r="C294" s="426" t="str">
        <f>IF(TRUE=ISBLANK(ChemData!B294),"",(ChemData!B294))</f>
        <v/>
      </c>
      <c r="D294" s="289" t="str">
        <f>IF(TRUE=ISBLANK(ChemData!J294),"",(ChemData!J294))</f>
        <v>NA</v>
      </c>
      <c r="E294" s="290">
        <f>IF(TRUE=ISBLANK(ChemData!Q294),"",(ChemData!Q294))</f>
        <v>212523.23533907303</v>
      </c>
      <c r="F294" s="290">
        <f>IF(TRUE=ISBLANK(ChemData!S294),"",(ChemData!S294))</f>
        <v>1</v>
      </c>
      <c r="G294" s="865">
        <f>IF(OR(TRUE=ISBLANK(ChemData!AA294),ChemData!AA294="NA",ChemData!AA294=0),ChemData!Z294,(ChemData!AA294))</f>
        <v>53043040.86132592</v>
      </c>
      <c r="H294" s="685" t="str">
        <f>IF(Start!$C$17="x",(IF(OR(C294="NA",C294=""),"NA",IF(OR(F294="NA",F294="",F294=0),"NA",C294*F294))),"---")</f>
        <v>NA</v>
      </c>
      <c r="I294" s="376" t="str">
        <f>IF(Start!$C$17="x",(IF($E294 = "NA", "NA", (IF(H294 = "NA", "NA",(IF(OR(ChemData!U294="NA",ChemData!U294=""),H294/((Data!$D$18+$E294*(1-Data!$D$18)*Data!$D$14)/(1000*(1-Data!$D$18)*Data!$D$14)),(IF(H294/((Data!$D$18+$E294*(1-Data!$D$18)*Data!$D$14)/(1000*(1-Data!$D$18)*Data!$D$14))&gt;ChemData!U294, ChemData!U294,H294/((Data!$D$18+$E294*(1-Data!$D$18)*Data!$D$14)/(1000*(1-Data!$D$18)*Data!$D$14)))))))))),"---")</f>
        <v>NA</v>
      </c>
      <c r="J294" s="870" t="str">
        <f>IF(Start!$C$17="x",IF(OR(I294="NA",I294="",ChemData!W294="NA",ChemData!W294=""),"NA",I294/ChemData!W294),"---")</f>
        <v>NA</v>
      </c>
      <c r="K294" s="870" t="str">
        <f>IF(Start!$C$17="x",IF(J294="NA","NA",IF(Data!$D$68&lt;ChemData!X294,J294*(Data!$D$68/ChemData!X294),J294)),"---")</f>
        <v>NA</v>
      </c>
      <c r="L294" s="870" t="str">
        <f>IF(Start!$C$17="x",IF(OR(I294="NA",I294="",ChemData!Z294="NA",ChemData!Z294=""),"NA",I294/ChemData!Z294),"---")</f>
        <v>NA</v>
      </c>
      <c r="M294" s="870" t="str">
        <f>IF(Start!$C$17="x",IF(OR(I294="NA",I294="",ChemData!Y294="NA",ChemData!Y294=""),"NA",I294/ChemData!Y294),"---")</f>
        <v>NA</v>
      </c>
      <c r="N294" s="870" t="str">
        <f>IF(Start!$C$17="x",IF(OR(I294="NA",I294="",G294="NA",G294=""),"NA",I294/G294),"---")</f>
        <v>NA</v>
      </c>
      <c r="O294" s="794" t="str">
        <f>IF(Start!$C$17="x",(IF(C294="","",(IF(N294="NA","NA",IF(D294="NA","NA",IF(D294=0,"NA",(N294/D294))))))),"Not Req.")</f>
        <v/>
      </c>
    </row>
    <row r="295" spans="1:15" s="10" customFormat="1" x14ac:dyDescent="0.25">
      <c r="A295" s="405" t="s">
        <v>613</v>
      </c>
      <c r="B295" s="868" t="str">
        <f>IF(Start!$C$17="x",(IF($C295="NA","NA",(IF(C295="","",(IF(AND(N295="NA",C295&lt;&gt;"NA",D295&lt;&gt;"NA"),"Missing Data",(IF(OR(D295 = "NA",D295=""),"No Criteria",(IF(N295&lt;D295,IF(OR(I295&lt;D295,ChemData!AA295&lt;&gt;""),"No-1",IF(M295&lt;D295,"No-2","No-3")),"Needed")))))))))),"---")</f>
        <v/>
      </c>
      <c r="C295" s="426" t="str">
        <f>IF(TRUE=ISBLANK(ChemData!B295),"",(ChemData!B295))</f>
        <v/>
      </c>
      <c r="D295" s="289" t="str">
        <f>IF(TRUE=ISBLANK(ChemData!J295),"",(ChemData!J295))</f>
        <v>NA</v>
      </c>
      <c r="E295" s="290">
        <f>IF(TRUE=ISBLANK(ChemData!Q295),"",(ChemData!Q295))</f>
        <v>227722.74947737175</v>
      </c>
      <c r="F295" s="290">
        <f>IF(TRUE=ISBLANK(ChemData!S295),"",(ChemData!S295))</f>
        <v>1</v>
      </c>
      <c r="G295" s="865">
        <f>IF(OR(TRUE=ISBLANK(ChemData!AA295),ChemData!AA295="NA",ChemData!AA295=0),ChemData!Z295,(ChemData!AA295))</f>
        <v>58706370.047763228</v>
      </c>
      <c r="H295" s="685" t="str">
        <f>IF(Start!$C$17="x",(IF(OR(C295="NA",C295=""),"NA",IF(OR(F295="NA",F295="",F295=0),"NA",C295*F295))),"---")</f>
        <v>NA</v>
      </c>
      <c r="I295" s="376" t="str">
        <f>IF(Start!$C$17="x",(IF($E295 = "NA", "NA", (IF(H295 = "NA", "NA",(IF(OR(ChemData!U295="NA",ChemData!U295=""),H295/((Data!$D$18+$E295*(1-Data!$D$18)*Data!$D$14)/(1000*(1-Data!$D$18)*Data!$D$14)),(IF(H295/((Data!$D$18+$E295*(1-Data!$D$18)*Data!$D$14)/(1000*(1-Data!$D$18)*Data!$D$14))&gt;ChemData!U295, ChemData!U295,H295/((Data!$D$18+$E295*(1-Data!$D$18)*Data!$D$14)/(1000*(1-Data!$D$18)*Data!$D$14)))))))))),"---")</f>
        <v>NA</v>
      </c>
      <c r="J295" s="870" t="str">
        <f>IF(Start!$C$17="x",IF(OR(I295="NA",I295="",ChemData!W295="NA",ChemData!W295=""),"NA",I295/ChemData!W295),"---")</f>
        <v>NA</v>
      </c>
      <c r="K295" s="870" t="str">
        <f>IF(Start!$C$17="x",IF(J295="NA","NA",IF(Data!$D$68&lt;ChemData!X295,J295*(Data!$D$68/ChemData!X295),J295)),"---")</f>
        <v>NA</v>
      </c>
      <c r="L295" s="870" t="str">
        <f>IF(Start!$C$17="x",IF(OR(I295="NA",I295="",ChemData!Z295="NA",ChemData!Z295=""),"NA",I295/ChemData!Z295),"---")</f>
        <v>NA</v>
      </c>
      <c r="M295" s="870" t="str">
        <f>IF(Start!$C$17="x",IF(OR(I295="NA",I295="",ChemData!Y295="NA",ChemData!Y295=""),"NA",I295/ChemData!Y295),"---")</f>
        <v>NA</v>
      </c>
      <c r="N295" s="870" t="str">
        <f>IF(Start!$C$17="x",IF(OR(I295="NA",I295="",G295="NA",G295=""),"NA",I295/G295),"---")</f>
        <v>NA</v>
      </c>
      <c r="O295" s="794" t="str">
        <f>IF(Start!$C$17="x",(IF(C295="","",(IF(N295="NA","NA",IF(D295="NA","NA",IF(D295=0,"NA",(N295/D295))))))),"Not Req.")</f>
        <v/>
      </c>
    </row>
    <row r="296" spans="1:15" s="10" customFormat="1" x14ac:dyDescent="0.25">
      <c r="A296" s="405" t="s">
        <v>614</v>
      </c>
      <c r="B296" s="868" t="str">
        <f>IF(Start!$C$17="x",(IF($C296="NA","NA",(IF(C296="","",(IF(AND(N296="NA",C296&lt;&gt;"NA",D296&lt;&gt;"NA"),"Missing Data",(IF(OR(D296 = "NA",D296=""),"No Criteria",(IF(N296&lt;D296,IF(OR(I296&lt;D296,ChemData!AA296&lt;&gt;""),"No-1",IF(M296&lt;D296,"No-2","No-3")),"Needed")))))))))),"---")</f>
        <v/>
      </c>
      <c r="C296" s="426" t="str">
        <f>IF(TRUE=ISBLANK(ChemData!B296),"",(ChemData!B296))</f>
        <v/>
      </c>
      <c r="D296" s="289" t="str">
        <f>IF(TRUE=ISBLANK(ChemData!J296),"",(ChemData!J296))</f>
        <v>NA</v>
      </c>
      <c r="E296" s="290">
        <f>IF(TRUE=ISBLANK(ChemData!Q296),"",(ChemData!Q296))</f>
        <v>273782.96264993591</v>
      </c>
      <c r="F296" s="290">
        <f>IF(TRUE=ISBLANK(ChemData!S296),"",(ChemData!S296))</f>
        <v>1</v>
      </c>
      <c r="G296" s="865">
        <f>IF(OR(TRUE=ISBLANK(ChemData!AA296),ChemData!AA296="NA",ChemData!AA296=0),ChemData!Z296,(ChemData!AA296))</f>
        <v>76943168.415796742</v>
      </c>
      <c r="H296" s="685" t="str">
        <f>IF(Start!$C$17="x",(IF(OR(C296="NA",C296=""),"NA",IF(OR(F296="NA",F296="",F296=0),"NA",C296*F296))),"---")</f>
        <v>NA</v>
      </c>
      <c r="I296" s="376" t="str">
        <f>IF(Start!$C$17="x",(IF($E296 = "NA", "NA", (IF(H296 = "NA", "NA",(IF(OR(ChemData!U296="NA",ChemData!U296=""),H296/((Data!$D$18+$E296*(1-Data!$D$18)*Data!$D$14)/(1000*(1-Data!$D$18)*Data!$D$14)),(IF(H296/((Data!$D$18+$E296*(1-Data!$D$18)*Data!$D$14)/(1000*(1-Data!$D$18)*Data!$D$14))&gt;ChemData!U296, ChemData!U296,H296/((Data!$D$18+$E296*(1-Data!$D$18)*Data!$D$14)/(1000*(1-Data!$D$18)*Data!$D$14)))))))))),"---")</f>
        <v>NA</v>
      </c>
      <c r="J296" s="870" t="str">
        <f>IF(Start!$C$17="x",IF(OR(I296="NA",I296="",ChemData!W296="NA",ChemData!W296=""),"NA",I296/ChemData!W296),"---")</f>
        <v>NA</v>
      </c>
      <c r="K296" s="870" t="str">
        <f>IF(Start!$C$17="x",IF(J296="NA","NA",IF(Data!$D$68&lt;ChemData!X296,J296*(Data!$D$68/ChemData!X296),J296)),"---")</f>
        <v>NA</v>
      </c>
      <c r="L296" s="870" t="str">
        <f>IF(Start!$C$17="x",IF(OR(I296="NA",I296="",ChemData!Z296="NA",ChemData!Z296=""),"NA",I296/ChemData!Z296),"---")</f>
        <v>NA</v>
      </c>
      <c r="M296" s="870" t="str">
        <f>IF(Start!$C$17="x",IF(OR(I296="NA",I296="",ChemData!Y296="NA",ChemData!Y296=""),"NA",I296/ChemData!Y296),"---")</f>
        <v>NA</v>
      </c>
      <c r="N296" s="870" t="str">
        <f>IF(Start!$C$17="x",IF(OR(I296="NA",I296="",G296="NA",G296=""),"NA",I296/G296),"---")</f>
        <v>NA</v>
      </c>
      <c r="O296" s="794" t="str">
        <f>IF(Start!$C$17="x",(IF(C296="","",(IF(N296="NA","NA",IF(D296="NA","NA",IF(D296=0,"NA",(N296/D296))))))),"Not Req.")</f>
        <v/>
      </c>
    </row>
    <row r="297" spans="1:15" s="10" customFormat="1" x14ac:dyDescent="0.25">
      <c r="A297" s="486" t="s">
        <v>615</v>
      </c>
      <c r="B297" s="868" t="str">
        <f>IF(Start!$C$17="x",(IF($C297="NA","NA",(IF(C297="","",(IF(AND(N297="NA",C297&lt;&gt;"NA",D297&lt;&gt;"NA"),"Missing Data",(IF(OR(D297 = "NA",D297=""),"No Criteria",(IF(N297&lt;D297,IF(OR(I297&lt;D297,ChemData!AA297&lt;&gt;""),"No-1",IF(M297&lt;D297,"No-2","No-3")),"Needed")))))))))),"---")</f>
        <v/>
      </c>
      <c r="C297" s="426" t="str">
        <f>IF(TRUE=ISBLANK(ChemData!B297),"",(ChemData!B297))</f>
        <v/>
      </c>
      <c r="D297" s="289" t="str">
        <f>IF(TRUE=ISBLANK(ChemData!J297),"",(ChemData!J297))</f>
        <v>NA</v>
      </c>
      <c r="E297" s="290">
        <f>IF(TRUE=ISBLANK(ChemData!Q297),"",(ChemData!Q297))</f>
        <v>198338.22339948098</v>
      </c>
      <c r="F297" s="290">
        <f>IF(TRUE=ISBLANK(ChemData!S297),"",(ChemData!S297))</f>
        <v>1</v>
      </c>
      <c r="G297" s="865">
        <f>IF(OR(TRUE=ISBLANK(ChemData!AA297),ChemData!AA297="NA",ChemData!AA297=0),ChemData!Z297,(ChemData!AA297))</f>
        <v>47926045.870783418</v>
      </c>
      <c r="H297" s="685" t="str">
        <f>IF(Start!$C$17="x",(IF(OR(C297="NA",C297=""),"NA",IF(OR(F297="NA",F297="",F297=0),"NA",C297*F297))),"---")</f>
        <v>NA</v>
      </c>
      <c r="I297" s="376" t="str">
        <f>IF(Start!$C$17="x",(IF($E297 = "NA", "NA", (IF(H297 = "NA", "NA",(IF(OR(ChemData!U297="NA",ChemData!U297=""),H297/((Data!$D$18+$E297*(1-Data!$D$18)*Data!$D$14)/(1000*(1-Data!$D$18)*Data!$D$14)),(IF(H297/((Data!$D$18+$E297*(1-Data!$D$18)*Data!$D$14)/(1000*(1-Data!$D$18)*Data!$D$14))&gt;ChemData!U297, ChemData!U297,H297/((Data!$D$18+$E297*(1-Data!$D$18)*Data!$D$14)/(1000*(1-Data!$D$18)*Data!$D$14)))))))))),"---")</f>
        <v>NA</v>
      </c>
      <c r="J297" s="870" t="str">
        <f>IF(Start!$C$17="x",IF(OR(I297="NA",I297="",ChemData!W297="NA",ChemData!W297=""),"NA",I297/ChemData!W297),"---")</f>
        <v>NA</v>
      </c>
      <c r="K297" s="870" t="str">
        <f>IF(Start!$C$17="x",IF(J297="NA","NA",IF(Data!$D$68&lt;ChemData!X297,J297*(Data!$D$68/ChemData!X297),J297)),"---")</f>
        <v>NA</v>
      </c>
      <c r="L297" s="870" t="str">
        <f>IF(Start!$C$17="x",IF(OR(I297="NA",I297="",ChemData!Z297="NA",ChemData!Z297=""),"NA",I297/ChemData!Z297),"---")</f>
        <v>NA</v>
      </c>
      <c r="M297" s="870" t="str">
        <f>IF(Start!$C$17="x",IF(OR(I297="NA",I297="",ChemData!Y297="NA",ChemData!Y297=""),"NA",I297/ChemData!Y297),"---")</f>
        <v>NA</v>
      </c>
      <c r="N297" s="870" t="str">
        <f>IF(Start!$C$17="x",IF(OR(I297="NA",I297="",G297="NA",G297=""),"NA",I297/G297),"---")</f>
        <v>NA</v>
      </c>
      <c r="O297" s="794" t="str">
        <f>IF(Start!$C$17="x",(IF(C297="","",(IF(N297="NA","NA",IF(D297="NA","NA",IF(D297=0,"NA",(N297/D297))))))),"Not Req.")</f>
        <v/>
      </c>
    </row>
    <row r="298" spans="1:15" s="10" customFormat="1" x14ac:dyDescent="0.25">
      <c r="A298" s="405" t="s">
        <v>616</v>
      </c>
      <c r="B298" s="868" t="str">
        <f>IF(Start!$C$17="x",(IF($C298="NA","NA",(IF(C298="","",(IF(AND(N298="NA",C298&lt;&gt;"NA",D298&lt;&gt;"NA"),"Missing Data",(IF(OR(D298 = "NA",D298=""),"No Criteria",(IF(N298&lt;D298,IF(OR(I298&lt;D298,ChemData!AA298&lt;&gt;""),"No-1",IF(M298&lt;D298,"No-2","No-3")),"Needed")))))))))),"---")</f>
        <v/>
      </c>
      <c r="C298" s="426" t="str">
        <f>IF(TRUE=ISBLANK(ChemData!B298),"",(ChemData!B298))</f>
        <v/>
      </c>
      <c r="D298" s="289" t="str">
        <f>IF(TRUE=ISBLANK(ChemData!J298),"",(ChemData!J298))</f>
        <v>NA</v>
      </c>
      <c r="E298" s="290">
        <f>IF(TRUE=ISBLANK(ChemData!Q298),"",(ChemData!Q298))</f>
        <v>99404.5855081341</v>
      </c>
      <c r="F298" s="290">
        <f>IF(TRUE=ISBLANK(ChemData!S298),"",(ChemData!S298))</f>
        <v>1</v>
      </c>
      <c r="G298" s="865">
        <f>IF(OR(TRUE=ISBLANK(ChemData!AA298),ChemData!AA298="NA",ChemData!AA298=0),ChemData!Z298,(ChemData!AA298))</f>
        <v>17378146.565729994</v>
      </c>
      <c r="H298" s="685" t="str">
        <f>IF(Start!$C$17="x",(IF(OR(C298="NA",C298=""),"NA",IF(OR(F298="NA",F298="",F298=0),"NA",C298*F298))),"---")</f>
        <v>NA</v>
      </c>
      <c r="I298" s="376" t="str">
        <f>IF(Start!$C$17="x",(IF($E298 = "NA", "NA", (IF(H298 = "NA", "NA",(IF(OR(ChemData!U298="NA",ChemData!U298=""),H298/((Data!$D$18+$E298*(1-Data!$D$18)*Data!$D$14)/(1000*(1-Data!$D$18)*Data!$D$14)),(IF(H298/((Data!$D$18+$E298*(1-Data!$D$18)*Data!$D$14)/(1000*(1-Data!$D$18)*Data!$D$14))&gt;ChemData!U298, ChemData!U298,H298/((Data!$D$18+$E298*(1-Data!$D$18)*Data!$D$14)/(1000*(1-Data!$D$18)*Data!$D$14)))))))))),"---")</f>
        <v>NA</v>
      </c>
      <c r="J298" s="870" t="str">
        <f>IF(Start!$C$17="x",IF(OR(I298="NA",I298="",ChemData!W298="NA",ChemData!W298=""),"NA",I298/ChemData!W298),"---")</f>
        <v>NA</v>
      </c>
      <c r="K298" s="870" t="str">
        <f>IF(Start!$C$17="x",IF(J298="NA","NA",IF(Data!$D$68&lt;ChemData!X298,J298*(Data!$D$68/ChemData!X298),J298)),"---")</f>
        <v>NA</v>
      </c>
      <c r="L298" s="870" t="str">
        <f>IF(Start!$C$17="x",IF(OR(I298="NA",I298="",ChemData!Z298="NA",ChemData!Z298=""),"NA",I298/ChemData!Z298),"---")</f>
        <v>NA</v>
      </c>
      <c r="M298" s="870" t="str">
        <f>IF(Start!$C$17="x",IF(OR(I298="NA",I298="",ChemData!Y298="NA",ChemData!Y298=""),"NA",I298/ChemData!Y298),"---")</f>
        <v>NA</v>
      </c>
      <c r="N298" s="870" t="str">
        <f>IF(Start!$C$17="x",IF(OR(I298="NA",I298="",G298="NA",G298=""),"NA",I298/G298),"---")</f>
        <v>NA</v>
      </c>
      <c r="O298" s="794" t="str">
        <f>IF(Start!$C$17="x",(IF(C298="","",(IF(N298="NA","NA",IF(D298="NA","NA",IF(D298=0,"NA",(N298/D298))))))),"Not Req.")</f>
        <v/>
      </c>
    </row>
    <row r="299" spans="1:15" s="10" customFormat="1" x14ac:dyDescent="0.25">
      <c r="A299" s="405" t="s">
        <v>617</v>
      </c>
      <c r="B299" s="868" t="str">
        <f>IF(Start!$C$17="x",(IF($C299="NA","NA",(IF(C299="","",(IF(AND(N299="NA",C299&lt;&gt;"NA",D299&lt;&gt;"NA"),"Missing Data",(IF(OR(D299 = "NA",D299=""),"No Criteria",(IF(N299&lt;D299,IF(OR(I299&lt;D299,ChemData!AA299&lt;&gt;""),"No-1",IF(M299&lt;D299,"No-2","No-3")),"Needed")))))))))),"---")</f>
        <v/>
      </c>
      <c r="C299" s="426" t="str">
        <f>IF(TRUE=ISBLANK(ChemData!B299),"",(ChemData!B299))</f>
        <v/>
      </c>
      <c r="D299" s="289" t="str">
        <f>IF(TRUE=ISBLANK(ChemData!J299),"",(ChemData!J299))</f>
        <v>NA</v>
      </c>
      <c r="E299" s="290">
        <f>IF(TRUE=ISBLANK(ChemData!Q299),"",(ChemData!Q299))</f>
        <v>189411.5328711677</v>
      </c>
      <c r="F299" s="290">
        <f>IF(TRUE=ISBLANK(ChemData!S299),"",(ChemData!S299))</f>
        <v>1</v>
      </c>
      <c r="G299" s="865">
        <f>IF(OR(TRUE=ISBLANK(ChemData!AA299),ChemData!AA299="NA",ChemData!AA299=0),ChemData!Z299,(ChemData!AA299))</f>
        <v>44791993.300309211</v>
      </c>
      <c r="H299" s="685" t="str">
        <f>IF(Start!$C$17="x",(IF(OR(C299="NA",C299=""),"NA",IF(OR(F299="NA",F299="",F299=0),"NA",C299*F299))),"---")</f>
        <v>NA</v>
      </c>
      <c r="I299" s="376" t="str">
        <f>IF(Start!$C$17="x",(IF($E299 = "NA", "NA", (IF(H299 = "NA", "NA",(IF(OR(ChemData!U299="NA",ChemData!U299=""),H299/((Data!$D$18+$E299*(1-Data!$D$18)*Data!$D$14)/(1000*(1-Data!$D$18)*Data!$D$14)),(IF(H299/((Data!$D$18+$E299*(1-Data!$D$18)*Data!$D$14)/(1000*(1-Data!$D$18)*Data!$D$14))&gt;ChemData!U299, ChemData!U299,H299/((Data!$D$18+$E299*(1-Data!$D$18)*Data!$D$14)/(1000*(1-Data!$D$18)*Data!$D$14)))))))))),"---")</f>
        <v>NA</v>
      </c>
      <c r="J299" s="870" t="str">
        <f>IF(Start!$C$17="x",IF(OR(I299="NA",I299="",ChemData!W299="NA",ChemData!W299=""),"NA",I299/ChemData!W299),"---")</f>
        <v>NA</v>
      </c>
      <c r="K299" s="870" t="str">
        <f>IF(Start!$C$17="x",IF(J299="NA","NA",IF(Data!$D$68&lt;ChemData!X299,J299*(Data!$D$68/ChemData!X299),J299)),"---")</f>
        <v>NA</v>
      </c>
      <c r="L299" s="870" t="str">
        <f>IF(Start!$C$17="x",IF(OR(I299="NA",I299="",ChemData!Z299="NA",ChemData!Z299=""),"NA",I299/ChemData!Z299),"---")</f>
        <v>NA</v>
      </c>
      <c r="M299" s="870" t="str">
        <f>IF(Start!$C$17="x",IF(OR(I299="NA",I299="",ChemData!Y299="NA",ChemData!Y299=""),"NA",I299/ChemData!Y299),"---")</f>
        <v>NA</v>
      </c>
      <c r="N299" s="870" t="str">
        <f>IF(Start!$C$17="x",IF(OR(I299="NA",I299="",G299="NA",G299=""),"NA",I299/G299),"---")</f>
        <v>NA</v>
      </c>
      <c r="O299" s="794" t="str">
        <f>IF(Start!$C$17="x",(IF(C299="","",(IF(N299="NA","NA",IF(D299="NA","NA",IF(D299=0,"NA",(N299/D299))))))),"Not Req.")</f>
        <v/>
      </c>
    </row>
    <row r="300" spans="1:15" s="10" customFormat="1" x14ac:dyDescent="0.25">
      <c r="A300" s="405" t="s">
        <v>618</v>
      </c>
      <c r="B300" s="868" t="str">
        <f>IF(Start!$C$17="x",(IF($C300="NA","NA",(IF(C300="","",(IF(AND(N300="NA",C300&lt;&gt;"NA",D300&lt;&gt;"NA"),"Missing Data",(IF(OR(D300 = "NA",D300=""),"No Criteria",(IF(N300&lt;D300,IF(OR(I300&lt;D300,ChemData!AA300&lt;&gt;""),"No-1",IF(M300&lt;D300,"No-2","No-3")),"Needed")))))))))),"---")</f>
        <v/>
      </c>
      <c r="C300" s="426" t="str">
        <f>IF(TRUE=ISBLANK(ChemData!B300),"",(ChemData!B300))</f>
        <v/>
      </c>
      <c r="D300" s="289" t="str">
        <f>IF(TRUE=ISBLANK(ChemData!J300),"",(ChemData!J300))</f>
        <v>NA</v>
      </c>
      <c r="E300" s="290">
        <f>IF(TRUE=ISBLANK(ChemData!Q300),"",(ChemData!Q300))</f>
        <v>404954.67659306258</v>
      </c>
      <c r="F300" s="290">
        <f>IF(TRUE=ISBLANK(ChemData!S300),"",(ChemData!S300))</f>
        <v>1</v>
      </c>
      <c r="G300" s="865">
        <f>IF(OR(TRUE=ISBLANK(ChemData!AA300),ChemData!AA300="NA",ChemData!AA300=0),ChemData!Z300,(ChemData!AA300))</f>
        <v>136717890.01790753</v>
      </c>
      <c r="H300" s="685" t="str">
        <f>IF(Start!$C$17="x",(IF(OR(C300="NA",C300=""),"NA",IF(OR(F300="NA",F300="",F300=0),"NA",C300*F300))),"---")</f>
        <v>NA</v>
      </c>
      <c r="I300" s="376" t="str">
        <f>IF(Start!$C$17="x",(IF($E300 = "NA", "NA", (IF(H300 = "NA", "NA",(IF(OR(ChemData!U300="NA",ChemData!U300=""),H300/((Data!$D$18+$E300*(1-Data!$D$18)*Data!$D$14)/(1000*(1-Data!$D$18)*Data!$D$14)),(IF(H300/((Data!$D$18+$E300*(1-Data!$D$18)*Data!$D$14)/(1000*(1-Data!$D$18)*Data!$D$14))&gt;ChemData!U300, ChemData!U300,H300/((Data!$D$18+$E300*(1-Data!$D$18)*Data!$D$14)/(1000*(1-Data!$D$18)*Data!$D$14)))))))))),"---")</f>
        <v>NA</v>
      </c>
      <c r="J300" s="870" t="str">
        <f>IF(Start!$C$17="x",IF(OR(I300="NA",I300="",ChemData!W300="NA",ChemData!W300=""),"NA",I300/ChemData!W300),"---")</f>
        <v>NA</v>
      </c>
      <c r="K300" s="870" t="str">
        <f>IF(Start!$C$17="x",IF(J300="NA","NA",IF(Data!$D$68&lt;ChemData!X300,J300*(Data!$D$68/ChemData!X300),J300)),"---")</f>
        <v>NA</v>
      </c>
      <c r="L300" s="870" t="str">
        <f>IF(Start!$C$17="x",IF(OR(I300="NA",I300="",ChemData!Z300="NA",ChemData!Z300=""),"NA",I300/ChemData!Z300),"---")</f>
        <v>NA</v>
      </c>
      <c r="M300" s="870" t="str">
        <f>IF(Start!$C$17="x",IF(OR(I300="NA",I300="",ChemData!Y300="NA",ChemData!Y300=""),"NA",I300/ChemData!Y300),"---")</f>
        <v>NA</v>
      </c>
      <c r="N300" s="870" t="str">
        <f>IF(Start!$C$17="x",IF(OR(I300="NA",I300="",G300="NA",G300=""),"NA",I300/G300),"---")</f>
        <v>NA</v>
      </c>
      <c r="O300" s="794" t="str">
        <f>IF(Start!$C$17="x",(IF(C300="","",(IF(N300="NA","NA",IF(D300="NA","NA",IF(D300=0,"NA",(N300/D300))))))),"Not Req.")</f>
        <v/>
      </c>
    </row>
    <row r="301" spans="1:15" s="10" customFormat="1" x14ac:dyDescent="0.25">
      <c r="A301" s="405" t="s">
        <v>619</v>
      </c>
      <c r="B301" s="868" t="str">
        <f>IF(Start!$C$17="x",(IF($C301="NA","NA",(IF(C301="","",(IF(AND(N301="NA",C301&lt;&gt;"NA",D301&lt;&gt;"NA"),"Missing Data",(IF(OR(D301 = "NA",D301=""),"No Criteria",(IF(N301&lt;D301,IF(OR(I301&lt;D301,ChemData!AA301&lt;&gt;""),"No-1",IF(M301&lt;D301,"No-2","No-3")),"Needed")))))))))),"---")</f>
        <v/>
      </c>
      <c r="C301" s="426" t="str">
        <f>IF(TRUE=ISBLANK(ChemData!B301),"",(ChemData!B301))</f>
        <v/>
      </c>
      <c r="D301" s="289" t="str">
        <f>IF(TRUE=ISBLANK(ChemData!J301),"",(ChemData!J301))</f>
        <v>NA</v>
      </c>
      <c r="E301" s="290">
        <f>IF(TRUE=ISBLANK(ChemData!Q301),"",(ChemData!Q301))</f>
        <v>293363.72992455278</v>
      </c>
      <c r="F301" s="290">
        <f>IF(TRUE=ISBLANK(ChemData!S301),"",(ChemData!S301))</f>
        <v>1</v>
      </c>
      <c r="G301" s="865">
        <f>IF(OR(TRUE=ISBLANK(ChemData!AA301),ChemData!AA301="NA",ChemData!AA301=0),ChemData!Z301,(ChemData!AA301))</f>
        <v>85158279.848140419</v>
      </c>
      <c r="H301" s="685" t="str">
        <f>IF(Start!$C$17="x",(IF(OR(C301="NA",C301=""),"NA",IF(OR(F301="NA",F301="",F301=0),"NA",C301*F301))),"---")</f>
        <v>NA</v>
      </c>
      <c r="I301" s="376" t="str">
        <f>IF(Start!$C$17="x",(IF($E301 = "NA", "NA", (IF(H301 = "NA", "NA",(IF(OR(ChemData!U301="NA",ChemData!U301=""),H301/((Data!$D$18+$E301*(1-Data!$D$18)*Data!$D$14)/(1000*(1-Data!$D$18)*Data!$D$14)),(IF(H301/((Data!$D$18+$E301*(1-Data!$D$18)*Data!$D$14)/(1000*(1-Data!$D$18)*Data!$D$14))&gt;ChemData!U301, ChemData!U301,H301/((Data!$D$18+$E301*(1-Data!$D$18)*Data!$D$14)/(1000*(1-Data!$D$18)*Data!$D$14)))))))))),"---")</f>
        <v>NA</v>
      </c>
      <c r="J301" s="870" t="str">
        <f>IF(Start!$C$17="x",IF(OR(I301="NA",I301="",ChemData!W301="NA",ChemData!W301=""),"NA",I301/ChemData!W301),"---")</f>
        <v>NA</v>
      </c>
      <c r="K301" s="870" t="str">
        <f>IF(Start!$C$17="x",IF(J301="NA","NA",IF(Data!$D$68&lt;ChemData!X301,J301*(Data!$D$68/ChemData!X301),J301)),"---")</f>
        <v>NA</v>
      </c>
      <c r="L301" s="870" t="str">
        <f>IF(Start!$C$17="x",IF(OR(I301="NA",I301="",ChemData!Z301="NA",ChemData!Z301=""),"NA",I301/ChemData!Z301),"---")</f>
        <v>NA</v>
      </c>
      <c r="M301" s="870" t="str">
        <f>IF(Start!$C$17="x",IF(OR(I301="NA",I301="",ChemData!Y301="NA",ChemData!Y301=""),"NA",I301/ChemData!Y301),"---")</f>
        <v>NA</v>
      </c>
      <c r="N301" s="870" t="str">
        <f>IF(Start!$C$17="x",IF(OR(I301="NA",I301="",G301="NA",G301=""),"NA",I301/G301),"---")</f>
        <v>NA</v>
      </c>
      <c r="O301" s="794" t="str">
        <f>IF(Start!$C$17="x",(IF(C301="","",(IF(N301="NA","NA",IF(D301="NA","NA",IF(D301=0,"NA",(N301/D301))))))),"Not Req.")</f>
        <v/>
      </c>
    </row>
    <row r="302" spans="1:15" s="10" customFormat="1" x14ac:dyDescent="0.25">
      <c r="A302" s="405" t="s">
        <v>620</v>
      </c>
      <c r="B302" s="868" t="str">
        <f>IF(Start!$C$17="x",(IF($C302="NA","NA",(IF(C302="","",(IF(AND(N302="NA",C302&lt;&gt;"NA",D302&lt;&gt;"NA"),"Missing Data",(IF(OR(D302 = "NA",D302=""),"No Criteria",(IF(N302&lt;D302,IF(OR(I302&lt;D302,ChemData!AA302&lt;&gt;""),"No-1",IF(M302&lt;D302,"No-2","No-3")),"Needed")))))))))),"---")</f>
        <v/>
      </c>
      <c r="C302" s="426" t="str">
        <f>IF(TRUE=ISBLANK(ChemData!B302),"",(ChemData!B302))</f>
        <v/>
      </c>
      <c r="D302" s="289" t="str">
        <f>IF(TRUE=ISBLANK(ChemData!J302),"",(ChemData!J302))</f>
        <v>NA</v>
      </c>
      <c r="E302" s="290">
        <f>IF(TRUE=ISBLANK(ChemData!Q302),"",(ChemData!Q302))</f>
        <v>3368266.2892870889</v>
      </c>
      <c r="F302" s="290">
        <f>IF(TRUE=ISBLANK(ChemData!S302),"",(ChemData!S302))</f>
        <v>1</v>
      </c>
      <c r="G302" s="865">
        <f>IF(OR(TRUE=ISBLANK(ChemData!AA302),ChemData!AA302="NA",ChemData!AA302=0),ChemData!Z302,(ChemData!AA302))</f>
        <v>3068322374.2592778</v>
      </c>
      <c r="H302" s="685" t="str">
        <f>IF(Start!$C$17="x",(IF(OR(C302="NA",C302=""),"NA",IF(OR(F302="NA",F302="",F302=0),"NA",C302*F302))),"---")</f>
        <v>NA</v>
      </c>
      <c r="I302" s="376" t="str">
        <f>IF(Start!$C$17="x",(IF($E302 = "NA", "NA", (IF(H302 = "NA", "NA",(IF(OR(ChemData!U302="NA",ChemData!U302=""),H302/((Data!$D$18+$E302*(1-Data!$D$18)*Data!$D$14)/(1000*(1-Data!$D$18)*Data!$D$14)),(IF(H302/((Data!$D$18+$E302*(1-Data!$D$18)*Data!$D$14)/(1000*(1-Data!$D$18)*Data!$D$14))&gt;ChemData!U302, ChemData!U302,H302/((Data!$D$18+$E302*(1-Data!$D$18)*Data!$D$14)/(1000*(1-Data!$D$18)*Data!$D$14)))))))))),"---")</f>
        <v>NA</v>
      </c>
      <c r="J302" s="870" t="str">
        <f>IF(Start!$C$17="x",IF(OR(I302="NA",I302="",ChemData!W302="NA",ChemData!W302=""),"NA",I302/ChemData!W302),"---")</f>
        <v>NA</v>
      </c>
      <c r="K302" s="870" t="str">
        <f>IF(Start!$C$17="x",IF(J302="NA","NA",IF(Data!$D$68&lt;ChemData!X302,J302*(Data!$D$68/ChemData!X302),J302)),"---")</f>
        <v>NA</v>
      </c>
      <c r="L302" s="870" t="str">
        <f>IF(Start!$C$17="x",IF(OR(I302="NA",I302="",ChemData!Z302="NA",ChemData!Z302=""),"NA",I302/ChemData!Z302),"---")</f>
        <v>NA</v>
      </c>
      <c r="M302" s="870" t="str">
        <f>IF(Start!$C$17="x",IF(OR(I302="NA",I302="",ChemData!Y302="NA",ChemData!Y302=""),"NA",I302/ChemData!Y302),"---")</f>
        <v>NA</v>
      </c>
      <c r="N302" s="870" t="str">
        <f>IF(Start!$C$17="x",IF(OR(I302="NA",I302="",G302="NA",G302=""),"NA",I302/G302),"---")</f>
        <v>NA</v>
      </c>
      <c r="O302" s="794" t="str">
        <f>IF(Start!$C$17="x",(IF(C302="","",(IF(N302="NA","NA",IF(D302="NA","NA",IF(D302=0,"NA",(N302/D302))))))),"Not Req.")</f>
        <v/>
      </c>
    </row>
    <row r="303" spans="1:15" s="10" customFormat="1" x14ac:dyDescent="0.25">
      <c r="A303" s="405" t="s">
        <v>621</v>
      </c>
      <c r="B303" s="868" t="str">
        <f>IF(Start!$C$17="x",(IF($C303="NA","NA",(IF(C303="","",(IF(AND(N303="NA",C303&lt;&gt;"NA",D303&lt;&gt;"NA"),"Missing Data",(IF(OR(D303 = "NA",D303=""),"No Criteria",(IF(N303&lt;D303,IF(OR(I303&lt;D303,ChemData!AA303&lt;&gt;""),"No-1",IF(M303&lt;D303,"No-2","No-3")),"Needed")))))))))),"---")</f>
        <v/>
      </c>
      <c r="C303" s="426" t="str">
        <f>IF(TRUE=ISBLANK(ChemData!B303),"",(ChemData!B303))</f>
        <v/>
      </c>
      <c r="D303" s="289" t="str">
        <f>IF(TRUE=ISBLANK(ChemData!J303),"",(ChemData!J303))</f>
        <v>NA</v>
      </c>
      <c r="E303" s="290">
        <f>IF(TRUE=ISBLANK(ChemData!Q303),"",(ChemData!Q303))</f>
        <v>7037.3057258936005</v>
      </c>
      <c r="F303" s="290">
        <f>IF(TRUE=ISBLANK(ChemData!S303),"",(ChemData!S303))</f>
        <v>1</v>
      </c>
      <c r="G303" s="865">
        <f>IF(OR(TRUE=ISBLANK(ChemData!AA303),ChemData!AA303="NA",ChemData!AA303=0),ChemData!Z303,(ChemData!AA303))</f>
        <v>355761.46600497875</v>
      </c>
      <c r="H303" s="685" t="str">
        <f>IF(Start!$C$17="x",(IF(OR(C303="NA",C303=""),"NA",IF(OR(F303="NA",F303="",F303=0),"NA",C303*F303))),"---")</f>
        <v>NA</v>
      </c>
      <c r="I303" s="376" t="str">
        <f>IF(Start!$C$17="x",(IF($E303 = "NA", "NA", (IF(H303 = "NA", "NA",(IF(OR(ChemData!U303="NA",ChemData!U303=""),H303/((Data!$D$18+$E303*(1-Data!$D$18)*Data!$D$14)/(1000*(1-Data!$D$18)*Data!$D$14)),(IF(H303/((Data!$D$18+$E303*(1-Data!$D$18)*Data!$D$14)/(1000*(1-Data!$D$18)*Data!$D$14))&gt;ChemData!U303, ChemData!U303,H303/((Data!$D$18+$E303*(1-Data!$D$18)*Data!$D$14)/(1000*(1-Data!$D$18)*Data!$D$14)))))))))),"---")</f>
        <v>NA</v>
      </c>
      <c r="J303" s="870" t="str">
        <f>IF(Start!$C$17="x",IF(OR(I303="NA",I303="",ChemData!W303="NA",ChemData!W303=""),"NA",I303/ChemData!W303),"---")</f>
        <v>NA</v>
      </c>
      <c r="K303" s="870" t="str">
        <f>IF(Start!$C$17="x",IF(J303="NA","NA",IF(Data!$D$68&lt;ChemData!X303,J303*(Data!$D$68/ChemData!X303),J303)),"---")</f>
        <v>NA</v>
      </c>
      <c r="L303" s="870" t="str">
        <f>IF(Start!$C$17="x",IF(OR(I303="NA",I303="",ChemData!Z303="NA",ChemData!Z303=""),"NA",I303/ChemData!Z303),"---")</f>
        <v>NA</v>
      </c>
      <c r="M303" s="870" t="str">
        <f>IF(Start!$C$17="x",IF(OR(I303="NA",I303="",ChemData!Y303="NA",ChemData!Y303=""),"NA",I303/ChemData!Y303),"---")</f>
        <v>NA</v>
      </c>
      <c r="N303" s="870" t="str">
        <f>IF(Start!$C$17="x",IF(OR(I303="NA",I303="",G303="NA",G303=""),"NA",I303/G303),"---")</f>
        <v>NA</v>
      </c>
      <c r="O303" s="794" t="str">
        <f>IF(Start!$C$17="x",(IF(C303="","",(IF(N303="NA","NA",IF(D303="NA","NA",IF(D303=0,"NA",(N303/D303))))))),"Not Req.")</f>
        <v/>
      </c>
    </row>
    <row r="304" spans="1:15" s="10" customFormat="1" x14ac:dyDescent="0.25">
      <c r="A304" s="405" t="s">
        <v>622</v>
      </c>
      <c r="B304" s="868" t="str">
        <f>IF(Start!$C$17="x",(IF($C304="NA","NA",(IF(C304="","",(IF(AND(N304="NA",C304&lt;&gt;"NA",D304&lt;&gt;"NA"),"Missing Data",(IF(OR(D304 = "NA",D304=""),"No Criteria",(IF(N304&lt;D304,IF(OR(I304&lt;D304,ChemData!AA304&lt;&gt;""),"No-1",IF(M304&lt;D304,"No-2","No-3")),"Needed")))))))))),"---")</f>
        <v/>
      </c>
      <c r="C304" s="426" t="str">
        <f>IF(TRUE=ISBLANK(ChemData!B304),"",(ChemData!B304))</f>
        <v/>
      </c>
      <c r="D304" s="289">
        <f>IF(TRUE=ISBLANK(ChemData!J304),"",(ChemData!J304))</f>
        <v>0.28000000000000003</v>
      </c>
      <c r="E304" s="290">
        <f>IF(TRUE=ISBLANK(ChemData!Q304),"",(ChemData!Q304))</f>
        <v>222.53914684768353</v>
      </c>
      <c r="F304" s="290">
        <f>IF(TRUE=ISBLANK(ChemData!S304),"",(ChemData!S304))</f>
        <v>1</v>
      </c>
      <c r="G304" s="865">
        <f>IF(OR(TRUE=ISBLANK(ChemData!AA304),ChemData!AA304="NA",ChemData!AA304=0),ChemData!Z304,(ChemData!AA304))</f>
        <v>2230.06842742256</v>
      </c>
      <c r="H304" s="685" t="str">
        <f>IF(Start!$C$17="x",(IF(OR(C304="NA",C304=""),"NA",IF(OR(F304="NA",F304="",F304=0),"NA",C304*F304))),"---")</f>
        <v>NA</v>
      </c>
      <c r="I304" s="376" t="str">
        <f>IF(Start!$C$17="x",(IF($E304 = "NA", "NA", (IF(H304 = "NA", "NA",(IF(OR(ChemData!U304="NA",ChemData!U304=""),H304/((Data!$D$18+$E304*(1-Data!$D$18)*Data!$D$14)/(1000*(1-Data!$D$18)*Data!$D$14)),(IF(H304/((Data!$D$18+$E304*(1-Data!$D$18)*Data!$D$14)/(1000*(1-Data!$D$18)*Data!$D$14))&gt;ChemData!U304, ChemData!U304,H304/((Data!$D$18+$E304*(1-Data!$D$18)*Data!$D$14)/(1000*(1-Data!$D$18)*Data!$D$14)))))))))),"---")</f>
        <v>NA</v>
      </c>
      <c r="J304" s="870" t="str">
        <f>IF(Start!$C$17="x",IF(OR(I304="NA",I304="",ChemData!W304="NA",ChemData!W304=""),"NA",I304/ChemData!W304),"---")</f>
        <v>NA</v>
      </c>
      <c r="K304" s="870" t="str">
        <f>IF(Start!$C$17="x",IF(J304="NA","NA",IF(Data!$D$68&lt;ChemData!X304,J304*(Data!$D$68/ChemData!X304),J304)),"---")</f>
        <v>NA</v>
      </c>
      <c r="L304" s="870" t="str">
        <f>IF(Start!$C$17="x",IF(OR(I304="NA",I304="",ChemData!Z304="NA",ChemData!Z304=""),"NA",I304/ChemData!Z304),"---")</f>
        <v>NA</v>
      </c>
      <c r="M304" s="870" t="str">
        <f>IF(Start!$C$17="x",IF(OR(I304="NA",I304="",ChemData!Y304="NA",ChemData!Y304=""),"NA",I304/ChemData!Y304),"---")</f>
        <v>NA</v>
      </c>
      <c r="N304" s="870" t="str">
        <f>IF(Start!$C$17="x",IF(OR(I304="NA",I304="",G304="NA",G304=""),"NA",I304/G304),"---")</f>
        <v>NA</v>
      </c>
      <c r="O304" s="794" t="str">
        <f>IF(Start!$C$17="x",(IF(C304="","",(IF(N304="NA","NA",IF(D304="NA","NA",IF(D304=0,"NA",(N304/D304))))))),"Not Req.")</f>
        <v/>
      </c>
    </row>
    <row r="305" spans="1:15" s="10" customFormat="1" x14ac:dyDescent="0.25">
      <c r="A305" s="405" t="s">
        <v>623</v>
      </c>
      <c r="B305" s="868" t="str">
        <f>IF(Start!$C$17="x",(IF($C305="NA","NA",(IF(C305="","",(IF(AND(N305="NA",C305&lt;&gt;"NA",D305&lt;&gt;"NA"),"Missing Data",(IF(OR(D305 = "NA",D305=""),"No Criteria",(IF(N305&lt;D305,IF(OR(I305&lt;D305,ChemData!AA305&lt;&gt;""),"No-1",IF(M305&lt;D305,"No-2","No-3")),"Needed")))))))))),"---")</f>
        <v/>
      </c>
      <c r="C305" s="426" t="str">
        <f>IF(TRUE=ISBLANK(ChemData!B305),"",(ChemData!B305))</f>
        <v/>
      </c>
      <c r="D305" s="289">
        <f>IF(TRUE=ISBLANK(ChemData!J305),"",(ChemData!J305))</f>
        <v>0.57999999999999996</v>
      </c>
      <c r="E305" s="290">
        <f>IF(TRUE=ISBLANK(ChemData!Q305),"",(ChemData!Q305))</f>
        <v>29.336372992455249</v>
      </c>
      <c r="F305" s="290">
        <f>IF(TRUE=ISBLANK(ChemData!S305),"",(ChemData!S305))</f>
        <v>1</v>
      </c>
      <c r="G305" s="865">
        <f>IF(OR(TRUE=ISBLANK(ChemData!AA305),ChemData!AA305="NA",ChemData!AA305=0),ChemData!Z305,(ChemData!AA305))</f>
        <v>113.75879118734548</v>
      </c>
      <c r="H305" s="685" t="str">
        <f>IF(Start!$C$17="x",(IF(OR(C305="NA",C305=""),"NA",IF(OR(F305="NA",F305="",F305=0),"NA",C305*F305))),"---")</f>
        <v>NA</v>
      </c>
      <c r="I305" s="376" t="str">
        <f>IF(Start!$C$17="x",(IF($E305 = "NA", "NA", (IF(H305 = "NA", "NA",(IF(OR(ChemData!U305="NA",ChemData!U305=""),H305/((Data!$D$18+$E305*(1-Data!$D$18)*Data!$D$14)/(1000*(1-Data!$D$18)*Data!$D$14)),(IF(H305/((Data!$D$18+$E305*(1-Data!$D$18)*Data!$D$14)/(1000*(1-Data!$D$18)*Data!$D$14))&gt;ChemData!U305, ChemData!U305,H305/((Data!$D$18+$E305*(1-Data!$D$18)*Data!$D$14)/(1000*(1-Data!$D$18)*Data!$D$14)))))))))),"---")</f>
        <v>NA</v>
      </c>
      <c r="J305" s="870" t="str">
        <f>IF(Start!$C$17="x",IF(OR(I305="NA",I305="",ChemData!W305="NA",ChemData!W305=""),"NA",I305/ChemData!W305),"---")</f>
        <v>NA</v>
      </c>
      <c r="K305" s="870" t="str">
        <f>IF(Start!$C$17="x",IF(J305="NA","NA",IF(Data!$D$68&lt;ChemData!X305,J305*(Data!$D$68/ChemData!X305),J305)),"---")</f>
        <v>NA</v>
      </c>
      <c r="L305" s="870" t="str">
        <f>IF(Start!$C$17="x",IF(OR(I305="NA",I305="",ChemData!Z305="NA",ChemData!Z305=""),"NA",I305/ChemData!Z305),"---")</f>
        <v>NA</v>
      </c>
      <c r="M305" s="870" t="str">
        <f>IF(Start!$C$17="x",IF(OR(I305="NA",I305="",ChemData!Y305="NA",ChemData!Y305=""),"NA",I305/ChemData!Y305),"---")</f>
        <v>NA</v>
      </c>
      <c r="N305" s="870" t="str">
        <f>IF(Start!$C$17="x",IF(OR(I305="NA",I305="",G305="NA",G305=""),"NA",I305/G305),"---")</f>
        <v>NA</v>
      </c>
      <c r="O305" s="794" t="str">
        <f>IF(Start!$C$17="x",(IF(C305="","",(IF(N305="NA","NA",IF(D305="NA","NA",IF(D305=0,"NA",(N305/D305))))))),"Not Req.")</f>
        <v/>
      </c>
    </row>
    <row r="306" spans="1:15" s="10" customFormat="1" x14ac:dyDescent="0.25">
      <c r="A306" s="405" t="s">
        <v>624</v>
      </c>
      <c r="B306" s="868" t="str">
        <f>IF(Start!$C$17="x",(IF($C306="NA","NA",(IF(C306="","",(IF(AND(N306="NA",C306&lt;&gt;"NA",D306&lt;&gt;"NA"),"Missing Data",(IF(OR(D306 = "NA",D306=""),"No Criteria",(IF(N306&lt;D306,IF(OR(I306&lt;D306,ChemData!AA306&lt;&gt;""),"No-1",IF(M306&lt;D306,"No-2","No-3")),"Needed")))))))))),"---")</f>
        <v/>
      </c>
      <c r="C306" s="426" t="str">
        <f>IF(TRUE=ISBLANK(ChemData!B306),"",(ChemData!B306))</f>
        <v/>
      </c>
      <c r="D306" s="289">
        <f>IF(TRUE=ISBLANK(ChemData!J306),"",(ChemData!J306))</f>
        <v>0.53</v>
      </c>
      <c r="E306" s="290">
        <f>IF(TRUE=ISBLANK(ChemData!Q306),"",(ChemData!Q306))</f>
        <v>238.45499201839945</v>
      </c>
      <c r="F306" s="290">
        <f>IF(TRUE=ISBLANK(ChemData!S306),"",(ChemData!S306))</f>
        <v>1</v>
      </c>
      <c r="G306" s="865">
        <f>IF(OR(TRUE=ISBLANK(ChemData!AA306),ChemData!AA306="NA",ChemData!AA306=0),ChemData!Z306,(ChemData!AA306))</f>
        <v>2468.1696261414136</v>
      </c>
      <c r="H306" s="685" t="str">
        <f>IF(Start!$C$17="x",(IF(OR(C306="NA",C306=""),"NA",IF(OR(F306="NA",F306="",F306=0),"NA",C306*F306))),"---")</f>
        <v>NA</v>
      </c>
      <c r="I306" s="376" t="str">
        <f>IF(Start!$C$17="x",(IF($E306 = "NA", "NA", (IF(H306 = "NA", "NA",(IF(OR(ChemData!U306="NA",ChemData!U306=""),H306/((Data!$D$18+$E306*(1-Data!$D$18)*Data!$D$14)/(1000*(1-Data!$D$18)*Data!$D$14)),(IF(H306/((Data!$D$18+$E306*(1-Data!$D$18)*Data!$D$14)/(1000*(1-Data!$D$18)*Data!$D$14))&gt;ChemData!U306, ChemData!U306,H306/((Data!$D$18+$E306*(1-Data!$D$18)*Data!$D$14)/(1000*(1-Data!$D$18)*Data!$D$14)))))))))),"---")</f>
        <v>NA</v>
      </c>
      <c r="J306" s="870" t="str">
        <f>IF(Start!$C$17="x",IF(OR(I306="NA",I306="",ChemData!W306="NA",ChemData!W306=""),"NA",I306/ChemData!W306),"---")</f>
        <v>NA</v>
      </c>
      <c r="K306" s="870" t="str">
        <f>IF(Start!$C$17="x",IF(J306="NA","NA",IF(Data!$D$68&lt;ChemData!X306,J306*(Data!$D$68/ChemData!X306),J306)),"---")</f>
        <v>NA</v>
      </c>
      <c r="L306" s="870" t="str">
        <f>IF(Start!$C$17="x",IF(OR(I306="NA",I306="",ChemData!Z306="NA",ChemData!Z306=""),"NA",I306/ChemData!Z306),"---")</f>
        <v>NA</v>
      </c>
      <c r="M306" s="870" t="str">
        <f>IF(Start!$C$17="x",IF(OR(I306="NA",I306="",ChemData!Y306="NA",ChemData!Y306=""),"NA",I306/ChemData!Y306),"---")</f>
        <v>NA</v>
      </c>
      <c r="N306" s="870" t="str">
        <f>IF(Start!$C$17="x",IF(OR(I306="NA",I306="",G306="NA",G306=""),"NA",I306/G306),"---")</f>
        <v>NA</v>
      </c>
      <c r="O306" s="794" t="str">
        <f>IF(Start!$C$17="x",(IF(C306="","",(IF(N306="NA","NA",IF(D306="NA","NA",IF(D306=0,"NA",(N306/D306))))))),"Not Req.")</f>
        <v/>
      </c>
    </row>
    <row r="307" spans="1:15" s="10" customFormat="1" x14ac:dyDescent="0.25">
      <c r="A307" s="405" t="s">
        <v>625</v>
      </c>
      <c r="B307" s="868" t="str">
        <f>IF(Start!$C$17="x",(IF($C307="NA","NA",(IF(C307="","",(IF(AND(N307="NA",C307&lt;&gt;"NA",D307&lt;&gt;"NA"),"Missing Data",(IF(OR(D307 = "NA",D307=""),"No Criteria",(IF(N307&lt;D307,IF(OR(I307&lt;D307,ChemData!AA307&lt;&gt;""),"No-1",IF(M307&lt;D307,"No-2","No-3")),"Needed")))))))))),"---")</f>
        <v/>
      </c>
      <c r="C307" s="426" t="str">
        <f>IF(TRUE=ISBLANK(ChemData!B307),"",(ChemData!B307))</f>
        <v/>
      </c>
      <c r="D307" s="289">
        <f>IF(TRUE=ISBLANK(ChemData!J307),"",(ChemData!J307))</f>
        <v>8.1000000000000003E-2</v>
      </c>
      <c r="E307" s="290">
        <f>IF(TRUE=ISBLANK(ChemData!Q307),"",(ChemData!Q307))</f>
        <v>10651.393240110776</v>
      </c>
      <c r="F307" s="290">
        <f>IF(TRUE=ISBLANK(ChemData!S307),"",(ChemData!S307))</f>
        <v>1</v>
      </c>
      <c r="G307" s="865">
        <f>IF(OR(TRUE=ISBLANK(ChemData!AA307),ChemData!AA307="NA",ChemData!AA307=0),ChemData!Z307,(ChemData!AA307))</f>
        <v>653882.61697870039</v>
      </c>
      <c r="H307" s="685" t="str">
        <f>IF(Start!$C$17="x",(IF(OR(C307="NA",C307=""),"NA",IF(OR(F307="NA",F307="",F307=0),"NA",C307*F307))),"---")</f>
        <v>NA</v>
      </c>
      <c r="I307" s="376" t="str">
        <f>IF(Start!$C$17="x",(IF($E307 = "NA", "NA", (IF(H307 = "NA", "NA",(IF(OR(ChemData!U307="NA",ChemData!U307=""),H307/((Data!$D$18+$E307*(1-Data!$D$18)*Data!$D$14)/(1000*(1-Data!$D$18)*Data!$D$14)),(IF(H307/((Data!$D$18+$E307*(1-Data!$D$18)*Data!$D$14)/(1000*(1-Data!$D$18)*Data!$D$14))&gt;ChemData!U307, ChemData!U307,H307/((Data!$D$18+$E307*(1-Data!$D$18)*Data!$D$14)/(1000*(1-Data!$D$18)*Data!$D$14)))))))))),"---")</f>
        <v>NA</v>
      </c>
      <c r="J307" s="870" t="str">
        <f>IF(Start!$C$17="x",IF(OR(I307="NA",I307="",ChemData!W307="NA",ChemData!W307=""),"NA",I307/ChemData!W307),"---")</f>
        <v>NA</v>
      </c>
      <c r="K307" s="870" t="str">
        <f>IF(Start!$C$17="x",IF(J307="NA","NA",IF(Data!$D$68&lt;ChemData!X307,J307*(Data!$D$68/ChemData!X307),J307)),"---")</f>
        <v>NA</v>
      </c>
      <c r="L307" s="870" t="str">
        <f>IF(Start!$C$17="x",IF(OR(I307="NA",I307="",ChemData!Z307="NA",ChemData!Z307=""),"NA",I307/ChemData!Z307),"---")</f>
        <v>NA</v>
      </c>
      <c r="M307" s="870" t="str">
        <f>IF(Start!$C$17="x",IF(OR(I307="NA",I307="",ChemData!Y307="NA",ChemData!Y307=""),"NA",I307/ChemData!Y307),"---")</f>
        <v>NA</v>
      </c>
      <c r="N307" s="870" t="str">
        <f>IF(Start!$C$17="x",IF(OR(I307="NA",I307="",G307="NA",G307=""),"NA",I307/G307),"---")</f>
        <v>NA</v>
      </c>
      <c r="O307" s="794" t="str">
        <f>IF(Start!$C$17="x",(IF(C307="","",(IF(N307="NA","NA",IF(D307="NA","NA",IF(D307=0,"NA",(N307/D307))))))),"Not Req.")</f>
        <v/>
      </c>
    </row>
    <row r="308" spans="1:15" s="10" customFormat="1" x14ac:dyDescent="0.25">
      <c r="A308" s="405" t="s">
        <v>626</v>
      </c>
      <c r="B308" s="868" t="str">
        <f>IF(Start!$C$17="x",(IF($C308="NA","NA",(IF(C308="","",(IF(AND(N308="NA",C308&lt;&gt;"NA",D308&lt;&gt;"NA"),"Missing Data",(IF(OR(D308 = "NA",D308=""),"No Criteria",(IF(N308&lt;D308,IF(OR(I308&lt;D308,ChemData!AA308&lt;&gt;""),"No-1",IF(M308&lt;D308,"No-2","No-3")),"Needed")))))))))),"---")</f>
        <v/>
      </c>
      <c r="C308" s="426" t="str">
        <f>IF(TRUE=ISBLANK(ChemData!B308),"",(ChemData!B308))</f>
        <v/>
      </c>
      <c r="D308" s="289">
        <f>IF(TRUE=ISBLANK(ChemData!J308),"",(ChemData!J308))</f>
        <v>3.3000000000000002E-2</v>
      </c>
      <c r="E308" s="290">
        <f>IF(TRUE=ISBLANK(ChemData!Q308),"",(ChemData!Q308))</f>
        <v>20295.811410610371</v>
      </c>
      <c r="F308" s="290">
        <f>IF(TRUE=ISBLANK(ChemData!S308),"",(ChemData!S308))</f>
        <v>1</v>
      </c>
      <c r="G308" s="865">
        <f>IF(OR(TRUE=ISBLANK(ChemData!AA308),ChemData!AA308="NA",ChemData!AA308=0),ChemData!Z308,(ChemData!AA308))</f>
        <v>1685375.6922879587</v>
      </c>
      <c r="H308" s="685" t="str">
        <f>IF(Start!$C$17="x",(IF(OR(C308="NA",C308=""),"NA",IF(OR(F308="NA",F308="",F308=0),"NA",C308*F308))),"---")</f>
        <v>NA</v>
      </c>
      <c r="I308" s="376" t="str">
        <f>IF(Start!$C$17="x",(IF($E308 = "NA", "NA", (IF(H308 = "NA", "NA",(IF(OR(ChemData!U308="NA",ChemData!U308=""),H308/((Data!$D$18+$E308*(1-Data!$D$18)*Data!$D$14)/(1000*(1-Data!$D$18)*Data!$D$14)),(IF(H308/((Data!$D$18+$E308*(1-Data!$D$18)*Data!$D$14)/(1000*(1-Data!$D$18)*Data!$D$14))&gt;ChemData!U308, ChemData!U308,H308/((Data!$D$18+$E308*(1-Data!$D$18)*Data!$D$14)/(1000*(1-Data!$D$18)*Data!$D$14)))))))))),"---")</f>
        <v>NA</v>
      </c>
      <c r="J308" s="870" t="str">
        <f>IF(Start!$C$17="x",IF(OR(I308="NA",I308="",ChemData!W308="NA",ChemData!W308=""),"NA",I308/ChemData!W308),"---")</f>
        <v>NA</v>
      </c>
      <c r="K308" s="870" t="str">
        <f>IF(Start!$C$17="x",IF(J308="NA","NA",IF(Data!$D$68&lt;ChemData!X308,J308*(Data!$D$68/ChemData!X308),J308)),"---")</f>
        <v>NA</v>
      </c>
      <c r="L308" s="870" t="str">
        <f>IF(Start!$C$17="x",IF(OR(I308="NA",I308="",ChemData!Z308="NA",ChemData!Z308=""),"NA",I308/ChemData!Z308),"---")</f>
        <v>NA</v>
      </c>
      <c r="M308" s="870" t="str">
        <f>IF(Start!$C$17="x",IF(OR(I308="NA",I308="",ChemData!Y308="NA",ChemData!Y308=""),"NA",I308/ChemData!Y308),"---")</f>
        <v>NA</v>
      </c>
      <c r="N308" s="870" t="str">
        <f>IF(Start!$C$17="x",IF(OR(I308="NA",I308="",G308="NA",G308=""),"NA",I308/G308),"---")</f>
        <v>NA</v>
      </c>
      <c r="O308" s="794" t="str">
        <f>IF(Start!$C$17="x",(IF(C308="","",(IF(N308="NA","NA",IF(D308="NA","NA",IF(D308=0,"NA",(N308/D308))))))),"Not Req.")</f>
        <v/>
      </c>
    </row>
    <row r="309" spans="1:15" s="10" customFormat="1" x14ac:dyDescent="0.25">
      <c r="A309" s="405" t="s">
        <v>627</v>
      </c>
      <c r="B309" s="868" t="str">
        <f>IF(Start!$C$17="x",(IF($C309="NA","NA",(IF(C309="","",(IF(AND(N309="NA",C309&lt;&gt;"NA",D309&lt;&gt;"NA"),"Missing Data",(IF(OR(D309 = "NA",D309=""),"No Criteria",(IF(N309&lt;D309,IF(OR(I309&lt;D309,ChemData!AA309&lt;&gt;""),"No-1",IF(M309&lt;D309,"No-2","No-3")),"Needed")))))))))),"---")</f>
        <v/>
      </c>
      <c r="C309" s="426" t="str">
        <f>IF(TRUE=ISBLANK(ChemData!B309),"",(ChemData!B309))</f>
        <v/>
      </c>
      <c r="D309" s="289">
        <f>IF(TRUE=ISBLANK(ChemData!J309),"",(ChemData!J309))</f>
        <v>94</v>
      </c>
      <c r="E309" s="290">
        <f>IF(TRUE=ISBLANK(ChemData!Q309),"",(ChemData!Q309))</f>
        <v>233027.09372310026</v>
      </c>
      <c r="F309" s="290">
        <f>IF(TRUE=ISBLANK(ChemData!S309),"",(ChemData!S309))</f>
        <v>1</v>
      </c>
      <c r="G309" s="865">
        <f>IF(OR(TRUE=ISBLANK(ChemData!AA309),ChemData!AA309="NA",ChemData!AA309=0),ChemData!Z309,(ChemData!AA309))</f>
        <v>60725462.690199912</v>
      </c>
      <c r="H309" s="685" t="str">
        <f>IF(Start!$C$17="x",(IF(OR(C309="NA",C309=""),"NA",IF(OR(F309="NA",F309="",F309=0),"NA",C309*F309))),"---")</f>
        <v>NA</v>
      </c>
      <c r="I309" s="376" t="str">
        <f>IF(Start!$C$17="x",(IF($E309 = "NA", "NA", (IF(H309 = "NA", "NA",(IF(OR(ChemData!U309="NA",ChemData!U309=""),H309/((Data!$D$18+$E309*(1-Data!$D$18)*Data!$D$14)/(1000*(1-Data!$D$18)*Data!$D$14)),(IF(H309/((Data!$D$18+$E309*(1-Data!$D$18)*Data!$D$14)/(1000*(1-Data!$D$18)*Data!$D$14))&gt;ChemData!U309, ChemData!U309,H309/((Data!$D$18+$E309*(1-Data!$D$18)*Data!$D$14)/(1000*(1-Data!$D$18)*Data!$D$14)))))))))),"---")</f>
        <v>NA</v>
      </c>
      <c r="J309" s="870" t="str">
        <f>IF(Start!$C$17="x",IF(OR(I309="NA",I309="",ChemData!W309="NA",ChemData!W309=""),"NA",I309/ChemData!W309),"---")</f>
        <v>NA</v>
      </c>
      <c r="K309" s="870" t="str">
        <f>IF(Start!$C$17="x",IF(J309="NA","NA",IF(Data!$D$68&lt;ChemData!X309,J309*(Data!$D$68/ChemData!X309),J309)),"---")</f>
        <v>NA</v>
      </c>
      <c r="L309" s="870" t="str">
        <f>IF(Start!$C$17="x",IF(OR(I309="NA",I309="",ChemData!Z309="NA",ChemData!Z309=""),"NA",I309/ChemData!Z309),"---")</f>
        <v>NA</v>
      </c>
      <c r="M309" s="870" t="str">
        <f>IF(Start!$C$17="x",IF(OR(I309="NA",I309="",ChemData!Y309="NA",ChemData!Y309=""),"NA",I309/ChemData!Y309),"---")</f>
        <v>NA</v>
      </c>
      <c r="N309" s="870" t="str">
        <f>IF(Start!$C$17="x",IF(OR(I309="NA",I309="",G309="NA",G309=""),"NA",I309/G309),"---")</f>
        <v>NA</v>
      </c>
      <c r="O309" s="794" t="str">
        <f>IF(Start!$C$17="x",(IF(C309="","",(IF(N309="NA","NA",IF(D309="NA","NA",IF(D309=0,"NA",(N309/D309))))))),"Not Req.")</f>
        <v/>
      </c>
    </row>
    <row r="310" spans="1:15" s="10" customFormat="1" ht="13.8" thickBot="1" x14ac:dyDescent="0.3">
      <c r="A310" s="488" t="s">
        <v>628</v>
      </c>
      <c r="B310" s="869" t="str">
        <f>IF(Start!$C$17="x",(IF($C310="NA","NA",(IF(C310="","",(IF(AND(N310="NA",C310&lt;&gt;"NA",D310&lt;&gt;"NA"),"Missing Data",(IF(OR(D310 = "NA",D310=""),"No Criteria",(IF(N310&lt;D310,IF(OR(I310&lt;D310,ChemData!AA310&lt;&gt;""),"No-1",IF(M310&lt;D310,"No-2","No-3")),"Needed")))))))))),"---")</f>
        <v>No-2</v>
      </c>
      <c r="C310" s="529">
        <f>IF(TRUE=ISBLANK(ChemData!B310),"",(ChemData!B310))</f>
        <v>4.32</v>
      </c>
      <c r="D310" s="303">
        <f>IF(TRUE=ISBLANK(ChemData!J310),"",(ChemData!J310))</f>
        <v>1.4E-2</v>
      </c>
      <c r="E310" s="304">
        <f>IF(TRUE=ISBLANK(ChemData!Q310),"",(ChemData!Q310))</f>
        <v>58533.759489716802</v>
      </c>
      <c r="F310" s="304">
        <f>IF(TRUE=ISBLANK(ChemData!S310),"",(ChemData!S310))</f>
        <v>1</v>
      </c>
      <c r="G310" s="866">
        <f>IF(OR(TRUE=ISBLANK(ChemData!AA310),ChemData!AA310="NA",ChemData!AA310=0),ChemData!Z310,(ChemData!AA310))</f>
        <v>7984257.6995547069</v>
      </c>
      <c r="H310" s="686">
        <f>IF(Start!$C$17="x",(IF(OR(C310="NA",C310=""),"NA",IF(OR(F310="NA",F310="",F310=0),"NA",C310*F310))),"---")</f>
        <v>4.32</v>
      </c>
      <c r="I310" s="516">
        <f>IF(Start!$C$17="x",(IF($E310 = "NA", "NA", (IF(H310 = "NA", "NA",(IF(OR(ChemData!U310="NA",ChemData!U310=""),H310/((Data!$D$18+$E310*(1-Data!$D$18)*Data!$D$14)/(1000*(1-Data!$D$18)*Data!$D$14)),(IF(H310/((Data!$D$18+$E310*(1-Data!$D$18)*Data!$D$14)/(1000*(1-Data!$D$18)*Data!$D$14))&gt;ChemData!U310, ChemData!U310,H310/((Data!$D$18+$E310*(1-Data!$D$18)*Data!$D$14)/(1000*(1-Data!$D$18)*Data!$D$14)))))))))),"---")</f>
        <v>7.3802554211737537E-2</v>
      </c>
      <c r="J310" s="871">
        <f>IF(Start!$C$17="x",IF(OR(I310="NA",I310="",ChemData!W310="NA",ChemData!W310=""),"NA",I310/ChemData!W310),"---")</f>
        <v>1.9268040026565098E-2</v>
      </c>
      <c r="K310" s="871">
        <f>IF(Start!$C$17="x",IF(J310="NA","NA",IF(Data!$D$68&lt;ChemData!X310,J310*(Data!$D$68/ChemData!X310),J310)),"---")</f>
        <v>1.6529760602449781E-8</v>
      </c>
      <c r="L310" s="871">
        <f>IF(Start!$C$17="x",IF(OR(I310="NA",I310="",ChemData!Z310="NA",ChemData!Z310=""),"NA",I310/ChemData!Z310),"---")</f>
        <v>9.2435085375380108E-9</v>
      </c>
      <c r="M310" s="871">
        <f>IF(Start!$C$17="x",IF(OR(I310="NA",I310="",ChemData!Y310="NA",ChemData!Y310=""),"NA",I310/ChemData!Y310),"---")</f>
        <v>1.0774765392596359E-2</v>
      </c>
      <c r="N310" s="871">
        <f>IF(Start!$C$17="x",IF(OR(I310="NA",I310="",G310="NA",G310=""),"NA",I310/G310),"---")</f>
        <v>9.2435085375380108E-9</v>
      </c>
      <c r="O310" s="795">
        <f>IF(Start!$C$17="x",(IF(C310="","",(IF(N310="NA","NA",IF(D310="NA","NA",IF(D310=0,"NA",(N310/D310))))))),"Not Req.")</f>
        <v>6.6025060982414361E-7</v>
      </c>
    </row>
    <row r="311" spans="1:15" s="10" customFormat="1" x14ac:dyDescent="0.25">
      <c r="A311"/>
      <c r="B311" s="15"/>
      <c r="C311" s="15"/>
      <c r="D311" s="15"/>
      <c r="E311" s="15"/>
      <c r="F311" s="15"/>
      <c r="G311" s="15"/>
      <c r="H311" s="15"/>
      <c r="I311" s="15"/>
      <c r="J311" s="15"/>
      <c r="K311" s="15"/>
      <c r="L311" s="15"/>
      <c r="M311" s="15"/>
      <c r="N311" s="15"/>
    </row>
    <row r="312" spans="1:15" s="10" customFormat="1" x14ac:dyDescent="0.25">
      <c r="A312"/>
      <c r="B312" s="15"/>
      <c r="C312" s="15"/>
      <c r="D312" s="15"/>
      <c r="E312" s="15"/>
      <c r="F312" s="15"/>
      <c r="G312" s="15"/>
      <c r="H312" s="15"/>
      <c r="I312" s="15"/>
      <c r="J312" s="15"/>
      <c r="K312" s="15"/>
      <c r="L312" s="15"/>
      <c r="M312" s="15"/>
      <c r="N312" s="15"/>
    </row>
    <row r="313" spans="1:15" s="10" customFormat="1" x14ac:dyDescent="0.25">
      <c r="A313"/>
      <c r="B313" s="15"/>
      <c r="C313" s="15"/>
      <c r="D313" s="15"/>
      <c r="E313" s="15"/>
      <c r="F313" s="15"/>
      <c r="G313" s="15"/>
      <c r="H313" s="15"/>
      <c r="I313" s="15"/>
      <c r="J313" s="15"/>
      <c r="K313" s="15"/>
      <c r="L313" s="15"/>
      <c r="M313" s="15"/>
      <c r="N313" s="15"/>
    </row>
    <row r="314" spans="1:15" s="10" customFormat="1" x14ac:dyDescent="0.25">
      <c r="A314"/>
      <c r="B314" s="15"/>
      <c r="C314" s="15"/>
      <c r="D314" s="15"/>
      <c r="E314" s="15"/>
      <c r="F314" s="15"/>
      <c r="G314" s="15"/>
      <c r="H314" s="15"/>
      <c r="I314" s="15"/>
      <c r="J314" s="15"/>
      <c r="K314" s="15"/>
      <c r="L314" s="15"/>
      <c r="M314" s="15"/>
      <c r="N314" s="15"/>
    </row>
    <row r="315" spans="1:15" s="10" customFormat="1" x14ac:dyDescent="0.25">
      <c r="A315"/>
      <c r="B315" s="15"/>
      <c r="C315" s="15"/>
      <c r="D315" s="15"/>
      <c r="E315" s="15"/>
      <c r="F315" s="15"/>
      <c r="G315" s="15"/>
      <c r="H315" s="15"/>
      <c r="I315" s="15"/>
      <c r="J315" s="15"/>
      <c r="K315" s="15"/>
      <c r="L315" s="15"/>
      <c r="M315" s="15"/>
      <c r="N315" s="15"/>
    </row>
    <row r="316" spans="1:15" s="10" customFormat="1" x14ac:dyDescent="0.25">
      <c r="A316"/>
      <c r="B316" s="15"/>
      <c r="C316" s="15"/>
      <c r="D316" s="15"/>
      <c r="E316" s="15"/>
      <c r="F316" s="15"/>
      <c r="G316" s="15"/>
      <c r="H316" s="15"/>
      <c r="I316" s="15"/>
      <c r="J316" s="15"/>
      <c r="K316" s="15"/>
      <c r="L316" s="15"/>
      <c r="M316" s="15"/>
      <c r="N316" s="15"/>
    </row>
    <row r="317" spans="1:15" s="10" customFormat="1" x14ac:dyDescent="0.25">
      <c r="A317"/>
      <c r="B317" s="15"/>
      <c r="C317" s="15"/>
      <c r="D317" s="15"/>
      <c r="E317" s="15"/>
      <c r="F317" s="15"/>
      <c r="G317" s="15"/>
      <c r="H317" s="15"/>
      <c r="I317" s="15"/>
      <c r="J317" s="15"/>
      <c r="K317" s="15"/>
      <c r="L317" s="15"/>
      <c r="M317" s="15"/>
      <c r="N317" s="15"/>
    </row>
    <row r="318" spans="1:15" s="10" customFormat="1" x14ac:dyDescent="0.25">
      <c r="A318"/>
      <c r="B318" s="15"/>
      <c r="C318" s="15"/>
      <c r="D318" s="15"/>
      <c r="E318" s="15"/>
      <c r="F318" s="15"/>
      <c r="G318" s="15"/>
      <c r="H318" s="15"/>
      <c r="I318" s="15"/>
      <c r="J318" s="15"/>
      <c r="K318" s="15"/>
      <c r="L318" s="15"/>
      <c r="M318" s="15"/>
      <c r="N318" s="15"/>
    </row>
    <row r="319" spans="1:15" s="10" customFormat="1" x14ac:dyDescent="0.25">
      <c r="A319"/>
      <c r="B319" s="15"/>
      <c r="C319" s="15"/>
      <c r="D319" s="15"/>
      <c r="E319" s="15"/>
      <c r="F319" s="15"/>
      <c r="G319" s="15"/>
      <c r="H319" s="15"/>
      <c r="I319" s="15"/>
      <c r="J319" s="15"/>
      <c r="K319" s="15"/>
      <c r="L319" s="15"/>
      <c r="M319" s="15"/>
      <c r="N319" s="15"/>
    </row>
    <row r="320" spans="1:15" s="10" customFormat="1" x14ac:dyDescent="0.25">
      <c r="A320"/>
      <c r="B320" s="15"/>
      <c r="C320" s="15"/>
      <c r="D320" s="15"/>
      <c r="E320" s="15"/>
      <c r="F320" s="15"/>
      <c r="G320" s="15"/>
      <c r="H320" s="15"/>
      <c r="I320" s="15"/>
      <c r="J320" s="15"/>
      <c r="K320" s="15"/>
      <c r="L320" s="15"/>
      <c r="M320" s="15"/>
      <c r="N320" s="15"/>
    </row>
    <row r="321" spans="1:14" s="10" customFormat="1" x14ac:dyDescent="0.25">
      <c r="A321"/>
      <c r="B321" s="15"/>
      <c r="C321" s="15"/>
      <c r="D321" s="15"/>
      <c r="E321" s="15"/>
      <c r="F321" s="15"/>
      <c r="G321" s="15"/>
      <c r="H321" s="15"/>
      <c r="I321" s="15"/>
      <c r="J321" s="15"/>
      <c r="K321" s="15"/>
      <c r="L321" s="15"/>
      <c r="M321" s="15"/>
      <c r="N321" s="15"/>
    </row>
    <row r="322" spans="1:14" s="10" customFormat="1" x14ac:dyDescent="0.25">
      <c r="A322"/>
      <c r="B322" s="15"/>
      <c r="C322" s="15"/>
      <c r="D322" s="15"/>
      <c r="E322" s="15"/>
      <c r="F322" s="15"/>
      <c r="G322" s="15"/>
      <c r="H322" s="15"/>
      <c r="I322" s="15"/>
      <c r="J322" s="15"/>
      <c r="K322" s="15"/>
      <c r="L322" s="15"/>
      <c r="M322" s="15"/>
      <c r="N322" s="15"/>
    </row>
    <row r="323" spans="1:14" s="10" customFormat="1" x14ac:dyDescent="0.25">
      <c r="A323"/>
      <c r="B323" s="15"/>
      <c r="C323" s="15"/>
      <c r="D323" s="15"/>
      <c r="E323" s="15"/>
      <c r="F323" s="15"/>
      <c r="G323" s="15"/>
      <c r="H323" s="15"/>
      <c r="I323" s="15"/>
      <c r="J323" s="15"/>
      <c r="K323" s="15"/>
      <c r="L323" s="15"/>
      <c r="M323" s="15"/>
      <c r="N323" s="15"/>
    </row>
    <row r="324" spans="1:14" s="10" customFormat="1" x14ac:dyDescent="0.25">
      <c r="A324"/>
      <c r="B324" s="15"/>
      <c r="C324" s="15"/>
      <c r="D324" s="15"/>
      <c r="E324" s="15"/>
      <c r="F324" s="15"/>
      <c r="G324" s="15"/>
      <c r="H324" s="15"/>
      <c r="I324" s="15"/>
      <c r="J324" s="15"/>
      <c r="K324" s="15"/>
      <c r="L324" s="15"/>
      <c r="M324" s="15"/>
      <c r="N324" s="15"/>
    </row>
    <row r="325" spans="1:14" s="10" customFormat="1" x14ac:dyDescent="0.25">
      <c r="A325"/>
      <c r="B325" s="15"/>
      <c r="C325" s="15"/>
      <c r="D325" s="15"/>
      <c r="E325" s="15"/>
      <c r="F325" s="15"/>
      <c r="G325" s="15"/>
      <c r="H325" s="15"/>
      <c r="I325" s="15"/>
      <c r="J325" s="15"/>
      <c r="K325" s="15"/>
      <c r="L325" s="15"/>
      <c r="M325" s="15"/>
      <c r="N325" s="15"/>
    </row>
    <row r="326" spans="1:14" s="10" customFormat="1" x14ac:dyDescent="0.25">
      <c r="A326"/>
      <c r="B326" s="15"/>
      <c r="C326" s="15"/>
      <c r="D326" s="15"/>
      <c r="E326" s="15"/>
      <c r="F326" s="15"/>
      <c r="G326" s="15"/>
      <c r="H326" s="15"/>
      <c r="I326" s="15"/>
      <c r="J326" s="15"/>
      <c r="K326" s="15"/>
      <c r="L326" s="15"/>
      <c r="M326" s="15"/>
      <c r="N326" s="15"/>
    </row>
    <row r="327" spans="1:14" s="10" customFormat="1" x14ac:dyDescent="0.25">
      <c r="A327"/>
      <c r="B327" s="15"/>
      <c r="C327" s="15"/>
      <c r="D327" s="15"/>
      <c r="E327" s="15"/>
      <c r="F327" s="15"/>
      <c r="G327" s="15"/>
      <c r="H327" s="15"/>
      <c r="I327" s="15"/>
      <c r="J327" s="15"/>
      <c r="K327" s="15"/>
      <c r="L327" s="15"/>
      <c r="M327" s="15"/>
      <c r="N327" s="15"/>
    </row>
    <row r="328" spans="1:14" s="10" customFormat="1" x14ac:dyDescent="0.25">
      <c r="A328"/>
      <c r="B328" s="15"/>
      <c r="C328" s="15"/>
      <c r="D328" s="15"/>
      <c r="E328" s="15"/>
      <c r="F328" s="15"/>
      <c r="G328" s="15"/>
      <c r="H328" s="15"/>
      <c r="I328" s="15"/>
      <c r="J328" s="15"/>
      <c r="K328" s="15"/>
      <c r="L328" s="15"/>
      <c r="M328" s="15"/>
      <c r="N328" s="15"/>
    </row>
    <row r="329" spans="1:14" s="10" customFormat="1" x14ac:dyDescent="0.25">
      <c r="A329"/>
      <c r="B329" s="15"/>
      <c r="C329" s="15"/>
      <c r="D329" s="15"/>
      <c r="E329" s="15"/>
      <c r="F329" s="15"/>
      <c r="G329" s="15"/>
      <c r="H329" s="15"/>
      <c r="I329" s="15"/>
      <c r="J329" s="15"/>
      <c r="K329" s="15"/>
      <c r="L329" s="15"/>
      <c r="M329" s="15"/>
      <c r="N329" s="15"/>
    </row>
    <row r="330" spans="1:14" s="10" customFormat="1" x14ac:dyDescent="0.25">
      <c r="A330"/>
      <c r="B330" s="15"/>
      <c r="C330" s="15"/>
      <c r="D330" s="15"/>
      <c r="E330" s="15"/>
      <c r="F330" s="15"/>
      <c r="G330" s="15"/>
      <c r="H330" s="15"/>
      <c r="I330" s="15"/>
      <c r="J330" s="15"/>
      <c r="K330" s="15"/>
      <c r="L330" s="15"/>
      <c r="M330" s="15"/>
      <c r="N330" s="15"/>
    </row>
    <row r="331" spans="1:14" s="10" customFormat="1" x14ac:dyDescent="0.25">
      <c r="A331"/>
      <c r="B331" s="15"/>
      <c r="C331" s="15"/>
      <c r="D331" s="15"/>
      <c r="E331" s="15"/>
      <c r="F331" s="15"/>
      <c r="G331" s="15"/>
      <c r="H331" s="15"/>
      <c r="I331" s="15"/>
      <c r="J331" s="15"/>
      <c r="K331" s="15"/>
      <c r="L331" s="15"/>
      <c r="M331" s="15"/>
      <c r="N331" s="15"/>
    </row>
    <row r="332" spans="1:14" s="10" customFormat="1" x14ac:dyDescent="0.25">
      <c r="A332"/>
      <c r="B332" s="15"/>
      <c r="C332" s="15"/>
      <c r="D332" s="15"/>
      <c r="E332" s="15"/>
      <c r="F332" s="15"/>
      <c r="G332" s="15"/>
      <c r="H332" s="15"/>
      <c r="I332" s="15"/>
      <c r="J332" s="15"/>
      <c r="K332" s="15"/>
      <c r="L332" s="15"/>
      <c r="M332" s="15"/>
      <c r="N332" s="15"/>
    </row>
    <row r="333" spans="1:14" s="10" customFormat="1" x14ac:dyDescent="0.25">
      <c r="A333"/>
      <c r="B333" s="15"/>
      <c r="C333" s="15"/>
      <c r="D333" s="15"/>
      <c r="E333" s="15"/>
      <c r="F333" s="15"/>
      <c r="G333" s="15"/>
      <c r="H333" s="15"/>
      <c r="I333" s="15"/>
      <c r="J333" s="15"/>
      <c r="K333" s="15"/>
      <c r="L333" s="15"/>
      <c r="M333" s="15"/>
      <c r="N333" s="15"/>
    </row>
    <row r="334" spans="1:14" s="10" customFormat="1" x14ac:dyDescent="0.25">
      <c r="A334"/>
      <c r="B334" s="15"/>
      <c r="C334" s="15"/>
      <c r="D334" s="15"/>
      <c r="E334" s="15"/>
      <c r="F334" s="15"/>
      <c r="G334" s="15"/>
      <c r="H334" s="15"/>
      <c r="I334" s="15"/>
      <c r="J334" s="15"/>
      <c r="K334" s="15"/>
      <c r="L334" s="15"/>
      <c r="M334" s="15"/>
      <c r="N334" s="15"/>
    </row>
    <row r="335" spans="1:14" s="10" customFormat="1" x14ac:dyDescent="0.25">
      <c r="A335"/>
      <c r="B335" s="15"/>
      <c r="C335" s="15"/>
      <c r="D335" s="15"/>
      <c r="E335" s="15"/>
      <c r="F335" s="15"/>
      <c r="G335" s="15"/>
      <c r="H335" s="15"/>
      <c r="I335" s="15"/>
      <c r="J335" s="15"/>
      <c r="K335" s="15"/>
      <c r="L335" s="15"/>
      <c r="M335" s="15"/>
      <c r="N335" s="15"/>
    </row>
    <row r="336" spans="1:14" s="10" customFormat="1" x14ac:dyDescent="0.25">
      <c r="A336"/>
      <c r="B336" s="15"/>
      <c r="C336" s="15"/>
      <c r="D336" s="15"/>
      <c r="E336" s="15"/>
      <c r="F336" s="15"/>
      <c r="G336" s="15"/>
      <c r="H336" s="15"/>
      <c r="I336" s="15"/>
      <c r="J336" s="15"/>
      <c r="K336" s="15"/>
      <c r="L336" s="15"/>
      <c r="M336" s="15"/>
      <c r="N336" s="15"/>
    </row>
    <row r="337" spans="1:14" s="10" customFormat="1" x14ac:dyDescent="0.25">
      <c r="A337"/>
      <c r="B337" s="15"/>
      <c r="C337" s="15"/>
      <c r="D337" s="15"/>
      <c r="E337" s="15"/>
      <c r="F337" s="15"/>
      <c r="G337" s="15"/>
      <c r="H337" s="15"/>
      <c r="I337" s="15"/>
      <c r="J337" s="15"/>
      <c r="K337" s="15"/>
      <c r="L337" s="15"/>
      <c r="M337" s="15"/>
      <c r="N337" s="15"/>
    </row>
    <row r="338" spans="1:14" s="10" customFormat="1" x14ac:dyDescent="0.25">
      <c r="A338"/>
      <c r="B338" s="15"/>
      <c r="C338" s="15"/>
      <c r="D338" s="15"/>
      <c r="E338" s="15"/>
      <c r="F338" s="15"/>
      <c r="G338" s="15"/>
      <c r="H338" s="15"/>
      <c r="I338" s="15"/>
      <c r="J338" s="15"/>
      <c r="K338" s="15"/>
      <c r="L338" s="15"/>
      <c r="M338" s="15"/>
      <c r="N338" s="15"/>
    </row>
    <row r="339" spans="1:14" s="10" customFormat="1" x14ac:dyDescent="0.25">
      <c r="A339"/>
      <c r="B339" s="15"/>
      <c r="C339" s="15"/>
      <c r="D339" s="15"/>
      <c r="E339" s="15"/>
      <c r="F339" s="15"/>
      <c r="G339" s="15"/>
      <c r="H339" s="15"/>
      <c r="I339" s="15"/>
      <c r="J339" s="15"/>
      <c r="K339" s="15"/>
      <c r="L339" s="15"/>
      <c r="M339" s="15"/>
      <c r="N339" s="15"/>
    </row>
    <row r="340" spans="1:14" s="10" customFormat="1" x14ac:dyDescent="0.25">
      <c r="A340"/>
      <c r="B340" s="15"/>
      <c r="C340" s="15"/>
      <c r="D340" s="15"/>
      <c r="E340" s="15"/>
      <c r="F340" s="15"/>
      <c r="G340" s="15"/>
      <c r="H340" s="15"/>
      <c r="I340" s="15"/>
      <c r="J340" s="15"/>
      <c r="K340" s="15"/>
      <c r="L340" s="15"/>
      <c r="M340" s="15"/>
      <c r="N340" s="15"/>
    </row>
    <row r="341" spans="1:14" s="10" customFormat="1" x14ac:dyDescent="0.25">
      <c r="A341"/>
      <c r="B341" s="15"/>
      <c r="C341" s="15"/>
      <c r="D341" s="15"/>
      <c r="E341" s="15"/>
      <c r="F341" s="15"/>
      <c r="G341" s="15"/>
      <c r="H341" s="15"/>
      <c r="I341" s="15"/>
      <c r="J341" s="15"/>
      <c r="K341" s="15"/>
      <c r="L341" s="15"/>
      <c r="M341" s="15"/>
      <c r="N341" s="15"/>
    </row>
    <row r="342" spans="1:14" s="10" customFormat="1" x14ac:dyDescent="0.25">
      <c r="A342"/>
      <c r="B342" s="15"/>
      <c r="C342" s="15"/>
      <c r="D342" s="15"/>
      <c r="E342" s="15"/>
      <c r="F342" s="15"/>
      <c r="G342" s="15"/>
      <c r="H342" s="15"/>
      <c r="I342" s="15"/>
      <c r="J342" s="15"/>
      <c r="K342" s="15"/>
      <c r="L342" s="15"/>
      <c r="M342" s="15"/>
      <c r="N342" s="15"/>
    </row>
    <row r="343" spans="1:14" s="10" customFormat="1" x14ac:dyDescent="0.25">
      <c r="A343"/>
      <c r="B343" s="15"/>
      <c r="C343" s="15"/>
      <c r="D343" s="15"/>
      <c r="E343" s="15"/>
      <c r="F343" s="15"/>
      <c r="G343" s="15"/>
      <c r="H343" s="15"/>
      <c r="I343" s="15"/>
      <c r="J343" s="15"/>
      <c r="K343" s="15"/>
      <c r="L343" s="15"/>
      <c r="M343" s="15"/>
      <c r="N343" s="15"/>
    </row>
    <row r="344" spans="1:14" s="10" customFormat="1" x14ac:dyDescent="0.25">
      <c r="A344"/>
      <c r="B344" s="15"/>
      <c r="C344" s="15"/>
      <c r="D344" s="15"/>
      <c r="E344" s="15"/>
      <c r="F344" s="15"/>
      <c r="G344" s="15"/>
      <c r="H344" s="15"/>
      <c r="I344" s="15"/>
      <c r="J344" s="15"/>
      <c r="K344" s="15"/>
      <c r="L344" s="15"/>
      <c r="M344" s="15"/>
      <c r="N344" s="15"/>
    </row>
    <row r="345" spans="1:14" s="10" customFormat="1" x14ac:dyDescent="0.25">
      <c r="A345"/>
      <c r="B345" s="15"/>
      <c r="C345" s="15"/>
      <c r="D345" s="15"/>
      <c r="E345" s="15"/>
      <c r="F345" s="15"/>
      <c r="G345" s="15"/>
      <c r="H345" s="15"/>
      <c r="I345" s="15"/>
      <c r="J345" s="15"/>
      <c r="K345" s="15"/>
      <c r="L345" s="15"/>
      <c r="M345" s="15"/>
      <c r="N345" s="15"/>
    </row>
    <row r="346" spans="1:14" s="10" customFormat="1" x14ac:dyDescent="0.25">
      <c r="A346"/>
      <c r="B346" s="15"/>
      <c r="C346" s="15"/>
      <c r="D346" s="15"/>
      <c r="E346" s="15"/>
      <c r="F346" s="15"/>
      <c r="G346" s="15"/>
      <c r="H346" s="15"/>
      <c r="I346" s="15"/>
      <c r="J346" s="15"/>
      <c r="K346" s="15"/>
      <c r="L346" s="15"/>
      <c r="M346" s="15"/>
      <c r="N346" s="15"/>
    </row>
    <row r="347" spans="1:14" s="10" customFormat="1" x14ac:dyDescent="0.25">
      <c r="A347"/>
      <c r="B347" s="15"/>
      <c r="C347" s="15"/>
      <c r="D347" s="15"/>
      <c r="E347" s="15"/>
      <c r="F347" s="15"/>
      <c r="G347" s="15"/>
      <c r="H347" s="15"/>
      <c r="I347" s="15"/>
      <c r="J347" s="15"/>
      <c r="K347" s="15"/>
      <c r="L347" s="15"/>
      <c r="M347" s="15"/>
      <c r="N347" s="15"/>
    </row>
    <row r="348" spans="1:14" s="10" customFormat="1" x14ac:dyDescent="0.25">
      <c r="A348"/>
      <c r="B348" s="15"/>
      <c r="C348" s="15"/>
      <c r="D348" s="15"/>
      <c r="E348" s="15"/>
      <c r="F348" s="15"/>
      <c r="G348" s="15"/>
      <c r="H348" s="15"/>
      <c r="I348" s="15"/>
      <c r="J348" s="15"/>
      <c r="K348" s="15"/>
      <c r="L348" s="15"/>
      <c r="M348" s="15"/>
      <c r="N348" s="15"/>
    </row>
    <row r="349" spans="1:14" s="10" customFormat="1" x14ac:dyDescent="0.25">
      <c r="A349"/>
      <c r="B349" s="15"/>
      <c r="C349" s="15"/>
      <c r="D349" s="15"/>
      <c r="E349" s="15"/>
      <c r="F349" s="15"/>
      <c r="G349" s="15"/>
      <c r="H349" s="15"/>
      <c r="I349" s="15"/>
      <c r="J349" s="15"/>
      <c r="K349" s="15"/>
      <c r="L349" s="15"/>
      <c r="M349" s="15"/>
      <c r="N349" s="15"/>
    </row>
    <row r="350" spans="1:14" s="10" customFormat="1" x14ac:dyDescent="0.25">
      <c r="A350"/>
      <c r="B350" s="15"/>
      <c r="C350" s="15"/>
      <c r="D350" s="15"/>
      <c r="E350" s="15"/>
      <c r="F350" s="15"/>
      <c r="G350" s="15"/>
      <c r="H350" s="15"/>
      <c r="I350" s="15"/>
      <c r="J350" s="15"/>
      <c r="K350" s="15"/>
      <c r="L350" s="15"/>
      <c r="M350" s="15"/>
      <c r="N350" s="15"/>
    </row>
    <row r="351" spans="1:14" s="10" customFormat="1" x14ac:dyDescent="0.25">
      <c r="A351"/>
      <c r="B351" s="15"/>
      <c r="C351" s="15"/>
      <c r="D351" s="15"/>
      <c r="E351" s="15"/>
      <c r="F351" s="15"/>
      <c r="G351" s="15"/>
      <c r="H351" s="15"/>
      <c r="I351" s="15"/>
      <c r="J351" s="15"/>
      <c r="K351" s="15"/>
      <c r="L351" s="15"/>
      <c r="M351" s="15"/>
      <c r="N351" s="15"/>
    </row>
    <row r="352" spans="1:14" s="10" customFormat="1" x14ac:dyDescent="0.25">
      <c r="A352"/>
      <c r="B352" s="15"/>
      <c r="C352" s="15"/>
      <c r="D352" s="15"/>
      <c r="E352" s="15"/>
      <c r="F352" s="15"/>
      <c r="G352" s="15"/>
      <c r="H352" s="15"/>
      <c r="I352" s="15"/>
      <c r="J352" s="15"/>
      <c r="K352" s="15"/>
      <c r="L352" s="15"/>
      <c r="M352" s="15"/>
      <c r="N352" s="15"/>
    </row>
    <row r="353" spans="1:14" s="10" customFormat="1" x14ac:dyDescent="0.25">
      <c r="A353"/>
      <c r="B353" s="15"/>
      <c r="C353" s="15"/>
      <c r="D353" s="15"/>
      <c r="E353" s="15"/>
      <c r="F353" s="15"/>
      <c r="G353" s="15"/>
      <c r="H353" s="15"/>
      <c r="I353" s="15"/>
      <c r="J353" s="15"/>
      <c r="K353" s="15"/>
      <c r="L353" s="15"/>
      <c r="M353" s="15"/>
      <c r="N353" s="15"/>
    </row>
    <row r="354" spans="1:14" s="10" customFormat="1" x14ac:dyDescent="0.25">
      <c r="A354"/>
      <c r="B354" s="15"/>
      <c r="C354" s="15"/>
      <c r="D354" s="15"/>
      <c r="E354" s="15"/>
      <c r="F354" s="15"/>
      <c r="G354" s="15"/>
      <c r="H354" s="15"/>
      <c r="I354" s="15"/>
      <c r="J354" s="15"/>
      <c r="K354" s="15"/>
      <c r="L354" s="15"/>
      <c r="M354" s="15"/>
      <c r="N354" s="15"/>
    </row>
    <row r="355" spans="1:14" s="10" customFormat="1" x14ac:dyDescent="0.25">
      <c r="A355"/>
      <c r="B355" s="15"/>
      <c r="C355" s="15"/>
      <c r="D355" s="15"/>
      <c r="E355" s="15"/>
      <c r="F355" s="15"/>
      <c r="G355" s="15"/>
      <c r="H355" s="15"/>
      <c r="I355" s="15"/>
      <c r="J355" s="15"/>
      <c r="K355" s="15"/>
      <c r="L355" s="15"/>
      <c r="M355" s="15"/>
      <c r="N355" s="15"/>
    </row>
    <row r="356" spans="1:14" s="10" customFormat="1" x14ac:dyDescent="0.25">
      <c r="A356"/>
      <c r="B356" s="15"/>
      <c r="C356" s="15"/>
      <c r="D356" s="15"/>
      <c r="E356" s="15"/>
      <c r="F356" s="15"/>
      <c r="G356" s="15"/>
      <c r="H356" s="15"/>
      <c r="I356" s="15"/>
      <c r="J356" s="15"/>
      <c r="K356" s="15"/>
      <c r="L356" s="15"/>
      <c r="M356" s="15"/>
      <c r="N356" s="15"/>
    </row>
    <row r="357" spans="1:14" s="10" customFormat="1" x14ac:dyDescent="0.25">
      <c r="A357"/>
      <c r="B357" s="15"/>
      <c r="C357" s="15"/>
      <c r="D357" s="15"/>
      <c r="E357" s="15"/>
      <c r="F357" s="15"/>
      <c r="G357" s="15"/>
      <c r="H357" s="15"/>
      <c r="I357" s="15"/>
      <c r="J357" s="15"/>
      <c r="K357" s="15"/>
      <c r="L357" s="15"/>
      <c r="M357" s="15"/>
      <c r="N357" s="15"/>
    </row>
    <row r="358" spans="1:14" s="10" customFormat="1" x14ac:dyDescent="0.25">
      <c r="A358"/>
      <c r="B358" s="15"/>
      <c r="C358" s="15"/>
      <c r="D358" s="15"/>
      <c r="E358" s="15"/>
      <c r="F358" s="15"/>
      <c r="G358" s="15"/>
      <c r="H358" s="15"/>
      <c r="I358" s="15"/>
      <c r="J358" s="15"/>
      <c r="K358" s="15"/>
      <c r="L358" s="15"/>
      <c r="M358" s="15"/>
      <c r="N358" s="15"/>
    </row>
    <row r="359" spans="1:14" s="10" customFormat="1" x14ac:dyDescent="0.25">
      <c r="A359"/>
      <c r="B359" s="15"/>
      <c r="C359" s="15"/>
      <c r="D359" s="15"/>
      <c r="E359" s="15"/>
      <c r="F359" s="15"/>
      <c r="G359" s="15"/>
      <c r="H359" s="15"/>
      <c r="I359" s="15"/>
      <c r="J359" s="15"/>
      <c r="K359" s="15"/>
      <c r="L359" s="15"/>
      <c r="M359" s="15"/>
      <c r="N359" s="15"/>
    </row>
    <row r="360" spans="1:14" s="10" customFormat="1" x14ac:dyDescent="0.25">
      <c r="A360"/>
      <c r="B360" s="15"/>
      <c r="C360" s="15"/>
      <c r="D360" s="15"/>
      <c r="E360" s="15"/>
      <c r="F360" s="15"/>
      <c r="G360" s="15"/>
      <c r="H360" s="15"/>
      <c r="I360" s="15"/>
      <c r="J360" s="15"/>
      <c r="K360" s="15"/>
      <c r="L360" s="15"/>
      <c r="M360" s="15"/>
      <c r="N360" s="15"/>
    </row>
    <row r="361" spans="1:14" s="10" customFormat="1" x14ac:dyDescent="0.25">
      <c r="A361"/>
      <c r="B361" s="15"/>
      <c r="C361" s="15"/>
      <c r="D361" s="15"/>
      <c r="E361" s="15"/>
      <c r="F361" s="15"/>
      <c r="G361" s="15"/>
      <c r="H361" s="15"/>
      <c r="I361" s="15"/>
      <c r="J361" s="15"/>
      <c r="K361" s="15"/>
      <c r="L361" s="15"/>
      <c r="M361" s="15"/>
      <c r="N361" s="15"/>
    </row>
    <row r="362" spans="1:14" s="10" customFormat="1" x14ac:dyDescent="0.25">
      <c r="A362"/>
      <c r="B362" s="15"/>
      <c r="C362" s="15"/>
      <c r="D362" s="15"/>
      <c r="E362" s="15"/>
      <c r="F362" s="15"/>
      <c r="G362" s="15"/>
      <c r="H362" s="15"/>
      <c r="I362" s="15"/>
      <c r="J362" s="15"/>
      <c r="K362" s="15"/>
      <c r="L362" s="15"/>
      <c r="M362" s="15"/>
      <c r="N362" s="15"/>
    </row>
    <row r="363" spans="1:14" s="10" customFormat="1" x14ac:dyDescent="0.25">
      <c r="A363"/>
      <c r="B363" s="15"/>
      <c r="C363" s="15"/>
      <c r="D363" s="15"/>
      <c r="E363" s="15"/>
      <c r="F363" s="15"/>
      <c r="G363" s="15"/>
      <c r="H363" s="15"/>
      <c r="I363" s="15"/>
      <c r="J363" s="15"/>
      <c r="K363" s="15"/>
      <c r="L363" s="15"/>
      <c r="M363" s="15"/>
      <c r="N363" s="15"/>
    </row>
    <row r="364" spans="1:14" s="10" customFormat="1" x14ac:dyDescent="0.25">
      <c r="A364"/>
      <c r="B364" s="15"/>
      <c r="C364" s="15"/>
      <c r="D364" s="15"/>
      <c r="E364" s="15"/>
      <c r="F364" s="15"/>
      <c r="G364" s="15"/>
      <c r="H364" s="15"/>
      <c r="I364" s="15"/>
      <c r="J364" s="15"/>
      <c r="K364" s="15"/>
      <c r="L364" s="15"/>
      <c r="M364" s="15"/>
      <c r="N364" s="15"/>
    </row>
    <row r="365" spans="1:14" s="10" customFormat="1" x14ac:dyDescent="0.25">
      <c r="A365"/>
      <c r="B365" s="15"/>
      <c r="C365" s="15"/>
      <c r="D365" s="15"/>
      <c r="E365" s="15"/>
      <c r="F365" s="15"/>
      <c r="G365" s="15"/>
      <c r="H365" s="15"/>
      <c r="I365" s="15"/>
      <c r="J365" s="15"/>
      <c r="K365" s="15"/>
      <c r="L365" s="15"/>
      <c r="M365" s="15"/>
      <c r="N365" s="15"/>
    </row>
    <row r="366" spans="1:14" s="10" customFormat="1" x14ac:dyDescent="0.25">
      <c r="A366"/>
      <c r="B366" s="15"/>
      <c r="C366" s="15"/>
      <c r="D366" s="15"/>
      <c r="E366" s="15"/>
      <c r="F366" s="15"/>
      <c r="G366" s="15"/>
      <c r="H366" s="15"/>
      <c r="I366" s="15"/>
      <c r="J366" s="15"/>
      <c r="K366" s="15"/>
      <c r="L366" s="15"/>
      <c r="M366" s="15"/>
      <c r="N366" s="15"/>
    </row>
    <row r="367" spans="1:14" s="10" customFormat="1" x14ac:dyDescent="0.25">
      <c r="A367"/>
      <c r="B367" s="15"/>
      <c r="C367" s="15"/>
      <c r="D367" s="15"/>
      <c r="E367" s="15"/>
      <c r="F367" s="15"/>
      <c r="G367" s="15"/>
      <c r="H367" s="15"/>
      <c r="I367" s="15"/>
      <c r="J367" s="15"/>
      <c r="K367" s="15"/>
      <c r="L367" s="15"/>
      <c r="M367" s="15"/>
      <c r="N367" s="15"/>
    </row>
    <row r="368" spans="1:14" s="10" customFormat="1" x14ac:dyDescent="0.25">
      <c r="A368"/>
      <c r="B368" s="15"/>
      <c r="C368" s="15"/>
      <c r="D368" s="15"/>
      <c r="E368" s="15"/>
      <c r="F368" s="15"/>
      <c r="G368" s="15"/>
      <c r="H368" s="15"/>
      <c r="I368" s="15"/>
      <c r="J368" s="15"/>
      <c r="K368" s="15"/>
      <c r="L368" s="15"/>
      <c r="M368" s="15"/>
      <c r="N368" s="15"/>
    </row>
    <row r="369" spans="1:14" s="10" customFormat="1" x14ac:dyDescent="0.25">
      <c r="A369"/>
      <c r="B369" s="15"/>
      <c r="C369" s="15"/>
      <c r="D369" s="15"/>
      <c r="E369" s="15"/>
      <c r="F369" s="15"/>
      <c r="G369" s="15"/>
      <c r="H369" s="15"/>
      <c r="I369" s="15"/>
      <c r="J369" s="15"/>
      <c r="K369" s="15"/>
      <c r="L369" s="15"/>
      <c r="M369" s="15"/>
      <c r="N369" s="15"/>
    </row>
    <row r="370" spans="1:14" s="10" customFormat="1" x14ac:dyDescent="0.25">
      <c r="A370"/>
      <c r="B370" s="15"/>
      <c r="C370" s="15"/>
      <c r="D370" s="15"/>
      <c r="E370" s="15"/>
      <c r="F370" s="15"/>
      <c r="G370" s="15"/>
      <c r="H370" s="15"/>
      <c r="I370" s="15"/>
      <c r="J370" s="15"/>
      <c r="K370" s="15"/>
      <c r="L370" s="15"/>
      <c r="M370" s="15"/>
      <c r="N370" s="15"/>
    </row>
    <row r="371" spans="1:14" s="10" customFormat="1" x14ac:dyDescent="0.25">
      <c r="A371"/>
      <c r="B371" s="15"/>
      <c r="C371" s="15"/>
      <c r="D371" s="15"/>
      <c r="E371" s="15"/>
      <c r="F371" s="15"/>
      <c r="G371" s="15"/>
      <c r="H371" s="15"/>
      <c r="I371" s="15"/>
      <c r="J371" s="15"/>
      <c r="K371" s="15"/>
      <c r="L371" s="15"/>
      <c r="M371" s="15"/>
      <c r="N371" s="15"/>
    </row>
    <row r="372" spans="1:14" s="10" customFormat="1" x14ac:dyDescent="0.25">
      <c r="A372"/>
      <c r="B372" s="15"/>
      <c r="C372" s="15"/>
      <c r="D372" s="15"/>
      <c r="E372" s="15"/>
      <c r="F372" s="15"/>
      <c r="G372" s="15"/>
      <c r="H372" s="15"/>
      <c r="I372" s="15"/>
      <c r="J372" s="15"/>
      <c r="K372" s="15"/>
      <c r="L372" s="15"/>
      <c r="M372" s="15"/>
      <c r="N372" s="15"/>
    </row>
    <row r="373" spans="1:14" s="10" customFormat="1" x14ac:dyDescent="0.25">
      <c r="A373"/>
      <c r="B373" s="15"/>
      <c r="C373" s="15"/>
      <c r="D373" s="15"/>
      <c r="E373" s="15"/>
      <c r="F373" s="15"/>
      <c r="G373" s="15"/>
      <c r="H373" s="15"/>
      <c r="I373" s="15"/>
      <c r="J373" s="15"/>
      <c r="K373" s="15"/>
      <c r="L373" s="15"/>
      <c r="M373" s="15"/>
      <c r="N373" s="15"/>
    </row>
    <row r="374" spans="1:14" s="10" customFormat="1" x14ac:dyDescent="0.25">
      <c r="A374"/>
      <c r="B374" s="15"/>
      <c r="C374" s="15"/>
      <c r="D374" s="15"/>
      <c r="E374" s="15"/>
      <c r="F374" s="15"/>
      <c r="G374" s="15"/>
      <c r="H374" s="15"/>
      <c r="I374" s="15"/>
      <c r="J374" s="15"/>
      <c r="K374" s="15"/>
      <c r="L374" s="15"/>
      <c r="M374" s="15"/>
      <c r="N374" s="15"/>
    </row>
    <row r="375" spans="1:14" s="10" customFormat="1" x14ac:dyDescent="0.25">
      <c r="A375"/>
      <c r="B375" s="15"/>
      <c r="C375" s="15"/>
      <c r="D375" s="15"/>
      <c r="E375" s="15"/>
      <c r="F375" s="15"/>
      <c r="G375" s="15"/>
      <c r="H375" s="15"/>
      <c r="I375" s="15"/>
      <c r="J375" s="15"/>
      <c r="K375" s="15"/>
      <c r="L375" s="15"/>
      <c r="M375" s="15"/>
      <c r="N375" s="15"/>
    </row>
    <row r="376" spans="1:14" s="10" customFormat="1" x14ac:dyDescent="0.25">
      <c r="A376"/>
      <c r="B376" s="15"/>
      <c r="C376" s="15"/>
      <c r="D376" s="15"/>
      <c r="E376" s="15"/>
      <c r="F376" s="15"/>
      <c r="G376" s="15"/>
      <c r="H376" s="15"/>
      <c r="I376" s="15"/>
      <c r="J376" s="15"/>
      <c r="K376" s="15"/>
      <c r="L376" s="15"/>
      <c r="M376" s="15"/>
      <c r="N376" s="15"/>
    </row>
    <row r="377" spans="1:14" s="10" customFormat="1" x14ac:dyDescent="0.25">
      <c r="A377"/>
      <c r="B377" s="15"/>
      <c r="C377" s="15"/>
      <c r="D377" s="15"/>
      <c r="E377" s="15"/>
      <c r="F377" s="15"/>
      <c r="G377" s="15"/>
      <c r="H377" s="15"/>
      <c r="I377" s="15"/>
      <c r="J377" s="15"/>
      <c r="K377" s="15"/>
      <c r="L377" s="15"/>
      <c r="M377" s="15"/>
      <c r="N377" s="15"/>
    </row>
    <row r="378" spans="1:14" s="10" customFormat="1" x14ac:dyDescent="0.25">
      <c r="A378"/>
      <c r="B378" s="15"/>
      <c r="C378" s="15"/>
      <c r="D378" s="15"/>
      <c r="E378" s="15"/>
      <c r="F378" s="15"/>
      <c r="G378" s="15"/>
      <c r="H378" s="15"/>
      <c r="I378" s="15"/>
      <c r="J378" s="15"/>
      <c r="K378" s="15"/>
      <c r="L378" s="15"/>
      <c r="M378" s="15"/>
      <c r="N378" s="15"/>
    </row>
    <row r="379" spans="1:14" s="10" customFormat="1" x14ac:dyDescent="0.25">
      <c r="A379"/>
      <c r="B379" s="15"/>
      <c r="C379" s="15"/>
      <c r="D379" s="15"/>
      <c r="E379" s="15"/>
      <c r="F379" s="15"/>
      <c r="G379" s="15"/>
      <c r="H379" s="15"/>
      <c r="I379" s="15"/>
      <c r="J379" s="15"/>
      <c r="K379" s="15"/>
      <c r="L379" s="15"/>
      <c r="M379" s="15"/>
      <c r="N379" s="15"/>
    </row>
    <row r="380" spans="1:14" s="10" customFormat="1" x14ac:dyDescent="0.25">
      <c r="A380"/>
      <c r="B380" s="15"/>
      <c r="C380" s="15"/>
      <c r="D380" s="15"/>
      <c r="E380" s="15"/>
      <c r="F380" s="15"/>
      <c r="G380" s="15"/>
      <c r="H380" s="15"/>
      <c r="I380" s="15"/>
      <c r="J380" s="15"/>
      <c r="K380" s="15"/>
      <c r="L380" s="15"/>
      <c r="M380" s="15"/>
      <c r="N380" s="15"/>
    </row>
    <row r="381" spans="1:14" s="10" customFormat="1" x14ac:dyDescent="0.25">
      <c r="A381"/>
      <c r="B381" s="15"/>
      <c r="C381" s="15"/>
      <c r="D381" s="15"/>
      <c r="E381" s="15"/>
      <c r="F381" s="15"/>
      <c r="G381" s="15"/>
      <c r="H381" s="15"/>
      <c r="I381" s="15"/>
      <c r="J381" s="15"/>
      <c r="K381" s="15"/>
      <c r="L381" s="15"/>
      <c r="M381" s="15"/>
      <c r="N381" s="15"/>
    </row>
    <row r="382" spans="1:14" s="10" customFormat="1" x14ac:dyDescent="0.25">
      <c r="A382"/>
      <c r="B382" s="15"/>
      <c r="C382" s="15"/>
      <c r="D382" s="15"/>
      <c r="E382" s="15"/>
      <c r="F382" s="15"/>
      <c r="G382" s="15"/>
      <c r="H382" s="15"/>
      <c r="I382" s="15"/>
      <c r="J382" s="15"/>
      <c r="K382" s="15"/>
      <c r="L382" s="15"/>
      <c r="M382" s="15"/>
      <c r="N382" s="15"/>
    </row>
    <row r="383" spans="1:14" s="10" customFormat="1" x14ac:dyDescent="0.25">
      <c r="A383"/>
      <c r="B383" s="15"/>
      <c r="C383" s="15"/>
      <c r="D383" s="15"/>
      <c r="E383" s="15"/>
      <c r="F383" s="15"/>
      <c r="G383" s="15"/>
      <c r="H383" s="15"/>
      <c r="I383" s="15"/>
      <c r="J383" s="15"/>
      <c r="K383" s="15"/>
      <c r="L383" s="15"/>
      <c r="M383" s="15"/>
      <c r="N383" s="15"/>
    </row>
    <row r="384" spans="1:14" s="10" customFormat="1" x14ac:dyDescent="0.25">
      <c r="A384"/>
      <c r="B384" s="15"/>
      <c r="C384" s="15"/>
      <c r="D384" s="15"/>
      <c r="E384" s="15"/>
      <c r="F384" s="15"/>
      <c r="G384" s="15"/>
      <c r="H384" s="15"/>
      <c r="I384" s="15"/>
      <c r="J384" s="15"/>
      <c r="K384" s="15"/>
      <c r="L384" s="15"/>
      <c r="M384" s="15"/>
      <c r="N384" s="15"/>
    </row>
    <row r="385" spans="1:14" s="10" customFormat="1" x14ac:dyDescent="0.25">
      <c r="A385"/>
      <c r="B385" s="15"/>
      <c r="C385" s="15"/>
      <c r="D385" s="15"/>
      <c r="E385" s="15"/>
      <c r="F385" s="15"/>
      <c r="G385" s="15"/>
      <c r="H385" s="15"/>
      <c r="I385" s="15"/>
      <c r="J385" s="15"/>
      <c r="K385" s="15"/>
      <c r="L385" s="15"/>
      <c r="M385" s="15"/>
      <c r="N385" s="15"/>
    </row>
    <row r="386" spans="1:14" s="10" customFormat="1" x14ac:dyDescent="0.25">
      <c r="A386"/>
      <c r="B386" s="15"/>
      <c r="C386" s="15"/>
      <c r="D386" s="15"/>
      <c r="E386" s="15"/>
      <c r="F386" s="15"/>
      <c r="G386" s="15"/>
      <c r="H386" s="15"/>
      <c r="I386" s="15"/>
      <c r="J386" s="15"/>
      <c r="K386" s="15"/>
      <c r="L386" s="15"/>
      <c r="M386" s="15"/>
      <c r="N386" s="15"/>
    </row>
    <row r="387" spans="1:14" s="10" customFormat="1" x14ac:dyDescent="0.25">
      <c r="A387"/>
      <c r="B387" s="15"/>
      <c r="C387" s="15"/>
      <c r="D387" s="15"/>
      <c r="E387" s="15"/>
      <c r="F387" s="15"/>
      <c r="G387" s="15"/>
      <c r="H387" s="15"/>
      <c r="I387" s="15"/>
      <c r="J387" s="15"/>
      <c r="K387" s="15"/>
      <c r="L387" s="15"/>
      <c r="M387" s="15"/>
      <c r="N387" s="15"/>
    </row>
    <row r="388" spans="1:14" s="10" customFormat="1" x14ac:dyDescent="0.25">
      <c r="A388"/>
      <c r="B388" s="15"/>
      <c r="C388" s="15"/>
      <c r="D388" s="15"/>
      <c r="E388" s="15"/>
      <c r="F388" s="15"/>
      <c r="G388" s="15"/>
      <c r="H388" s="15"/>
      <c r="I388" s="15"/>
      <c r="J388" s="15"/>
      <c r="K388" s="15"/>
      <c r="L388" s="15"/>
      <c r="M388" s="15"/>
      <c r="N388" s="15"/>
    </row>
    <row r="389" spans="1:14" s="10" customFormat="1" x14ac:dyDescent="0.25">
      <c r="A389"/>
      <c r="B389" s="15"/>
      <c r="C389" s="15"/>
      <c r="D389" s="15"/>
      <c r="E389" s="15"/>
      <c r="F389" s="15"/>
      <c r="G389" s="15"/>
      <c r="H389" s="15"/>
      <c r="I389" s="15"/>
      <c r="J389" s="15"/>
      <c r="K389" s="15"/>
      <c r="L389" s="15"/>
      <c r="M389" s="15"/>
      <c r="N389" s="15"/>
    </row>
    <row r="390" spans="1:14" s="10" customFormat="1" x14ac:dyDescent="0.25">
      <c r="A390"/>
      <c r="B390" s="15"/>
      <c r="C390" s="15"/>
      <c r="D390" s="15"/>
      <c r="E390" s="15"/>
      <c r="F390" s="15"/>
      <c r="G390" s="15"/>
      <c r="H390" s="15"/>
      <c r="I390" s="15"/>
      <c r="J390" s="15"/>
      <c r="K390" s="15"/>
      <c r="L390" s="15"/>
      <c r="M390" s="15"/>
      <c r="N390" s="15"/>
    </row>
    <row r="391" spans="1:14" s="10" customFormat="1" x14ac:dyDescent="0.25">
      <c r="A391"/>
      <c r="B391" s="15"/>
      <c r="C391" s="15"/>
      <c r="D391" s="15"/>
      <c r="E391" s="15"/>
      <c r="F391" s="15"/>
      <c r="G391" s="15"/>
      <c r="H391" s="15"/>
      <c r="I391" s="15"/>
      <c r="J391" s="15"/>
      <c r="K391" s="15"/>
      <c r="L391" s="15"/>
      <c r="M391" s="15"/>
      <c r="N391" s="15"/>
    </row>
    <row r="392" spans="1:14" s="10" customFormat="1" x14ac:dyDescent="0.25">
      <c r="A392"/>
      <c r="B392" s="15"/>
      <c r="C392" s="15"/>
      <c r="D392" s="15"/>
      <c r="E392" s="15"/>
      <c r="F392" s="15"/>
      <c r="G392" s="15"/>
      <c r="H392" s="15"/>
      <c r="I392" s="15"/>
      <c r="J392" s="15"/>
      <c r="K392" s="15"/>
      <c r="L392" s="15"/>
      <c r="M392" s="15"/>
      <c r="N392" s="15"/>
    </row>
    <row r="393" spans="1:14" s="10" customFormat="1" x14ac:dyDescent="0.25">
      <c r="A393"/>
      <c r="B393" s="15"/>
      <c r="C393" s="15"/>
      <c r="D393" s="15"/>
      <c r="E393" s="15"/>
      <c r="F393" s="15"/>
      <c r="G393" s="15"/>
      <c r="H393" s="15"/>
      <c r="I393" s="15"/>
      <c r="J393" s="15"/>
      <c r="K393" s="15"/>
      <c r="L393" s="15"/>
      <c r="M393" s="15"/>
      <c r="N393" s="15"/>
    </row>
    <row r="394" spans="1:14" s="10" customFormat="1" x14ac:dyDescent="0.25">
      <c r="A394"/>
      <c r="B394" s="15"/>
      <c r="C394" s="15"/>
      <c r="D394" s="15"/>
      <c r="E394" s="15"/>
      <c r="F394" s="15"/>
      <c r="G394" s="15"/>
      <c r="H394" s="15"/>
      <c r="I394" s="15"/>
      <c r="J394" s="15"/>
      <c r="K394" s="15"/>
      <c r="L394" s="15"/>
      <c r="M394" s="15"/>
      <c r="N394" s="15"/>
    </row>
    <row r="395" spans="1:14" s="10" customFormat="1" x14ac:dyDescent="0.25">
      <c r="A395"/>
      <c r="B395" s="15"/>
      <c r="C395" s="15"/>
      <c r="D395" s="15"/>
      <c r="E395" s="15"/>
      <c r="F395" s="15"/>
      <c r="G395" s="15"/>
      <c r="H395" s="15"/>
      <c r="I395" s="15"/>
      <c r="J395" s="15"/>
      <c r="K395" s="15"/>
      <c r="L395" s="15"/>
      <c r="M395" s="15"/>
      <c r="N395" s="15"/>
    </row>
    <row r="396" spans="1:14" s="10" customFormat="1" x14ac:dyDescent="0.25">
      <c r="A396"/>
      <c r="B396" s="15"/>
      <c r="C396" s="15"/>
      <c r="D396" s="15"/>
      <c r="E396" s="15"/>
      <c r="F396" s="15"/>
      <c r="G396" s="15"/>
      <c r="H396" s="15"/>
      <c r="I396" s="15"/>
      <c r="J396" s="15"/>
      <c r="K396" s="15"/>
      <c r="L396" s="15"/>
      <c r="M396" s="15"/>
      <c r="N396" s="15"/>
    </row>
    <row r="397" spans="1:14" s="10" customFormat="1" x14ac:dyDescent="0.25">
      <c r="A397"/>
      <c r="B397" s="15"/>
      <c r="C397" s="15"/>
      <c r="D397" s="15"/>
      <c r="E397" s="15"/>
      <c r="F397" s="15"/>
      <c r="G397" s="15"/>
      <c r="H397" s="15"/>
      <c r="I397" s="15"/>
      <c r="J397" s="15"/>
      <c r="K397" s="15"/>
      <c r="L397" s="15"/>
      <c r="M397" s="15"/>
      <c r="N397" s="15"/>
    </row>
    <row r="398" spans="1:14" s="10" customFormat="1" x14ac:dyDescent="0.25">
      <c r="A398"/>
      <c r="B398" s="15"/>
      <c r="C398" s="15"/>
      <c r="D398" s="15"/>
      <c r="E398" s="15"/>
      <c r="F398" s="15"/>
      <c r="G398" s="15"/>
      <c r="H398" s="15"/>
      <c r="I398" s="15"/>
      <c r="J398" s="15"/>
      <c r="K398" s="15"/>
      <c r="L398" s="15"/>
      <c r="M398" s="15"/>
      <c r="N398" s="15"/>
    </row>
    <row r="399" spans="1:14" s="10" customFormat="1" x14ac:dyDescent="0.25">
      <c r="A399"/>
      <c r="B399" s="15"/>
      <c r="C399" s="15"/>
      <c r="D399" s="15"/>
      <c r="E399" s="15"/>
      <c r="F399" s="15"/>
      <c r="G399" s="15"/>
      <c r="H399" s="15"/>
      <c r="I399" s="15"/>
      <c r="J399" s="15"/>
      <c r="K399" s="15"/>
      <c r="L399" s="15"/>
      <c r="M399" s="15"/>
      <c r="N399" s="15"/>
    </row>
    <row r="400" spans="1:14" s="10" customFormat="1" x14ac:dyDescent="0.25">
      <c r="A400"/>
      <c r="B400" s="15"/>
      <c r="C400" s="15"/>
      <c r="D400" s="15"/>
      <c r="E400" s="15"/>
      <c r="F400" s="15"/>
      <c r="G400" s="15"/>
      <c r="H400" s="15"/>
      <c r="I400" s="15"/>
      <c r="J400" s="15"/>
      <c r="K400" s="15"/>
      <c r="L400" s="15"/>
      <c r="M400" s="15"/>
      <c r="N400" s="15"/>
    </row>
    <row r="401" spans="1:14" s="10" customFormat="1" x14ac:dyDescent="0.25">
      <c r="A401"/>
      <c r="B401" s="15"/>
      <c r="C401" s="15"/>
      <c r="D401" s="15"/>
      <c r="E401" s="15"/>
      <c r="F401" s="15"/>
      <c r="G401" s="15"/>
      <c r="H401" s="15"/>
      <c r="I401" s="15"/>
      <c r="J401" s="15"/>
      <c r="K401" s="15"/>
      <c r="L401" s="15"/>
      <c r="M401" s="15"/>
      <c r="N401" s="15"/>
    </row>
    <row r="402" spans="1:14" s="10" customFormat="1" x14ac:dyDescent="0.25">
      <c r="A402"/>
      <c r="B402" s="15"/>
      <c r="C402" s="15"/>
      <c r="D402" s="15"/>
      <c r="E402" s="15"/>
      <c r="F402" s="15"/>
      <c r="G402" s="15"/>
      <c r="H402" s="15"/>
      <c r="I402" s="15"/>
      <c r="J402" s="15"/>
      <c r="K402" s="15"/>
      <c r="L402" s="15"/>
      <c r="M402" s="15"/>
      <c r="N402" s="15"/>
    </row>
    <row r="403" spans="1:14" s="10" customFormat="1" x14ac:dyDescent="0.25">
      <c r="A403"/>
      <c r="B403" s="15"/>
      <c r="C403" s="15"/>
      <c r="D403" s="15"/>
      <c r="E403" s="15"/>
      <c r="F403" s="15"/>
      <c r="G403" s="15"/>
      <c r="H403" s="15"/>
      <c r="I403" s="15"/>
      <c r="J403" s="15"/>
      <c r="K403" s="15"/>
      <c r="L403" s="15"/>
      <c r="M403" s="15"/>
      <c r="N403" s="15"/>
    </row>
    <row r="404" spans="1:14" s="10" customFormat="1" x14ac:dyDescent="0.25">
      <c r="A404"/>
      <c r="B404" s="15"/>
      <c r="C404" s="15"/>
      <c r="D404" s="15"/>
      <c r="E404" s="15"/>
      <c r="F404" s="15"/>
      <c r="G404" s="15"/>
      <c r="H404" s="15"/>
      <c r="I404" s="15"/>
      <c r="J404" s="15"/>
      <c r="K404" s="15"/>
      <c r="L404" s="15"/>
      <c r="M404" s="15"/>
      <c r="N404" s="15"/>
    </row>
    <row r="405" spans="1:14" s="10" customFormat="1" x14ac:dyDescent="0.25">
      <c r="A405"/>
      <c r="B405" s="15"/>
      <c r="C405" s="15"/>
      <c r="D405" s="15"/>
      <c r="E405" s="15"/>
      <c r="F405" s="15"/>
      <c r="G405" s="15"/>
      <c r="H405" s="15"/>
      <c r="I405" s="15"/>
      <c r="J405" s="15"/>
      <c r="K405" s="15"/>
      <c r="L405" s="15"/>
      <c r="M405" s="15"/>
      <c r="N405" s="15"/>
    </row>
    <row r="406" spans="1:14" s="10" customFormat="1" x14ac:dyDescent="0.25">
      <c r="A406"/>
      <c r="B406" s="15"/>
      <c r="C406" s="15"/>
      <c r="D406" s="15"/>
      <c r="E406" s="15"/>
      <c r="F406" s="15"/>
      <c r="G406" s="15"/>
      <c r="H406" s="15"/>
      <c r="I406" s="15"/>
      <c r="J406" s="15"/>
      <c r="K406" s="15"/>
      <c r="L406" s="15"/>
      <c r="M406" s="15"/>
      <c r="N406" s="15"/>
    </row>
    <row r="407" spans="1:14" s="10" customFormat="1" x14ac:dyDescent="0.25">
      <c r="A407"/>
      <c r="B407" s="15"/>
      <c r="C407" s="15"/>
      <c r="D407" s="15"/>
      <c r="E407" s="15"/>
      <c r="F407" s="15"/>
      <c r="G407" s="15"/>
      <c r="H407" s="15"/>
      <c r="I407" s="15"/>
      <c r="J407" s="15"/>
      <c r="K407" s="15"/>
      <c r="L407" s="15"/>
      <c r="M407" s="15"/>
      <c r="N407" s="15"/>
    </row>
    <row r="408" spans="1:14" s="10" customFormat="1" x14ac:dyDescent="0.25">
      <c r="A408"/>
      <c r="B408" s="15"/>
      <c r="C408" s="15"/>
      <c r="D408" s="15"/>
      <c r="E408" s="15"/>
      <c r="F408" s="15"/>
      <c r="G408" s="15"/>
      <c r="H408" s="15"/>
      <c r="I408" s="15"/>
      <c r="J408" s="15"/>
      <c r="K408" s="15"/>
      <c r="L408" s="15"/>
      <c r="M408" s="15"/>
      <c r="N408" s="15"/>
    </row>
    <row r="409" spans="1:14" s="10" customFormat="1" x14ac:dyDescent="0.25">
      <c r="A409"/>
      <c r="B409" s="15"/>
      <c r="C409" s="15"/>
      <c r="D409" s="15"/>
      <c r="E409" s="15"/>
      <c r="F409" s="15"/>
      <c r="G409" s="15"/>
      <c r="H409" s="15"/>
      <c r="I409" s="15"/>
      <c r="J409" s="15"/>
      <c r="K409" s="15"/>
      <c r="L409" s="15"/>
      <c r="M409" s="15"/>
      <c r="N409" s="15"/>
    </row>
    <row r="410" spans="1:14" s="10" customFormat="1" x14ac:dyDescent="0.25">
      <c r="A410"/>
      <c r="B410" s="15"/>
      <c r="C410" s="15"/>
      <c r="D410" s="15"/>
      <c r="E410" s="15"/>
      <c r="F410" s="15"/>
      <c r="G410" s="15"/>
      <c r="H410" s="15"/>
      <c r="I410" s="15"/>
      <c r="J410" s="15"/>
      <c r="K410" s="15"/>
      <c r="L410" s="15"/>
      <c r="M410" s="15"/>
      <c r="N410" s="15"/>
    </row>
    <row r="411" spans="1:14" s="10" customFormat="1" x14ac:dyDescent="0.25">
      <c r="A411"/>
      <c r="B411" s="15"/>
      <c r="C411" s="15"/>
      <c r="D411" s="15"/>
      <c r="E411" s="15"/>
      <c r="F411" s="15"/>
      <c r="G411" s="15"/>
      <c r="H411" s="15"/>
      <c r="I411" s="15"/>
      <c r="J411" s="15"/>
      <c r="K411" s="15"/>
      <c r="L411" s="15"/>
      <c r="M411" s="15"/>
      <c r="N411" s="15"/>
    </row>
    <row r="412" spans="1:14" s="10" customFormat="1" x14ac:dyDescent="0.25">
      <c r="A412"/>
      <c r="B412" s="15"/>
      <c r="C412" s="15"/>
      <c r="D412" s="15"/>
      <c r="E412" s="15"/>
      <c r="F412" s="15"/>
      <c r="G412" s="15"/>
      <c r="H412" s="15"/>
      <c r="I412" s="15"/>
      <c r="J412" s="15"/>
      <c r="K412" s="15"/>
      <c r="L412" s="15"/>
      <c r="M412" s="15"/>
      <c r="N412" s="15"/>
    </row>
    <row r="413" spans="1:14" s="10" customFormat="1" x14ac:dyDescent="0.25">
      <c r="A413"/>
      <c r="B413" s="15"/>
      <c r="C413" s="15"/>
      <c r="D413" s="15"/>
      <c r="E413" s="15"/>
      <c r="F413" s="15"/>
      <c r="G413" s="15"/>
      <c r="H413" s="15"/>
      <c r="I413" s="15"/>
      <c r="J413" s="15"/>
      <c r="K413" s="15"/>
      <c r="L413" s="15"/>
      <c r="M413" s="15"/>
      <c r="N413" s="15"/>
    </row>
    <row r="414" spans="1:14" s="10" customFormat="1" x14ac:dyDescent="0.25">
      <c r="A414"/>
      <c r="B414" s="15"/>
      <c r="C414" s="15"/>
      <c r="D414" s="15"/>
      <c r="E414" s="15"/>
      <c r="F414" s="15"/>
      <c r="G414" s="15"/>
      <c r="H414" s="15"/>
      <c r="I414" s="15"/>
      <c r="J414" s="15"/>
      <c r="K414" s="15"/>
      <c r="L414" s="15"/>
      <c r="M414" s="15"/>
      <c r="N414" s="15"/>
    </row>
    <row r="415" spans="1:14" s="10" customFormat="1" x14ac:dyDescent="0.25">
      <c r="A415"/>
      <c r="B415" s="15"/>
      <c r="C415" s="15"/>
      <c r="D415" s="15"/>
      <c r="E415" s="15"/>
      <c r="F415" s="15"/>
      <c r="G415" s="15"/>
      <c r="H415" s="15"/>
      <c r="I415" s="15"/>
      <c r="J415" s="15"/>
      <c r="K415" s="15"/>
      <c r="L415" s="15"/>
      <c r="M415" s="15"/>
      <c r="N415" s="15"/>
    </row>
    <row r="416" spans="1:14" s="10" customFormat="1" x14ac:dyDescent="0.25">
      <c r="A416"/>
      <c r="B416" s="15"/>
      <c r="C416" s="15"/>
      <c r="D416" s="15"/>
      <c r="E416" s="15"/>
      <c r="F416" s="15"/>
      <c r="G416" s="15"/>
      <c r="H416" s="15"/>
      <c r="I416" s="15"/>
      <c r="J416" s="15"/>
      <c r="K416" s="15"/>
      <c r="L416" s="15"/>
      <c r="M416" s="15"/>
      <c r="N416" s="15"/>
    </row>
    <row r="417" spans="1:14" s="10" customFormat="1" x14ac:dyDescent="0.25">
      <c r="A417"/>
      <c r="B417" s="15"/>
      <c r="C417" s="15"/>
      <c r="D417" s="15"/>
      <c r="E417" s="15"/>
      <c r="F417" s="15"/>
      <c r="G417" s="15"/>
      <c r="H417" s="15"/>
      <c r="I417" s="15"/>
      <c r="J417" s="15"/>
      <c r="K417" s="15"/>
      <c r="L417" s="15"/>
      <c r="M417" s="15"/>
      <c r="N417" s="15"/>
    </row>
    <row r="418" spans="1:14" s="10" customFormat="1" x14ac:dyDescent="0.25">
      <c r="A418"/>
      <c r="B418" s="15"/>
      <c r="C418" s="15"/>
      <c r="D418" s="15"/>
      <c r="E418" s="15"/>
      <c r="F418" s="15"/>
      <c r="G418" s="15"/>
      <c r="H418" s="15"/>
      <c r="I418" s="15"/>
      <c r="J418" s="15"/>
      <c r="K418" s="15"/>
      <c r="L418" s="15"/>
      <c r="M418" s="15"/>
      <c r="N418" s="15"/>
    </row>
    <row r="419" spans="1:14" s="10" customFormat="1" x14ac:dyDescent="0.25">
      <c r="A419"/>
      <c r="B419" s="15"/>
      <c r="C419" s="15"/>
      <c r="D419" s="15"/>
      <c r="E419" s="15"/>
      <c r="F419" s="15"/>
      <c r="G419" s="15"/>
      <c r="H419" s="15"/>
      <c r="I419" s="15"/>
      <c r="J419" s="15"/>
      <c r="K419" s="15"/>
      <c r="L419" s="15"/>
      <c r="M419" s="15"/>
      <c r="N419" s="15"/>
    </row>
    <row r="420" spans="1:14" s="10" customFormat="1" x14ac:dyDescent="0.25">
      <c r="A420"/>
      <c r="B420" s="15"/>
      <c r="C420" s="15"/>
      <c r="D420" s="15"/>
      <c r="E420" s="15"/>
      <c r="F420" s="15"/>
      <c r="G420" s="15"/>
      <c r="H420" s="15"/>
      <c r="I420" s="15"/>
      <c r="J420" s="15"/>
      <c r="K420" s="15"/>
      <c r="L420" s="15"/>
      <c r="M420" s="15"/>
      <c r="N420" s="15"/>
    </row>
    <row r="421" spans="1:14" s="10" customFormat="1" x14ac:dyDescent="0.25">
      <c r="A421"/>
      <c r="B421" s="15"/>
      <c r="C421" s="15"/>
      <c r="D421" s="15"/>
      <c r="E421" s="15"/>
      <c r="F421" s="15"/>
      <c r="G421" s="15"/>
      <c r="H421" s="15"/>
      <c r="I421" s="15"/>
      <c r="J421" s="15"/>
      <c r="K421" s="15"/>
      <c r="L421" s="15"/>
      <c r="M421" s="15"/>
      <c r="N421" s="15"/>
    </row>
    <row r="422" spans="1:14" s="10" customFormat="1" x14ac:dyDescent="0.25">
      <c r="A422"/>
      <c r="B422" s="15"/>
      <c r="C422" s="15"/>
      <c r="D422" s="15"/>
      <c r="E422" s="15"/>
      <c r="F422" s="15"/>
      <c r="G422" s="15"/>
      <c r="H422" s="15"/>
      <c r="I422" s="15"/>
      <c r="J422" s="15"/>
      <c r="K422" s="15"/>
      <c r="L422" s="15"/>
      <c r="M422" s="15"/>
      <c r="N422" s="15"/>
    </row>
    <row r="423" spans="1:14" s="10" customFormat="1" x14ac:dyDescent="0.25">
      <c r="A423"/>
      <c r="B423" s="15"/>
      <c r="C423" s="15"/>
      <c r="D423" s="15"/>
      <c r="E423" s="15"/>
      <c r="F423" s="15"/>
      <c r="G423" s="15"/>
      <c r="H423" s="15"/>
      <c r="I423" s="15"/>
      <c r="J423" s="15"/>
      <c r="K423" s="15"/>
      <c r="L423" s="15"/>
      <c r="M423" s="15"/>
      <c r="N423" s="15"/>
    </row>
    <row r="424" spans="1:14" s="10" customFormat="1" x14ac:dyDescent="0.25">
      <c r="A424"/>
      <c r="B424" s="15"/>
      <c r="C424" s="15"/>
      <c r="D424" s="15"/>
      <c r="E424" s="15"/>
      <c r="F424" s="15"/>
      <c r="G424" s="15"/>
      <c r="H424" s="15"/>
      <c r="I424" s="15"/>
      <c r="J424" s="15"/>
      <c r="K424" s="15"/>
      <c r="L424" s="15"/>
      <c r="M424" s="15"/>
      <c r="N424" s="15"/>
    </row>
    <row r="425" spans="1:14" s="10" customFormat="1" x14ac:dyDescent="0.25">
      <c r="A425"/>
      <c r="B425" s="15"/>
      <c r="C425" s="15"/>
      <c r="D425" s="15"/>
      <c r="E425" s="15"/>
      <c r="F425" s="15"/>
      <c r="G425" s="15"/>
      <c r="H425" s="15"/>
      <c r="I425" s="15"/>
      <c r="J425" s="15"/>
      <c r="K425" s="15"/>
      <c r="L425" s="15"/>
      <c r="M425" s="15"/>
      <c r="N425" s="15"/>
    </row>
    <row r="426" spans="1:14" s="10" customFormat="1" x14ac:dyDescent="0.25">
      <c r="A426"/>
      <c r="B426" s="15"/>
      <c r="C426" s="15"/>
      <c r="D426" s="15"/>
      <c r="E426" s="15"/>
      <c r="F426" s="15"/>
      <c r="G426" s="15"/>
      <c r="H426" s="15"/>
      <c r="I426" s="15"/>
      <c r="J426" s="15"/>
      <c r="K426" s="15"/>
      <c r="L426" s="15"/>
      <c r="M426" s="15"/>
      <c r="N426" s="15"/>
    </row>
    <row r="427" spans="1:14" s="10" customFormat="1" x14ac:dyDescent="0.25">
      <c r="A427"/>
      <c r="B427" s="15"/>
      <c r="C427" s="15"/>
      <c r="D427" s="15"/>
      <c r="E427" s="15"/>
      <c r="F427" s="15"/>
      <c r="G427" s="15"/>
      <c r="H427" s="15"/>
      <c r="I427" s="15"/>
      <c r="J427" s="15"/>
      <c r="K427" s="15"/>
      <c r="L427" s="15"/>
      <c r="M427" s="15"/>
      <c r="N427" s="15"/>
    </row>
    <row r="428" spans="1:14" s="10" customFormat="1" x14ac:dyDescent="0.25">
      <c r="A428"/>
      <c r="B428" s="15"/>
      <c r="C428" s="15"/>
      <c r="D428" s="15"/>
      <c r="E428" s="15"/>
      <c r="F428" s="15"/>
      <c r="G428" s="15"/>
      <c r="H428" s="15"/>
      <c r="I428" s="15"/>
      <c r="J428" s="15"/>
      <c r="K428" s="15"/>
      <c r="L428" s="15"/>
      <c r="M428" s="15"/>
      <c r="N428" s="15"/>
    </row>
    <row r="429" spans="1:14" s="10" customFormat="1" x14ac:dyDescent="0.25">
      <c r="A429"/>
      <c r="B429" s="15"/>
      <c r="C429" s="15"/>
      <c r="D429" s="15"/>
      <c r="E429" s="15"/>
      <c r="F429" s="15"/>
      <c r="G429" s="15"/>
      <c r="H429" s="15"/>
      <c r="I429" s="15"/>
      <c r="J429" s="15"/>
      <c r="K429" s="15"/>
      <c r="L429" s="15"/>
      <c r="M429" s="15"/>
      <c r="N429" s="15"/>
    </row>
    <row r="430" spans="1:14" s="10" customFormat="1" x14ac:dyDescent="0.25">
      <c r="A430"/>
      <c r="B430" s="15"/>
      <c r="C430" s="15"/>
      <c r="D430" s="15"/>
      <c r="E430" s="15"/>
      <c r="F430" s="15"/>
      <c r="G430" s="15"/>
      <c r="H430" s="15"/>
      <c r="I430" s="15"/>
      <c r="J430" s="15"/>
      <c r="K430" s="15"/>
      <c r="L430" s="15"/>
      <c r="M430" s="15"/>
      <c r="N430" s="15"/>
    </row>
    <row r="431" spans="1:14" s="10" customFormat="1" x14ac:dyDescent="0.25">
      <c r="A431"/>
      <c r="B431" s="15"/>
      <c r="C431" s="15"/>
      <c r="D431" s="15"/>
      <c r="E431" s="15"/>
      <c r="F431" s="15"/>
      <c r="G431" s="15"/>
      <c r="H431" s="15"/>
      <c r="I431" s="15"/>
      <c r="J431" s="15"/>
      <c r="K431" s="15"/>
      <c r="L431" s="15"/>
      <c r="M431" s="15"/>
      <c r="N431" s="15"/>
    </row>
    <row r="432" spans="1:14" s="10" customFormat="1" x14ac:dyDescent="0.25">
      <c r="A432"/>
      <c r="B432" s="15"/>
      <c r="C432" s="15"/>
      <c r="D432" s="15"/>
      <c r="E432" s="15"/>
      <c r="F432" s="15"/>
      <c r="G432" s="15"/>
      <c r="H432" s="15"/>
      <c r="I432" s="15"/>
      <c r="J432" s="15"/>
      <c r="K432" s="15"/>
      <c r="L432" s="15"/>
      <c r="M432" s="15"/>
      <c r="N432" s="15"/>
    </row>
    <row r="433" spans="1:14" s="10" customFormat="1" x14ac:dyDescent="0.25">
      <c r="A433"/>
      <c r="B433" s="15"/>
      <c r="C433" s="15"/>
      <c r="D433" s="15"/>
      <c r="E433" s="15"/>
      <c r="F433" s="15"/>
      <c r="G433" s="15"/>
      <c r="H433" s="15"/>
      <c r="I433" s="15"/>
      <c r="J433" s="15"/>
      <c r="K433" s="15"/>
      <c r="L433" s="15"/>
      <c r="M433" s="15"/>
      <c r="N433" s="15"/>
    </row>
    <row r="434" spans="1:14" s="10" customFormat="1" x14ac:dyDescent="0.25">
      <c r="A434"/>
      <c r="B434" s="15"/>
      <c r="C434" s="15"/>
      <c r="D434" s="15"/>
      <c r="E434" s="15"/>
      <c r="F434" s="15"/>
      <c r="G434" s="15"/>
      <c r="H434" s="15"/>
      <c r="I434" s="15"/>
      <c r="J434" s="15"/>
      <c r="K434" s="15"/>
      <c r="L434" s="15"/>
      <c r="M434" s="15"/>
      <c r="N434" s="15"/>
    </row>
    <row r="435" spans="1:14" s="10" customFormat="1" x14ac:dyDescent="0.25">
      <c r="A435"/>
      <c r="B435" s="15"/>
      <c r="C435" s="15"/>
      <c r="D435" s="15"/>
      <c r="E435" s="15"/>
      <c r="F435" s="15"/>
      <c r="G435" s="15"/>
      <c r="H435" s="15"/>
      <c r="I435" s="15"/>
      <c r="J435" s="15"/>
      <c r="K435" s="15"/>
      <c r="L435" s="15"/>
      <c r="M435" s="15"/>
      <c r="N435" s="15"/>
    </row>
  </sheetData>
  <mergeCells count="4">
    <mergeCell ref="B3:B4"/>
    <mergeCell ref="C3:C4"/>
    <mergeCell ref="D3:G3"/>
    <mergeCell ref="J3:M3"/>
  </mergeCells>
  <phoneticPr fontId="2" type="noConversion"/>
  <conditionalFormatting sqref="B1:B3 B5:B9 B426:B65536">
    <cfRule type="cellIs" dxfId="28" priority="2" stopIfTrue="1" operator="equal">
      <formula>"Needed"</formula>
    </cfRule>
    <cfRule type="cellIs" dxfId="27" priority="3" stopIfTrue="1" operator="equal">
      <formula>"NA"</formula>
    </cfRule>
  </conditionalFormatting>
  <conditionalFormatting sqref="B10 B38 B44 B49 B194 B204 B245 B276 B311:B312 B315:B319 B321:B324 B327:B425">
    <cfRule type="cellIs" dxfId="26" priority="5" stopIfTrue="1" operator="equal">
      <formula>"Needed"</formula>
    </cfRule>
    <cfRule type="cellIs" dxfId="25" priority="6" stopIfTrue="1" operator="equal">
      <formula>"No"</formula>
    </cfRule>
  </conditionalFormatting>
  <conditionalFormatting sqref="B11:B37 B39:B43 B45:B48 B50:B82 B84:B140 B142:B193 B195:B203 B205:B244 B246:B275 B277:B310">
    <cfRule type="expression" dxfId="24" priority="7" stopIfTrue="1">
      <formula>OR(B11="Needed",B11="No-3")</formula>
    </cfRule>
    <cfRule type="cellIs" dxfId="23" priority="8" stopIfTrue="1" operator="equal">
      <formula>"No-2"</formula>
    </cfRule>
    <cfRule type="cellIs" dxfId="22" priority="9" stopIfTrue="1" operator="equal">
      <formula>"No-1"</formula>
    </cfRule>
  </conditionalFormatting>
  <conditionalFormatting sqref="C1:C2 C5:C9 C426:C65536">
    <cfRule type="cellIs" dxfId="21" priority="4" stopIfTrue="1" operator="equal">
      <formula>0</formula>
    </cfRule>
  </conditionalFormatting>
  <conditionalFormatting sqref="D1:G2 J1:N2 H1:H3 O1:O3 D4:G310 O5:O9 H8:H310 I10:O310 D311:H312 J311:O312 D315:H319 J315:O319 D321:H324 J321:O324 D327:H65536 J327:O65536">
    <cfRule type="cellIs" dxfId="20" priority="1" stopIfTrue="1" operator="equal">
      <formula>"NA"</formula>
    </cfRule>
  </conditionalFormatting>
  <conditionalFormatting sqref="H4:I7">
    <cfRule type="cellIs" dxfId="19" priority="10" stopIfTrue="1" operator="equal">
      <formula>"NA"</formula>
    </cfRule>
  </conditionalFormatting>
  <pageMargins left="0.25" right="0.25" top="0.23" bottom="0.34" header="0" footer="0"/>
  <pageSetup scale="74" fitToHeight="7" orientation="landscape" horizontalDpi="4294967292" r:id="rId1"/>
  <headerFooter alignWithMargins="0">
    <oddFooter>Page &amp;P of &amp;N</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Z395"/>
  <sheetViews>
    <sheetView showGridLines="0" zoomScaleNormal="100" workbookViewId="0">
      <pane xSplit="1" ySplit="9" topLeftCell="AK187" activePane="bottomRight" state="frozen"/>
      <selection pane="topRight" activeCell="B228" sqref="B228"/>
      <selection pane="bottomLeft" activeCell="B228" sqref="B228"/>
      <selection pane="bottomRight" activeCell="AN46" sqref="AN46"/>
    </sheetView>
  </sheetViews>
  <sheetFormatPr defaultRowHeight="13.2" x14ac:dyDescent="0.25"/>
  <cols>
    <col min="1" max="1" width="29.5546875" customWidth="1"/>
    <col min="2" max="5" width="10.5546875" style="33" customWidth="1"/>
    <col min="6" max="8" width="10.5546875" customWidth="1"/>
    <col min="9" max="9" width="10.5546875" style="490" customWidth="1"/>
    <col min="10" max="16" width="10.5546875" style="15" customWidth="1"/>
    <col min="17" max="29" width="10.5546875" style="33" customWidth="1"/>
    <col min="30" max="30" width="10.5546875" style="495" customWidth="1"/>
    <col min="31" max="31" width="10.5546875" style="33" customWidth="1"/>
    <col min="32" max="32" width="10.5546875" style="495" customWidth="1"/>
    <col min="33" max="40" width="10.5546875" style="33" customWidth="1"/>
    <col min="41" max="41" width="10.5546875" style="495" customWidth="1"/>
    <col min="42" max="46" width="10.5546875" style="33" customWidth="1"/>
    <col min="47" max="47" width="10.5546875" style="495" customWidth="1"/>
    <col min="48" max="51" width="10.5546875" customWidth="1"/>
  </cols>
  <sheetData>
    <row r="1" spans="1:52" ht="17.399999999999999" x14ac:dyDescent="0.3">
      <c r="A1" s="207"/>
      <c r="H1" s="184"/>
      <c r="T1" s="179"/>
      <c r="U1" s="179"/>
      <c r="V1" s="179"/>
      <c r="W1" s="179"/>
      <c r="X1" s="179"/>
      <c r="Y1" s="179"/>
      <c r="Z1" s="179"/>
      <c r="AA1" s="179"/>
      <c r="AB1" s="179"/>
      <c r="AC1" s="179"/>
      <c r="AD1" s="494"/>
      <c r="AE1" s="179"/>
      <c r="AF1" s="494"/>
      <c r="AG1" s="179"/>
      <c r="AH1" s="179"/>
      <c r="AI1" s="179"/>
      <c r="AJ1" s="179"/>
      <c r="AK1" s="179"/>
      <c r="AL1" s="179"/>
      <c r="AM1" s="179"/>
      <c r="AN1" s="179"/>
      <c r="AO1" s="494"/>
      <c r="AP1" s="179"/>
      <c r="AQ1" s="179"/>
      <c r="AR1" s="179"/>
      <c r="AS1" s="179"/>
      <c r="AT1" s="179"/>
      <c r="AU1" s="494"/>
      <c r="AV1" s="23"/>
      <c r="AW1" s="23"/>
      <c r="AX1" s="23"/>
      <c r="AY1" s="23"/>
      <c r="AZ1" s="23"/>
    </row>
    <row r="2" spans="1:52" ht="13.8" thickBot="1" x14ac:dyDescent="0.3">
      <c r="A2" s="23"/>
      <c r="Q2" s="180"/>
      <c r="S2" s="179"/>
      <c r="AV2" s="23"/>
      <c r="AW2" s="23"/>
      <c r="AX2" s="23"/>
      <c r="AY2" s="23"/>
      <c r="AZ2" s="23"/>
    </row>
    <row r="3" spans="1:52" ht="13.8" thickBot="1" x14ac:dyDescent="0.3">
      <c r="A3" s="35"/>
      <c r="B3" s="1187" t="s">
        <v>10</v>
      </c>
      <c r="C3" s="1188"/>
      <c r="D3" s="1188"/>
      <c r="E3" s="1188"/>
      <c r="F3" s="427"/>
      <c r="G3" s="428" t="s">
        <v>768</v>
      </c>
      <c r="H3" s="429"/>
      <c r="I3" s="1179" t="s">
        <v>725</v>
      </c>
      <c r="J3" s="1180"/>
      <c r="K3" s="1180"/>
      <c r="L3" s="1180"/>
      <c r="M3" s="1180"/>
      <c r="N3" s="1180"/>
      <c r="O3" s="1180"/>
      <c r="P3" s="1181"/>
      <c r="Q3" s="1197" t="s">
        <v>769</v>
      </c>
      <c r="R3" s="1198"/>
      <c r="S3" s="1198"/>
      <c r="T3" s="1198"/>
      <c r="U3" s="1198"/>
      <c r="V3" s="1198"/>
      <c r="W3" s="1198"/>
      <c r="X3" s="1198"/>
      <c r="Y3" s="1198"/>
      <c r="Z3" s="1198"/>
      <c r="AA3" s="1198"/>
      <c r="AB3" s="1198"/>
      <c r="AC3" s="1198"/>
      <c r="AD3" s="1198"/>
      <c r="AE3" s="1198"/>
      <c r="AF3" s="1199"/>
      <c r="AG3" s="1200" t="s">
        <v>770</v>
      </c>
      <c r="AH3" s="1201"/>
      <c r="AI3" s="1201"/>
      <c r="AJ3" s="1201"/>
      <c r="AK3" s="1201"/>
      <c r="AL3" s="1201"/>
      <c r="AM3" s="1201"/>
      <c r="AN3" s="1201"/>
      <c r="AO3" s="1201"/>
      <c r="AP3" s="1198"/>
      <c r="AQ3" s="1198"/>
      <c r="AR3" s="1198"/>
      <c r="AS3" s="1198"/>
      <c r="AT3" s="1198"/>
      <c r="AU3" s="1198"/>
      <c r="AV3" s="1189" t="s">
        <v>771</v>
      </c>
      <c r="AW3" s="1191"/>
      <c r="AX3" s="1191"/>
      <c r="AY3" s="1191"/>
      <c r="AZ3" s="208"/>
    </row>
    <row r="4" spans="1:52" ht="13.8" thickBot="1" x14ac:dyDescent="0.3">
      <c r="A4" s="205"/>
      <c r="B4" s="1185" t="s">
        <v>642</v>
      </c>
      <c r="C4" s="1186"/>
      <c r="D4" s="1185" t="s">
        <v>643</v>
      </c>
      <c r="E4" s="1186"/>
      <c r="F4" s="434" t="s">
        <v>211</v>
      </c>
      <c r="G4" s="435"/>
      <c r="H4" s="435"/>
      <c r="I4" s="491"/>
      <c r="J4" s="436"/>
      <c r="K4" s="437"/>
      <c r="L4" s="436"/>
      <c r="M4" s="438"/>
      <c r="N4" s="438"/>
      <c r="O4" s="436"/>
      <c r="P4" s="436"/>
      <c r="Q4" s="439" t="s">
        <v>772</v>
      </c>
      <c r="R4" s="440" t="s">
        <v>773</v>
      </c>
      <c r="S4" s="440" t="s">
        <v>774</v>
      </c>
      <c r="T4" s="440" t="s">
        <v>775</v>
      </c>
      <c r="U4" s="441" t="s">
        <v>641</v>
      </c>
      <c r="V4" s="441" t="s">
        <v>641</v>
      </c>
      <c r="W4" s="441" t="s">
        <v>641</v>
      </c>
      <c r="X4" s="440" t="s">
        <v>641</v>
      </c>
      <c r="Y4" s="440" t="s">
        <v>641</v>
      </c>
      <c r="Z4" s="440"/>
      <c r="AA4" s="442"/>
      <c r="AB4" s="440"/>
      <c r="AC4" s="1195" t="s">
        <v>776</v>
      </c>
      <c r="AD4" s="1196"/>
      <c r="AE4" s="1192" t="s">
        <v>777</v>
      </c>
      <c r="AF4" s="1194"/>
      <c r="AG4" s="1062"/>
      <c r="AH4" s="1062"/>
      <c r="AI4" s="1062"/>
      <c r="AJ4" s="1192" t="s">
        <v>778</v>
      </c>
      <c r="AK4" s="1193"/>
      <c r="AL4" s="1193"/>
      <c r="AM4" s="1193"/>
      <c r="AN4" s="1193"/>
      <c r="AO4" s="1194"/>
      <c r="AP4" s="1192" t="s">
        <v>779</v>
      </c>
      <c r="AQ4" s="1193"/>
      <c r="AR4" s="1193"/>
      <c r="AS4" s="1193"/>
      <c r="AT4" s="1193"/>
      <c r="AU4" s="1194"/>
      <c r="AV4" s="1189" t="s">
        <v>642</v>
      </c>
      <c r="AW4" s="1190"/>
      <c r="AX4" s="1189" t="s">
        <v>643</v>
      </c>
      <c r="AY4" s="1191"/>
      <c r="AZ4" s="208"/>
    </row>
    <row r="5" spans="1:52" x14ac:dyDescent="0.25">
      <c r="A5" s="205"/>
      <c r="B5" s="443" t="str">
        <f>IF(Start!C18="x","","Testing")</f>
        <v/>
      </c>
      <c r="C5" s="443" t="str">
        <f>IF(Start!C18="x","","Testing")</f>
        <v/>
      </c>
      <c r="D5" s="443" t="str">
        <f>IF(Start!C18="x","","Testing")</f>
        <v/>
      </c>
      <c r="E5" s="443" t="str">
        <f>IF(Start!C18="x","","Testing")</f>
        <v/>
      </c>
      <c r="F5" s="434" t="s">
        <v>750</v>
      </c>
      <c r="G5" s="444" t="s">
        <v>697</v>
      </c>
      <c r="H5" s="444" t="s">
        <v>220</v>
      </c>
      <c r="I5" s="492" t="s">
        <v>10</v>
      </c>
      <c r="J5" s="438"/>
      <c r="K5" s="414" t="s">
        <v>253</v>
      </c>
      <c r="L5" s="438"/>
      <c r="M5" s="438"/>
      <c r="N5" s="438"/>
      <c r="O5" s="415" t="s">
        <v>236</v>
      </c>
      <c r="P5" s="415" t="s">
        <v>254</v>
      </c>
      <c r="Q5" s="445" t="s">
        <v>253</v>
      </c>
      <c r="R5" s="446" t="s">
        <v>780</v>
      </c>
      <c r="S5" s="446" t="s">
        <v>780</v>
      </c>
      <c r="T5" s="446" t="s">
        <v>780</v>
      </c>
      <c r="U5" s="416" t="s">
        <v>275</v>
      </c>
      <c r="V5" s="416" t="s">
        <v>212</v>
      </c>
      <c r="W5" s="416" t="s">
        <v>698</v>
      </c>
      <c r="X5" s="446" t="s">
        <v>781</v>
      </c>
      <c r="Y5" s="446" t="s">
        <v>781</v>
      </c>
      <c r="Z5" s="446" t="s">
        <v>641</v>
      </c>
      <c r="AA5" s="447" t="s">
        <v>641</v>
      </c>
      <c r="AB5" s="446" t="s">
        <v>641</v>
      </c>
      <c r="AC5" s="440" t="s">
        <v>641</v>
      </c>
      <c r="AD5" s="683" t="s">
        <v>641</v>
      </c>
      <c r="AE5" s="440" t="s">
        <v>641</v>
      </c>
      <c r="AF5" s="683" t="s">
        <v>641</v>
      </c>
      <c r="AG5" s="446" t="s">
        <v>782</v>
      </c>
      <c r="AH5" s="416" t="s">
        <v>275</v>
      </c>
      <c r="AI5" s="446" t="s">
        <v>783</v>
      </c>
      <c r="AJ5" s="440" t="s">
        <v>783</v>
      </c>
      <c r="AK5" s="440" t="s">
        <v>783</v>
      </c>
      <c r="AL5" s="442" t="s">
        <v>641</v>
      </c>
      <c r="AM5" s="442" t="s">
        <v>641</v>
      </c>
      <c r="AN5" s="442" t="s">
        <v>641</v>
      </c>
      <c r="AO5" s="683" t="s">
        <v>641</v>
      </c>
      <c r="AP5" s="446" t="s">
        <v>783</v>
      </c>
      <c r="AQ5" s="446" t="s">
        <v>783</v>
      </c>
      <c r="AR5" s="446" t="s">
        <v>641</v>
      </c>
      <c r="AS5" s="446" t="s">
        <v>641</v>
      </c>
      <c r="AT5" s="446" t="s">
        <v>641</v>
      </c>
      <c r="AU5" s="496" t="s">
        <v>641</v>
      </c>
      <c r="AV5" s="411" t="s">
        <v>784</v>
      </c>
      <c r="AW5" s="411" t="s">
        <v>784</v>
      </c>
      <c r="AX5" s="411" t="s">
        <v>784</v>
      </c>
      <c r="AY5" s="448" t="s">
        <v>784</v>
      </c>
      <c r="AZ5" s="208"/>
    </row>
    <row r="6" spans="1:52" x14ac:dyDescent="0.25">
      <c r="A6" s="205"/>
      <c r="B6" s="443" t="str">
        <f>IF(Start!C18="x","Testing ","Not Required. ")</f>
        <v xml:space="preserve">Testing </v>
      </c>
      <c r="C6" s="443" t="str">
        <f>IF(Start!C18="x","Testing ","Not Required. ")</f>
        <v xml:space="preserve">Testing </v>
      </c>
      <c r="D6" s="443" t="str">
        <f>IF(Start!C18="x","Testing ","Not Required. ")</f>
        <v xml:space="preserve">Testing </v>
      </c>
      <c r="E6" s="443" t="str">
        <f>IF(Start!C18="x","Testing ","Not Required. ")</f>
        <v xml:space="preserve">Testing </v>
      </c>
      <c r="F6" s="434" t="s">
        <v>212</v>
      </c>
      <c r="G6" s="444" t="s">
        <v>230</v>
      </c>
      <c r="H6" s="444" t="s">
        <v>231</v>
      </c>
      <c r="I6" s="492" t="s">
        <v>314</v>
      </c>
      <c r="J6" s="438" t="s">
        <v>271</v>
      </c>
      <c r="K6" s="414" t="s">
        <v>272</v>
      </c>
      <c r="L6" s="438" t="s">
        <v>273</v>
      </c>
      <c r="M6" s="414" t="s">
        <v>236</v>
      </c>
      <c r="N6" s="414" t="s">
        <v>254</v>
      </c>
      <c r="O6" s="415" t="s">
        <v>275</v>
      </c>
      <c r="P6" s="415" t="s">
        <v>275</v>
      </c>
      <c r="Q6" s="445" t="s">
        <v>272</v>
      </c>
      <c r="R6" s="446" t="s">
        <v>785</v>
      </c>
      <c r="S6" s="446" t="s">
        <v>785</v>
      </c>
      <c r="T6" s="446" t="s">
        <v>785</v>
      </c>
      <c r="U6" s="416" t="s">
        <v>786</v>
      </c>
      <c r="V6" s="416" t="s">
        <v>705</v>
      </c>
      <c r="W6" s="416" t="s">
        <v>703</v>
      </c>
      <c r="X6" s="446" t="s">
        <v>787</v>
      </c>
      <c r="Y6" s="446" t="s">
        <v>787</v>
      </c>
      <c r="Z6" s="446" t="s">
        <v>781</v>
      </c>
      <c r="AA6" s="447" t="s">
        <v>788</v>
      </c>
      <c r="AB6" s="446" t="s">
        <v>789</v>
      </c>
      <c r="AC6" s="446" t="s">
        <v>790</v>
      </c>
      <c r="AD6" s="496" t="s">
        <v>261</v>
      </c>
      <c r="AE6" s="446" t="s">
        <v>790</v>
      </c>
      <c r="AF6" s="496" t="s">
        <v>261</v>
      </c>
      <c r="AG6" s="446" t="s">
        <v>273</v>
      </c>
      <c r="AH6" s="416" t="s">
        <v>212</v>
      </c>
      <c r="AI6" s="446" t="s">
        <v>789</v>
      </c>
      <c r="AJ6" s="446" t="s">
        <v>789</v>
      </c>
      <c r="AK6" s="446" t="s">
        <v>789</v>
      </c>
      <c r="AL6" s="446" t="s">
        <v>788</v>
      </c>
      <c r="AM6" s="446" t="s">
        <v>789</v>
      </c>
      <c r="AN6" s="447" t="s">
        <v>790</v>
      </c>
      <c r="AO6" s="496" t="s">
        <v>261</v>
      </c>
      <c r="AP6" s="446" t="s">
        <v>789</v>
      </c>
      <c r="AQ6" s="446" t="s">
        <v>789</v>
      </c>
      <c r="AR6" s="446" t="s">
        <v>788</v>
      </c>
      <c r="AS6" s="446" t="s">
        <v>789</v>
      </c>
      <c r="AT6" s="446" t="s">
        <v>790</v>
      </c>
      <c r="AU6" s="496" t="s">
        <v>261</v>
      </c>
      <c r="AV6" s="417" t="s">
        <v>791</v>
      </c>
      <c r="AW6" s="417" t="s">
        <v>791</v>
      </c>
      <c r="AX6" s="417" t="s">
        <v>791</v>
      </c>
      <c r="AY6" s="349" t="s">
        <v>791</v>
      </c>
      <c r="AZ6" s="208"/>
    </row>
    <row r="7" spans="1:52" x14ac:dyDescent="0.25">
      <c r="A7" s="205"/>
      <c r="B7" s="443" t="str">
        <f>IF(Start!C18="x","Required?","based on ")</f>
        <v>Required?</v>
      </c>
      <c r="C7" s="443" t="str">
        <f>IF(Start!C18="x","Required?","based on ")</f>
        <v>Required?</v>
      </c>
      <c r="D7" s="443" t="str">
        <f>IF(Start!C18="x","Required?","based on ")</f>
        <v>Required?</v>
      </c>
      <c r="E7" s="443" t="str">
        <f>IF(Start!C18="x","Required?","based on ")</f>
        <v>Required?</v>
      </c>
      <c r="F7" s="434" t="s">
        <v>248</v>
      </c>
      <c r="G7" s="444" t="s">
        <v>249</v>
      </c>
      <c r="H7" s="444" t="s">
        <v>249</v>
      </c>
      <c r="I7" s="492" t="s">
        <v>313</v>
      </c>
      <c r="J7" s="438" t="s">
        <v>288</v>
      </c>
      <c r="K7" s="414" t="s">
        <v>289</v>
      </c>
      <c r="L7" s="438" t="s">
        <v>290</v>
      </c>
      <c r="M7" s="414" t="s">
        <v>291</v>
      </c>
      <c r="N7" s="414" t="s">
        <v>291</v>
      </c>
      <c r="O7" s="415" t="s">
        <v>292</v>
      </c>
      <c r="P7" s="415" t="s">
        <v>292</v>
      </c>
      <c r="Q7" s="445" t="s">
        <v>289</v>
      </c>
      <c r="R7" s="446" t="s">
        <v>277</v>
      </c>
      <c r="S7" s="446" t="s">
        <v>277</v>
      </c>
      <c r="T7" s="446" t="s">
        <v>277</v>
      </c>
      <c r="U7" s="416" t="s">
        <v>248</v>
      </c>
      <c r="V7" s="416" t="s">
        <v>248</v>
      </c>
      <c r="W7" s="416" t="s">
        <v>706</v>
      </c>
      <c r="X7" s="446" t="s">
        <v>792</v>
      </c>
      <c r="Y7" s="446" t="s">
        <v>793</v>
      </c>
      <c r="Z7" s="446" t="s">
        <v>787</v>
      </c>
      <c r="AA7" s="447" t="s">
        <v>794</v>
      </c>
      <c r="AB7" s="446" t="s">
        <v>795</v>
      </c>
      <c r="AC7" s="446" t="s">
        <v>248</v>
      </c>
      <c r="AD7" s="496" t="s">
        <v>299</v>
      </c>
      <c r="AE7" s="446" t="s">
        <v>248</v>
      </c>
      <c r="AF7" s="496" t="s">
        <v>299</v>
      </c>
      <c r="AG7" s="446" t="s">
        <v>290</v>
      </c>
      <c r="AH7" s="416" t="s">
        <v>248</v>
      </c>
      <c r="AI7" s="446" t="s">
        <v>796</v>
      </c>
      <c r="AJ7" s="446" t="s">
        <v>796</v>
      </c>
      <c r="AK7" s="446" t="s">
        <v>796</v>
      </c>
      <c r="AL7" s="446" t="s">
        <v>797</v>
      </c>
      <c r="AM7" s="446" t="s">
        <v>798</v>
      </c>
      <c r="AN7" s="447" t="s">
        <v>248</v>
      </c>
      <c r="AO7" s="496" t="s">
        <v>299</v>
      </c>
      <c r="AP7" s="446" t="s">
        <v>796</v>
      </c>
      <c r="AQ7" s="446" t="s">
        <v>796</v>
      </c>
      <c r="AR7" s="446" t="s">
        <v>797</v>
      </c>
      <c r="AS7" s="446" t="s">
        <v>799</v>
      </c>
      <c r="AT7" s="446" t="s">
        <v>248</v>
      </c>
      <c r="AU7" s="496" t="s">
        <v>299</v>
      </c>
      <c r="AV7" s="417" t="s">
        <v>800</v>
      </c>
      <c r="AW7" s="417" t="s">
        <v>800</v>
      </c>
      <c r="AX7" s="417" t="s">
        <v>800</v>
      </c>
      <c r="AY7" s="349" t="s">
        <v>800</v>
      </c>
      <c r="AZ7" s="208"/>
    </row>
    <row r="8" spans="1:52" x14ac:dyDescent="0.25">
      <c r="A8" s="205"/>
      <c r="B8" s="443" t="str">
        <f>IF(Start!C18="x","","Tier I Results")</f>
        <v/>
      </c>
      <c r="C8" s="443" t="str">
        <f>IF(Start!C18="x","","Tier I Results")</f>
        <v/>
      </c>
      <c r="D8" s="443" t="str">
        <f>IF(Start!C18="x","","Tier I Results")</f>
        <v/>
      </c>
      <c r="E8" s="443" t="str">
        <f>IF(Start!C18="x","","Tier I Results")</f>
        <v/>
      </c>
      <c r="F8" s="434" t="s">
        <v>266</v>
      </c>
      <c r="G8" s="444" t="s">
        <v>801</v>
      </c>
      <c r="H8" s="444" t="s">
        <v>802</v>
      </c>
      <c r="I8" s="492" t="s">
        <v>803</v>
      </c>
      <c r="J8" s="415" t="s">
        <v>304</v>
      </c>
      <c r="K8" s="414" t="s">
        <v>192</v>
      </c>
      <c r="L8" s="438" t="s">
        <v>804</v>
      </c>
      <c r="M8" s="414" t="s">
        <v>307</v>
      </c>
      <c r="N8" s="414" t="s">
        <v>308</v>
      </c>
      <c r="O8" s="415" t="s">
        <v>309</v>
      </c>
      <c r="P8" s="415" t="s">
        <v>310</v>
      </c>
      <c r="Q8" s="445" t="s">
        <v>195</v>
      </c>
      <c r="R8" s="446" t="s">
        <v>805</v>
      </c>
      <c r="S8" s="446" t="s">
        <v>806</v>
      </c>
      <c r="T8" s="446" t="s">
        <v>807</v>
      </c>
      <c r="U8" s="416" t="s">
        <v>808</v>
      </c>
      <c r="V8" s="416" t="s">
        <v>809</v>
      </c>
      <c r="W8" s="416" t="s">
        <v>810</v>
      </c>
      <c r="X8" s="446" t="s">
        <v>811</v>
      </c>
      <c r="Y8" s="446" t="s">
        <v>812</v>
      </c>
      <c r="Z8" s="446" t="s">
        <v>813</v>
      </c>
      <c r="AA8" s="447" t="s">
        <v>814</v>
      </c>
      <c r="AB8" s="446" t="s">
        <v>815</v>
      </c>
      <c r="AC8" s="446" t="s">
        <v>816</v>
      </c>
      <c r="AD8" s="496" t="s">
        <v>817</v>
      </c>
      <c r="AE8" s="446" t="s">
        <v>818</v>
      </c>
      <c r="AF8" s="496" t="s">
        <v>817</v>
      </c>
      <c r="AG8" s="446" t="s">
        <v>819</v>
      </c>
      <c r="AH8" s="416" t="s">
        <v>820</v>
      </c>
      <c r="AI8" s="446" t="s">
        <v>821</v>
      </c>
      <c r="AJ8" s="446" t="s">
        <v>822</v>
      </c>
      <c r="AK8" s="446" t="s">
        <v>823</v>
      </c>
      <c r="AL8" s="446" t="s">
        <v>824</v>
      </c>
      <c r="AM8" s="446" t="s">
        <v>825</v>
      </c>
      <c r="AN8" s="447" t="s">
        <v>826</v>
      </c>
      <c r="AO8" s="496" t="s">
        <v>827</v>
      </c>
      <c r="AP8" s="446" t="s">
        <v>828</v>
      </c>
      <c r="AQ8" s="446" t="s">
        <v>823</v>
      </c>
      <c r="AR8" s="446" t="s">
        <v>829</v>
      </c>
      <c r="AS8" s="446" t="s">
        <v>830</v>
      </c>
      <c r="AT8" s="446" t="s">
        <v>831</v>
      </c>
      <c r="AU8" s="496" t="s">
        <v>832</v>
      </c>
      <c r="AV8" s="417" t="s">
        <v>314</v>
      </c>
      <c r="AW8" s="417" t="s">
        <v>314</v>
      </c>
      <c r="AX8" s="417" t="s">
        <v>314</v>
      </c>
      <c r="AY8" s="349" t="s">
        <v>314</v>
      </c>
      <c r="AZ8" s="208"/>
    </row>
    <row r="9" spans="1:52" ht="13.8" thickBot="1" x14ac:dyDescent="0.3">
      <c r="A9" s="206" t="s">
        <v>723</v>
      </c>
      <c r="B9" s="430" t="s">
        <v>659</v>
      </c>
      <c r="C9" s="392" t="s">
        <v>660</v>
      </c>
      <c r="D9" s="392" t="s">
        <v>659</v>
      </c>
      <c r="E9" s="392" t="s">
        <v>660</v>
      </c>
      <c r="F9" s="449" t="s">
        <v>285</v>
      </c>
      <c r="G9" s="450" t="s">
        <v>286</v>
      </c>
      <c r="H9" s="450" t="s">
        <v>286</v>
      </c>
      <c r="I9" s="493" t="s">
        <v>320</v>
      </c>
      <c r="J9" s="397" t="s">
        <v>321</v>
      </c>
      <c r="K9" s="419" t="s">
        <v>833</v>
      </c>
      <c r="L9" s="484" t="s">
        <v>834</v>
      </c>
      <c r="M9" s="419" t="s">
        <v>324</v>
      </c>
      <c r="N9" s="419" t="s">
        <v>324</v>
      </c>
      <c r="O9" s="419"/>
      <c r="P9" s="419"/>
      <c r="Q9" s="681"/>
      <c r="R9" s="451" t="s">
        <v>835</v>
      </c>
      <c r="S9" s="451" t="s">
        <v>835</v>
      </c>
      <c r="T9" s="451" t="s">
        <v>835</v>
      </c>
      <c r="U9" s="682" t="s">
        <v>285</v>
      </c>
      <c r="V9" s="682" t="s">
        <v>286</v>
      </c>
      <c r="W9" s="422" t="s">
        <v>767</v>
      </c>
      <c r="X9" s="451" t="s">
        <v>663</v>
      </c>
      <c r="Y9" s="451" t="s">
        <v>663</v>
      </c>
      <c r="Z9" s="451" t="s">
        <v>663</v>
      </c>
      <c r="AA9" s="452" t="s">
        <v>836</v>
      </c>
      <c r="AB9" s="451" t="s">
        <v>837</v>
      </c>
      <c r="AC9" s="451" t="s">
        <v>838</v>
      </c>
      <c r="AD9" s="497" t="s">
        <v>320</v>
      </c>
      <c r="AE9" s="451" t="s">
        <v>838</v>
      </c>
      <c r="AF9" s="497" t="s">
        <v>320</v>
      </c>
      <c r="AG9" s="451" t="s">
        <v>834</v>
      </c>
      <c r="AH9" s="682" t="s">
        <v>285</v>
      </c>
      <c r="AI9" s="453" t="s">
        <v>839</v>
      </c>
      <c r="AJ9" s="453" t="s">
        <v>840</v>
      </c>
      <c r="AK9" s="453" t="s">
        <v>841</v>
      </c>
      <c r="AL9" s="451" t="s">
        <v>842</v>
      </c>
      <c r="AM9" s="451" t="s">
        <v>837</v>
      </c>
      <c r="AN9" s="452" t="s">
        <v>838</v>
      </c>
      <c r="AO9" s="497" t="s">
        <v>320</v>
      </c>
      <c r="AP9" s="453" t="s">
        <v>840</v>
      </c>
      <c r="AQ9" s="453" t="s">
        <v>841</v>
      </c>
      <c r="AR9" s="451" t="s">
        <v>842</v>
      </c>
      <c r="AS9" s="451" t="s">
        <v>837</v>
      </c>
      <c r="AT9" s="451" t="s">
        <v>838</v>
      </c>
      <c r="AU9" s="497" t="s">
        <v>320</v>
      </c>
      <c r="AV9" s="454" t="s">
        <v>105</v>
      </c>
      <c r="AW9" s="454" t="s">
        <v>661</v>
      </c>
      <c r="AX9" s="454" t="s">
        <v>105</v>
      </c>
      <c r="AY9" s="455" t="s">
        <v>661</v>
      </c>
      <c r="AZ9" s="209"/>
    </row>
    <row r="10" spans="1:52" s="10" customFormat="1" x14ac:dyDescent="0.25">
      <c r="A10" s="505" t="s">
        <v>326</v>
      </c>
      <c r="B10" s="530"/>
      <c r="C10" s="531"/>
      <c r="D10" s="530"/>
      <c r="E10" s="526"/>
      <c r="F10" s="508"/>
      <c r="G10" s="509"/>
      <c r="H10" s="510"/>
      <c r="I10" s="532"/>
      <c r="J10" s="512"/>
      <c r="K10" s="512"/>
      <c r="L10" s="670"/>
      <c r="M10" s="512"/>
      <c r="N10" s="512"/>
      <c r="O10" s="670"/>
      <c r="P10" s="672"/>
      <c r="Q10" s="671"/>
      <c r="R10" s="670"/>
      <c r="S10" s="670"/>
      <c r="T10" s="672"/>
      <c r="U10" s="671"/>
      <c r="V10" s="670"/>
      <c r="W10" s="512"/>
      <c r="X10" s="670"/>
      <c r="Y10" s="670"/>
      <c r="Z10" s="670"/>
      <c r="AA10" s="670"/>
      <c r="AB10" s="670"/>
      <c r="AC10" s="671"/>
      <c r="AD10" s="673"/>
      <c r="AE10" s="670"/>
      <c r="AF10" s="673"/>
      <c r="AG10" s="671"/>
      <c r="AH10" s="670"/>
      <c r="AI10" s="534"/>
      <c r="AJ10" s="670"/>
      <c r="AK10" s="670"/>
      <c r="AL10" s="670"/>
      <c r="AM10" s="670"/>
      <c r="AN10" s="670"/>
      <c r="AO10" s="673"/>
      <c r="AP10" s="512"/>
      <c r="AQ10" s="512"/>
      <c r="AR10" s="512"/>
      <c r="AS10" s="512"/>
      <c r="AT10" s="512"/>
      <c r="AU10" s="533"/>
      <c r="AV10" s="511"/>
      <c r="AW10" s="512"/>
      <c r="AX10" s="512"/>
      <c r="AY10" s="513"/>
      <c r="AZ10" s="209"/>
    </row>
    <row r="11" spans="1:52" s="10" customFormat="1" x14ac:dyDescent="0.25">
      <c r="A11" s="405" t="s">
        <v>327</v>
      </c>
      <c r="B11" s="347" t="str">
        <f>IF(Start!$C$18="x",IF(AND(OR(F11="",F11="NA"),OR(G11="",G11="NA")),"",IF(I11="NA","NA",IF(AND(I11="",K11="--"),"NA",IF(AD11="NA","Missing Data",IF(I11="","No Criteria",IF(AD11&gt;=I11,"Needed","No")))))),"---")</f>
        <v/>
      </c>
      <c r="C11" s="501" t="str">
        <f>IF(Start!$C$18="x",IF(AND(OR(F11="",F11="NA"),OR(G11="",G11="NA")),"",IF(I11="NA","NA",IF(AND(I11="",K11="--"),"NA",IF(AF11="NA","Missing Data",IF(I11="","No Criteria",IF(AF11&gt;=I11,"Needed","No")))))),"---")</f>
        <v/>
      </c>
      <c r="D11" s="347" t="str">
        <f>IF(Start!$C$18="x",IF(AND(OR(F11="",F11="NA"),OR(G11="",G11="NA")),"",IF(I11="NA","NA",IF(AND(I11="",K11="--"),"NA",IF(AO11="NA","Missing Data",IF(I11="","No Criteria",IF(AO11&gt;=I11,"Needed","No")))))),"---")</f>
        <v/>
      </c>
      <c r="E11" s="401" t="str">
        <f>IF(Start!$C$18="x",IF(AND(OR(F11="",F11="NA"),OR(G11="",G11="NA")),"",IF(I11="NA","NA",IF(AND(I11="",K11="--"),"NA",IF(AU11="NA","Missing Data",IF(I11="","No Criteria",IF(AU11&gt;=I11,"Needed","No")))))),"---")</f>
        <v/>
      </c>
      <c r="F11" s="431" t="str">
        <f>IF(TRUE=ISBLANK(ChemData!B11),"",(ChemData!B11))</f>
        <v/>
      </c>
      <c r="G11" s="432" t="str">
        <f>IF(TRUE=ISBLANK(ChemData!C11),"",(ChemData!C11))</f>
        <v/>
      </c>
      <c r="H11" s="433" t="str">
        <f>IF(TRUE=ISBLANK(ChemData!D11),"",(ChemData!D11))</f>
        <v/>
      </c>
      <c r="I11" s="919">
        <f>IF(TRUE=ISBLANK(ChemData!K11),"",(ChemData!K11))</f>
        <v>1.4E-2</v>
      </c>
      <c r="J11" s="290">
        <f>IF(TRUE=ISBLANK(ChemData!M11),"",(ChemData!M11))</f>
        <v>26.98</v>
      </c>
      <c r="K11" s="290" t="str">
        <f>IF(TRUE=ISBLANK(ChemData!N11),"",(ChemData!N11))</f>
        <v>--</v>
      </c>
      <c r="L11" s="290">
        <f>IF(TRUE=ISBLANK(ChemData!O11),"",(ChemData!O11))</f>
        <v>0.20721940694417185</v>
      </c>
      <c r="M11" s="290">
        <f>IF(TRUE=ISBLANK(ChemData!Q11),"",(ChemData!Q11))</f>
        <v>1500</v>
      </c>
      <c r="N11" s="290">
        <f>IF(TRUE=ISBLANK(ChemData!R11),"",(ChemData!R11))</f>
        <v>1500</v>
      </c>
      <c r="O11" s="290">
        <f>IF(TRUE=ISBLANK(ChemData!S11),"",(ChemData!S11))</f>
        <v>5.0000000000000001E-3</v>
      </c>
      <c r="P11" s="291">
        <f>IF(TRUE=ISBLANK(ChemData!T11),"",(ChemData!T11))</f>
        <v>5.0000000000000001E-3</v>
      </c>
      <c r="Q11" s="375" t="str">
        <f>IF(Start!$C$18="x",IF(OR(K11="NA",K11="",K11="--"),"NA",(K11*1000000/82.1/Data!$D$50)),"---")</f>
        <v>NA</v>
      </c>
      <c r="R11" s="376">
        <f>IF(Start!$C$18="x",IF(OR(J11="NA",J11=0,J11=""),"NA",(0.32*(Data!$D$48+Data!$D$49)*(18/J11)^0.5)),"---")</f>
        <v>0.67304250386502007</v>
      </c>
      <c r="S11" s="376">
        <f>IF(Start!$C$18="x",IF(OR(J11="NA",J11= 0,J11=""),"NA",(0.0065*((Data!$D$49^0.969)/(Data!$D$51^0.673))*(32/J11)^0.5*EXP(0.526*Data!$D$48^-1.9))),"---")</f>
        <v>1.4185892065559033E-3</v>
      </c>
      <c r="T11" s="377" t="str">
        <f>IF(Start!$C$18="x",IF(OR(S11="NA",R11="NA",R11=0,Q11="NA",S11=0,Q11=0),"NA",(1/(1/S11+(1/(R11*Q11))))),"---")</f>
        <v>NA</v>
      </c>
      <c r="U11" s="375" t="str">
        <f>IF(Start!$C$18="x",IF(OR(F11="NA",F11="",O11="NA",O11=""),"NA",(F11*$O11)/(Data!$D$10/100)),"---")</f>
        <v>NA</v>
      </c>
      <c r="V11" s="376" t="str">
        <f>IF(Start!$C$18="x",IF(OR(U11="NA",M11="NA",M11="",U11=""),"NA",U11/((Data!$D$18+((1-Data!$D$18)*Data!$D$14*M11))/((1-Data!$D$18)*Data!$D$14*1000))),"---")</f>
        <v>NA</v>
      </c>
      <c r="W11" s="376" t="str">
        <f>IF(Start!$C$18="x",IF(OR(G11="NA",U11="NA",G11="",U11=""),"NA",(U11 +($G11*(Data!$D$19-Data!$D$22)/(Data!$D$19*Data!$D$22)))),"---")</f>
        <v>NA</v>
      </c>
      <c r="X11" s="376" t="str">
        <f>IF(Start!$C$18="x",IF(OR(G11="NA",V11="NA",G11="",V11=""),"NA",(((Data!$D$22*Data!$D$18)*V11)+(Data!$D$19-Data!$D$22)*$G11)/((Data!$D$22*Data!$D$18)+Data!$D$19-Data!$D$22)),"---")</f>
        <v>NA</v>
      </c>
      <c r="Y11" s="376" t="str">
        <f>IF(Start!$C$18="x",IF(OR(W11="NA",W11="",M11="NA",M11=""),"NA",(W11/((Data!$D$23+((1-Data!$D$23)*Data!$D$14*M11)) /((1-Data!$D$23)*Data!$D$14*1000)))),"---")</f>
        <v>NA</v>
      </c>
      <c r="Z11" s="376" t="str">
        <f>IF(Start!$C$18="x",IF(OR(Y11="NA",X11="NA"),"NA",IF(Y11&gt;X11, Y11, X11)),"---")</f>
        <v>NA</v>
      </c>
      <c r="AA11" s="461" t="str">
        <f>IF(Start!$C$18="x",IF(OR(Z11="NA",T11="NA"),"NA",Z11*T11/(1000000000)),"---")</f>
        <v>NA</v>
      </c>
      <c r="AB11" s="1057" t="str">
        <f>IF(Start!$C$18="x",IF(AA11 = "NA", "NA", AA11*(Data!$D$52*Data!$D$53*10000)),"---")</f>
        <v>NA</v>
      </c>
      <c r="AC11" s="375" t="str">
        <f>IF(Start!$C$18="x",IF(AB11="NA", "NA", AB11*Data!$D$54),"---")</f>
        <v>NA</v>
      </c>
      <c r="AD11" s="498" t="str">
        <f>IF(Start!$C$18="x",IF(AC11="NA","NA",AC11*Data!$D$41),"---")</f>
        <v>NA</v>
      </c>
      <c r="AE11" s="376" t="str">
        <f>IF(Start!$C$18="x",IF(AB11 = "NA", "NA", AB11/(Data!$D$53*3*Data!$D$48)*1000),"---")</f>
        <v>NA</v>
      </c>
      <c r="AF11" s="498" t="str">
        <f>IF(Start!$C$18="x",IF(AE11="NA","NA",AE11*Data!$D$46),"---")</f>
        <v>NA</v>
      </c>
      <c r="AG11" s="375">
        <f>IF(Start!$C$18="x",IF(OR($L11="NA",L11=""),"NA",($L11*(Data!$D$55^3.33)/(Data!$D$18^2))),"---")</f>
        <v>2.1110463957731648E-3</v>
      </c>
      <c r="AH11" s="376" t="str">
        <f>IF(Start!$C$18="x",IF(OR(F11="NA",F11="",P11="NA",P11=""),"NA",IF(100/Data!$D$10&gt;Data!$D$13,(F11*$P11)/(Data!$D$10/100),(F11*$P11)*Data!$D$13)),"---")</f>
        <v>NA</v>
      </c>
      <c r="AI11" s="489" t="str">
        <f>IF(Start!$C$18="x",IF(OR($N11="NA",$Q11="NA",$Q11=0,Q11="",N11=""),"NA",(1000*$N11/$Q11)),"---")</f>
        <v>NA</v>
      </c>
      <c r="AJ11" s="376" t="str">
        <f>IF(Start!$C$18="x",IF(OR(Q11 = "NA",Q11=0,N11 = "NA",N11="",Q11=""), "NA", IF($AG11="NA","NA",(3.1416*Data!$D$57*86400/($AG11*(Data!$D$55+(N11*Data!$D$19/(Q11*1000)))))^0.5)),"---")</f>
        <v>NA</v>
      </c>
      <c r="AK11" s="376" t="str">
        <f>IF(Start!$C$18="x",IF(OR(AH11 = "NA",AI11="NA",AI11=0,AI11="",AH11=""), "NA", AH11/AI11),"---")</f>
        <v>NA</v>
      </c>
      <c r="AL11" s="376" t="str">
        <f>IF(Start!$C$18="x",IF(OR(AK11 ="NA",AK11="",AJ11= "NA",R11="NA",R11=0),"NA",(2*AK11)/(1000*(1/$R11+AJ11))),"---")</f>
        <v>NA</v>
      </c>
      <c r="AM11" s="376" t="str">
        <f>IF(Start!$C$18="x",IF(AL11 = "NA", "NA", AL11*(Data!$D$52*Data!$D$53*10000)),"---")</f>
        <v>NA</v>
      </c>
      <c r="AN11" s="376" t="str">
        <f>IF(Start!$C$18="x",IF(AM11 = "NA", "NA", AM11*(Data!$D$54)),"---")</f>
        <v>NA</v>
      </c>
      <c r="AO11" s="498" t="str">
        <f>IF(Start!$C$18="x",IF(AN11="NA","NA",AN11*Data!$D$41),"---")</f>
        <v>NA</v>
      </c>
      <c r="AP11" s="376" t="str">
        <f>IF(Start!$C$18="x",IF(OR(Q11=0,N11="NA",N11="",AG11="NA",AG11="",AG11=0,Q11="",Q11="NA"),"NA", (3.1416*Data!$D$56*86400/($AG11*(Data!$D$55+(N11*Data!$D$19/(Q11*1000)))))^0.5),"---")</f>
        <v>NA</v>
      </c>
      <c r="AQ11" s="376" t="str">
        <f>IF(Start!$C$18="x",IF(OR(AH11="NA",AI11="NA",AI11="",AI11=0,AH11=""),"NA", AH11/AI11),"---")</f>
        <v>NA</v>
      </c>
      <c r="AR11" s="376" t="str">
        <f>IF(Start!$C$18="x",IF(OR(AQ11="NA",AP11="NA",$R11="NA",R11=0,R11=""),"NA",(2*AQ11)/(1000*(1/$R11+AP11))),"---")</f>
        <v>NA</v>
      </c>
      <c r="AS11" s="376" t="str">
        <f>IF(Start!$C$18="x",IF(AR11 = "NA", "NA", AR11*(Data!$D$52*Data!$D$53*10000)),"---")</f>
        <v>NA</v>
      </c>
      <c r="AT11" s="376" t="str">
        <f>IF(Start!$C$18="x",IF(AS11 = "NA", "NA", (AS11*1000)/(Data!$D$48*3*Data!$D$53)),"---")</f>
        <v>NA</v>
      </c>
      <c r="AU11" s="498" t="str">
        <f>IF(Start!$C$18="x",IF(AT11="NA","NA",AT11*Data!$D$47),"---")</f>
        <v>NA</v>
      </c>
      <c r="AV11" s="283" t="str">
        <f>IF(Start!$C$18="x",(IF(AND(F11="",G11= "",G11&lt;&gt;"NA"),"",IF(OR(AD11="NA",I11="NA",I11=0),"NA",(AD11/I11)))),"Not Req.")</f>
        <v/>
      </c>
      <c r="AW11" s="284" t="str">
        <f>IF(Start!$C$18="x",(IF(AND(F11="",G11= "",G11&lt;&gt;"NA"),"",IF(OR(AF11="NA",I11="NA",I11=0),"NA",(AF11/I11)))),"Not Req.")</f>
        <v/>
      </c>
      <c r="AX11" s="284" t="str">
        <f>IF(Start!$C$18="x",(IF(F11 ="","",IF(OR(AO11="NA",I11="NA",I11=0),"NA",(AO11/I11)))),"Not Req.")</f>
        <v/>
      </c>
      <c r="AY11" s="344" t="str">
        <f>IF(Start!$C$18="x",(IF(F11 ="","",IF(OR(AU11="NA",I11="NA",I11=0),"NA",(AU11/I11)))),"Not Req.")</f>
        <v/>
      </c>
      <c r="AZ11" s="209"/>
    </row>
    <row r="12" spans="1:52" s="23" customFormat="1" x14ac:dyDescent="0.25">
      <c r="A12" s="405" t="s">
        <v>330</v>
      </c>
      <c r="B12" s="347" t="str">
        <f>IF(Start!$C$18="x",IF(AND(OR(F12="",F12="NA"),OR(G12="",G12="NA")),"",IF(I12="NA","NA",IF(AND(I12="",K12="--"),"NA",IF(AD12="NA","Missing Data",IF(I12="","No Criteria",IF(AD12&gt;=I12,"Needed","No")))))),"---")</f>
        <v/>
      </c>
      <c r="C12" s="501" t="str">
        <f>IF(Start!$C$18="x",IF(AND(OR(F12="",F12="NA"),OR(G12="",G12="NA")),"",IF(I12="NA","NA",IF(AND(I12="",K12="--"),"NA",IF(AF12="NA","Missing Data",IF(I12="","No Criteria",IF(AF12&gt;=I12,"Needed","No")))))),"---")</f>
        <v/>
      </c>
      <c r="D12" s="347" t="str">
        <f>IF(Start!$C$18="x",IF(AND(OR(F12="",F12="NA"),OR(G12="",G12="NA")),"",IF(I12="NA","NA",IF(AND(I12="",K12="--"),"NA",IF(AO12="NA","Missing Data",IF(I12="","No Criteria",IF(AO12&gt;=I12,"Needed","No")))))),"---")</f>
        <v/>
      </c>
      <c r="E12" s="401" t="str">
        <f>IF(Start!$C$18="x",IF(AND(OR(F12="",F12="NA"),OR(G12="",G12="NA")),"",IF(I12="NA","NA",IF(AND(I12="",K12="--"),"NA",IF(AU12="NA","Missing Data",IF(I12="","No Criteria",IF(AU12&gt;=I12,"Needed","No")))))),"---")</f>
        <v/>
      </c>
      <c r="F12" s="431" t="str">
        <f>IF(TRUE=ISBLANK(ChemData!B12),"",(ChemData!B12))</f>
        <v/>
      </c>
      <c r="G12" s="432" t="str">
        <f>IF(TRUE=ISBLANK(ChemData!C12),"",(ChemData!C12))</f>
        <v/>
      </c>
      <c r="H12" s="433" t="str">
        <f>IF(TRUE=ISBLANK(ChemData!D12),"",(ChemData!D12))</f>
        <v/>
      </c>
      <c r="I12" s="919">
        <f>IF(TRUE=ISBLANK(ChemData!K12),"",(ChemData!K12))</f>
        <v>4.0000000000000002E-4</v>
      </c>
      <c r="J12" s="290">
        <f>IF(TRUE=ISBLANK(ChemData!M12),"",(ChemData!M12))</f>
        <v>121.75</v>
      </c>
      <c r="K12" s="290" t="str">
        <f>IF(TRUE=ISBLANK(ChemData!N12),"",(ChemData!N12))</f>
        <v>--</v>
      </c>
      <c r="L12" s="290">
        <f>IF(TRUE=ISBLANK(ChemData!O12),"",(ChemData!O12))</f>
        <v>0.16010404758698238</v>
      </c>
      <c r="M12" s="290">
        <f>IF(TRUE=ISBLANK(ChemData!Q12),"",(ChemData!Q12))</f>
        <v>270</v>
      </c>
      <c r="N12" s="290">
        <f>IF(TRUE=ISBLANK(ChemData!R12),"",(ChemData!R12))</f>
        <v>170</v>
      </c>
      <c r="O12" s="290">
        <f>IF(TRUE=ISBLANK(ChemData!S12),"",(ChemData!S12))</f>
        <v>0.1</v>
      </c>
      <c r="P12" s="291">
        <f>IF(TRUE=ISBLANK(ChemData!T12),"",(ChemData!T12))</f>
        <v>0.1</v>
      </c>
      <c r="Q12" s="375" t="str">
        <f>IF(Start!$C$18="x",IF(OR(K12="NA",K12="",K12="--"),"NA",(K12*1000000/82.1/Data!$D$50)),"---")</f>
        <v>NA</v>
      </c>
      <c r="R12" s="376">
        <f>IF(Start!$C$18="x",IF(OR(J12="NA",J12=0,J12=""),"NA",(0.32*(Data!$D$48+Data!$D$49)*(18/J12)^0.5)),"---")</f>
        <v>0.31683195657377355</v>
      </c>
      <c r="S12" s="376">
        <f>IF(Start!$C$18="x",IF(OR(J12="NA",J12= 0,J12=""),"NA",(0.0065*((Data!$D$49^0.969)/(Data!$D$51^0.673))*(32/J12)^0.5*EXP(0.526*Data!$D$48^-1.9))),"---")</f>
        <v>6.6779496288347747E-4</v>
      </c>
      <c r="T12" s="377" t="str">
        <f>IF(Start!$C$18="x",IF(OR(S12="NA",R12="NA",R12=0,Q12="NA",S12=0,Q12=0),"NA",(1/(1/S12+(1/(R12*Q12))))),"---")</f>
        <v>NA</v>
      </c>
      <c r="U12" s="375" t="str">
        <f>IF(Start!$C$18="x",IF(OR(F12="NA",F12="",O12="NA",O12=""),"NA",(F12*$O12)/(Data!$D$10/100)),"---")</f>
        <v>NA</v>
      </c>
      <c r="V12" s="376" t="str">
        <f>IF(Start!$C$18="x",IF(OR(U12="NA",M12="NA",M12="",U12=""),"NA",U12/((Data!$D$18+((1-Data!$D$18)*Data!$D$14*M12))/((1-Data!$D$18)*Data!$D$14*1000))),"---")</f>
        <v>NA</v>
      </c>
      <c r="W12" s="376" t="str">
        <f>IF(Start!$C$18="x",IF(OR(G12="NA",U12="NA",G12="",U12=""),"NA",(U12 +($G12*(Data!$D$19-Data!$D$22)/(Data!$D$19*Data!$D$22)))),"---")</f>
        <v>NA</v>
      </c>
      <c r="X12" s="376" t="str">
        <f>IF(Start!$C$18="x",IF(OR(G12="NA",V12="NA",G12="",V12=""),"NA",(((Data!$D$22*Data!$D$18)*V12)+(Data!$D$19-Data!$D$22)*$G12)/((Data!$D$22*Data!$D$18)+Data!$D$19-Data!$D$22)),"---")</f>
        <v>NA</v>
      </c>
      <c r="Y12" s="376" t="str">
        <f>IF(Start!$C$18="x",IF(OR(W12="NA",W12="",M12="NA",M12=""),"NA",(W12/((Data!$D$23+((1-Data!$D$23)*Data!$D$14*M12)) /((1-Data!$D$23)*Data!$D$14*1000)))),"---")</f>
        <v>NA</v>
      </c>
      <c r="Z12" s="376" t="str">
        <f>IF(Start!$C$18="x",IF(OR(Y12="NA",X12="NA"),"NA",IF(Y12&gt;X12, Y12, X12)),"---")</f>
        <v>NA</v>
      </c>
      <c r="AA12" s="461" t="str">
        <f>IF(Start!$C$18="x",IF(OR(Z12="NA",T12="NA"),"NA",Z12*T12/(1000000000)),"---")</f>
        <v>NA</v>
      </c>
      <c r="AB12" s="1057" t="str">
        <f>IF(Start!$C$18="x",IF(AA12 = "NA", "NA", AA12*(Data!$D$52*Data!$D$53*10000)),"---")</f>
        <v>NA</v>
      </c>
      <c r="AC12" s="375" t="str">
        <f>IF(Start!$C$18="x",IF(AB12="NA", "NA", AB12*Data!$D$54),"---")</f>
        <v>NA</v>
      </c>
      <c r="AD12" s="498" t="str">
        <f>IF(Start!$C$18="x",IF(AC12="NA","NA",AC12*Data!$D$41),"---")</f>
        <v>NA</v>
      </c>
      <c r="AE12" s="376" t="str">
        <f>IF(Start!$C$18="x",IF(AB12 = "NA", "NA", AB12/(Data!$D$53*3*Data!$D$48)*1000),"---")</f>
        <v>NA</v>
      </c>
      <c r="AF12" s="498" t="str">
        <f>IF(Start!$C$18="x",IF(AE12="NA","NA",AE12*Data!$D$46),"---")</f>
        <v>NA</v>
      </c>
      <c r="AG12" s="375">
        <f>IF(Start!$C$18="x",IF(OR($L12="NA",L12=""),"NA",($L12*(Data!$D$55^3.33)/(Data!$D$18^2))),"---")</f>
        <v>1.631058970737492E-3</v>
      </c>
      <c r="AH12" s="376" t="str">
        <f>IF(Start!$C$18="x",IF(OR(F12="NA",F12="",P12="NA",P12=""),"NA",IF(100/Data!$D$10&gt;Data!$D$13,(F12*$P12)/(Data!$D$10/100),(F12*$P12)*Data!$D$13)),"---")</f>
        <v>NA</v>
      </c>
      <c r="AI12" s="489" t="str">
        <f>IF(Start!$C$18="x",IF(OR($N12="NA",$Q12="NA",$Q12=0,Q12="",N12=""),"NA",(1000*$N12/$Q12)),"---")</f>
        <v>NA</v>
      </c>
      <c r="AJ12" s="376" t="str">
        <f>IF(Start!$C$18="x",IF(OR(Q12 = "NA",Q12=0,N12 = "NA",N12="",Q12=""), "NA", IF($AG12="NA","NA",(3.1416*Data!$D$57*86400/($AG12*(Data!$D$55+(N12*Data!$D$19/(Q12*1000)))))^0.5)),"---")</f>
        <v>NA</v>
      </c>
      <c r="AK12" s="376" t="str">
        <f>IF(Start!$C$18="x",IF(OR(AH12 = "NA",AI12="NA",AI12=0,AI12="",AH12=""), "NA", AH12/AI12),"---")</f>
        <v>NA</v>
      </c>
      <c r="AL12" s="376" t="str">
        <f>IF(Start!$C$18="x",IF(OR(AK12 ="NA",AK12="",AJ12= "NA",R12="NA",R12=0),"NA",(2*AK12)/(1000*(1/$R12+AJ12))),"---")</f>
        <v>NA</v>
      </c>
      <c r="AM12" s="376" t="str">
        <f>IF(Start!$C$18="x",IF(AL12 = "NA", "NA", AL12*(Data!$D$52*Data!$D$53*10000)),"---")</f>
        <v>NA</v>
      </c>
      <c r="AN12" s="376" t="str">
        <f>IF(Start!$C$18="x",IF(AM12 = "NA", "NA", AM12*(Data!$D$54)),"---")</f>
        <v>NA</v>
      </c>
      <c r="AO12" s="498" t="str">
        <f>IF(Start!$C$18="x",IF(AN12="NA","NA",AN12*Data!$D$41),"---")</f>
        <v>NA</v>
      </c>
      <c r="AP12" s="376" t="str">
        <f>IF(Start!$C$18="x",IF(OR(Q12=0,N12="NA",N12="",AG12="NA",AG12="",AG12=0,Q12="",Q12="NA"),"NA", (3.1416*Data!$D$56*86400/($AG12*(Data!$D$55+(N12*Data!$D$19/(Q12*1000)))))^0.5),"---")</f>
        <v>NA</v>
      </c>
      <c r="AQ12" s="376" t="str">
        <f>IF(Start!$C$18="x",IF(OR(AH12="NA",AI12="NA",AI12="",AI12=0,AH12=""),"NA", AH12/AI12),"---")</f>
        <v>NA</v>
      </c>
      <c r="AR12" s="376" t="str">
        <f>IF(Start!$C$18="x",IF(OR(AQ12="NA",AP12="NA",$R12="NA",R12=0,R12=""),"NA",(2*AQ12)/(1000*(1/$R12+AP12))),"---")</f>
        <v>NA</v>
      </c>
      <c r="AS12" s="376" t="str">
        <f>IF(Start!$C$18="x",IF(AR12 = "NA", "NA", AR12*(Data!$D$52*Data!$D$53*10000)),"---")</f>
        <v>NA</v>
      </c>
      <c r="AT12" s="376" t="str">
        <f>IF(Start!$C$18="x",IF(AS12 = "NA", "NA", (AS12*1000)/(Data!$D$48*3*Data!$D$53)),"---")</f>
        <v>NA</v>
      </c>
      <c r="AU12" s="498" t="str">
        <f>IF(Start!$C$18="x",IF(AT12="NA","NA",AT12*Data!$D$47),"---")</f>
        <v>NA</v>
      </c>
      <c r="AV12" s="283" t="str">
        <f>IF(Start!$C$18="x",(IF(AND(F12="",G12= "",G12&lt;&gt;"NA"),"",IF(OR(AD12="NA",I12="NA",I12=0),"NA",(AD12/I12)))),"Not Req.")</f>
        <v/>
      </c>
      <c r="AW12" s="284" t="str">
        <f>IF(Start!$C$18="x",(IF(AND(F12="",G12= "",G12&lt;&gt;"NA"),"",IF(OR(AF12="NA",I12="NA",I12=0),"NA",(AF12/I12)))),"Not Req.")</f>
        <v/>
      </c>
      <c r="AX12" s="284" t="str">
        <f>IF(Start!$C$18="x",(IF(F12 ="","",IF(OR(AO12="NA",I12="NA",I12=0),"NA",(AO12/I12)))),"Not Req.")</f>
        <v/>
      </c>
      <c r="AY12" s="344" t="str">
        <f>IF(Start!$C$18="x",(IF(F12 ="","",IF(OR(AU12="NA",I12="NA",I12=0),"NA",(AU12/I12)))),"Not Req.")</f>
        <v/>
      </c>
      <c r="AZ12" s="209"/>
    </row>
    <row r="13" spans="1:52" s="23" customFormat="1" x14ac:dyDescent="0.25">
      <c r="A13" s="405" t="s">
        <v>331</v>
      </c>
      <c r="B13" s="347" t="str">
        <f>IF(Start!$C$18="x",IF(AND(OR(F13="",F13="NA"),OR(G13="",G13="NA")),"",IF(I13="NA","NA",IF(AND(I13="",K13="--"),"NA",IF(AD13="NA","Missing Data",IF(I13="","No Criteria",IF(AD13&gt;=I13,"Needed","No")))))),"---")</f>
        <v/>
      </c>
      <c r="C13" s="501" t="str">
        <f>IF(Start!$C$18="x",IF(AND(OR(F13="",F13="NA"),OR(G13="",G13="NA")),"",IF(I13="NA","NA",IF(AND(I13="",K13="--"),"NA",IF(AF13="NA","Missing Data",IF(I13="","No Criteria",IF(AF13&gt;=I13,"Needed","No")))))),"---")</f>
        <v/>
      </c>
      <c r="D13" s="347" t="str">
        <f>IF(Start!$C$18="x",IF(AND(OR(F13="",F13="NA"),OR(G13="",G13="NA")),"",IF(I13="NA","NA",IF(AND(I13="",K13="--"),"NA",IF(AO13="NA","Missing Data",IF(I13="","No Criteria",IF(AO13&gt;=I13,"Needed","No")))))),"---")</f>
        <v/>
      </c>
      <c r="E13" s="401" t="str">
        <f>IF(Start!$C$18="x",IF(AND(OR(F13="",F13="NA"),OR(G13="",G13="NA")),"",IF(I13="NA","NA",IF(AND(I13="",K13="--"),"NA",IF(AU13="NA","Missing Data",IF(I13="","No Criteria",IF(AU13&gt;=I13,"Needed","No")))))),"---")</f>
        <v/>
      </c>
      <c r="F13" s="431" t="str">
        <f>IF(TRUE=ISBLANK(ChemData!B13),"",(ChemData!B13))</f>
        <v/>
      </c>
      <c r="G13" s="432" t="str">
        <f>IF(TRUE=ISBLANK(ChemData!C13),"",(ChemData!C13))</f>
        <v/>
      </c>
      <c r="H13" s="433" t="str">
        <f>IF(TRUE=ISBLANK(ChemData!D13),"",(ChemData!D13))</f>
        <v/>
      </c>
      <c r="I13" s="919" t="str">
        <f>IF(TRUE=ISBLANK(ChemData!K13),"",(ChemData!K13))</f>
        <v>NA</v>
      </c>
      <c r="J13" s="290">
        <f>IF(TRUE=ISBLANK(ChemData!M13),"",(ChemData!M13))</f>
        <v>74.92</v>
      </c>
      <c r="K13" s="290" t="str">
        <f>IF(TRUE=ISBLANK(ChemData!N13),"",(ChemData!N13))</f>
        <v>--</v>
      </c>
      <c r="L13" s="290">
        <f>IF(TRUE=ISBLANK(ChemData!O13),"",(ChemData!O13))</f>
        <v>0.16944912963387734</v>
      </c>
      <c r="M13" s="290">
        <f>IF(TRUE=ISBLANK(ChemData!Q13),"",(ChemData!Q13))</f>
        <v>70</v>
      </c>
      <c r="N13" s="290">
        <f>IF(TRUE=ISBLANK(ChemData!R13),"",(ChemData!R13))</f>
        <v>20.649000000000001</v>
      </c>
      <c r="O13" s="290">
        <f>IF(TRUE=ISBLANK(ChemData!S13),"",(ChemData!S13))</f>
        <v>0.2</v>
      </c>
      <c r="P13" s="291">
        <f>IF(TRUE=ISBLANK(ChemData!T13),"",(ChemData!T13))</f>
        <v>0.2</v>
      </c>
      <c r="Q13" s="375" t="str">
        <f>IF(Start!$C$18="x",IF(OR(K13="NA",K13="",K13="--"),"NA",(K13*1000000/82.1/Data!$D$50)),"---")</f>
        <v>NA</v>
      </c>
      <c r="R13" s="376">
        <f>IF(Start!$C$18="x",IF(OR(J13="NA",J13=0,J13=""),"NA",(0.32*(Data!$D$48+Data!$D$49)*(18/J13)^0.5)),"---")</f>
        <v>0.4038913758174224</v>
      </c>
      <c r="S13" s="376">
        <f>IF(Start!$C$18="x",IF(OR(J13="NA",J13= 0,J13=""),"NA",(0.0065*((Data!$D$49^0.969)/(Data!$D$51^0.673))*(32/J13)^0.5*EXP(0.526*Data!$D$48^-1.9))),"---")</f>
        <v>8.51292367221011E-4</v>
      </c>
      <c r="T13" s="377" t="str">
        <f>IF(Start!$C$18="x",IF(OR(S13="NA",R13="NA",R13=0,Q13="NA",S13=0,Q13=0),"NA",(1/(1/S13+(1/(R13*Q13))))),"---")</f>
        <v>NA</v>
      </c>
      <c r="U13" s="375" t="str">
        <f>IF(Start!$C$18="x",IF(OR(F13="NA",F13="",O13="NA",O13=""),"NA",(F13*$O13)/(Data!$D$10/100)),"---")</f>
        <v>NA</v>
      </c>
      <c r="V13" s="376" t="str">
        <f>IF(Start!$C$18="x",IF(OR(U13="NA",M13="NA",M13="",U13=""),"NA",U13/((Data!$D$18+((1-Data!$D$18)*Data!$D$14*M13))/((1-Data!$D$18)*Data!$D$14*1000))),"---")</f>
        <v>NA</v>
      </c>
      <c r="W13" s="376" t="str">
        <f>IF(Start!$C$18="x",IF(OR(G13="NA",U13="NA",G13="",U13=""),"NA",(U13 +($G13*(Data!$D$19-Data!$D$22)/(Data!$D$19*Data!$D$22)))),"---")</f>
        <v>NA</v>
      </c>
      <c r="X13" s="376" t="str">
        <f>IF(Start!$C$18="x",IF(OR(G13="NA",V13="NA",G13="",V13=""),"NA",(((Data!$D$22*Data!$D$18)*V13)+(Data!$D$19-Data!$D$22)*$G13)/((Data!$D$22*Data!$D$18)+Data!$D$19-Data!$D$22)),"---")</f>
        <v>NA</v>
      </c>
      <c r="Y13" s="376" t="str">
        <f>IF(Start!$C$18="x",IF(OR(W13="NA",W13="",M13="NA",M13=""),"NA",(W13/((Data!$D$23+((1-Data!$D$23)*Data!$D$14*M13)) /((1-Data!$D$23)*Data!$D$14*1000)))),"---")</f>
        <v>NA</v>
      </c>
      <c r="Z13" s="376" t="str">
        <f>IF(Start!$C$18="x",IF(OR(Y13="NA",X13="NA"),"NA",IF(Y13&gt;X13, Y13, X13)),"---")</f>
        <v>NA</v>
      </c>
      <c r="AA13" s="461" t="str">
        <f>IF(Start!$C$18="x",IF(OR(Z13="NA",T13="NA"),"NA",Z13*T13/(1000000000)),"---")</f>
        <v>NA</v>
      </c>
      <c r="AB13" s="1057" t="str">
        <f>IF(Start!$C$18="x",IF(AA13 = "NA", "NA", AA13*(Data!$D$52*Data!$D$53*10000)),"---")</f>
        <v>NA</v>
      </c>
      <c r="AC13" s="375" t="str">
        <f>IF(Start!$C$18="x",IF(AB13="NA", "NA", AB13*Data!$D$54),"---")</f>
        <v>NA</v>
      </c>
      <c r="AD13" s="498" t="str">
        <f>IF(Start!$C$18="x",IF(AC13="NA","NA",AC13*Data!$D$41),"---")</f>
        <v>NA</v>
      </c>
      <c r="AE13" s="376" t="str">
        <f>IF(Start!$C$18="x",IF(AB13 = "NA", "NA", AB13/(Data!$D$53*3*Data!$D$48)*1000),"---")</f>
        <v>NA</v>
      </c>
      <c r="AF13" s="498" t="str">
        <f>IF(Start!$C$18="x",IF(AE13="NA","NA",AE13*Data!$D$46),"---")</f>
        <v>NA</v>
      </c>
      <c r="AG13" s="375">
        <f>IF(Start!$C$18="x",IF(OR($L13="NA",L13=""),"NA",($L13*(Data!$D$55^3.33)/(Data!$D$18^2))),"---")</f>
        <v>1.7262619349010613E-3</v>
      </c>
      <c r="AH13" s="376" t="str">
        <f>IF(Start!$C$18="x",IF(OR(F13="NA",F13="",P13="NA",P13=""),"NA",IF(100/Data!$D$10&gt;Data!$D$13,(F13*$P13)/(Data!$D$10/100),(F13*$P13)*Data!$D$13)),"---")</f>
        <v>NA</v>
      </c>
      <c r="AI13" s="489" t="str">
        <f>IF(Start!$C$18="x",IF(OR($N13="NA",$Q13="NA",$Q13=0,Q13="",N13=""),"NA",(1000*$N13/$Q13)),"---")</f>
        <v>NA</v>
      </c>
      <c r="AJ13" s="376" t="str">
        <f>IF(Start!$C$18="x",IF(OR(Q13 = "NA",Q13=0,N13 = "NA",N13="",Q13=""), "NA", IF($AG13="NA","NA",(3.1416*Data!$D$57*86400/($AG13*(Data!$D$55+(N13*Data!$D$19/(Q13*1000)))))^0.5)),"---")</f>
        <v>NA</v>
      </c>
      <c r="AK13" s="376" t="str">
        <f>IF(Start!$C$18="x",IF(OR(AH13 = "NA",AI13="NA",AI13=0,AI13="",AH13=""), "NA", AH13/AI13),"---")</f>
        <v>NA</v>
      </c>
      <c r="AL13" s="376" t="str">
        <f>IF(Start!$C$18="x",IF(OR(AK13 ="NA",AK13="",AJ13= "NA",R13="NA",R13=0),"NA",(2*AK13)/(1000*(1/$R13+AJ13))),"---")</f>
        <v>NA</v>
      </c>
      <c r="AM13" s="376" t="str">
        <f>IF(Start!$C$18="x",IF(AL13 = "NA", "NA", AL13*(Data!$D$52*Data!$D$53*10000)),"---")</f>
        <v>NA</v>
      </c>
      <c r="AN13" s="376" t="str">
        <f>IF(Start!$C$18="x",IF(AM13 = "NA", "NA", AM13*(Data!$D$54)),"---")</f>
        <v>NA</v>
      </c>
      <c r="AO13" s="498" t="str">
        <f>IF(Start!$C$18="x",IF(AN13="NA","NA",AN13*Data!$D$41),"---")</f>
        <v>NA</v>
      </c>
      <c r="AP13" s="376" t="str">
        <f>IF(Start!$C$18="x",IF(OR(Q13=0,N13="NA",N13="",AG13="NA",AG13="",AG13=0,Q13="",Q13="NA"),"NA", (3.1416*Data!$D$56*86400/($AG13*(Data!$D$55+(N13*Data!$D$19/(Q13*1000)))))^0.5),"---")</f>
        <v>NA</v>
      </c>
      <c r="AQ13" s="376" t="str">
        <f>IF(Start!$C$18="x",IF(OR(AH13="NA",AI13="NA",AI13="",AI13=0,AH13=""),"NA", AH13/AI13),"---")</f>
        <v>NA</v>
      </c>
      <c r="AR13" s="376" t="str">
        <f>IF(Start!$C$18="x",IF(OR(AQ13="NA",AP13="NA",$R13="NA",R13=0,R13=""),"NA",(2*AQ13)/(1000*(1/$R13+AP13))),"---")</f>
        <v>NA</v>
      </c>
      <c r="AS13" s="376" t="str">
        <f>IF(Start!$C$18="x",IF(AR13 = "NA", "NA", AR13*(Data!$D$52*Data!$D$53*10000)),"---")</f>
        <v>NA</v>
      </c>
      <c r="AT13" s="376" t="str">
        <f>IF(Start!$C$18="x",IF(AS13 = "NA", "NA", (AS13*1000)/(Data!$D$48*3*Data!$D$53)),"---")</f>
        <v>NA</v>
      </c>
      <c r="AU13" s="498" t="str">
        <f>IF(Start!$C$18="x",IF(AT13="NA","NA",AT13*Data!$D$47),"---")</f>
        <v>NA</v>
      </c>
      <c r="AV13" s="283" t="str">
        <f>IF(Start!$C$18="x",(IF(AND(F13="",G13= "",G13&lt;&gt;"NA"),"",IF(OR(AD13="NA",I13="NA",I13=0),"NA",(AD13/I13)))),"Not Req.")</f>
        <v/>
      </c>
      <c r="AW13" s="284" t="str">
        <f>IF(Start!$C$18="x",(IF(AND(F13="",G13= "",G13&lt;&gt;"NA"),"",IF(OR(AF13="NA",I13="NA",I13=0),"NA",(AF13/I13)))),"Not Req.")</f>
        <v/>
      </c>
      <c r="AX13" s="284" t="str">
        <f>IF(Start!$C$18="x",(IF(F13 ="","",IF(OR(AO13="NA",I13="NA",I13=0),"NA",(AO13/I13)))),"Not Req.")</f>
        <v/>
      </c>
      <c r="AY13" s="344" t="str">
        <f>IF(Start!$C$18="x",(IF(F13 ="","",IF(OR(AU13="NA",I13="NA",I13=0),"NA",(AU13/I13)))),"Not Req.")</f>
        <v/>
      </c>
      <c r="AZ13" s="209"/>
    </row>
    <row r="14" spans="1:52" s="23" customFormat="1" x14ac:dyDescent="0.25">
      <c r="A14" s="405" t="s">
        <v>332</v>
      </c>
      <c r="B14" s="347" t="str">
        <f>IF(Start!$C$18="x",IF(AND(OR(F14="",F14="NA"),OR(G14="",G14="NA")),"",IF(I14="NA","NA",IF(AND(I14="",K14="--"),"NA",IF(AD14="NA","Missing Data",IF(I14="","No Criteria",IF(AD14&gt;=I14,"Needed","No")))))),"---")</f>
        <v/>
      </c>
      <c r="C14" s="501" t="str">
        <f>IF(Start!$C$18="x",IF(AND(OR(F14="",F14="NA"),OR(G14="",G14="NA")),"",IF(I14="NA","NA",IF(AND(I14="",K14="--"),"NA",IF(AF14="NA","Missing Data",IF(I14="","No Criteria",IF(AF14&gt;=I14,"Needed","No")))))),"---")</f>
        <v/>
      </c>
      <c r="D14" s="347" t="str">
        <f>IF(Start!$C$18="x",IF(AND(OR(F14="",F14="NA"),OR(G14="",G14="NA")),"",IF(I14="NA","NA",IF(AND(I14="",K14="--"),"NA",IF(AO14="NA","Missing Data",IF(I14="","No Criteria",IF(AO14&gt;=I14,"Needed","No")))))),"---")</f>
        <v/>
      </c>
      <c r="E14" s="401" t="str">
        <f>IF(Start!$C$18="x",IF(AND(OR(F14="",F14="NA"),OR(G14="",G14="NA")),"",IF(I14="NA","NA",IF(AND(I14="",K14="--"),"NA",IF(AU14="NA","Missing Data",IF(I14="","No Criteria",IF(AU14&gt;=I14,"Needed","No")))))),"---")</f>
        <v/>
      </c>
      <c r="F14" s="431" t="str">
        <f>IF(TRUE=ISBLANK(ChemData!B14),"",(ChemData!B14))</f>
        <v/>
      </c>
      <c r="G14" s="432" t="str">
        <f>IF(TRUE=ISBLANK(ChemData!C14),"",(ChemData!C14))</f>
        <v/>
      </c>
      <c r="H14" s="433" t="str">
        <f>IF(TRUE=ISBLANK(ChemData!D14),"",(ChemData!D14))</f>
        <v/>
      </c>
      <c r="I14" s="919" t="str">
        <f>IF(TRUE=ISBLANK(ChemData!K14),"",(ChemData!K14))</f>
        <v>NA</v>
      </c>
      <c r="J14" s="290">
        <f>IF(TRUE=ISBLANK(ChemData!M14),"",(ChemData!M14))</f>
        <v>137.33000000000001</v>
      </c>
      <c r="K14" s="290" t="str">
        <f>IF(TRUE=ISBLANK(ChemData!N14),"",(ChemData!N14))</f>
        <v>--</v>
      </c>
      <c r="L14" s="290">
        <f>IF(TRUE=ISBLANK(ChemData!O14),"",(ChemData!O14))</f>
        <v>0.15834879697397442</v>
      </c>
      <c r="M14" s="290">
        <f>IF(TRUE=ISBLANK(ChemData!Q14),"",(ChemData!Q14))</f>
        <v>100</v>
      </c>
      <c r="N14" s="290">
        <f>IF(TRUE=ISBLANK(ChemData!R14),"",(ChemData!R14))</f>
        <v>41</v>
      </c>
      <c r="O14" s="290">
        <f>IF(TRUE=ISBLANK(ChemData!S14),"",(ChemData!S14))</f>
        <v>0.2</v>
      </c>
      <c r="P14" s="291">
        <f>IF(TRUE=ISBLANK(ChemData!T14),"",(ChemData!T14))</f>
        <v>0.2</v>
      </c>
      <c r="Q14" s="375" t="str">
        <f>IF(Start!$C$18="x",IF(OR(K14="NA",K14="",K14="--"),"NA",(K14*1000000/82.1/Data!$D$50)),"---")</f>
        <v>NA</v>
      </c>
      <c r="R14" s="376">
        <f>IF(Start!$C$18="x",IF(OR(J14="NA",J14=0,J14=""),"NA",(0.32*(Data!$D$48+Data!$D$49)*(18/J14)^0.5)),"---")</f>
        <v>0.29831888986859084</v>
      </c>
      <c r="S14" s="376">
        <f>IF(Start!$C$18="x",IF(OR(J14="NA",J14= 0,J14=""),"NA",(0.0065*((Data!$D$49^0.969)/(Data!$D$51^0.673))*(32/J14)^0.5*EXP(0.526*Data!$D$48^-1.9))),"---")</f>
        <v>6.2877449024258678E-4</v>
      </c>
      <c r="T14" s="377" t="str">
        <f>IF(Start!$C$18="x",IF(OR(S14="NA",R14="NA",R14=0,Q14="NA",S14=0,Q14=0),"NA",(1/(1/S14+(1/(R14*Q14))))),"---")</f>
        <v>NA</v>
      </c>
      <c r="U14" s="375" t="str">
        <f>IF(Start!$C$18="x",IF(OR(F14="NA",F14="",O14="NA",O14=""),"NA",(F14*$O14)/(Data!$D$10/100)),"---")</f>
        <v>NA</v>
      </c>
      <c r="V14" s="376" t="str">
        <f>IF(Start!$C$18="x",IF(OR(U14="NA",M14="NA",M14="",U14=""),"NA",U14/((Data!$D$18+((1-Data!$D$18)*Data!$D$14*M14))/((1-Data!$D$18)*Data!$D$14*1000))),"---")</f>
        <v>NA</v>
      </c>
      <c r="W14" s="376" t="str">
        <f>IF(Start!$C$18="x",IF(OR(G14="NA",U14="NA",G14="",U14=""),"NA",(U14 +($G14*(Data!$D$19-Data!$D$22)/(Data!$D$19*Data!$D$22)))),"---")</f>
        <v>NA</v>
      </c>
      <c r="X14" s="376" t="str">
        <f>IF(Start!$C$18="x",IF(OR(G14="NA",V14="NA",G14="",V14=""),"NA",(((Data!$D$22*Data!$D$18)*V14)+(Data!$D$19-Data!$D$22)*$G14)/((Data!$D$22*Data!$D$18)+Data!$D$19-Data!$D$22)),"---")</f>
        <v>NA</v>
      </c>
      <c r="Y14" s="376" t="str">
        <f>IF(Start!$C$18="x",IF(OR(W14="NA",W14="",M14="NA",M14=""),"NA",(W14/((Data!$D$23+((1-Data!$D$23)*Data!$D$14*M14)) /((1-Data!$D$23)*Data!$D$14*1000)))),"---")</f>
        <v>NA</v>
      </c>
      <c r="Z14" s="376" t="str">
        <f>IF(Start!$C$18="x",IF(OR(Y14="NA",X14="NA"),"NA",IF(Y14&gt;X14, Y14, X14)),"---")</f>
        <v>NA</v>
      </c>
      <c r="AA14" s="461" t="str">
        <f>IF(Start!$C$18="x",IF(OR(Z14="NA",T14="NA"),"NA",Z14*T14/(1000000000)),"---")</f>
        <v>NA</v>
      </c>
      <c r="AB14" s="1057" t="str">
        <f>IF(Start!$C$18="x",IF(AA14 = "NA", "NA", AA14*(Data!$D$52*Data!$D$53*10000)),"---")</f>
        <v>NA</v>
      </c>
      <c r="AC14" s="375" t="str">
        <f>IF(Start!$C$18="x",IF(AB14="NA", "NA", AB14*Data!$D$54),"---")</f>
        <v>NA</v>
      </c>
      <c r="AD14" s="498" t="str">
        <f>IF(Start!$C$18="x",IF(AC14="NA","NA",AC14*Data!$D$41),"---")</f>
        <v>NA</v>
      </c>
      <c r="AE14" s="376" t="str">
        <f>IF(Start!$C$18="x",IF(AB14 = "NA", "NA", AB14/(Data!$D$53*3*Data!$D$48)*1000),"---")</f>
        <v>NA</v>
      </c>
      <c r="AF14" s="498" t="str">
        <f>IF(Start!$C$18="x",IF(AE14="NA","NA",AE14*Data!$D$46),"---")</f>
        <v>NA</v>
      </c>
      <c r="AG14" s="375">
        <f>IF(Start!$C$18="x",IF(OR($L14="NA",L14=""),"NA",($L14*(Data!$D$55^3.33)/(Data!$D$18^2))),"---")</f>
        <v>1.6131773662347467E-3</v>
      </c>
      <c r="AH14" s="376" t="str">
        <f>IF(Start!$C$18="x",IF(OR(F14="NA",F14="",P14="NA",P14=""),"NA",IF(100/Data!$D$10&gt;Data!$D$13,(F14*$P14)/(Data!$D$10/100),(F14*$P14)*Data!$D$13)),"---")</f>
        <v>NA</v>
      </c>
      <c r="AI14" s="489" t="str">
        <f>IF(Start!$C$18="x",IF(OR($N14="NA",$Q14="NA",$Q14=0,Q14="",N14=""),"NA",(1000*$N14/$Q14)),"---")</f>
        <v>NA</v>
      </c>
      <c r="AJ14" s="376" t="str">
        <f>IF(Start!$C$18="x",IF(OR(Q14 = "NA",Q14=0,N14 = "NA",N14="",Q14=""), "NA", IF($AG14="NA","NA",(3.1416*Data!$D$57*86400/($AG14*(Data!$D$55+(N14*Data!$D$19/(Q14*1000)))))^0.5)),"---")</f>
        <v>NA</v>
      </c>
      <c r="AK14" s="376" t="str">
        <f>IF(Start!$C$18="x",IF(OR(AH14 = "NA",AI14="NA",AI14=0,AI14="",AH14=""), "NA", AH14/AI14),"---")</f>
        <v>NA</v>
      </c>
      <c r="AL14" s="376" t="str">
        <f>IF(Start!$C$18="x",IF(OR(AK14 ="NA",AK14="",AJ14= "NA",R14="NA",R14=0),"NA",(2*AK14)/(1000*(1/$R14+AJ14))),"---")</f>
        <v>NA</v>
      </c>
      <c r="AM14" s="376" t="str">
        <f>IF(Start!$C$18="x",IF(AL14 = "NA", "NA", AL14*(Data!$D$52*Data!$D$53*10000)),"---")</f>
        <v>NA</v>
      </c>
      <c r="AN14" s="376" t="str">
        <f>IF(Start!$C$18="x",IF(AM14 = "NA", "NA", AM14*(Data!$D$54)),"---")</f>
        <v>NA</v>
      </c>
      <c r="AO14" s="498" t="str">
        <f>IF(Start!$C$18="x",IF(AN14="NA","NA",AN14*Data!$D$41),"---")</f>
        <v>NA</v>
      </c>
      <c r="AP14" s="376" t="str">
        <f>IF(Start!$C$18="x",IF(OR(Q14=0,N14="NA",N14="",AG14="NA",AG14="",AG14=0,Q14="",Q14="NA"),"NA", (3.1416*Data!$D$56*86400/($AG14*(Data!$D$55+(N14*Data!$D$19/(Q14*1000)))))^0.5),"---")</f>
        <v>NA</v>
      </c>
      <c r="AQ14" s="376" t="str">
        <f>IF(Start!$C$18="x",IF(OR(AH14="NA",AI14="NA",AI14="",AI14=0,AH14=""),"NA", AH14/AI14),"---")</f>
        <v>NA</v>
      </c>
      <c r="AR14" s="376" t="str">
        <f>IF(Start!$C$18="x",IF(OR(AQ14="NA",AP14="NA",$R14="NA",R14=0,R14=""),"NA",(2*AQ14)/(1000*(1/$R14+AP14))),"---")</f>
        <v>NA</v>
      </c>
      <c r="AS14" s="376" t="str">
        <f>IF(Start!$C$18="x",IF(AR14 = "NA", "NA", AR14*(Data!$D$52*Data!$D$53*10000)),"---")</f>
        <v>NA</v>
      </c>
      <c r="AT14" s="376" t="str">
        <f>IF(Start!$C$18="x",IF(AS14 = "NA", "NA", (AS14*1000)/(Data!$D$48*3*Data!$D$53)),"---")</f>
        <v>NA</v>
      </c>
      <c r="AU14" s="498" t="str">
        <f>IF(Start!$C$18="x",IF(AT14="NA","NA",AT14*Data!$D$47),"---")</f>
        <v>NA</v>
      </c>
      <c r="AV14" s="283" t="str">
        <f>IF(Start!$C$18="x",(IF(AND(F14="",G14= "",G14&lt;&gt;"NA"),"",IF(OR(AD14="NA",I14="NA",I14=0),"NA",(AD14/I14)))),"Not Req.")</f>
        <v/>
      </c>
      <c r="AW14" s="284" t="str">
        <f>IF(Start!$C$18="x",(IF(AND(F14="",G14= "",G14&lt;&gt;"NA"),"",IF(OR(AF14="NA",I14="NA",I14=0),"NA",(AF14/I14)))),"Not Req.")</f>
        <v/>
      </c>
      <c r="AX14" s="284" t="str">
        <f>IF(Start!$C$18="x",(IF(F14 ="","",IF(OR(AO14="NA",I14="NA",I14=0),"NA",(AO14/I14)))),"Not Req.")</f>
        <v/>
      </c>
      <c r="AY14" s="344" t="str">
        <f>IF(Start!$C$18="x",(IF(F14 ="","",IF(OR(AU14="NA",I14="NA",I14=0),"NA",(AU14/I14)))),"Not Req.")</f>
        <v/>
      </c>
      <c r="AZ14" s="209"/>
    </row>
    <row r="15" spans="1:52" s="23" customFormat="1" x14ac:dyDescent="0.25">
      <c r="A15" s="405" t="s">
        <v>333</v>
      </c>
      <c r="B15" s="347" t="str">
        <f>IF(Start!$C$18="x",IF(AND(OR(F15="",F15="NA"),OR(G15="",G15="NA")),"",IF(I15="NA","NA",IF(AND(I15="",K15="--"),"NA",IF(AD15="NA","Missing Data",IF(I15="","No Criteria",IF(AD15&gt;=I15,"Needed","No")))))),"---")</f>
        <v/>
      </c>
      <c r="C15" s="501" t="str">
        <f>IF(Start!$C$18="x",IF(AND(OR(F15="",F15="NA"),OR(G15="",G15="NA")),"",IF(I15="NA","NA",IF(AND(I15="",K15="--"),"NA",IF(AF15="NA","Missing Data",IF(I15="","No Criteria",IF(AF15&gt;=I15,"Needed","No")))))),"---")</f>
        <v/>
      </c>
      <c r="D15" s="347" t="str">
        <f>IF(Start!$C$18="x",IF(AND(OR(F15="",F15="NA"),OR(G15="",G15="NA")),"",IF(I15="NA","NA",IF(AND(I15="",K15="--"),"NA",IF(AO15="NA","Missing Data",IF(I15="","No Criteria",IF(AO15&gt;=I15,"Needed","No")))))),"---")</f>
        <v/>
      </c>
      <c r="E15" s="401" t="str">
        <f>IF(Start!$C$18="x",IF(AND(OR(F15="",F15="NA"),OR(G15="",G15="NA")),"",IF(I15="NA","NA",IF(AND(I15="",K15="--"),"NA",IF(AU15="NA","Missing Data",IF(I15="","No Criteria",IF(AU15&gt;=I15,"Needed","No")))))),"---")</f>
        <v/>
      </c>
      <c r="F15" s="431" t="str">
        <f>IF(TRUE=ISBLANK(ChemData!B15),"",(ChemData!B15))</f>
        <v/>
      </c>
      <c r="G15" s="432" t="str">
        <f>IF(TRUE=ISBLANK(ChemData!C15),"",(ChemData!C15))</f>
        <v/>
      </c>
      <c r="H15" s="433" t="str">
        <f>IF(TRUE=ISBLANK(ChemData!D15),"",(ChemData!D15))</f>
        <v/>
      </c>
      <c r="I15" s="919" t="str">
        <f>IF(TRUE=ISBLANK(ChemData!K15),"",(ChemData!K15))</f>
        <v>NA</v>
      </c>
      <c r="J15" s="290">
        <f>IF(TRUE=ISBLANK(ChemData!M15),"",(ChemData!M15))</f>
        <v>9.01</v>
      </c>
      <c r="K15" s="290" t="str">
        <f>IF(TRUE=ISBLANK(ChemData!N15),"",(ChemData!N15))</f>
        <v>--</v>
      </c>
      <c r="L15" s="290">
        <f>IF(TRUE=ISBLANK(ChemData!O15),"",(ChemData!O15))</f>
        <v>0.29543805695827713</v>
      </c>
      <c r="M15" s="290">
        <f>IF(TRUE=ISBLANK(ChemData!Q15),"",(ChemData!Q15))</f>
        <v>40</v>
      </c>
      <c r="N15" s="290">
        <f>IF(TRUE=ISBLANK(ChemData!R15),"",(ChemData!R15))</f>
        <v>40</v>
      </c>
      <c r="O15" s="290">
        <f>IF(TRUE=ISBLANK(ChemData!S15),"",(ChemData!S15))</f>
        <v>0.2</v>
      </c>
      <c r="P15" s="291">
        <f>IF(TRUE=ISBLANK(ChemData!T15),"",(ChemData!T15))</f>
        <v>0.60000000000000009</v>
      </c>
      <c r="Q15" s="375" t="str">
        <f>IF(Start!$C$18="x",IF(OR(K15="NA",K15="",K15="--"),"NA",(K15*1000000/82.1/Data!$D$50)),"---")</f>
        <v>NA</v>
      </c>
      <c r="R15" s="376">
        <f>IF(Start!$C$18="x",IF(OR(J15="NA",J15=0,J15=""),"NA",(0.32*(Data!$D$48+Data!$D$49)*(18/J15)^0.5)),"---")</f>
        <v>1.1646651188507806</v>
      </c>
      <c r="S15" s="376">
        <f>IF(Start!$C$18="x",IF(OR(J15="NA",J15= 0,J15=""),"NA",(0.0065*((Data!$D$49^0.969)/(Data!$D$51^0.673))*(32/J15)^0.5*EXP(0.526*Data!$D$48^-1.9))),"---")</f>
        <v>2.4547949904590478E-3</v>
      </c>
      <c r="T15" s="377" t="str">
        <f>IF(Start!$C$18="x",IF(OR(S15="NA",R15="NA",R15=0,Q15="NA",S15=0,Q15=0),"NA",(1/(1/S15+(1/(R15*Q15))))),"---")</f>
        <v>NA</v>
      </c>
      <c r="U15" s="375" t="str">
        <f>IF(Start!$C$18="x",IF(OR(F15="NA",F15="",O15="NA",O15=""),"NA",(F15*$O15)/(Data!$D$10/100)),"---")</f>
        <v>NA</v>
      </c>
      <c r="V15" s="376" t="str">
        <f>IF(Start!$C$18="x",IF(OR(U15="NA",M15="NA",M15="",U15=""),"NA",U15/((Data!$D$18+((1-Data!$D$18)*Data!$D$14*M15))/((1-Data!$D$18)*Data!$D$14*1000))),"---")</f>
        <v>NA</v>
      </c>
      <c r="W15" s="376" t="str">
        <f>IF(Start!$C$18="x",IF(OR(G15="NA",U15="NA",G15="",U15=""),"NA",(U15 +($G15*(Data!$D$19-Data!$D$22)/(Data!$D$19*Data!$D$22)))),"---")</f>
        <v>NA</v>
      </c>
      <c r="X15" s="376" t="str">
        <f>IF(Start!$C$18="x",IF(OR(G15="NA",V15="NA",G15="",V15=""),"NA",(((Data!$D$22*Data!$D$18)*V15)+(Data!$D$19-Data!$D$22)*$G15)/((Data!$D$22*Data!$D$18)+Data!$D$19-Data!$D$22)),"---")</f>
        <v>NA</v>
      </c>
      <c r="Y15" s="376" t="str">
        <f>IF(Start!$C$18="x",IF(OR(W15="NA",W15="",M15="NA",M15=""),"NA",(W15/((Data!$D$23+((1-Data!$D$23)*Data!$D$14*M15)) /((1-Data!$D$23)*Data!$D$14*1000)))),"---")</f>
        <v>NA</v>
      </c>
      <c r="Z15" s="376" t="str">
        <f>IF(Start!$C$18="x",IF(OR(Y15="NA",X15="NA"),"NA",IF(Y15&gt;X15, Y15, X15)),"---")</f>
        <v>NA</v>
      </c>
      <c r="AA15" s="461" t="str">
        <f>IF(Start!$C$18="x",IF(OR(Z15="NA",T15="NA"),"NA",Z15*T15/(1000000000)),"---")</f>
        <v>NA</v>
      </c>
      <c r="AB15" s="1057" t="str">
        <f>IF(Start!$C$18="x",IF(AA15 = "NA", "NA", AA15*(Data!$D$52*Data!$D$53*10000)),"---")</f>
        <v>NA</v>
      </c>
      <c r="AC15" s="375" t="str">
        <f>IF(Start!$C$18="x",IF(AB15="NA", "NA", AB15*Data!$D$54),"---")</f>
        <v>NA</v>
      </c>
      <c r="AD15" s="498" t="str">
        <f>IF(Start!$C$18="x",IF(AC15="NA","NA",AC15*Data!$D$41),"---")</f>
        <v>NA</v>
      </c>
      <c r="AE15" s="376" t="str">
        <f>IF(Start!$C$18="x",IF(AB15 = "NA", "NA", AB15/(Data!$D$53*3*Data!$D$48)*1000),"---")</f>
        <v>NA</v>
      </c>
      <c r="AF15" s="498" t="str">
        <f>IF(Start!$C$18="x",IF(AE15="NA","NA",AE15*Data!$D$46),"---")</f>
        <v>NA</v>
      </c>
      <c r="AG15" s="375">
        <f>IF(Start!$C$18="x",IF(OR($L15="NA",L15=""),"NA",($L15*(Data!$D$55^3.33)/(Data!$D$18^2))),"---")</f>
        <v>3.0097733340392584E-3</v>
      </c>
      <c r="AH15" s="376" t="str">
        <f>IF(Start!$C$18="x",IF(OR(F15="NA",F15="",P15="NA",P15=""),"NA",IF(100/Data!$D$10&gt;Data!$D$13,(F15*$P15)/(Data!$D$10/100),(F15*$P15)*Data!$D$13)),"---")</f>
        <v>NA</v>
      </c>
      <c r="AI15" s="489" t="str">
        <f>IF(Start!$C$18="x",IF(OR($N15="NA",$Q15="NA",$Q15=0,Q15="",N15=""),"NA",(1000*$N15/$Q15)),"---")</f>
        <v>NA</v>
      </c>
      <c r="AJ15" s="376" t="str">
        <f>IF(Start!$C$18="x",IF(OR(Q15 = "NA",Q15=0,N15 = "NA",N15="",Q15=""), "NA", IF($AG15="NA","NA",(3.1416*Data!$D$57*86400/($AG15*(Data!$D$55+(N15*Data!$D$19/(Q15*1000)))))^0.5)),"---")</f>
        <v>NA</v>
      </c>
      <c r="AK15" s="376" t="str">
        <f>IF(Start!$C$18="x",IF(OR(AH15 = "NA",AI15="NA",AI15=0,AI15="",AH15=""), "NA", AH15/AI15),"---")</f>
        <v>NA</v>
      </c>
      <c r="AL15" s="376" t="str">
        <f>IF(Start!$C$18="x",IF(OR(AK15 ="NA",AK15="",AJ15= "NA",R15="NA",R15=0),"NA",(2*AK15)/(1000*(1/$R15+AJ15))),"---")</f>
        <v>NA</v>
      </c>
      <c r="AM15" s="376" t="str">
        <f>IF(Start!$C$18="x",IF(AL15 = "NA", "NA", AL15*(Data!$D$52*Data!$D$53*10000)),"---")</f>
        <v>NA</v>
      </c>
      <c r="AN15" s="376" t="str">
        <f>IF(Start!$C$18="x",IF(AM15 = "NA", "NA", AM15*(Data!$D$54)),"---")</f>
        <v>NA</v>
      </c>
      <c r="AO15" s="498" t="str">
        <f>IF(Start!$C$18="x",IF(AN15="NA","NA",AN15*Data!$D$41),"---")</f>
        <v>NA</v>
      </c>
      <c r="AP15" s="376" t="str">
        <f>IF(Start!$C$18="x",IF(OR(Q15=0,N15="NA",N15="",AG15="NA",AG15="",AG15=0,Q15="",Q15="NA"),"NA", (3.1416*Data!$D$56*86400/($AG15*(Data!$D$55+(N15*Data!$D$19/(Q15*1000)))))^0.5),"---")</f>
        <v>NA</v>
      </c>
      <c r="AQ15" s="376" t="str">
        <f>IF(Start!$C$18="x",IF(OR(AH15="NA",AI15="NA",AI15="",AI15=0,AH15=""),"NA", AH15/AI15),"---")</f>
        <v>NA</v>
      </c>
      <c r="AR15" s="376" t="str">
        <f>IF(Start!$C$18="x",IF(OR(AQ15="NA",AP15="NA",$R15="NA",R15=0,R15=""),"NA",(2*AQ15)/(1000*(1/$R15+AP15))),"---")</f>
        <v>NA</v>
      </c>
      <c r="AS15" s="376" t="str">
        <f>IF(Start!$C$18="x",IF(AR15 = "NA", "NA", AR15*(Data!$D$52*Data!$D$53*10000)),"---")</f>
        <v>NA</v>
      </c>
      <c r="AT15" s="376" t="str">
        <f>IF(Start!$C$18="x",IF(AS15 = "NA", "NA", (AS15*1000)/(Data!$D$48*3*Data!$D$53)),"---")</f>
        <v>NA</v>
      </c>
      <c r="AU15" s="498" t="str">
        <f>IF(Start!$C$18="x",IF(AT15="NA","NA",AT15*Data!$D$47),"---")</f>
        <v>NA</v>
      </c>
      <c r="AV15" s="283" t="str">
        <f>IF(Start!$C$18="x",(IF(AND(F15="",G15= "",G15&lt;&gt;"NA"),"",IF(OR(AD15="NA",I15="NA",I15=0),"NA",(AD15/I15)))),"Not Req.")</f>
        <v/>
      </c>
      <c r="AW15" s="284" t="str">
        <f>IF(Start!$C$18="x",(IF(AND(F15="",G15= "",G15&lt;&gt;"NA"),"",IF(OR(AF15="NA",I15="NA",I15=0),"NA",(AF15/I15)))),"Not Req.")</f>
        <v/>
      </c>
      <c r="AX15" s="284" t="str">
        <f>IF(Start!$C$18="x",(IF(F15 ="","",IF(OR(AO15="NA",I15="NA",I15=0),"NA",(AO15/I15)))),"Not Req.")</f>
        <v/>
      </c>
      <c r="AY15" s="344" t="str">
        <f>IF(Start!$C$18="x",(IF(F15 ="","",IF(OR(AU15="NA",I15="NA",I15=0),"NA",(AU15/I15)))),"Not Req.")</f>
        <v/>
      </c>
      <c r="AZ15" s="209"/>
    </row>
    <row r="16" spans="1:52" s="23" customFormat="1" x14ac:dyDescent="0.25">
      <c r="A16" s="405" t="s">
        <v>334</v>
      </c>
      <c r="B16" s="347" t="str">
        <f>IF(Start!$C$18="x",IF(AND(OR(F16="",F16="NA"),OR(G16="",G16="NA")),"",IF(I16="NA","NA",IF(AND(I16="",K16="--"),"NA",IF(AD16="NA","Missing Data",IF(I16="","No Criteria",IF(AD16&gt;=I16,"Needed","No")))))),"---")</f>
        <v/>
      </c>
      <c r="C16" s="501" t="str">
        <f>IF(Start!$C$18="x",IF(AND(OR(F16="",F16="NA"),OR(G16="",G16="NA")),"",IF(I16="NA","NA",IF(AND(I16="",K16="--"),"NA",IF(AF16="NA","Missing Data",IF(I16="","No Criteria",IF(AF16&gt;=I16,"Needed","No")))))),"---")</f>
        <v/>
      </c>
      <c r="D16" s="347" t="str">
        <f>IF(Start!$C$18="x",IF(AND(OR(F16="",F16="NA"),OR(G16="",G16="NA")),"",IF(I16="NA","NA",IF(AND(I16="",K16="--"),"NA",IF(AO16="NA","Missing Data",IF(I16="","No Criteria",IF(AO16&gt;=I16,"Needed","No")))))),"---")</f>
        <v/>
      </c>
      <c r="E16" s="401" t="str">
        <f>IF(Start!$C$18="x",IF(AND(OR(F16="",F16="NA"),OR(G16="",G16="NA")),"",IF(I16="NA","NA",IF(AND(I16="",K16="--"),"NA",IF(AU16="NA","Missing Data",IF(I16="","No Criteria",IF(AU16&gt;=I16,"Needed","No")))))),"---")</f>
        <v/>
      </c>
      <c r="F16" s="431" t="str">
        <f>IF(TRUE=ISBLANK(ChemData!B16),"",(ChemData!B16))</f>
        <v/>
      </c>
      <c r="G16" s="432" t="str">
        <f>IF(TRUE=ISBLANK(ChemData!C16),"",(ChemData!C16))</f>
        <v/>
      </c>
      <c r="H16" s="433" t="str">
        <f>IF(TRUE=ISBLANK(ChemData!D16),"",(ChemData!D16))</f>
        <v/>
      </c>
      <c r="I16" s="919" t="str">
        <f>IF(TRUE=ISBLANK(ChemData!K16),"",(ChemData!K16))</f>
        <v>NA</v>
      </c>
      <c r="J16" s="290">
        <f>IF(TRUE=ISBLANK(ChemData!M16),"",(ChemData!M16))</f>
        <v>10.81</v>
      </c>
      <c r="K16" s="290" t="str">
        <f>IF(TRUE=ISBLANK(ChemData!N16),"",(ChemData!N16))</f>
        <v>--</v>
      </c>
      <c r="L16" s="290">
        <f>IF(TRUE=ISBLANK(ChemData!O16),"",(ChemData!O16))</f>
        <v>0.27603928643835035</v>
      </c>
      <c r="M16" s="290">
        <f>IF(TRUE=ISBLANK(ChemData!Q16),"",(ChemData!Q16))</f>
        <v>3</v>
      </c>
      <c r="N16" s="290">
        <f>IF(TRUE=ISBLANK(ChemData!R16),"",(ChemData!R16))</f>
        <v>3</v>
      </c>
      <c r="O16" s="290" t="str">
        <f>IF(TRUE=ISBLANK(ChemData!S16),"",(ChemData!S16))</f>
        <v>NA</v>
      </c>
      <c r="P16" s="291" t="str">
        <f>IF(TRUE=ISBLANK(ChemData!T16),"",(ChemData!T16))</f>
        <v>NA</v>
      </c>
      <c r="Q16" s="375" t="str">
        <f>IF(Start!$C$18="x",IF(OR(K16="NA",K16="",K16="--"),"NA",(K16*1000000/82.1/Data!$D$50)),"---")</f>
        <v>NA</v>
      </c>
      <c r="R16" s="376">
        <f>IF(Start!$C$18="x",IF(OR(J16="NA",J16=0,J16=""),"NA",(0.32*(Data!$D$48+Data!$D$49)*(18/J16)^0.5)),"---")</f>
        <v>1.063287277027009</v>
      </c>
      <c r="S16" s="376">
        <f>IF(Start!$C$18="x",IF(OR(J16="NA",J16= 0,J16=""),"NA",(0.0065*((Data!$D$49^0.969)/(Data!$D$51^0.673))*(32/J16)^0.5*EXP(0.526*Data!$D$48^-1.9))),"---")</f>
        <v>2.2411182741012116E-3</v>
      </c>
      <c r="T16" s="377" t="str">
        <f>IF(Start!$C$18="x",IF(OR(S16="NA",R16="NA",R16=0,Q16="NA",S16=0,Q16=0),"NA",(1/(1/S16+(1/(R16*Q16))))),"---")</f>
        <v>NA</v>
      </c>
      <c r="U16" s="375" t="str">
        <f>IF(Start!$C$18="x",IF(OR(F16="NA",F16="",O16="NA",O16=""),"NA",(F16*$O16)/(Data!$D$10/100)),"---")</f>
        <v>NA</v>
      </c>
      <c r="V16" s="376" t="str">
        <f>IF(Start!$C$18="x",IF(OR(U16="NA",M16="NA",M16="",U16=""),"NA",U16/((Data!$D$18+((1-Data!$D$18)*Data!$D$14*M16))/((1-Data!$D$18)*Data!$D$14*1000))),"---")</f>
        <v>NA</v>
      </c>
      <c r="W16" s="376" t="str">
        <f>IF(Start!$C$18="x",IF(OR(G16="NA",U16="NA",G16="",U16=""),"NA",(U16 +($G16*(Data!$D$19-Data!$D$22)/(Data!$D$19*Data!$D$22)))),"---")</f>
        <v>NA</v>
      </c>
      <c r="X16" s="376" t="str">
        <f>IF(Start!$C$18="x",IF(OR(G16="NA",V16="NA",G16="",V16=""),"NA",(((Data!$D$22*Data!$D$18)*V16)+(Data!$D$19-Data!$D$22)*$G16)/((Data!$D$22*Data!$D$18)+Data!$D$19-Data!$D$22)),"---")</f>
        <v>NA</v>
      </c>
      <c r="Y16" s="376" t="str">
        <f>IF(Start!$C$18="x",IF(OR(W16="NA",W16="",M16="NA",M16=""),"NA",(W16/((Data!$D$23+((1-Data!$D$23)*Data!$D$14*M16)) /((1-Data!$D$23)*Data!$D$14*1000)))),"---")</f>
        <v>NA</v>
      </c>
      <c r="Z16" s="376" t="str">
        <f>IF(Start!$C$18="x",IF(OR(Y16="NA",X16="NA"),"NA",IF(Y16&gt;X16, Y16, X16)),"---")</f>
        <v>NA</v>
      </c>
      <c r="AA16" s="461" t="str">
        <f>IF(Start!$C$18="x",IF(OR(Z16="NA",T16="NA"),"NA",Z16*T16/(1000000000)),"---")</f>
        <v>NA</v>
      </c>
      <c r="AB16" s="1057" t="str">
        <f>IF(Start!$C$18="x",IF(AA16 = "NA", "NA", AA16*(Data!$D$52*Data!$D$53*10000)),"---")</f>
        <v>NA</v>
      </c>
      <c r="AC16" s="375" t="str">
        <f>IF(Start!$C$18="x",IF(AB16="NA", "NA", AB16*Data!$D$54),"---")</f>
        <v>NA</v>
      </c>
      <c r="AD16" s="498" t="str">
        <f>IF(Start!$C$18="x",IF(AC16="NA","NA",AC16*Data!$D$41),"---")</f>
        <v>NA</v>
      </c>
      <c r="AE16" s="376" t="str">
        <f>IF(Start!$C$18="x",IF(AB16 = "NA", "NA", AB16/(Data!$D$53*3*Data!$D$48)*1000),"---")</f>
        <v>NA</v>
      </c>
      <c r="AF16" s="498" t="str">
        <f>IF(Start!$C$18="x",IF(AE16="NA","NA",AE16*Data!$D$46),"---")</f>
        <v>NA</v>
      </c>
      <c r="AG16" s="375">
        <f>IF(Start!$C$18="x",IF(OR($L16="NA",L16=""),"NA",($L16*(Data!$D$55^3.33)/(Data!$D$18^2))),"---")</f>
        <v>2.8121484822339676E-3</v>
      </c>
      <c r="AH16" s="376" t="str">
        <f>IF(Start!$C$18="x",IF(OR(F16="NA",F16="",P16="NA",P16=""),"NA",IF(100/Data!$D$10&gt;Data!$D$13,(F16*$P16)/(Data!$D$10/100),(F16*$P16)*Data!$D$13)),"---")</f>
        <v>NA</v>
      </c>
      <c r="AI16" s="489" t="str">
        <f>IF(Start!$C$18="x",IF(OR($N16="NA",$Q16="NA",$Q16=0,Q16="",N16=""),"NA",(1000*$N16/$Q16)),"---")</f>
        <v>NA</v>
      </c>
      <c r="AJ16" s="376" t="str">
        <f>IF(Start!$C$18="x",IF(OR(Q16 = "NA",Q16=0,N16 = "NA",N16="",Q16=""), "NA", IF($AG16="NA","NA",(3.1416*Data!$D$57*86400/($AG16*(Data!$D$55+(N16*Data!$D$19/(Q16*1000)))))^0.5)),"---")</f>
        <v>NA</v>
      </c>
      <c r="AK16" s="376" t="str">
        <f>IF(Start!$C$18="x",IF(OR(AH16 = "NA",AI16="NA",AI16=0,AI16="",AH16=""), "NA", AH16/AI16),"---")</f>
        <v>NA</v>
      </c>
      <c r="AL16" s="376" t="str">
        <f>IF(Start!$C$18="x",IF(OR(AK16 ="NA",AK16="",AJ16= "NA",R16="NA",R16=0),"NA",(2*AK16)/(1000*(1/$R16+AJ16))),"---")</f>
        <v>NA</v>
      </c>
      <c r="AM16" s="376" t="str">
        <f>IF(Start!$C$18="x",IF(AL16 = "NA", "NA", AL16*(Data!$D$52*Data!$D$53*10000)),"---")</f>
        <v>NA</v>
      </c>
      <c r="AN16" s="376" t="str">
        <f>IF(Start!$C$18="x",IF(AM16 = "NA", "NA", AM16*(Data!$D$54)),"---")</f>
        <v>NA</v>
      </c>
      <c r="AO16" s="498" t="str">
        <f>IF(Start!$C$18="x",IF(AN16="NA","NA",AN16*Data!$D$41),"---")</f>
        <v>NA</v>
      </c>
      <c r="AP16" s="376" t="str">
        <f>IF(Start!$C$18="x",IF(OR(Q16=0,N16="NA",N16="",AG16="NA",AG16="",AG16=0,Q16="",Q16="NA"),"NA", (3.1416*Data!$D$56*86400/($AG16*(Data!$D$55+(N16*Data!$D$19/(Q16*1000)))))^0.5),"---")</f>
        <v>NA</v>
      </c>
      <c r="AQ16" s="376" t="str">
        <f>IF(Start!$C$18="x",IF(OR(AH16="NA",AI16="NA",AI16="",AI16=0,AH16=""),"NA", AH16/AI16),"---")</f>
        <v>NA</v>
      </c>
      <c r="AR16" s="376" t="str">
        <f>IF(Start!$C$18="x",IF(OR(AQ16="NA",AP16="NA",$R16="NA",R16=0,R16=""),"NA",(2*AQ16)/(1000*(1/$R16+AP16))),"---")</f>
        <v>NA</v>
      </c>
      <c r="AS16" s="376" t="str">
        <f>IF(Start!$C$18="x",IF(AR16 = "NA", "NA", AR16*(Data!$D$52*Data!$D$53*10000)),"---")</f>
        <v>NA</v>
      </c>
      <c r="AT16" s="376" t="str">
        <f>IF(Start!$C$18="x",IF(AS16 = "NA", "NA", (AS16*1000)/(Data!$D$48*3*Data!$D$53)),"---")</f>
        <v>NA</v>
      </c>
      <c r="AU16" s="498" t="str">
        <f>IF(Start!$C$18="x",IF(AT16="NA","NA",AT16*Data!$D$47),"---")</f>
        <v>NA</v>
      </c>
      <c r="AV16" s="283" t="str">
        <f>IF(Start!$C$18="x",(IF(AND(F16="",G16= "",G16&lt;&gt;"NA"),"",IF(OR(AD16="NA",I16="NA",I16=0),"NA",(AD16/I16)))),"Not Req.")</f>
        <v/>
      </c>
      <c r="AW16" s="284" t="str">
        <f>IF(Start!$C$18="x",(IF(AND(F16="",G16= "",G16&lt;&gt;"NA"),"",IF(OR(AF16="NA",I16="NA",I16=0),"NA",(AF16/I16)))),"Not Req.")</f>
        <v/>
      </c>
      <c r="AX16" s="284" t="str">
        <f>IF(Start!$C$18="x",(IF(F16 ="","",IF(OR(AO16="NA",I16="NA",I16=0),"NA",(AO16/I16)))),"Not Req.")</f>
        <v/>
      </c>
      <c r="AY16" s="344" t="str">
        <f>IF(Start!$C$18="x",(IF(F16 ="","",IF(OR(AU16="NA",I16="NA",I16=0),"NA",(AU16/I16)))),"Not Req.")</f>
        <v/>
      </c>
      <c r="AZ16" s="209"/>
    </row>
    <row r="17" spans="1:52" s="23" customFormat="1" x14ac:dyDescent="0.25">
      <c r="A17" s="405" t="s">
        <v>335</v>
      </c>
      <c r="B17" s="347" t="str">
        <f>IF(Start!$C$18="x",IF(AND(OR(F17="",F17="NA"),OR(G17="",G17="NA")),"",IF(I17="NA","NA",IF(AND(I17="",K17="--"),"NA",IF(AD17="NA","Missing Data",IF(I17="","No Criteria",IF(AD17&gt;=I17,"Needed","No")))))),"---")</f>
        <v/>
      </c>
      <c r="C17" s="501" t="str">
        <f>IF(Start!$C$18="x",IF(AND(OR(F17="",F17="NA"),OR(G17="",G17="NA")),"",IF(I17="NA","NA",IF(AND(I17="",K17="--"),"NA",IF(AF17="NA","Missing Data",IF(I17="","No Criteria",IF(AF17&gt;=I17,"Needed","No")))))),"---")</f>
        <v/>
      </c>
      <c r="D17" s="347" t="str">
        <f>IF(Start!$C$18="x",IF(AND(OR(F17="",F17="NA"),OR(G17="",G17="NA")),"",IF(I17="NA","NA",IF(AND(I17="",K17="--"),"NA",IF(AO17="NA","Missing Data",IF(I17="","No Criteria",IF(AO17&gt;=I17,"Needed","No")))))),"---")</f>
        <v/>
      </c>
      <c r="E17" s="401" t="str">
        <f>IF(Start!$C$18="x",IF(AND(OR(F17="",F17="NA"),OR(G17="",G17="NA")),"",IF(I17="NA","NA",IF(AND(I17="",K17="--"),"NA",IF(AU17="NA","Missing Data",IF(I17="","No Criteria",IF(AU17&gt;=I17,"Needed","No")))))),"---")</f>
        <v/>
      </c>
      <c r="F17" s="431" t="str">
        <f>IF(TRUE=ISBLANK(ChemData!B17),"",(ChemData!B17))</f>
        <v/>
      </c>
      <c r="G17" s="432" t="str">
        <f>IF(TRUE=ISBLANK(ChemData!C17),"",(ChemData!C17))</f>
        <v/>
      </c>
      <c r="H17" s="433" t="str">
        <f>IF(TRUE=ISBLANK(ChemData!D17),"",(ChemData!D17))</f>
        <v/>
      </c>
      <c r="I17" s="919">
        <f>IF(TRUE=ISBLANK(ChemData!K17),"",(ChemData!K17))</f>
        <v>5.0000000000000001E-4</v>
      </c>
      <c r="J17" s="290">
        <f>IF(TRUE=ISBLANK(ChemData!M17),"",(ChemData!M17))</f>
        <v>112.41</v>
      </c>
      <c r="K17" s="290" t="str">
        <f>IF(TRUE=ISBLANK(ChemData!N17),"",(ChemData!N17))</f>
        <v>--</v>
      </c>
      <c r="L17" s="290">
        <f>IF(TRUE=ISBLANK(ChemData!O17),"",(ChemData!O17))</f>
        <v>0.16137745733002248</v>
      </c>
      <c r="M17" s="290">
        <f>IF(TRUE=ISBLANK(ChemData!Q17),"",(ChemData!Q17))</f>
        <v>60</v>
      </c>
      <c r="N17" s="290">
        <f>IF(TRUE=ISBLANK(ChemData!R17),"",(ChemData!R17))</f>
        <v>30</v>
      </c>
      <c r="O17" s="290">
        <f>IF(TRUE=ISBLANK(ChemData!S17),"",(ChemData!S17))</f>
        <v>0.05</v>
      </c>
      <c r="P17" s="291">
        <f>IF(TRUE=ISBLANK(ChemData!T17),"",(ChemData!T17))</f>
        <v>0.5</v>
      </c>
      <c r="Q17" s="375" t="str">
        <f>IF(Start!$C$18="x",IF(OR(K17="NA",K17="",K17="--"),"NA",(K17*1000000/82.1/Data!$D$50)),"---")</f>
        <v>NA</v>
      </c>
      <c r="R17" s="376">
        <f>IF(Start!$C$18="x",IF(OR(J17="NA",J17=0,J17=""),"NA",(0.32*(Data!$D$48+Data!$D$49)*(18/J17)^0.5)),"---")</f>
        <v>0.32973191915677297</v>
      </c>
      <c r="S17" s="376">
        <f>IF(Start!$C$18="x",IF(OR(J17="NA",J17= 0,J17=""),"NA",(0.0065*((Data!$D$49^0.969)/(Data!$D$51^0.673))*(32/J17)^0.5*EXP(0.526*Data!$D$48^-1.9))),"---")</f>
        <v>6.9498454984140315E-4</v>
      </c>
      <c r="T17" s="377" t="str">
        <f>IF(Start!$C$18="x",IF(OR(S17="NA",R17="NA",R17=0,Q17="NA",S17=0,Q17=0),"NA",(1/(1/S17+(1/(R17*Q17))))),"---")</f>
        <v>NA</v>
      </c>
      <c r="U17" s="375" t="str">
        <f>IF(Start!$C$18="x",IF(OR(F17="NA",F17="",O17="NA",O17=""),"NA",(F17*$O17)/(Data!$D$10/100)),"---")</f>
        <v>NA</v>
      </c>
      <c r="V17" s="376" t="str">
        <f>IF(Start!$C$18="x",IF(OR(U17="NA",M17="NA",M17="",U17=""),"NA",U17/((Data!$D$18+((1-Data!$D$18)*Data!$D$14*M17))/((1-Data!$D$18)*Data!$D$14*1000))),"---")</f>
        <v>NA</v>
      </c>
      <c r="W17" s="376" t="str">
        <f>IF(Start!$C$18="x",IF(OR(G17="NA",U17="NA",G17="",U17=""),"NA",(U17 +($G17*(Data!$D$19-Data!$D$22)/(Data!$D$19*Data!$D$22)))),"---")</f>
        <v>NA</v>
      </c>
      <c r="X17" s="376" t="str">
        <f>IF(Start!$C$18="x",IF(OR(G17="NA",V17="NA",G17="",V17=""),"NA",(((Data!$D$22*Data!$D$18)*V17)+(Data!$D$19-Data!$D$22)*$G17)/((Data!$D$22*Data!$D$18)+Data!$D$19-Data!$D$22)),"---")</f>
        <v>NA</v>
      </c>
      <c r="Y17" s="376" t="str">
        <f>IF(Start!$C$18="x",IF(OR(W17="NA",W17="",M17="NA",M17=""),"NA",(W17/((Data!$D$23+((1-Data!$D$23)*Data!$D$14*M17)) /((1-Data!$D$23)*Data!$D$14*1000)))),"---")</f>
        <v>NA</v>
      </c>
      <c r="Z17" s="376" t="str">
        <f>IF(Start!$C$18="x",IF(OR(Y17="NA",X17="NA"),"NA",IF(Y17&gt;X17, Y17, X17)),"---")</f>
        <v>NA</v>
      </c>
      <c r="AA17" s="461" t="str">
        <f>IF(Start!$C$18="x",IF(OR(Z17="NA",T17="NA"),"NA",Z17*T17/(1000000000)),"---")</f>
        <v>NA</v>
      </c>
      <c r="AB17" s="1057" t="str">
        <f>IF(Start!$C$18="x",IF(AA17 = "NA", "NA", AA17*(Data!$D$52*Data!$D$53*10000)),"---")</f>
        <v>NA</v>
      </c>
      <c r="AC17" s="375" t="str">
        <f>IF(Start!$C$18="x",IF(AB17="NA", "NA", AB17*Data!$D$54),"---")</f>
        <v>NA</v>
      </c>
      <c r="AD17" s="498" t="str">
        <f>IF(Start!$C$18="x",IF(AC17="NA","NA",AC17*Data!$D$41),"---")</f>
        <v>NA</v>
      </c>
      <c r="AE17" s="376" t="str">
        <f>IF(Start!$C$18="x",IF(AB17 = "NA", "NA", AB17/(Data!$D$53*3*Data!$D$48)*1000),"---")</f>
        <v>NA</v>
      </c>
      <c r="AF17" s="498" t="str">
        <f>IF(Start!$C$18="x",IF(AE17="NA","NA",AE17*Data!$D$46),"---")</f>
        <v>NA</v>
      </c>
      <c r="AG17" s="375">
        <f>IF(Start!$C$18="x",IF(OR($L17="NA",L17=""),"NA",($L17*(Data!$D$55^3.33)/(Data!$D$18^2))),"---")</f>
        <v>1.6440318244292868E-3</v>
      </c>
      <c r="AH17" s="376" t="str">
        <f>IF(Start!$C$18="x",IF(OR(F17="NA",F17="",P17="NA",P17=""),"NA",IF(100/Data!$D$10&gt;Data!$D$13,(F17*$P17)/(Data!$D$10/100),(F17*$P17)*Data!$D$13)),"---")</f>
        <v>NA</v>
      </c>
      <c r="AI17" s="489" t="str">
        <f>IF(Start!$C$18="x",IF(OR($N17="NA",$Q17="NA",$Q17=0,Q17="",N17=""),"NA",(1000*$N17/$Q17)),"---")</f>
        <v>NA</v>
      </c>
      <c r="AJ17" s="376" t="str">
        <f>IF(Start!$C$18="x",IF(OR(Q17 = "NA",Q17=0,N17 = "NA",N17="",Q17=""), "NA", IF($AG17="NA","NA",(3.1416*Data!$D$57*86400/($AG17*(Data!$D$55+(N17*Data!$D$19/(Q17*1000)))))^0.5)),"---")</f>
        <v>NA</v>
      </c>
      <c r="AK17" s="376" t="str">
        <f>IF(Start!$C$18="x",IF(OR(AH17 = "NA",AI17="NA",AI17=0,AI17="",AH17=""), "NA", AH17/AI17),"---")</f>
        <v>NA</v>
      </c>
      <c r="AL17" s="376" t="str">
        <f>IF(Start!$C$18="x",IF(OR(AK17 ="NA",AK17="",AJ17= "NA",R17="NA",R17=0),"NA",(2*AK17)/(1000*(1/$R17+AJ17))),"---")</f>
        <v>NA</v>
      </c>
      <c r="AM17" s="376" t="str">
        <f>IF(Start!$C$18="x",IF(AL17 = "NA", "NA", AL17*(Data!$D$52*Data!$D$53*10000)),"---")</f>
        <v>NA</v>
      </c>
      <c r="AN17" s="376" t="str">
        <f>IF(Start!$C$18="x",IF(AM17 = "NA", "NA", AM17*(Data!$D$54)),"---")</f>
        <v>NA</v>
      </c>
      <c r="AO17" s="498" t="str">
        <f>IF(Start!$C$18="x",IF(AN17="NA","NA",AN17*Data!$D$41),"---")</f>
        <v>NA</v>
      </c>
      <c r="AP17" s="376" t="str">
        <f>IF(Start!$C$18="x",IF(OR(Q17=0,N17="NA",N17="",AG17="NA",AG17="",AG17=0,Q17="",Q17="NA"),"NA", (3.1416*Data!$D$56*86400/($AG17*(Data!$D$55+(N17*Data!$D$19/(Q17*1000)))))^0.5),"---")</f>
        <v>NA</v>
      </c>
      <c r="AQ17" s="376" t="str">
        <f>IF(Start!$C$18="x",IF(OR(AH17="NA",AI17="NA",AI17="",AI17=0,AH17=""),"NA", AH17/AI17),"---")</f>
        <v>NA</v>
      </c>
      <c r="AR17" s="376" t="str">
        <f>IF(Start!$C$18="x",IF(OR(AQ17="NA",AP17="NA",$R17="NA",R17=0,R17=""),"NA",(2*AQ17)/(1000*(1/$R17+AP17))),"---")</f>
        <v>NA</v>
      </c>
      <c r="AS17" s="376" t="str">
        <f>IF(Start!$C$18="x",IF(AR17 = "NA", "NA", AR17*(Data!$D$52*Data!$D$53*10000)),"---")</f>
        <v>NA</v>
      </c>
      <c r="AT17" s="376" t="str">
        <f>IF(Start!$C$18="x",IF(AS17 = "NA", "NA", (AS17*1000)/(Data!$D$48*3*Data!$D$53)),"---")</f>
        <v>NA</v>
      </c>
      <c r="AU17" s="498" t="str">
        <f>IF(Start!$C$18="x",IF(AT17="NA","NA",AT17*Data!$D$47),"---")</f>
        <v>NA</v>
      </c>
      <c r="AV17" s="283" t="str">
        <f>IF(Start!$C$18="x",(IF(AND(F17="",G17= "",G17&lt;&gt;"NA"),"",IF(OR(AD17="NA",I17="NA",I17=0),"NA",(AD17/I17)))),"Not Req.")</f>
        <v/>
      </c>
      <c r="AW17" s="284" t="str">
        <f>IF(Start!$C$18="x",(IF(AND(F17="",G17= "",G17&lt;&gt;"NA"),"",IF(OR(AF17="NA",I17="NA",I17=0),"NA",(AF17/I17)))),"Not Req.")</f>
        <v/>
      </c>
      <c r="AX17" s="284" t="str">
        <f>IF(Start!$C$18="x",(IF(F17 ="","",IF(OR(AO17="NA",I17="NA",I17=0),"NA",(AO17/I17)))),"Not Req.")</f>
        <v/>
      </c>
      <c r="AY17" s="344" t="str">
        <f>IF(Start!$C$18="x",(IF(F17 ="","",IF(OR(AU17="NA",I17="NA",I17=0),"NA",(AU17/I17)))),"Not Req.")</f>
        <v/>
      </c>
      <c r="AZ17" s="209"/>
    </row>
    <row r="18" spans="1:52" s="23" customFormat="1" x14ac:dyDescent="0.25">
      <c r="A18" s="947" t="s">
        <v>336</v>
      </c>
      <c r="B18" s="948" t="str">
        <f>IF(Start!$C$18="x",IF(AND(OR(F18="",F18="NA"),OR(G18="",G18="NA")),"",IF(I18="NA","NA",IF(AND(I18="",K18="--"),"NA",IF(AD18="NA","Missing Data",IF(I18="","No Criteria",IF(AD18&gt;=I18,"Needed","No")))))),"---")</f>
        <v/>
      </c>
      <c r="C18" s="977" t="str">
        <f>IF(Start!$C$18="x",IF(AND(OR(F18="",F18="NA"),OR(G18="",G18="NA")),"",IF(I18="NA","NA",IF(AND(I18="",K18="--"),"NA",IF(AF18="NA","Missing Data",IF(I18="","No Criteria",IF(AF18&gt;=I18,"Needed","No")))))),"---")</f>
        <v/>
      </c>
      <c r="D18" s="948" t="str">
        <f>IF(Start!$C$18="x",IF(AND(OR(F18="",F18="NA"),OR(G18="",G18="NA")),"",IF(I18="NA","NA",IF(AND(I18="",K18="--"),"NA",IF(AO18="NA","Missing Data",IF(I18="","No Criteria",IF(AO18&gt;=I18,"Needed","No")))))),"---")</f>
        <v/>
      </c>
      <c r="E18" s="978" t="str">
        <f>IF(Start!$C$18="x",IF(AND(OR(F18="",F18="NA"),OR(G18="",G18="NA")),"",IF(I18="NA","NA",IF(AND(I18="",K18="--"),"NA",IF(AU18="NA","Missing Data",IF(I18="","No Criteria",IF(AU18&gt;=I18,"Needed","No")))))),"---")</f>
        <v/>
      </c>
      <c r="F18" s="979" t="str">
        <f>IF(TRUE=ISBLANK(ChemData!B18),"",(ChemData!B18))</f>
        <v/>
      </c>
      <c r="G18" s="980" t="str">
        <f>IF(TRUE=ISBLANK(ChemData!C18),"",(ChemData!C18))</f>
        <v/>
      </c>
      <c r="H18" s="981" t="str">
        <f>IF(TRUE=ISBLANK(ChemData!D18),"",(ChemData!D18))</f>
        <v/>
      </c>
      <c r="I18" s="982">
        <f>IF(TRUE=ISBLANK(ChemData!K18),"",(ChemData!K18))</f>
        <v>5.7000000000000005E-7</v>
      </c>
      <c r="J18" s="953">
        <f>IF(TRUE=ISBLANK(ChemData!M18),"",(ChemData!M18))</f>
        <v>52</v>
      </c>
      <c r="K18" s="953" t="str">
        <f>IF(TRUE=ISBLANK(ChemData!N18),"",(ChemData!N18))</f>
        <v>--</v>
      </c>
      <c r="L18" s="953">
        <f>IF(TRUE=ISBLANK(ChemData!O18),"",(ChemData!O18))</f>
        <v>0.17956089089141483</v>
      </c>
      <c r="M18" s="953">
        <f>IF(TRUE=ISBLANK(ChemData!Q18),"",(ChemData!Q18))</f>
        <v>200</v>
      </c>
      <c r="N18" s="953">
        <f>IF(TRUE=ISBLANK(ChemData!R18),"",(ChemData!R18))</f>
        <v>120.595</v>
      </c>
      <c r="O18" s="953">
        <f>IF(TRUE=ISBLANK(ChemData!S18),"",(ChemData!S18))</f>
        <v>6.0000000000000001E-3</v>
      </c>
      <c r="P18" s="954">
        <f>IF(TRUE=ISBLANK(ChemData!T18),"",(ChemData!T18))</f>
        <v>0.01</v>
      </c>
      <c r="Q18" s="955" t="str">
        <f>IF(Start!$C$18="x",IF(OR(K18="NA",K18="",K18="--"),"NA",(K18*1000000/82.1/Data!$D$50)),"---")</f>
        <v>NA</v>
      </c>
      <c r="R18" s="956">
        <f>IF(Start!$C$18="x",IF(OR(J18="NA",J18=0,J18=""),"NA",(0.32*(Data!$D$48+Data!$D$49)*(18/J18)^0.5)),"---")</f>
        <v>0.484799086061591</v>
      </c>
      <c r="S18" s="956">
        <f>IF(Start!$C$18="x",IF(OR(J18="NA",J18= 0,J18=""),"NA",(0.0065*((Data!$D$49^0.969)/(Data!$D$51^0.673))*(32/J18)^0.5*EXP(0.526*Data!$D$48^-1.9))),"---")</f>
        <v>1.0218236543543247E-3</v>
      </c>
      <c r="T18" s="957" t="str">
        <f>IF(Start!$C$18="x",IF(OR(S18="NA",R18="NA",R18=0,Q18="NA",S18=0,Q18=0),"NA",(1/(1/S18+(1/(R18*Q18))))),"---")</f>
        <v>NA</v>
      </c>
      <c r="U18" s="955" t="str">
        <f>IF(Start!$C$18="x",IF(OR(F18="NA",F18="",O18="NA",O18=""),"NA",(F18*$O18)/(Data!$D$10/100)),"---")</f>
        <v>NA</v>
      </c>
      <c r="V18" s="956" t="str">
        <f>IF(Start!$C$18="x",IF(OR(U18="NA",M18="NA",M18="",U18=""),"NA",U18/((Data!$D$18+((1-Data!$D$18)*Data!$D$14*M18))/((1-Data!$D$18)*Data!$D$14*1000))),"---")</f>
        <v>NA</v>
      </c>
      <c r="W18" s="956" t="str">
        <f>IF(Start!$C$18="x",IF(OR(G18="NA",U18="NA",G18="",U18=""),"NA",(U18 +($G18*(Data!$D$19-Data!$D$22)/(Data!$D$19*Data!$D$22)))),"---")</f>
        <v>NA</v>
      </c>
      <c r="X18" s="956" t="str">
        <f>IF(Start!$C$18="x",IF(OR(G18="NA",V18="NA",G18="",V18=""),"NA",(((Data!$D$22*Data!$D$18)*V18)+(Data!$D$19-Data!$D$22)*$G18)/((Data!$D$22*Data!$D$18)+Data!$D$19-Data!$D$22)),"---")</f>
        <v>NA</v>
      </c>
      <c r="Y18" s="956" t="str">
        <f>IF(Start!$C$18="x",IF(OR(W18="NA",W18="",M18="NA",M18=""),"NA",(W18/((Data!$D$23+((1-Data!$D$23)*Data!$D$14*M18)) /((1-Data!$D$23)*Data!$D$14*1000)))),"---")</f>
        <v>NA</v>
      </c>
      <c r="Z18" s="956" t="str">
        <f>IF(Start!$C$18="x",IF(OR(Y18="NA",X18="NA"),"NA",IF(Y18&gt;X18, Y18, X18)),"---")</f>
        <v>NA</v>
      </c>
      <c r="AA18" s="960" t="str">
        <f>IF(Start!$C$18="x",IF(OR(Z18="NA",T18="NA"),"NA",Z18*T18/(1000000000)),"---")</f>
        <v>NA</v>
      </c>
      <c r="AB18" s="1058" t="str">
        <f>IF(Start!$C$18="x",IF(AA18 = "NA", "NA", AA18*(Data!$D$52*Data!$D$53*10000)),"---")</f>
        <v>NA</v>
      </c>
      <c r="AC18" s="955" t="str">
        <f>IF(Start!$C$18="x",IF(AB18="NA", "NA", AB18*Data!$D$54),"---")</f>
        <v>NA</v>
      </c>
      <c r="AD18" s="983" t="str">
        <f>IF(Start!$C$18="x",IF(AC18="NA","NA",AC18*Data!$D$41),"---")</f>
        <v>NA</v>
      </c>
      <c r="AE18" s="956" t="str">
        <f>IF(Start!$C$18="x",IF(AB18 = "NA", "NA", AB18/(Data!$D$53*3*Data!$D$48)*1000),"---")</f>
        <v>NA</v>
      </c>
      <c r="AF18" s="983" t="str">
        <f>IF(Start!$C$18="x",IF(AE18="NA","NA",AE18*Data!$D$46),"---")</f>
        <v>NA</v>
      </c>
      <c r="AG18" s="955">
        <f>IF(Start!$C$18="x",IF(OR($L18="NA",L18=""),"NA",($L18*(Data!$D$55^3.33)/(Data!$D$18^2))),"---")</f>
        <v>1.829275438667117E-3</v>
      </c>
      <c r="AH18" s="956" t="str">
        <f>IF(Start!$C$18="x",IF(OR(F18="NA",F18="",P18="NA",P18=""),"NA",IF(100/Data!$D$10&gt;Data!$D$13,(F18*$P18)/(Data!$D$10/100),(F18*$P18)*Data!$D$13)),"---")</f>
        <v>NA</v>
      </c>
      <c r="AI18" s="984" t="str">
        <f>IF(Start!$C$18="x",IF(OR($N18="NA",$Q18="NA",$Q18=0,Q18="",N18=""),"NA",(1000*$N18/$Q18)),"---")</f>
        <v>NA</v>
      </c>
      <c r="AJ18" s="956" t="str">
        <f>IF(Start!$C$18="x",IF(OR(Q18 = "NA",Q18=0,N18 = "NA",N18="",Q18=""), "NA", IF($AG18="NA","NA",(3.1416*Data!$D$57*86400/($AG18*(Data!$D$55+(N18*Data!$D$19/(Q18*1000)))))^0.5)),"---")</f>
        <v>NA</v>
      </c>
      <c r="AK18" s="956" t="str">
        <f>IF(Start!$C$18="x",IF(OR(AH18 = "NA",AI18="NA",AI18=0,AI18="",AH18=""), "NA", AH18/AI18),"---")</f>
        <v>NA</v>
      </c>
      <c r="AL18" s="956" t="str">
        <f>IF(Start!$C$18="x",IF(OR(AK18 ="NA",AK18="",AJ18= "NA",R18="NA",R18=0),"NA",(2*AK18)/(1000*(1/$R18+AJ18))),"---")</f>
        <v>NA</v>
      </c>
      <c r="AM18" s="956" t="str">
        <f>IF(Start!$C$18="x",IF(AL18 = "NA", "NA", AL18*(Data!$D$52*Data!$D$53*10000)),"---")</f>
        <v>NA</v>
      </c>
      <c r="AN18" s="956" t="str">
        <f>IF(Start!$C$18="x",IF(AM18 = "NA", "NA", AM18*(Data!$D$54)),"---")</f>
        <v>NA</v>
      </c>
      <c r="AO18" s="983" t="str">
        <f>IF(Start!$C$18="x",IF(AN18="NA","NA",AN18*Data!$D$41),"---")</f>
        <v>NA</v>
      </c>
      <c r="AP18" s="956" t="str">
        <f>IF(Start!$C$18="x",IF(OR(Q18=0,N18="NA",N18="",AG18="NA",AG18="",AG18=0,Q18="",Q18="NA"),"NA", (3.1416*Data!$D$56*86400/($AG18*(Data!$D$55+(N18*Data!$D$19/(Q18*1000)))))^0.5),"---")</f>
        <v>NA</v>
      </c>
      <c r="AQ18" s="956" t="str">
        <f>IF(Start!$C$18="x",IF(OR(AH18="NA",AI18="NA",AI18="",AI18=0,AH18=""),"NA", AH18/AI18),"---")</f>
        <v>NA</v>
      </c>
      <c r="AR18" s="956" t="str">
        <f>IF(Start!$C$18="x",IF(OR(AQ18="NA",AP18="NA",$R18="NA",R18=0,R18=""),"NA",(2*AQ18)/(1000*(1/$R18+AP18))),"---")</f>
        <v>NA</v>
      </c>
      <c r="AS18" s="956" t="str">
        <f>IF(Start!$C$18="x",IF(AR18 = "NA", "NA", AR18*(Data!$D$52*Data!$D$53*10000)),"---")</f>
        <v>NA</v>
      </c>
      <c r="AT18" s="956" t="str">
        <f>IF(Start!$C$18="x",IF(AS18 = "NA", "NA", (AS18*1000)/(Data!$D$48*3*Data!$D$53)),"---")</f>
        <v>NA</v>
      </c>
      <c r="AU18" s="983" t="str">
        <f>IF(Start!$C$18="x",IF(AT18="NA","NA",AT18*Data!$D$47),"---")</f>
        <v>NA</v>
      </c>
      <c r="AV18" s="985" t="str">
        <f>IF(Start!$C$18="x",(IF(AND(F18="",G18= "",G18&lt;&gt;"NA"),"",IF(OR(AD18="NA",I18="NA",I18=0),"NA",(AD18/I18)))),"Not Req.")</f>
        <v/>
      </c>
      <c r="AW18" s="986" t="str">
        <f>IF(Start!$C$18="x",(IF(AND(F18="",G18= "",G18&lt;&gt;"NA"),"",IF(OR(AF18="NA",I18="NA",I18=0),"NA",(AF18/I18)))),"Not Req.")</f>
        <v/>
      </c>
      <c r="AX18" s="986" t="str">
        <f>IF(Start!$C$18="x",(IF(F18 ="","",IF(OR(AO18="NA",I18="NA",I18=0),"NA",(AO18/I18)))),"Not Req.")</f>
        <v/>
      </c>
      <c r="AY18" s="987" t="str">
        <f>IF(Start!$C$18="x",(IF(F18 ="","",IF(OR(AU18="NA",I18="NA",I18=0),"NA",(AU18/I18)))),"Not Req.")</f>
        <v/>
      </c>
      <c r="AZ18" s="209"/>
    </row>
    <row r="19" spans="1:52" s="23" customFormat="1" x14ac:dyDescent="0.25">
      <c r="A19" s="405" t="s">
        <v>337</v>
      </c>
      <c r="B19" s="347" t="str">
        <f>IF(Start!$C$18="x",IF(AND(OR(F19="",F19="NA"),OR(G19="",G19="NA")),"",IF(I19="NA","NA",IF(AND(I19="",K19="--"),"NA",IF(AD19="NA","Missing Data",IF(I19="","No Criteria",IF(AD19&gt;=I19,"Needed","No")))))),"---")</f>
        <v/>
      </c>
      <c r="C19" s="501" t="str">
        <f>IF(Start!$C$18="x",IF(AND(OR(F19="",F19="NA"),OR(G19="",G19="NA")),"",IF(I19="NA","NA",IF(AND(I19="",K19="--"),"NA",IF(AF19="NA","Missing Data",IF(I19="","No Criteria",IF(AF19&gt;=I19,"Needed","No")))))),"---")</f>
        <v/>
      </c>
      <c r="D19" s="347" t="str">
        <f>IF(Start!$C$18="x",IF(AND(OR(F19="",F19="NA"),OR(G19="",G19="NA")),"",IF(I19="NA","NA",IF(AND(I19="",K19="--"),"NA",IF(AO19="NA","Missing Data",IF(I19="","No Criteria",IF(AO19&gt;=I19,"Needed","No")))))),"---")</f>
        <v/>
      </c>
      <c r="E19" s="401" t="str">
        <f>IF(Start!$C$18="x",IF(AND(OR(F19="",F19="NA"),OR(G19="",G19="NA")),"",IF(I19="NA","NA",IF(AND(I19="",K19="--"),"NA",IF(AU19="NA","Missing Data",IF(I19="","No Criteria",IF(AU19&gt;=I19,"Needed","No")))))),"---")</f>
        <v/>
      </c>
      <c r="F19" s="431" t="str">
        <f>IF(TRUE=ISBLANK(ChemData!B19),"",(ChemData!B19))</f>
        <v/>
      </c>
      <c r="G19" s="432" t="str">
        <f>IF(TRUE=ISBLANK(ChemData!C19),"",(ChemData!C19))</f>
        <v/>
      </c>
      <c r="H19" s="433" t="str">
        <f>IF(TRUE=ISBLANK(ChemData!D19),"",(ChemData!D19))</f>
        <v/>
      </c>
      <c r="I19" s="919">
        <f>IF(TRUE=ISBLANK(ChemData!K19),"",(ChemData!K19))</f>
        <v>5.7000000000000005E-7</v>
      </c>
      <c r="J19" s="290">
        <f>IF(TRUE=ISBLANK(ChemData!M19),"",(ChemData!M19))</f>
        <v>52</v>
      </c>
      <c r="K19" s="290" t="str">
        <f>IF(TRUE=ISBLANK(ChemData!N19),"",(ChemData!N19))</f>
        <v>--</v>
      </c>
      <c r="L19" s="290">
        <f>IF(TRUE=ISBLANK(ChemData!O19),"",(ChemData!O19))</f>
        <v>0.17956089089141483</v>
      </c>
      <c r="M19" s="290">
        <f>IF(TRUE=ISBLANK(ChemData!Q19),"",(ChemData!Q19))</f>
        <v>200</v>
      </c>
      <c r="N19" s="290">
        <f>IF(TRUE=ISBLANK(ChemData!R19),"",(ChemData!R19))</f>
        <v>120.595</v>
      </c>
      <c r="O19" s="290">
        <f>IF(TRUE=ISBLANK(ChemData!S19),"",(ChemData!S19))</f>
        <v>6.0000000000000001E-3</v>
      </c>
      <c r="P19" s="291">
        <f>IF(TRUE=ISBLANK(ChemData!T19),"",(ChemData!T19))</f>
        <v>0.01</v>
      </c>
      <c r="Q19" s="375" t="str">
        <f>IF(Start!$C$18="x",IF(OR(K19="NA",K19="",K19="--"),"NA",(K19*1000000/82.1/Data!$D$50)),"---")</f>
        <v>NA</v>
      </c>
      <c r="R19" s="376">
        <f>IF(Start!$C$18="x",IF(OR(J19="NA",J19=0,J19=""),"NA",(0.32*(Data!$D$48+Data!$D$49)*(18/J19)^0.5)),"---")</f>
        <v>0.484799086061591</v>
      </c>
      <c r="S19" s="376">
        <f>IF(Start!$C$18="x",IF(OR(J19="NA",J19= 0,J19=""),"NA",(0.0065*((Data!$D$49^0.969)/(Data!$D$51^0.673))*(32/J19)^0.5*EXP(0.526*Data!$D$48^-1.9))),"---")</f>
        <v>1.0218236543543247E-3</v>
      </c>
      <c r="T19" s="377" t="str">
        <f>IF(Start!$C$18="x",IF(OR(S19="NA",R19="NA",R19=0,Q19="NA",S19=0,Q19=0),"NA",(1/(1/S19+(1/(R19*Q19))))),"---")</f>
        <v>NA</v>
      </c>
      <c r="U19" s="375" t="str">
        <f>IF(Start!$C$18="x",IF(OR(F19="NA",F19="",O19="NA",O19=""),"NA",(F19*$O19)/(Data!$D$10/100)),"---")</f>
        <v>NA</v>
      </c>
      <c r="V19" s="376" t="str">
        <f>IF(Start!$C$18="x",IF(OR(U19="NA",M19="NA",M19="",U19=""),"NA",U19/((Data!$D$18+((1-Data!$D$18)*Data!$D$14*M19))/((1-Data!$D$18)*Data!$D$14*1000))),"---")</f>
        <v>NA</v>
      </c>
      <c r="W19" s="376" t="str">
        <f>IF(Start!$C$18="x",IF(OR(G19="NA",U19="NA",G19="",U19=""),"NA",(U19 +($G19*(Data!$D$19-Data!$D$22)/(Data!$D$19*Data!$D$22)))),"---")</f>
        <v>NA</v>
      </c>
      <c r="X19" s="376" t="str">
        <f>IF(Start!$C$18="x",IF(OR(G19="NA",V19="NA",G19="",V19=""),"NA",(((Data!$D$22*Data!$D$18)*V19)+(Data!$D$19-Data!$D$22)*$G19)/((Data!$D$22*Data!$D$18)+Data!$D$19-Data!$D$22)),"---")</f>
        <v>NA</v>
      </c>
      <c r="Y19" s="376" t="str">
        <f>IF(Start!$C$18="x",IF(OR(W19="NA",W19="",M19="NA",M19=""),"NA",(W19/((Data!$D$23+((1-Data!$D$23)*Data!$D$14*M19)) /((1-Data!$D$23)*Data!$D$14*1000)))),"---")</f>
        <v>NA</v>
      </c>
      <c r="Z19" s="376" t="str">
        <f>IF(Start!$C$18="x",IF(OR(Y19="NA",X19="NA"),"NA",IF(Y19&gt;X19, Y19, X19)),"---")</f>
        <v>NA</v>
      </c>
      <c r="AA19" s="461" t="str">
        <f>IF(Start!$C$18="x",IF(OR(Z19="NA",T19="NA"),"NA",Z19*T19/(1000000000)),"---")</f>
        <v>NA</v>
      </c>
      <c r="AB19" s="1057" t="str">
        <f>IF(Start!$C$18="x",IF(AA19 = "NA", "NA", AA19*(Data!$D$52*Data!$D$53*10000)),"---")</f>
        <v>NA</v>
      </c>
      <c r="AC19" s="375" t="str">
        <f>IF(Start!$C$18="x",IF(AB19="NA", "NA", AB19*Data!$D$54),"---")</f>
        <v>NA</v>
      </c>
      <c r="AD19" s="498" t="str">
        <f>IF(Start!$C$18="x",IF(AC19="NA","NA",AC19*Data!$D$41),"---")</f>
        <v>NA</v>
      </c>
      <c r="AE19" s="376" t="str">
        <f>IF(Start!$C$18="x",IF(AB19 = "NA", "NA", AB19/(Data!$D$53*3*Data!$D$48)*1000),"---")</f>
        <v>NA</v>
      </c>
      <c r="AF19" s="498" t="str">
        <f>IF(Start!$C$18="x",IF(AE19="NA","NA",AE19*Data!$D$46),"---")</f>
        <v>NA</v>
      </c>
      <c r="AG19" s="375">
        <f>IF(Start!$C$18="x",IF(OR($L19="NA",L19=""),"NA",($L19*(Data!$D$55^3.33)/(Data!$D$18^2))),"---")</f>
        <v>1.829275438667117E-3</v>
      </c>
      <c r="AH19" s="376" t="str">
        <f>IF(Start!$C$18="x",IF(OR(F19="NA",F19="",P19="NA",P19=""),"NA",IF(100/Data!$D$10&gt;Data!$D$13,(F19*$P19)/(Data!$D$10/100),(F19*$P19)*Data!$D$13)),"---")</f>
        <v>NA</v>
      </c>
      <c r="AI19" s="489" t="str">
        <f>IF(Start!$C$18="x",IF(OR($N19="NA",$Q19="NA",$Q19=0,Q19="",N19=""),"NA",(1000*$N19/$Q19)),"---")</f>
        <v>NA</v>
      </c>
      <c r="AJ19" s="376" t="str">
        <f>IF(Start!$C$18="x",IF(OR(Q19 = "NA",Q19=0,N19 = "NA",N19="",Q19=""), "NA", IF($AG19="NA","NA",(3.1416*Data!$D$57*86400/($AG19*(Data!$D$55+(N19*Data!$D$19/(Q19*1000)))))^0.5)),"---")</f>
        <v>NA</v>
      </c>
      <c r="AK19" s="376" t="str">
        <f>IF(Start!$C$18="x",IF(OR(AH19 = "NA",AI19="NA",AI19=0,AI19="",AH19=""), "NA", AH19/AI19),"---")</f>
        <v>NA</v>
      </c>
      <c r="AL19" s="376" t="str">
        <f>IF(Start!$C$18="x",IF(OR(AK19 ="NA",AK19="",AJ19= "NA",R19="NA",R19=0),"NA",(2*AK19)/(1000*(1/$R19+AJ19))),"---")</f>
        <v>NA</v>
      </c>
      <c r="AM19" s="376" t="str">
        <f>IF(Start!$C$18="x",IF(AL19 = "NA", "NA", AL19*(Data!$D$52*Data!$D$53*10000)),"---")</f>
        <v>NA</v>
      </c>
      <c r="AN19" s="376" t="str">
        <f>IF(Start!$C$18="x",IF(AM19 = "NA", "NA", AM19*(Data!$D$54)),"---")</f>
        <v>NA</v>
      </c>
      <c r="AO19" s="498" t="str">
        <f>IF(Start!$C$18="x",IF(AN19="NA","NA",AN19*Data!$D$41),"---")</f>
        <v>NA</v>
      </c>
      <c r="AP19" s="376" t="str">
        <f>IF(Start!$C$18="x",IF(OR(Q19=0,N19="NA",N19="",AG19="NA",AG19="",AG19=0,Q19="",Q19="NA"),"NA", (3.1416*Data!$D$56*86400/($AG19*(Data!$D$55+(N19*Data!$D$19/(Q19*1000)))))^0.5),"---")</f>
        <v>NA</v>
      </c>
      <c r="AQ19" s="376" t="str">
        <f>IF(Start!$C$18="x",IF(OR(AH19="NA",AI19="NA",AI19="",AI19=0,AH19=""),"NA", AH19/AI19),"---")</f>
        <v>NA</v>
      </c>
      <c r="AR19" s="376" t="str">
        <f>IF(Start!$C$18="x",IF(OR(AQ19="NA",AP19="NA",$R19="NA",R19=0,R19=""),"NA",(2*AQ19)/(1000*(1/$R19+AP19))),"---")</f>
        <v>NA</v>
      </c>
      <c r="AS19" s="376" t="str">
        <f>IF(Start!$C$18="x",IF(AR19 = "NA", "NA", AR19*(Data!$D$52*Data!$D$53*10000)),"---")</f>
        <v>NA</v>
      </c>
      <c r="AT19" s="376" t="str">
        <f>IF(Start!$C$18="x",IF(AS19 = "NA", "NA", (AS19*1000)/(Data!$D$48*3*Data!$D$53)),"---")</f>
        <v>NA</v>
      </c>
      <c r="AU19" s="498" t="str">
        <f>IF(Start!$C$18="x",IF(AT19="NA","NA",AT19*Data!$D$47),"---")</f>
        <v>NA</v>
      </c>
      <c r="AV19" s="283" t="str">
        <f>IF(Start!$C$18="x",(IF(AND(F19="",G19= "",G19&lt;&gt;"NA"),"",IF(OR(AD19="NA",I19="NA",I19=0),"NA",(AD19/I19)))),"Not Req.")</f>
        <v/>
      </c>
      <c r="AW19" s="284" t="str">
        <f>IF(Start!$C$18="x",(IF(AND(F19="",G19= "",G19&lt;&gt;"NA"),"",IF(OR(AF19="NA",I19="NA",I19=0),"NA",(AF19/I19)))),"Not Req.")</f>
        <v/>
      </c>
      <c r="AX19" s="284" t="str">
        <f>IF(Start!$C$18="x",(IF(F19 ="","",IF(OR(AO19="NA",I19="NA",I19=0),"NA",(AO19/I19)))),"Not Req.")</f>
        <v/>
      </c>
      <c r="AY19" s="344" t="str">
        <f>IF(Start!$C$18="x",(IF(F19 ="","",IF(OR(AU19="NA",I19="NA",I19=0),"NA",(AU19/I19)))),"Not Req.")</f>
        <v/>
      </c>
      <c r="AZ19" s="209"/>
    </row>
    <row r="20" spans="1:52" s="23" customFormat="1" x14ac:dyDescent="0.25">
      <c r="A20" s="405" t="s">
        <v>338</v>
      </c>
      <c r="B20" s="347" t="str">
        <f>IF(Start!$C$18="x",IF(AND(OR(F20="",F20="NA"),OR(G20="",G20="NA")),"",IF(I20="NA","NA",IF(AND(I20="",K20="--"),"NA",IF(AD20="NA","Missing Data",IF(I20="","No Criteria",IF(AD20&gt;=I20,"Needed","No")))))),"---")</f>
        <v/>
      </c>
      <c r="C20" s="501" t="str">
        <f>IF(Start!$C$18="x",IF(AND(OR(F20="",F20="NA"),OR(G20="",G20="NA")),"",IF(I20="NA","NA",IF(AND(I20="",K20="--"),"NA",IF(AF20="NA","Missing Data",IF(I20="","No Criteria",IF(AF20&gt;=I20,"Needed","No")))))),"---")</f>
        <v/>
      </c>
      <c r="D20" s="347" t="str">
        <f>IF(Start!$C$18="x",IF(AND(OR(F20="",F20="NA"),OR(G20="",G20="NA")),"",IF(I20="NA","NA",IF(AND(I20="",K20="--"),"NA",IF(AO20="NA","Missing Data",IF(I20="","No Criteria",IF(AO20&gt;=I20,"Needed","No")))))),"---")</f>
        <v/>
      </c>
      <c r="E20" s="401" t="str">
        <f>IF(Start!$C$18="x",IF(AND(OR(F20="",F20="NA"),OR(G20="",G20="NA")),"",IF(I20="NA","NA",IF(AND(I20="",K20="--"),"NA",IF(AU20="NA","Missing Data",IF(I20="","No Criteria",IF(AU20&gt;=I20,"Needed","No")))))),"---")</f>
        <v/>
      </c>
      <c r="F20" s="431" t="str">
        <f>IF(TRUE=ISBLANK(ChemData!B20),"",(ChemData!B20))</f>
        <v/>
      </c>
      <c r="G20" s="432" t="str">
        <f>IF(TRUE=ISBLANK(ChemData!C20),"",(ChemData!C20))</f>
        <v/>
      </c>
      <c r="H20" s="433" t="str">
        <f>IF(TRUE=ISBLANK(ChemData!D20),"",(ChemData!D20))</f>
        <v/>
      </c>
      <c r="I20" s="919" t="str">
        <f>IF(TRUE=ISBLANK(ChemData!K20),"",(ChemData!K20))</f>
        <v>NA</v>
      </c>
      <c r="J20" s="290">
        <f>IF(TRUE=ISBLANK(ChemData!M20),"",(ChemData!M20))</f>
        <v>58.93</v>
      </c>
      <c r="K20" s="290" t="str">
        <f>IF(TRUE=ISBLANK(ChemData!N20),"",(ChemData!N20))</f>
        <v>--</v>
      </c>
      <c r="L20" s="290">
        <f>IF(TRUE=ISBLANK(ChemData!O20),"",(ChemData!O20))</f>
        <v>0.17574281181346327</v>
      </c>
      <c r="M20" s="290">
        <f>IF(TRUE=ISBLANK(ChemData!Q20),"",(ChemData!Q20))</f>
        <v>800</v>
      </c>
      <c r="N20" s="290">
        <f>IF(TRUE=ISBLANK(ChemData!R20),"",(ChemData!R20))</f>
        <v>80</v>
      </c>
      <c r="O20" s="290">
        <f>IF(TRUE=ISBLANK(ChemData!S20),"",(ChemData!S20))</f>
        <v>1</v>
      </c>
      <c r="P20" s="291">
        <f>IF(TRUE=ISBLANK(ChemData!T20),"",(ChemData!T20))</f>
        <v>1</v>
      </c>
      <c r="Q20" s="375" t="str">
        <f>IF(Start!$C$18="x",IF(OR(K20="NA",K20="",K20="--"),"NA",(K20*1000000/82.1/Data!$D$50)),"---")</f>
        <v>NA</v>
      </c>
      <c r="R20" s="376">
        <f>IF(Start!$C$18="x",IF(OR(J20="NA",J20=0,J20=""),"NA",(0.32*(Data!$D$48+Data!$D$49)*(18/J20)^0.5)),"---")</f>
        <v>0.45540232518862395</v>
      </c>
      <c r="S20" s="376">
        <f>IF(Start!$C$18="x",IF(OR(J20="NA",J20= 0,J20=""),"NA",(0.0065*((Data!$D$49^0.969)/(Data!$D$51^0.673))*(32/J20)^0.5*EXP(0.526*Data!$D$48^-1.9))),"---")</f>
        <v>9.5986333618330562E-4</v>
      </c>
      <c r="T20" s="377" t="str">
        <f>IF(Start!$C$18="x",IF(OR(S20="NA",R20="NA",R20=0,Q20="NA",S20=0,Q20=0),"NA",(1/(1/S20+(1/(R20*Q20))))),"---")</f>
        <v>NA</v>
      </c>
      <c r="U20" s="375" t="str">
        <f>IF(Start!$C$18="x",IF(OR(F20="NA",F20="",O20="NA",O20=""),"NA",(F20*$O20)/(Data!$D$10/100)),"---")</f>
        <v>NA</v>
      </c>
      <c r="V20" s="376" t="str">
        <f>IF(Start!$C$18="x",IF(OR(U20="NA",M20="NA",M20="",U20=""),"NA",U20/((Data!$D$18+((1-Data!$D$18)*Data!$D$14*M20))/((1-Data!$D$18)*Data!$D$14*1000))),"---")</f>
        <v>NA</v>
      </c>
      <c r="W20" s="376" t="str">
        <f>IF(Start!$C$18="x",IF(OR(G20="NA",U20="NA",G20="",U20=""),"NA",(U20 +($G20*(Data!$D$19-Data!$D$22)/(Data!$D$19*Data!$D$22)))),"---")</f>
        <v>NA</v>
      </c>
      <c r="X20" s="376" t="str">
        <f>IF(Start!$C$18="x",IF(OR(G20="NA",V20="NA",G20="",V20=""),"NA",(((Data!$D$22*Data!$D$18)*V20)+(Data!$D$19-Data!$D$22)*$G20)/((Data!$D$22*Data!$D$18)+Data!$D$19-Data!$D$22)),"---")</f>
        <v>NA</v>
      </c>
      <c r="Y20" s="376" t="str">
        <f>IF(Start!$C$18="x",IF(OR(W20="NA",W20="",M20="NA",M20=""),"NA",(W20/((Data!$D$23+((1-Data!$D$23)*Data!$D$14*M20)) /((1-Data!$D$23)*Data!$D$14*1000)))),"---")</f>
        <v>NA</v>
      </c>
      <c r="Z20" s="376" t="str">
        <f>IF(Start!$C$18="x",IF(OR(Y20="NA",X20="NA"),"NA",IF(Y20&gt;X20, Y20, X20)),"---")</f>
        <v>NA</v>
      </c>
      <c r="AA20" s="461" t="str">
        <f>IF(Start!$C$18="x",IF(OR(Z20="NA",T20="NA"),"NA",Z20*T20/(1000000000)),"---")</f>
        <v>NA</v>
      </c>
      <c r="AB20" s="1057" t="str">
        <f>IF(Start!$C$18="x",IF(AA20 = "NA", "NA", AA20*(Data!$D$52*Data!$D$53*10000)),"---")</f>
        <v>NA</v>
      </c>
      <c r="AC20" s="375" t="str">
        <f>IF(Start!$C$18="x",IF(AB20="NA", "NA", AB20*Data!$D$54),"---")</f>
        <v>NA</v>
      </c>
      <c r="AD20" s="498" t="str">
        <f>IF(Start!$C$18="x",IF(AC20="NA","NA",AC20*Data!$D$41),"---")</f>
        <v>NA</v>
      </c>
      <c r="AE20" s="376" t="str">
        <f>IF(Start!$C$18="x",IF(AB20 = "NA", "NA", AB20/(Data!$D$53*3*Data!$D$48)*1000),"---")</f>
        <v>NA</v>
      </c>
      <c r="AF20" s="498" t="str">
        <f>IF(Start!$C$18="x",IF(AE20="NA","NA",AE20*Data!$D$46),"---")</f>
        <v>NA</v>
      </c>
      <c r="AG20" s="375">
        <f>IF(Start!$C$18="x",IF(OR($L20="NA",L20=""),"NA",($L20*(Data!$D$55^3.33)/(Data!$D$18^2))),"---")</f>
        <v>1.7903787822431455E-3</v>
      </c>
      <c r="AH20" s="376" t="str">
        <f>IF(Start!$C$18="x",IF(OR(F20="NA",F20="",P20="NA",P20=""),"NA",IF(100/Data!$D$10&gt;Data!$D$13,(F20*$P20)/(Data!$D$10/100),(F20*$P20)*Data!$D$13)),"---")</f>
        <v>NA</v>
      </c>
      <c r="AI20" s="489" t="str">
        <f>IF(Start!$C$18="x",IF(OR($N20="NA",$Q20="NA",$Q20=0,Q20="",N20=""),"NA",(1000*$N20/$Q20)),"---")</f>
        <v>NA</v>
      </c>
      <c r="AJ20" s="376" t="str">
        <f>IF(Start!$C$18="x",IF(OR(Q20 = "NA",Q20=0,N20 = "NA",N20="",Q20=""), "NA", IF($AG20="NA","NA",(3.1416*Data!$D$57*86400/($AG20*(Data!$D$55+(N20*Data!$D$19/(Q20*1000)))))^0.5)),"---")</f>
        <v>NA</v>
      </c>
      <c r="AK20" s="376" t="str">
        <f>IF(Start!$C$18="x",IF(OR(AH20 = "NA",AI20="NA",AI20=0,AI20="",AH20=""), "NA", AH20/AI20),"---")</f>
        <v>NA</v>
      </c>
      <c r="AL20" s="376" t="str">
        <f>IF(Start!$C$18="x",IF(OR(AK20 ="NA",AK20="",AJ20= "NA",R20="NA",R20=0),"NA",(2*AK20)/(1000*(1/$R20+AJ20))),"---")</f>
        <v>NA</v>
      </c>
      <c r="AM20" s="376" t="str">
        <f>IF(Start!$C$18="x",IF(AL20 = "NA", "NA", AL20*(Data!$D$52*Data!$D$53*10000)),"---")</f>
        <v>NA</v>
      </c>
      <c r="AN20" s="376" t="str">
        <f>IF(Start!$C$18="x",IF(AM20 = "NA", "NA", AM20*(Data!$D$54)),"---")</f>
        <v>NA</v>
      </c>
      <c r="AO20" s="498" t="str">
        <f>IF(Start!$C$18="x",IF(AN20="NA","NA",AN20*Data!$D$41),"---")</f>
        <v>NA</v>
      </c>
      <c r="AP20" s="376" t="str">
        <f>IF(Start!$C$18="x",IF(OR(Q20=0,N20="NA",N20="",AG20="NA",AG20="",AG20=0,Q20="",Q20="NA"),"NA", (3.1416*Data!$D$56*86400/($AG20*(Data!$D$55+(N20*Data!$D$19/(Q20*1000)))))^0.5),"---")</f>
        <v>NA</v>
      </c>
      <c r="AQ20" s="376" t="str">
        <f>IF(Start!$C$18="x",IF(OR(AH20="NA",AI20="NA",AI20="",AI20=0,AH20=""),"NA", AH20/AI20),"---")</f>
        <v>NA</v>
      </c>
      <c r="AR20" s="376" t="str">
        <f>IF(Start!$C$18="x",IF(OR(AQ20="NA",AP20="NA",$R20="NA",R20=0,R20=""),"NA",(2*AQ20)/(1000*(1/$R20+AP20))),"---")</f>
        <v>NA</v>
      </c>
      <c r="AS20" s="376" t="str">
        <f>IF(Start!$C$18="x",IF(AR20 = "NA", "NA", AR20*(Data!$D$52*Data!$D$53*10000)),"---")</f>
        <v>NA</v>
      </c>
      <c r="AT20" s="376" t="str">
        <f>IF(Start!$C$18="x",IF(AS20 = "NA", "NA", (AS20*1000)/(Data!$D$48*3*Data!$D$53)),"---")</f>
        <v>NA</v>
      </c>
      <c r="AU20" s="498" t="str">
        <f>IF(Start!$C$18="x",IF(AT20="NA","NA",AT20*Data!$D$47),"---")</f>
        <v>NA</v>
      </c>
      <c r="AV20" s="283" t="str">
        <f>IF(Start!$C$18="x",(IF(AND(F20="",G20= "",G20&lt;&gt;"NA"),"",IF(OR(AD20="NA",I20="NA",I20=0),"NA",(AD20/I20)))),"Not Req.")</f>
        <v/>
      </c>
      <c r="AW20" s="284" t="str">
        <f>IF(Start!$C$18="x",(IF(AND(F20="",G20= "",G20&lt;&gt;"NA"),"",IF(OR(AF20="NA",I20="NA",I20=0),"NA",(AF20/I20)))),"Not Req.")</f>
        <v/>
      </c>
      <c r="AX20" s="284" t="str">
        <f>IF(Start!$C$18="x",(IF(F20 ="","",IF(OR(AO20="NA",I20="NA",I20=0),"NA",(AO20/I20)))),"Not Req.")</f>
        <v/>
      </c>
      <c r="AY20" s="344" t="str">
        <f>IF(Start!$C$18="x",(IF(F20 ="","",IF(OR(AU20="NA",I20="NA",I20=0),"NA",(AU20/I20)))),"Not Req.")</f>
        <v/>
      </c>
      <c r="AZ20" s="209"/>
    </row>
    <row r="21" spans="1:52" s="23" customFormat="1" x14ac:dyDescent="0.25">
      <c r="A21" s="405" t="s">
        <v>339</v>
      </c>
      <c r="B21" s="347" t="str">
        <f>IF(Start!$C$18="x",IF(AND(OR(F21="",F21="NA"),OR(G21="",G21="NA")),"",IF(I21="NA","NA",IF(AND(I21="",K21="--"),"NA",IF(AD21="NA","Missing Data",IF(I21="","No Criteria",IF(AD21&gt;=I21,"Needed","No")))))),"---")</f>
        <v/>
      </c>
      <c r="C21" s="501" t="str">
        <f>IF(Start!$C$18="x",IF(AND(OR(F21="",F21="NA"),OR(G21="",G21="NA")),"",IF(I21="NA","NA",IF(AND(I21="",K21="--"),"NA",IF(AF21="NA","Missing Data",IF(I21="","No Criteria",IF(AF21&gt;=I21,"Needed","No")))))),"---")</f>
        <v/>
      </c>
      <c r="D21" s="347" t="str">
        <f>IF(Start!$C$18="x",IF(AND(OR(F21="",F21="NA"),OR(G21="",G21="NA")),"",IF(I21="NA","NA",IF(AND(I21="",K21="--"),"NA",IF(AO21="NA","Missing Data",IF(I21="","No Criteria",IF(AO21&gt;=I21,"Needed","No")))))),"---")</f>
        <v/>
      </c>
      <c r="E21" s="401" t="str">
        <f>IF(Start!$C$18="x",IF(AND(OR(F21="",F21="NA"),OR(G21="",G21="NA")),"",IF(I21="NA","NA",IF(AND(I21="",K21="--"),"NA",IF(AU21="NA","Missing Data",IF(I21="","No Criteria",IF(AU21&gt;=I21,"Needed","No")))))),"---")</f>
        <v/>
      </c>
      <c r="F21" s="431" t="str">
        <f>IF(TRUE=ISBLANK(ChemData!B21),"",(ChemData!B21))</f>
        <v/>
      </c>
      <c r="G21" s="432" t="str">
        <f>IF(TRUE=ISBLANK(ChemData!C21),"",(ChemData!C21))</f>
        <v/>
      </c>
      <c r="H21" s="433" t="str">
        <f>IF(TRUE=ISBLANK(ChemData!D21),"",(ChemData!D21))</f>
        <v/>
      </c>
      <c r="I21" s="919" t="str">
        <f>IF(TRUE=ISBLANK(ChemData!K21),"",(ChemData!K21))</f>
        <v>NA</v>
      </c>
      <c r="J21" s="290">
        <f>IF(TRUE=ISBLANK(ChemData!M21),"",(ChemData!M21))</f>
        <v>63.55</v>
      </c>
      <c r="K21" s="290" t="str">
        <f>IF(TRUE=ISBLANK(ChemData!N21),"",(ChemData!N21))</f>
        <v>--</v>
      </c>
      <c r="L21" s="290">
        <f>IF(TRUE=ISBLANK(ChemData!O21),"",(ChemData!O21))</f>
        <v>0.17362465199636934</v>
      </c>
      <c r="M21" s="290">
        <f>IF(TRUE=ISBLANK(ChemData!Q21),"",(ChemData!Q21))</f>
        <v>120</v>
      </c>
      <c r="N21" s="290">
        <f>IF(TRUE=ISBLANK(ChemData!R21),"",(ChemData!R21))</f>
        <v>8.4990000000000006</v>
      </c>
      <c r="O21" s="290">
        <f>IF(TRUE=ISBLANK(ChemData!S21),"",(ChemData!S21))</f>
        <v>0.03</v>
      </c>
      <c r="P21" s="291">
        <f>IF(TRUE=ISBLANK(ChemData!T21),"",(ChemData!T21))</f>
        <v>0.15</v>
      </c>
      <c r="Q21" s="375" t="str">
        <f>IF(Start!$C$18="x",IF(OR(K21="NA",K21="",K21="--"),"NA",(K21*1000000/82.1/Data!$D$50)),"---")</f>
        <v>NA</v>
      </c>
      <c r="R21" s="376">
        <f>IF(Start!$C$18="x",IF(OR(J21="NA",J21=0,J21=""),"NA",(0.32*(Data!$D$48+Data!$D$49)*(18/J21)^0.5)),"---")</f>
        <v>0.43853644008682829</v>
      </c>
      <c r="S21" s="376">
        <f>IF(Start!$C$18="x",IF(OR(J21="NA",J21= 0,J21=""),"NA",(0.0065*((Data!$D$49^0.969)/(Data!$D$51^0.673))*(32/J21)^0.5*EXP(0.526*Data!$D$48^-1.9))),"---")</f>
        <v>9.2431467108857086E-4</v>
      </c>
      <c r="T21" s="377" t="str">
        <f>IF(Start!$C$18="x",IF(OR(S21="NA",R21="NA",R21=0,Q21="NA",S21=0,Q21=0),"NA",(1/(1/S21+(1/(R21*Q21))))),"---")</f>
        <v>NA</v>
      </c>
      <c r="U21" s="375" t="str">
        <f>IF(Start!$C$18="x",IF(OR(F21="NA",F21="",O21="NA",O21=""),"NA",(F21*$O21)/(Data!$D$10/100)),"---")</f>
        <v>NA</v>
      </c>
      <c r="V21" s="376" t="str">
        <f>IF(Start!$C$18="x",IF(OR(U21="NA",M21="NA",M21="",U21=""),"NA",U21/((Data!$D$18+((1-Data!$D$18)*Data!$D$14*M21))/((1-Data!$D$18)*Data!$D$14*1000))),"---")</f>
        <v>NA</v>
      </c>
      <c r="W21" s="376" t="str">
        <f>IF(Start!$C$18="x",IF(OR(G21="NA",U21="NA",G21="",U21=""),"NA",(U21 +($G21*(Data!$D$19-Data!$D$22)/(Data!$D$19*Data!$D$22)))),"---")</f>
        <v>NA</v>
      </c>
      <c r="X21" s="376" t="str">
        <f>IF(Start!$C$18="x",IF(OR(G21="NA",V21="NA",G21="",V21=""),"NA",(((Data!$D$22*Data!$D$18)*V21)+(Data!$D$19-Data!$D$22)*$G21)/((Data!$D$22*Data!$D$18)+Data!$D$19-Data!$D$22)),"---")</f>
        <v>NA</v>
      </c>
      <c r="Y21" s="376" t="str">
        <f>IF(Start!$C$18="x",IF(OR(W21="NA",W21="",M21="NA",M21=""),"NA",(W21/((Data!$D$23+((1-Data!$D$23)*Data!$D$14*M21)) /((1-Data!$D$23)*Data!$D$14*1000)))),"---")</f>
        <v>NA</v>
      </c>
      <c r="Z21" s="376" t="str">
        <f>IF(Start!$C$18="x",IF(OR(Y21="NA",X21="NA"),"NA",IF(Y21&gt;X21, Y21, X21)),"---")</f>
        <v>NA</v>
      </c>
      <c r="AA21" s="461" t="str">
        <f>IF(Start!$C$18="x",IF(OR(Z21="NA",T21="NA"),"NA",Z21*T21/(1000000000)),"---")</f>
        <v>NA</v>
      </c>
      <c r="AB21" s="1057" t="str">
        <f>IF(Start!$C$18="x",IF(AA21 = "NA", "NA", AA21*(Data!$D$52*Data!$D$53*10000)),"---")</f>
        <v>NA</v>
      </c>
      <c r="AC21" s="375" t="str">
        <f>IF(Start!$C$18="x",IF(AB21="NA", "NA", AB21*Data!$D$54),"---")</f>
        <v>NA</v>
      </c>
      <c r="AD21" s="498" t="str">
        <f>IF(Start!$C$18="x",IF(AC21="NA","NA",AC21*Data!$D$41),"---")</f>
        <v>NA</v>
      </c>
      <c r="AE21" s="376" t="str">
        <f>IF(Start!$C$18="x",IF(AB21 = "NA", "NA", AB21/(Data!$D$53*3*Data!$D$48)*1000),"---")</f>
        <v>NA</v>
      </c>
      <c r="AF21" s="498" t="str">
        <f>IF(Start!$C$18="x",IF(AE21="NA","NA",AE21*Data!$D$46),"---")</f>
        <v>NA</v>
      </c>
      <c r="AG21" s="375">
        <f>IF(Start!$C$18="x",IF(OR($L21="NA",L21=""),"NA",($L21*(Data!$D$55^3.33)/(Data!$D$18^2))),"---")</f>
        <v>1.7688000425223414E-3</v>
      </c>
      <c r="AH21" s="376" t="str">
        <f>IF(Start!$C$18="x",IF(OR(F21="NA",F21="",P21="NA",P21=""),"NA",IF(100/Data!$D$10&gt;Data!$D$13,(F21*$P21)/(Data!$D$10/100),(F21*$P21)*Data!$D$13)),"---")</f>
        <v>NA</v>
      </c>
      <c r="AI21" s="489" t="str">
        <f>IF(Start!$C$18="x",IF(OR($N21="NA",$Q21="NA",$Q21=0,Q21="",N21=""),"NA",(1000*$N21/$Q21)),"---")</f>
        <v>NA</v>
      </c>
      <c r="AJ21" s="376" t="str">
        <f>IF(Start!$C$18="x",IF(OR(Q21 = "NA",Q21=0,N21 = "NA",N21="",Q21=""), "NA", IF($AG21="NA","NA",(3.1416*Data!$D$57*86400/($AG21*(Data!$D$55+(N21*Data!$D$19/(Q21*1000)))))^0.5)),"---")</f>
        <v>NA</v>
      </c>
      <c r="AK21" s="376" t="str">
        <f>IF(Start!$C$18="x",IF(OR(AH21 = "NA",AI21="NA",AI21=0,AI21="",AH21=""), "NA", AH21/AI21),"---")</f>
        <v>NA</v>
      </c>
      <c r="AL21" s="376" t="str">
        <f>IF(Start!$C$18="x",IF(OR(AK21 ="NA",AK21="",AJ21= "NA",R21="NA",R21=0),"NA",(2*AK21)/(1000*(1/$R21+AJ21))),"---")</f>
        <v>NA</v>
      </c>
      <c r="AM21" s="376" t="str">
        <f>IF(Start!$C$18="x",IF(AL21 = "NA", "NA", AL21*(Data!$D$52*Data!$D$53*10000)),"---")</f>
        <v>NA</v>
      </c>
      <c r="AN21" s="376" t="str">
        <f>IF(Start!$C$18="x",IF(AM21 = "NA", "NA", AM21*(Data!$D$54)),"---")</f>
        <v>NA</v>
      </c>
      <c r="AO21" s="498" t="str">
        <f>IF(Start!$C$18="x",IF(AN21="NA","NA",AN21*Data!$D$41),"---")</f>
        <v>NA</v>
      </c>
      <c r="AP21" s="376" t="str">
        <f>IF(Start!$C$18="x",IF(OR(Q21=0,N21="NA",N21="",AG21="NA",AG21="",AG21=0,Q21="",Q21="NA"),"NA", (3.1416*Data!$D$56*86400/($AG21*(Data!$D$55+(N21*Data!$D$19/(Q21*1000)))))^0.5),"---")</f>
        <v>NA</v>
      </c>
      <c r="AQ21" s="376" t="str">
        <f>IF(Start!$C$18="x",IF(OR(AH21="NA",AI21="NA",AI21="",AI21=0,AH21=""),"NA", AH21/AI21),"---")</f>
        <v>NA</v>
      </c>
      <c r="AR21" s="376" t="str">
        <f>IF(Start!$C$18="x",IF(OR(AQ21="NA",AP21="NA",$R21="NA",R21=0,R21=""),"NA",(2*AQ21)/(1000*(1/$R21+AP21))),"---")</f>
        <v>NA</v>
      </c>
      <c r="AS21" s="376" t="str">
        <f>IF(Start!$C$18="x",IF(AR21 = "NA", "NA", AR21*(Data!$D$52*Data!$D$53*10000)),"---")</f>
        <v>NA</v>
      </c>
      <c r="AT21" s="376" t="str">
        <f>IF(Start!$C$18="x",IF(AS21 = "NA", "NA", (AS21*1000)/(Data!$D$48*3*Data!$D$53)),"---")</f>
        <v>NA</v>
      </c>
      <c r="AU21" s="498" t="str">
        <f>IF(Start!$C$18="x",IF(AT21="NA","NA",AT21*Data!$D$47),"---")</f>
        <v>NA</v>
      </c>
      <c r="AV21" s="283" t="str">
        <f>IF(Start!$C$18="x",(IF(AND(F21="",G21= "",G21&lt;&gt;"NA"),"",IF(OR(AD21="NA",I21="NA",I21=0),"NA",(AD21/I21)))),"Not Req.")</f>
        <v/>
      </c>
      <c r="AW21" s="284" t="str">
        <f>IF(Start!$C$18="x",(IF(AND(F21="",G21= "",G21&lt;&gt;"NA"),"",IF(OR(AF21="NA",I21="NA",I21=0),"NA",(AF21/I21)))),"Not Req.")</f>
        <v/>
      </c>
      <c r="AX21" s="284" t="str">
        <f>IF(Start!$C$18="x",(IF(F21 ="","",IF(OR(AO21="NA",I21="NA",I21=0),"NA",(AO21/I21)))),"Not Req.")</f>
        <v/>
      </c>
      <c r="AY21" s="344" t="str">
        <f>IF(Start!$C$18="x",(IF(F21 ="","",IF(OR(AU21="NA",I21="NA",I21=0),"NA",(AU21/I21)))),"Not Req.")</f>
        <v/>
      </c>
      <c r="AZ21" s="209"/>
    </row>
    <row r="22" spans="1:52" s="23" customFormat="1" x14ac:dyDescent="0.25">
      <c r="A22" s="405" t="s">
        <v>340</v>
      </c>
      <c r="B22" s="347" t="str">
        <f>IF(Start!$C$18="x",IF(AND(OR(F22="",F22="NA"),OR(G22="",G22="NA")),"",IF(I22="NA","NA",IF(AND(I22="",K22="--"),"NA",IF(AD22="NA","Missing Data",IF(I22="","No Criteria",IF(AD22&gt;=I22,"Needed","No")))))),"---")</f>
        <v/>
      </c>
      <c r="C22" s="501" t="str">
        <f>IF(Start!$C$18="x",IF(AND(OR(F22="",F22="NA"),OR(G22="",G22="NA")),"",IF(I22="NA","NA",IF(AND(I22="",K22="--"),"NA",IF(AF22="NA","Missing Data",IF(I22="","No Criteria",IF(AF22&gt;=I22,"Needed","No")))))),"---")</f>
        <v/>
      </c>
      <c r="D22" s="347" t="str">
        <f>IF(Start!$C$18="x",IF(AND(OR(F22="",F22="NA"),OR(G22="",G22="NA")),"",IF(I22="NA","NA",IF(AND(I22="",K22="--"),"NA",IF(AO22="NA","Missing Data",IF(I22="","No Criteria",IF(AO22&gt;=I22,"Needed","No")))))),"---")</f>
        <v/>
      </c>
      <c r="E22" s="401" t="str">
        <f>IF(Start!$C$18="x",IF(AND(OR(F22="",F22="NA"),OR(G22="",G22="NA")),"",IF(I22="NA","NA",IF(AND(I22="",K22="--"),"NA",IF(AU22="NA","Missing Data",IF(I22="","No Criteria",IF(AU22&gt;=I22,"Needed","No")))))),"---")</f>
        <v/>
      </c>
      <c r="F22" s="431" t="str">
        <f>IF(TRUE=ISBLANK(ChemData!B22),"",(ChemData!B22))</f>
        <v/>
      </c>
      <c r="G22" s="432" t="str">
        <f>IF(TRUE=ISBLANK(ChemData!C22),"",(ChemData!C22))</f>
        <v/>
      </c>
      <c r="H22" s="433" t="str">
        <f>IF(TRUE=ISBLANK(ChemData!D22),"",(ChemData!D22))</f>
        <v/>
      </c>
      <c r="I22" s="919" t="str">
        <f>IF(TRUE=ISBLANK(ChemData!K22),"",(ChemData!K22))</f>
        <v>NA</v>
      </c>
      <c r="J22" s="290">
        <f>IF(TRUE=ISBLANK(ChemData!M22),"",(ChemData!M22))</f>
        <v>55.847000000000001</v>
      </c>
      <c r="K22" s="290" t="str">
        <f>IF(TRUE=ISBLANK(ChemData!N22),"",(ChemData!N22))</f>
        <v>--</v>
      </c>
      <c r="L22" s="290">
        <f>IF(TRUE=ISBLANK(ChemData!O22),"",(ChemData!O22))</f>
        <v>0.17733435637490885</v>
      </c>
      <c r="M22" s="290">
        <f>IF(TRUE=ISBLANK(ChemData!Q22),"",(ChemData!Q22))</f>
        <v>25</v>
      </c>
      <c r="N22" s="290">
        <f>IF(TRUE=ISBLANK(ChemData!R22),"",(ChemData!R22))</f>
        <v>25</v>
      </c>
      <c r="O22" s="290" t="str">
        <f>IF(TRUE=ISBLANK(ChemData!S22),"",(ChemData!S22))</f>
        <v>NA</v>
      </c>
      <c r="P22" s="291" t="str">
        <f>IF(TRUE=ISBLANK(ChemData!T22),"",(ChemData!T22))</f>
        <v>NA</v>
      </c>
      <c r="Q22" s="375" t="str">
        <f>IF(Start!$C$18="x",IF(OR(K22="NA",K22="",K22="--"),"NA",(K22*1000000/82.1/Data!$D$50)),"---")</f>
        <v>NA</v>
      </c>
      <c r="R22" s="376">
        <f>IF(Start!$C$18="x",IF(OR(J22="NA",J22=0,J22=""),"NA",(0.32*(Data!$D$48+Data!$D$49)*(18/J22)^0.5)),"---")</f>
        <v>0.46780357883603413</v>
      </c>
      <c r="S22" s="376">
        <f>IF(Start!$C$18="x",IF(OR(J22="NA",J22= 0,J22=""),"NA",(0.0065*((Data!$D$49^0.969)/(Data!$D$51^0.673))*(32/J22)^0.5*EXP(0.526*Data!$D$48^-1.9))),"---")</f>
        <v>9.8600178133491563E-4</v>
      </c>
      <c r="T22" s="377" t="str">
        <f>IF(Start!$C$18="x",IF(OR(S22="NA",R22="NA",R22=0,Q22="NA",S22=0,Q22=0),"NA",(1/(1/S22+(1/(R22*Q22))))),"---")</f>
        <v>NA</v>
      </c>
      <c r="U22" s="375" t="str">
        <f>IF(Start!$C$18="x",IF(OR(F22="NA",F22="",O22="NA",O22=""),"NA",(F22*$O22)/(Data!$D$10/100)),"---")</f>
        <v>NA</v>
      </c>
      <c r="V22" s="376" t="str">
        <f>IF(Start!$C$18="x",IF(OR(U22="NA",M22="NA",M22="",U22=""),"NA",U22/((Data!$D$18+((1-Data!$D$18)*Data!$D$14*M22))/((1-Data!$D$18)*Data!$D$14*1000))),"---")</f>
        <v>NA</v>
      </c>
      <c r="W22" s="376" t="str">
        <f>IF(Start!$C$18="x",IF(OR(G22="NA",U22="NA",G22="",U22=""),"NA",(U22 +($G22*(Data!$D$19-Data!$D$22)/(Data!$D$19*Data!$D$22)))),"---")</f>
        <v>NA</v>
      </c>
      <c r="X22" s="376" t="str">
        <f>IF(Start!$C$18="x",IF(OR(G22="NA",V22="NA",G22="",V22=""),"NA",(((Data!$D$22*Data!$D$18)*V22)+(Data!$D$19-Data!$D$22)*$G22)/((Data!$D$22*Data!$D$18)+Data!$D$19-Data!$D$22)),"---")</f>
        <v>NA</v>
      </c>
      <c r="Y22" s="376" t="str">
        <f>IF(Start!$C$18="x",IF(OR(W22="NA",W22="",M22="NA",M22=""),"NA",(W22/((Data!$D$23+((1-Data!$D$23)*Data!$D$14*M22)) /((1-Data!$D$23)*Data!$D$14*1000)))),"---")</f>
        <v>NA</v>
      </c>
      <c r="Z22" s="376" t="str">
        <f>IF(Start!$C$18="x",IF(OR(Y22="NA",X22="NA"),"NA",IF(Y22&gt;X22, Y22, X22)),"---")</f>
        <v>NA</v>
      </c>
      <c r="AA22" s="461" t="str">
        <f>IF(Start!$C$18="x",IF(OR(Z22="NA",T22="NA"),"NA",Z22*T22/(1000000000)),"---")</f>
        <v>NA</v>
      </c>
      <c r="AB22" s="1057" t="str">
        <f>IF(Start!$C$18="x",IF(AA22 = "NA", "NA", AA22*(Data!$D$52*Data!$D$53*10000)),"---")</f>
        <v>NA</v>
      </c>
      <c r="AC22" s="375" t="str">
        <f>IF(Start!$C$18="x",IF(AB22="NA", "NA", AB22*Data!$D$54),"---")</f>
        <v>NA</v>
      </c>
      <c r="AD22" s="498" t="str">
        <f>IF(Start!$C$18="x",IF(AC22="NA","NA",AC22*Data!$D$41),"---")</f>
        <v>NA</v>
      </c>
      <c r="AE22" s="376" t="str">
        <f>IF(Start!$C$18="x",IF(AB22 = "NA", "NA", AB22/(Data!$D$53*3*Data!$D$48)*1000),"---")</f>
        <v>NA</v>
      </c>
      <c r="AF22" s="498" t="str">
        <f>IF(Start!$C$18="x",IF(AE22="NA","NA",AE22*Data!$D$46),"---")</f>
        <v>NA</v>
      </c>
      <c r="AG22" s="375">
        <f>IF(Start!$C$18="x",IF(OR($L22="NA",L22=""),"NA",($L22*(Data!$D$55^3.33)/(Data!$D$18^2))),"---")</f>
        <v>1.8065926323824679E-3</v>
      </c>
      <c r="AH22" s="376" t="str">
        <f>IF(Start!$C$18="x",IF(OR(F22="NA",F22="",P22="NA",P22=""),"NA",IF(100/Data!$D$10&gt;Data!$D$13,(F22*$P22)/(Data!$D$10/100),(F22*$P22)*Data!$D$13)),"---")</f>
        <v>NA</v>
      </c>
      <c r="AI22" s="489" t="str">
        <f>IF(Start!$C$18="x",IF(OR($N22="NA",$Q22="NA",$Q22=0,Q22="",N22=""),"NA",(1000*$N22/$Q22)),"---")</f>
        <v>NA</v>
      </c>
      <c r="AJ22" s="376" t="str">
        <f>IF(Start!$C$18="x",IF(OR(Q22 = "NA",Q22=0,N22 = "NA",N22="",Q22=""), "NA", IF($AG22="NA","NA",(3.1416*Data!$D$57*86400/($AG22*(Data!$D$55+(N22*Data!$D$19/(Q22*1000)))))^0.5)),"---")</f>
        <v>NA</v>
      </c>
      <c r="AK22" s="376" t="str">
        <f>IF(Start!$C$18="x",IF(OR(AH22 = "NA",AI22="NA",AI22=0,AI22="",AH22=""), "NA", AH22/AI22),"---")</f>
        <v>NA</v>
      </c>
      <c r="AL22" s="376" t="str">
        <f>IF(Start!$C$18="x",IF(OR(AK22 ="NA",AK22="",AJ22= "NA",R22="NA",R22=0),"NA",(2*AK22)/(1000*(1/$R22+AJ22))),"---")</f>
        <v>NA</v>
      </c>
      <c r="AM22" s="376" t="str">
        <f>IF(Start!$C$18="x",IF(AL22 = "NA", "NA", AL22*(Data!$D$52*Data!$D$53*10000)),"---")</f>
        <v>NA</v>
      </c>
      <c r="AN22" s="376" t="str">
        <f>IF(Start!$C$18="x",IF(AM22 = "NA", "NA", AM22*(Data!$D$54)),"---")</f>
        <v>NA</v>
      </c>
      <c r="AO22" s="498" t="str">
        <f>IF(Start!$C$18="x",IF(AN22="NA","NA",AN22*Data!$D$41),"---")</f>
        <v>NA</v>
      </c>
      <c r="AP22" s="376" t="str">
        <f>IF(Start!$C$18="x",IF(OR(Q22=0,N22="NA",N22="",AG22="NA",AG22="",AG22=0,Q22="",Q22="NA"),"NA", (3.1416*Data!$D$56*86400/($AG22*(Data!$D$55+(N22*Data!$D$19/(Q22*1000)))))^0.5),"---")</f>
        <v>NA</v>
      </c>
      <c r="AQ22" s="376" t="str">
        <f>IF(Start!$C$18="x",IF(OR(AH22="NA",AI22="NA",AI22="",AI22=0,AH22=""),"NA", AH22/AI22),"---")</f>
        <v>NA</v>
      </c>
      <c r="AR22" s="376" t="str">
        <f>IF(Start!$C$18="x",IF(OR(AQ22="NA",AP22="NA",$R22="NA",R22=0,R22=""),"NA",(2*AQ22)/(1000*(1/$R22+AP22))),"---")</f>
        <v>NA</v>
      </c>
      <c r="AS22" s="376" t="str">
        <f>IF(Start!$C$18="x",IF(AR22 = "NA", "NA", AR22*(Data!$D$52*Data!$D$53*10000)),"---")</f>
        <v>NA</v>
      </c>
      <c r="AT22" s="376" t="str">
        <f>IF(Start!$C$18="x",IF(AS22 = "NA", "NA", (AS22*1000)/(Data!$D$48*3*Data!$D$53)),"---")</f>
        <v>NA</v>
      </c>
      <c r="AU22" s="498" t="str">
        <f>IF(Start!$C$18="x",IF(AT22="NA","NA",AT22*Data!$D$47),"---")</f>
        <v>NA</v>
      </c>
      <c r="AV22" s="283" t="str">
        <f>IF(Start!$C$18="x",(IF(AND(F22="",G22= "",G22&lt;&gt;"NA"),"",IF(OR(AD22="NA",I22="NA",I22=0),"NA",(AD22/I22)))),"Not Req.")</f>
        <v/>
      </c>
      <c r="AW22" s="284" t="str">
        <f>IF(Start!$C$18="x",(IF(AND(F22="",G22= "",G22&lt;&gt;"NA"),"",IF(OR(AF22="NA",I22="NA",I22=0),"NA",(AF22/I22)))),"Not Req.")</f>
        <v/>
      </c>
      <c r="AX22" s="284" t="str">
        <f>IF(Start!$C$18="x",(IF(F22 ="","",IF(OR(AO22="NA",I22="NA",I22=0),"NA",(AO22/I22)))),"Not Req.")</f>
        <v/>
      </c>
      <c r="AY22" s="344" t="str">
        <f>IF(Start!$C$18="x",(IF(F22 ="","",IF(OR(AU22="NA",I22="NA",I22=0),"NA",(AU22/I22)))),"Not Req.")</f>
        <v/>
      </c>
      <c r="AZ22" s="209"/>
    </row>
    <row r="23" spans="1:52" s="23" customFormat="1" x14ac:dyDescent="0.25">
      <c r="A23" s="405" t="s">
        <v>341</v>
      </c>
      <c r="B23" s="347" t="str">
        <f>IF(Start!$C$18="x",IF(AND(OR(F23="",F23="NA"),OR(G23="",G23="NA")),"",IF(I23="NA","NA",IF(AND(I23="",K23="--"),"NA",IF(AD23="NA","Missing Data",IF(I23="","No Criteria",IF(AD23&gt;=I23,"Needed","No")))))),"---")</f>
        <v/>
      </c>
      <c r="C23" s="501" t="str">
        <f>IF(Start!$C$18="x",IF(AND(OR(F23="",F23="NA"),OR(G23="",G23="NA")),"",IF(I23="NA","NA",IF(AND(I23="",K23="--"),"NA",IF(AF23="NA","Missing Data",IF(I23="","No Criteria",IF(AF23&gt;=I23,"Needed","No")))))),"---")</f>
        <v/>
      </c>
      <c r="D23" s="347" t="str">
        <f>IF(Start!$C$18="x",IF(AND(OR(F23="",F23="NA"),OR(G23="",G23="NA")),"",IF(I23="NA","NA",IF(AND(I23="",K23="--"),"NA",IF(AO23="NA","Missing Data",IF(I23="","No Criteria",IF(AO23&gt;=I23,"Needed","No")))))),"---")</f>
        <v/>
      </c>
      <c r="E23" s="401" t="str">
        <f>IF(Start!$C$18="x",IF(AND(OR(F23="",F23="NA"),OR(G23="",G23="NA")),"",IF(I23="NA","NA",IF(AND(I23="",K23="--"),"NA",IF(AU23="NA","Missing Data",IF(I23="","No Criteria",IF(AU23&gt;=I23,"Needed","No")))))),"---")</f>
        <v/>
      </c>
      <c r="F23" s="431" t="str">
        <f>IF(TRUE=ISBLANK(ChemData!B23),"",(ChemData!B23))</f>
        <v/>
      </c>
      <c r="G23" s="432" t="str">
        <f>IF(TRUE=ISBLANK(ChemData!C23),"",(ChemData!C23))</f>
        <v/>
      </c>
      <c r="H23" s="433" t="str">
        <f>IF(TRUE=ISBLANK(ChemData!D23),"",(ChemData!D23))</f>
        <v/>
      </c>
      <c r="I23" s="919" t="str">
        <f>IF(TRUE=ISBLANK(ChemData!K23),"",(ChemData!K23))</f>
        <v>NA</v>
      </c>
      <c r="J23" s="290">
        <f>IF(TRUE=ISBLANK(ChemData!M23),"",(ChemData!M23))</f>
        <v>207.2</v>
      </c>
      <c r="K23" s="290" t="str">
        <f>IF(TRUE=ISBLANK(ChemData!N23),"",(ChemData!N23))</f>
        <v>--</v>
      </c>
      <c r="L23" s="290">
        <f>IF(TRUE=ISBLANK(ChemData!O23),"",(ChemData!O23))</f>
        <v>0.15362745742569633</v>
      </c>
      <c r="M23" s="290">
        <f>IF(TRUE=ISBLANK(ChemData!Q23),"",(ChemData!Q23))</f>
        <v>300</v>
      </c>
      <c r="N23" s="290">
        <f>IF(TRUE=ISBLANK(ChemData!R23),"",(ChemData!R23))</f>
        <v>300</v>
      </c>
      <c r="O23" s="290">
        <f>IF(TRUE=ISBLANK(ChemData!S23),"",(ChemData!S23))</f>
        <v>0.05</v>
      </c>
      <c r="P23" s="291">
        <f>IF(TRUE=ISBLANK(ChemData!T23),"",(ChemData!T23))</f>
        <v>0.05</v>
      </c>
      <c r="Q23" s="375" t="str">
        <f>IF(Start!$C$18="x",IF(OR(K23="NA",K23="",K23="--"),"NA",(K23*1000000/82.1/Data!$D$50)),"---")</f>
        <v>NA</v>
      </c>
      <c r="R23" s="376">
        <f>IF(Start!$C$18="x",IF(OR(J23="NA",J23=0,J23=""),"NA",(0.32*(Data!$D$48+Data!$D$49)*(18/J23)^0.5)),"---")</f>
        <v>0.24286704499458456</v>
      </c>
      <c r="S23" s="376">
        <f>IF(Start!$C$18="x",IF(OR(J23="NA",J23= 0,J23=""),"NA",(0.0065*((Data!$D$49^0.969)/(Data!$D$51^0.673))*(32/J23)^0.5*EXP(0.526*Data!$D$48^-1.9))),"---")</f>
        <v>5.1189719323661083E-4</v>
      </c>
      <c r="T23" s="377" t="str">
        <f>IF(Start!$C$18="x",IF(OR(S23="NA",R23="NA",R23=0,Q23="NA",S23=0,Q23=0),"NA",(1/(1/S23+(1/(R23*Q23))))),"---")</f>
        <v>NA</v>
      </c>
      <c r="U23" s="375" t="str">
        <f>IF(Start!$C$18="x",IF(OR(F23="NA",F23="",O23="NA",O23=""),"NA",(F23*$O23)/(Data!$D$10/100)),"---")</f>
        <v>NA</v>
      </c>
      <c r="V23" s="376" t="str">
        <f>IF(Start!$C$18="x",IF(OR(U23="NA",M23="NA",M23="",U23=""),"NA",U23/((Data!$D$18+((1-Data!$D$18)*Data!$D$14*M23))/((1-Data!$D$18)*Data!$D$14*1000))),"---")</f>
        <v>NA</v>
      </c>
      <c r="W23" s="376" t="str">
        <f>IF(Start!$C$18="x",IF(OR(G23="NA",U23="NA",G23="",U23=""),"NA",(U23 +($G23*(Data!$D$19-Data!$D$22)/(Data!$D$19*Data!$D$22)))),"---")</f>
        <v>NA</v>
      </c>
      <c r="X23" s="376" t="str">
        <f>IF(Start!$C$18="x",IF(OR(G23="NA",V23="NA",G23="",V23=""),"NA",(((Data!$D$22*Data!$D$18)*V23)+(Data!$D$19-Data!$D$22)*$G23)/((Data!$D$22*Data!$D$18)+Data!$D$19-Data!$D$22)),"---")</f>
        <v>NA</v>
      </c>
      <c r="Y23" s="376" t="str">
        <f>IF(Start!$C$18="x",IF(OR(W23="NA",W23="",M23="NA",M23=""),"NA",(W23/((Data!$D$23+((1-Data!$D$23)*Data!$D$14*M23)) /((1-Data!$D$23)*Data!$D$14*1000)))),"---")</f>
        <v>NA</v>
      </c>
      <c r="Z23" s="376" t="str">
        <f>IF(Start!$C$18="x",IF(OR(Y23="NA",X23="NA"),"NA",IF(Y23&gt;X23, Y23, X23)),"---")</f>
        <v>NA</v>
      </c>
      <c r="AA23" s="461" t="str">
        <f>IF(Start!$C$18="x",IF(OR(Z23="NA",T23="NA"),"NA",Z23*T23/(1000000000)),"---")</f>
        <v>NA</v>
      </c>
      <c r="AB23" s="1057" t="str">
        <f>IF(Start!$C$18="x",IF(AA23 = "NA", "NA", AA23*(Data!$D$52*Data!$D$53*10000)),"---")</f>
        <v>NA</v>
      </c>
      <c r="AC23" s="375" t="str">
        <f>IF(Start!$C$18="x",IF(AB23="NA", "NA", AB23*Data!$D$54),"---")</f>
        <v>NA</v>
      </c>
      <c r="AD23" s="498" t="str">
        <f>IF(Start!$C$18="x",IF(AC23="NA","NA",AC23*Data!$D$41),"---")</f>
        <v>NA</v>
      </c>
      <c r="AE23" s="376" t="str">
        <f>IF(Start!$C$18="x",IF(AB23 = "NA", "NA", AB23/(Data!$D$53*3*Data!$D$48)*1000),"---")</f>
        <v>NA</v>
      </c>
      <c r="AF23" s="498" t="str">
        <f>IF(Start!$C$18="x",IF(AE23="NA","NA",AE23*Data!$D$46),"---")</f>
        <v>NA</v>
      </c>
      <c r="AG23" s="375">
        <f>IF(Start!$C$18="x",IF(OR($L23="NA",L23=""),"NA",($L23*(Data!$D$55^3.33)/(Data!$D$18^2))),"---")</f>
        <v>1.5650787494903265E-3</v>
      </c>
      <c r="AH23" s="376" t="str">
        <f>IF(Start!$C$18="x",IF(OR(F23="NA",F23="",P23="NA",P23=""),"NA",IF(100/Data!$D$10&gt;Data!$D$13,(F23*$P23)/(Data!$D$10/100),(F23*$P23)*Data!$D$13)),"---")</f>
        <v>NA</v>
      </c>
      <c r="AI23" s="489" t="str">
        <f>IF(Start!$C$18="x",IF(OR($N23="NA",$Q23="NA",$Q23=0,Q23="",N23=""),"NA",(1000*$N23/$Q23)),"---")</f>
        <v>NA</v>
      </c>
      <c r="AJ23" s="376" t="str">
        <f>IF(Start!$C$18="x",IF(OR(Q23 = "NA",Q23=0,N23 = "NA",N23="",Q23=""), "NA", IF($AG23="NA","NA",(3.1416*Data!$D$57*86400/($AG23*(Data!$D$55+(N23*Data!$D$19/(Q23*1000)))))^0.5)),"---")</f>
        <v>NA</v>
      </c>
      <c r="AK23" s="376" t="str">
        <f>IF(Start!$C$18="x",IF(OR(AH23 = "NA",AI23="NA",AI23=0,AI23="",AH23=""), "NA", AH23/AI23),"---")</f>
        <v>NA</v>
      </c>
      <c r="AL23" s="376" t="str">
        <f>IF(Start!$C$18="x",IF(OR(AK23 ="NA",AK23="",AJ23= "NA",R23="NA",R23=0),"NA",(2*AK23)/(1000*(1/$R23+AJ23))),"---")</f>
        <v>NA</v>
      </c>
      <c r="AM23" s="376" t="str">
        <f>IF(Start!$C$18="x",IF(AL23 = "NA", "NA", AL23*(Data!$D$52*Data!$D$53*10000)),"---")</f>
        <v>NA</v>
      </c>
      <c r="AN23" s="376" t="str">
        <f>IF(Start!$C$18="x",IF(AM23 = "NA", "NA", AM23*(Data!$D$54)),"---")</f>
        <v>NA</v>
      </c>
      <c r="AO23" s="498" t="str">
        <f>IF(Start!$C$18="x",IF(AN23="NA","NA",AN23*Data!$D$41),"---")</f>
        <v>NA</v>
      </c>
      <c r="AP23" s="376" t="str">
        <f>IF(Start!$C$18="x",IF(OR(Q23=0,N23="NA",N23="",AG23="NA",AG23="",AG23=0,Q23="",Q23="NA"),"NA", (3.1416*Data!$D$56*86400/($AG23*(Data!$D$55+(N23*Data!$D$19/(Q23*1000)))))^0.5),"---")</f>
        <v>NA</v>
      </c>
      <c r="AQ23" s="376" t="str">
        <f>IF(Start!$C$18="x",IF(OR(AH23="NA",AI23="NA",AI23="",AI23=0,AH23=""),"NA", AH23/AI23),"---")</f>
        <v>NA</v>
      </c>
      <c r="AR23" s="376" t="str">
        <f>IF(Start!$C$18="x",IF(OR(AQ23="NA",AP23="NA",$R23="NA",R23=0,R23=""),"NA",(2*AQ23)/(1000*(1/$R23+AP23))),"---")</f>
        <v>NA</v>
      </c>
      <c r="AS23" s="376" t="str">
        <f>IF(Start!$C$18="x",IF(AR23 = "NA", "NA", AR23*(Data!$D$52*Data!$D$53*10000)),"---")</f>
        <v>NA</v>
      </c>
      <c r="AT23" s="376" t="str">
        <f>IF(Start!$C$18="x",IF(AS23 = "NA", "NA", (AS23*1000)/(Data!$D$48*3*Data!$D$53)),"---")</f>
        <v>NA</v>
      </c>
      <c r="AU23" s="498" t="str">
        <f>IF(Start!$C$18="x",IF(AT23="NA","NA",AT23*Data!$D$47),"---")</f>
        <v>NA</v>
      </c>
      <c r="AV23" s="283" t="str">
        <f>IF(Start!$C$18="x",(IF(AND(F23="",G23= "",G23&lt;&gt;"NA"),"",IF(OR(AD23="NA",I23="NA",I23=0),"NA",(AD23/I23)))),"Not Req.")</f>
        <v/>
      </c>
      <c r="AW23" s="284" t="str">
        <f>IF(Start!$C$18="x",(IF(AND(F23="",G23= "",G23&lt;&gt;"NA"),"",IF(OR(AF23="NA",I23="NA",I23=0),"NA",(AF23/I23)))),"Not Req.")</f>
        <v/>
      </c>
      <c r="AX23" s="284" t="str">
        <f>IF(Start!$C$18="x",(IF(F23 ="","",IF(OR(AO23="NA",I23="NA",I23=0),"NA",(AO23/I23)))),"Not Req.")</f>
        <v/>
      </c>
      <c r="AY23" s="344" t="str">
        <f>IF(Start!$C$18="x",(IF(F23 ="","",IF(OR(AU23="NA",I23="NA",I23=0),"NA",(AU23/I23)))),"Not Req.")</f>
        <v/>
      </c>
      <c r="AZ23" s="209"/>
    </row>
    <row r="24" spans="1:52" s="23" customFormat="1" x14ac:dyDescent="0.25">
      <c r="A24" s="405" t="s">
        <v>342</v>
      </c>
      <c r="B24" s="347" t="str">
        <f>IF(Start!$C$18="x",IF(AND(OR(F24="",F24="NA"),OR(G24="",G24="NA")),"",IF(I24="NA","NA",IF(AND(I24="",K24="--"),"NA",IF(AD24="NA","Missing Data",IF(I24="","No Criteria",IF(AD24&gt;=I24,"Needed","No")))))),"---")</f>
        <v/>
      </c>
      <c r="C24" s="501" t="str">
        <f>IF(Start!$C$18="x",IF(AND(OR(F24="",F24="NA"),OR(G24="",G24="NA")),"",IF(I24="NA","NA",IF(AND(I24="",K24="--"),"NA",IF(AF24="NA","Missing Data",IF(I24="","No Criteria",IF(AF24&gt;=I24,"Needed","No")))))),"---")</f>
        <v/>
      </c>
      <c r="D24" s="347" t="str">
        <f>IF(Start!$C$18="x",IF(AND(OR(F24="",F24="NA"),OR(G24="",G24="NA")),"",IF(I24="NA","NA",IF(AND(I24="",K24="--"),"NA",IF(AO24="NA","Missing Data",IF(I24="","No Criteria",IF(AO24&gt;=I24,"Needed","No")))))),"---")</f>
        <v/>
      </c>
      <c r="E24" s="401" t="str">
        <f>IF(Start!$C$18="x",IF(AND(OR(F24="",F24="NA"),OR(G24="",G24="NA")),"",IF(I24="NA","NA",IF(AND(I24="",K24="--"),"NA",IF(AU24="NA","Missing Data",IF(I24="","No Criteria",IF(AU24&gt;=I24,"Needed","No")))))),"---")</f>
        <v/>
      </c>
      <c r="F24" s="431" t="str">
        <f>IF(TRUE=ISBLANK(ChemData!B24),"",(ChemData!B24))</f>
        <v/>
      </c>
      <c r="G24" s="432" t="str">
        <f>IF(TRUE=ISBLANK(ChemData!C24),"",(ChemData!C24))</f>
        <v/>
      </c>
      <c r="H24" s="433" t="str">
        <f>IF(TRUE=ISBLANK(ChemData!D24),"",(ChemData!D24))</f>
        <v/>
      </c>
      <c r="I24" s="919" t="str">
        <f>IF(TRUE=ISBLANK(ChemData!K24),"",(ChemData!K24))</f>
        <v>NA</v>
      </c>
      <c r="J24" s="290">
        <f>IF(TRUE=ISBLANK(ChemData!M24),"",(ChemData!M24))</f>
        <v>6.9409999999999998</v>
      </c>
      <c r="K24" s="290" t="str">
        <f>IF(TRUE=ISBLANK(ChemData!N24),"",(ChemData!N24))</f>
        <v>--</v>
      </c>
      <c r="L24" s="290">
        <f>IF(TRUE=ISBLANK(ChemData!O24),"",(ChemData!O24))</f>
        <v>0.3273060861364096</v>
      </c>
      <c r="M24" s="290">
        <f>IF(TRUE=ISBLANK(ChemData!Q24),"",(ChemData!Q24))</f>
        <v>300</v>
      </c>
      <c r="N24" s="290">
        <f>IF(TRUE=ISBLANK(ChemData!R24),"",(ChemData!R24))</f>
        <v>300</v>
      </c>
      <c r="O24" s="290" t="str">
        <f>IF(TRUE=ISBLANK(ChemData!S24),"",(ChemData!S24))</f>
        <v>NA</v>
      </c>
      <c r="P24" s="291" t="str">
        <f>IF(TRUE=ISBLANK(ChemData!T24),"",(ChemData!T24))</f>
        <v>NA</v>
      </c>
      <c r="Q24" s="375" t="str">
        <f>IF(Start!$C$18="x",IF(OR(K24="NA",K24="",K24="--"),"NA",(K24*1000000/82.1/Data!$D$50)),"---")</f>
        <v>NA</v>
      </c>
      <c r="R24" s="376">
        <f>IF(Start!$C$18="x",IF(OR(J24="NA",J24=0,J24=""),"NA",(0.32*(Data!$D$48+Data!$D$49)*(18/J24)^0.5)),"---")</f>
        <v>1.3269435325034267</v>
      </c>
      <c r="S24" s="376">
        <f>IF(Start!$C$18="x",IF(OR(J24="NA",J24= 0,J24=""),"NA",(0.0065*((Data!$D$49^0.969)/(Data!$D$51^0.673))*(32/J24)^0.5*EXP(0.526*Data!$D$48^-1.9))),"---")</f>
        <v>2.7968334274710831E-3</v>
      </c>
      <c r="T24" s="377" t="str">
        <f>IF(Start!$C$18="x",IF(OR(S24="NA",R24="NA",R24=0,Q24="NA",S24=0,Q24=0),"NA",(1/(1/S24+(1/(R24*Q24))))),"---")</f>
        <v>NA</v>
      </c>
      <c r="U24" s="375" t="str">
        <f>IF(Start!$C$18="x",IF(OR(F24="NA",F24="",O24="NA",O24=""),"NA",(F24*$O24)/(Data!$D$10/100)),"---")</f>
        <v>NA</v>
      </c>
      <c r="V24" s="376" t="str">
        <f>IF(Start!$C$18="x",IF(OR(U24="NA",M24="NA",M24="",U24=""),"NA",U24/((Data!$D$18+((1-Data!$D$18)*Data!$D$14*M24))/((1-Data!$D$18)*Data!$D$14*1000))),"---")</f>
        <v>NA</v>
      </c>
      <c r="W24" s="376" t="str">
        <f>IF(Start!$C$18="x",IF(OR(G24="NA",U24="NA",G24="",U24=""),"NA",(U24 +($G24*(Data!$D$19-Data!$D$22)/(Data!$D$19*Data!$D$22)))),"---")</f>
        <v>NA</v>
      </c>
      <c r="X24" s="376" t="str">
        <f>IF(Start!$C$18="x",IF(OR(G24="NA",V24="NA",G24="",V24=""),"NA",(((Data!$D$22*Data!$D$18)*V24)+(Data!$D$19-Data!$D$22)*$G24)/((Data!$D$22*Data!$D$18)+Data!$D$19-Data!$D$22)),"---")</f>
        <v>NA</v>
      </c>
      <c r="Y24" s="376" t="str">
        <f>IF(Start!$C$18="x",IF(OR(W24="NA",W24="",M24="NA",M24=""),"NA",(W24/((Data!$D$23+((1-Data!$D$23)*Data!$D$14*M24)) /((1-Data!$D$23)*Data!$D$14*1000)))),"---")</f>
        <v>NA</v>
      </c>
      <c r="Z24" s="376" t="str">
        <f>IF(Start!$C$18="x",IF(OR(Y24="NA",X24="NA"),"NA",IF(Y24&gt;X24, Y24, X24)),"---")</f>
        <v>NA</v>
      </c>
      <c r="AA24" s="461" t="str">
        <f>IF(Start!$C$18="x",IF(OR(Z24="NA",T24="NA"),"NA",Z24*T24/(1000000000)),"---")</f>
        <v>NA</v>
      </c>
      <c r="AB24" s="1057" t="str">
        <f>IF(Start!$C$18="x",IF(AA24 = "NA", "NA", AA24*(Data!$D$52*Data!$D$53*10000)),"---")</f>
        <v>NA</v>
      </c>
      <c r="AC24" s="375" t="str">
        <f>IF(Start!$C$18="x",IF(AB24="NA", "NA", AB24*Data!$D$54),"---")</f>
        <v>NA</v>
      </c>
      <c r="AD24" s="498" t="str">
        <f>IF(Start!$C$18="x",IF(AC24="NA","NA",AC24*Data!$D$41),"---")</f>
        <v>NA</v>
      </c>
      <c r="AE24" s="376" t="str">
        <f>IF(Start!$C$18="x",IF(AB24 = "NA", "NA", AB24/(Data!$D$53*3*Data!$D$48)*1000),"---")</f>
        <v>NA</v>
      </c>
      <c r="AF24" s="498" t="str">
        <f>IF(Start!$C$18="x",IF(AE24="NA","NA",AE24*Data!$D$46),"---")</f>
        <v>NA</v>
      </c>
      <c r="AG24" s="375">
        <f>IF(Start!$C$18="x",IF(OR($L24="NA",L24=""),"NA",($L24*(Data!$D$55^3.33)/(Data!$D$18^2))),"---")</f>
        <v>3.334428679448173E-3</v>
      </c>
      <c r="AH24" s="376" t="str">
        <f>IF(Start!$C$18="x",IF(OR(F24="NA",F24="",P24="NA",P24=""),"NA",IF(100/Data!$D$10&gt;Data!$D$13,(F24*$P24)/(Data!$D$10/100),(F24*$P24)*Data!$D$13)),"---")</f>
        <v>NA</v>
      </c>
      <c r="AI24" s="489" t="str">
        <f>IF(Start!$C$18="x",IF(OR($N24="NA",$Q24="NA",$Q24=0,Q24="",N24=""),"NA",(1000*$N24/$Q24)),"---")</f>
        <v>NA</v>
      </c>
      <c r="AJ24" s="376" t="str">
        <f>IF(Start!$C$18="x",IF(OR(Q24 = "NA",Q24=0,N24 = "NA",N24="",Q24=""), "NA", IF($AG24="NA","NA",(3.1416*Data!$D$57*86400/($AG24*(Data!$D$55+(N24*Data!$D$19/(Q24*1000)))))^0.5)),"---")</f>
        <v>NA</v>
      </c>
      <c r="AK24" s="376" t="str">
        <f>IF(Start!$C$18="x",IF(OR(AH24 = "NA",AI24="NA",AI24=0,AI24="",AH24=""), "NA", AH24/AI24),"---")</f>
        <v>NA</v>
      </c>
      <c r="AL24" s="376" t="str">
        <f>IF(Start!$C$18="x",IF(OR(AK24 ="NA",AK24="",AJ24= "NA",R24="NA",R24=0),"NA",(2*AK24)/(1000*(1/$R24+AJ24))),"---")</f>
        <v>NA</v>
      </c>
      <c r="AM24" s="376" t="str">
        <f>IF(Start!$C$18="x",IF(AL24 = "NA", "NA", AL24*(Data!$D$52*Data!$D$53*10000)),"---")</f>
        <v>NA</v>
      </c>
      <c r="AN24" s="376" t="str">
        <f>IF(Start!$C$18="x",IF(AM24 = "NA", "NA", AM24*(Data!$D$54)),"---")</f>
        <v>NA</v>
      </c>
      <c r="AO24" s="498" t="str">
        <f>IF(Start!$C$18="x",IF(AN24="NA","NA",AN24*Data!$D$41),"---")</f>
        <v>NA</v>
      </c>
      <c r="AP24" s="376" t="str">
        <f>IF(Start!$C$18="x",IF(OR(Q24=0,N24="NA",N24="",AG24="NA",AG24="",AG24=0,Q24="",Q24="NA"),"NA", (3.1416*Data!$D$56*86400/($AG24*(Data!$D$55+(N24*Data!$D$19/(Q24*1000)))))^0.5),"---")</f>
        <v>NA</v>
      </c>
      <c r="AQ24" s="376" t="str">
        <f>IF(Start!$C$18="x",IF(OR(AH24="NA",AI24="NA",AI24="",AI24=0,AH24=""),"NA", AH24/AI24),"---")</f>
        <v>NA</v>
      </c>
      <c r="AR24" s="376" t="str">
        <f>IF(Start!$C$18="x",IF(OR(AQ24="NA",AP24="NA",$R24="NA",R24=0,R24=""),"NA",(2*AQ24)/(1000*(1/$R24+AP24))),"---")</f>
        <v>NA</v>
      </c>
      <c r="AS24" s="376" t="str">
        <f>IF(Start!$C$18="x",IF(AR24 = "NA", "NA", AR24*(Data!$D$52*Data!$D$53*10000)),"---")</f>
        <v>NA</v>
      </c>
      <c r="AT24" s="376" t="str">
        <f>IF(Start!$C$18="x",IF(AS24 = "NA", "NA", (AS24*1000)/(Data!$D$48*3*Data!$D$53)),"---")</f>
        <v>NA</v>
      </c>
      <c r="AU24" s="498" t="str">
        <f>IF(Start!$C$18="x",IF(AT24="NA","NA",AT24*Data!$D$47),"---")</f>
        <v>NA</v>
      </c>
      <c r="AV24" s="283" t="str">
        <f>IF(Start!$C$18="x",(IF(AND(F24="",G24= "",G24&lt;&gt;"NA"),"",IF(OR(AD24="NA",I24="NA",I24=0),"NA",(AD24/I24)))),"Not Req.")</f>
        <v/>
      </c>
      <c r="AW24" s="284" t="str">
        <f>IF(Start!$C$18="x",(IF(AND(F24="",G24= "",G24&lt;&gt;"NA"),"",IF(OR(AF24="NA",I24="NA",I24=0),"NA",(AF24/I24)))),"Not Req.")</f>
        <v/>
      </c>
      <c r="AX24" s="284" t="str">
        <f>IF(Start!$C$18="x",(IF(F24 ="","",IF(OR(AO24="NA",I24="NA",I24=0),"NA",(AO24/I24)))),"Not Req.")</f>
        <v/>
      </c>
      <c r="AY24" s="344" t="str">
        <f>IF(Start!$C$18="x",(IF(F24 ="","",IF(OR(AU24="NA",I24="NA",I24=0),"NA",(AU24/I24)))),"Not Req.")</f>
        <v/>
      </c>
      <c r="AZ24" s="209"/>
    </row>
    <row r="25" spans="1:52" s="23" customFormat="1" x14ac:dyDescent="0.25">
      <c r="A25" s="405" t="s">
        <v>343</v>
      </c>
      <c r="B25" s="347" t="str">
        <f>IF(Start!$C$18="x",IF(AND(OR(F25="",F25="NA"),OR(G25="",G25="NA")),"",IF(I25="NA","NA",IF(AND(I25="",K25="--"),"NA",IF(AD25="NA","Missing Data",IF(I25="","No Criteria",IF(AD25&gt;=I25,"Needed","No")))))),"---")</f>
        <v/>
      </c>
      <c r="C25" s="501" t="str">
        <f>IF(Start!$C$18="x",IF(AND(OR(F25="",F25="NA"),OR(G25="",G25="NA")),"",IF(I25="NA","NA",IF(AND(I25="",K25="--"),"NA",IF(AF25="NA","Missing Data",IF(I25="","No Criteria",IF(AF25&gt;=I25,"Needed","No")))))),"---")</f>
        <v/>
      </c>
      <c r="D25" s="347" t="str">
        <f>IF(Start!$C$18="x",IF(AND(OR(F25="",F25="NA"),OR(G25="",G25="NA")),"",IF(I25="NA","NA",IF(AND(I25="",K25="--"),"NA",IF(AO25="NA","Missing Data",IF(I25="","No Criteria",IF(AO25&gt;=I25,"Needed","No")))))),"---")</f>
        <v/>
      </c>
      <c r="E25" s="401" t="str">
        <f>IF(Start!$C$18="x",IF(AND(OR(F25="",F25="NA"),OR(G25="",G25="NA")),"",IF(I25="NA","NA",IF(AND(I25="",K25="--"),"NA",IF(AU25="NA","Missing Data",IF(I25="","No Criteria",IF(AU25&gt;=I25,"Needed","No")))))),"---")</f>
        <v/>
      </c>
      <c r="F25" s="431" t="str">
        <f>IF(TRUE=ISBLANK(ChemData!B25),"",(ChemData!B25))</f>
        <v/>
      </c>
      <c r="G25" s="432" t="str">
        <f>IF(TRUE=ISBLANK(ChemData!C25),"",(ChemData!C25))</f>
        <v/>
      </c>
      <c r="H25" s="433" t="str">
        <f>IF(TRUE=ISBLANK(ChemData!D25),"",(ChemData!D25))</f>
        <v/>
      </c>
      <c r="I25" s="919" t="str">
        <f>IF(TRUE=ISBLANK(ChemData!K25),"",(ChemData!K25))</f>
        <v>NA</v>
      </c>
      <c r="J25" s="290">
        <f>IF(TRUE=ISBLANK(ChemData!M25),"",(ChemData!M25))</f>
        <v>54.938000000000002</v>
      </c>
      <c r="K25" s="290" t="str">
        <f>IF(TRUE=ISBLANK(ChemData!N25),"",(ChemData!N25))</f>
        <v>--</v>
      </c>
      <c r="L25" s="290">
        <f>IF(TRUE=ISBLANK(ChemData!O25),"",(ChemData!O25))</f>
        <v>0.17783474475496072</v>
      </c>
      <c r="M25" s="290">
        <f>IF(TRUE=ISBLANK(ChemData!Q25),"",(ChemData!Q25))</f>
        <v>65</v>
      </c>
      <c r="N25" s="290">
        <f>IF(TRUE=ISBLANK(ChemData!R25),"",(ChemData!R25))</f>
        <v>65</v>
      </c>
      <c r="O25" s="290" t="str">
        <f>IF(TRUE=ISBLANK(ChemData!S25),"",(ChemData!S25))</f>
        <v>NA</v>
      </c>
      <c r="P25" s="291" t="str">
        <f>IF(TRUE=ISBLANK(ChemData!T25),"",(ChemData!T25))</f>
        <v>NA</v>
      </c>
      <c r="Q25" s="375" t="str">
        <f>IF(Start!$C$18="x",IF(OR(K25="NA",K25="",K25="--"),"NA",(K25*1000000/82.1/Data!$D$50)),"---")</f>
        <v>NA</v>
      </c>
      <c r="R25" s="376">
        <f>IF(Start!$C$18="x",IF(OR(J25="NA",J25=0,J25=""),"NA",(0.32*(Data!$D$48+Data!$D$49)*(18/J25)^0.5)),"---")</f>
        <v>0.47165782258481215</v>
      </c>
      <c r="S25" s="376">
        <f>IF(Start!$C$18="x",IF(OR(J25="NA",J25= 0,J25=""),"NA",(0.0065*((Data!$D$49^0.969)/(Data!$D$51^0.673))*(32/J25)^0.5*EXP(0.526*Data!$D$48^-1.9))),"---")</f>
        <v>9.9412547122084988E-4</v>
      </c>
      <c r="T25" s="377" t="str">
        <f>IF(Start!$C$18="x",IF(OR(S25="NA",R25="NA",R25=0,Q25="NA",S25=0,Q25=0),"NA",(1/(1/S25+(1/(R25*Q25))))),"---")</f>
        <v>NA</v>
      </c>
      <c r="U25" s="375" t="str">
        <f>IF(Start!$C$18="x",IF(OR(F25="NA",F25="",O25="NA",O25=""),"NA",(F25*$O25)/(Data!$D$10/100)),"---")</f>
        <v>NA</v>
      </c>
      <c r="V25" s="376" t="str">
        <f>IF(Start!$C$18="x",IF(OR(U25="NA",M25="NA",M25="",U25=""),"NA",U25/((Data!$D$18+((1-Data!$D$18)*Data!$D$14*M25))/((1-Data!$D$18)*Data!$D$14*1000))),"---")</f>
        <v>NA</v>
      </c>
      <c r="W25" s="376" t="str">
        <f>IF(Start!$C$18="x",IF(OR(G25="NA",U25="NA",G25="",U25=""),"NA",(U25 +($G25*(Data!$D$19-Data!$D$22)/(Data!$D$19*Data!$D$22)))),"---")</f>
        <v>NA</v>
      </c>
      <c r="X25" s="376" t="str">
        <f>IF(Start!$C$18="x",IF(OR(G25="NA",V25="NA",G25="",V25=""),"NA",(((Data!$D$22*Data!$D$18)*V25)+(Data!$D$19-Data!$D$22)*$G25)/((Data!$D$22*Data!$D$18)+Data!$D$19-Data!$D$22)),"---")</f>
        <v>NA</v>
      </c>
      <c r="Y25" s="376" t="str">
        <f>IF(Start!$C$18="x",IF(OR(W25="NA",W25="",M25="NA",M25=""),"NA",(W25/((Data!$D$23+((1-Data!$D$23)*Data!$D$14*M25)) /((1-Data!$D$23)*Data!$D$14*1000)))),"---")</f>
        <v>NA</v>
      </c>
      <c r="Z25" s="376" t="str">
        <f>IF(Start!$C$18="x",IF(OR(Y25="NA",X25="NA"),"NA",IF(Y25&gt;X25, Y25, X25)),"---")</f>
        <v>NA</v>
      </c>
      <c r="AA25" s="461" t="str">
        <f>IF(Start!$C$18="x",IF(OR(Z25="NA",T25="NA"),"NA",Z25*T25/(1000000000)),"---")</f>
        <v>NA</v>
      </c>
      <c r="AB25" s="1057" t="str">
        <f>IF(Start!$C$18="x",IF(AA25 = "NA", "NA", AA25*(Data!$D$52*Data!$D$53*10000)),"---")</f>
        <v>NA</v>
      </c>
      <c r="AC25" s="375" t="str">
        <f>IF(Start!$C$18="x",IF(AB25="NA", "NA", AB25*Data!$D$54),"---")</f>
        <v>NA</v>
      </c>
      <c r="AD25" s="498" t="str">
        <f>IF(Start!$C$18="x",IF(AC25="NA","NA",AC25*Data!$D$41),"---")</f>
        <v>NA</v>
      </c>
      <c r="AE25" s="376" t="str">
        <f>IF(Start!$C$18="x",IF(AB25 = "NA", "NA", AB25/(Data!$D$53*3*Data!$D$48)*1000),"---")</f>
        <v>NA</v>
      </c>
      <c r="AF25" s="498" t="str">
        <f>IF(Start!$C$18="x",IF(AE25="NA","NA",AE25*Data!$D$46),"---")</f>
        <v>NA</v>
      </c>
      <c r="AG25" s="375">
        <f>IF(Start!$C$18="x",IF(OR($L25="NA",L25=""),"NA",($L25*(Data!$D$55^3.33)/(Data!$D$18^2))),"---")</f>
        <v>1.8116903358349245E-3</v>
      </c>
      <c r="AH25" s="376" t="str">
        <f>IF(Start!$C$18="x",IF(OR(F25="NA",F25="",P25="NA",P25=""),"NA",IF(100/Data!$D$10&gt;Data!$D$13,(F25*$P25)/(Data!$D$10/100),(F25*$P25)*Data!$D$13)),"---")</f>
        <v>NA</v>
      </c>
      <c r="AI25" s="489" t="str">
        <f>IF(Start!$C$18="x",IF(OR($N25="NA",$Q25="NA",$Q25=0,Q25="",N25=""),"NA",(1000*$N25/$Q25)),"---")</f>
        <v>NA</v>
      </c>
      <c r="AJ25" s="376" t="str">
        <f>IF(Start!$C$18="x",IF(OR(Q25 = "NA",Q25=0,N25 = "NA",N25="",Q25=""), "NA", IF($AG25="NA","NA",(3.1416*Data!$D$57*86400/($AG25*(Data!$D$55+(N25*Data!$D$19/(Q25*1000)))))^0.5)),"---")</f>
        <v>NA</v>
      </c>
      <c r="AK25" s="376" t="str">
        <f>IF(Start!$C$18="x",IF(OR(AH25 = "NA",AI25="NA",AI25=0,AI25="",AH25=""), "NA", AH25/AI25),"---")</f>
        <v>NA</v>
      </c>
      <c r="AL25" s="376" t="str">
        <f>IF(Start!$C$18="x",IF(OR(AK25 ="NA",AK25="",AJ25= "NA",R25="NA",R25=0),"NA",(2*AK25)/(1000*(1/$R25+AJ25))),"---")</f>
        <v>NA</v>
      </c>
      <c r="AM25" s="376" t="str">
        <f>IF(Start!$C$18="x",IF(AL25 = "NA", "NA", AL25*(Data!$D$52*Data!$D$53*10000)),"---")</f>
        <v>NA</v>
      </c>
      <c r="AN25" s="376" t="str">
        <f>IF(Start!$C$18="x",IF(AM25 = "NA", "NA", AM25*(Data!$D$54)),"---")</f>
        <v>NA</v>
      </c>
      <c r="AO25" s="498" t="str">
        <f>IF(Start!$C$18="x",IF(AN25="NA","NA",AN25*Data!$D$41),"---")</f>
        <v>NA</v>
      </c>
      <c r="AP25" s="376" t="str">
        <f>IF(Start!$C$18="x",IF(OR(Q25=0,N25="NA",N25="",AG25="NA",AG25="",AG25=0,Q25="",Q25="NA"),"NA", (3.1416*Data!$D$56*86400/($AG25*(Data!$D$55+(N25*Data!$D$19/(Q25*1000)))))^0.5),"---")</f>
        <v>NA</v>
      </c>
      <c r="AQ25" s="376" t="str">
        <f>IF(Start!$C$18="x",IF(OR(AH25="NA",AI25="NA",AI25="",AI25=0,AH25=""),"NA", AH25/AI25),"---")</f>
        <v>NA</v>
      </c>
      <c r="AR25" s="376" t="str">
        <f>IF(Start!$C$18="x",IF(OR(AQ25="NA",AP25="NA",$R25="NA",R25=0,R25=""),"NA",(2*AQ25)/(1000*(1/$R25+AP25))),"---")</f>
        <v>NA</v>
      </c>
      <c r="AS25" s="376" t="str">
        <f>IF(Start!$C$18="x",IF(AR25 = "NA", "NA", AR25*(Data!$D$52*Data!$D$53*10000)),"---")</f>
        <v>NA</v>
      </c>
      <c r="AT25" s="376" t="str">
        <f>IF(Start!$C$18="x",IF(AS25 = "NA", "NA", (AS25*1000)/(Data!$D$48*3*Data!$D$53)),"---")</f>
        <v>NA</v>
      </c>
      <c r="AU25" s="498" t="str">
        <f>IF(Start!$C$18="x",IF(AT25="NA","NA",AT25*Data!$D$47),"---")</f>
        <v>NA</v>
      </c>
      <c r="AV25" s="283" t="str">
        <f>IF(Start!$C$18="x",(IF(AND(F25="",G25= "",G25&lt;&gt;"NA"),"",IF(OR(AD25="NA",I25="NA",I25=0),"NA",(AD25/I25)))),"Not Req.")</f>
        <v/>
      </c>
      <c r="AW25" s="284" t="str">
        <f>IF(Start!$C$18="x",(IF(AND(F25="",G25= "",G25&lt;&gt;"NA"),"",IF(OR(AF25="NA",I25="NA",I25=0),"NA",(AF25/I25)))),"Not Req.")</f>
        <v/>
      </c>
      <c r="AX25" s="284" t="str">
        <f>IF(Start!$C$18="x",(IF(F25 ="","",IF(OR(AO25="NA",I25="NA",I25=0),"NA",(AO25/I25)))),"Not Req.")</f>
        <v/>
      </c>
      <c r="AY25" s="344" t="str">
        <f>IF(Start!$C$18="x",(IF(F25 ="","",IF(OR(AU25="NA",I25="NA",I25=0),"NA",(AU25/I25)))),"Not Req.")</f>
        <v/>
      </c>
      <c r="AZ25" s="209"/>
    </row>
    <row r="26" spans="1:52" s="23" customFormat="1" x14ac:dyDescent="0.25">
      <c r="A26" s="405" t="s">
        <v>344</v>
      </c>
      <c r="B26" s="347" t="str">
        <f>IF(Start!$C$18="x",IF(AND(OR(F26="",F26="NA"),OR(G26="",G26="NA")),"",IF(I26="NA","NA",IF(AND(I26="",K26="--"),"NA",IF(AD26="NA","Missing Data",IF(I26="","No Criteria",IF(AD26&gt;=I26,"Needed","No")))))),"---")</f>
        <v/>
      </c>
      <c r="C26" s="501" t="str">
        <f>IF(Start!$C$18="x",IF(AND(OR(F26="",F26="NA"),OR(G26="",G26="NA")),"",IF(I26="NA","NA",IF(AND(I26="",K26="--"),"NA",IF(AF26="NA","Missing Data",IF(I26="","No Criteria",IF(AF26&gt;=I26,"Needed","No")))))),"---")</f>
        <v/>
      </c>
      <c r="D26" s="347" t="str">
        <f>IF(Start!$C$18="x",IF(AND(OR(F26="",F26="NA"),OR(G26="",G26="NA")),"",IF(I26="NA","NA",IF(AND(I26="",K26="--"),"NA",IF(AO26="NA","Missing Data",IF(I26="","No Criteria",IF(AO26&gt;=I26,"Needed","No")))))),"---")</f>
        <v/>
      </c>
      <c r="E26" s="401" t="str">
        <f>IF(Start!$C$18="x",IF(AND(OR(F26="",F26="NA"),OR(G26="",G26="NA")),"",IF(I26="NA","NA",IF(AND(I26="",K26="--"),"NA",IF(AU26="NA","Missing Data",IF(I26="","No Criteria",IF(AU26&gt;=I26,"Needed","No")))))),"---")</f>
        <v/>
      </c>
      <c r="F26" s="431" t="str">
        <f>IF(TRUE=ISBLANK(ChemData!B26),"",(ChemData!B26))</f>
        <v/>
      </c>
      <c r="G26" s="432" t="str">
        <f>IF(TRUE=ISBLANK(ChemData!C26),"",(ChemData!C26))</f>
        <v/>
      </c>
      <c r="H26" s="433" t="str">
        <f>IF(TRUE=ISBLANK(ChemData!D26),"",(ChemData!D26))</f>
        <v/>
      </c>
      <c r="I26" s="919">
        <f>IF(TRUE=ISBLANK(ChemData!K26),"",(ChemData!K26))</f>
        <v>8.6000000000000003E-5</v>
      </c>
      <c r="J26" s="290">
        <f>IF(TRUE=ISBLANK(ChemData!M26),"",(ChemData!M26))</f>
        <v>200.59</v>
      </c>
      <c r="K26" s="290">
        <f>IF(TRUE=ISBLANK(ChemData!N26),"",(ChemData!N26))</f>
        <v>1.1594293688399999E-2</v>
      </c>
      <c r="L26" s="290">
        <f>IF(TRUE=ISBLANK(ChemData!O26),"",(ChemData!O26))</f>
        <v>3.6999999999999998E-2</v>
      </c>
      <c r="M26" s="290">
        <f>IF(TRUE=ISBLANK(ChemData!Q26),"",(ChemData!Q26))</f>
        <v>100</v>
      </c>
      <c r="N26" s="290">
        <f>IF(TRUE=ISBLANK(ChemData!R26),"",(ChemData!R26))</f>
        <v>100</v>
      </c>
      <c r="O26" s="290">
        <f>IF(TRUE=ISBLANK(ChemData!S26),"",(ChemData!S26))</f>
        <v>0.02</v>
      </c>
      <c r="P26" s="291">
        <f>IF(TRUE=ISBLANK(ChemData!T26),"",(ChemData!T26))</f>
        <v>0.08</v>
      </c>
      <c r="Q26" s="375">
        <f>IF(Start!$C$18="x",IF(OR(K26="NA",K26="",K26="--"),"NA",(K26*1000000/82.1/Data!$D$50)),"---")</f>
        <v>0.45555356129032265</v>
      </c>
      <c r="R26" s="376">
        <f>IF(Start!$C$18="x",IF(OR(J26="NA",J26=0,J26=""),"NA",(0.32*(Data!$D$48+Data!$D$49)*(18/J26)^0.5)),"---")</f>
        <v>0.24683618474366462</v>
      </c>
      <c r="S26" s="376">
        <f>IF(Start!$C$18="x",IF(OR(J26="NA",J26= 0,J26=""),"NA",(0.0065*((Data!$D$49^0.969)/(Data!$D$51^0.673))*(32/J26)^0.5*EXP(0.526*Data!$D$48^-1.9))),"---")</f>
        <v>5.2026305241344259E-4</v>
      </c>
      <c r="T26" s="377">
        <f>IF(Start!$C$18="x",IF(OR(S26="NA",R26="NA",R26=0,Q26="NA",S26=0,Q26=0),"NA",(1/(1/S26+(1/(R26*Q26))))),"---")</f>
        <v>5.1786701846905255E-4</v>
      </c>
      <c r="U26" s="375" t="str">
        <f>IF(Start!$C$18="x",IF(OR(F26="NA",F26="",O26="NA",O26=""),"NA",(F26*$O26)/(Data!$D$10/100)),"---")</f>
        <v>NA</v>
      </c>
      <c r="V26" s="376" t="str">
        <f>IF(Start!$C$18="x",IF(OR(U26="NA",M26="NA",M26="",U26=""),"NA",U26/((Data!$D$18+((1-Data!$D$18)*Data!$D$14*M26))/((1-Data!$D$18)*Data!$D$14*1000))),"---")</f>
        <v>NA</v>
      </c>
      <c r="W26" s="376" t="str">
        <f>IF(Start!$C$18="x",IF(OR(G26="NA",U26="NA",G26="",U26=""),"NA",(U26 +($G26*(Data!$D$19-Data!$D$22)/(Data!$D$19*Data!$D$22)))),"---")</f>
        <v>NA</v>
      </c>
      <c r="X26" s="376" t="str">
        <f>IF(Start!$C$18="x",IF(OR(G26="NA",V26="NA",G26="",V26=""),"NA",(((Data!$D$22*Data!$D$18)*V26)+(Data!$D$19-Data!$D$22)*$G26)/((Data!$D$22*Data!$D$18)+Data!$D$19-Data!$D$22)),"---")</f>
        <v>NA</v>
      </c>
      <c r="Y26" s="376" t="str">
        <f>IF(Start!$C$18="x",IF(OR(W26="NA",W26="",M26="NA",M26=""),"NA",(W26/((Data!$D$23+((1-Data!$D$23)*Data!$D$14*M26)) /((1-Data!$D$23)*Data!$D$14*1000)))),"---")</f>
        <v>NA</v>
      </c>
      <c r="Z26" s="376" t="str">
        <f>IF(Start!$C$18="x",IF(OR(Y26="NA",X26="NA"),"NA",IF(Y26&gt;X26, Y26, X26)),"---")</f>
        <v>NA</v>
      </c>
      <c r="AA26" s="461" t="str">
        <f>IF(Start!$C$18="x",IF(OR(Z26="NA",T26="NA"),"NA",Z26*T26/(1000000000)),"---")</f>
        <v>NA</v>
      </c>
      <c r="AB26" s="1057" t="str">
        <f>IF(Start!$C$18="x",IF(AA26 = "NA", "NA", AA26*(Data!$D$52*Data!$D$53*10000)),"---")</f>
        <v>NA</v>
      </c>
      <c r="AC26" s="375" t="str">
        <f>IF(Start!$C$18="x",IF(AB26="NA", "NA", AB26*Data!$D$54),"---")</f>
        <v>NA</v>
      </c>
      <c r="AD26" s="498" t="str">
        <f>IF(Start!$C$18="x",IF(AC26="NA","NA",AC26*Data!$D$41),"---")</f>
        <v>NA</v>
      </c>
      <c r="AE26" s="376" t="str">
        <f>IF(Start!$C$18="x",IF(AB26 = "NA", "NA", AB26/(Data!$D$53*3*Data!$D$48)*1000),"---")</f>
        <v>NA</v>
      </c>
      <c r="AF26" s="498" t="str">
        <f>IF(Start!$C$18="x",IF(AE26="NA","NA",AE26*Data!$D$46),"---")</f>
        <v>NA</v>
      </c>
      <c r="AG26" s="375">
        <f>IF(Start!$C$18="x",IF(OR($L26="NA",L26=""),"NA",($L26*(Data!$D$55^3.33)/(Data!$D$18^2))),"---")</f>
        <v>3.7693726565220221E-4</v>
      </c>
      <c r="AH26" s="376" t="str">
        <f>IF(Start!$C$18="x",IF(OR(F26="NA",F26="",P26="NA",P26=""),"NA",IF(100/Data!$D$10&gt;Data!$D$13,(F26*$P26)/(Data!$D$10/100),(F26*$P26)*Data!$D$13)),"---")</f>
        <v>NA</v>
      </c>
      <c r="AI26" s="489">
        <f>IF(Start!$C$18="x",IF(OR($N26="NA",$Q26="NA",$Q26=0,Q26="",N26=""),"NA",(1000*$N26/$Q26)),"---")</f>
        <v>219513.15607490193</v>
      </c>
      <c r="AJ26" s="376">
        <f>IF(Start!$C$18="x",IF(OR(Q26 = "NA",Q26=0,N26 = "NA",N26="",Q26=""), "NA", IF($AG26="NA","NA",(3.1416*Data!$D$57*86400/($AG26*(Data!$D$55+(N26*Data!$D$19/(Q26*1000)))))^0.5)),"---")</f>
        <v>10758.449335041823</v>
      </c>
      <c r="AK26" s="376" t="str">
        <f>IF(Start!$C$18="x",IF(OR(AH26 = "NA",AI26="NA",AI26=0,AI26="",AH26=""), "NA", AH26/AI26),"---")</f>
        <v>NA</v>
      </c>
      <c r="AL26" s="376" t="str">
        <f>IF(Start!$C$18="x",IF(OR(AK26 ="NA",AK26="",AJ26= "NA",R26="NA",R26=0),"NA",(2*AK26)/(1000*(1/$R26+AJ26))),"---")</f>
        <v>NA</v>
      </c>
      <c r="AM26" s="376" t="str">
        <f>IF(Start!$C$18="x",IF(AL26 = "NA", "NA", AL26*(Data!$D$52*Data!$D$53*10000)),"---")</f>
        <v>NA</v>
      </c>
      <c r="AN26" s="376" t="str">
        <f>IF(Start!$C$18="x",IF(AM26 = "NA", "NA", AM26*(Data!$D$54)),"---")</f>
        <v>NA</v>
      </c>
      <c r="AO26" s="498" t="str">
        <f>IF(Start!$C$18="x",IF(AN26="NA","NA",AN26*Data!$D$41),"---")</f>
        <v>NA</v>
      </c>
      <c r="AP26" s="376">
        <f>IF(Start!$C$18="x",IF(OR(Q26=0,N26="NA",N26="",AG26="NA",AG26="",AG26=0,Q26="",Q26="NA"),"NA", (3.1416*Data!$D$56*86400/($AG26*(Data!$D$55+(N26*Data!$D$19/(Q26*1000)))))^0.5),"---")</f>
        <v>10758.449335041823</v>
      </c>
      <c r="AQ26" s="376" t="str">
        <f>IF(Start!$C$18="x",IF(OR(AH26="NA",AI26="NA",AI26="",AI26=0,AH26=""),"NA", AH26/AI26),"---")</f>
        <v>NA</v>
      </c>
      <c r="AR26" s="376" t="str">
        <f>IF(Start!$C$18="x",IF(OR(AQ26="NA",AP26="NA",$R26="NA",R26=0,R26=""),"NA",(2*AQ26)/(1000*(1/$R26+AP26))),"---")</f>
        <v>NA</v>
      </c>
      <c r="AS26" s="376" t="str">
        <f>IF(Start!$C$18="x",IF(AR26 = "NA", "NA", AR26*(Data!$D$52*Data!$D$53*10000)),"---")</f>
        <v>NA</v>
      </c>
      <c r="AT26" s="376" t="str">
        <f>IF(Start!$C$18="x",IF(AS26 = "NA", "NA", (AS26*1000)/(Data!$D$48*3*Data!$D$53)),"---")</f>
        <v>NA</v>
      </c>
      <c r="AU26" s="498" t="str">
        <f>IF(Start!$C$18="x",IF(AT26="NA","NA",AT26*Data!$D$47),"---")</f>
        <v>NA</v>
      </c>
      <c r="AV26" s="283" t="str">
        <f>IF(Start!$C$18="x",(IF(AND(F26="",G26= "",G26&lt;&gt;"NA"),"",IF(OR(AD26="NA",I26="NA",I26=0),"NA",(AD26/I26)))),"Not Req.")</f>
        <v/>
      </c>
      <c r="AW26" s="284" t="str">
        <f>IF(Start!$C$18="x",(IF(AND(F26="",G26= "",G26&lt;&gt;"NA"),"",IF(OR(AF26="NA",I26="NA",I26=0),"NA",(AF26/I26)))),"Not Req.")</f>
        <v/>
      </c>
      <c r="AX26" s="284" t="str">
        <f>IF(Start!$C$18="x",(IF(F26 ="","",IF(OR(AO26="NA",I26="NA",I26=0),"NA",(AO26/I26)))),"Not Req.")</f>
        <v/>
      </c>
      <c r="AY26" s="344" t="str">
        <f>IF(Start!$C$18="x",(IF(F26 ="","",IF(OR(AU26="NA",I26="NA",I26=0),"NA",(AU26/I26)))),"Not Req.")</f>
        <v/>
      </c>
      <c r="AZ26" s="209"/>
    </row>
    <row r="27" spans="1:52" s="23" customFormat="1" x14ac:dyDescent="0.25">
      <c r="A27" s="56" t="s">
        <v>345</v>
      </c>
      <c r="B27" s="347" t="str">
        <f>IF(Start!$C$18="x",IF(AND(OR(F27="",F27="NA"),OR(G27="",G27="NA")),"",IF(I27="NA","NA",IF(AND(I27="",K27="--"),"NA",IF(AD27="NA","Missing Data",IF(I27="","No Criteria",IF(AD27&gt;=I27,"Needed","No")))))),"---")</f>
        <v/>
      </c>
      <c r="C27" s="501" t="str">
        <f>IF(Start!$C$18="x",IF(AND(OR(F27="",F27="NA"),OR(G27="",G27="NA")),"",IF(I27="NA","NA",IF(AND(I27="",K27="--"),"NA",IF(AF27="NA","Missing Data",IF(I27="","No Criteria",IF(AF27&gt;=I27,"Needed","No")))))),"---")</f>
        <v/>
      </c>
      <c r="D27" s="347" t="str">
        <f>IF(Start!$C$18="x",IF(AND(OR(F27="",F27="NA"),OR(G27="",G27="NA")),"",IF(I27="NA","NA",IF(AND(I27="",K27="--"),"NA",IF(AO27="NA","Missing Data",IF(I27="","No Criteria",IF(AO27&gt;=I27,"Needed","No")))))),"---")</f>
        <v/>
      </c>
      <c r="E27" s="401" t="str">
        <f>IF(Start!$C$18="x",IF(AND(OR(F27="",F27="NA"),OR(G27="",G27="NA")),"",IF(I27="NA","NA",IF(AND(I27="",K27="--"),"NA",IF(AU27="NA","Missing Data",IF(I27="","No Criteria",IF(AU27&gt;=I27,"Needed","No")))))),"---")</f>
        <v/>
      </c>
      <c r="F27" s="431" t="str">
        <f>IF(TRUE=ISBLANK(ChemData!B27),"",(ChemData!B27))</f>
        <v/>
      </c>
      <c r="G27" s="432" t="str">
        <f>IF(TRUE=ISBLANK(ChemData!C27),"",(ChemData!C27))</f>
        <v/>
      </c>
      <c r="H27" s="433" t="str">
        <f>IF(TRUE=ISBLANK(ChemData!D27),"",(ChemData!D27))</f>
        <v/>
      </c>
      <c r="I27" s="919" t="str">
        <f>IF(TRUE=ISBLANK(ChemData!K27),"",(ChemData!K27))</f>
        <v>NA</v>
      </c>
      <c r="J27" s="290">
        <f>IF(TRUE=ISBLANK(ChemData!M27),"",(ChemData!M27))</f>
        <v>95.94</v>
      </c>
      <c r="K27" s="290" t="str">
        <f>IF(TRUE=ISBLANK(ChemData!N27),"",(ChemData!N27))</f>
        <v>--</v>
      </c>
      <c r="L27" s="290">
        <f>IF(TRUE=ISBLANK(ChemData!O27),"",(ChemData!O27))</f>
        <v>3.6999999999999998E-2</v>
      </c>
      <c r="M27" s="290">
        <f>IF(TRUE=ISBLANK(ChemData!Q27),"",(ChemData!Q27))</f>
        <v>20</v>
      </c>
      <c r="N27" s="290">
        <f>IF(TRUE=ISBLANK(ChemData!R27),"",(ChemData!R27))</f>
        <v>20</v>
      </c>
      <c r="O27" s="290" t="str">
        <f>IF(TRUE=ISBLANK(ChemData!S27),"",(ChemData!S27))</f>
        <v>NA</v>
      </c>
      <c r="P27" s="291" t="str">
        <f>IF(TRUE=ISBLANK(ChemData!T27),"",(ChemData!T27))</f>
        <v>NA</v>
      </c>
      <c r="Q27" s="375" t="str">
        <f>IF(Start!$C$18="x",IF(OR(K27="NA",K27="",K27="--"),"NA",(K27*1000000/82.1/Data!$D$50)),"---")</f>
        <v>NA</v>
      </c>
      <c r="R27" s="376">
        <f>IF(Start!$C$18="x",IF(OR(J27="NA",J27=0,J27=""),"NA",(0.32*(Data!$D$48+Data!$D$49)*(18/J27)^0.5)),"---")</f>
        <v>0.35691401942314904</v>
      </c>
      <c r="S27" s="376">
        <f>IF(Start!$C$18="x",IF(OR(J27="NA",J27= 0,J27=""),"NA",(0.0065*((Data!$D$49^0.969)/(Data!$D$51^0.673))*(32/J27)^0.5*EXP(0.526*Data!$D$48^-1.9))),"---")</f>
        <v>7.5227697019816385E-4</v>
      </c>
      <c r="T27" s="377" t="str">
        <f>IF(Start!$C$18="x",IF(OR(S27="NA",R27="NA",R27=0,Q27="NA",S27=0,Q27=0),"NA",(1/(1/S27+(1/(R27*Q27))))),"---")</f>
        <v>NA</v>
      </c>
      <c r="U27" s="375" t="str">
        <f>IF(Start!$C$18="x",IF(OR(F27="NA",F27="",O27="NA",O27=""),"NA",(F27*$O27)/(Data!$D$10/100)),"---")</f>
        <v>NA</v>
      </c>
      <c r="V27" s="376" t="str">
        <f>IF(Start!$C$18="x",IF(OR(U27="NA",M27="NA",M27="",U27=""),"NA",U27/((Data!$D$18+((1-Data!$D$18)*Data!$D$14*M27))/((1-Data!$D$18)*Data!$D$14*1000))),"---")</f>
        <v>NA</v>
      </c>
      <c r="W27" s="376" t="str">
        <f>IF(Start!$C$18="x",IF(OR(G27="NA",U27="NA",G27="",U27=""),"NA",(U27 +($G27*(Data!$D$19-Data!$D$22)/(Data!$D$19*Data!$D$22)))),"---")</f>
        <v>NA</v>
      </c>
      <c r="X27" s="376" t="str">
        <f>IF(Start!$C$18="x",IF(OR(G27="NA",V27="NA",G27="",V27=""),"NA",(((Data!$D$22*Data!$D$18)*V27)+(Data!$D$19-Data!$D$22)*$G27)/((Data!$D$22*Data!$D$18)+Data!$D$19-Data!$D$22)),"---")</f>
        <v>NA</v>
      </c>
      <c r="Y27" s="376" t="str">
        <f>IF(Start!$C$18="x",IF(OR(W27="NA",W27="",M27="NA",M27=""),"NA",(W27/((Data!$D$23+((1-Data!$D$23)*Data!$D$14*M27)) /((1-Data!$D$23)*Data!$D$14*1000)))),"---")</f>
        <v>NA</v>
      </c>
      <c r="Z27" s="376" t="str">
        <f>IF(Start!$C$18="x",IF(OR(Y27="NA",X27="NA"),"NA",IF(Y27&gt;X27, Y27, X27)),"---")</f>
        <v>NA</v>
      </c>
      <c r="AA27" s="461" t="str">
        <f>IF(Start!$C$18="x",IF(OR(Z27="NA",T27="NA"),"NA",Z27*T27/(1000000000)),"---")</f>
        <v>NA</v>
      </c>
      <c r="AB27" s="1057" t="str">
        <f>IF(Start!$C$18="x",IF(AA27 = "NA", "NA", AA27*(Data!$D$52*Data!$D$53*10000)),"---")</f>
        <v>NA</v>
      </c>
      <c r="AC27" s="375" t="str">
        <f>IF(Start!$C$18="x",IF(AB27="NA", "NA", AB27*Data!$D$54),"---")</f>
        <v>NA</v>
      </c>
      <c r="AD27" s="498" t="str">
        <f>IF(Start!$C$18="x",IF(AC27="NA","NA",AC27*Data!$D$41),"---")</f>
        <v>NA</v>
      </c>
      <c r="AE27" s="376" t="str">
        <f>IF(Start!$C$18="x",IF(AB27 = "NA", "NA", AB27/(Data!$D$53*3*Data!$D$48)*1000),"---")</f>
        <v>NA</v>
      </c>
      <c r="AF27" s="498" t="str">
        <f>IF(Start!$C$18="x",IF(AE27="NA","NA",AE27*Data!$D$46),"---")</f>
        <v>NA</v>
      </c>
      <c r="AG27" s="375">
        <f>IF(Start!$C$18="x",IF(OR($L27="NA",L27=""),"NA",($L27*(Data!$D$55^3.33)/(Data!$D$18^2))),"---")</f>
        <v>3.7693726565220221E-4</v>
      </c>
      <c r="AH27" s="376" t="str">
        <f>IF(Start!$C$18="x",IF(OR(F27="NA",F27="",P27="NA",P27=""),"NA",IF(100/Data!$D$10&gt;Data!$D$13,(F27*$P27)/(Data!$D$10/100),(F27*$P27)*Data!$D$13)),"---")</f>
        <v>NA</v>
      </c>
      <c r="AI27" s="489" t="str">
        <f>IF(Start!$C$18="x",IF(OR($N27="NA",$Q27="NA",$Q27=0,Q27="",N27=""),"NA",(1000*$N27/$Q27)),"---")</f>
        <v>NA</v>
      </c>
      <c r="AJ27" s="376" t="str">
        <f>IF(Start!$C$18="x",IF(OR(Q27 = "NA",Q27=0,N27 = "NA",N27="",Q27=""), "NA", IF($AG27="NA","NA",(3.1416*Data!$D$57*86400/($AG27*(Data!$D$55+(N27*Data!$D$19/(Q27*1000)))))^0.5)),"---")</f>
        <v>NA</v>
      </c>
      <c r="AK27" s="376" t="str">
        <f>IF(Start!$C$18="x",IF(OR(AH27 = "NA",AI27="NA",AI27=0,AI27="",AH27=""), "NA", AH27/AI27),"---")</f>
        <v>NA</v>
      </c>
      <c r="AL27" s="376" t="str">
        <f>IF(Start!$C$18="x",IF(OR(AK27 ="NA",AK27="",AJ27= "NA",R27="NA",R27=0),"NA",(2*AK27)/(1000*(1/$R27+AJ27))),"---")</f>
        <v>NA</v>
      </c>
      <c r="AM27" s="376" t="str">
        <f>IF(Start!$C$18="x",IF(AL27 = "NA", "NA", AL27*(Data!$D$52*Data!$D$53*10000)),"---")</f>
        <v>NA</v>
      </c>
      <c r="AN27" s="376" t="str">
        <f>IF(Start!$C$18="x",IF(AM27 = "NA", "NA", AM27*(Data!$D$54)),"---")</f>
        <v>NA</v>
      </c>
      <c r="AO27" s="498" t="str">
        <f>IF(Start!$C$18="x",IF(AN27="NA","NA",AN27*Data!$D$41),"---")</f>
        <v>NA</v>
      </c>
      <c r="AP27" s="376" t="str">
        <f>IF(Start!$C$18="x",IF(OR(Q27=0,N27="NA",N27="",AG27="NA",AG27="",AG27=0,Q27="",Q27="NA"),"NA", (3.1416*Data!$D$56*86400/($AG27*(Data!$D$55+(N27*Data!$D$19/(Q27*1000)))))^0.5),"---")</f>
        <v>NA</v>
      </c>
      <c r="AQ27" s="376" t="str">
        <f>IF(Start!$C$18="x",IF(OR(AH27="NA",AI27="NA",AI27="",AI27=0,AH27=""),"NA", AH27/AI27),"---")</f>
        <v>NA</v>
      </c>
      <c r="AR27" s="376" t="str">
        <f>IF(Start!$C$18="x",IF(OR(AQ27="NA",AP27="NA",$R27="NA",R27=0,R27=""),"NA",(2*AQ27)/(1000*(1/$R27+AP27))),"---")</f>
        <v>NA</v>
      </c>
      <c r="AS27" s="376" t="str">
        <f>IF(Start!$C$18="x",IF(AR27 = "NA", "NA", AR27*(Data!$D$52*Data!$D$53*10000)),"---")</f>
        <v>NA</v>
      </c>
      <c r="AT27" s="376" t="str">
        <f>IF(Start!$C$18="x",IF(AS27 = "NA", "NA", (AS27*1000)/(Data!$D$48*3*Data!$D$53)),"---")</f>
        <v>NA</v>
      </c>
      <c r="AU27" s="498" t="str">
        <f>IF(Start!$C$18="x",IF(AT27="NA","NA",AT27*Data!$D$47),"---")</f>
        <v>NA</v>
      </c>
      <c r="AV27" s="283" t="str">
        <f>IF(Start!$C$18="x",(IF(AND(F27="",G27= "",G27&lt;&gt;"NA"),"",IF(OR(AD27="NA",I27="NA",I27=0),"NA",(AD27/I27)))),"Not Req.")</f>
        <v/>
      </c>
      <c r="AW27" s="284" t="str">
        <f>IF(Start!$C$18="x",(IF(AND(F27="",G27= "",G27&lt;&gt;"NA"),"",IF(OR(AF27="NA",I27="NA",I27=0),"NA",(AF27/I27)))),"Not Req.")</f>
        <v/>
      </c>
      <c r="AX27" s="284" t="str">
        <f>IF(Start!$C$18="x",(IF(F27 ="","",IF(OR(AO27="NA",I27="NA",I27=0),"NA",(AO27/I27)))),"Not Req.")</f>
        <v/>
      </c>
      <c r="AY27" s="344" t="str">
        <f>IF(Start!$C$18="x",(IF(F27 ="","",IF(OR(AU27="NA",I27="NA",I27=0),"NA",(AU27/I27)))),"Not Req.")</f>
        <v/>
      </c>
      <c r="AZ27" s="209"/>
    </row>
    <row r="28" spans="1:52" s="23" customFormat="1" x14ac:dyDescent="0.25">
      <c r="A28" s="405" t="s">
        <v>346</v>
      </c>
      <c r="B28" s="347" t="str">
        <f>IF(Start!$C$18="x",IF(AND(OR(F28="",F28="NA"),OR(G28="",G28="NA")),"",IF(I28="NA","NA",IF(AND(I28="",K28="--"),"NA",IF(AD28="NA","Missing Data",IF(I28="","No Criteria",IF(AD28&gt;=I28,"Needed","No")))))),"---")</f>
        <v/>
      </c>
      <c r="C28" s="501" t="str">
        <f>IF(Start!$C$18="x",IF(AND(OR(F28="",F28="NA"),OR(G28="",G28="NA")),"",IF(I28="NA","NA",IF(AND(I28="",K28="--"),"NA",IF(AF28="NA","Missing Data",IF(I28="","No Criteria",IF(AF28&gt;=I28,"Needed","No")))))),"---")</f>
        <v/>
      </c>
      <c r="D28" s="347" t="str">
        <f>IF(Start!$C$18="x",IF(AND(OR(F28="",F28="NA"),OR(G28="",G28="NA")),"",IF(I28="NA","NA",IF(AND(I28="",K28="--"),"NA",IF(AO28="NA","Missing Data",IF(I28="","No Criteria",IF(AO28&gt;=I28,"Needed","No")))))),"---")</f>
        <v/>
      </c>
      <c r="E28" s="401" t="str">
        <f>IF(Start!$C$18="x",IF(AND(OR(F28="",F28="NA"),OR(G28="",G28="NA")),"",IF(I28="NA","NA",IF(AND(I28="",K28="--"),"NA",IF(AU28="NA","Missing Data",IF(I28="","No Criteria",IF(AU28&gt;=I28,"Needed","No")))))),"---")</f>
        <v/>
      </c>
      <c r="F28" s="431" t="str">
        <f>IF(TRUE=ISBLANK(ChemData!B28),"",(ChemData!B28))</f>
        <v/>
      </c>
      <c r="G28" s="432" t="str">
        <f>IF(TRUE=ISBLANK(ChemData!C28),"",(ChemData!C28))</f>
        <v/>
      </c>
      <c r="H28" s="433" t="str">
        <f>IF(TRUE=ISBLANK(ChemData!D28),"",(ChemData!D28))</f>
        <v/>
      </c>
      <c r="I28" s="919" t="str">
        <f>IF(TRUE=ISBLANK(ChemData!K28),"",(ChemData!K28))</f>
        <v>NA</v>
      </c>
      <c r="J28" s="290">
        <f>IF(TRUE=ISBLANK(ChemData!M28),"",(ChemData!M28))</f>
        <v>58.69</v>
      </c>
      <c r="K28" s="290" t="str">
        <f>IF(TRUE=ISBLANK(ChemData!N28),"",(ChemData!N28))</f>
        <v>--</v>
      </c>
      <c r="L28" s="290">
        <f>IF(TRUE=ISBLANK(ChemData!O28),"",(ChemData!O28))</f>
        <v>0.1758611999192782</v>
      </c>
      <c r="M28" s="290">
        <f>IF(TRUE=ISBLANK(ChemData!Q28),"",(ChemData!Q28))</f>
        <v>70</v>
      </c>
      <c r="N28" s="290">
        <f>IF(TRUE=ISBLANK(ChemData!R28),"",(ChemData!R28))</f>
        <v>20.417000000000002</v>
      </c>
      <c r="O28" s="290">
        <f>IF(TRUE=ISBLANK(ChemData!S28),"",(ChemData!S28))</f>
        <v>0.02</v>
      </c>
      <c r="P28" s="291">
        <f>IF(TRUE=ISBLANK(ChemData!T28),"",(ChemData!T28))</f>
        <v>0.3</v>
      </c>
      <c r="Q28" s="375" t="str">
        <f>IF(Start!$C$18="x",IF(OR(K28="NA",K28="",K28="--"),"NA",(K28*1000000/82.1/Data!$D$50)),"---")</f>
        <v>NA</v>
      </c>
      <c r="R28" s="376">
        <f>IF(Start!$C$18="x",IF(OR(J28="NA",J28=0,J28=""),"NA",(0.32*(Data!$D$48+Data!$D$49)*(18/J28)^0.5)),"---")</f>
        <v>0.45633250963054867</v>
      </c>
      <c r="S28" s="376">
        <f>IF(Start!$C$18="x",IF(OR(J28="NA",J28= 0,J28=""),"NA",(0.0065*((Data!$D$49^0.969)/(Data!$D$51^0.673))*(32/J28)^0.5*EXP(0.526*Data!$D$48^-1.9))),"---")</f>
        <v>9.618239101468265E-4</v>
      </c>
      <c r="T28" s="377" t="str">
        <f>IF(Start!$C$18="x",IF(OR(S28="NA",R28="NA",R28=0,Q28="NA",S28=0,Q28=0),"NA",(1/(1/S28+(1/(R28*Q28))))),"---")</f>
        <v>NA</v>
      </c>
      <c r="U28" s="375" t="str">
        <f>IF(Start!$C$18="x",IF(OR(F28="NA",F28="",O28="NA",O28=""),"NA",(F28*$O28)/(Data!$D$10/100)),"---")</f>
        <v>NA</v>
      </c>
      <c r="V28" s="376" t="str">
        <f>IF(Start!$C$18="x",IF(OR(U28="NA",M28="NA",M28="",U28=""),"NA",U28/((Data!$D$18+((1-Data!$D$18)*Data!$D$14*M28))/((1-Data!$D$18)*Data!$D$14*1000))),"---")</f>
        <v>NA</v>
      </c>
      <c r="W28" s="376" t="str">
        <f>IF(Start!$C$18="x",IF(OR(G28="NA",U28="NA",G28="",U28=""),"NA",(U28 +($G28*(Data!$D$19-Data!$D$22)/(Data!$D$19*Data!$D$22)))),"---")</f>
        <v>NA</v>
      </c>
      <c r="X28" s="376" t="str">
        <f>IF(Start!$C$18="x",IF(OR(G28="NA",V28="NA",G28="",V28=""),"NA",(((Data!$D$22*Data!$D$18)*V28)+(Data!$D$19-Data!$D$22)*$G28)/((Data!$D$22*Data!$D$18)+Data!$D$19-Data!$D$22)),"---")</f>
        <v>NA</v>
      </c>
      <c r="Y28" s="376" t="str">
        <f>IF(Start!$C$18="x",IF(OR(W28="NA",W28="",M28="NA",M28=""),"NA",(W28/((Data!$D$23+((1-Data!$D$23)*Data!$D$14*M28)) /((1-Data!$D$23)*Data!$D$14*1000)))),"---")</f>
        <v>NA</v>
      </c>
      <c r="Z28" s="376" t="str">
        <f>IF(Start!$C$18="x",IF(OR(Y28="NA",X28="NA"),"NA",IF(Y28&gt;X28, Y28, X28)),"---")</f>
        <v>NA</v>
      </c>
      <c r="AA28" s="461" t="str">
        <f>IF(Start!$C$18="x",IF(OR(Z28="NA",T28="NA"),"NA",Z28*T28/(1000000000)),"---")</f>
        <v>NA</v>
      </c>
      <c r="AB28" s="1057" t="str">
        <f>IF(Start!$C$18="x",IF(AA28 = "NA", "NA", AA28*(Data!$D$52*Data!$D$53*10000)),"---")</f>
        <v>NA</v>
      </c>
      <c r="AC28" s="375" t="str">
        <f>IF(Start!$C$18="x",IF(AB28="NA", "NA", AB28*Data!$D$54),"---")</f>
        <v>NA</v>
      </c>
      <c r="AD28" s="498" t="str">
        <f>IF(Start!$C$18="x",IF(AC28="NA","NA",AC28*Data!$D$41),"---")</f>
        <v>NA</v>
      </c>
      <c r="AE28" s="376" t="str">
        <f>IF(Start!$C$18="x",IF(AB28 = "NA", "NA", AB28/(Data!$D$53*3*Data!$D$48)*1000),"---")</f>
        <v>NA</v>
      </c>
      <c r="AF28" s="498" t="str">
        <f>IF(Start!$C$18="x",IF(AE28="NA","NA",AE28*Data!$D$46),"---")</f>
        <v>NA</v>
      </c>
      <c r="AG28" s="375">
        <f>IF(Start!$C$18="x",IF(OR($L28="NA",L28=""),"NA",($L28*(Data!$D$55^3.33)/(Data!$D$18^2))),"---")</f>
        <v>1.7915848603212976E-3</v>
      </c>
      <c r="AH28" s="376" t="str">
        <f>IF(Start!$C$18="x",IF(OR(F28="NA",F28="",P28="NA",P28=""),"NA",IF(100/Data!$D$10&gt;Data!$D$13,(F28*$P28)/(Data!$D$10/100),(F28*$P28)*Data!$D$13)),"---")</f>
        <v>NA</v>
      </c>
      <c r="AI28" s="489" t="str">
        <f>IF(Start!$C$18="x",IF(OR($N28="NA",$Q28="NA",$Q28=0,Q28="",N28=""),"NA",(1000*$N28/$Q28)),"---")</f>
        <v>NA</v>
      </c>
      <c r="AJ28" s="376" t="str">
        <f>IF(Start!$C$18="x",IF(OR(Q28 = "NA",Q28=0,N28 = "NA",N28="",Q28=""), "NA", IF($AG28="NA","NA",(3.1416*Data!$D$57*86400/($AG28*(Data!$D$55+(N28*Data!$D$19/(Q28*1000)))))^0.5)),"---")</f>
        <v>NA</v>
      </c>
      <c r="AK28" s="376" t="str">
        <f>IF(Start!$C$18="x",IF(OR(AH28 = "NA",AI28="NA",AI28=0,AI28="",AH28=""), "NA", AH28/AI28),"---")</f>
        <v>NA</v>
      </c>
      <c r="AL28" s="376" t="str">
        <f>IF(Start!$C$18="x",IF(OR(AK28 ="NA",AK28="",AJ28= "NA",R28="NA",R28=0),"NA",(2*AK28)/(1000*(1/$R28+AJ28))),"---")</f>
        <v>NA</v>
      </c>
      <c r="AM28" s="376" t="str">
        <f>IF(Start!$C$18="x",IF(AL28 = "NA", "NA", AL28*(Data!$D$52*Data!$D$53*10000)),"---")</f>
        <v>NA</v>
      </c>
      <c r="AN28" s="376" t="str">
        <f>IF(Start!$C$18="x",IF(AM28 = "NA", "NA", AM28*(Data!$D$54)),"---")</f>
        <v>NA</v>
      </c>
      <c r="AO28" s="498" t="str">
        <f>IF(Start!$C$18="x",IF(AN28="NA","NA",AN28*Data!$D$41),"---")</f>
        <v>NA</v>
      </c>
      <c r="AP28" s="376" t="str">
        <f>IF(Start!$C$18="x",IF(OR(Q28=0,N28="NA",N28="",AG28="NA",AG28="",AG28=0,Q28="",Q28="NA"),"NA", (3.1416*Data!$D$56*86400/($AG28*(Data!$D$55+(N28*Data!$D$19/(Q28*1000)))))^0.5),"---")</f>
        <v>NA</v>
      </c>
      <c r="AQ28" s="376" t="str">
        <f>IF(Start!$C$18="x",IF(OR(AH28="NA",AI28="NA",AI28="",AI28=0,AH28=""),"NA", AH28/AI28),"---")</f>
        <v>NA</v>
      </c>
      <c r="AR28" s="376" t="str">
        <f>IF(Start!$C$18="x",IF(OR(AQ28="NA",AP28="NA",$R28="NA",R28=0,R28=""),"NA",(2*AQ28)/(1000*(1/$R28+AP28))),"---")</f>
        <v>NA</v>
      </c>
      <c r="AS28" s="376" t="str">
        <f>IF(Start!$C$18="x",IF(AR28 = "NA", "NA", AR28*(Data!$D$52*Data!$D$53*10000)),"---")</f>
        <v>NA</v>
      </c>
      <c r="AT28" s="376" t="str">
        <f>IF(Start!$C$18="x",IF(AS28 = "NA", "NA", (AS28*1000)/(Data!$D$48*3*Data!$D$53)),"---")</f>
        <v>NA</v>
      </c>
      <c r="AU28" s="498" t="str">
        <f>IF(Start!$C$18="x",IF(AT28="NA","NA",AT28*Data!$D$47),"---")</f>
        <v>NA</v>
      </c>
      <c r="AV28" s="283" t="str">
        <f>IF(Start!$C$18="x",(IF(AND(F28="",G28= "",G28&lt;&gt;"NA"),"",IF(OR(AD28="NA",I28="NA",I28=0),"NA",(AD28/I28)))),"Not Req.")</f>
        <v/>
      </c>
      <c r="AW28" s="284" t="str">
        <f>IF(Start!$C$18="x",(IF(AND(F28="",G28= "",G28&lt;&gt;"NA"),"",IF(OR(AF28="NA",I28="NA",I28=0),"NA",(AF28/I28)))),"Not Req.")</f>
        <v/>
      </c>
      <c r="AX28" s="284" t="str">
        <f>IF(Start!$C$18="x",(IF(F28 ="","",IF(OR(AO28="NA",I28="NA",I28=0),"NA",(AO28/I28)))),"Not Req.")</f>
        <v/>
      </c>
      <c r="AY28" s="344" t="str">
        <f>IF(Start!$C$18="x",(IF(F28 ="","",IF(OR(AU28="NA",I28="NA",I28=0),"NA",(AU28/I28)))),"Not Req.")</f>
        <v/>
      </c>
      <c r="AZ28" s="209"/>
    </row>
    <row r="29" spans="1:52" s="23" customFormat="1" x14ac:dyDescent="0.25">
      <c r="A29" s="405" t="s">
        <v>347</v>
      </c>
      <c r="B29" s="347" t="str">
        <f>IF(Start!$C$18="x",IF(AND(OR(F29="",F29="NA"),OR(G29="",G29="NA")),"",IF(I29="NA","NA",IF(AND(I29="",K29="--"),"NA",IF(AD29="NA","Missing Data",IF(I29="","No Criteria",IF(AD29&gt;=I29,"Needed","No")))))),"---")</f>
        <v/>
      </c>
      <c r="C29" s="501" t="str">
        <f>IF(Start!$C$18="x",IF(AND(OR(F29="",F29="NA"),OR(G29="",G29="NA")),"",IF(I29="NA","NA",IF(AND(I29="",K29="--"),"NA",IF(AF29="NA","Missing Data",IF(I29="","No Criteria",IF(AF29&gt;=I29,"Needed","No")))))),"---")</f>
        <v/>
      </c>
      <c r="D29" s="347" t="str">
        <f>IF(Start!$C$18="x",IF(AND(OR(F29="",F29="NA"),OR(G29="",G29="NA")),"",IF(I29="NA","NA",IF(AND(I29="",K29="--"),"NA",IF(AO29="NA","Missing Data",IF(I29="","No Criteria",IF(AO29&gt;=I29,"Needed","No")))))),"---")</f>
        <v/>
      </c>
      <c r="E29" s="401" t="str">
        <f>IF(Start!$C$18="x",IF(AND(OR(F29="",F29="NA"),OR(G29="",G29="NA")),"",IF(I29="NA","NA",IF(AND(I29="",K29="--"),"NA",IF(AU29="NA","Missing Data",IF(I29="","No Criteria",IF(AU29&gt;=I29,"Needed","No")))))),"---")</f>
        <v/>
      </c>
      <c r="F29" s="431" t="str">
        <f>IF(TRUE=ISBLANK(ChemData!B29),"",(ChemData!B29))</f>
        <v/>
      </c>
      <c r="G29" s="432" t="str">
        <f>IF(TRUE=ISBLANK(ChemData!C29),"",(ChemData!C29))</f>
        <v/>
      </c>
      <c r="H29" s="433" t="str">
        <f>IF(TRUE=ISBLANK(ChemData!D29),"",(ChemData!D29))</f>
        <v/>
      </c>
      <c r="I29" s="919">
        <f>IF(TRUE=ISBLANK(ChemData!K29),"",(ChemData!K29))</f>
        <v>1E-3</v>
      </c>
      <c r="J29" s="290">
        <f>IF(TRUE=ISBLANK(ChemData!M29),"",(ChemData!M29))</f>
        <v>78.959999999999994</v>
      </c>
      <c r="K29" s="290" t="str">
        <f>IF(TRUE=ISBLANK(ChemData!N29),"",(ChemData!N29))</f>
        <v>--</v>
      </c>
      <c r="L29" s="290">
        <f>IF(TRUE=ISBLANK(ChemData!O29),"",(ChemData!O29))</f>
        <v>0.16823597613925553</v>
      </c>
      <c r="M29" s="290">
        <f>IF(TRUE=ISBLANK(ChemData!Q29),"",(ChemData!Q29))</f>
        <v>20</v>
      </c>
      <c r="N29" s="290">
        <f>IF(TRUE=ISBLANK(ChemData!R29),"",(ChemData!R29))</f>
        <v>3</v>
      </c>
      <c r="O29" s="290">
        <f>IF(TRUE=ISBLANK(ChemData!S29),"",(ChemData!S29))</f>
        <v>0.5</v>
      </c>
      <c r="P29" s="291">
        <f>IF(TRUE=ISBLANK(ChemData!T29),"",(ChemData!T29))</f>
        <v>0.5</v>
      </c>
      <c r="Q29" s="375" t="str">
        <f>IF(Start!$C$18="x",IF(OR(K29="NA",K29="",K29="--"),"NA",(K29*1000000/82.1/Data!$D$50)),"---")</f>
        <v>NA</v>
      </c>
      <c r="R29" s="376">
        <f>IF(Start!$C$18="x",IF(OR(J29="NA",J29=0,J29=""),"NA",(0.32*(Data!$D$48+Data!$D$49)*(18/J29)^0.5)),"---")</f>
        <v>0.39342313470096441</v>
      </c>
      <c r="S29" s="376">
        <f>IF(Start!$C$18="x",IF(OR(J29="NA",J29= 0,J29=""),"NA",(0.0065*((Data!$D$49^0.969)/(Data!$D$51^0.673))*(32/J29)^0.5*EXP(0.526*Data!$D$48^-1.9))),"---")</f>
        <v>8.2922818290255627E-4</v>
      </c>
      <c r="T29" s="377" t="str">
        <f>IF(Start!$C$18="x",IF(OR(S29="NA",R29="NA",R29=0,Q29="NA",S29=0,Q29=0),"NA",(1/(1/S29+(1/(R29*Q29))))),"---")</f>
        <v>NA</v>
      </c>
      <c r="U29" s="375" t="str">
        <f>IF(Start!$C$18="x",IF(OR(F29="NA",F29="",O29="NA",O29=""),"NA",(F29*$O29)/(Data!$D$10/100)),"---")</f>
        <v>NA</v>
      </c>
      <c r="V29" s="376" t="str">
        <f>IF(Start!$C$18="x",IF(OR(U29="NA",M29="NA",M29="",U29=""),"NA",U29/((Data!$D$18+((1-Data!$D$18)*Data!$D$14*M29))/((1-Data!$D$18)*Data!$D$14*1000))),"---")</f>
        <v>NA</v>
      </c>
      <c r="W29" s="376" t="str">
        <f>IF(Start!$C$18="x",IF(OR(G29="NA",U29="NA",G29="",U29=""),"NA",(U29 +($G29*(Data!$D$19-Data!$D$22)/(Data!$D$19*Data!$D$22)))),"---")</f>
        <v>NA</v>
      </c>
      <c r="X29" s="376" t="str">
        <f>IF(Start!$C$18="x",IF(OR(G29="NA",V29="NA",G29="",V29=""),"NA",(((Data!$D$22*Data!$D$18)*V29)+(Data!$D$19-Data!$D$22)*$G29)/((Data!$D$22*Data!$D$18)+Data!$D$19-Data!$D$22)),"---")</f>
        <v>NA</v>
      </c>
      <c r="Y29" s="376" t="str">
        <f>IF(Start!$C$18="x",IF(OR(W29="NA",W29="",M29="NA",M29=""),"NA",(W29/((Data!$D$23+((1-Data!$D$23)*Data!$D$14*M29)) /((1-Data!$D$23)*Data!$D$14*1000)))),"---")</f>
        <v>NA</v>
      </c>
      <c r="Z29" s="376" t="str">
        <f>IF(Start!$C$18="x",IF(OR(Y29="NA",X29="NA"),"NA",IF(Y29&gt;X29, Y29, X29)),"---")</f>
        <v>NA</v>
      </c>
      <c r="AA29" s="461" t="str">
        <f>IF(Start!$C$18="x",IF(OR(Z29="NA",T29="NA"),"NA",Z29*T29/(1000000000)),"---")</f>
        <v>NA</v>
      </c>
      <c r="AB29" s="1057" t="str">
        <f>IF(Start!$C$18="x",IF(AA29 = "NA", "NA", AA29*(Data!$D$52*Data!$D$53*10000)),"---")</f>
        <v>NA</v>
      </c>
      <c r="AC29" s="375" t="str">
        <f>IF(Start!$C$18="x",IF(AB29="NA", "NA", AB29*Data!$D$54),"---")</f>
        <v>NA</v>
      </c>
      <c r="AD29" s="498" t="str">
        <f>IF(Start!$C$18="x",IF(AC29="NA","NA",AC29*Data!$D$41),"---")</f>
        <v>NA</v>
      </c>
      <c r="AE29" s="376" t="str">
        <f>IF(Start!$C$18="x",IF(AB29 = "NA", "NA", AB29/(Data!$D$53*3*Data!$D$48)*1000),"---")</f>
        <v>NA</v>
      </c>
      <c r="AF29" s="498" t="str">
        <f>IF(Start!$C$18="x",IF(AE29="NA","NA",AE29*Data!$D$46),"---")</f>
        <v>NA</v>
      </c>
      <c r="AG29" s="375">
        <f>IF(Start!$C$18="x",IF(OR($L29="NA",L29=""),"NA",($L29*(Data!$D$55^3.33)/(Data!$D$18^2))),"---")</f>
        <v>1.7139029413583814E-3</v>
      </c>
      <c r="AH29" s="376" t="str">
        <f>IF(Start!$C$18="x",IF(OR(F29="NA",F29="",P29="NA",P29=""),"NA",IF(100/Data!$D$10&gt;Data!$D$13,(F29*$P29)/(Data!$D$10/100),(F29*$P29)*Data!$D$13)),"---")</f>
        <v>NA</v>
      </c>
      <c r="AI29" s="489" t="str">
        <f>IF(Start!$C$18="x",IF(OR($N29="NA",$Q29="NA",$Q29=0,Q29="",N29=""),"NA",(1000*$N29/$Q29)),"---")</f>
        <v>NA</v>
      </c>
      <c r="AJ29" s="376" t="str">
        <f>IF(Start!$C$18="x",IF(OR(Q29 = "NA",Q29=0,N29 = "NA",N29="",Q29=""), "NA", IF($AG29="NA","NA",(3.1416*Data!$D$57*86400/($AG29*(Data!$D$55+(N29*Data!$D$19/(Q29*1000)))))^0.5)),"---")</f>
        <v>NA</v>
      </c>
      <c r="AK29" s="376" t="str">
        <f>IF(Start!$C$18="x",IF(OR(AH29 = "NA",AI29="NA",AI29=0,AI29="",AH29=""), "NA", AH29/AI29),"---")</f>
        <v>NA</v>
      </c>
      <c r="AL29" s="376" t="str">
        <f>IF(Start!$C$18="x",IF(OR(AK29 ="NA",AK29="",AJ29= "NA",R29="NA",R29=0),"NA",(2*AK29)/(1000*(1/$R29+AJ29))),"---")</f>
        <v>NA</v>
      </c>
      <c r="AM29" s="376" t="str">
        <f>IF(Start!$C$18="x",IF(AL29 = "NA", "NA", AL29*(Data!$D$52*Data!$D$53*10000)),"---")</f>
        <v>NA</v>
      </c>
      <c r="AN29" s="376" t="str">
        <f>IF(Start!$C$18="x",IF(AM29 = "NA", "NA", AM29*(Data!$D$54)),"---")</f>
        <v>NA</v>
      </c>
      <c r="AO29" s="498" t="str">
        <f>IF(Start!$C$18="x",IF(AN29="NA","NA",AN29*Data!$D$41),"---")</f>
        <v>NA</v>
      </c>
      <c r="AP29" s="376" t="str">
        <f>IF(Start!$C$18="x",IF(OR(Q29=0,N29="NA",N29="",AG29="NA",AG29="",AG29=0,Q29="",Q29="NA"),"NA", (3.1416*Data!$D$56*86400/($AG29*(Data!$D$55+(N29*Data!$D$19/(Q29*1000)))))^0.5),"---")</f>
        <v>NA</v>
      </c>
      <c r="AQ29" s="376" t="str">
        <f>IF(Start!$C$18="x",IF(OR(AH29="NA",AI29="NA",AI29="",AI29=0,AH29=""),"NA", AH29/AI29),"---")</f>
        <v>NA</v>
      </c>
      <c r="AR29" s="376" t="str">
        <f>IF(Start!$C$18="x",IF(OR(AQ29="NA",AP29="NA",$R29="NA",R29=0,R29=""),"NA",(2*AQ29)/(1000*(1/$R29+AP29))),"---")</f>
        <v>NA</v>
      </c>
      <c r="AS29" s="376" t="str">
        <f>IF(Start!$C$18="x",IF(AR29 = "NA", "NA", AR29*(Data!$D$52*Data!$D$53*10000)),"---")</f>
        <v>NA</v>
      </c>
      <c r="AT29" s="376" t="str">
        <f>IF(Start!$C$18="x",IF(AS29 = "NA", "NA", (AS29*1000)/(Data!$D$48*3*Data!$D$53)),"---")</f>
        <v>NA</v>
      </c>
      <c r="AU29" s="498" t="str">
        <f>IF(Start!$C$18="x",IF(AT29="NA","NA",AT29*Data!$D$47),"---")</f>
        <v>NA</v>
      </c>
      <c r="AV29" s="283" t="str">
        <f>IF(Start!$C$18="x",(IF(AND(F29="",G29= "",G29&lt;&gt;"NA"),"",IF(OR(AD29="NA",I29="NA",I29=0),"NA",(AD29/I29)))),"Not Req.")</f>
        <v/>
      </c>
      <c r="AW29" s="284" t="str">
        <f>IF(Start!$C$18="x",(IF(AND(F29="",G29= "",G29&lt;&gt;"NA"),"",IF(OR(AF29="NA",I29="NA",I29=0),"NA",(AF29/I29)))),"Not Req.")</f>
        <v/>
      </c>
      <c r="AX29" s="284" t="str">
        <f>IF(Start!$C$18="x",(IF(F29 ="","",IF(OR(AO29="NA",I29="NA",I29=0),"NA",(AO29/I29)))),"Not Req.")</f>
        <v/>
      </c>
      <c r="AY29" s="344" t="str">
        <f>IF(Start!$C$18="x",(IF(F29 ="","",IF(OR(AU29="NA",I29="NA",I29=0),"NA",(AU29/I29)))),"Not Req.")</f>
        <v/>
      </c>
      <c r="AZ29" s="209"/>
    </row>
    <row r="30" spans="1:52" s="23" customFormat="1" x14ac:dyDescent="0.25">
      <c r="A30" s="405" t="s">
        <v>348</v>
      </c>
      <c r="B30" s="347" t="str">
        <f>IF(Start!$C$18="x",IF(AND(OR(F30="",F30="NA"),OR(G30="",G30="NA")),"",IF(I30="NA","NA",IF(AND(I30="",K30="--"),"NA",IF(AD30="NA","Missing Data",IF(I30="","No Criteria",IF(AD30&gt;=I30,"Needed","No")))))),"---")</f>
        <v/>
      </c>
      <c r="C30" s="501" t="str">
        <f>IF(Start!$C$18="x",IF(AND(OR(F30="",F30="NA"),OR(G30="",G30="NA")),"",IF(I30="NA","NA",IF(AND(I30="",K30="--"),"NA",IF(AF30="NA","Missing Data",IF(I30="","No Criteria",IF(AF30&gt;=I30,"Needed","No")))))),"---")</f>
        <v/>
      </c>
      <c r="D30" s="347" t="str">
        <f>IF(Start!$C$18="x",IF(AND(OR(F30="",F30="NA"),OR(G30="",G30="NA")),"",IF(I30="NA","NA",IF(AND(I30="",K30="--"),"NA",IF(AO30="NA","Missing Data",IF(I30="","No Criteria",IF(AO30&gt;=I30,"Needed","No")))))),"---")</f>
        <v/>
      </c>
      <c r="E30" s="401" t="str">
        <f>IF(Start!$C$18="x",IF(AND(OR(F30="",F30="NA"),OR(G30="",G30="NA")),"",IF(I30="NA","NA",IF(AND(I30="",K30="--"),"NA",IF(AU30="NA","Missing Data",IF(I30="","No Criteria",IF(AU30&gt;=I30,"Needed","No")))))),"---")</f>
        <v/>
      </c>
      <c r="F30" s="431" t="str">
        <f>IF(TRUE=ISBLANK(ChemData!B30),"",(ChemData!B30))</f>
        <v/>
      </c>
      <c r="G30" s="432" t="str">
        <f>IF(TRUE=ISBLANK(ChemData!C30),"",(ChemData!C30))</f>
        <v/>
      </c>
      <c r="H30" s="433" t="str">
        <f>IF(TRUE=ISBLANK(ChemData!D30),"",(ChemData!D30))</f>
        <v/>
      </c>
      <c r="I30" s="919">
        <f>IF(TRUE=ISBLANK(ChemData!K30),"",(ChemData!K30))</f>
        <v>5.0000000000000001E-3</v>
      </c>
      <c r="J30" s="290">
        <f>IF(TRUE=ISBLANK(ChemData!M30),"",(ChemData!M30))</f>
        <v>107.87</v>
      </c>
      <c r="K30" s="290" t="str">
        <f>IF(TRUE=ISBLANK(ChemData!N30),"",(ChemData!N30))</f>
        <v>--</v>
      </c>
      <c r="L30" s="290">
        <f>IF(TRUE=ISBLANK(ChemData!O30),"",(ChemData!O30))</f>
        <v>1.9400000000000001E-2</v>
      </c>
      <c r="M30" s="290">
        <f>IF(TRUE=ISBLANK(ChemData!Q30),"",(ChemData!Q30))</f>
        <v>150</v>
      </c>
      <c r="N30" s="290">
        <f>IF(TRUE=ISBLANK(ChemData!R30),"",(ChemData!R30))</f>
        <v>100</v>
      </c>
      <c r="O30" s="290">
        <f>IF(TRUE=ISBLANK(ChemData!S30),"",(ChemData!S30))</f>
        <v>0.2</v>
      </c>
      <c r="P30" s="291">
        <f>IF(TRUE=ISBLANK(ChemData!T30),"",(ChemData!T30))</f>
        <v>0.5</v>
      </c>
      <c r="Q30" s="375" t="str">
        <f>IF(Start!$C$18="x",IF(OR(K30="NA",K30="",K30="--"),"NA",(K30*1000000/82.1/Data!$D$50)),"---")</f>
        <v>NA</v>
      </c>
      <c r="R30" s="376">
        <f>IF(Start!$C$18="x",IF(OR(J30="NA",J30=0,J30=""),"NA",(0.32*(Data!$D$48+Data!$D$49)*(18/J30)^0.5)),"---")</f>
        <v>0.33659923521442547</v>
      </c>
      <c r="S30" s="376">
        <f>IF(Start!$C$18="x",IF(OR(J30="NA",J30= 0,J30=""),"NA",(0.0065*((Data!$D$49^0.969)/(Data!$D$51^0.673))*(32/J30)^0.5*EXP(0.526*Data!$D$48^-1.9))),"---")</f>
        <v>7.094589706713656E-4</v>
      </c>
      <c r="T30" s="377" t="str">
        <f>IF(Start!$C$18="x",IF(OR(S30="NA",R30="NA",R30=0,Q30="NA",S30=0,Q30=0),"NA",(1/(1/S30+(1/(R30*Q30))))),"---")</f>
        <v>NA</v>
      </c>
      <c r="U30" s="375" t="str">
        <f>IF(Start!$C$18="x",IF(OR(F30="NA",F30="",O30="NA",O30=""),"NA",(F30*$O30)/(Data!$D$10/100)),"---")</f>
        <v>NA</v>
      </c>
      <c r="V30" s="376" t="str">
        <f>IF(Start!$C$18="x",IF(OR(U30="NA",M30="NA",M30="",U30=""),"NA",U30/((Data!$D$18+((1-Data!$D$18)*Data!$D$14*M30))/((1-Data!$D$18)*Data!$D$14*1000))),"---")</f>
        <v>NA</v>
      </c>
      <c r="W30" s="376" t="str">
        <f>IF(Start!$C$18="x",IF(OR(G30="NA",U30="NA",G30="",U30=""),"NA",(U30 +($G30*(Data!$D$19-Data!$D$22)/(Data!$D$19*Data!$D$22)))),"---")</f>
        <v>NA</v>
      </c>
      <c r="X30" s="376" t="str">
        <f>IF(Start!$C$18="x",IF(OR(G30="NA",V30="NA",G30="",V30=""),"NA",(((Data!$D$22*Data!$D$18)*V30)+(Data!$D$19-Data!$D$22)*$G30)/((Data!$D$22*Data!$D$18)+Data!$D$19-Data!$D$22)),"---")</f>
        <v>NA</v>
      </c>
      <c r="Y30" s="376" t="str">
        <f>IF(Start!$C$18="x",IF(OR(W30="NA",W30="",M30="NA",M30=""),"NA",(W30/((Data!$D$23+((1-Data!$D$23)*Data!$D$14*M30)) /((1-Data!$D$23)*Data!$D$14*1000)))),"---")</f>
        <v>NA</v>
      </c>
      <c r="Z30" s="376" t="str">
        <f>IF(Start!$C$18="x",IF(OR(Y30="NA",X30="NA"),"NA",IF(Y30&gt;X30, Y30, X30)),"---")</f>
        <v>NA</v>
      </c>
      <c r="AA30" s="461" t="str">
        <f>IF(Start!$C$18="x",IF(OR(Z30="NA",T30="NA"),"NA",Z30*T30/(1000000000)),"---")</f>
        <v>NA</v>
      </c>
      <c r="AB30" s="1057" t="str">
        <f>IF(Start!$C$18="x",IF(AA30 = "NA", "NA", AA30*(Data!$D$52*Data!$D$53*10000)),"---")</f>
        <v>NA</v>
      </c>
      <c r="AC30" s="375" t="str">
        <f>IF(Start!$C$18="x",IF(AB30="NA", "NA", AB30*Data!$D$54),"---")</f>
        <v>NA</v>
      </c>
      <c r="AD30" s="498" t="str">
        <f>IF(Start!$C$18="x",IF(AC30="NA","NA",AC30*Data!$D$41),"---")</f>
        <v>NA</v>
      </c>
      <c r="AE30" s="376" t="str">
        <f>IF(Start!$C$18="x",IF(AB30 = "NA", "NA", AB30/(Data!$D$53*3*Data!$D$48)*1000),"---")</f>
        <v>NA</v>
      </c>
      <c r="AF30" s="498" t="str">
        <f>IF(Start!$C$18="x",IF(AE30="NA","NA",AE30*Data!$D$46),"---")</f>
        <v>NA</v>
      </c>
      <c r="AG30" s="375">
        <f>IF(Start!$C$18="x",IF(OR($L30="NA",L30=""),"NA",($L30*(Data!$D$55^3.33)/(Data!$D$18^2))),"---")</f>
        <v>1.9763737712574927E-4</v>
      </c>
      <c r="AH30" s="376" t="str">
        <f>IF(Start!$C$18="x",IF(OR(F30="NA",F30="",P30="NA",P30=""),"NA",IF(100/Data!$D$10&gt;Data!$D$13,(F30*$P30)/(Data!$D$10/100),(F30*$P30)*Data!$D$13)),"---")</f>
        <v>NA</v>
      </c>
      <c r="AI30" s="489" t="str">
        <f>IF(Start!$C$18="x",IF(OR($N30="NA",$Q30="NA",$Q30=0,Q30="",N30=""),"NA",(1000*$N30/$Q30)),"---")</f>
        <v>NA</v>
      </c>
      <c r="AJ30" s="376" t="str">
        <f>IF(Start!$C$18="x",IF(OR(Q30 = "NA",Q30=0,N30 = "NA",N30="",Q30=""), "NA", IF($AG30="NA","NA",(3.1416*Data!$D$57*86400/($AG30*(Data!$D$55+(N30*Data!$D$19/(Q30*1000)))))^0.5)),"---")</f>
        <v>NA</v>
      </c>
      <c r="AK30" s="376" t="str">
        <f>IF(Start!$C$18="x",IF(OR(AH30 = "NA",AI30="NA",AI30=0,AI30="",AH30=""), "NA", AH30/AI30),"---")</f>
        <v>NA</v>
      </c>
      <c r="AL30" s="376" t="str">
        <f>IF(Start!$C$18="x",IF(OR(AK30 ="NA",AK30="",AJ30= "NA",R30="NA",R30=0),"NA",(2*AK30)/(1000*(1/$R30+AJ30))),"---")</f>
        <v>NA</v>
      </c>
      <c r="AM30" s="376" t="str">
        <f>IF(Start!$C$18="x",IF(AL30 = "NA", "NA", AL30*(Data!$D$52*Data!$D$53*10000)),"---")</f>
        <v>NA</v>
      </c>
      <c r="AN30" s="376" t="str">
        <f>IF(Start!$C$18="x",IF(AM30 = "NA", "NA", AM30*(Data!$D$54)),"---")</f>
        <v>NA</v>
      </c>
      <c r="AO30" s="498" t="str">
        <f>IF(Start!$C$18="x",IF(AN30="NA","NA",AN30*Data!$D$41),"---")</f>
        <v>NA</v>
      </c>
      <c r="AP30" s="376" t="str">
        <f>IF(Start!$C$18="x",IF(OR(Q30=0,N30="NA",N30="",AG30="NA",AG30="",AG30=0,Q30="",Q30="NA"),"NA", (3.1416*Data!$D$56*86400/($AG30*(Data!$D$55+(N30*Data!$D$19/(Q30*1000)))))^0.5),"---")</f>
        <v>NA</v>
      </c>
      <c r="AQ30" s="376" t="str">
        <f>IF(Start!$C$18="x",IF(OR(AH30="NA",AI30="NA",AI30="",AI30=0,AH30=""),"NA", AH30/AI30),"---")</f>
        <v>NA</v>
      </c>
      <c r="AR30" s="376" t="str">
        <f>IF(Start!$C$18="x",IF(OR(AQ30="NA",AP30="NA",$R30="NA",R30=0,R30=""),"NA",(2*AQ30)/(1000*(1/$R30+AP30))),"---")</f>
        <v>NA</v>
      </c>
      <c r="AS30" s="376" t="str">
        <f>IF(Start!$C$18="x",IF(AR30 = "NA", "NA", AR30*(Data!$D$52*Data!$D$53*10000)),"---")</f>
        <v>NA</v>
      </c>
      <c r="AT30" s="376" t="str">
        <f>IF(Start!$C$18="x",IF(AS30 = "NA", "NA", (AS30*1000)/(Data!$D$48*3*Data!$D$53)),"---")</f>
        <v>NA</v>
      </c>
      <c r="AU30" s="498" t="str">
        <f>IF(Start!$C$18="x",IF(AT30="NA","NA",AT30*Data!$D$47),"---")</f>
        <v>NA</v>
      </c>
      <c r="AV30" s="283" t="str">
        <f>IF(Start!$C$18="x",(IF(AND(F30="",G30= "",G30&lt;&gt;"NA"),"",IF(OR(AD30="NA",I30="NA",I30=0),"NA",(AD30/I30)))),"Not Req.")</f>
        <v/>
      </c>
      <c r="AW30" s="284" t="str">
        <f>IF(Start!$C$18="x",(IF(AND(F30="",G30= "",G30&lt;&gt;"NA"),"",IF(OR(AF30="NA",I30="NA",I30=0),"NA",(AF30/I30)))),"Not Req.")</f>
        <v/>
      </c>
      <c r="AX30" s="284" t="str">
        <f>IF(Start!$C$18="x",(IF(F30 ="","",IF(OR(AO30="NA",I30="NA",I30=0),"NA",(AO30/I30)))),"Not Req.")</f>
        <v/>
      </c>
      <c r="AY30" s="344" t="str">
        <f>IF(Start!$C$18="x",(IF(F30 ="","",IF(OR(AU30="NA",I30="NA",I30=0),"NA",(AU30/I30)))),"Not Req.")</f>
        <v/>
      </c>
      <c r="AZ30" s="209"/>
    </row>
    <row r="31" spans="1:52" s="23" customFormat="1" x14ac:dyDescent="0.25">
      <c r="A31" s="405" t="s">
        <v>349</v>
      </c>
      <c r="B31" s="347" t="str">
        <f>IF(Start!$C$18="x",IF(AND(OR(F31="",F31="NA"),OR(G31="",G31="NA")),"",IF(I31="NA","NA",IF(AND(I31="",K31="--"),"NA",IF(AD31="NA","Missing Data",IF(I31="","No Criteria",IF(AD31&gt;=I31,"Needed","No")))))),"---")</f>
        <v/>
      </c>
      <c r="C31" s="501" t="str">
        <f>IF(Start!$C$18="x",IF(AND(OR(F31="",F31="NA"),OR(G31="",G31="NA")),"",IF(I31="NA","NA",IF(AND(I31="",K31="--"),"NA",IF(AF31="NA","Missing Data",IF(I31="","No Criteria",IF(AF31&gt;=I31,"Needed","No")))))),"---")</f>
        <v/>
      </c>
      <c r="D31" s="347" t="str">
        <f>IF(Start!$C$18="x",IF(AND(OR(F31="",F31="NA"),OR(G31="",G31="NA")),"",IF(I31="NA","NA",IF(AND(I31="",K31="--"),"NA",IF(AO31="NA","Missing Data",IF(I31="","No Criteria",IF(AO31&gt;=I31,"Needed","No")))))),"---")</f>
        <v/>
      </c>
      <c r="E31" s="401" t="str">
        <f>IF(Start!$C$18="x",IF(AND(OR(F31="",F31="NA"),OR(G31="",G31="NA")),"",IF(I31="NA","NA",IF(AND(I31="",K31="--"),"NA",IF(AU31="NA","Missing Data",IF(I31="","No Criteria",IF(AU31&gt;=I31,"Needed","No")))))),"---")</f>
        <v/>
      </c>
      <c r="F31" s="431" t="str">
        <f>IF(TRUE=ISBLANK(ChemData!B31),"",(ChemData!B31))</f>
        <v/>
      </c>
      <c r="G31" s="432" t="str">
        <f>IF(TRUE=ISBLANK(ChemData!C31),"",(ChemData!C31))</f>
        <v/>
      </c>
      <c r="H31" s="433" t="str">
        <f>IF(TRUE=ISBLANK(ChemData!D31),"",(ChemData!D31))</f>
        <v/>
      </c>
      <c r="I31" s="919" t="str">
        <f>IF(TRUE=ISBLANK(ChemData!K31),"",(ChemData!K31))</f>
        <v>NA</v>
      </c>
      <c r="J31" s="290">
        <f>IF(TRUE=ISBLANK(ChemData!M31),"",(ChemData!M31))</f>
        <v>87.62</v>
      </c>
      <c r="K31" s="290" t="str">
        <f>IF(TRUE=ISBLANK(ChemData!N31),"",(ChemData!N31))</f>
        <v>--</v>
      </c>
      <c r="L31" s="290" t="str">
        <f>IF(TRUE=ISBLANK(ChemData!O31),"",(ChemData!O31))</f>
        <v>NA</v>
      </c>
      <c r="M31" s="290">
        <f>IF(TRUE=ISBLANK(ChemData!Q31),"",(ChemData!Q31))</f>
        <v>35</v>
      </c>
      <c r="N31" s="290">
        <f>IF(TRUE=ISBLANK(ChemData!R31),"",(ChemData!R31))</f>
        <v>35</v>
      </c>
      <c r="O31" s="290" t="str">
        <f>IF(TRUE=ISBLANK(ChemData!S31),"",(ChemData!S31))</f>
        <v>NA</v>
      </c>
      <c r="P31" s="291" t="str">
        <f>IF(TRUE=ISBLANK(ChemData!T31),"",(ChemData!T31))</f>
        <v>NA</v>
      </c>
      <c r="Q31" s="375" t="str">
        <f>IF(Start!$C$18="x",IF(OR(K31="NA",K31="",K31="--"),"NA",(K31*1000000/82.1/Data!$D$50)),"---")</f>
        <v>NA</v>
      </c>
      <c r="R31" s="376">
        <f>IF(Start!$C$18="x",IF(OR(J31="NA",J31=0,J31=""),"NA",(0.32*(Data!$D$48+Data!$D$49)*(18/J31)^0.5)),"---")</f>
        <v>0.37347526133410491</v>
      </c>
      <c r="S31" s="376">
        <f>IF(Start!$C$18="x",IF(OR(J31="NA",J31= 0,J31=""),"NA",(0.0065*((Data!$D$49^0.969)/(Data!$D$51^0.673))*(32/J31)^0.5*EXP(0.526*Data!$D$48^-1.9))),"---")</f>
        <v>7.8718353090886006E-4</v>
      </c>
      <c r="T31" s="377" t="str">
        <f>IF(Start!$C$18="x",IF(OR(S31="NA",R31="NA",R31=0,Q31="NA",S31=0,Q31=0),"NA",(1/(1/S31+(1/(R31*Q31))))),"---")</f>
        <v>NA</v>
      </c>
      <c r="U31" s="375" t="str">
        <f>IF(Start!$C$18="x",IF(OR(F31="NA",F31="",O31="NA",O31=""),"NA",(F31*$O31)/(Data!$D$10/100)),"---")</f>
        <v>NA</v>
      </c>
      <c r="V31" s="376" t="str">
        <f>IF(Start!$C$18="x",IF(OR(U31="NA",M31="NA",M31="",U31=""),"NA",U31/((Data!$D$18+((1-Data!$D$18)*Data!$D$14*M31))/((1-Data!$D$18)*Data!$D$14*1000))),"---")</f>
        <v>NA</v>
      </c>
      <c r="W31" s="376" t="str">
        <f>IF(Start!$C$18="x",IF(OR(G31="NA",U31="NA",G31="",U31=""),"NA",(U31 +($G31*(Data!$D$19-Data!$D$22)/(Data!$D$19*Data!$D$22)))),"---")</f>
        <v>NA</v>
      </c>
      <c r="X31" s="376" t="str">
        <f>IF(Start!$C$18="x",IF(OR(G31="NA",V31="NA",G31="",V31=""),"NA",(((Data!$D$22*Data!$D$18)*V31)+(Data!$D$19-Data!$D$22)*$G31)/((Data!$D$22*Data!$D$18)+Data!$D$19-Data!$D$22)),"---")</f>
        <v>NA</v>
      </c>
      <c r="Y31" s="376" t="str">
        <f>IF(Start!$C$18="x",IF(OR(W31="NA",W31="",M31="NA",M31=""),"NA",(W31/((Data!$D$23+((1-Data!$D$23)*Data!$D$14*M31)) /((1-Data!$D$23)*Data!$D$14*1000)))),"---")</f>
        <v>NA</v>
      </c>
      <c r="Z31" s="376" t="str">
        <f>IF(Start!$C$18="x",IF(OR(Y31="NA",X31="NA"),"NA",IF(Y31&gt;X31, Y31, X31)),"---")</f>
        <v>NA</v>
      </c>
      <c r="AA31" s="461" t="str">
        <f>IF(Start!$C$18="x",IF(OR(Z31="NA",T31="NA"),"NA",Z31*T31/(1000000000)),"---")</f>
        <v>NA</v>
      </c>
      <c r="AB31" s="1057" t="str">
        <f>IF(Start!$C$18="x",IF(AA31 = "NA", "NA", AA31*(Data!$D$52*Data!$D$53*10000)),"---")</f>
        <v>NA</v>
      </c>
      <c r="AC31" s="375" t="str">
        <f>IF(Start!$C$18="x",IF(AB31="NA", "NA", AB31*Data!$D$54),"---")</f>
        <v>NA</v>
      </c>
      <c r="AD31" s="498" t="str">
        <f>IF(Start!$C$18="x",IF(AC31="NA","NA",AC31*Data!$D$41),"---")</f>
        <v>NA</v>
      </c>
      <c r="AE31" s="376" t="str">
        <f>IF(Start!$C$18="x",IF(AB31 = "NA", "NA", AB31/(Data!$D$53*3*Data!$D$48)*1000),"---")</f>
        <v>NA</v>
      </c>
      <c r="AF31" s="498" t="str">
        <f>IF(Start!$C$18="x",IF(AE31="NA","NA",AE31*Data!$D$46),"---")</f>
        <v>NA</v>
      </c>
      <c r="AG31" s="375" t="str">
        <f>IF(Start!$C$18="x",IF(OR($L31="NA",L31=""),"NA",($L31*(Data!$D$55^3.33)/(Data!$D$18^2))),"---")</f>
        <v>NA</v>
      </c>
      <c r="AH31" s="376" t="str">
        <f>IF(Start!$C$18="x",IF(OR(F31="NA",F31="",P31="NA",P31=""),"NA",IF(100/Data!$D$10&gt;Data!$D$13,(F31*$P31)/(Data!$D$10/100),(F31*$P31)*Data!$D$13)),"---")</f>
        <v>NA</v>
      </c>
      <c r="AI31" s="489" t="str">
        <f>IF(Start!$C$18="x",IF(OR($N31="NA",$Q31="NA",$Q31=0,Q31="",N31=""),"NA",(1000*$N31/$Q31)),"---")</f>
        <v>NA</v>
      </c>
      <c r="AJ31" s="376" t="str">
        <f>IF(Start!$C$18="x",IF(OR(Q31 = "NA",Q31=0,N31 = "NA",N31="",Q31=""), "NA", IF($AG31="NA","NA",(3.1416*Data!$D$57*86400/($AG31*(Data!$D$55+(N31*Data!$D$19/(Q31*1000)))))^0.5)),"---")</f>
        <v>NA</v>
      </c>
      <c r="AK31" s="376" t="str">
        <f>IF(Start!$C$18="x",IF(OR(AH31 = "NA",AI31="NA",AI31=0,AI31="",AH31=""), "NA", AH31/AI31),"---")</f>
        <v>NA</v>
      </c>
      <c r="AL31" s="376" t="str">
        <f>IF(Start!$C$18="x",IF(OR(AK31 ="NA",AK31="",AJ31= "NA",R31="NA",R31=0),"NA",(2*AK31)/(1000*(1/$R31+AJ31))),"---")</f>
        <v>NA</v>
      </c>
      <c r="AM31" s="376" t="str">
        <f>IF(Start!$C$18="x",IF(AL31 = "NA", "NA", AL31*(Data!$D$52*Data!$D$53*10000)),"---")</f>
        <v>NA</v>
      </c>
      <c r="AN31" s="376" t="str">
        <f>IF(Start!$C$18="x",IF(AM31 = "NA", "NA", AM31*(Data!$D$54)),"---")</f>
        <v>NA</v>
      </c>
      <c r="AO31" s="498" t="str">
        <f>IF(Start!$C$18="x",IF(AN31="NA","NA",AN31*Data!$D$41),"---")</f>
        <v>NA</v>
      </c>
      <c r="AP31" s="376" t="str">
        <f>IF(Start!$C$18="x",IF(OR(Q31=0,N31="NA",N31="",AG31="NA",AG31="",AG31=0,Q31="",Q31="NA"),"NA", (3.1416*Data!$D$56*86400/($AG31*(Data!$D$55+(N31*Data!$D$19/(Q31*1000)))))^0.5),"---")</f>
        <v>NA</v>
      </c>
      <c r="AQ31" s="376" t="str">
        <f>IF(Start!$C$18="x",IF(OR(AH31="NA",AI31="NA",AI31="",AI31=0,AH31=""),"NA", AH31/AI31),"---")</f>
        <v>NA</v>
      </c>
      <c r="AR31" s="376" t="str">
        <f>IF(Start!$C$18="x",IF(OR(AQ31="NA",AP31="NA",$R31="NA",R31=0,R31=""),"NA",(2*AQ31)/(1000*(1/$R31+AP31))),"---")</f>
        <v>NA</v>
      </c>
      <c r="AS31" s="376" t="str">
        <f>IF(Start!$C$18="x",IF(AR31 = "NA", "NA", AR31*(Data!$D$52*Data!$D$53*10000)),"---")</f>
        <v>NA</v>
      </c>
      <c r="AT31" s="376" t="str">
        <f>IF(Start!$C$18="x",IF(AS31 = "NA", "NA", (AS31*1000)/(Data!$D$48*3*Data!$D$53)),"---")</f>
        <v>NA</v>
      </c>
      <c r="AU31" s="498" t="str">
        <f>IF(Start!$C$18="x",IF(AT31="NA","NA",AT31*Data!$D$47),"---")</f>
        <v>NA</v>
      </c>
      <c r="AV31" s="283" t="str">
        <f>IF(Start!$C$18="x",(IF(AND(F31="",G31= "",G31&lt;&gt;"NA"),"",IF(OR(AD31="NA",I31="NA",I31=0),"NA",(AD31/I31)))),"Not Req.")</f>
        <v/>
      </c>
      <c r="AW31" s="284" t="str">
        <f>IF(Start!$C$18="x",(IF(AND(F31="",G31= "",G31&lt;&gt;"NA"),"",IF(OR(AF31="NA",I31="NA",I31=0),"NA",(AF31/I31)))),"Not Req.")</f>
        <v/>
      </c>
      <c r="AX31" s="284" t="str">
        <f>IF(Start!$C$18="x",(IF(F31 ="","",IF(OR(AO31="NA",I31="NA",I31=0),"NA",(AO31/I31)))),"Not Req.")</f>
        <v/>
      </c>
      <c r="AY31" s="344" t="str">
        <f>IF(Start!$C$18="x",(IF(F31 ="","",IF(OR(AU31="NA",I31="NA",I31=0),"NA",(AU31/I31)))),"Not Req.")</f>
        <v/>
      </c>
      <c r="AZ31" s="209"/>
    </row>
    <row r="32" spans="1:52" s="23" customFormat="1" x14ac:dyDescent="0.25">
      <c r="A32" s="405" t="s">
        <v>350</v>
      </c>
      <c r="B32" s="347" t="str">
        <f>IF(Start!$C$18="x",IF(AND(OR(F32="",F32="NA"),OR(G32="",G32="NA")),"",IF(I32="NA","NA",IF(AND(I32="",K32="--"),"NA",IF(AD32="NA","Missing Data",IF(I32="","No Criteria",IF(AD32&gt;=I32,"Needed","No")))))),"---")</f>
        <v/>
      </c>
      <c r="C32" s="501" t="str">
        <f>IF(Start!$C$18="x",IF(AND(OR(F32="",F32="NA"),OR(G32="",G32="NA")),"",IF(I32="NA","NA",IF(AND(I32="",K32="--"),"NA",IF(AF32="NA","Missing Data",IF(I32="","No Criteria",IF(AF32&gt;=I32,"Needed","No")))))),"---")</f>
        <v/>
      </c>
      <c r="D32" s="347" t="str">
        <f>IF(Start!$C$18="x",IF(AND(OR(F32="",F32="NA"),OR(G32="",G32="NA")),"",IF(I32="NA","NA",IF(AND(I32="",K32="--"),"NA",IF(AO32="NA","Missing Data",IF(I32="","No Criteria",IF(AO32&gt;=I32,"Needed","No")))))),"---")</f>
        <v/>
      </c>
      <c r="E32" s="401" t="str">
        <f>IF(Start!$C$18="x",IF(AND(OR(F32="",F32="NA"),OR(G32="",G32="NA")),"",IF(I32="NA","NA",IF(AND(I32="",K32="--"),"NA",IF(AU32="NA","Missing Data",IF(I32="","No Criteria",IF(AU32&gt;=I32,"Needed","No")))))),"---")</f>
        <v/>
      </c>
      <c r="F32" s="431" t="str">
        <f>IF(TRUE=ISBLANK(ChemData!B32),"",(ChemData!B32))</f>
        <v/>
      </c>
      <c r="G32" s="432" t="str">
        <f>IF(TRUE=ISBLANK(ChemData!C32),"",(ChemData!C32))</f>
        <v/>
      </c>
      <c r="H32" s="433" t="str">
        <f>IF(TRUE=ISBLANK(ChemData!D32),"",(ChemData!D32))</f>
        <v/>
      </c>
      <c r="I32" s="919">
        <f>IF(TRUE=ISBLANK(ChemData!K32),"",(ChemData!K32))</f>
        <v>8.0000000000000007E-5</v>
      </c>
      <c r="J32" s="290">
        <f>IF(TRUE=ISBLANK(ChemData!M32),"",(ChemData!M32))</f>
        <v>204.38</v>
      </c>
      <c r="K32" s="290" t="str">
        <f>IF(TRUE=ISBLANK(ChemData!N32),"",(ChemData!N32))</f>
        <v>--</v>
      </c>
      <c r="L32" s="290">
        <f>IF(TRUE=ISBLANK(ChemData!O32),"",(ChemData!O32))</f>
        <v>0.15375741143404867</v>
      </c>
      <c r="M32" s="290">
        <f>IF(TRUE=ISBLANK(ChemData!Q32),"",(ChemData!Q32))</f>
        <v>40</v>
      </c>
      <c r="N32" s="290">
        <f>IF(TRUE=ISBLANK(ChemData!R32),"",(ChemData!R32))</f>
        <v>40</v>
      </c>
      <c r="O32" s="290">
        <f>IF(TRUE=ISBLANK(ChemData!S32),"",(ChemData!S32))</f>
        <v>0.2</v>
      </c>
      <c r="P32" s="291">
        <f>IF(TRUE=ISBLANK(ChemData!T32),"",(ChemData!T32))</f>
        <v>0.2</v>
      </c>
      <c r="Q32" s="375" t="str">
        <f>IF(Start!$C$18="x",IF(OR(K32="NA",K32="",K32="--"),"NA",(K32*1000000/82.1/Data!$D$50)),"---")</f>
        <v>NA</v>
      </c>
      <c r="R32" s="376">
        <f>IF(Start!$C$18="x",IF(OR(J32="NA",J32=0,J32=""),"NA",(0.32*(Data!$D$48+Data!$D$49)*(18/J32)^0.5)),"---")</f>
        <v>0.24453682370266797</v>
      </c>
      <c r="S32" s="376">
        <f>IF(Start!$C$18="x",IF(OR(J32="NA",J32= 0,J32=""),"NA",(0.0065*((Data!$D$49^0.969)/(Data!$D$51^0.673))*(32/J32)^0.5*EXP(0.526*Data!$D$48^-1.9))),"---")</f>
        <v>5.1541662928860049E-4</v>
      </c>
      <c r="T32" s="377" t="str">
        <f>IF(Start!$C$18="x",IF(OR(S32="NA",R32="NA",R32=0,Q32="NA",S32=0,Q32=0),"NA",(1/(1/S32+(1/(R32*Q32))))),"---")</f>
        <v>NA</v>
      </c>
      <c r="U32" s="375" t="str">
        <f>IF(Start!$C$18="x",IF(OR(F32="NA",F32="",O32="NA",O32=""),"NA",(F32*$O32)/(Data!$D$10/100)),"---")</f>
        <v>NA</v>
      </c>
      <c r="V32" s="376" t="str">
        <f>IF(Start!$C$18="x",IF(OR(U32="NA",M32="NA",M32="",U32=""),"NA",U32/((Data!$D$18+((1-Data!$D$18)*Data!$D$14*M32))/((1-Data!$D$18)*Data!$D$14*1000))),"---")</f>
        <v>NA</v>
      </c>
      <c r="W32" s="376" t="str">
        <f>IF(Start!$C$18="x",IF(OR(G32="NA",U32="NA",G32="",U32=""),"NA",(U32 +($G32*(Data!$D$19-Data!$D$22)/(Data!$D$19*Data!$D$22)))),"---")</f>
        <v>NA</v>
      </c>
      <c r="X32" s="376" t="str">
        <f>IF(Start!$C$18="x",IF(OR(G32="NA",V32="NA",G32="",V32=""),"NA",(((Data!$D$22*Data!$D$18)*V32)+(Data!$D$19-Data!$D$22)*$G32)/((Data!$D$22*Data!$D$18)+Data!$D$19-Data!$D$22)),"---")</f>
        <v>NA</v>
      </c>
      <c r="Y32" s="376" t="str">
        <f>IF(Start!$C$18="x",IF(OR(W32="NA",W32="",M32="NA",M32=""),"NA",(W32/((Data!$D$23+((1-Data!$D$23)*Data!$D$14*M32)) /((1-Data!$D$23)*Data!$D$14*1000)))),"---")</f>
        <v>NA</v>
      </c>
      <c r="Z32" s="376" t="str">
        <f>IF(Start!$C$18="x",IF(OR(Y32="NA",X32="NA"),"NA",IF(Y32&gt;X32, Y32, X32)),"---")</f>
        <v>NA</v>
      </c>
      <c r="AA32" s="461" t="str">
        <f>IF(Start!$C$18="x",IF(OR(Z32="NA",T32="NA"),"NA",Z32*T32/(1000000000)),"---")</f>
        <v>NA</v>
      </c>
      <c r="AB32" s="1057" t="str">
        <f>IF(Start!$C$18="x",IF(AA32 = "NA", "NA", AA32*(Data!$D$52*Data!$D$53*10000)),"---")</f>
        <v>NA</v>
      </c>
      <c r="AC32" s="375" t="str">
        <f>IF(Start!$C$18="x",IF(AB32="NA", "NA", AB32*Data!$D$54),"---")</f>
        <v>NA</v>
      </c>
      <c r="AD32" s="498" t="str">
        <f>IF(Start!$C$18="x",IF(AC32="NA","NA",AC32*Data!$D$41),"---")</f>
        <v>NA</v>
      </c>
      <c r="AE32" s="376" t="str">
        <f>IF(Start!$C$18="x",IF(AB32 = "NA", "NA", AB32/(Data!$D$53*3*Data!$D$48)*1000),"---")</f>
        <v>NA</v>
      </c>
      <c r="AF32" s="498" t="str">
        <f>IF(Start!$C$18="x",IF(AE32="NA","NA",AE32*Data!$D$46),"---")</f>
        <v>NA</v>
      </c>
      <c r="AG32" s="375">
        <f>IF(Start!$C$18="x",IF(OR($L32="NA",L32=""),"NA",($L32*(Data!$D$55^3.33)/(Data!$D$18^2))),"---")</f>
        <v>1.566402655127323E-3</v>
      </c>
      <c r="AH32" s="376" t="str">
        <f>IF(Start!$C$18="x",IF(OR(F32="NA",F32="",P32="NA",P32=""),"NA",IF(100/Data!$D$10&gt;Data!$D$13,(F32*$P32)/(Data!$D$10/100),(F32*$P32)*Data!$D$13)),"---")</f>
        <v>NA</v>
      </c>
      <c r="AI32" s="489" t="str">
        <f>IF(Start!$C$18="x",IF(OR($N32="NA",$Q32="NA",$Q32=0,Q32="",N32=""),"NA",(1000*$N32/$Q32)),"---")</f>
        <v>NA</v>
      </c>
      <c r="AJ32" s="376" t="str">
        <f>IF(Start!$C$18="x",IF(OR(Q32 = "NA",Q32=0,N32 = "NA",N32="",Q32=""), "NA", IF($AG32="NA","NA",(3.1416*Data!$D$57*86400/($AG32*(Data!$D$55+(N32*Data!$D$19/(Q32*1000)))))^0.5)),"---")</f>
        <v>NA</v>
      </c>
      <c r="AK32" s="376" t="str">
        <f>IF(Start!$C$18="x",IF(OR(AH32 = "NA",AI32="NA",AI32=0,AI32="",AH32=""), "NA", AH32/AI32),"---")</f>
        <v>NA</v>
      </c>
      <c r="AL32" s="376" t="str">
        <f>IF(Start!$C$18="x",IF(OR(AK32 ="NA",AK32="",AJ32= "NA",R32="NA",R32=0),"NA",(2*AK32)/(1000*(1/$R32+AJ32))),"---")</f>
        <v>NA</v>
      </c>
      <c r="AM32" s="376" t="str">
        <f>IF(Start!$C$18="x",IF(AL32 = "NA", "NA", AL32*(Data!$D$52*Data!$D$53*10000)),"---")</f>
        <v>NA</v>
      </c>
      <c r="AN32" s="376" t="str">
        <f>IF(Start!$C$18="x",IF(AM32 = "NA", "NA", AM32*(Data!$D$54)),"---")</f>
        <v>NA</v>
      </c>
      <c r="AO32" s="498" t="str">
        <f>IF(Start!$C$18="x",IF(AN32="NA","NA",AN32*Data!$D$41),"---")</f>
        <v>NA</v>
      </c>
      <c r="AP32" s="376" t="str">
        <f>IF(Start!$C$18="x",IF(OR(Q32=0,N32="NA",N32="",AG32="NA",AG32="",AG32=0,Q32="",Q32="NA"),"NA", (3.1416*Data!$D$56*86400/($AG32*(Data!$D$55+(N32*Data!$D$19/(Q32*1000)))))^0.5),"---")</f>
        <v>NA</v>
      </c>
      <c r="AQ32" s="376" t="str">
        <f>IF(Start!$C$18="x",IF(OR(AH32="NA",AI32="NA",AI32="",AI32=0,AH32=""),"NA", AH32/AI32),"---")</f>
        <v>NA</v>
      </c>
      <c r="AR32" s="376" t="str">
        <f>IF(Start!$C$18="x",IF(OR(AQ32="NA",AP32="NA",$R32="NA",R32=0,R32=""),"NA",(2*AQ32)/(1000*(1/$R32+AP32))),"---")</f>
        <v>NA</v>
      </c>
      <c r="AS32" s="376" t="str">
        <f>IF(Start!$C$18="x",IF(AR32 = "NA", "NA", AR32*(Data!$D$52*Data!$D$53*10000)),"---")</f>
        <v>NA</v>
      </c>
      <c r="AT32" s="376" t="str">
        <f>IF(Start!$C$18="x",IF(AS32 = "NA", "NA", (AS32*1000)/(Data!$D$48*3*Data!$D$53)),"---")</f>
        <v>NA</v>
      </c>
      <c r="AU32" s="498" t="str">
        <f>IF(Start!$C$18="x",IF(AT32="NA","NA",AT32*Data!$D$47),"---")</f>
        <v>NA</v>
      </c>
      <c r="AV32" s="283" t="str">
        <f>IF(Start!$C$18="x",(IF(AND(F32="",G32= "",G32&lt;&gt;"NA"),"",IF(OR(AD32="NA",I32="NA",I32=0),"NA",(AD32/I32)))),"Not Req.")</f>
        <v/>
      </c>
      <c r="AW32" s="284" t="str">
        <f>IF(Start!$C$18="x",(IF(AND(F32="",G32= "",G32&lt;&gt;"NA"),"",IF(OR(AF32="NA",I32="NA",I32=0),"NA",(AF32/I32)))),"Not Req.")</f>
        <v/>
      </c>
      <c r="AX32" s="284" t="str">
        <f>IF(Start!$C$18="x",(IF(F32 ="","",IF(OR(AO32="NA",I32="NA",I32=0),"NA",(AO32/I32)))),"Not Req.")</f>
        <v/>
      </c>
      <c r="AY32" s="344" t="str">
        <f>IF(Start!$C$18="x",(IF(F32 ="","",IF(OR(AU32="NA",I32="NA",I32=0),"NA",(AU32/I32)))),"Not Req.")</f>
        <v/>
      </c>
      <c r="AZ32" s="208"/>
    </row>
    <row r="33" spans="1:52" s="23" customFormat="1" x14ac:dyDescent="0.25">
      <c r="A33" s="405" t="s">
        <v>351</v>
      </c>
      <c r="B33" s="347" t="str">
        <f>IF(Start!$C$18="x",IF(AND(OR(F33="",F33="NA"),OR(G33="",G33="NA")),"",IF(I33="NA","NA",IF(AND(I33="",K33="--"),"NA",IF(AD33="NA","Missing Data",IF(I33="","No Criteria",IF(AD33&gt;=I33,"Needed","No")))))),"---")</f>
        <v/>
      </c>
      <c r="C33" s="501" t="str">
        <f>IF(Start!$C$18="x",IF(AND(OR(F33="",F33="NA"),OR(G33="",G33="NA")),"",IF(I33="NA","NA",IF(AND(I33="",K33="--"),"NA",IF(AF33="NA","Missing Data",IF(I33="","No Criteria",IF(AF33&gt;=I33,"Needed","No")))))),"---")</f>
        <v/>
      </c>
      <c r="D33" s="347" t="str">
        <f>IF(Start!$C$18="x",IF(AND(OR(F33="",F33="NA"),OR(G33="",G33="NA")),"",IF(I33="NA","NA",IF(AND(I33="",K33="--"),"NA",IF(AO33="NA","Missing Data",IF(I33="","No Criteria",IF(AO33&gt;=I33,"Needed","No")))))),"---")</f>
        <v/>
      </c>
      <c r="E33" s="401" t="str">
        <f>IF(Start!$C$18="x",IF(AND(OR(F33="",F33="NA"),OR(G33="",G33="NA")),"",IF(I33="NA","NA",IF(AND(I33="",K33="--"),"NA",IF(AU33="NA","Missing Data",IF(I33="","No Criteria",IF(AU33&gt;=I33,"Needed","No")))))),"---")</f>
        <v/>
      </c>
      <c r="F33" s="431" t="str">
        <f>IF(TRUE=ISBLANK(ChemData!B33),"",(ChemData!B33))</f>
        <v/>
      </c>
      <c r="G33" s="432" t="str">
        <f>IF(TRUE=ISBLANK(ChemData!C33),"",(ChemData!C33))</f>
        <v/>
      </c>
      <c r="H33" s="433" t="str">
        <f>IF(TRUE=ISBLANK(ChemData!D33),"",(ChemData!D33))</f>
        <v/>
      </c>
      <c r="I33" s="919" t="str">
        <f>IF(TRUE=ISBLANK(ChemData!K33),"",(ChemData!K33))</f>
        <v>NA</v>
      </c>
      <c r="J33" s="290">
        <f>IF(TRUE=ISBLANK(ChemData!M33),"",(ChemData!M33))</f>
        <v>118.69</v>
      </c>
      <c r="K33" s="290" t="str">
        <f>IF(TRUE=ISBLANK(ChemData!N33),"",(ChemData!N33))</f>
        <v>--</v>
      </c>
      <c r="L33" s="290">
        <f>IF(TRUE=ISBLANK(ChemData!O33),"",(ChemData!O33))</f>
        <v>0.16050025280042332</v>
      </c>
      <c r="M33" s="290">
        <f>IF(TRUE=ISBLANK(ChemData!Q33),"",(ChemData!Q33))</f>
        <v>250</v>
      </c>
      <c r="N33" s="290">
        <f>IF(TRUE=ISBLANK(ChemData!R33),"",(ChemData!R33))</f>
        <v>250</v>
      </c>
      <c r="O33" s="290">
        <f>IF(TRUE=ISBLANK(ChemData!S33),"",(ChemData!S33))</f>
        <v>1</v>
      </c>
      <c r="P33" s="291">
        <f>IF(TRUE=ISBLANK(ChemData!T33),"",(ChemData!T33))</f>
        <v>1</v>
      </c>
      <c r="Q33" s="375" t="str">
        <f>IF(Start!$C$18="x",IF(OR(K33="NA",K33="",K33="--"),"NA",(K33*1000000/82.1/Data!$D$50)),"---")</f>
        <v>NA</v>
      </c>
      <c r="R33" s="376">
        <f>IF(Start!$C$18="x",IF(OR(J33="NA",J33=0,J33=""),"NA",(0.32*(Data!$D$48+Data!$D$49)*(18/J33)^0.5)),"---")</f>
        <v>0.32089015965852757</v>
      </c>
      <c r="S33" s="376">
        <f>IF(Start!$C$18="x",IF(OR(J33="NA",J33= 0,J33=""),"NA",(0.0065*((Data!$D$49^0.969)/(Data!$D$51^0.673))*(32/J33)^0.5*EXP(0.526*Data!$D$48^-1.9))),"---")</f>
        <v>6.7634854317147439E-4</v>
      </c>
      <c r="T33" s="377" t="str">
        <f>IF(Start!$C$18="x",IF(OR(S33="NA",R33="NA",R33=0,Q33="NA",S33=0,Q33=0),"NA",(1/(1/S33+(1/(R33*Q33))))),"---")</f>
        <v>NA</v>
      </c>
      <c r="U33" s="375" t="str">
        <f>IF(Start!$C$18="x",IF(OR(F33="NA",F33="",O33="NA",O33=""),"NA",(F33*$O33)/(Data!$D$10/100)),"---")</f>
        <v>NA</v>
      </c>
      <c r="V33" s="376" t="str">
        <f>IF(Start!$C$18="x",IF(OR(U33="NA",M33="NA",M33="",U33=""),"NA",U33/((Data!$D$18+((1-Data!$D$18)*Data!$D$14*M33))/((1-Data!$D$18)*Data!$D$14*1000))),"---")</f>
        <v>NA</v>
      </c>
      <c r="W33" s="376" t="str">
        <f>IF(Start!$C$18="x",IF(OR(G33="NA",U33="NA",G33="",U33=""),"NA",(U33 +($G33*(Data!$D$19-Data!$D$22)/(Data!$D$19*Data!$D$22)))),"---")</f>
        <v>NA</v>
      </c>
      <c r="X33" s="376" t="str">
        <f>IF(Start!$C$18="x",IF(OR(G33="NA",V33="NA",G33="",V33=""),"NA",(((Data!$D$22*Data!$D$18)*V33)+(Data!$D$19-Data!$D$22)*$G33)/((Data!$D$22*Data!$D$18)+Data!$D$19-Data!$D$22)),"---")</f>
        <v>NA</v>
      </c>
      <c r="Y33" s="376" t="str">
        <f>IF(Start!$C$18="x",IF(OR(W33="NA",W33="",M33="NA",M33=""),"NA",(W33/((Data!$D$23+((1-Data!$D$23)*Data!$D$14*M33)) /((1-Data!$D$23)*Data!$D$14*1000)))),"---")</f>
        <v>NA</v>
      </c>
      <c r="Z33" s="376" t="str">
        <f>IF(Start!$C$18="x",IF(OR(Y33="NA",X33="NA"),"NA",IF(Y33&gt;X33, Y33, X33)),"---")</f>
        <v>NA</v>
      </c>
      <c r="AA33" s="461" t="str">
        <f>IF(Start!$C$18="x",IF(OR(Z33="NA",T33="NA"),"NA",Z33*T33/(1000000000)),"---")</f>
        <v>NA</v>
      </c>
      <c r="AB33" s="1057" t="str">
        <f>IF(Start!$C$18="x",IF(AA33 = "NA", "NA", AA33*(Data!$D$52*Data!$D$53*10000)),"---")</f>
        <v>NA</v>
      </c>
      <c r="AC33" s="375" t="str">
        <f>IF(Start!$C$18="x",IF(AB33="NA", "NA", AB33*Data!$D$54),"---")</f>
        <v>NA</v>
      </c>
      <c r="AD33" s="498" t="str">
        <f>IF(Start!$C$18="x",IF(AC33="NA","NA",AC33*Data!$D$41),"---")</f>
        <v>NA</v>
      </c>
      <c r="AE33" s="376" t="str">
        <f>IF(Start!$C$18="x",IF(AB33 = "NA", "NA", AB33/(Data!$D$53*3*Data!$D$48)*1000),"---")</f>
        <v>NA</v>
      </c>
      <c r="AF33" s="498" t="str">
        <f>IF(Start!$C$18="x",IF(AE33="NA","NA",AE33*Data!$D$46),"---")</f>
        <v>NA</v>
      </c>
      <c r="AG33" s="375">
        <f>IF(Start!$C$18="x",IF(OR($L33="NA",L33=""),"NA",($L33*(Data!$D$55^3.33)/(Data!$D$18^2))),"---")</f>
        <v>1.6350953088399669E-3</v>
      </c>
      <c r="AH33" s="376" t="str">
        <f>IF(Start!$C$18="x",IF(OR(F33="NA",F33="",P33="NA",P33=""),"NA",IF(100/Data!$D$10&gt;Data!$D$13,(F33*$P33)/(Data!$D$10/100),(F33*$P33)*Data!$D$13)),"---")</f>
        <v>NA</v>
      </c>
      <c r="AI33" s="489" t="str">
        <f>IF(Start!$C$18="x",IF(OR($N33="NA",$Q33="NA",$Q33=0,Q33="",N33=""),"NA",(1000*$N33/$Q33)),"---")</f>
        <v>NA</v>
      </c>
      <c r="AJ33" s="376" t="str">
        <f>IF(Start!$C$18="x",IF(OR(Q33 = "NA",Q33=0,N33 = "NA",N33="",Q33=""), "NA", IF($AG33="NA","NA",(3.1416*Data!$D$57*86400/($AG33*(Data!$D$55+(N33*Data!$D$19/(Q33*1000)))))^0.5)),"---")</f>
        <v>NA</v>
      </c>
      <c r="AK33" s="376" t="str">
        <f>IF(Start!$C$18="x",IF(OR(AH33 = "NA",AI33="NA",AI33=0,AI33="",AH33=""), "NA", AH33/AI33),"---")</f>
        <v>NA</v>
      </c>
      <c r="AL33" s="376" t="str">
        <f>IF(Start!$C$18="x",IF(OR(AK33 ="NA",AK33="",AJ33= "NA",R33="NA",R33=0),"NA",(2*AK33)/(1000*(1/$R33+AJ33))),"---")</f>
        <v>NA</v>
      </c>
      <c r="AM33" s="376" t="str">
        <f>IF(Start!$C$18="x",IF(AL33 = "NA", "NA", AL33*(Data!$D$52*Data!$D$53*10000)),"---")</f>
        <v>NA</v>
      </c>
      <c r="AN33" s="376" t="str">
        <f>IF(Start!$C$18="x",IF(AM33 = "NA", "NA", AM33*(Data!$D$54)),"---")</f>
        <v>NA</v>
      </c>
      <c r="AO33" s="498" t="str">
        <f>IF(Start!$C$18="x",IF(AN33="NA","NA",AN33*Data!$D$41),"---")</f>
        <v>NA</v>
      </c>
      <c r="AP33" s="376" t="str">
        <f>IF(Start!$C$18="x",IF(OR(Q33=0,N33="NA",N33="",AG33="NA",AG33="",AG33=0,Q33="",Q33="NA"),"NA", (3.1416*Data!$D$56*86400/($AG33*(Data!$D$55+(N33*Data!$D$19/(Q33*1000)))))^0.5),"---")</f>
        <v>NA</v>
      </c>
      <c r="AQ33" s="376" t="str">
        <f>IF(Start!$C$18="x",IF(OR(AH33="NA",AI33="NA",AI33="",AI33=0,AH33=""),"NA", AH33/AI33),"---")</f>
        <v>NA</v>
      </c>
      <c r="AR33" s="376" t="str">
        <f>IF(Start!$C$18="x",IF(OR(AQ33="NA",AP33="NA",$R33="NA",R33=0,R33=""),"NA",(2*AQ33)/(1000*(1/$R33+AP33))),"---")</f>
        <v>NA</v>
      </c>
      <c r="AS33" s="376" t="str">
        <f>IF(Start!$C$18="x",IF(AR33 = "NA", "NA", AR33*(Data!$D$52*Data!$D$53*10000)),"---")</f>
        <v>NA</v>
      </c>
      <c r="AT33" s="376" t="str">
        <f>IF(Start!$C$18="x",IF(AS33 = "NA", "NA", (AS33*1000)/(Data!$D$48*3*Data!$D$53)),"---")</f>
        <v>NA</v>
      </c>
      <c r="AU33" s="498" t="str">
        <f>IF(Start!$C$18="x",IF(AT33="NA","NA",AT33*Data!$D$47),"---")</f>
        <v>NA</v>
      </c>
      <c r="AV33" s="283" t="str">
        <f>IF(Start!$C$18="x",(IF(AND(F33="",G33= "",G33&lt;&gt;"NA"),"",IF(OR(AD33="NA",I33="NA",I33=0),"NA",(AD33/I33)))),"Not Req.")</f>
        <v/>
      </c>
      <c r="AW33" s="284" t="str">
        <f>IF(Start!$C$18="x",(IF(AND(F33="",G33= "",G33&lt;&gt;"NA"),"",IF(OR(AF33="NA",I33="NA",I33=0),"NA",(AF33/I33)))),"Not Req.")</f>
        <v/>
      </c>
      <c r="AX33" s="284" t="str">
        <f>IF(Start!$C$18="x",(IF(F33 ="","",IF(OR(AO33="NA",I33="NA",I33=0),"NA",(AO33/I33)))),"Not Req.")</f>
        <v/>
      </c>
      <c r="AY33" s="344" t="str">
        <f>IF(Start!$C$18="x",(IF(F33 ="","",IF(OR(AU33="NA",I33="NA",I33=0),"NA",(AU33/I33)))),"Not Req.")</f>
        <v/>
      </c>
      <c r="AZ33" s="208"/>
    </row>
    <row r="34" spans="1:52" s="23" customFormat="1" x14ac:dyDescent="0.25">
      <c r="A34" s="405" t="s">
        <v>352</v>
      </c>
      <c r="B34" s="347" t="str">
        <f>IF(Start!$C$18="x",IF(AND(OR(F34="",F34="NA"),OR(G34="",G34="NA")),"",IF(I34="NA","NA",IF(AND(I34="",K34="--"),"NA",IF(AD34="NA","Missing Data",IF(I34="","No Criteria",IF(AD34&gt;=I34,"Needed","No")))))),"---")</f>
        <v/>
      </c>
      <c r="C34" s="501" t="str">
        <f>IF(Start!$C$18="x",IF(AND(OR(F34="",F34="NA"),OR(G34="",G34="NA")),"",IF(I34="NA","NA",IF(AND(I34="",K34="--"),"NA",IF(AF34="NA","Missing Data",IF(I34="","No Criteria",IF(AF34&gt;=I34,"Needed","No")))))),"---")</f>
        <v/>
      </c>
      <c r="D34" s="347" t="str">
        <f>IF(Start!$C$18="x",IF(AND(OR(F34="",F34="NA"),OR(G34="",G34="NA")),"",IF(I34="NA","NA",IF(AND(I34="",K34="--"),"NA",IF(AO34="NA","Missing Data",IF(I34="","No Criteria",IF(AO34&gt;=I34,"Needed","No")))))),"---")</f>
        <v/>
      </c>
      <c r="E34" s="401" t="str">
        <f>IF(Start!$C$18="x",IF(AND(OR(F34="",F34="NA"),OR(G34="",G34="NA")),"",IF(I34="NA","NA",IF(AND(I34="",K34="--"),"NA",IF(AU34="NA","Missing Data",IF(I34="","No Criteria",IF(AU34&gt;=I34,"Needed","No")))))),"---")</f>
        <v/>
      </c>
      <c r="F34" s="431" t="str">
        <f>IF(TRUE=ISBLANK(ChemData!B34),"",(ChemData!B34))</f>
        <v/>
      </c>
      <c r="G34" s="432" t="str">
        <f>IF(TRUE=ISBLANK(ChemData!C34),"",(ChemData!C34))</f>
        <v/>
      </c>
      <c r="H34" s="433" t="str">
        <f>IF(TRUE=ISBLANK(ChemData!D34),"",(ChemData!D34))</f>
        <v/>
      </c>
      <c r="I34" s="919" t="str">
        <f>IF(TRUE=ISBLANK(ChemData!K34),"",(ChemData!K34))</f>
        <v>NA</v>
      </c>
      <c r="J34" s="290">
        <f>IF(TRUE=ISBLANK(ChemData!M34),"",(ChemData!M34))</f>
        <v>238.029</v>
      </c>
      <c r="K34" s="290" t="str">
        <f>IF(TRUE=ISBLANK(ChemData!N34),"",(ChemData!N34))</f>
        <v>--</v>
      </c>
      <c r="L34" s="290">
        <f>IF(TRUE=ISBLANK(ChemData!O34),"",(ChemData!O34))</f>
        <v>0.15240219955309428</v>
      </c>
      <c r="M34" s="290">
        <f>IF(TRUE=ISBLANK(ChemData!Q34),"",(ChemData!Q34))</f>
        <v>450</v>
      </c>
      <c r="N34" s="290">
        <f>IF(TRUE=ISBLANK(ChemData!R34),"",(ChemData!R34))</f>
        <v>450</v>
      </c>
      <c r="O34" s="290" t="str">
        <f>IF(TRUE=ISBLANK(ChemData!S34),"",(ChemData!S34))</f>
        <v>NA</v>
      </c>
      <c r="P34" s="291" t="str">
        <f>IF(TRUE=ISBLANK(ChemData!T34),"",(ChemData!T34))</f>
        <v>NA</v>
      </c>
      <c r="Q34" s="375" t="str">
        <f>IF(Start!$C$18="x",IF(OR(K34="NA",K34="",K34="--"),"NA",(K34*1000000/82.1/Data!$D$50)),"---")</f>
        <v>NA</v>
      </c>
      <c r="R34" s="376">
        <f>IF(Start!$C$18="x",IF(OR(J34="NA",J34=0,J34=""),"NA",(0.32*(Data!$D$48+Data!$D$49)*(18/J34)^0.5)),"---")</f>
        <v>0.22659406378535701</v>
      </c>
      <c r="S34" s="376">
        <f>IF(Start!$C$18="x",IF(OR(J34="NA",J34= 0,J34=""),"NA",(0.0065*((Data!$D$49^0.969)/(Data!$D$51^0.673))*(32/J34)^0.5*EXP(0.526*Data!$D$48^-1.9))),"---")</f>
        <v>4.7759820711117161E-4</v>
      </c>
      <c r="T34" s="377" t="str">
        <f>IF(Start!$C$18="x",IF(OR(S34="NA",R34="NA",R34=0,Q34="NA",S34=0,Q34=0),"NA",(1/(1/S34+(1/(R34*Q34))))),"---")</f>
        <v>NA</v>
      </c>
      <c r="U34" s="375" t="str">
        <f>IF(Start!$C$18="x",IF(OR(F34="NA",F34="",O34="NA",O34=""),"NA",(F34*$O34)/(Data!$D$10/100)),"---")</f>
        <v>NA</v>
      </c>
      <c r="V34" s="376" t="str">
        <f>IF(Start!$C$18="x",IF(OR(U34="NA",M34="NA",M34="",U34=""),"NA",U34/((Data!$D$18+((1-Data!$D$18)*Data!$D$14*M34))/((1-Data!$D$18)*Data!$D$14*1000))),"---")</f>
        <v>NA</v>
      </c>
      <c r="W34" s="376" t="str">
        <f>IF(Start!$C$18="x",IF(OR(G34="NA",U34="NA",G34="",U34=""),"NA",(U34 +($G34*(Data!$D$19-Data!$D$22)/(Data!$D$19*Data!$D$22)))),"---")</f>
        <v>NA</v>
      </c>
      <c r="X34" s="376" t="str">
        <f>IF(Start!$C$18="x",IF(OR(G34="NA",V34="NA",G34="",V34=""),"NA",(((Data!$D$22*Data!$D$18)*V34)+(Data!$D$19-Data!$D$22)*$G34)/((Data!$D$22*Data!$D$18)+Data!$D$19-Data!$D$22)),"---")</f>
        <v>NA</v>
      </c>
      <c r="Y34" s="376" t="str">
        <f>IF(Start!$C$18="x",IF(OR(W34="NA",W34="",M34="NA",M34=""),"NA",(W34/((Data!$D$23+((1-Data!$D$23)*Data!$D$14*M34)) /((1-Data!$D$23)*Data!$D$14*1000)))),"---")</f>
        <v>NA</v>
      </c>
      <c r="Z34" s="376" t="str">
        <f>IF(Start!$C$18="x",IF(OR(Y34="NA",X34="NA"),"NA",IF(Y34&gt;X34, Y34, X34)),"---")</f>
        <v>NA</v>
      </c>
      <c r="AA34" s="461" t="str">
        <f>IF(Start!$C$18="x",IF(OR(Z34="NA",T34="NA"),"NA",Z34*T34/(1000000000)),"---")</f>
        <v>NA</v>
      </c>
      <c r="AB34" s="1057" t="str">
        <f>IF(Start!$C$18="x",IF(AA34 = "NA", "NA", AA34*(Data!$D$52*Data!$D$53*10000)),"---")</f>
        <v>NA</v>
      </c>
      <c r="AC34" s="375" t="str">
        <f>IF(Start!$C$18="x",IF(AB34="NA", "NA", AB34*Data!$D$54),"---")</f>
        <v>NA</v>
      </c>
      <c r="AD34" s="498" t="str">
        <f>IF(Start!$C$18="x",IF(AC34="NA","NA",AC34*Data!$D$41),"---")</f>
        <v>NA</v>
      </c>
      <c r="AE34" s="376" t="str">
        <f>IF(Start!$C$18="x",IF(AB34 = "NA", "NA", AB34/(Data!$D$53*3*Data!$D$48)*1000),"---")</f>
        <v>NA</v>
      </c>
      <c r="AF34" s="498" t="str">
        <f>IF(Start!$C$18="x",IF(AE34="NA","NA",AE34*Data!$D$46),"---")</f>
        <v>NA</v>
      </c>
      <c r="AG34" s="375">
        <f>IF(Start!$C$18="x",IF(OR($L34="NA",L34=""),"NA",($L34*(Data!$D$55^3.33)/(Data!$D$18^2))),"---")</f>
        <v>1.5525964426736387E-3</v>
      </c>
      <c r="AH34" s="376" t="str">
        <f>IF(Start!$C$18="x",IF(OR(F34="NA",F34="",P34="NA",P34=""),"NA",IF(100/Data!$D$10&gt;Data!$D$13,(F34*$P34)/(Data!$D$10/100),(F34*$P34)*Data!$D$13)),"---")</f>
        <v>NA</v>
      </c>
      <c r="AI34" s="489" t="str">
        <f>IF(Start!$C$18="x",IF(OR($N34="NA",$Q34="NA",$Q34=0,Q34="",N34=""),"NA",(1000*$N34/$Q34)),"---")</f>
        <v>NA</v>
      </c>
      <c r="AJ34" s="376" t="str">
        <f>IF(Start!$C$18="x",IF(OR(Q34 = "NA",Q34=0,N34 = "NA",N34="",Q34=""), "NA", IF($AG34="NA","NA",(3.1416*Data!$D$57*86400/($AG34*(Data!$D$55+(N34*Data!$D$19/(Q34*1000)))))^0.5)),"---")</f>
        <v>NA</v>
      </c>
      <c r="AK34" s="376" t="str">
        <f>IF(Start!$C$18="x",IF(OR(AH34 = "NA",AI34="NA",AI34=0,AI34="",AH34=""), "NA", AH34/AI34),"---")</f>
        <v>NA</v>
      </c>
      <c r="AL34" s="376" t="str">
        <f>IF(Start!$C$18="x",IF(OR(AK34 ="NA",AK34="",AJ34= "NA",R34="NA",R34=0),"NA",(2*AK34)/(1000*(1/$R34+AJ34))),"---")</f>
        <v>NA</v>
      </c>
      <c r="AM34" s="376" t="str">
        <f>IF(Start!$C$18="x",IF(AL34 = "NA", "NA", AL34*(Data!$D$52*Data!$D$53*10000)),"---")</f>
        <v>NA</v>
      </c>
      <c r="AN34" s="376" t="str">
        <f>IF(Start!$C$18="x",IF(AM34 = "NA", "NA", AM34*(Data!$D$54)),"---")</f>
        <v>NA</v>
      </c>
      <c r="AO34" s="498" t="str">
        <f>IF(Start!$C$18="x",IF(AN34="NA","NA",AN34*Data!$D$41),"---")</f>
        <v>NA</v>
      </c>
      <c r="AP34" s="376" t="str">
        <f>IF(Start!$C$18="x",IF(OR(Q34=0,N34="NA",N34="",AG34="NA",AG34="",AG34=0,Q34="",Q34="NA"),"NA", (3.1416*Data!$D$56*86400/($AG34*(Data!$D$55+(N34*Data!$D$19/(Q34*1000)))))^0.5),"---")</f>
        <v>NA</v>
      </c>
      <c r="AQ34" s="376" t="str">
        <f>IF(Start!$C$18="x",IF(OR(AH34="NA",AI34="NA",AI34="",AI34=0,AH34=""),"NA", AH34/AI34),"---")</f>
        <v>NA</v>
      </c>
      <c r="AR34" s="376" t="str">
        <f>IF(Start!$C$18="x",IF(OR(AQ34="NA",AP34="NA",$R34="NA",R34=0,R34=""),"NA",(2*AQ34)/(1000*(1/$R34+AP34))),"---")</f>
        <v>NA</v>
      </c>
      <c r="AS34" s="376" t="str">
        <f>IF(Start!$C$18="x",IF(AR34 = "NA", "NA", AR34*(Data!$D$52*Data!$D$53*10000)),"---")</f>
        <v>NA</v>
      </c>
      <c r="AT34" s="376" t="str">
        <f>IF(Start!$C$18="x",IF(AS34 = "NA", "NA", (AS34*1000)/(Data!$D$48*3*Data!$D$53)),"---")</f>
        <v>NA</v>
      </c>
      <c r="AU34" s="498" t="str">
        <f>IF(Start!$C$18="x",IF(AT34="NA","NA",AT34*Data!$D$47),"---")</f>
        <v>NA</v>
      </c>
      <c r="AV34" s="283" t="str">
        <f>IF(Start!$C$18="x",(IF(AND(F34="",G34= "",G34&lt;&gt;"NA"),"",IF(OR(AD34="NA",I34="NA",I34=0),"NA",(AD34/I34)))),"Not Req.")</f>
        <v/>
      </c>
      <c r="AW34" s="284" t="str">
        <f>IF(Start!$C$18="x",(IF(AND(F34="",G34= "",G34&lt;&gt;"NA"),"",IF(OR(AF34="NA",I34="NA",I34=0),"NA",(AF34/I34)))),"Not Req.")</f>
        <v/>
      </c>
      <c r="AX34" s="284" t="str">
        <f>IF(Start!$C$18="x",(IF(F34 ="","",IF(OR(AO34="NA",I34="NA",I34=0),"NA",(AO34/I34)))),"Not Req.")</f>
        <v/>
      </c>
      <c r="AY34" s="344" t="str">
        <f>IF(Start!$C$18="x",(IF(F34 ="","",IF(OR(AU34="NA",I34="NA",I34=0),"NA",(AU34/I34)))),"Not Req.")</f>
        <v/>
      </c>
      <c r="AZ34" s="208"/>
    </row>
    <row r="35" spans="1:52" s="181" customFormat="1" x14ac:dyDescent="0.25">
      <c r="A35" s="405" t="s">
        <v>353</v>
      </c>
      <c r="B35" s="347" t="str">
        <f>IF(Start!$C$18="x",IF(AND(OR(F35="",F35="NA"),OR(G35="",G35="NA")),"",IF(I35="NA","NA",IF(AND(I35="",K35="--"),"NA",IF(AD35="NA","Missing Data",IF(I35="","No Criteria",IF(AD35&gt;=I35,"Needed","No")))))),"---")</f>
        <v/>
      </c>
      <c r="C35" s="501" t="str">
        <f>IF(Start!$C$18="x",IF(AND(OR(F35="",F35="NA"),OR(G35="",G35="NA")),"",IF(I35="NA","NA",IF(AND(I35="",K35="--"),"NA",IF(AF35="NA","Missing Data",IF(I35="","No Criteria",IF(AF35&gt;=I35,"Needed","No")))))),"---")</f>
        <v/>
      </c>
      <c r="D35" s="347" t="str">
        <f>IF(Start!$C$18="x",IF(AND(OR(F35="",F35="NA"),OR(G35="",G35="NA")),"",IF(I35="NA","NA",IF(AND(I35="",K35="--"),"NA",IF(AO35="NA","Missing Data",IF(I35="","No Criteria",IF(AO35&gt;=I35,"Needed","No")))))),"---")</f>
        <v/>
      </c>
      <c r="E35" s="401" t="str">
        <f>IF(Start!$C$18="x",IF(AND(OR(F35="",F35="NA"),OR(G35="",G35="NA")),"",IF(I35="NA","NA",IF(AND(I35="",K35="--"),"NA",IF(AU35="NA","Missing Data",IF(I35="","No Criteria",IF(AU35&gt;=I35,"Needed","No")))))),"---")</f>
        <v/>
      </c>
      <c r="F35" s="431" t="str">
        <f>IF(TRUE=ISBLANK(ChemData!B35),"",(ChemData!B35))</f>
        <v/>
      </c>
      <c r="G35" s="432" t="str">
        <f>IF(TRUE=ISBLANK(ChemData!C35),"",(ChemData!C35))</f>
        <v/>
      </c>
      <c r="H35" s="433" t="str">
        <f>IF(TRUE=ISBLANK(ChemData!D35),"",(ChemData!D35))</f>
        <v/>
      </c>
      <c r="I35" s="919" t="str">
        <f>IF(TRUE=ISBLANK(ChemData!K35),"",(ChemData!K35))</f>
        <v>NA</v>
      </c>
      <c r="J35" s="290">
        <f>IF(TRUE=ISBLANK(ChemData!M35),"",(ChemData!M35))</f>
        <v>50.941000000000003</v>
      </c>
      <c r="K35" s="290" t="str">
        <f>IF(TRUE=ISBLANK(ChemData!N35),"",(ChemData!N35))</f>
        <v>--</v>
      </c>
      <c r="L35" s="290">
        <f>IF(TRUE=ISBLANK(ChemData!O35),"",(ChemData!O35))</f>
        <v>0.1802274355991158</v>
      </c>
      <c r="M35" s="290">
        <f>IF(TRUE=ISBLANK(ChemData!Q35),"",(ChemData!Q35))</f>
        <v>110</v>
      </c>
      <c r="N35" s="290">
        <f>IF(TRUE=ISBLANK(ChemData!R35),"",(ChemData!R35))</f>
        <v>20</v>
      </c>
      <c r="O35" s="290">
        <f>IF(TRUE=ISBLANK(ChemData!S35),"",(ChemData!S35))</f>
        <v>1</v>
      </c>
      <c r="P35" s="291">
        <f>IF(TRUE=ISBLANK(ChemData!T35),"",(ChemData!T35))</f>
        <v>1</v>
      </c>
      <c r="Q35" s="375" t="str">
        <f>IF(Start!$C$18="x",IF(OR(K35="NA",K35="",K35="--"),"NA",(K35*1000000/82.1/Data!$D$50)),"---")</f>
        <v>NA</v>
      </c>
      <c r="R35" s="376">
        <f>IF(Start!$C$18="x",IF(OR(J35="NA",J35=0,J35=""),"NA",(0.32*(Data!$D$48+Data!$D$49)*(18/J35)^0.5)),"---")</f>
        <v>0.48981235006644669</v>
      </c>
      <c r="S35" s="376">
        <f>IF(Start!$C$18="x",IF(OR(J35="NA",J35= 0,J35=""),"NA",(0.0065*((Data!$D$49^0.969)/(Data!$D$51^0.673))*(32/J35)^0.5*EXP(0.526*Data!$D$48^-1.9))),"---")</f>
        <v>1.0323902414064996E-3</v>
      </c>
      <c r="T35" s="377" t="str">
        <f>IF(Start!$C$18="x",IF(OR(S35="NA",R35="NA",R35=0,Q35="NA",S35=0,Q35=0),"NA",(1/(1/S35+(1/(R35*Q35))))),"---")</f>
        <v>NA</v>
      </c>
      <c r="U35" s="375" t="str">
        <f>IF(Start!$C$18="x",IF(OR(F35="NA",F35="",O35="NA",O35=""),"NA",(F35*$O35)/(Data!$D$10/100)),"---")</f>
        <v>NA</v>
      </c>
      <c r="V35" s="376" t="str">
        <f>IF(Start!$C$18="x",IF(OR(U35="NA",M35="NA",M35="",U35=""),"NA",U35/((Data!$D$18+((1-Data!$D$18)*Data!$D$14*M35))/((1-Data!$D$18)*Data!$D$14*1000))),"---")</f>
        <v>NA</v>
      </c>
      <c r="W35" s="376" t="str">
        <f>IF(Start!$C$18="x",IF(OR(G35="NA",U35="NA",G35="",U35=""),"NA",(U35 +($G35*(Data!$D$19-Data!$D$22)/(Data!$D$19*Data!$D$22)))),"---")</f>
        <v>NA</v>
      </c>
      <c r="X35" s="376" t="str">
        <f>IF(Start!$C$18="x",IF(OR(G35="NA",V35="NA",G35="",V35=""),"NA",(((Data!$D$22*Data!$D$18)*V35)+(Data!$D$19-Data!$D$22)*$G35)/((Data!$D$22*Data!$D$18)+Data!$D$19-Data!$D$22)),"---")</f>
        <v>NA</v>
      </c>
      <c r="Y35" s="376" t="str">
        <f>IF(Start!$C$18="x",IF(OR(W35="NA",W35="",M35="NA",M35=""),"NA",(W35/((Data!$D$23+((1-Data!$D$23)*Data!$D$14*M35)) /((1-Data!$D$23)*Data!$D$14*1000)))),"---")</f>
        <v>NA</v>
      </c>
      <c r="Z35" s="376" t="str">
        <f>IF(Start!$C$18="x",IF(OR(Y35="NA",X35="NA"),"NA",IF(Y35&gt;X35, Y35, X35)),"---")</f>
        <v>NA</v>
      </c>
      <c r="AA35" s="461" t="str">
        <f>IF(Start!$C$18="x",IF(OR(Z35="NA",T35="NA"),"NA",Z35*T35/(1000000000)),"---")</f>
        <v>NA</v>
      </c>
      <c r="AB35" s="1057" t="str">
        <f>IF(Start!$C$18="x",IF(AA35 = "NA", "NA", AA35*(Data!$D$52*Data!$D$53*10000)),"---")</f>
        <v>NA</v>
      </c>
      <c r="AC35" s="375" t="str">
        <f>IF(Start!$C$18="x",IF(AB35="NA", "NA", AB35*Data!$D$54),"---")</f>
        <v>NA</v>
      </c>
      <c r="AD35" s="498" t="str">
        <f>IF(Start!$C$18="x",IF(AC35="NA","NA",AC35*Data!$D$41),"---")</f>
        <v>NA</v>
      </c>
      <c r="AE35" s="376" t="str">
        <f>IF(Start!$C$18="x",IF(AB35 = "NA", "NA", AB35/(Data!$D$53*3*Data!$D$48)*1000),"---")</f>
        <v>NA</v>
      </c>
      <c r="AF35" s="498" t="str">
        <f>IF(Start!$C$18="x",IF(AE35="NA","NA",AE35*Data!$D$46),"---")</f>
        <v>NA</v>
      </c>
      <c r="AG35" s="375">
        <f>IF(Start!$C$18="x",IF(OR($L35="NA",L35=""),"NA",($L35*(Data!$D$55^3.33)/(Data!$D$18^2))),"---")</f>
        <v>1.8360658586551101E-3</v>
      </c>
      <c r="AH35" s="376" t="str">
        <f>IF(Start!$C$18="x",IF(OR(F35="NA",F35="",P35="NA",P35=""),"NA",IF(100/Data!$D$10&gt;Data!$D$13,(F35*$P35)/(Data!$D$10/100),(F35*$P35)*Data!$D$13)),"---")</f>
        <v>NA</v>
      </c>
      <c r="AI35" s="489" t="str">
        <f>IF(Start!$C$18="x",IF(OR($N35="NA",$Q35="NA",$Q35=0,Q35="",N35=""),"NA",(1000*$N35/$Q35)),"---")</f>
        <v>NA</v>
      </c>
      <c r="AJ35" s="376" t="str">
        <f>IF(Start!$C$18="x",IF(OR(Q35 = "NA",Q35=0,N35 = "NA",N35="",Q35=""), "NA", IF($AG35="NA","NA",(3.1416*Data!$D$57*86400/($AG35*(Data!$D$55+(N35*Data!$D$19/(Q35*1000)))))^0.5)),"---")</f>
        <v>NA</v>
      </c>
      <c r="AK35" s="376" t="str">
        <f>IF(Start!$C$18="x",IF(OR(AH35 = "NA",AI35="NA",AI35=0,AI35="",AH35=""), "NA", AH35/AI35),"---")</f>
        <v>NA</v>
      </c>
      <c r="AL35" s="376" t="str">
        <f>IF(Start!$C$18="x",IF(OR(AK35 ="NA",AK35="",AJ35= "NA",R35="NA",R35=0),"NA",(2*AK35)/(1000*(1/$R35+AJ35))),"---")</f>
        <v>NA</v>
      </c>
      <c r="AM35" s="376" t="str">
        <f>IF(Start!$C$18="x",IF(AL35 = "NA", "NA", AL35*(Data!$D$52*Data!$D$53*10000)),"---")</f>
        <v>NA</v>
      </c>
      <c r="AN35" s="376" t="str">
        <f>IF(Start!$C$18="x",IF(AM35 = "NA", "NA", AM35*(Data!$D$54)),"---")</f>
        <v>NA</v>
      </c>
      <c r="AO35" s="498" t="str">
        <f>IF(Start!$C$18="x",IF(AN35="NA","NA",AN35*Data!$D$41),"---")</f>
        <v>NA</v>
      </c>
      <c r="AP35" s="376" t="str">
        <f>IF(Start!$C$18="x",IF(OR(Q35=0,N35="NA",N35="",AG35="NA",AG35="",AG35=0,Q35="",Q35="NA"),"NA", (3.1416*Data!$D$56*86400/($AG35*(Data!$D$55+(N35*Data!$D$19/(Q35*1000)))))^0.5),"---")</f>
        <v>NA</v>
      </c>
      <c r="AQ35" s="376" t="str">
        <f>IF(Start!$C$18="x",IF(OR(AH35="NA",AI35="NA",AI35="",AI35=0,AH35=""),"NA", AH35/AI35),"---")</f>
        <v>NA</v>
      </c>
      <c r="AR35" s="376" t="str">
        <f>IF(Start!$C$18="x",IF(OR(AQ35="NA",AP35="NA",$R35="NA",R35=0,R35=""),"NA",(2*AQ35)/(1000*(1/$R35+AP35))),"---")</f>
        <v>NA</v>
      </c>
      <c r="AS35" s="376" t="str">
        <f>IF(Start!$C$18="x",IF(AR35 = "NA", "NA", AR35*(Data!$D$52*Data!$D$53*10000)),"---")</f>
        <v>NA</v>
      </c>
      <c r="AT35" s="376" t="str">
        <f>IF(Start!$C$18="x",IF(AS35 = "NA", "NA", (AS35*1000)/(Data!$D$48*3*Data!$D$53)),"---")</f>
        <v>NA</v>
      </c>
      <c r="AU35" s="498" t="str">
        <f>IF(Start!$C$18="x",IF(AT35="NA","NA",AT35*Data!$D$47),"---")</f>
        <v>NA</v>
      </c>
      <c r="AV35" s="283" t="str">
        <f>IF(Start!$C$18="x",(IF(AND(F35="",G35= "",G35&lt;&gt;"NA"),"",IF(OR(AD35="NA",I35="NA",I35=0),"NA",(AD35/I35)))),"Not Req.")</f>
        <v/>
      </c>
      <c r="AW35" s="284" t="str">
        <f>IF(Start!$C$18="x",(IF(AND(F35="",G35= "",G35&lt;&gt;"NA"),"",IF(OR(AF35="NA",I35="NA",I35=0),"NA",(AF35/I35)))),"Not Req.")</f>
        <v/>
      </c>
      <c r="AX35" s="284" t="str">
        <f>IF(Start!$C$18="x",(IF(F35 ="","",IF(OR(AO35="NA",I35="NA",I35=0),"NA",(AO35/I35)))),"Not Req.")</f>
        <v/>
      </c>
      <c r="AY35" s="344" t="str">
        <f>IF(Start!$C$18="x",(IF(F35 ="","",IF(OR(AU35="NA",I35="NA",I35=0),"NA",(AU35/I35)))),"Not Req.")</f>
        <v/>
      </c>
      <c r="AZ35" s="208"/>
    </row>
    <row r="36" spans="1:52" s="183" customFormat="1" x14ac:dyDescent="0.25">
      <c r="A36" s="405" t="s">
        <v>354</v>
      </c>
      <c r="B36" s="347" t="str">
        <f>IF(Start!$C$18="x",IF(AND(OR(F36="",F36="NA"),OR(G36="",G36="NA")),"",IF(I36="NA","NA",IF(AND(I36="",K36="--"),"NA",IF(AD36="NA","Missing Data",IF(I36="","No Criteria",IF(AD36&gt;=I36,"Needed","No")))))),"---")</f>
        <v/>
      </c>
      <c r="C36" s="501" t="str">
        <f>IF(Start!$C$18="x",IF(AND(OR(F36="",F36="NA"),OR(G36="",G36="NA")),"",IF(I36="NA","NA",IF(AND(I36="",K36="--"),"NA",IF(AF36="NA","Missing Data",IF(I36="","No Criteria",IF(AF36&gt;=I36,"Needed","No")))))),"---")</f>
        <v/>
      </c>
      <c r="D36" s="347" t="str">
        <f>IF(Start!$C$18="x",IF(AND(OR(F36="",F36="NA"),OR(G36="",G36="NA")),"",IF(I36="NA","NA",IF(AND(I36="",K36="--"),"NA",IF(AO36="NA","Missing Data",IF(I36="","No Criteria",IF(AO36&gt;=I36,"Needed","No")))))),"---")</f>
        <v/>
      </c>
      <c r="E36" s="401" t="str">
        <f>IF(Start!$C$18="x",IF(AND(OR(F36="",F36="NA"),OR(G36="",G36="NA")),"",IF(I36="NA","NA",IF(AND(I36="",K36="--"),"NA",IF(AU36="NA","Missing Data",IF(I36="","No Criteria",IF(AU36&gt;=I36,"Needed","No")))))),"---")</f>
        <v/>
      </c>
      <c r="F36" s="431" t="str">
        <f>IF(TRUE=ISBLANK(ChemData!B36),"",(ChemData!B36))</f>
        <v/>
      </c>
      <c r="G36" s="432" t="str">
        <f>IF(TRUE=ISBLANK(ChemData!C36),"",(ChemData!C36))</f>
        <v/>
      </c>
      <c r="H36" s="433" t="str">
        <f>IF(TRUE=ISBLANK(ChemData!D36),"",(ChemData!D36))</f>
        <v/>
      </c>
      <c r="I36" s="919" t="str">
        <f>IF(TRUE=ISBLANK(ChemData!K36),"",(ChemData!K36))</f>
        <v>NA</v>
      </c>
      <c r="J36" s="290">
        <f>IF(TRUE=ISBLANK(ChemData!M36),"",(ChemData!M36))</f>
        <v>65.38</v>
      </c>
      <c r="K36" s="290" t="str">
        <f>IF(TRUE=ISBLANK(ChemData!N36),"",(ChemData!N36))</f>
        <v>--</v>
      </c>
      <c r="L36" s="290" t="str">
        <f>IF(TRUE=ISBLANK(ChemData!O36),"",(ChemData!O36))</f>
        <v>NA</v>
      </c>
      <c r="M36" s="290">
        <f>IF(TRUE=ISBLANK(ChemData!Q36),"",(ChemData!Q36))</f>
        <v>130</v>
      </c>
      <c r="N36" s="290">
        <f>IF(TRUE=ISBLANK(ChemData!R36),"",(ChemData!R36))</f>
        <v>80</v>
      </c>
      <c r="O36" s="290">
        <f>IF(TRUE=ISBLANK(ChemData!S36),"",(ChemData!S36))</f>
        <v>0.02</v>
      </c>
      <c r="P36" s="291">
        <f>IF(TRUE=ISBLANK(ChemData!T36),"",(ChemData!T36))</f>
        <v>0.3</v>
      </c>
      <c r="Q36" s="375" t="str">
        <f>IF(Start!$C$18="x",IF(OR(K36="NA",K36="",K36="--"),"NA",(K36*1000000/82.1/Data!$D$50)),"---")</f>
        <v>NA</v>
      </c>
      <c r="R36" s="376">
        <f>IF(Start!$C$18="x",IF(OR(J36="NA",J36=0,J36=""),"NA",(0.32*(Data!$D$48+Data!$D$49)*(18/J36)^0.5)),"---")</f>
        <v>0.43235551803312544</v>
      </c>
      <c r="S36" s="376">
        <f>IF(Start!$C$18="x",IF(OR(J36="NA",J36= 0,J36=""),"NA",(0.0065*((Data!$D$49^0.969)/(Data!$D$51^0.673))*(32/J36)^0.5*EXP(0.526*Data!$D$48^-1.9))),"---")</f>
        <v>9.112869807694693E-4</v>
      </c>
      <c r="T36" s="377" t="str">
        <f>IF(Start!$C$18="x",IF(OR(S36="NA",R36="NA",R36=0,Q36="NA",S36=0,Q36=0),"NA",(1/(1/S36+(1/(R36*Q36))))),"---")</f>
        <v>NA</v>
      </c>
      <c r="U36" s="375" t="str">
        <f>IF(Start!$C$18="x",IF(OR(F36="NA",F36="",O36="NA",O36=""),"NA",(F36*$O36)/(Data!$D$10/100)),"---")</f>
        <v>NA</v>
      </c>
      <c r="V36" s="376" t="str">
        <f>IF(Start!$C$18="x",IF(OR(U36="NA",M36="NA",M36="",U36=""),"NA",U36/((Data!$D$18+((1-Data!$D$18)*Data!$D$14*M36))/((1-Data!$D$18)*Data!$D$14*1000))),"---")</f>
        <v>NA</v>
      </c>
      <c r="W36" s="376" t="str">
        <f>IF(Start!$C$18="x",IF(OR(G36="NA",U36="NA",G36="",U36=""),"NA",(U36 +($G36*(Data!$D$19-Data!$D$22)/(Data!$D$19*Data!$D$22)))),"---")</f>
        <v>NA</v>
      </c>
      <c r="X36" s="376" t="str">
        <f>IF(Start!$C$18="x",IF(OR(G36="NA",V36="NA",G36="",V36=""),"NA",(((Data!$D$22*Data!$D$18)*V36)+(Data!$D$19-Data!$D$22)*$G36)/((Data!$D$22*Data!$D$18)+Data!$D$19-Data!$D$22)),"---")</f>
        <v>NA</v>
      </c>
      <c r="Y36" s="376" t="str">
        <f>IF(Start!$C$18="x",IF(OR(W36="NA",W36="",M36="NA",M36=""),"NA",(W36/((Data!$D$23+((1-Data!$D$23)*Data!$D$14*M36)) /((1-Data!$D$23)*Data!$D$14*1000)))),"---")</f>
        <v>NA</v>
      </c>
      <c r="Z36" s="376" t="str">
        <f>IF(Start!$C$18="x",IF(OR(Y36="NA",X36="NA"),"NA",IF(Y36&gt;X36, Y36, X36)),"---")</f>
        <v>NA</v>
      </c>
      <c r="AA36" s="461" t="str">
        <f>IF(Start!$C$18="x",IF(OR(Z36="NA",T36="NA"),"NA",Z36*T36/(1000000000)),"---")</f>
        <v>NA</v>
      </c>
      <c r="AB36" s="1057" t="str">
        <f>IF(Start!$C$18="x",IF(AA36 = "NA", "NA", AA36*(Data!$D$52*Data!$D$53*10000)),"---")</f>
        <v>NA</v>
      </c>
      <c r="AC36" s="375" t="str">
        <f>IF(Start!$C$18="x",IF(AB36="NA", "NA", AB36*Data!$D$54),"---")</f>
        <v>NA</v>
      </c>
      <c r="AD36" s="498" t="str">
        <f>IF(Start!$C$18="x",IF(AC36="NA","NA",AC36*Data!$D$41),"---")</f>
        <v>NA</v>
      </c>
      <c r="AE36" s="376" t="str">
        <f>IF(Start!$C$18="x",IF(AB36 = "NA", "NA", AB36/(Data!$D$53*3*Data!$D$48)*1000),"---")</f>
        <v>NA</v>
      </c>
      <c r="AF36" s="498" t="str">
        <f>IF(Start!$C$18="x",IF(AE36="NA","NA",AE36*Data!$D$46),"---")</f>
        <v>NA</v>
      </c>
      <c r="AG36" s="375" t="str">
        <f>IF(Start!$C$18="x",IF(OR($L36="NA",L36=""),"NA",($L36*(Data!$D$55^3.33)/(Data!$D$18^2))),"---")</f>
        <v>NA</v>
      </c>
      <c r="AH36" s="376" t="str">
        <f>IF(Start!$C$18="x",IF(OR(F36="NA",F36="",P36="NA",P36=""),"NA",IF(100/Data!$D$10&gt;Data!$D$13,(F36*$P36)/(Data!$D$10/100),(F36*$P36)*Data!$D$13)),"---")</f>
        <v>NA</v>
      </c>
      <c r="AI36" s="489" t="str">
        <f>IF(Start!$C$18="x",IF(OR($N36="NA",$Q36="NA",$Q36=0,Q36="",N36=""),"NA",(1000*$N36/$Q36)),"---")</f>
        <v>NA</v>
      </c>
      <c r="AJ36" s="376" t="str">
        <f>IF(Start!$C$18="x",IF(OR(Q36 = "NA",Q36=0,N36 = "NA",N36="",Q36=""), "NA", IF($AG36="NA","NA",(3.1416*Data!$D$57*86400/($AG36*(Data!$D$55+(N36*Data!$D$19/(Q36*1000)))))^0.5)),"---")</f>
        <v>NA</v>
      </c>
      <c r="AK36" s="376" t="str">
        <f>IF(Start!$C$18="x",IF(OR(AH36 = "NA",AI36="NA",AI36=0,AI36="",AH36=""), "NA", AH36/AI36),"---")</f>
        <v>NA</v>
      </c>
      <c r="AL36" s="376" t="str">
        <f>IF(Start!$C$18="x",IF(OR(AK36 ="NA",AK36="",AJ36= "NA",R36="NA",R36=0),"NA",(2*AK36)/(1000*(1/$R36+AJ36))),"---")</f>
        <v>NA</v>
      </c>
      <c r="AM36" s="376" t="str">
        <f>IF(Start!$C$18="x",IF(AL36 = "NA", "NA", AL36*(Data!$D$52*Data!$D$53*10000)),"---")</f>
        <v>NA</v>
      </c>
      <c r="AN36" s="376" t="str">
        <f>IF(Start!$C$18="x",IF(AM36 = "NA", "NA", AM36*(Data!$D$54)),"---")</f>
        <v>NA</v>
      </c>
      <c r="AO36" s="498" t="str">
        <f>IF(Start!$C$18="x",IF(AN36="NA","NA",AN36*Data!$D$41),"---")</f>
        <v>NA</v>
      </c>
      <c r="AP36" s="376" t="str">
        <f>IF(Start!$C$18="x",IF(OR(Q36=0,N36="NA",N36="",AG36="NA",AG36="",AG36=0,Q36="",Q36="NA"),"NA", (3.1416*Data!$D$56*86400/($AG36*(Data!$D$55+(N36*Data!$D$19/(Q36*1000)))))^0.5),"---")</f>
        <v>NA</v>
      </c>
      <c r="AQ36" s="376" t="str">
        <f>IF(Start!$C$18="x",IF(OR(AH36="NA",AI36="NA",AI36="",AI36=0,AH36=""),"NA", AH36/AI36),"---")</f>
        <v>NA</v>
      </c>
      <c r="AR36" s="376" t="str">
        <f>IF(Start!$C$18="x",IF(OR(AQ36="NA",AP36="NA",$R36="NA",R36=0,R36=""),"NA",(2*AQ36)/(1000*(1/$R36+AP36))),"---")</f>
        <v>NA</v>
      </c>
      <c r="AS36" s="376" t="str">
        <f>IF(Start!$C$18="x",IF(AR36 = "NA", "NA", AR36*(Data!$D$52*Data!$D$53*10000)),"---")</f>
        <v>NA</v>
      </c>
      <c r="AT36" s="376" t="str">
        <f>IF(Start!$C$18="x",IF(AS36 = "NA", "NA", (AS36*1000)/(Data!$D$48*3*Data!$D$53)),"---")</f>
        <v>NA</v>
      </c>
      <c r="AU36" s="498" t="str">
        <f>IF(Start!$C$18="x",IF(AT36="NA","NA",AT36*Data!$D$47),"---")</f>
        <v>NA</v>
      </c>
      <c r="AV36" s="283" t="str">
        <f>IF(Start!$C$18="x",(IF(AND(F36="",G36= "",G36&lt;&gt;"NA"),"",IF(OR(AD36="NA",I36="NA",I36=0),"NA",(AD36/I36)))),"Not Req.")</f>
        <v/>
      </c>
      <c r="AW36" s="284" t="str">
        <f>IF(Start!$C$18="x",(IF(AND(F36="",G36= "",G36&lt;&gt;"NA"),"",IF(OR(AF36="NA",I36="NA",I36=0),"NA",(AF36/I36)))),"Not Req.")</f>
        <v/>
      </c>
      <c r="AX36" s="284" t="str">
        <f>IF(Start!$C$18="x",(IF(F36 ="","",IF(OR(AO36="NA",I36="NA",I36=0),"NA",(AO36/I36)))),"Not Req.")</f>
        <v/>
      </c>
      <c r="AY36" s="344" t="str">
        <f>IF(Start!$C$18="x",(IF(F36 ="","",IF(OR(AU36="NA",I36="NA",I36=0),"NA",(AU36/I36)))),"Not Req.")</f>
        <v/>
      </c>
      <c r="AZ36" s="208"/>
    </row>
    <row r="37" spans="1:52" s="23" customFormat="1" ht="13.8" thickBot="1" x14ac:dyDescent="0.3">
      <c r="A37" s="407" t="s">
        <v>355</v>
      </c>
      <c r="B37" s="347" t="str">
        <f>IF(Start!$C$18="x",IF(AND(OR(F37="",F37="NA"),OR(G37="",G37="NA")),"",IF(I37="NA","NA",IF(AND(I37="",K37="--"),"NA",IF(AD37="NA","Missing Data",IF(I37="","No Criteria",IF(AD37&gt;=I37,"Needed","No")))))),"---")</f>
        <v/>
      </c>
      <c r="C37" s="501" t="str">
        <f>IF(Start!$C$18="x",IF(AND(OR(F37="",F37="NA"),OR(G37="",G37="NA")),"",IF(I37="NA","NA",IF(AND(I37="",K37="--"),"NA",IF(AF37="NA","Missing Data",IF(I37="","No Criteria",IF(AF37&gt;=I37,"Needed","No")))))),"---")</f>
        <v/>
      </c>
      <c r="D37" s="347" t="str">
        <f>IF(Start!$C$18="x",IF(AND(OR(F37="",F37="NA"),OR(G37="",G37="NA")),"",IF(I37="NA","NA",IF(AND(I37="",K37="--"),"NA",IF(AO37="NA","Missing Data",IF(I37="","No Criteria",IF(AO37&gt;=I37,"Needed","No")))))),"---")</f>
        <v/>
      </c>
      <c r="E37" s="401" t="str">
        <f>IF(Start!$C$18="x",IF(AND(OR(F37="",F37="NA"),OR(G37="",G37="NA")),"",IF(I37="NA","NA",IF(AND(I37="",K37="--"),"NA",IF(AU37="NA","Missing Data",IF(I37="","No Criteria",IF(AU37&gt;=I37,"Needed","No")))))),"---")</f>
        <v/>
      </c>
      <c r="F37" s="431" t="str">
        <f>IF(TRUE=ISBLANK(ChemData!B37),"",(ChemData!B37))</f>
        <v/>
      </c>
      <c r="G37" s="432" t="str">
        <f>IF(TRUE=ISBLANK(ChemData!C37),"",(ChemData!C37))</f>
        <v/>
      </c>
      <c r="H37" s="433" t="str">
        <f>IF(TRUE=ISBLANK(ChemData!D37),"",(ChemData!D37))</f>
        <v/>
      </c>
      <c r="I37" s="919" t="str">
        <f>IF(TRUE=ISBLANK(ChemData!K37),"",(ChemData!K37))</f>
        <v>NA</v>
      </c>
      <c r="J37" s="290">
        <f>IF(TRUE=ISBLANK(ChemData!M37),"",(ChemData!M37))</f>
        <v>91.22</v>
      </c>
      <c r="K37" s="290" t="str">
        <f>IF(TRUE=ISBLANK(ChemData!N37),"",(ChemData!N37))</f>
        <v>--</v>
      </c>
      <c r="L37" s="290" t="str">
        <f>IF(TRUE=ISBLANK(ChemData!O37),"",(ChemData!O37))</f>
        <v>NA</v>
      </c>
      <c r="M37" s="290">
        <f>IF(TRUE=ISBLANK(ChemData!Q37),"",(ChemData!Q37))</f>
        <v>3000</v>
      </c>
      <c r="N37" s="290">
        <f>IF(TRUE=ISBLANK(ChemData!R37),"",(ChemData!R37))</f>
        <v>3000</v>
      </c>
      <c r="O37" s="290" t="str">
        <f>IF(TRUE=ISBLANK(ChemData!S37),"",(ChemData!S37))</f>
        <v>NA</v>
      </c>
      <c r="P37" s="291" t="str">
        <f>IF(TRUE=ISBLANK(ChemData!T37),"",(ChemData!T37))</f>
        <v>NA</v>
      </c>
      <c r="Q37" s="375" t="str">
        <f>IF(Start!$C$18="x",IF(OR(K37="NA",K37="",K37="--"),"NA",(K37*1000000/82.1/Data!$D$50)),"---")</f>
        <v>NA</v>
      </c>
      <c r="R37" s="376">
        <f>IF(Start!$C$18="x",IF(OR(J37="NA",J37=0,J37=""),"NA",(0.32*(Data!$D$48+Data!$D$49)*(18/J37)^0.5)),"---")</f>
        <v>0.36603147362526051</v>
      </c>
      <c r="S37" s="376">
        <f>IF(Start!$C$18="x",IF(OR(J37="NA",J37= 0,J37=""),"NA",(0.0065*((Data!$D$49^0.969)/(Data!$D$51^0.673))*(32/J37)^0.5*EXP(0.526*Data!$D$48^-1.9))),"---")</f>
        <v>7.7149406577252746E-4</v>
      </c>
      <c r="T37" s="377" t="str">
        <f>IF(Start!$C$18="x",IF(OR(S37="NA",R37="NA",R37=0,Q37="NA",S37=0,Q37=0),"NA",(1/(1/S37+(1/(R37*Q37))))),"---")</f>
        <v>NA</v>
      </c>
      <c r="U37" s="375" t="str">
        <f>IF(Start!$C$18="x",IF(OR(F37="NA",F37="",O37="NA",O37=""),"NA",(F37*$O37)/(Data!$D$10/100)),"---")</f>
        <v>NA</v>
      </c>
      <c r="V37" s="376" t="str">
        <f>IF(Start!$C$18="x",IF(OR(U37="NA",M37="NA",M37="",U37=""),"NA",U37/((Data!$D$18+((1-Data!$D$18)*Data!$D$14*M37))/((1-Data!$D$18)*Data!$D$14*1000))),"---")</f>
        <v>NA</v>
      </c>
      <c r="W37" s="376" t="str">
        <f>IF(Start!$C$18="x",IF(OR(G37="NA",U37="NA",G37="",U37=""),"NA",(U37 +($G37*(Data!$D$19-Data!$D$22)/(Data!$D$19*Data!$D$22)))),"---")</f>
        <v>NA</v>
      </c>
      <c r="X37" s="376" t="str">
        <f>IF(Start!$C$18="x",IF(OR(G37="NA",V37="NA",G37="",V37=""),"NA",(((Data!$D$22*Data!$D$18)*V37)+(Data!$D$19-Data!$D$22)*$G37)/((Data!$D$22*Data!$D$18)+Data!$D$19-Data!$D$22)),"---")</f>
        <v>NA</v>
      </c>
      <c r="Y37" s="376" t="str">
        <f>IF(Start!$C$18="x",IF(OR(W37="NA",W37="",M37="NA",M37=""),"NA",(W37/((Data!$D$23+((1-Data!$D$23)*Data!$D$14*M37)) /((1-Data!$D$23)*Data!$D$14*1000)))),"---")</f>
        <v>NA</v>
      </c>
      <c r="Z37" s="1061" t="str">
        <f>IF(Start!$C$18="x",IF(OR(Y37="NA",X37="NA"),"NA",IF(Y37&gt;X37, Y37, X37)),"---")</f>
        <v>NA</v>
      </c>
      <c r="AA37" s="461" t="str">
        <f>IF(Start!$C$18="x",IF(OR(Z37="NA",T37="NA"),"NA",Z37*T37/(1000000000)),"---")</f>
        <v>NA</v>
      </c>
      <c r="AB37" s="1057" t="str">
        <f>IF(Start!$C$18="x",IF(AA37 = "NA", "NA", AA37*(Data!$D$52*Data!$D$53*10000)),"---")</f>
        <v>NA</v>
      </c>
      <c r="AC37" s="375" t="str">
        <f>IF(Start!$C$18="x",IF(AB37="NA", "NA", AB37*Data!$D$54),"---")</f>
        <v>NA</v>
      </c>
      <c r="AD37" s="498" t="str">
        <f>IF(Start!$C$18="x",IF(AC37="NA","NA",AC37*Data!$D$41),"---")</f>
        <v>NA</v>
      </c>
      <c r="AE37" s="376" t="str">
        <f>IF(Start!$C$18="x",IF(AB37 = "NA", "NA", AB37/(Data!$D$53*3*Data!$D$48)*1000),"---")</f>
        <v>NA</v>
      </c>
      <c r="AF37" s="498" t="str">
        <f>IF(Start!$C$18="x",IF(AE37="NA","NA",AE37*Data!$D$46),"---")</f>
        <v>NA</v>
      </c>
      <c r="AG37" s="375" t="str">
        <f>IF(Start!$C$18="x",IF(OR($L37="NA",L37=""),"NA",($L37*(Data!$D$55^3.33)/(Data!$D$18^2))),"---")</f>
        <v>NA</v>
      </c>
      <c r="AH37" s="376" t="str">
        <f>IF(Start!$C$18="x",IF(OR(F37="NA",F37="",P37="NA",P37=""),"NA",IF(100/Data!$D$10&gt;Data!$D$13,(F37*$P37)/(Data!$D$10/100),(F37*$P37)*Data!$D$13)),"---")</f>
        <v>NA</v>
      </c>
      <c r="AI37" s="489" t="str">
        <f>IF(Start!$C$18="x",IF(OR($N37="NA",$Q37="NA",$Q37=0,Q37="",N37=""),"NA",(1000*$N37/$Q37)),"---")</f>
        <v>NA</v>
      </c>
      <c r="AJ37" s="376" t="str">
        <f>IF(Start!$C$18="x",IF(OR(Q37 = "NA",Q37=0,N37 = "NA",N37="",Q37=""), "NA", IF($AG37="NA","NA",(3.1416*Data!$D$57*86400/($AG37*(Data!$D$55+(N37*Data!$D$19/(Q37*1000)))))^0.5)),"---")</f>
        <v>NA</v>
      </c>
      <c r="AK37" s="376" t="str">
        <f>IF(Start!$C$18="x",IF(OR(AH37 = "NA",AI37="NA",AI37=0,AI37="",AH37=""), "NA", AH37/AI37),"---")</f>
        <v>NA</v>
      </c>
      <c r="AL37" s="376" t="str">
        <f>IF(Start!$C$18="x",IF(OR(AK37 ="NA",AK37="",AJ37= "NA",R37="NA",R37=0),"NA",(2*AK37)/(1000*(1/$R37+AJ37))),"---")</f>
        <v>NA</v>
      </c>
      <c r="AM37" s="376" t="str">
        <f>IF(Start!$C$18="x",IF(AL37 = "NA", "NA", AL37*(Data!$D$52*Data!$D$53*10000)),"---")</f>
        <v>NA</v>
      </c>
      <c r="AN37" s="376" t="str">
        <f>IF(Start!$C$18="x",IF(AM37 = "NA", "NA", AM37*(Data!$D$54)),"---")</f>
        <v>NA</v>
      </c>
      <c r="AO37" s="498" t="str">
        <f>IF(Start!$C$18="x",IF(AN37="NA","NA",AN37*Data!$D$41),"---")</f>
        <v>NA</v>
      </c>
      <c r="AP37" s="376" t="str">
        <f>IF(Start!$C$18="x",IF(OR(Q37=0,N37="NA",N37="",AG37="NA",AG37="",AG37=0,Q37="",Q37="NA"),"NA", (3.1416*Data!$D$56*86400/($AG37*(Data!$D$55+(N37*Data!$D$19/(Q37*1000)))))^0.5),"---")</f>
        <v>NA</v>
      </c>
      <c r="AQ37" s="376" t="str">
        <f>IF(Start!$C$18="x",IF(OR(AH37="NA",AI37="NA",AI37="",AI37=0,AH37=""),"NA", AH37/AI37),"---")</f>
        <v>NA</v>
      </c>
      <c r="AR37" s="376" t="str">
        <f>IF(Start!$C$18="x",IF(OR(AQ37="NA",AP37="NA",$R37="NA",R37=0,R37=""),"NA",(2*AQ37)/(1000*(1/$R37+AP37))),"---")</f>
        <v>NA</v>
      </c>
      <c r="AS37" s="376" t="str">
        <f>IF(Start!$C$18="x",IF(AR37 = "NA", "NA", AR37*(Data!$D$52*Data!$D$53*10000)),"---")</f>
        <v>NA</v>
      </c>
      <c r="AT37" s="376" t="str">
        <f>IF(Start!$C$18="x",IF(AS37 = "NA", "NA", (AS37*1000)/(Data!$D$48*3*Data!$D$53)),"---")</f>
        <v>NA</v>
      </c>
      <c r="AU37" s="498" t="str">
        <f>IF(Start!$C$18="x",IF(AT37="NA","NA",AT37*Data!$D$47),"---")</f>
        <v>NA</v>
      </c>
      <c r="AV37" s="283" t="str">
        <f>IF(Start!$C$18="x",(IF(AND(F37="",G37= "",G37&lt;&gt;"NA"),"",IF(OR(AD37="NA",I37="NA",I37=0),"NA",(AD37/I37)))),"Not Req.")</f>
        <v/>
      </c>
      <c r="AW37" s="284" t="str">
        <f>IF(Start!$C$18="x",(IF(AND(F37="",G37= "",G37&lt;&gt;"NA"),"",IF(OR(AF37="NA",I37="NA",I37=0),"NA",(AF37/I37)))),"Not Req.")</f>
        <v/>
      </c>
      <c r="AX37" s="284" t="str">
        <f>IF(Start!$C$18="x",(IF(F37 ="","",IF(OR(AO37="NA",I37="NA",I37=0),"NA",(AO37/I37)))),"Not Req.")</f>
        <v/>
      </c>
      <c r="AY37" s="344" t="str">
        <f>IF(Start!$C$18="x",(IF(F37 ="","",IF(OR(AU37="NA",I37="NA",I37=0),"NA",(AU37/I37)))),"Not Req.")</f>
        <v/>
      </c>
      <c r="AZ37" s="208"/>
    </row>
    <row r="38" spans="1:52" s="10" customFormat="1" x14ac:dyDescent="0.25">
      <c r="A38" s="573" t="s">
        <v>356</v>
      </c>
      <c r="B38" s="530"/>
      <c r="C38" s="531"/>
      <c r="D38" s="530"/>
      <c r="E38" s="526"/>
      <c r="F38" s="508"/>
      <c r="G38" s="509"/>
      <c r="H38" s="510"/>
      <c r="I38" s="800"/>
      <c r="J38" s="512"/>
      <c r="K38" s="512"/>
      <c r="L38" s="512"/>
      <c r="M38" s="512"/>
      <c r="N38" s="512"/>
      <c r="O38" s="512"/>
      <c r="P38" s="513"/>
      <c r="Q38" s="511"/>
      <c r="R38" s="512"/>
      <c r="S38" s="512"/>
      <c r="T38" s="513"/>
      <c r="U38" s="511"/>
      <c r="V38" s="512"/>
      <c r="W38" s="512"/>
      <c r="X38" s="512"/>
      <c r="Y38" s="512"/>
      <c r="Z38" s="512"/>
      <c r="AA38" s="512"/>
      <c r="AB38" s="512"/>
      <c r="AC38" s="511"/>
      <c r="AD38" s="533"/>
      <c r="AE38" s="512"/>
      <c r="AF38" s="533"/>
      <c r="AG38" s="511"/>
      <c r="AH38" s="512"/>
      <c r="AI38" s="534"/>
      <c r="AJ38" s="512"/>
      <c r="AK38" s="512"/>
      <c r="AL38" s="512"/>
      <c r="AM38" s="512"/>
      <c r="AN38" s="512"/>
      <c r="AO38" s="533"/>
      <c r="AP38" s="512"/>
      <c r="AQ38" s="512"/>
      <c r="AR38" s="512"/>
      <c r="AS38" s="512"/>
      <c r="AT38" s="512"/>
      <c r="AU38" s="533"/>
      <c r="AV38" s="511"/>
      <c r="AW38" s="512"/>
      <c r="AX38" s="512"/>
      <c r="AY38" s="513"/>
      <c r="AZ38" s="208"/>
    </row>
    <row r="39" spans="1:52" s="10" customFormat="1" x14ac:dyDescent="0.25">
      <c r="A39" s="405" t="s">
        <v>665</v>
      </c>
      <c r="B39" s="347" t="str">
        <f>IF(Start!$C$18="x",IF(AND(OR(F39="",F39="NA"),OR(G39="",G39="NA")),"",IF(I39="NA","NA",IF(AND(I39="",K39="--"),"NA",IF(AD39="NA","Missing Data",IF(I39="","No Criteria",IF(AD39&gt;=I39,"Needed","No")))))),"---")</f>
        <v/>
      </c>
      <c r="C39" s="501" t="str">
        <f>IF(Start!$C$18="x",IF(AND(OR(F39="",F39="NA"),OR(G39="",G39="NA")),"",IF(I39="NA","NA",IF(AND(I39="",K39="--"),"NA",IF(AF39="NA","Missing Data",IF(I39="","No Criteria",IF(AF39&gt;=I39,"Needed","No")))))),"---")</f>
        <v/>
      </c>
      <c r="D39" s="347" t="str">
        <f>IF(Start!$C$18="x",IF(AND(OR(F39="",F39="NA"),OR(G39="",G39="NA")),"",IF(I39="NA","NA",IF(AND(I39="",K39="--"),"NA",IF(AO39="NA","Missing Data",IF(I39="","No Criteria",IF(AO39&gt;=I39,"Needed","No")))))),"---")</f>
        <v/>
      </c>
      <c r="E39" s="401" t="str">
        <f>IF(Start!$C$18="x",IF(AND(OR(F39="",F39="NA"),OR(G39="",G39="NA")),"",IF(I39="NA","NA",IF(AND(I39="",K39="--"),"NA",IF(AU39="NA","Missing Data",IF(I39="","No Criteria",IF(AU39&gt;=I39,"Needed","No")))))),"---")</f>
        <v/>
      </c>
      <c r="F39" s="431" t="str">
        <f>IF(TRUE=ISBLANK(ChemData!B39),"",(ChemData!B39))</f>
        <v/>
      </c>
      <c r="G39" s="432" t="str">
        <f>IF(TRUE=ISBLANK(ChemData!C39),"",(ChemData!C39))</f>
        <v/>
      </c>
      <c r="H39" s="433" t="str">
        <f>IF(TRUE=ISBLANK(ChemData!D39),"",(ChemData!D39))</f>
        <v/>
      </c>
      <c r="I39" s="919" t="str">
        <f>IF(TRUE=ISBLANK(ChemData!K39),"",(ChemData!K39))</f>
        <v>NA</v>
      </c>
      <c r="J39" s="290">
        <f>IF(TRUE=ISBLANK(ChemData!M39),"",(ChemData!M39))</f>
        <v>303.85000000000002</v>
      </c>
      <c r="K39" s="290">
        <f>IF(TRUE=ISBLANK(ChemData!N39),"",(ChemData!N39))</f>
        <v>6.5099999999999999E-4</v>
      </c>
      <c r="L39" s="290">
        <f>IF(TRUE=ISBLANK(ChemData!O39),"",(ChemData!O39))</f>
        <v>1.3181298589367812E-3</v>
      </c>
      <c r="M39" s="290">
        <f>IF(TRUE=ISBLANK(ChemData!Q39),"",(ChemData!Q39))</f>
        <v>7.0373057258935875E-2</v>
      </c>
      <c r="N39" s="290">
        <f>IF(TRUE=ISBLANK(ChemData!R39),"",(ChemData!R39))</f>
        <v>7.0373057258935875E-2</v>
      </c>
      <c r="O39" s="290">
        <f>IF(TRUE=ISBLANK(ChemData!S39),"",(ChemData!S39))</f>
        <v>1</v>
      </c>
      <c r="P39" s="291">
        <f>IF(TRUE=ISBLANK(ChemData!T39),"",(ChemData!T39))</f>
        <v>1</v>
      </c>
      <c r="Q39" s="375">
        <f>IF(Start!$C$18="x",IF(OR(K39="NA",K39="",K39="--"),"NA",(K39*1000000/82.1/Data!$D$50)),"---")</f>
        <v>2.5578562728380026E-2</v>
      </c>
      <c r="R39" s="376">
        <f>IF(Start!$C$18="x",IF(OR(J39="NA",J39=0,J39=""),"NA",(0.32*(Data!$D$48+Data!$D$49)*(18/J39)^0.5)),"---")</f>
        <v>0.20055516169212881</v>
      </c>
      <c r="S39" s="376">
        <f>IF(Start!$C$18="x",IF(OR(J39="NA",J39= 0,J39=""),"NA",(0.0065*((Data!$D$49^0.969)/(Data!$D$51^0.673))*(32/J39)^0.5*EXP(0.526*Data!$D$48^-1.9))),"---")</f>
        <v>4.2271533530456796E-4</v>
      </c>
      <c r="T39" s="377">
        <f>IF(Start!$C$18="x",IF(OR(S39="NA",R39="NA",R39=0,Q39="NA",S39=0,Q39=0),"NA",(1/(1/S39+(1/(R39*Q39))))),"---")</f>
        <v>3.9053449213131736E-4</v>
      </c>
      <c r="U39" s="375" t="str">
        <f>IF(Start!$C$18="x",IF(OR(F39="NA",F39="",O39="",O39="NA"),"NA",(F39*$O39)),"---")</f>
        <v>NA</v>
      </c>
      <c r="V39" s="376" t="str">
        <f>IF(Start!$C$18="x",IF(OR(U39="NA",M39="NA",M39="",U39=""),"NA",U39/((Data!$D$18+((1-Data!$D$18)*Data!$D$14*M39))/((1-Data!$D$18)*Data!$D$14*1000))),"---")</f>
        <v>NA</v>
      </c>
      <c r="W39" s="376" t="str">
        <f>IF(Start!$C$18="x",IF(OR(G39="NA",U39="NA",G39="",U39=""),"NA",(U39 +($G39*(Data!$D$19-Data!$D$22)/(Data!$D$19*Data!$D$22)))),"---")</f>
        <v>NA</v>
      </c>
      <c r="X39" s="376" t="str">
        <f>IF(Start!$C$18="x",IF(OR(G39="NA",V39="NA",G39="",V39=""),"NA",(((Data!$D$22*Data!$D$18)*V39)+(Data!$D$19-Data!$D$22)*$G39)/((Data!$D$22*Data!$D$18)+Data!$D$19-Data!$D$22)),"---")</f>
        <v>NA</v>
      </c>
      <c r="Y39" s="376" t="str">
        <f>IF(Start!$C$18="x",IF(OR(W39="NA",W39="",M39="NA",M39=""),"NA",(W39/((Data!$D$23+((1-Data!$D$23)*Data!$D$14*M39)) /((1-Data!$D$23)*Data!$D$14*1000)))),"---")</f>
        <v>NA</v>
      </c>
      <c r="Z39" s="376" t="str">
        <f>IF(Start!$C$18="x",IF(OR(Y39="NA",X39="NA"),"NA",IF(Y39&gt;X39, Y39, X39)),"---")</f>
        <v>NA</v>
      </c>
      <c r="AA39" s="461" t="str">
        <f>IF(Start!$C$18="x",IF(OR(Z39="NA",T39="NA"),"NA",Z39*T39/(1000000000)),"---")</f>
        <v>NA</v>
      </c>
      <c r="AB39" s="1057" t="str">
        <f>IF(Start!$C$18="x",IF(AA39 = "NA", "NA", AA39*(Data!$D$52*Data!$D$53*10000)),"---")</f>
        <v>NA</v>
      </c>
      <c r="AC39" s="375" t="str">
        <f>IF(Start!$C$18="x",IF(AB39="NA", "NA", AB39*Data!$D$54),"---")</f>
        <v>NA</v>
      </c>
      <c r="AD39" s="498" t="str">
        <f>IF(Start!$C$18="x",IF(AC39="NA","NA",AC39*Data!$D$41),"---")</f>
        <v>NA</v>
      </c>
      <c r="AE39" s="376" t="str">
        <f>IF(Start!$C$18="x",IF(AB39 = "NA", "NA", AB39/(Data!$D$53*3*Data!$D$48)*1000),"---")</f>
        <v>NA</v>
      </c>
      <c r="AF39" s="498" t="str">
        <f>IF(Start!$C$18="x",IF(AE39="NA","NA",AE39*Data!$D$46),"---")</f>
        <v>NA</v>
      </c>
      <c r="AG39" s="375">
        <f>IF(Start!$C$18="x",IF(OR($L39="NA",L39=""),"NA",($L39*(Data!$D$55^3.33)/(Data!$D$18^2))),"---")</f>
        <v>1.3428439589247387E-5</v>
      </c>
      <c r="AH39" s="376" t="str">
        <f>IF(Start!$C$18="x",IF(OR(F39="NA",F39="",P39="NA",P39=""),"NA",IF(100/Data!$D$10&gt;Data!$D$13,(F39*$P39),(F39*$P39)*Data!$D$13)),"---")</f>
        <v>NA</v>
      </c>
      <c r="AI39" s="489">
        <f>IF(Start!$C$18="x",IF(OR($N39="NA",$Q39="NA",$Q39=0,Q39="",N39=""),"NA",(1000*$N39/$Q39)),"---")</f>
        <v>2751.2514290279214</v>
      </c>
      <c r="AJ39" s="376">
        <f>IF(Start!$C$18="x",IF(OR(Q39 = "NA",Q39=0,N39 = "NA",N39="",Q39=""), "NA", IF($AG39="NA","NA",(3.1416*Data!$D$57*86400/($AG39*(Data!$D$55+(N39*Data!$D$19/(Q39*1000)))))^0.5)),"---")</f>
        <v>488919.14709932258</v>
      </c>
      <c r="AK39" s="376" t="str">
        <f>IF(Start!$C$18="x",IF(OR(AH39 = "NA",AI39="NA",AI39=0,AI39="",AH39=""), "NA", AH39/AI39),"---")</f>
        <v>NA</v>
      </c>
      <c r="AL39" s="376" t="str">
        <f>IF(Start!$C$18="x",IF(OR(AK39 ="NA",AK39="",AJ39= "NA",R39="NA",R39=0),"NA",(2*AK39)/(1000*(1/$R39+AJ39))),"---")</f>
        <v>NA</v>
      </c>
      <c r="AM39" s="376" t="str">
        <f>IF(Start!$C$18="x",IF(AL39 = "NA", "NA", AL39*(Data!$D$52*Data!$D$53*10000)),"---")</f>
        <v>NA</v>
      </c>
      <c r="AN39" s="376" t="str">
        <f>IF(Start!$C$18="x",IF(AM39 = "NA", "NA", AM39*(Data!$D$54)),"---")</f>
        <v>NA</v>
      </c>
      <c r="AO39" s="498" t="str">
        <f>IF(Start!$C$18="x",IF(AN39="NA","NA",AN39*Data!$D$41),"---")</f>
        <v>NA</v>
      </c>
      <c r="AP39" s="376">
        <f>IF(Start!$C$18="x",IF(OR(Q39=0,N39="NA",N39="",AG39="NA",AG39="",AG39=0,Q39="",Q39="NA"),"NA", (3.1416*Data!$D$56*86400/($AG39*(Data!$D$55+(N39*Data!$D$19/(Q39*1000)))))^0.5),"---")</f>
        <v>488919.14709932258</v>
      </c>
      <c r="AQ39" s="376" t="str">
        <f>IF(Start!$C$18="x",IF(OR(AH39="NA",AI39="NA",AI39="",AI39=0,AH39=""),"NA", AH39/AI39),"---")</f>
        <v>NA</v>
      </c>
      <c r="AR39" s="376" t="str">
        <f>IF(Start!$C$18="x",IF(OR(AQ39="NA",AP39="NA",$R39="NA",R39=0,R39=""),"NA",(2*AQ39)/(1000*(1/$R39+AP39))),"---")</f>
        <v>NA</v>
      </c>
      <c r="AS39" s="376" t="str">
        <f>IF(Start!$C$18="x",IF(AR39 = "NA", "NA", AR39*(Data!$D$52*Data!$D$53*10000)),"---")</f>
        <v>NA</v>
      </c>
      <c r="AT39" s="376" t="str">
        <f>IF(Start!$C$18="x",IF(AS39 = "NA", "NA", (AS39*1000)/(Data!$D$48*3*Data!$D$53)),"---")</f>
        <v>NA</v>
      </c>
      <c r="AU39" s="498" t="str">
        <f>IF(Start!$C$18="x",IF(AT39="NA","NA",AT39*Data!$D$47),"---")</f>
        <v>NA</v>
      </c>
      <c r="AV39" s="283" t="str">
        <f>IF(Start!$C$18="x",(IF(AND(F39="",G39= "",G39&lt;&gt;"NA"),"",IF(OR(AD39="NA",I39="NA",I39=0),"NA",(AD39/I39)))),"Not Req.")</f>
        <v/>
      </c>
      <c r="AW39" s="284" t="str">
        <f>IF(Start!$C$18="x",(IF(AND(F39="",G39= "",G39&lt;&gt;"NA"),"",IF(OR(AF39="NA",I39="NA",I39=0),"NA",(AF39/I39)))),"Not Req.")</f>
        <v/>
      </c>
      <c r="AX39" s="284" t="str">
        <f>IF(Start!$C$18="x",(IF(F39 ="","",IF(OR(AO39="NA",I39="NA",I39=0),"NA",(AO39/I39)))),"Not Req.")</f>
        <v/>
      </c>
      <c r="AY39" s="344" t="str">
        <f>IF(Start!$C$18="x",(IF(F39 ="","",IF(OR(AU39="NA",I39="NA",I39=0),"NA",(AU39/I39)))),"Not Req.")</f>
        <v/>
      </c>
      <c r="AZ39" s="208"/>
    </row>
    <row r="40" spans="1:52" s="183" customFormat="1" x14ac:dyDescent="0.25">
      <c r="A40" s="405" t="s">
        <v>358</v>
      </c>
      <c r="B40" s="347" t="str">
        <f>IF(Start!$C$18="x",IF(AND(OR(F40="",F40="NA"),OR(G40="",G40="NA")),"",IF(I40="NA","NA",IF(AND(I40="",K40="--"),"NA",IF(AD40="NA","Missing Data",IF(I40="","No Criteria",IF(AD40&gt;=I40,"Needed","No")))))),"---")</f>
        <v/>
      </c>
      <c r="C40" s="501" t="str">
        <f>IF(Start!$C$18="x",IF(AND(OR(F40="",F40="NA"),OR(G40="",G40="NA")),"",IF(I40="NA","NA",IF(AND(I40="",K40="--"),"NA",IF(AF40="NA","Missing Data",IF(I40="","No Criteria",IF(AF40&gt;=I40,"Needed","No")))))),"---")</f>
        <v/>
      </c>
      <c r="D40" s="347" t="str">
        <f>IF(Start!$C$18="x",IF(AND(OR(F40="",F40="NA"),OR(G40="",G40="NA")),"",IF(I40="NA","NA",IF(AND(I40="",K40="--"),"NA",IF(AO40="NA","Missing Data",IF(I40="","No Criteria",IF(AO40&gt;=I40,"Needed","No")))))),"---")</f>
        <v/>
      </c>
      <c r="E40" s="401" t="str">
        <f>IF(Start!$C$18="x",IF(AND(OR(F40="",F40="NA"),OR(G40="",G40="NA")),"",IF(I40="NA","NA",IF(AND(I40="",K40="--"),"NA",IF(AU40="NA","Missing Data",IF(I40="","No Criteria",IF(AU40&gt;=I40,"Needed","No")))))),"---")</f>
        <v/>
      </c>
      <c r="F40" s="431" t="str">
        <f>IF(TRUE=ISBLANK(ChemData!B40),"",(ChemData!B40))</f>
        <v/>
      </c>
      <c r="G40" s="432" t="str">
        <f>IF(TRUE=ISBLANK(ChemData!C40),"",(ChemData!C40))</f>
        <v/>
      </c>
      <c r="H40" s="433" t="str">
        <f>IF(TRUE=ISBLANK(ChemData!D40),"",(ChemData!D40))</f>
        <v/>
      </c>
      <c r="I40" s="919" t="str">
        <f>IF(TRUE=ISBLANK(ChemData!K40),"",(ChemData!K40))</f>
        <v>NA</v>
      </c>
      <c r="J40" s="290">
        <f>IF(TRUE=ISBLANK(ChemData!M40),"",(ChemData!M40))</f>
        <v>282.17</v>
      </c>
      <c r="K40" s="290">
        <f>IF(TRUE=ISBLANK(ChemData!N40),"",(ChemData!N40))</f>
        <v>1.9840000000000001E-3</v>
      </c>
      <c r="L40" s="290">
        <f>IF(TRUE=ISBLANK(ChemData!O40),"",(ChemData!O40))</f>
        <v>1.3225302513736915E-3</v>
      </c>
      <c r="M40" s="290">
        <f>IF(TRUE=ISBLANK(ChemData!Q40),"",(ChemData!Q40))</f>
        <v>4.7578025939051666E-2</v>
      </c>
      <c r="N40" s="290">
        <f>IF(TRUE=ISBLANK(ChemData!R40),"",(ChemData!R40))</f>
        <v>4.7578025939051666E-2</v>
      </c>
      <c r="O40" s="290">
        <f>IF(TRUE=ISBLANK(ChemData!S40),"",(ChemData!S40))</f>
        <v>1</v>
      </c>
      <c r="P40" s="291">
        <f>IF(TRUE=ISBLANK(ChemData!T40),"",(ChemData!T40))</f>
        <v>1</v>
      </c>
      <c r="Q40" s="375">
        <f>IF(Start!$C$18="x",IF(OR(K40="NA",K40="",K40="--"),"NA",(K40*1000000/82.1/Data!$D$50)),"---")</f>
        <v>7.7953714981729594E-2</v>
      </c>
      <c r="R40" s="376">
        <f>IF(Start!$C$18="x",IF(OR(J40="NA",J40=0,J40=""),"NA",(0.32*(Data!$D$48+Data!$D$49)*(18/J40)^0.5)),"---")</f>
        <v>0.20811723396689999</v>
      </c>
      <c r="S40" s="376">
        <f>IF(Start!$C$18="x",IF(OR(J40="NA",J40= 0,J40=""),"NA",(0.0065*((Data!$D$49^0.969)/(Data!$D$51^0.673))*(32/J40)^0.5*EXP(0.526*Data!$D$48^-1.9))),"---")</f>
        <v>4.3865411189977901E-4</v>
      </c>
      <c r="T40" s="377">
        <f>IF(Start!$C$18="x",IF(OR(S40="NA",R40="NA",R40=0,Q40="NA",S40=0,Q40=0),"NA",(1/(1/S40+(1/(R40*Q40))))),"---")</f>
        <v>4.2710594739866012E-4</v>
      </c>
      <c r="U40" s="375" t="str">
        <f>IF(Start!$C$18="x",IF(OR(F40="NA",F40="",O40="",O40="NA"),"NA",(F40*$O40)),"---")</f>
        <v>NA</v>
      </c>
      <c r="V40" s="376" t="str">
        <f>IF(Start!$C$18="x",IF(OR(U40="NA",M40="NA",M40="",U40=""),"NA",U40/((Data!$D$18+((1-Data!$D$18)*Data!$D$14*M40))/((1-Data!$D$18)*Data!$D$14*1000))),"---")</f>
        <v>NA</v>
      </c>
      <c r="W40" s="376" t="str">
        <f>IF(Start!$C$18="x",IF(OR(G40="NA",U40="NA",G40="",U40=""),"NA",(U40 +($G40*(Data!$D$19-Data!$D$22)/(Data!$D$19*Data!$D$22)))),"---")</f>
        <v>NA</v>
      </c>
      <c r="X40" s="376" t="str">
        <f>IF(Start!$C$18="x",IF(OR(G40="NA",V40="NA",G40="",V40=""),"NA",(((Data!$D$22*Data!$D$18)*V40)+(Data!$D$19-Data!$D$22)*$G40)/((Data!$D$22*Data!$D$18)+Data!$D$19-Data!$D$22)),"---")</f>
        <v>NA</v>
      </c>
      <c r="Y40" s="376" t="str">
        <f>IF(Start!$C$18="x",IF(OR(W40="NA",W40="",M40="NA",M40=""),"NA",(W40/((Data!$D$23+((1-Data!$D$23)*Data!$D$14*M40)) /((1-Data!$D$23)*Data!$D$14*1000)))),"---")</f>
        <v>NA</v>
      </c>
      <c r="Z40" s="376" t="str">
        <f>IF(Start!$C$18="x",IF(OR(Y40="NA",X40="NA"),"NA",IF(Y40&gt;X40, Y40, X40)),"---")</f>
        <v>NA</v>
      </c>
      <c r="AA40" s="461" t="str">
        <f>IF(Start!$C$18="x",IF(OR(Z40="NA",T40="NA"),"NA",Z40*T40/(1000000000)),"---")</f>
        <v>NA</v>
      </c>
      <c r="AB40" s="1057" t="str">
        <f>IF(Start!$C$18="x",IF(AA40 = "NA", "NA", AA40*(Data!$D$52*Data!$D$53*10000)),"---")</f>
        <v>NA</v>
      </c>
      <c r="AC40" s="375" t="str">
        <f>IF(Start!$C$18="x",IF(AB40="NA", "NA", AB40*Data!$D$54),"---")</f>
        <v>NA</v>
      </c>
      <c r="AD40" s="498" t="str">
        <f>IF(Start!$C$18="x",IF(AC40="NA","NA",AC40*Data!$D$41),"---")</f>
        <v>NA</v>
      </c>
      <c r="AE40" s="376" t="str">
        <f>IF(Start!$C$18="x",IF(AB40 = "NA", "NA", AB40/(Data!$D$53*3*Data!$D$48)*1000),"---")</f>
        <v>NA</v>
      </c>
      <c r="AF40" s="498" t="str">
        <f>IF(Start!$C$18="x",IF(AE40="NA","NA",AE40*Data!$D$46),"---")</f>
        <v>NA</v>
      </c>
      <c r="AG40" s="375">
        <f>IF(Start!$C$18="x",IF(OR($L40="NA",L40=""),"NA",($L40*(Data!$D$55^3.33)/(Data!$D$18^2))),"---")</f>
        <v>1.3473268559327539E-5</v>
      </c>
      <c r="AH40" s="376" t="str">
        <f>IF(Start!$C$18="x",IF(OR(F40="NA",F40="",P40="NA",P40=""),"NA",IF(100/Data!$D$10&gt;Data!$D$13,(F40*$P40),(F40*$P40)*Data!$D$13)),"---")</f>
        <v>NA</v>
      </c>
      <c r="AI40" s="489">
        <f>IF(Start!$C$18="x",IF(OR($N40="NA",$Q40="NA",$Q40=0,Q40="",N40=""),"NA",(1000*$N40/$Q40)),"---")</f>
        <v>610.33686399939711</v>
      </c>
      <c r="AJ40" s="376">
        <f>IF(Start!$C$18="x",IF(OR(Q40 = "NA",Q40=0,N40 = "NA",N40="",Q40=""), "NA", IF($AG40="NA","NA",(3.1416*Data!$D$57*86400/($AG40*(Data!$D$55+(N40*Data!$D$19/(Q40*1000)))))^0.5)),"---")</f>
        <v>917222.67152349115</v>
      </c>
      <c r="AK40" s="376" t="str">
        <f>IF(Start!$C$18="x",IF(OR(AH40 = "NA",AI40="NA",AI40=0,AI40="",AH40=""), "NA", AH40/AI40),"---")</f>
        <v>NA</v>
      </c>
      <c r="AL40" s="376" t="str">
        <f>IF(Start!$C$18="x",IF(OR(AK40 ="NA",AK40="",AJ40= "NA",R40="NA",R40=0),"NA",(2*AK40)/(1000*(1/$R40+AJ40))),"---")</f>
        <v>NA</v>
      </c>
      <c r="AM40" s="376" t="str">
        <f>IF(Start!$C$18="x",IF(AL40 = "NA", "NA", AL40*(Data!$D$52*Data!$D$53*10000)),"---")</f>
        <v>NA</v>
      </c>
      <c r="AN40" s="376" t="str">
        <f>IF(Start!$C$18="x",IF(AM40 = "NA", "NA", AM40*(Data!$D$54)),"---")</f>
        <v>NA</v>
      </c>
      <c r="AO40" s="498" t="str">
        <f>IF(Start!$C$18="x",IF(AN40="NA","NA",AN40*Data!$D$41),"---")</f>
        <v>NA</v>
      </c>
      <c r="AP40" s="376">
        <f>IF(Start!$C$18="x",IF(OR(Q40=0,N40="NA",N40="",AG40="NA",AG40="",AG40=0,Q40="",Q40="NA"),"NA", (3.1416*Data!$D$56*86400/($AG40*(Data!$D$55+(N40*Data!$D$19/(Q40*1000)))))^0.5),"---")</f>
        <v>917222.67152349115</v>
      </c>
      <c r="AQ40" s="376" t="str">
        <f>IF(Start!$C$18="x",IF(OR(AH40="NA",AI40="NA",AI40="",AI40=0,AH40=""),"NA", AH40/AI40),"---")</f>
        <v>NA</v>
      </c>
      <c r="AR40" s="376" t="str">
        <f>IF(Start!$C$18="x",IF(OR(AQ40="NA",AP40="NA",$R40="NA",R40=0,R40=""),"NA",(2*AQ40)/(1000*(1/$R40+AP40))),"---")</f>
        <v>NA</v>
      </c>
      <c r="AS40" s="376" t="str">
        <f>IF(Start!$C$18="x",IF(AR40 = "NA", "NA", AR40*(Data!$D$52*Data!$D$53*10000)),"---")</f>
        <v>NA</v>
      </c>
      <c r="AT40" s="376" t="str">
        <f>IF(Start!$C$18="x",IF(AS40 = "NA", "NA", (AS40*1000)/(Data!$D$48*3*Data!$D$53)),"---")</f>
        <v>NA</v>
      </c>
      <c r="AU40" s="498" t="str">
        <f>IF(Start!$C$18="x",IF(AT40="NA","NA",AT40*Data!$D$47),"---")</f>
        <v>NA</v>
      </c>
      <c r="AV40" s="283" t="str">
        <f>IF(Start!$C$18="x",(IF(AND(F40="",G40= "",G40&lt;&gt;"NA"),"",IF(OR(AD40="NA",I40="NA",I40=0),"NA",(AD40/I40)))),"Not Req.")</f>
        <v/>
      </c>
      <c r="AW40" s="284" t="str">
        <f>IF(Start!$C$18="x",(IF(AND(F40="",G40= "",G40&lt;&gt;"NA"),"",IF(OR(AF40="NA",I40="NA",I40=0),"NA",(AF40/I40)))),"Not Req.")</f>
        <v/>
      </c>
      <c r="AX40" s="284" t="str">
        <f>IF(Start!$C$18="x",(IF(F40 ="","",IF(OR(AO40="NA",I40="NA",I40=0),"NA",(AO40/I40)))),"Not Req.")</f>
        <v/>
      </c>
      <c r="AY40" s="344" t="str">
        <f>IF(Start!$C$18="x",(IF(F40 ="","",IF(OR(AU40="NA",I40="NA",I40=0),"NA",(AU40/I40)))),"Not Req.")</f>
        <v/>
      </c>
      <c r="AZ40" s="208"/>
    </row>
    <row r="41" spans="1:52" s="183" customFormat="1" x14ac:dyDescent="0.25">
      <c r="A41" s="405" t="s">
        <v>359</v>
      </c>
      <c r="B41" s="347" t="str">
        <f>IF(Start!$C$18="x",IF(AND(OR(F41="",F41="NA"),OR(G41="",G41="NA")),"",IF(I41="NA","NA",IF(AND(I41="",K41="--"),"NA",IF(AD41="NA","Missing Data",IF(I41="","No Criteria",IF(AD41&gt;=I41,"Needed","No")))))),"---")</f>
        <v/>
      </c>
      <c r="C41" s="501" t="str">
        <f>IF(Start!$C$18="x",IF(AND(OR(F41="",F41="NA"),OR(G41="",G41="NA")),"",IF(I41="NA","NA",IF(AND(I41="",K41="--"),"NA",IF(AF41="NA","Missing Data",IF(I41="","No Criteria",IF(AF41&gt;=I41,"Needed","No")))))),"---")</f>
        <v/>
      </c>
      <c r="D41" s="347" t="str">
        <f>IF(Start!$C$18="x",IF(AND(OR(F41="",F41="NA"),OR(G41="",G41="NA")),"",IF(I41="NA","NA",IF(AND(I41="",K41="--"),"NA",IF(AO41="NA","Missing Data",IF(I41="","No Criteria",IF(AO41&gt;=I41,"Needed","No")))))),"---")</f>
        <v/>
      </c>
      <c r="E41" s="401" t="str">
        <f>IF(Start!$C$18="x",IF(AND(OR(F41="",F41="NA"),OR(G41="",G41="NA")),"",IF(I41="NA","NA",IF(AND(I41="",K41="--"),"NA",IF(AU41="NA","Missing Data",IF(I41="","No Criteria",IF(AU41&gt;=I41,"Needed","No")))))),"---")</f>
        <v/>
      </c>
      <c r="F41" s="431" t="str">
        <f>IF(TRUE=ISBLANK(ChemData!B41),"",(ChemData!B41))</f>
        <v/>
      </c>
      <c r="G41" s="432" t="str">
        <f>IF(TRUE=ISBLANK(ChemData!C41),"",(ChemData!C41))</f>
        <v/>
      </c>
      <c r="H41" s="433" t="str">
        <f>IF(TRUE=ISBLANK(ChemData!D41),"",(ChemData!D41))</f>
        <v/>
      </c>
      <c r="I41" s="919" t="str">
        <f>IF(TRUE=ISBLANK(ChemData!K41),"",(ChemData!K41))</f>
        <v>NA</v>
      </c>
      <c r="J41" s="290">
        <f>IF(TRUE=ISBLANK(ChemData!M41),"",(ChemData!M41))</f>
        <v>347.15</v>
      </c>
      <c r="K41" s="290" t="str">
        <f>IF(TRUE=ISBLANK(ChemData!N41),"",(ChemData!N41))</f>
        <v>NA</v>
      </c>
      <c r="L41" s="290" t="str">
        <f>IF(TRUE=ISBLANK(ChemData!O41),"",(ChemData!O41))</f>
        <v>NA</v>
      </c>
      <c r="M41" s="290" t="str">
        <f>IF(TRUE=ISBLANK(ChemData!Q41),"",(ChemData!Q41))</f>
        <v>NA</v>
      </c>
      <c r="N41" s="290" t="str">
        <f>IF(TRUE=ISBLANK(ChemData!R41),"",(ChemData!R41))</f>
        <v>NA</v>
      </c>
      <c r="O41" s="290">
        <f>IF(TRUE=ISBLANK(ChemData!S41),"",(ChemData!S41))</f>
        <v>1</v>
      </c>
      <c r="P41" s="291">
        <f>IF(TRUE=ISBLANK(ChemData!T41),"",(ChemData!T41))</f>
        <v>1</v>
      </c>
      <c r="Q41" s="375" t="str">
        <f>IF(Start!$C$18="x",IF(OR(K41="NA",K41="",K41="--"),"NA",(K41*1000000/82.1/Data!$D$50)),"---")</f>
        <v>NA</v>
      </c>
      <c r="R41" s="376">
        <f>IF(Start!$C$18="x",IF(OR(J41="NA",J41=0,J41=""),"NA",(0.32*(Data!$D$48+Data!$D$49)*(18/J41)^0.5)),"---")</f>
        <v>0.18763112367414639</v>
      </c>
      <c r="S41" s="376">
        <f>IF(Start!$C$18="x",IF(OR(J41="NA",J41= 0,J41=""),"NA",(0.0065*((Data!$D$49^0.969)/(Data!$D$51^0.673))*(32/J41)^0.5*EXP(0.526*Data!$D$48^-1.9))),"---")</f>
        <v>3.954750039255784E-4</v>
      </c>
      <c r="T41" s="377" t="str">
        <f>IF(Start!$C$18="x",IF(OR(S41="NA",R41="NA",R41=0,Q41="NA",S41=0,Q41=0),"NA",(1/(1/S41+(1/(R41*Q41))))),"---")</f>
        <v>NA</v>
      </c>
      <c r="U41" s="375" t="str">
        <f>IF(Start!$C$18="x",IF(OR(F41="NA",F41="",O41="",O41="NA"),"NA",(F41*$O41)),"---")</f>
        <v>NA</v>
      </c>
      <c r="V41" s="376" t="str">
        <f>IF(Start!$C$18="x",IF(OR(U41="NA",M41="NA",M41="",U41=""),"NA",U41/((Data!$D$18+((1-Data!$D$18)*Data!$D$14*M41))/((1-Data!$D$18)*Data!$D$14*1000))),"---")</f>
        <v>NA</v>
      </c>
      <c r="W41" s="376" t="str">
        <f>IF(Start!$C$18="x",IF(OR(G41="NA",U41="NA",G41="",U41=""),"NA",(U41 +($G41*(Data!$D$19-Data!$D$22)/(Data!$D$19*Data!$D$22)))),"---")</f>
        <v>NA</v>
      </c>
      <c r="X41" s="376" t="str">
        <f>IF(Start!$C$18="x",IF(OR(G41="NA",V41="NA",G41="",V41=""),"NA",(((Data!$D$22*Data!$D$18)*V41)+(Data!$D$19-Data!$D$22)*$G41)/((Data!$D$22*Data!$D$18)+Data!$D$19-Data!$D$22)),"---")</f>
        <v>NA</v>
      </c>
      <c r="Y41" s="376" t="str">
        <f>IF(Start!$C$18="x",IF(OR(W41="NA",W41="",M41="NA",M41=""),"NA",(W41/((Data!$D$23+((1-Data!$D$23)*Data!$D$14*M41)) /((1-Data!$D$23)*Data!$D$14*1000)))),"---")</f>
        <v>NA</v>
      </c>
      <c r="Z41" s="376" t="str">
        <f>IF(Start!$C$18="x",IF(OR(Y41="NA",X41="NA"),"NA",IF(Y41&gt;X41, Y41, X41)),"---")</f>
        <v>NA</v>
      </c>
      <c r="AA41" s="461" t="str">
        <f>IF(Start!$C$18="x",IF(OR(Z41="NA",T41="NA"),"NA",Z41*T41/(1000000000)),"---")</f>
        <v>NA</v>
      </c>
      <c r="AB41" s="1057" t="str">
        <f>IF(Start!$C$18="x",IF(AA41 = "NA", "NA", AA41*(Data!$D$52*Data!$D$53*10000)),"---")</f>
        <v>NA</v>
      </c>
      <c r="AC41" s="375" t="str">
        <f>IF(Start!$C$18="x",IF(AB41="NA", "NA", AB41*Data!$D$54),"---")</f>
        <v>NA</v>
      </c>
      <c r="AD41" s="498" t="str">
        <f>IF(Start!$C$18="x",IF(AC41="NA","NA",AC41*Data!$D$41),"---")</f>
        <v>NA</v>
      </c>
      <c r="AE41" s="376" t="str">
        <f>IF(Start!$C$18="x",IF(AB41 = "NA", "NA", AB41/(Data!$D$53*3*Data!$D$48)*1000),"---")</f>
        <v>NA</v>
      </c>
      <c r="AF41" s="498" t="str">
        <f>IF(Start!$C$18="x",IF(AE41="NA","NA",AE41*Data!$D$46),"---")</f>
        <v>NA</v>
      </c>
      <c r="AG41" s="375" t="str">
        <f>IF(Start!$C$18="x",IF(OR($L41="NA",L41=""),"NA",($L41*(Data!$D$55^3.33)/(Data!$D$18^2))),"---")</f>
        <v>NA</v>
      </c>
      <c r="AH41" s="376" t="str">
        <f>IF(Start!$C$18="x",IF(OR(F41="NA",F41="",P41="NA",P41=""),"NA",IF(100/Data!$D$10&gt;Data!$D$13,(F41*$P41),(F41*$P41)*Data!$D$13)),"---")</f>
        <v>NA</v>
      </c>
      <c r="AI41" s="489" t="str">
        <f>IF(Start!$C$18="x",IF(OR($N41="NA",$Q41="NA",$Q41=0,Q41="",N41=""),"NA",(1000*$N41/$Q41)),"---")</f>
        <v>NA</v>
      </c>
      <c r="AJ41" s="376" t="str">
        <f>IF(Start!$C$18="x",IF(OR(Q41 = "NA",Q41=0,N41 = "NA",N41="",Q41=""), "NA", IF($AG41="NA","NA",(3.1416*Data!$D$57*86400/($AG41*(Data!$D$55+(N41*Data!$D$19/(Q41*1000)))))^0.5)),"---")</f>
        <v>NA</v>
      </c>
      <c r="AK41" s="376" t="str">
        <f>IF(Start!$C$18="x",IF(OR(AH41 = "NA",AI41="NA",AI41=0,AI41="",AH41=""), "NA", AH41/AI41),"---")</f>
        <v>NA</v>
      </c>
      <c r="AL41" s="376" t="str">
        <f>IF(Start!$C$18="x",IF(OR(AK41 ="NA",AK41="",AJ41= "NA",R41="NA",R41=0),"NA",(2*AK41)/(1000*(1/$R41+AJ41))),"---")</f>
        <v>NA</v>
      </c>
      <c r="AM41" s="376" t="str">
        <f>IF(Start!$C$18="x",IF(AL41 = "NA", "NA", AL41*(Data!$D$52*Data!$D$53*10000)),"---")</f>
        <v>NA</v>
      </c>
      <c r="AN41" s="376" t="str">
        <f>IF(Start!$C$18="x",IF(AM41 = "NA", "NA", AM41*(Data!$D$54)),"---")</f>
        <v>NA</v>
      </c>
      <c r="AO41" s="498" t="str">
        <f>IF(Start!$C$18="x",IF(AN41="NA","NA",AN41*Data!$D$41),"---")</f>
        <v>NA</v>
      </c>
      <c r="AP41" s="376" t="str">
        <f>IF(Start!$C$18="x",IF(OR(Q41=0,N41="NA",N41="",AG41="NA",AG41="",AG41=0,Q41="",Q41="NA"),"NA", (3.1416*Data!$D$56*86400/($AG41*(Data!$D$55+(N41*Data!$D$19/(Q41*1000)))))^0.5),"---")</f>
        <v>NA</v>
      </c>
      <c r="AQ41" s="376" t="str">
        <f>IF(Start!$C$18="x",IF(OR(AH41="NA",AI41="NA",AI41="",AI41=0,AH41=""),"NA", AH41/AI41),"---")</f>
        <v>NA</v>
      </c>
      <c r="AR41" s="376" t="str">
        <f>IF(Start!$C$18="x",IF(OR(AQ41="NA",AP41="NA",$R41="NA",R41=0,R41=""),"NA",(2*AQ41)/(1000*(1/$R41+AP41))),"---")</f>
        <v>NA</v>
      </c>
      <c r="AS41" s="376" t="str">
        <f>IF(Start!$C$18="x",IF(AR41 = "NA", "NA", AR41*(Data!$D$52*Data!$D$53*10000)),"---")</f>
        <v>NA</v>
      </c>
      <c r="AT41" s="376" t="str">
        <f>IF(Start!$C$18="x",IF(AS41 = "NA", "NA", (AS41*1000)/(Data!$D$48*3*Data!$D$53)),"---")</f>
        <v>NA</v>
      </c>
      <c r="AU41" s="498" t="str">
        <f>IF(Start!$C$18="x",IF(AT41="NA","NA",AT41*Data!$D$47),"---")</f>
        <v>NA</v>
      </c>
      <c r="AV41" s="283" t="str">
        <f>IF(Start!$C$18="x",(IF(AND(F41="",G41= "",G41&lt;&gt;"NA"),"",IF(OR(AD41="NA",I41="NA",I41=0),"NA",(AD41/I41)))),"Not Req.")</f>
        <v/>
      </c>
      <c r="AW41" s="284" t="str">
        <f>IF(Start!$C$18="x",(IF(AND(F41="",G41= "",G41&lt;&gt;"NA"),"",IF(OR(AF41="NA",I41="NA",I41=0),"NA",(AF41/I41)))),"Not Req.")</f>
        <v/>
      </c>
      <c r="AX41" s="284" t="str">
        <f>IF(Start!$C$18="x",(IF(F41 ="","",IF(OR(AO41="NA",I41="NA",I41=0),"NA",(AO41/I41)))),"Not Req.")</f>
        <v/>
      </c>
      <c r="AY41" s="344" t="str">
        <f>IF(Start!$C$18="x",(IF(F41 ="","",IF(OR(AU41="NA",I41="NA",I41=0),"NA",(AU41/I41)))),"Not Req.")</f>
        <v/>
      </c>
      <c r="AZ41" s="208"/>
    </row>
    <row r="42" spans="1:52" s="183" customFormat="1" x14ac:dyDescent="0.25">
      <c r="A42" s="405" t="s">
        <v>360</v>
      </c>
      <c r="B42" s="347" t="str">
        <f>IF(Start!$C$18="x",IF(AND(OR(F42="",F42="NA"),OR(G42="",G42="NA")),"",IF(I42="NA","NA",IF(AND(I42="",K42="--"),"NA",IF(AD42="NA","Missing Data",IF(I42="","No Criteria",IF(AD42&gt;=I42,"Needed","No")))))),"---")</f>
        <v/>
      </c>
      <c r="C42" s="501" t="str">
        <f>IF(Start!$C$18="x",IF(AND(OR(F42="",F42="NA"),OR(G42="",G42="NA")),"",IF(I42="NA","NA",IF(AND(I42="",K42="--"),"NA",IF(AF42="NA","Missing Data",IF(I42="","No Criteria",IF(AF42&gt;=I42,"Needed","No")))))),"---")</f>
        <v/>
      </c>
      <c r="D42" s="347" t="str">
        <f>IF(Start!$C$18="x",IF(AND(OR(F42="",F42="NA"),OR(G42="",G42="NA")),"",IF(I42="NA","NA",IF(AND(I42="",K42="--"),"NA",IF(AO42="NA","Missing Data",IF(I42="","No Criteria",IF(AO42&gt;=I42,"Needed","No")))))),"---")</f>
        <v/>
      </c>
      <c r="E42" s="401" t="str">
        <f>IF(Start!$C$18="x",IF(AND(OR(F42="",F42="NA"),OR(G42="",G42="NA")),"",IF(I42="NA","NA",IF(AND(I42="",K42="--"),"NA",IF(AU42="NA","Missing Data",IF(I42="","No Criteria",IF(AU42&gt;=I42,"Needed","No")))))),"---")</f>
        <v/>
      </c>
      <c r="F42" s="431" t="str">
        <f>IF(TRUE=ISBLANK(ChemData!B42),"",(ChemData!B42))</f>
        <v/>
      </c>
      <c r="G42" s="432" t="str">
        <f>IF(TRUE=ISBLANK(ChemData!C42),"",(ChemData!C42))</f>
        <v/>
      </c>
      <c r="H42" s="433" t="str">
        <f>IF(TRUE=ISBLANK(ChemData!D42),"",(ChemData!D42))</f>
        <v/>
      </c>
      <c r="I42" s="919" t="str">
        <f>IF(TRUE=ISBLANK(ChemData!K42),"",(ChemData!K42))</f>
        <v>NA</v>
      </c>
      <c r="J42" s="290">
        <f>IF(TRUE=ISBLANK(ChemData!M42),"",(ChemData!M42))</f>
        <v>325.49</v>
      </c>
      <c r="K42" s="290">
        <f>IF(TRUE=ISBLANK(ChemData!N42),"",(ChemData!N42))</f>
        <v>7.6200000000000004E-2</v>
      </c>
      <c r="L42" s="290">
        <f>IF(TRUE=ISBLANK(ChemData!O42),"",(ChemData!O42))</f>
        <v>1.314310270425192E-3</v>
      </c>
      <c r="M42" s="290">
        <f>IF(TRUE=ISBLANK(ChemData!Q42),"",(ChemData!Q42))</f>
        <v>24.063000000000002</v>
      </c>
      <c r="N42" s="290">
        <f>IF(TRUE=ISBLANK(ChemData!R42),"",(ChemData!R42))</f>
        <v>24.063000000000002</v>
      </c>
      <c r="O42" s="290">
        <f>IF(TRUE=ISBLANK(ChemData!S42),"",(ChemData!S42))</f>
        <v>1</v>
      </c>
      <c r="P42" s="291">
        <f>IF(TRUE=ISBLANK(ChemData!T42),"",(ChemData!T42))</f>
        <v>1</v>
      </c>
      <c r="Q42" s="375">
        <f>IF(Start!$C$18="x",IF(OR(K42="NA",K42="",K42="--"),"NA",(K42*1000000/82.1/Data!$D$50)),"---")</f>
        <v>2.993988448391026</v>
      </c>
      <c r="R42" s="376">
        <f>IF(Start!$C$18="x",IF(OR(J42="NA",J42=0,J42=""),"NA",(0.32*(Data!$D$48+Data!$D$49)*(18/J42)^0.5)),"---")</f>
        <v>0.1937736139488016</v>
      </c>
      <c r="S42" s="376">
        <f>IF(Start!$C$18="x",IF(OR(J42="NA",J42= 0,J42=""),"NA",(0.0065*((Data!$D$49^0.969)/(Data!$D$51^0.673))*(32/J42)^0.5*EXP(0.526*Data!$D$48^-1.9))),"---")</f>
        <v>4.0842169058349562E-4</v>
      </c>
      <c r="T42" s="377">
        <f>IF(Start!$C$18="x",IF(OR(S42="NA",R42="NA",R42=0,Q42="NA",S42=0,Q42=0),"NA",(1/(1/S42+(1/(R42*Q42))))),"---")</f>
        <v>4.0813436969008149E-4</v>
      </c>
      <c r="U42" s="375" t="str">
        <f>IF(Start!$C$18="x",IF(OR(F42="NA",F42="",O42="",O42="NA"),"NA",(F42*$O42)),"---")</f>
        <v>NA</v>
      </c>
      <c r="V42" s="376" t="str">
        <f>IF(Start!$C$18="x",IF(OR(U42="NA",M42="NA",M42="",U42=""),"NA",U42/((Data!$D$18+((1-Data!$D$18)*Data!$D$14*M42))/((1-Data!$D$18)*Data!$D$14*1000))),"---")</f>
        <v>NA</v>
      </c>
      <c r="W42" s="376" t="str">
        <f>IF(Start!$C$18="x",IF(OR(G42="NA",U42="NA",G42="",U42=""),"NA",(U42 +($G42*(Data!$D$19-Data!$D$22)/(Data!$D$19*Data!$D$22)))),"---")</f>
        <v>NA</v>
      </c>
      <c r="X42" s="376" t="str">
        <f>IF(Start!$C$18="x",IF(OR(G42="NA",V42="NA",G42="",V42=""),"NA",(((Data!$D$22*Data!$D$18)*V42)+(Data!$D$19-Data!$D$22)*$G42)/((Data!$D$22*Data!$D$18)+Data!$D$19-Data!$D$22)),"---")</f>
        <v>NA</v>
      </c>
      <c r="Y42" s="376" t="str">
        <f>IF(Start!$C$18="x",IF(OR(W42="NA",W42="",M42="NA",M42=""),"NA",(W42/((Data!$D$23+((1-Data!$D$23)*Data!$D$14*M42)) /((1-Data!$D$23)*Data!$D$14*1000)))),"---")</f>
        <v>NA</v>
      </c>
      <c r="Z42" s="376" t="str">
        <f>IF(Start!$C$18="x",IF(OR(Y42="NA",X42="NA"),"NA",IF(Y42&gt;X42, Y42, X42)),"---")</f>
        <v>NA</v>
      </c>
      <c r="AA42" s="461" t="str">
        <f>IF(Start!$C$18="x",IF(OR(Z42="NA",T42="NA"),"NA",Z42*T42/(1000000000)),"---")</f>
        <v>NA</v>
      </c>
      <c r="AB42" s="1057" t="str">
        <f>IF(Start!$C$18="x",IF(AA42 = "NA", "NA", AA42*(Data!$D$52*Data!$D$53*10000)),"---")</f>
        <v>NA</v>
      </c>
      <c r="AC42" s="375" t="str">
        <f>IF(Start!$C$18="x",IF(AB42="NA", "NA", AB42*Data!$D$54),"---")</f>
        <v>NA</v>
      </c>
      <c r="AD42" s="498" t="str">
        <f>IF(Start!$C$18="x",IF(AC42="NA","NA",AC42*Data!$D$41),"---")</f>
        <v>NA</v>
      </c>
      <c r="AE42" s="376" t="str">
        <f>IF(Start!$C$18="x",IF(AB42 = "NA", "NA", AB42/(Data!$D$53*3*Data!$D$48)*1000),"---")</f>
        <v>NA</v>
      </c>
      <c r="AF42" s="498" t="str">
        <f>IF(Start!$C$18="x",IF(AE42="NA","NA",AE42*Data!$D$46),"---")</f>
        <v>NA</v>
      </c>
      <c r="AG42" s="375">
        <f>IF(Start!$C$18="x",IF(OR($L42="NA",L42=""),"NA",($L42*(Data!$D$55^3.33)/(Data!$D$18^2))),"---")</f>
        <v>1.3389527555477791E-5</v>
      </c>
      <c r="AH42" s="376" t="str">
        <f>IF(Start!$C$18="x",IF(OR(F42="NA",F42="",P42="NA",P42=""),"NA",IF(100/Data!$D$10&gt;Data!$D$13,(F42*$P42),(F42*$P42)*Data!$D$13)),"---")</f>
        <v>NA</v>
      </c>
      <c r="AI42" s="489">
        <f>IF(Start!$C$18="x",IF(OR($N42="NA",$Q42="NA",$Q42=0,Q42="",N42=""),"NA",(1000*$N42/$Q42)),"---")</f>
        <v>8037.1051574803159</v>
      </c>
      <c r="AJ42" s="376">
        <f>IF(Start!$C$18="x",IF(OR(Q42 = "NA",Q42=0,N42 = "NA",N42="",Q42=""), "NA", IF($AG42="NA","NA",(3.1416*Data!$D$57*86400/($AG42*(Data!$D$55+(N42*Data!$D$19/(Q42*1000)))))^0.5)),"---")</f>
        <v>294201.08549209539</v>
      </c>
      <c r="AK42" s="376" t="str">
        <f>IF(Start!$C$18="x",IF(OR(AH42 = "NA",AI42="NA",AI42=0,AI42="",AH42=""), "NA", AH42/AI42),"---")</f>
        <v>NA</v>
      </c>
      <c r="AL42" s="376" t="str">
        <f>IF(Start!$C$18="x",IF(OR(AK42 ="NA",AK42="",AJ42= "NA",R42="NA",R42=0),"NA",(2*AK42)/(1000*(1/$R42+AJ42))),"---")</f>
        <v>NA</v>
      </c>
      <c r="AM42" s="376" t="str">
        <f>IF(Start!$C$18="x",IF(AL42 = "NA", "NA", AL42*(Data!$D$52*Data!$D$53*10000)),"---")</f>
        <v>NA</v>
      </c>
      <c r="AN42" s="376" t="str">
        <f>IF(Start!$C$18="x",IF(AM42 = "NA", "NA", AM42*(Data!$D$54)),"---")</f>
        <v>NA</v>
      </c>
      <c r="AO42" s="498" t="str">
        <f>IF(Start!$C$18="x",IF(AN42="NA","NA",AN42*Data!$D$41),"---")</f>
        <v>NA</v>
      </c>
      <c r="AP42" s="376">
        <f>IF(Start!$C$18="x",IF(OR(Q42=0,N42="NA",N42="",AG42="NA",AG42="",AG42=0,Q42="",Q42="NA"),"NA", (3.1416*Data!$D$56*86400/($AG42*(Data!$D$55+(N42*Data!$D$19/(Q42*1000)))))^0.5),"---")</f>
        <v>294201.08549209539</v>
      </c>
      <c r="AQ42" s="376" t="str">
        <f>IF(Start!$C$18="x",IF(OR(AH42="NA",AI42="NA",AI42="",AI42=0,AH42=""),"NA", AH42/AI42),"---")</f>
        <v>NA</v>
      </c>
      <c r="AR42" s="376" t="str">
        <f>IF(Start!$C$18="x",IF(OR(AQ42="NA",AP42="NA",$R42="NA",R42=0,R42=""),"NA",(2*AQ42)/(1000*(1/$R42+AP42))),"---")</f>
        <v>NA</v>
      </c>
      <c r="AS42" s="376" t="str">
        <f>IF(Start!$C$18="x",IF(AR42 = "NA", "NA", AR42*(Data!$D$52*Data!$D$53*10000)),"---")</f>
        <v>NA</v>
      </c>
      <c r="AT42" s="376" t="str">
        <f>IF(Start!$C$18="x",IF(AS42 = "NA", "NA", (AS42*1000)/(Data!$D$48*3*Data!$D$53)),"---")</f>
        <v>NA</v>
      </c>
      <c r="AU42" s="498" t="str">
        <f>IF(Start!$C$18="x",IF(AT42="NA","NA",AT42*Data!$D$47),"---")</f>
        <v>NA</v>
      </c>
      <c r="AV42" s="283" t="str">
        <f>IF(Start!$C$18="x",(IF(AND(F42="",G42= "",G42&lt;&gt;"NA"),"",IF(OR(AD42="NA",I42="NA",I42=0),"NA",(AD42/I42)))),"Not Req.")</f>
        <v/>
      </c>
      <c r="AW42" s="284" t="str">
        <f>IF(Start!$C$18="x",(IF(AND(F42="",G42= "",G42&lt;&gt;"NA"),"",IF(OR(AF42="NA",I42="NA",I42=0),"NA",(AF42/I42)))),"Not Req.")</f>
        <v/>
      </c>
      <c r="AX42" s="284" t="str">
        <f>IF(Start!$C$18="x",(IF(F42 ="","",IF(OR(AO42="NA",I42="NA",I42=0),"NA",(AO42/I42)))),"Not Req.")</f>
        <v/>
      </c>
      <c r="AY42" s="344" t="str">
        <f>IF(Start!$C$18="x",(IF(F42 ="","",IF(OR(AU42="NA",I42="NA",I42=0),"NA",(AU42/I42)))),"Not Req.")</f>
        <v/>
      </c>
      <c r="AZ42" s="208"/>
    </row>
    <row r="43" spans="1:52" s="23" customFormat="1" ht="13.8" thickBot="1" x14ac:dyDescent="0.3">
      <c r="A43" s="56" t="s">
        <v>361</v>
      </c>
      <c r="B43" s="347" t="str">
        <f>IF(Start!$C$18="x",IF(AND(OR(F43="",F43="NA"),OR(G43="",G43="NA")),"",IF(I43="NA","NA",IF(AND(I43="",K43="--"),"NA",IF(AD43="NA","Missing Data",IF(I43="","No Criteria",IF(AD43&gt;=I43,"Needed","No")))))),"---")</f>
        <v/>
      </c>
      <c r="C43" s="501" t="str">
        <f>IF(Start!$C$18="x",IF(AND(OR(F43="",F43="NA"),OR(G43="",G43="NA")),"",IF(I43="NA","NA",IF(AND(I43="",K43="--"),"NA",IF(AF43="NA","Missing Data",IF(I43="","No Criteria",IF(AF43&gt;=I43,"Needed","No")))))),"---")</f>
        <v/>
      </c>
      <c r="D43" s="347" t="str">
        <f>IF(Start!$C$18="x",IF(AND(OR(F43="",F43="NA"),OR(G43="",G43="NA")),"",IF(I43="NA","NA",IF(AND(I43="",K43="--"),"NA",IF(AO43="NA","Missing Data",IF(I43="","No Criteria",IF(AO43&gt;=I43,"Needed","No")))))),"---")</f>
        <v/>
      </c>
      <c r="E43" s="401" t="str">
        <f>IF(Start!$C$18="x",IF(AND(OR(F43="",F43="NA"),OR(G43="",G43="NA")),"",IF(I43="NA","NA",IF(AND(I43="",K43="--"),"NA",IF(AU43="NA","Missing Data",IF(I43="","No Criteria",IF(AU43&gt;=I43,"Needed","No")))))),"---")</f>
        <v/>
      </c>
      <c r="F43" s="431" t="str">
        <f>IF(TRUE=ISBLANK(ChemData!B43),"",(ChemData!B43))</f>
        <v/>
      </c>
      <c r="G43" s="432" t="str">
        <f>IF(TRUE=ISBLANK(ChemData!C43),"",(ChemData!C43))</f>
        <v/>
      </c>
      <c r="H43" s="433" t="str">
        <f>IF(TRUE=ISBLANK(ChemData!D43),"",(ChemData!D43))</f>
        <v/>
      </c>
      <c r="I43" s="919" t="str">
        <f>IF(TRUE=ISBLANK(ChemData!K43),"",(ChemData!K43))</f>
        <v>NA</v>
      </c>
      <c r="J43" s="290">
        <f>IF(TRUE=ISBLANK(ChemData!M43),"",(ChemData!M43))</f>
        <v>215.63</v>
      </c>
      <c r="K43" s="290">
        <f>IF(TRUE=ISBLANK(ChemData!N43),"",(ChemData!N43))</f>
        <v>3.6699999999999999E-7</v>
      </c>
      <c r="L43" s="290">
        <f>IF(TRUE=ISBLANK(ChemData!O43),"",(ChemData!O43))</f>
        <v>3.6999999999999998E-2</v>
      </c>
      <c r="M43" s="290">
        <f>IF(TRUE=ISBLANK(ChemData!Q43),"",(ChemData!Q43))</f>
        <v>4.7578025939051666E-2</v>
      </c>
      <c r="N43" s="290">
        <f>IF(TRUE=ISBLANK(ChemData!R43),"",(ChemData!R43))</f>
        <v>4.7578025939051666E-2</v>
      </c>
      <c r="O43" s="290">
        <f>IF(TRUE=ISBLANK(ChemData!S43),"",(ChemData!S43))</f>
        <v>1</v>
      </c>
      <c r="P43" s="291">
        <f>IF(TRUE=ISBLANK(ChemData!T43),"",(ChemData!T43))</f>
        <v>1</v>
      </c>
      <c r="Q43" s="375">
        <f>IF(Start!$C$18="x",IF(OR(K43="NA",K43="",K43="--"),"NA",(K43*1000000/82.1/Data!$D$50)),"---")</f>
        <v>1.4419865624140506E-5</v>
      </c>
      <c r="R43" s="376">
        <f>IF(Start!$C$18="x",IF(OR(J43="NA",J43=0,J43=""),"NA",(0.32*(Data!$D$48+Data!$D$49)*(18/J43)^0.5)),"---")</f>
        <v>0.23807230281983507</v>
      </c>
      <c r="S43" s="376">
        <f>IF(Start!$C$18="x",IF(OR(J43="NA",J43= 0,J43=""),"NA",(0.0065*((Data!$D$49^0.969)/(Data!$D$51^0.673))*(32/J43)^0.5*EXP(0.526*Data!$D$48^-1.9))),"---")</f>
        <v>5.0179119033447899E-4</v>
      </c>
      <c r="T43" s="377">
        <f>IF(Start!$C$18="x",IF(OR(S43="NA",R43="NA",R43=0,Q43="NA",S43=0,Q43=0),"NA",(1/(1/S43+(1/(R43*Q43))))),"---")</f>
        <v>3.4096437674156594E-6</v>
      </c>
      <c r="U43" s="375" t="str">
        <f>IF(Start!$C$18="x",IF(OR(F43="NA",F43="",O43="",O43="NA"),"NA",(F43*$O43)),"---")</f>
        <v>NA</v>
      </c>
      <c r="V43" s="376" t="str">
        <f>IF(Start!$C$18="x",IF(OR(U43="NA",M43="NA",M43="",U43=""),"NA",U43/((Data!$D$18+((1-Data!$D$18)*Data!$D$14*M43))/((1-Data!$D$18)*Data!$D$14*1000))),"---")</f>
        <v>NA</v>
      </c>
      <c r="W43" s="376" t="str">
        <f>IF(Start!$C$18="x",IF(OR(G43="NA",U43="NA",G43="",U43=""),"NA",(U43 +($G43*(Data!$D$19-Data!$D$22)/(Data!$D$19*Data!$D$22)))),"---")</f>
        <v>NA</v>
      </c>
      <c r="X43" s="376" t="str">
        <f>IF(Start!$C$18="x",IF(OR(G43="NA",V43="NA",G43="",V43=""),"NA",(((Data!$D$22*Data!$D$18)*V43)+(Data!$D$19-Data!$D$22)*$G43)/((Data!$D$22*Data!$D$18)+Data!$D$19-Data!$D$22)),"---")</f>
        <v>NA</v>
      </c>
      <c r="Y43" s="376" t="str">
        <f>IF(Start!$C$18="x",IF(OR(W43="NA",W43="",M43="NA",M43=""),"NA",(W43/((Data!$D$23+((1-Data!$D$23)*Data!$D$14*M43)) /((1-Data!$D$23)*Data!$D$14*1000)))),"---")</f>
        <v>NA</v>
      </c>
      <c r="Z43" s="376" t="str">
        <f>IF(Start!$C$18="x",IF(OR(Y43="NA",X43="NA"),"NA",IF(Y43&gt;X43, Y43, X43)),"---")</f>
        <v>NA</v>
      </c>
      <c r="AA43" s="461" t="str">
        <f>IF(Start!$C$18="x",IF(OR(Z43="NA",T43="NA"),"NA",Z43*T43/(1000000000)),"---")</f>
        <v>NA</v>
      </c>
      <c r="AB43" s="1057" t="str">
        <f>IF(Start!$C$18="x",IF(AA43 = "NA", "NA", AA43*(Data!$D$52*Data!$D$53*10000)),"---")</f>
        <v>NA</v>
      </c>
      <c r="AC43" s="375" t="str">
        <f>IF(Start!$C$18="x",IF(AB43="NA", "NA", AB43*Data!$D$54),"---")</f>
        <v>NA</v>
      </c>
      <c r="AD43" s="498" t="str">
        <f>IF(Start!$C$18="x",IF(AC43="NA","NA",AC43*Data!$D$41),"---")</f>
        <v>NA</v>
      </c>
      <c r="AE43" s="376" t="str">
        <f>IF(Start!$C$18="x",IF(AB43 = "NA", "NA", AB43/(Data!$D$53*3*Data!$D$48)*1000),"---")</f>
        <v>NA</v>
      </c>
      <c r="AF43" s="498" t="str">
        <f>IF(Start!$C$18="x",IF(AE43="NA","NA",AE43*Data!$D$46),"---")</f>
        <v>NA</v>
      </c>
      <c r="AG43" s="375">
        <f>IF(Start!$C$18="x",IF(OR($L43="NA",L43=""),"NA",($L43*(Data!$D$55^3.33)/(Data!$D$18^2))),"---")</f>
        <v>3.7693726565220221E-4</v>
      </c>
      <c r="AH43" s="376" t="str">
        <f>IF(Start!$C$18="x",IF(OR(F43="NA",F43="",P43="NA",P43=""),"NA",IF(100/Data!$D$10&gt;Data!$D$13,(F43*$P43),(F43*$P43)*Data!$D$13)),"---")</f>
        <v>NA</v>
      </c>
      <c r="AI43" s="489">
        <f>IF(Start!$C$18="x",IF(OR($N43="NA",$Q43="NA",$Q43=0,Q43="",N43=""),"NA",(1000*$N43/$Q43)),"---")</f>
        <v>3299477.7606942882</v>
      </c>
      <c r="AJ43" s="376">
        <f>IF(Start!$C$18="x",IF(OR(Q43 = "NA",Q43=0,N43 = "NA",N43="",Q43=""), "NA", IF($AG43="NA","NA",(3.1416*Data!$D$57*86400/($AG43*(Data!$D$55+(N43*Data!$D$19/(Q43*1000)))))^0.5)),"---")</f>
        <v>2776.3528844660391</v>
      </c>
      <c r="AK43" s="376" t="str">
        <f>IF(Start!$C$18="x",IF(OR(AH43 = "NA",AI43="NA",AI43=0,AI43="",AH43=""), "NA", AH43/AI43),"---")</f>
        <v>NA</v>
      </c>
      <c r="AL43" s="376" t="str">
        <f>IF(Start!$C$18="x",IF(OR(AK43 ="NA",AK43="",AJ43= "NA",R43="NA",R43=0),"NA",(2*AK43)/(1000*(1/$R43+AJ43))),"---")</f>
        <v>NA</v>
      </c>
      <c r="AM43" s="376" t="str">
        <f>IF(Start!$C$18="x",IF(AL43 = "NA", "NA", AL43*(Data!$D$52*Data!$D$53*10000)),"---")</f>
        <v>NA</v>
      </c>
      <c r="AN43" s="376" t="str">
        <f>IF(Start!$C$18="x",IF(AM43 = "NA", "NA", AM43*(Data!$D$54)),"---")</f>
        <v>NA</v>
      </c>
      <c r="AO43" s="498" t="str">
        <f>IF(Start!$C$18="x",IF(AN43="NA","NA",AN43*Data!$D$41),"---")</f>
        <v>NA</v>
      </c>
      <c r="AP43" s="376">
        <f>IF(Start!$C$18="x",IF(OR(Q43=0,N43="NA",N43="",AG43="NA",AG43="",AG43=0,Q43="",Q43="NA"),"NA", (3.1416*Data!$D$56*86400/($AG43*(Data!$D$55+(N43*Data!$D$19/(Q43*1000)))))^0.5),"---")</f>
        <v>2776.3528844660391</v>
      </c>
      <c r="AQ43" s="376" t="str">
        <f>IF(Start!$C$18="x",IF(OR(AH43="NA",AI43="NA",AI43="",AI43=0,AH43=""),"NA", AH43/AI43),"---")</f>
        <v>NA</v>
      </c>
      <c r="AR43" s="376" t="str">
        <f>IF(Start!$C$18="x",IF(OR(AQ43="NA",AP43="NA",$R43="NA",R43=0,R43=""),"NA",(2*AQ43)/(1000*(1/$R43+AP43))),"---")</f>
        <v>NA</v>
      </c>
      <c r="AS43" s="376" t="str">
        <f>IF(Start!$C$18="x",IF(AR43 = "NA", "NA", AR43*(Data!$D$52*Data!$D$53*10000)),"---")</f>
        <v>NA</v>
      </c>
      <c r="AT43" s="376" t="str">
        <f>IF(Start!$C$18="x",IF(AS43 = "NA", "NA", (AS43*1000)/(Data!$D$48*3*Data!$D$53)),"---")</f>
        <v>NA</v>
      </c>
      <c r="AU43" s="498" t="str">
        <f>IF(Start!$C$18="x",IF(AT43="NA","NA",AT43*Data!$D$47),"---")</f>
        <v>NA</v>
      </c>
      <c r="AV43" s="283" t="str">
        <f>IF(Start!$C$18="x",(IF(AND(F43="",G43= "",G43&lt;&gt;"NA"),"",IF(OR(AD43="NA",I43="NA",I43=0),"NA",(AD43/I43)))),"Not Req.")</f>
        <v/>
      </c>
      <c r="AW43" s="284" t="str">
        <f>IF(Start!$C$18="x",(IF(AND(F43="",G43= "",G43&lt;&gt;"NA"),"",IF(OR(AF43="NA",I43="NA",I43=0),"NA",(AF43/I43)))),"Not Req.")</f>
        <v/>
      </c>
      <c r="AX43" s="284" t="str">
        <f>IF(Start!$C$18="x",(IF(F43 ="","",IF(OR(AO43="NA",I43="NA",I43=0),"NA",(AO43/I43)))),"Not Req.")</f>
        <v/>
      </c>
      <c r="AY43" s="344" t="str">
        <f>IF(Start!$C$18="x",(IF(F43 ="","",IF(OR(AU43="NA",I43="NA",I43=0),"NA",(AU43/I43)))),"Not Req.")</f>
        <v/>
      </c>
      <c r="AZ43" s="209"/>
    </row>
    <row r="44" spans="1:52" s="10" customFormat="1" x14ac:dyDescent="0.25">
      <c r="A44" s="505" t="s">
        <v>362</v>
      </c>
      <c r="B44" s="530"/>
      <c r="C44" s="531"/>
      <c r="D44" s="530"/>
      <c r="E44" s="526"/>
      <c r="F44" s="508"/>
      <c r="G44" s="509"/>
      <c r="H44" s="510"/>
      <c r="I44" s="800"/>
      <c r="J44" s="512"/>
      <c r="K44" s="512"/>
      <c r="L44" s="512"/>
      <c r="M44" s="512"/>
      <c r="N44" s="512"/>
      <c r="O44" s="512"/>
      <c r="P44" s="513"/>
      <c r="Q44" s="511"/>
      <c r="R44" s="512"/>
      <c r="S44" s="512"/>
      <c r="T44" s="513"/>
      <c r="U44" s="511"/>
      <c r="V44" s="512"/>
      <c r="W44" s="512"/>
      <c r="X44" s="512"/>
      <c r="Y44" s="512"/>
      <c r="Z44" s="512"/>
      <c r="AA44" s="512"/>
      <c r="AB44" s="512"/>
      <c r="AC44" s="511"/>
      <c r="AD44" s="533"/>
      <c r="AE44" s="512"/>
      <c r="AF44" s="533"/>
      <c r="AG44" s="511"/>
      <c r="AH44" s="512"/>
      <c r="AI44" s="534"/>
      <c r="AJ44" s="512"/>
      <c r="AK44" s="512"/>
      <c r="AL44" s="512"/>
      <c r="AM44" s="512"/>
      <c r="AN44" s="512"/>
      <c r="AO44" s="533"/>
      <c r="AP44" s="512"/>
      <c r="AQ44" s="512"/>
      <c r="AR44" s="512"/>
      <c r="AS44" s="512"/>
      <c r="AT44" s="512"/>
      <c r="AU44" s="533"/>
      <c r="AV44" s="511"/>
      <c r="AW44" s="512"/>
      <c r="AX44" s="512"/>
      <c r="AY44" s="513"/>
      <c r="AZ44" s="208"/>
    </row>
    <row r="45" spans="1:52" s="183" customFormat="1" x14ac:dyDescent="0.25">
      <c r="A45" s="405" t="s">
        <v>363</v>
      </c>
      <c r="B45" s="347" t="str">
        <f>IF(Start!$C$18="x",IF(AND(OR(F45="",F45="NA"),OR(G45="",G45="NA")),"",IF(I45="NA","NA",IF(AND(I45="",K45="--"),"NA",IF(AD45="NA","Missing Data",IF(I45="","No Criteria",IF(AD45&gt;=I45,"Needed","No")))))),"---")</f>
        <v/>
      </c>
      <c r="C45" s="501" t="str">
        <f>IF(Start!$C$18="x",IF(AND(OR(F45="",F45="NA"),OR(G45="",G45="NA")),"",IF(I45="NA","NA",IF(AND(I45="",K45="--"),"NA",IF(AF45="NA","Missing Data",IF(I45="","No Criteria",IF(AF45&gt;=I45,"Needed","No")))))),"---")</f>
        <v/>
      </c>
      <c r="D45" s="347" t="str">
        <f>IF(Start!$C$18="x",IF(AND(OR(F45="",F45="NA"),OR(G45="",G45="NA")),"",IF(I45="NA","NA",IF(AND(I45="",K45="--"),"NA",IF(AO45="NA","Missing Data",IF(I45="","No Criteria",IF(AO45&gt;=I45,"Needed","No")))))),"---")</f>
        <v/>
      </c>
      <c r="E45" s="401" t="str">
        <f>IF(Start!$C$18="x",IF(AND(OR(F45="",F45="NA"),OR(G45="",G45="NA")),"",IF(I45="NA","NA",IF(AND(I45="",K45="--"),"NA",IF(AU45="NA","Missing Data",IF(I45="","No Criteria",IF(AU45&gt;=I45,"Needed","No")))))),"---")</f>
        <v/>
      </c>
      <c r="F45" s="431" t="str">
        <f>IF(TRUE=ISBLANK(ChemData!B45),"",(ChemData!B45))</f>
        <v/>
      </c>
      <c r="G45" s="432" t="str">
        <f>IF(TRUE=ISBLANK(ChemData!C45),"",(ChemData!C45))</f>
        <v/>
      </c>
      <c r="H45" s="433" t="str">
        <f>IF(TRUE=ISBLANK(ChemData!D45),"",(ChemData!D45))</f>
        <v/>
      </c>
      <c r="I45" s="919">
        <f>IF(TRUE=ISBLANK(ChemData!K45),"",(ChemData!K45))</f>
        <v>0.02</v>
      </c>
      <c r="J45" s="290">
        <f>IF(TRUE=ISBLANK(ChemData!M45),"",(ChemData!M45))</f>
        <v>27.03</v>
      </c>
      <c r="K45" s="290">
        <f>IF(TRUE=ISBLANK(ChemData!N45),"",(ChemData!N45))</f>
        <v>1.3300000000000001E-4</v>
      </c>
      <c r="L45" s="290">
        <f>IF(TRUE=ISBLANK(ChemData!O45),"",(ChemData!O45))</f>
        <v>0.17699999999999999</v>
      </c>
      <c r="M45" s="290">
        <f>IF(TRUE=ISBLANK(ChemData!Q45),"",(ChemData!Q45))</f>
        <v>9.9</v>
      </c>
      <c r="N45" s="290">
        <f>IF(TRUE=ISBLANK(ChemData!R45),"",(ChemData!R45))</f>
        <v>9.9</v>
      </c>
      <c r="O45" s="290">
        <f>IF(TRUE=ISBLANK(ChemData!S45),"",(ChemData!S45))</f>
        <v>1</v>
      </c>
      <c r="P45" s="291">
        <f>IF(TRUE=ISBLANK(ChemData!T45),"",(ChemData!T45))</f>
        <v>1</v>
      </c>
      <c r="Q45" s="375">
        <f>IF(Start!$C$18="x",IF(OR(K45="NA",K45="",K45="--"),"NA",(K45*1000000/82.1/Data!$D$50)),"---")</f>
        <v>5.2257278692389303E-3</v>
      </c>
      <c r="R45" s="376">
        <f>IF(Start!$C$18="x",IF(OR(J45="NA",J45=0,J45=""),"NA",(0.32*(Data!$D$48+Data!$D$49)*(18/J45)^0.5)),"---")</f>
        <v>0.67241971988426552</v>
      </c>
      <c r="S45" s="376">
        <f>IF(Start!$C$18="x",IF(OR(J45="NA",J45= 0,J45=""),"NA",(0.0065*((Data!$D$49^0.969)/(Data!$D$51^0.673))*(32/J45)^0.5*EXP(0.526*Data!$D$48^-1.9))),"---")</f>
        <v>1.4172765485468762E-3</v>
      </c>
      <c r="T45" s="377">
        <f>IF(Start!$C$18="x",IF(OR(S45="NA",R45="NA",R45=0,Q45="NA",S45=0,Q45=0),"NA",(1/(1/S45+(1/(R45*Q45))))),"---")</f>
        <v>1.0099336079733099E-3</v>
      </c>
      <c r="U45" s="375" t="str">
        <f>IF(Start!$C$18="x",IF(OR(F45="NA",F45="",O45="NA",O45=""),"NA",(F45*$O45)/(Data!$D$10/100)),"---")</f>
        <v>NA</v>
      </c>
      <c r="V45" s="376" t="str">
        <f>IF(Start!$C$18="x",IF(OR(U45="NA",M45="NA",M45="",U45=""),"NA",U45/((Data!$D$18+((1-Data!$D$18)*Data!$D$14*M45))/((1-Data!$D$18)*Data!$D$14*1000))),"---")</f>
        <v>NA</v>
      </c>
      <c r="W45" s="376" t="str">
        <f>IF(Start!$C$18="x",IF(OR(G45="NA",U45="NA",G45="",U45=""),"NA",(U45 +($G45*(Data!$D$19-Data!$D$22)/(Data!$D$19*Data!$D$22)))),"---")</f>
        <v>NA</v>
      </c>
      <c r="X45" s="376" t="str">
        <f>IF(Start!$C$18="x",IF(OR(G45="NA",V45="NA",G45="",V45=""),"NA",(((Data!$D$22*Data!$D$18)*V45)+(Data!$D$19-Data!$D$22)*$G45)/((Data!$D$22*Data!$D$18)+Data!$D$19-Data!$D$22)),"---")</f>
        <v>NA</v>
      </c>
      <c r="Y45" s="376" t="str">
        <f>IF(Start!$C$18="x",IF(OR(W45="NA",W45="",M45="NA",M45=""),"NA",(W45/((Data!$D$23+((1-Data!$D$23)*Data!$D$14*M45)) /((1-Data!$D$23)*Data!$D$14*1000)))),"---")</f>
        <v>NA</v>
      </c>
      <c r="Z45" s="376" t="str">
        <f>IF(Start!$C$18="x",IF(OR(Y45="NA",X45="NA"),"NA",IF(Y45&gt;X45, Y45, X45)),"---")</f>
        <v>NA</v>
      </c>
      <c r="AA45" s="461" t="str">
        <f>IF(Start!$C$18="x",IF(OR(Z45="NA",T45="NA"),"NA",Z45*T45/(1000000000)),"---")</f>
        <v>NA</v>
      </c>
      <c r="AB45" s="1057" t="str">
        <f>IF(Start!$C$18="x",IF(AA45 = "NA", "NA", AA45*(Data!$D$52*Data!$D$53*10000)),"---")</f>
        <v>NA</v>
      </c>
      <c r="AC45" s="375" t="str">
        <f>IF(Start!$C$18="x",IF(AB45="NA", "NA", AB45*Data!$D$54),"---")</f>
        <v>NA</v>
      </c>
      <c r="AD45" s="498" t="str">
        <f>IF(Start!$C$18="x",IF(AC45="NA","NA",AC45*Data!$D$41),"---")</f>
        <v>NA</v>
      </c>
      <c r="AE45" s="376" t="str">
        <f>IF(Start!$C$18="x",IF(AB45 = "NA", "NA", AB45/(Data!$D$53*3*Data!$D$48)*1000),"---")</f>
        <v>NA</v>
      </c>
      <c r="AF45" s="498" t="str">
        <f>IF(Start!$C$18="x",IF(AE45="NA","NA",AE45*Data!$D$46),"---")</f>
        <v>NA</v>
      </c>
      <c r="AG45" s="375">
        <f>IF(Start!$C$18="x",IF(OR($L45="NA",L45=""),"NA",($L45*(Data!$D$55^3.33)/(Data!$D$18^2))),"---")</f>
        <v>1.8031863789308052E-3</v>
      </c>
      <c r="AH45" s="376" t="str">
        <f>IF(Start!$C$18="x",IF(OR(F45="NA",F45="",P45="NA",P45=""),"NA",IF(100/Data!$D$10&gt;Data!$D$13,(F45*$P45)/(Data!$D$10/100),(F45*$P45)*Data!$D$13)),"---")</f>
        <v>NA</v>
      </c>
      <c r="AI45" s="489">
        <f>IF(Start!$C$18="x",IF(OR($N45="NA",$Q45="NA",$Q45=0,Q45="",N45=""),"NA",(1000*$N45/$Q45)),"---")</f>
        <v>1894472.9323308268</v>
      </c>
      <c r="AJ45" s="376">
        <f>IF(Start!$C$18="x",IF(OR(Q45 = "NA",Q45=0,N45 = "NA",N45="",Q45=""), "NA", IF($AG45="NA","NA",(3.1416*Data!$D$57*86400/($AG45*(Data!$D$55+(N45*Data!$D$19/(Q45*1000)))))^0.5)),"---")</f>
        <v>1675.1581051883934</v>
      </c>
      <c r="AK45" s="376" t="str">
        <f>IF(Start!$C$18="x",IF(OR(AH45 = "NA",AI45="NA",AI45=0,AI45="",AH45=""), "NA", AH45/AI45),"---")</f>
        <v>NA</v>
      </c>
      <c r="AL45" s="376" t="str">
        <f>IF(Start!$C$18="x",IF(OR(AK45 ="NA",AK45="",AJ45= "NA",R45="NA",R45=0),"NA",(2*AK45)/(1000*(1/$R45+AJ45))),"---")</f>
        <v>NA</v>
      </c>
      <c r="AM45" s="376" t="str">
        <f>IF(Start!$C$18="x",IF(AL45 = "NA", "NA", AL45*(Data!$D$52*Data!$D$53*10000)),"---")</f>
        <v>NA</v>
      </c>
      <c r="AN45" s="376" t="str">
        <f>IF(Start!$C$18="x",IF(AM45 = "NA", "NA", AM45*(Data!$D$54)),"---")</f>
        <v>NA</v>
      </c>
      <c r="AO45" s="498" t="str">
        <f>IF(Start!$C$18="x",IF(AN45="NA","NA",AN45*Data!$D$41),"---")</f>
        <v>NA</v>
      </c>
      <c r="AP45" s="376">
        <f>IF(Start!$C$18="x",IF(OR(Q45=0,N45="NA",N45="",AG45="NA",AG45="",AG45=0,Q45="",Q45="NA"),"NA", (3.1416*Data!$D$56*86400/($AG45*(Data!$D$55+(N45*Data!$D$19/(Q45*1000)))))^0.5),"---")</f>
        <v>1675.1581051883934</v>
      </c>
      <c r="AQ45" s="376" t="str">
        <f>IF(Start!$C$18="x",IF(OR(AH45="NA",AI45="NA",AI45="",AI45=0,AH45=""),"NA", AH45/AI45),"---")</f>
        <v>NA</v>
      </c>
      <c r="AR45" s="376" t="str">
        <f>IF(Start!$C$18="x",IF(OR(AQ45="NA",AP45="NA",$R45="NA",R45=0,R45=""),"NA",(2*AQ45)/(1000*(1/$R45+AP45))),"---")</f>
        <v>NA</v>
      </c>
      <c r="AS45" s="376" t="str">
        <f>IF(Start!$C$18="x",IF(AR45 = "NA", "NA", AR45*(Data!$D$52*Data!$D$53*10000)),"---")</f>
        <v>NA</v>
      </c>
      <c r="AT45" s="376" t="str">
        <f>IF(Start!$C$18="x",IF(AS45 = "NA", "NA", (AS45*1000)/(Data!$D$48*3*Data!$D$53)),"---")</f>
        <v>NA</v>
      </c>
      <c r="AU45" s="498" t="str">
        <f>IF(Start!$C$18="x",IF(AT45="NA","NA",AT45*Data!$D$47),"---")</f>
        <v>NA</v>
      </c>
      <c r="AV45" s="283" t="str">
        <f>IF(Start!$C$18="x",(IF(AND(F45="",G45= "",G45&lt;&gt;"NA"),"",IF(OR(AD45="NA",I45="NA",I45=0),"NA",(AD45/I45)))),"Not Req.")</f>
        <v/>
      </c>
      <c r="AW45" s="284" t="str">
        <f>IF(Start!$C$18="x",(IF(AND(F45="",G45= "",G45&lt;&gt;"NA"),"",IF(OR(AF45="NA",I45="NA",I45=0),"NA",(AF45/I45)))),"Not Req.")</f>
        <v/>
      </c>
      <c r="AX45" s="284" t="str">
        <f>IF(Start!$C$18="x",(IF(F45 ="","",IF(OR(AO45="NA",I45="NA",I45=0),"NA",(AO45/I45)))),"Not Req.")</f>
        <v/>
      </c>
      <c r="AY45" s="344" t="str">
        <f>IF(Start!$C$18="x",(IF(F45 ="","",IF(OR(AU45="NA",I45="NA",I45=0),"NA",(AU45/I45)))),"Not Req.")</f>
        <v/>
      </c>
      <c r="AZ45" s="208"/>
    </row>
    <row r="46" spans="1:52" s="183" customFormat="1" x14ac:dyDescent="0.25">
      <c r="A46" s="405" t="s">
        <v>364</v>
      </c>
      <c r="B46" s="347" t="str">
        <f>IF(Start!$C$18="x",IF(AND(OR(F46="",F46="NA"),OR(G46="",G46="NA")),"",IF(I46="NA","NA",IF(AND(I46="",K46="--"),"NA",IF(AD46="NA","Missing Data",IF(I46="","No Criteria",IF(AD46&gt;=I46,"Needed","No")))))),"---")</f>
        <v>Needed</v>
      </c>
      <c r="C46" s="501" t="str">
        <f>IF(Start!$C$18="x",IF(AND(OR(F46="",F46="NA"),OR(G46="",G46="NA")),"",IF(I46="NA","NA",IF(AND(I46="",K46="--"),"NA",IF(AF46="NA","Missing Data",IF(I46="","No Criteria",IF(AF46&gt;=I46,"Needed","No")))))),"---")</f>
        <v>Needed</v>
      </c>
      <c r="D46" s="347" t="str">
        <f>IF(Start!$C$18="x",IF(AND(OR(F46="",F46="NA"),OR(G46="",G46="NA")),"",IF(I46="NA","NA",IF(AND(I46="",K46="--"),"NA",IF(AO46="NA","Missing Data",IF(I46="","No Criteria",IF(AO46&gt;=I46,"Needed","No")))))),"---")</f>
        <v>No</v>
      </c>
      <c r="E46" s="401" t="str">
        <f>IF(Start!$C$18="x",IF(AND(OR(F46="",F46="NA"),OR(G46="",G46="NA")),"",IF(I46="NA","NA",IF(AND(I46="",K46="--"),"NA",IF(AU46="NA","Missing Data",IF(I46="","No Criteria",IF(AU46&gt;=I46,"Needed","No")))))),"---")</f>
        <v>No</v>
      </c>
      <c r="F46" s="431">
        <f>IF(TRUE=ISBLANK(ChemData!B46),"",(ChemData!B46))</f>
        <v>10</v>
      </c>
      <c r="G46" s="432">
        <f>IF(TRUE=ISBLANK(ChemData!C46),"",(ChemData!C46))</f>
        <v>10</v>
      </c>
      <c r="H46" s="433">
        <f>IF(TRUE=ISBLANK(ChemData!D46),"",(ChemData!D46))</f>
        <v>2</v>
      </c>
      <c r="I46" s="919">
        <f>IF(TRUE=ISBLANK(ChemData!K46),"",(ChemData!K46))</f>
        <v>2.9000000000000001E-2</v>
      </c>
      <c r="J46" s="290">
        <f>IF(TRUE=ISBLANK(ChemData!M46),"",(ChemData!M46))</f>
        <v>17.03</v>
      </c>
      <c r="K46" s="290">
        <f>IF(TRUE=ISBLANK(ChemData!N46),"",(ChemData!N46))</f>
        <v>3.2000000000000003E-4</v>
      </c>
      <c r="L46" s="290">
        <f>IF(TRUE=ISBLANK(ChemData!O46),"",(ChemData!O46))</f>
        <v>0.08</v>
      </c>
      <c r="M46" s="290">
        <f>IF(TRUE=ISBLANK(ChemData!Q46),"",(ChemData!Q46))</f>
        <v>8.6999999999999993</v>
      </c>
      <c r="N46" s="290">
        <f>IF(TRUE=ISBLANK(ChemData!R46),"",(ChemData!R46))</f>
        <v>8.6999999999999993</v>
      </c>
      <c r="O46" s="290">
        <f>IF(TRUE=ISBLANK(ChemData!S46),"",(ChemData!S46))</f>
        <v>1</v>
      </c>
      <c r="P46" s="291">
        <f>IF(TRUE=ISBLANK(ChemData!T46),"",(ChemData!T46))</f>
        <v>1</v>
      </c>
      <c r="Q46" s="375">
        <f>IF(Start!$C$18="x",IF(OR(K46="NA",K46="",K46="--"),"NA",(K46*1000000/82.1/Data!$D$50)),"---")</f>
        <v>1.2573179835762839E-2</v>
      </c>
      <c r="R46" s="376">
        <f>IF(Start!$C$18="x",IF(OR(J46="NA",J46=0,J46=""),"NA",(0.32*(Data!$D$48+Data!$D$49)*(18/J46)^0.5)),"---")</f>
        <v>0.84714185631515138</v>
      </c>
      <c r="S46" s="376">
        <f>IF(Start!$C$18="x",IF(OR(J46="NA",J46= 0,J46=""),"NA",(0.0065*((Data!$D$49^0.969)/(Data!$D$51^0.673))*(32/J46)^0.5*EXP(0.526*Data!$D$48^-1.9))),"---")</f>
        <v>1.7855429440031593E-3</v>
      </c>
      <c r="T46" s="377">
        <f>IF(Start!$C$18="x",IF(OR(S46="NA",R46="NA",R46=0,Q46="NA",S46=0,Q46=0),"NA",(1/(1/S46+(1/(R46*Q46))))),"---")</f>
        <v>1.5291939571352362E-3</v>
      </c>
      <c r="U46" s="375">
        <f>IF(Start!$C$18="x",IF(OR(F46="NA",F46="",O46="NA",O46=""),"NA",(F46*$O46)/(Data!$D$10/100)),"---")</f>
        <v>20</v>
      </c>
      <c r="V46" s="376">
        <f>IF(Start!$C$18="x",IF(OR(U46="NA",M46="NA",M46="",U46=""),"NA",U46/((Data!$D$18+((1-Data!$D$18)*Data!$D$14*M46))/((1-Data!$D$18)*Data!$D$14*1000))),"---")</f>
        <v>2105.2631578947371</v>
      </c>
      <c r="W46" s="376">
        <f>IF(Start!$C$18="x",IF(OR(G46="NA",U46="NA",G46="",U46=""),"NA",(U46 +($G46*(Data!$D$19-Data!$D$22)/(Data!$D$19*Data!$D$22)))),"---")</f>
        <v>20.008226415094338</v>
      </c>
      <c r="X46" s="376">
        <f>IF(Start!$C$18="x",IF(OR(G46="NA",V46="NA",G46="",V46=""),"NA",(((Data!$D$22*Data!$D$18)*V46)+(Data!$D$19-Data!$D$22)*$G46)/((Data!$D$22*Data!$D$18)+Data!$D$19-Data!$D$22)),"---")</f>
        <v>1043.0134638922893</v>
      </c>
      <c r="Y46" s="376">
        <f>IF(Start!$C$18="x",IF(OR(W46="NA",W46="",M46="NA",M46=""),"NA",(W46/((Data!$D$23+((1-Data!$D$23)*Data!$D$14*M46)) /((1-Data!$D$23)*Data!$D$14*1000)))),"---")</f>
        <v>1938.2855053920671</v>
      </c>
      <c r="Z46" s="376">
        <f>IF(Start!$C$18="x",IF(OR(Y46="NA",X46="NA"),"NA",IF(Y46&gt;X46, Y46, X46)),"---")</f>
        <v>1938.2855053920671</v>
      </c>
      <c r="AA46" s="461">
        <f>IF(Start!$C$18="x",IF(OR(Z46="NA",T46="NA"),"NA",Z46*T46/(1000000000)),"---")</f>
        <v>2.9640144820483665E-9</v>
      </c>
      <c r="AB46" s="1057">
        <f>IF(Start!$C$18="x",IF(AA46 = "NA", "NA", AA46*(Data!$D$52*Data!$D$53*10000)),"---")</f>
        <v>8.8920434461450995E-2</v>
      </c>
      <c r="AC46" s="375">
        <f>IF(Start!$C$18="x",IF(AB46="NA", "NA", AB46*Data!$D$54),"---")</f>
        <v>6.2244304123015695E-2</v>
      </c>
      <c r="AD46" s="498">
        <f>IF(Start!$C$18="x",IF(AC46="NA","NA",AC46*Data!$D$41),"---")</f>
        <v>5.6609556591879537E-2</v>
      </c>
      <c r="AE46" s="376">
        <f>IF(Start!$C$18="x",IF(AB46 = "NA", "NA", AB46/(Data!$D$53*3*Data!$D$48)*1000),"---")</f>
        <v>0.39520193093978223</v>
      </c>
      <c r="AF46" s="498">
        <f>IF(Start!$C$18="x",IF(AE46="NA","NA",AE46*Data!$D$46),"---")</f>
        <v>9.344998118956406E-2</v>
      </c>
      <c r="AG46" s="375">
        <f>IF(Start!$C$18="x",IF(OR($L46="NA",L46=""),"NA",($L46*(Data!$D$55^3.33)/(Data!$D$18^2))),"---")</f>
        <v>8.1499949330205888E-4</v>
      </c>
      <c r="AH46" s="376">
        <f>IF(Start!$C$18="x",IF(OR(F46="NA",F46="",P46="NA",P46=""),"NA",IF(100/Data!$D$10&gt;Data!$D$13,(F46*$P46)/(Data!$D$10/100),(F46*$P46)*Data!$D$13)),"---")</f>
        <v>81.967213114754117</v>
      </c>
      <c r="AI46" s="489">
        <f>IF(Start!$C$18="x",IF(OR($N46="NA",$Q46="NA",$Q46=0,Q46="",N46=""),"NA",(1000*$N46/$Q46)),"---")</f>
        <v>691949.0625</v>
      </c>
      <c r="AJ46" s="376">
        <f>IF(Start!$C$18="x",IF(OR(Q46 = "NA",Q46=0,N46 = "NA",N46="",Q46=""), "NA", IF($AG46="NA","NA",(3.1416*Data!$D$57*86400/($AG46*(Data!$D$55+(N46*Data!$D$19/(Q46*1000)))))^0.5)),"---")</f>
        <v>4122.4717447830571</v>
      </c>
      <c r="AK46" s="376">
        <f>IF(Start!$C$18="x",IF(OR(AH46 = "NA",AI46="NA",AI46=0,AI46="",AH46=""), "NA", AH46/AI46),"---")</f>
        <v>1.1845844955495423E-4</v>
      </c>
      <c r="AL46" s="376">
        <f>IF(Start!$C$18="x",IF(OR(AK46 ="NA",AK46="",AJ46= "NA",R46="NA",R46=0),"NA",(2*AK46)/(1000*(1/$R46+AJ46))),"---")</f>
        <v>5.7453172213015747E-11</v>
      </c>
      <c r="AM46" s="376">
        <f>IF(Start!$C$18="x",IF(AL46 = "NA", "NA", AL46*(Data!$D$52*Data!$D$53*10000)),"---")</f>
        <v>1.7235951663904724E-3</v>
      </c>
      <c r="AN46" s="376">
        <f>IF(Start!$C$18="x",IF(AM46 = "NA", "NA", AM46*(Data!$D$54)),"---")</f>
        <v>1.2065166164733306E-3</v>
      </c>
      <c r="AO46" s="498">
        <f>IF(Start!$C$18="x",IF(AN46="NA","NA",AN46*Data!$D$41),"---")</f>
        <v>1.0972951122452186E-3</v>
      </c>
      <c r="AP46" s="376">
        <f>IF(Start!$C$18="x",IF(OR(Q46=0,N46="NA",N46="",AG46="NA",AG46="",AG46=0,Q46="",Q46="NA"),"NA", (3.1416*Data!$D$56*86400/($AG46*(Data!$D$55+(N46*Data!$D$19/(Q46*1000)))))^0.5),"---")</f>
        <v>4122.4717447830571</v>
      </c>
      <c r="AQ46" s="376">
        <f>IF(Start!$C$18="x",IF(OR(AH46="NA",AI46="NA",AI46="",AI46=0,AH46=""),"NA", AH46/AI46),"---")</f>
        <v>1.1845844955495423E-4</v>
      </c>
      <c r="AR46" s="376">
        <f>IF(Start!$C$18="x",IF(OR(AQ46="NA",AP46="NA",$R46="NA",R46=0,R46=""),"NA",(2*AQ46)/(1000*(1/$R46+AP46))),"---")</f>
        <v>5.7453172213015747E-11</v>
      </c>
      <c r="AS46" s="376">
        <f>IF(Start!$C$18="x",IF(AR46 = "NA", "NA", AR46*(Data!$D$52*Data!$D$53*10000)),"---")</f>
        <v>1.7235951663904724E-3</v>
      </c>
      <c r="AT46" s="376">
        <f>IF(Start!$C$18="x",IF(AS46 = "NA", "NA", (AS46*1000)/(Data!$D$48*3*Data!$D$53)),"---")</f>
        <v>7.6604229617354335E-3</v>
      </c>
      <c r="AU46" s="498">
        <f>IF(Start!$C$18="x",IF(AT46="NA","NA",AT46*Data!$D$47),"---")</f>
        <v>1.4491151497685549E-3</v>
      </c>
      <c r="AV46" s="283">
        <f>IF(Start!$C$18="x",(IF(AND(F46="",G46= "",G46&lt;&gt;"NA"),"",IF(OR(AD46="NA",I46="NA",I46=0),"NA",(AD46/I46)))),"Not Req.")</f>
        <v>1.952053675582053</v>
      </c>
      <c r="AW46" s="284">
        <f>IF(Start!$C$18="x",(IF(AND(F46="",G46= "",G46&lt;&gt;"NA"),"",IF(OR(AF46="NA",I46="NA",I46=0),"NA",(AF46/I46)))),"Not Req.")</f>
        <v>3.2224131444677262</v>
      </c>
      <c r="AX46" s="284">
        <f>IF(Start!$C$18="x",(IF(F46 ="","",IF(OR(AO46="NA",I46="NA",I46=0),"NA",(AO46/I46)))),"Not Req.")</f>
        <v>3.7837762491214434E-2</v>
      </c>
      <c r="AY46" s="344">
        <f>IF(Start!$C$18="x",(IF(F46 ="","",IF(OR(AU46="NA",I46="NA",I46=0),"NA",(AU46/I46)))),"Not Req.")</f>
        <v>4.9969487923053613E-2</v>
      </c>
      <c r="AZ46" s="208"/>
    </row>
    <row r="47" spans="1:52" s="183" customFormat="1" x14ac:dyDescent="0.25">
      <c r="A47" s="405" t="s">
        <v>365</v>
      </c>
      <c r="B47" s="347" t="str">
        <f>IF(Start!$C$18="x",IF(AND(OR(F47="",F47="NA"),OR(G47="",G47="NA")),"",IF(I47="NA","NA",IF(AND(I47="",K47="--"),"NA",IF(AD47="NA","Missing Data",IF(I47="","No Criteria",IF(AD47&gt;=I47,"Needed","No")))))),"---")</f>
        <v/>
      </c>
      <c r="C47" s="501" t="str">
        <f>IF(Start!$C$18="x",IF(AND(OR(F47="",F47="NA"),OR(G47="",G47="NA")),"",IF(I47="NA","NA",IF(AND(I47="",K47="--"),"NA",IF(AF47="NA","Missing Data",IF(I47="","No Criteria",IF(AF47&gt;=I47,"Needed","No")))))),"---")</f>
        <v/>
      </c>
      <c r="D47" s="347" t="str">
        <f>IF(Start!$C$18="x",IF(AND(OR(F47="",F47="NA"),OR(G47="",G47="NA")),"",IF(I47="NA","NA",IF(AND(I47="",K47="--"),"NA",IF(AO47="NA","Missing Data",IF(I47="","No Criteria",IF(AO47&gt;=I47,"Needed","No")))))),"---")</f>
        <v/>
      </c>
      <c r="E47" s="401" t="str">
        <f>IF(Start!$C$18="x",IF(AND(OR(F47="",F47="NA"),OR(G47="",G47="NA")),"",IF(I47="NA","NA",IF(AND(I47="",K47="--"),"NA",IF(AU47="NA","Missing Data",IF(I47="","No Criteria",IF(AU47&gt;=I47,"Needed","No")))))),"---")</f>
        <v/>
      </c>
      <c r="F47" s="431" t="str">
        <f>IF(TRUE=ISBLANK(ChemData!B47),"",(ChemData!B47))</f>
        <v/>
      </c>
      <c r="G47" s="432" t="str">
        <f>IF(TRUE=ISBLANK(ChemData!C47),"",(ChemData!C47))</f>
        <v/>
      </c>
      <c r="H47" s="433" t="str">
        <f>IF(TRUE=ISBLANK(ChemData!D47),"",(ChemData!D47))</f>
        <v/>
      </c>
      <c r="I47" s="919" t="str">
        <f>IF(TRUE=ISBLANK(ChemData!K47),"",(ChemData!K47))</f>
        <v>NA</v>
      </c>
      <c r="J47" s="290" t="str">
        <f>IF(TRUE=ISBLANK(ChemData!M47),"",(ChemData!M47))</f>
        <v>NA</v>
      </c>
      <c r="K47" s="290" t="str">
        <f>IF(TRUE=ISBLANK(ChemData!N47),"",(ChemData!N47))</f>
        <v>--</v>
      </c>
      <c r="L47" s="290" t="str">
        <f>IF(TRUE=ISBLANK(ChemData!O47),"",(ChemData!O47))</f>
        <v>NA</v>
      </c>
      <c r="M47" s="290" t="str">
        <f>IF(TRUE=ISBLANK(ChemData!Q47),"",(ChemData!Q47))</f>
        <v>NA</v>
      </c>
      <c r="N47" s="290" t="str">
        <f>IF(TRUE=ISBLANK(ChemData!R47),"",(ChemData!R47))</f>
        <v>NA</v>
      </c>
      <c r="O47" s="290">
        <f>IF(TRUE=ISBLANK(ChemData!S47),"",(ChemData!S47))</f>
        <v>0.5</v>
      </c>
      <c r="P47" s="291">
        <f>IF(TRUE=ISBLANK(ChemData!T47),"",(ChemData!T47))</f>
        <v>0.5</v>
      </c>
      <c r="Q47" s="375" t="str">
        <f>IF(Start!$C$18="x",IF(OR(K47="NA",K47="",K47="--"),"NA",(K47*1000000/82.1/Data!$D$50)),"---")</f>
        <v>NA</v>
      </c>
      <c r="R47" s="376" t="str">
        <f>IF(Start!$C$18="x",IF(OR(J47="NA",J47=0,J47=""),"NA",(0.32*(Data!$D$48+Data!$D$49)*(18/J47)^0.5)),"---")</f>
        <v>NA</v>
      </c>
      <c r="S47" s="376" t="str">
        <f>IF(Start!$C$18="x",IF(OR(J47="NA",J47= 0,J47=""),"NA",(0.0065*((Data!$D$49^0.969)/(Data!$D$51^0.673))*(32/J47)^0.5*EXP(0.526*Data!$D$48^-1.9))),"---")</f>
        <v>NA</v>
      </c>
      <c r="T47" s="377" t="str">
        <f>IF(Start!$C$18="x",IF(OR(S47="NA",R47="NA",R47=0,Q47="NA",S47=0,Q47=0),"NA",(1/(1/S47+(1/(R47*Q47))))),"---")</f>
        <v>NA</v>
      </c>
      <c r="U47" s="375" t="str">
        <f>IF(Start!$C$18="x",IF(OR(F47="NA",F47="",O47="NA",O47=""),"NA",(F47*$O47)/(Data!$D$10/100)),"---")</f>
        <v>NA</v>
      </c>
      <c r="V47" s="376" t="str">
        <f>IF(Start!$C$18="x",IF(OR(U47="NA",M47="NA",M47="",U47=""),"NA",U47/((Data!$D$18+((1-Data!$D$18)*Data!$D$14*M47))/((1-Data!$D$18)*Data!$D$14*1000))),"---")</f>
        <v>NA</v>
      </c>
      <c r="W47" s="376" t="str">
        <f>IF(Start!$C$18="x",IF(OR(G47="NA",U47="NA",G47="",U47=""),"NA",(U47 +($G47*(Data!$D$19-Data!$D$22)/(Data!$D$19*Data!$D$22)))),"---")</f>
        <v>NA</v>
      </c>
      <c r="X47" s="376" t="str">
        <f>IF(Start!$C$18="x",IF(OR(G47="NA",V47="NA",G47="",V47=""),"NA",(((Data!$D$22*Data!$D$18)*V47)+(Data!$D$19-Data!$D$22)*$G47)/((Data!$D$22*Data!$D$18)+Data!$D$19-Data!$D$22)),"---")</f>
        <v>NA</v>
      </c>
      <c r="Y47" s="376" t="str">
        <f>IF(Start!$C$18="x",IF(OR(W47="NA",W47="",M47="NA",M47=""),"NA",(W47/((Data!$D$23+((1-Data!$D$23)*Data!$D$14*M47)) /((1-Data!$D$23)*Data!$D$14*1000)))),"---")</f>
        <v>NA</v>
      </c>
      <c r="Z47" s="376" t="str">
        <f>IF(Start!$C$18="x",IF(OR(Y47="NA",X47="NA"),"NA",IF(Y47&gt;X47, Y47, X47)),"---")</f>
        <v>NA</v>
      </c>
      <c r="AA47" s="461" t="str">
        <f>IF(Start!$C$18="x",IF(OR(Z47="NA",T47="NA"),"NA",Z47*T47/(1000000000)),"---")</f>
        <v>NA</v>
      </c>
      <c r="AB47" s="1057" t="str">
        <f>IF(Start!$C$18="x",IF(AA47 = "NA", "NA", AA47*(Data!$D$52*Data!$D$53*10000)),"---")</f>
        <v>NA</v>
      </c>
      <c r="AC47" s="375" t="str">
        <f>IF(Start!$C$18="x",IF(AB47="NA", "NA", AB47*Data!$D$54),"---")</f>
        <v>NA</v>
      </c>
      <c r="AD47" s="498" t="str">
        <f>IF(Start!$C$18="x",IF(AC47="NA","NA",AC47*Data!$D$41),"---")</f>
        <v>NA</v>
      </c>
      <c r="AE47" s="376" t="str">
        <f>IF(Start!$C$18="x",IF(AB47 = "NA", "NA", AB47/(Data!$D$53*3*Data!$D$48)*1000),"---")</f>
        <v>NA</v>
      </c>
      <c r="AF47" s="498" t="str">
        <f>IF(Start!$C$18="x",IF(AE47="NA","NA",AE47*Data!$D$46),"---")</f>
        <v>NA</v>
      </c>
      <c r="AG47" s="375" t="str">
        <f>IF(Start!$C$18="x",IF(OR($L47="NA",L47=""),"NA",($L47*(Data!$D$55^3.33)/(Data!$D$18^2))),"---")</f>
        <v>NA</v>
      </c>
      <c r="AH47" s="376" t="str">
        <f>IF(Start!$C$18="x",IF(OR(F47="NA",F47="",P47="NA",P47=""),"NA",IF(100/Data!$D$10&gt;Data!$D$13,(F47*$P47)/(Data!$D$10/100),(F47*$P47)*Data!$D$13)),"---")</f>
        <v>NA</v>
      </c>
      <c r="AI47" s="489" t="str">
        <f>IF(Start!$C$18="x",IF(OR($N47="NA",$Q47="NA",$Q47=0,Q47="",N47=""),"NA",(1000*$N47/$Q47)),"---")</f>
        <v>NA</v>
      </c>
      <c r="AJ47" s="376" t="str">
        <f>IF(Start!$C$18="x",IF(OR(Q47 = "NA",Q47=0,N47 = "NA",N47="",Q47=""), "NA", IF($AG47="NA","NA",(3.1416*Data!$D$57*86400/($AG47*(Data!$D$55+(N47*Data!$D$19/(Q47*1000)))))^0.5)),"---")</f>
        <v>NA</v>
      </c>
      <c r="AK47" s="376" t="str">
        <f>IF(Start!$C$18="x",IF(OR(AH47 = "NA",AI47="NA",AI47=0,AI47="",AH47=""), "NA", AH47/AI47),"---")</f>
        <v>NA</v>
      </c>
      <c r="AL47" s="376" t="str">
        <f>IF(Start!$C$18="x",IF(OR(AK47 ="NA",AK47="",AJ47= "NA",R47="NA",R47=0),"NA",(2*AK47)/(1000*(1/$R47+AJ47))),"---")</f>
        <v>NA</v>
      </c>
      <c r="AM47" s="376" t="str">
        <f>IF(Start!$C$18="x",IF(AL47 = "NA", "NA", AL47*(Data!$D$52*Data!$D$53*10000)),"---")</f>
        <v>NA</v>
      </c>
      <c r="AN47" s="376" t="str">
        <f>IF(Start!$C$18="x",IF(AM47 = "NA", "NA", AM47*(Data!$D$54)),"---")</f>
        <v>NA</v>
      </c>
      <c r="AO47" s="498" t="str">
        <f>IF(Start!$C$18="x",IF(AN47="NA","NA",AN47*Data!$D$41),"---")</f>
        <v>NA</v>
      </c>
      <c r="AP47" s="376" t="str">
        <f>IF(Start!$C$18="x",IF(OR(Q47=0,N47="NA",N47="",AG47="NA",AG47="",AG47=0,Q47="",Q47="NA"),"NA", (3.1416*Data!$D$56*86400/($AG47*(Data!$D$55+(N47*Data!$D$19/(Q47*1000)))))^0.5),"---")</f>
        <v>NA</v>
      </c>
      <c r="AQ47" s="376" t="str">
        <f>IF(Start!$C$18="x",IF(OR(AH47="NA",AI47="NA",AI47="",AI47=0,AH47=""),"NA", AH47/AI47),"---")</f>
        <v>NA</v>
      </c>
      <c r="AR47" s="376" t="str">
        <f>IF(Start!$C$18="x",IF(OR(AQ47="NA",AP47="NA",$R47="NA",R47=0,R47=""),"NA",(2*AQ47)/(1000*(1/$R47+AP47))),"---")</f>
        <v>NA</v>
      </c>
      <c r="AS47" s="376" t="str">
        <f>IF(Start!$C$18="x",IF(AR47 = "NA", "NA", AR47*(Data!$D$52*Data!$D$53*10000)),"---")</f>
        <v>NA</v>
      </c>
      <c r="AT47" s="376" t="str">
        <f>IF(Start!$C$18="x",IF(AS47 = "NA", "NA", (AS47*1000)/(Data!$D$48*3*Data!$D$53)),"---")</f>
        <v>NA</v>
      </c>
      <c r="AU47" s="498" t="str">
        <f>IF(Start!$C$18="x",IF(AT47="NA","NA",AT47*Data!$D$47),"---")</f>
        <v>NA</v>
      </c>
      <c r="AV47" s="283" t="str">
        <f>IF(Start!$C$18="x",(IF(AND(F47="",G47= "",G47&lt;&gt;"NA"),"",IF(OR(AD47="NA",I47="NA",I47=0),"NA",(AD47/I47)))),"Not Req.")</f>
        <v/>
      </c>
      <c r="AW47" s="284" t="str">
        <f>IF(Start!$C$18="x",(IF(AND(F47="",G47= "",G47&lt;&gt;"NA"),"",IF(OR(AF47="NA",I47="NA",I47=0),"NA",(AF47/I47)))),"Not Req.")</f>
        <v/>
      </c>
      <c r="AX47" s="284" t="str">
        <f>IF(Start!$C$18="x",(IF(F47 ="","",IF(OR(AO47="NA",I47="NA",I47=0),"NA",(AO47/I47)))),"Not Req.")</f>
        <v/>
      </c>
      <c r="AY47" s="344" t="str">
        <f>IF(Start!$C$18="x",(IF(F47 ="","",IF(OR(AU47="NA",I47="NA",I47=0),"NA",(AU47/I47)))),"Not Req.")</f>
        <v/>
      </c>
      <c r="AZ47" s="208"/>
    </row>
    <row r="48" spans="1:52" s="10" customFormat="1" ht="13.8" thickBot="1" x14ac:dyDescent="0.3">
      <c r="A48" s="407" t="s">
        <v>366</v>
      </c>
      <c r="B48" s="347" t="str">
        <f>IF(Start!$C$18="x",IF(AND(OR(F48="",F48="NA"),OR(G48="",G48="NA")),"",IF(I48="NA","NA",IF(AND(I48="",K48="--"),"NA",IF(AD48="NA","Missing Data",IF(I48="","No Criteria",IF(AD48&gt;=I48,"Needed","No")))))),"---")</f>
        <v/>
      </c>
      <c r="C48" s="501" t="str">
        <f>IF(Start!$C$18="x",IF(AND(OR(F48="",F48="NA"),OR(G48="",G48="NA")),"",IF(I48="NA","NA",IF(AND(I48="",K48="--"),"NA",IF(AF48="NA","Missing Data",IF(I48="","No Criteria",IF(AF48&gt;=I48,"Needed","No")))))),"---")</f>
        <v/>
      </c>
      <c r="D48" s="347" t="str">
        <f>IF(Start!$C$18="x",IF(AND(OR(F48="",F48="NA"),OR(G48="",G48="NA")),"",IF(I48="NA","NA",IF(AND(I48="",K48="--"),"NA",IF(AO48="NA","Missing Data",IF(I48="","No Criteria",IF(AO48&gt;=I48,"Needed","No")))))),"---")</f>
        <v/>
      </c>
      <c r="E48" s="401" t="str">
        <f>IF(Start!$C$18="x",IF(AND(OR(F48="",F48="NA"),OR(G48="",G48="NA")),"",IF(I48="NA","NA",IF(AND(I48="",K48="--"),"NA",IF(AU48="NA","Missing Data",IF(I48="","No Criteria",IF(AU48&gt;=I48,"Needed","No")))))),"---")</f>
        <v/>
      </c>
      <c r="F48" s="431" t="str">
        <f>IF(TRUE=ISBLANK(ChemData!B48),"",(ChemData!B48))</f>
        <v/>
      </c>
      <c r="G48" s="432" t="str">
        <f>IF(TRUE=ISBLANK(ChemData!C48),"",(ChemData!C48))</f>
        <v/>
      </c>
      <c r="H48" s="433" t="str">
        <f>IF(TRUE=ISBLANK(ChemData!D48),"",(ChemData!D48))</f>
        <v/>
      </c>
      <c r="I48" s="919" t="str">
        <f>IF(TRUE=ISBLANK(ChemData!K48),"",(ChemData!K48))</f>
        <v>NA</v>
      </c>
      <c r="J48" s="290">
        <f>IF(TRUE=ISBLANK(ChemData!M48),"",(ChemData!M48))</f>
        <v>32</v>
      </c>
      <c r="K48" s="290">
        <f>IF(TRUE=ISBLANK(ChemData!N48),"",(ChemData!N48))</f>
        <v>0.01</v>
      </c>
      <c r="L48" s="290">
        <f>IF(TRUE=ISBLANK(ChemData!O48),"",(ChemData!O48))</f>
        <v>0.19862525236735804</v>
      </c>
      <c r="M48" s="290" t="str">
        <f>IF(TRUE=ISBLANK(ChemData!Q48),"",(ChemData!Q48))</f>
        <v>NA</v>
      </c>
      <c r="N48" s="290" t="str">
        <f>IF(TRUE=ISBLANK(ChemData!R48),"",(ChemData!R48))</f>
        <v>NA</v>
      </c>
      <c r="O48" s="290">
        <f>IF(TRUE=ISBLANK(ChemData!S48),"",(ChemData!S48))</f>
        <v>1E-3</v>
      </c>
      <c r="P48" s="291">
        <f>IF(TRUE=ISBLANK(ChemData!T48),"",(ChemData!T48))</f>
        <v>1E-3</v>
      </c>
      <c r="Q48" s="375">
        <f>IF(Start!$C$18="x",IF(OR(K48="NA",K48="",K48="--"),"NA",(K48*1000000/82.1/Data!$D$50)),"---")</f>
        <v>0.39291186986758869</v>
      </c>
      <c r="R48" s="376">
        <f>IF(Start!$C$18="x",IF(OR(J48="NA",J48=0,J48=""),"NA",(0.32*(Data!$D$48+Data!$D$49)*(18/J48)^0.5)),"---")</f>
        <v>0.6180000000000001</v>
      </c>
      <c r="S48" s="376">
        <f>IF(Start!$C$18="x",IF(OR(J48="NA",J48= 0,J48=""),"NA",(0.0065*((Data!$D$49^0.969)/(Data!$D$51^0.673))*(32/J48)^0.5*EXP(0.526*Data!$D$48^-1.9))),"---")</f>
        <v>1.3025746882508475E-3</v>
      </c>
      <c r="T48" s="377">
        <f>IF(Start!$C$18="x",IF(OR(S48="NA",R48="NA",R48=0,Q48="NA",S48=0,Q48=0),"NA",(1/(1/S48+(1/(R48*Q48))))),"---")</f>
        <v>1.2956244746195622E-3</v>
      </c>
      <c r="U48" s="375" t="str">
        <f>IF(Start!$C$18="x",IF(OR(F48="NA",F48="",O48="NA",O48=""),"NA",(F48*$O48)/(Data!$D$10/100)),"---")</f>
        <v>NA</v>
      </c>
      <c r="V48" s="376" t="str">
        <f>IF(Start!$C$18="x",IF(OR(U48="NA",M48="NA",M48="",U48=""),"NA",U48/((Data!$D$18+((1-Data!$D$18)*Data!$D$14*M48))/((1-Data!$D$18)*Data!$D$14*1000))),"---")</f>
        <v>NA</v>
      </c>
      <c r="W48" s="376" t="str">
        <f>IF(Start!$C$18="x",IF(OR(G48="NA",U48="NA",G48="",U48=""),"NA",(U48 +($G48*(Data!$D$19-Data!$D$22)/(Data!$D$19*Data!$D$22)))),"---")</f>
        <v>NA</v>
      </c>
      <c r="X48" s="376" t="str">
        <f>IF(Start!$C$18="x",IF(OR(G48="NA",V48="NA",G48="",V48=""),"NA",(((Data!$D$22*Data!$D$18)*V48)+(Data!$D$19-Data!$D$22)*$G48)/((Data!$D$22*Data!$D$18)+Data!$D$19-Data!$D$22)),"---")</f>
        <v>NA</v>
      </c>
      <c r="Y48" s="376" t="str">
        <f>IF(Start!$C$18="x",IF(OR(W48="NA",W48="",M48="NA",M48=""),"NA",(W48/((Data!$D$23+((1-Data!$D$23)*Data!$D$14*M48)) /((1-Data!$D$23)*Data!$D$14*1000)))),"---")</f>
        <v>NA</v>
      </c>
      <c r="Z48" s="1061" t="str">
        <f>IF(Start!$C$18="x",IF(OR(Y48="NA",X48="NA"),"NA",IF(Y48&gt;X48, Y48, X48)),"---")</f>
        <v>NA</v>
      </c>
      <c r="AA48" s="461" t="str">
        <f>IF(Start!$C$18="x",IF(OR(Z48="NA",T48="NA"),"NA",Z48*T48/(1000000000)),"---")</f>
        <v>NA</v>
      </c>
      <c r="AB48" s="1057" t="str">
        <f>IF(Start!$C$18="x",IF(AA48 = "NA", "NA", AA48*(Data!$D$52*Data!$D$53*10000)),"---")</f>
        <v>NA</v>
      </c>
      <c r="AC48" s="375" t="str">
        <f>IF(Start!$C$18="x",IF(AB48="NA", "NA", AB48*Data!$D$54),"---")</f>
        <v>NA</v>
      </c>
      <c r="AD48" s="498" t="str">
        <f>IF(Start!$C$18="x",IF(AC48="NA","NA",AC48*Data!$D$41),"---")</f>
        <v>NA</v>
      </c>
      <c r="AE48" s="376" t="str">
        <f>IF(Start!$C$18="x",IF(AB48 = "NA", "NA", AB48/(Data!$D$53*3*Data!$D$48)*1000),"---")</f>
        <v>NA</v>
      </c>
      <c r="AF48" s="498" t="str">
        <f>IF(Start!$C$18="x",IF(AE48="NA","NA",AE48*Data!$D$46),"---")</f>
        <v>NA</v>
      </c>
      <c r="AG48" s="375">
        <f>IF(Start!$C$18="x",IF(OR($L48="NA",L48=""),"NA",($L48*(Data!$D$55^3.33)/(Data!$D$18^2))),"---")</f>
        <v>2.0234935004548797E-3</v>
      </c>
      <c r="AH48" s="376" t="str">
        <f>IF(Start!$C$18="x",IF(OR(F48="NA",F48="",P48="NA",P48=""),"NA",IF(100/Data!$D$10&gt;Data!$D$13,(F48*$P48)/(Data!$D$10/100),(F48*$P48)*Data!$D$13)),"---")</f>
        <v>NA</v>
      </c>
      <c r="AI48" s="489" t="str">
        <f>IF(Start!$C$18="x",IF(OR($N48="NA",$Q48="NA",$Q48=0,Q48="",N48=""),"NA",(1000*$N48/$Q48)),"---")</f>
        <v>NA</v>
      </c>
      <c r="AJ48" s="376" t="str">
        <f>IF(Start!$C$18="x",IF(OR(Q48 = "NA",Q48=0,N48 = "NA",N48="",Q48=""), "NA", IF($AG48="NA","NA",(3.1416*Data!$D$57*86400/($AG48*(Data!$D$55+(N48*Data!$D$19/(Q48*1000)))))^0.5)),"---")</f>
        <v>NA</v>
      </c>
      <c r="AK48" s="376" t="str">
        <f>IF(Start!$C$18="x",IF(OR(AH48 = "NA",AI48="NA",AI48=0,AI48="",AH48=""), "NA", AH48/AI48),"---")</f>
        <v>NA</v>
      </c>
      <c r="AL48" s="376" t="str">
        <f>IF(Start!$C$18="x",IF(OR(AK48 ="NA",AK48="",AJ48= "NA",R48="NA",R48=0),"NA",(2*AK48)/(1000*(1/$R48+AJ48))),"---")</f>
        <v>NA</v>
      </c>
      <c r="AM48" s="376" t="str">
        <f>IF(Start!$C$18="x",IF(AL48 = "NA", "NA", AL48*(Data!$D$52*Data!$D$53*10000)),"---")</f>
        <v>NA</v>
      </c>
      <c r="AN48" s="376" t="str">
        <f>IF(Start!$C$18="x",IF(AM48 = "NA", "NA", AM48*(Data!$D$54)),"---")</f>
        <v>NA</v>
      </c>
      <c r="AO48" s="498" t="str">
        <f>IF(Start!$C$18="x",IF(AN48="NA","NA",AN48*Data!$D$41),"---")</f>
        <v>NA</v>
      </c>
      <c r="AP48" s="376" t="str">
        <f>IF(Start!$C$18="x",IF(OR(Q48=0,N48="NA",N48="",AG48="NA",AG48="",AG48=0,Q48="",Q48="NA"),"NA", (3.1416*Data!$D$56*86400/($AG48*(Data!$D$55+(N48*Data!$D$19/(Q48*1000)))))^0.5),"---")</f>
        <v>NA</v>
      </c>
      <c r="AQ48" s="376" t="str">
        <f>IF(Start!$C$18="x",IF(OR(AH48="NA",AI48="NA",AI48="",AI48=0,AH48=""),"NA", AH48/AI48),"---")</f>
        <v>NA</v>
      </c>
      <c r="AR48" s="376" t="str">
        <f>IF(Start!$C$18="x",IF(OR(AQ48="NA",AP48="NA",$R48="NA",R48=0,R48=""),"NA",(2*AQ48)/(1000*(1/$R48+AP48))),"---")</f>
        <v>NA</v>
      </c>
      <c r="AS48" s="376" t="str">
        <f>IF(Start!$C$18="x",IF(AR48 = "NA", "NA", AR48*(Data!$D$52*Data!$D$53*10000)),"---")</f>
        <v>NA</v>
      </c>
      <c r="AT48" s="376" t="str">
        <f>IF(Start!$C$18="x",IF(AS48 = "NA", "NA", (AS48*1000)/(Data!$D$48*3*Data!$D$53)),"---")</f>
        <v>NA</v>
      </c>
      <c r="AU48" s="498" t="str">
        <f>IF(Start!$C$18="x",IF(AT48="NA","NA",AT48*Data!$D$47),"---")</f>
        <v>NA</v>
      </c>
      <c r="AV48" s="283" t="str">
        <f>IF(Start!$C$18="x",(IF(AND(F48="",G48= "",G48&lt;&gt;"NA"),"",IF(OR(AD48="NA",I48="NA",I48=0),"NA",(AD48/I48)))),"Not Req.")</f>
        <v/>
      </c>
      <c r="AW48" s="284" t="str">
        <f>IF(Start!$C$18="x",(IF(AND(F48="",G48= "",G48&lt;&gt;"NA"),"",IF(OR(AF48="NA",I48="NA",I48=0),"NA",(AF48/I48)))),"Not Req.")</f>
        <v/>
      </c>
      <c r="AX48" s="284" t="str">
        <f>IF(Start!$C$18="x",(IF(F48 ="","",IF(OR(AO48="NA",I48="NA",I48=0),"NA",(AO48/I48)))),"Not Req.")</f>
        <v/>
      </c>
      <c r="AY48" s="344" t="str">
        <f>IF(Start!$C$18="x",(IF(F48 ="","",IF(OR(AU48="NA",I48="NA",I48=0),"NA",(AU48/I48)))),"Not Req.")</f>
        <v/>
      </c>
      <c r="AZ48" s="208"/>
    </row>
    <row r="49" spans="1:52" s="164" customFormat="1" x14ac:dyDescent="0.25">
      <c r="A49" s="505" t="s">
        <v>367</v>
      </c>
      <c r="B49" s="530"/>
      <c r="C49" s="531"/>
      <c r="D49" s="530"/>
      <c r="E49" s="526"/>
      <c r="F49" s="508"/>
      <c r="G49" s="509"/>
      <c r="H49" s="510"/>
      <c r="I49" s="800"/>
      <c r="J49" s="512"/>
      <c r="K49" s="512"/>
      <c r="L49" s="512"/>
      <c r="M49" s="512"/>
      <c r="N49" s="512"/>
      <c r="O49" s="512"/>
      <c r="P49" s="513"/>
      <c r="Q49" s="511"/>
      <c r="R49" s="512"/>
      <c r="S49" s="512"/>
      <c r="T49" s="513"/>
      <c r="U49" s="511"/>
      <c r="V49" s="512"/>
      <c r="W49" s="512"/>
      <c r="X49" s="512"/>
      <c r="Y49" s="512"/>
      <c r="Z49" s="512"/>
      <c r="AA49" s="512"/>
      <c r="AB49" s="512"/>
      <c r="AC49" s="511"/>
      <c r="AD49" s="533"/>
      <c r="AE49" s="512"/>
      <c r="AF49" s="533"/>
      <c r="AG49" s="511"/>
      <c r="AH49" s="512"/>
      <c r="AI49" s="534"/>
      <c r="AJ49" s="512"/>
      <c r="AK49" s="512"/>
      <c r="AL49" s="512"/>
      <c r="AM49" s="512"/>
      <c r="AN49" s="512"/>
      <c r="AO49" s="533"/>
      <c r="AP49" s="512"/>
      <c r="AQ49" s="512"/>
      <c r="AR49" s="512"/>
      <c r="AS49" s="512"/>
      <c r="AT49" s="512"/>
      <c r="AU49" s="533"/>
      <c r="AV49" s="511"/>
      <c r="AW49" s="512"/>
      <c r="AX49" s="512"/>
      <c r="AY49" s="513"/>
      <c r="AZ49" s="208"/>
    </row>
    <row r="50" spans="1:52" s="23" customFormat="1" x14ac:dyDescent="0.25">
      <c r="A50" s="405" t="s">
        <v>368</v>
      </c>
      <c r="B50" s="347" t="str">
        <f>IF(Start!$C$18="x",IF(AND(OR(F50="",F50="NA"),OR(G50="",G50="NA")),"",IF(I50="NA","NA",IF(AND(I50="",K50="--"),"NA",IF(AD50="NA","Missing Data",IF(I50="","No Criteria",IF(AD50&gt;=I50,"Needed","No")))))),"---")</f>
        <v/>
      </c>
      <c r="C50" s="501" t="str">
        <f>IF(Start!$C$18="x",IF(AND(OR(F50="",F50="NA"),OR(G50="",G50="NA")),"",IF(I50="NA","NA",IF(AND(I50="",K50="--"),"NA",IF(AF50="NA","Missing Data",IF(I50="","No Criteria",IF(AF50&gt;=I50,"Needed","No")))))),"---")</f>
        <v/>
      </c>
      <c r="D50" s="347" t="str">
        <f>IF(Start!$C$18="x",IF(AND(OR(F50="",F50="NA"),OR(G50="",G50="NA")),"",IF(I50="NA","NA",IF(AND(I50="",K50="--"),"NA",IF(AO50="NA","Missing Data",IF(I50="","No Criteria",IF(AO50&gt;=I50,"Needed","No")))))),"---")</f>
        <v/>
      </c>
      <c r="E50" s="401" t="str">
        <f>IF(Start!$C$18="x",IF(AND(OR(F50="",F50="NA"),OR(G50="",G50="NA")),"",IF(I50="NA","NA",IF(AND(I50="",K50="--"),"NA",IF(AU50="NA","Missing Data",IF(I50="","No Criteria",IF(AU50&gt;=I50,"Needed","No")))))),"---")</f>
        <v/>
      </c>
      <c r="F50" s="431" t="str">
        <f>IF(TRUE=ISBLANK(ChemData!B50),"",(ChemData!B50))</f>
        <v/>
      </c>
      <c r="G50" s="432" t="str">
        <f>IF(TRUE=ISBLANK(ChemData!C50),"",(ChemData!C50))</f>
        <v/>
      </c>
      <c r="H50" s="433" t="str">
        <f>IF(TRUE=ISBLANK(ChemData!D50),"",(ChemData!D50))</f>
        <v/>
      </c>
      <c r="I50" s="919">
        <f>IF(TRUE=ISBLANK(ChemData!K50),"",(ChemData!K50))</f>
        <v>0.06</v>
      </c>
      <c r="J50" s="290">
        <f>IF(TRUE=ISBLANK(ChemData!M50),"",(ChemData!M50))</f>
        <v>154.19999999999999</v>
      </c>
      <c r="K50" s="290">
        <f>IF(TRUE=ISBLANK(ChemData!N50),"",(ChemData!N50))</f>
        <v>2.3599999999999999E-4</v>
      </c>
      <c r="L50" s="290">
        <f>IF(TRUE=ISBLANK(ChemData!O50),"",(ChemData!O50))</f>
        <v>4.2099999999999999E-2</v>
      </c>
      <c r="M50" s="290">
        <f>IF(TRUE=ISBLANK(ChemData!Q50),"",(ChemData!Q50))</f>
        <v>153.95947403110438</v>
      </c>
      <c r="N50" s="290">
        <f>IF(TRUE=ISBLANK(ChemData!R50),"",(ChemData!R50))</f>
        <v>153.95947403110438</v>
      </c>
      <c r="O50" s="290">
        <f>IF(TRUE=ISBLANK(ChemData!S50),"",(ChemData!S50))</f>
        <v>1</v>
      </c>
      <c r="P50" s="291">
        <f>IF(TRUE=ISBLANK(ChemData!T50),"",(ChemData!T50))</f>
        <v>1</v>
      </c>
      <c r="Q50" s="375">
        <f>IF(Start!$C$18="x",IF(OR(K50="NA",K50="",K50="--"),"NA",(K50*1000000/82.1/Data!$D$50)),"---")</f>
        <v>9.2727201288750928E-3</v>
      </c>
      <c r="R50" s="376">
        <f>IF(Start!$C$18="x",IF(OR(J50="NA",J50=0,J50=""),"NA",(0.32*(Data!$D$48+Data!$D$49)*(18/J50)^0.5)),"---")</f>
        <v>0.28152779406780576</v>
      </c>
      <c r="S50" s="376">
        <f>IF(Start!$C$18="x",IF(OR(J50="NA",J50= 0,J50=""),"NA",(0.0065*((Data!$D$49^0.969)/(Data!$D$51^0.673))*(32/J50)^0.5*EXP(0.526*Data!$D$48^-1.9))),"---")</f>
        <v>5.9338346050456445E-4</v>
      </c>
      <c r="T50" s="377">
        <f>IF(Start!$C$18="x",IF(OR(S50="NA",R50="NA",R50=0,Q50="NA",S50=0,Q50=0),"NA",(1/(1/S50+(1/(R50*Q50))))),"---")</f>
        <v>4.8348532915230163E-4</v>
      </c>
      <c r="U50" s="375" t="str">
        <f>IF(Start!$C$18="x",IF(OR(F50="NA",F50="",O50="",O50="NA"),"NA",(F50*$O50)),"---")</f>
        <v>NA</v>
      </c>
      <c r="V50" s="376" t="str">
        <f>IF(Start!$C$18="x",IF(OR(U50="NA",M50="NA",M50="",U50=""),"NA",U50/((Data!$D$18+((1-Data!$D$18)*Data!$D$14*M50))/((1-Data!$D$18)*Data!$D$14*1000))),"---")</f>
        <v>NA</v>
      </c>
      <c r="W50" s="376" t="str">
        <f>IF(Start!$C$18="x",IF(OR(G50="NA",U50="NA",G50="",U50=""),"NA",(U50 +($G50*(Data!$D$19-Data!$D$22)/(Data!$D$19*Data!$D$22)))),"---")</f>
        <v>NA</v>
      </c>
      <c r="X50" s="376" t="str">
        <f>IF(Start!$C$18="x",IF(OR(G50="NA",V50="NA",G50="",V50=""),"NA",(((Data!$D$22*Data!$D$18)*V50)+(Data!$D$19-Data!$D$22)*$G50)/((Data!$D$22*Data!$D$18)+Data!$D$19-Data!$D$22)),"---")</f>
        <v>NA</v>
      </c>
      <c r="Y50" s="376" t="str">
        <f>IF(Start!$C$18="x",IF(OR(W50="NA",W50="",M50="NA",M50=""),"NA",(W50/((Data!$D$23+((1-Data!$D$23)*Data!$D$14*M50)) /((1-Data!$D$23)*Data!$D$14*1000)))),"---")</f>
        <v>NA</v>
      </c>
      <c r="Z50" s="376" t="str">
        <f>IF(Start!$C$18="x",IF(OR(Y50="NA",X50="NA"),"NA",IF(Y50&gt;X50, Y50, X50)),"---")</f>
        <v>NA</v>
      </c>
      <c r="AA50" s="461" t="str">
        <f>IF(Start!$C$18="x",IF(OR(Z50="NA",T50="NA"),"NA",Z50*T50/(1000000000)),"---")</f>
        <v>NA</v>
      </c>
      <c r="AB50" s="1057" t="str">
        <f>IF(Start!$C$18="x",IF(AA50 = "NA", "NA", AA50*(Data!$D$52*Data!$D$53*10000)),"---")</f>
        <v>NA</v>
      </c>
      <c r="AC50" s="375" t="str">
        <f>IF(Start!$C$18="x",IF(AB50="NA", "NA", AB50*Data!$D$54),"---")</f>
        <v>NA</v>
      </c>
      <c r="AD50" s="498" t="str">
        <f>IF(Start!$C$18="x",IF(AC50="NA","NA",AC50*Data!$D$41),"---")</f>
        <v>NA</v>
      </c>
      <c r="AE50" s="376" t="str">
        <f>IF(Start!$C$18="x",IF(AB50 = "NA", "NA", AB50/(Data!$D$53*3*Data!$D$48)*1000),"---")</f>
        <v>NA</v>
      </c>
      <c r="AF50" s="498" t="str">
        <f>IF(Start!$C$18="x",IF(AE50="NA","NA",AE50*Data!$D$46),"---")</f>
        <v>NA</v>
      </c>
      <c r="AG50" s="375">
        <f>IF(Start!$C$18="x",IF(OR($L50="NA",L50=""),"NA",($L50*(Data!$D$55^3.33)/(Data!$D$18^2))),"---")</f>
        <v>4.2889348335020845E-4</v>
      </c>
      <c r="AH50" s="376" t="str">
        <f>IF(Start!$C$18="x",IF(OR(F50="NA",F50="",P50="NA",P50=""),"NA",IF(100/Data!$D$10&gt;Data!$D$13,(F50*$P50),(F50*$P50)*Data!$D$13)),"---")</f>
        <v>NA</v>
      </c>
      <c r="AI50" s="489">
        <f>IF(Start!$C$18="x",IF(OR($N50="NA",$Q50="NA",$Q50=0,Q50="",N50=""),"NA",(1000*$N50/$Q50)),"---")</f>
        <v>16603485.481210331</v>
      </c>
      <c r="AJ50" s="376">
        <f>IF(Start!$C$18="x",IF(OR(Q50 = "NA",Q50=0,N50 = "NA",N50="",Q50=""), "NA", IF($AG50="NA","NA",(3.1416*Data!$D$57*86400/($AG50*(Data!$D$55+(N50*Data!$D$19/(Q50*1000)))))^0.5)),"---")</f>
        <v>1160.2988613175564</v>
      </c>
      <c r="AK50" s="376" t="str">
        <f>IF(Start!$C$18="x",IF(OR(AH50 = "NA",AI50="NA",AI50=0,AI50="",AH50=""), "NA", AH50/AI50),"---")</f>
        <v>NA</v>
      </c>
      <c r="AL50" s="376" t="str">
        <f>IF(Start!$C$18="x",IF(OR(AK50 ="NA",AK50="",AJ50= "NA",R50="NA",R50=0),"NA",(2*AK50)/(1000*(1/$R50+AJ50))),"---")</f>
        <v>NA</v>
      </c>
      <c r="AM50" s="376" t="str">
        <f>IF(Start!$C$18="x",IF(AL50 = "NA", "NA", AL50*(Data!$D$52*Data!$D$53*10000)),"---")</f>
        <v>NA</v>
      </c>
      <c r="AN50" s="376" t="str">
        <f>IF(Start!$C$18="x",IF(AM50 = "NA", "NA", AM50*(Data!$D$54)),"---")</f>
        <v>NA</v>
      </c>
      <c r="AO50" s="498" t="str">
        <f>IF(Start!$C$18="x",IF(AN50="NA","NA",AN50*Data!$D$41),"---")</f>
        <v>NA</v>
      </c>
      <c r="AP50" s="376">
        <f>IF(Start!$C$18="x",IF(OR(Q50=0,N50="NA",N50="",AG50="NA",AG50="",AG50=0,Q50="",Q50="NA"),"NA", (3.1416*Data!$D$56*86400/($AG50*(Data!$D$55+(N50*Data!$D$19/(Q50*1000)))))^0.5),"---")</f>
        <v>1160.2988613175564</v>
      </c>
      <c r="AQ50" s="376" t="str">
        <f>IF(Start!$C$18="x",IF(OR(AH50="NA",AI50="NA",AI50="",AI50=0,AH50=""),"NA", AH50/AI50),"---")</f>
        <v>NA</v>
      </c>
      <c r="AR50" s="376" t="str">
        <f>IF(Start!$C$18="x",IF(OR(AQ50="NA",AP50="NA",$R50="NA",R50=0,R50=""),"NA",(2*AQ50)/(1000*(1/$R50+AP50))),"---")</f>
        <v>NA</v>
      </c>
      <c r="AS50" s="376" t="str">
        <f>IF(Start!$C$18="x",IF(AR50 = "NA", "NA", AR50*(Data!$D$52*Data!$D$53*10000)),"---")</f>
        <v>NA</v>
      </c>
      <c r="AT50" s="376" t="str">
        <f>IF(Start!$C$18="x",IF(AS50 = "NA", "NA", (AS50*1000)/(Data!$D$48*3*Data!$D$53)),"---")</f>
        <v>NA</v>
      </c>
      <c r="AU50" s="498" t="str">
        <f>IF(Start!$C$18="x",IF(AT50="NA","NA",AT50*Data!$D$47),"---")</f>
        <v>NA</v>
      </c>
      <c r="AV50" s="283" t="str">
        <f>IF(Start!$C$18="x",(IF(AND(F50="",G50= "",G50&lt;&gt;"NA"),"",IF(OR(AD50="NA",I50="NA",I50=0),"NA",(AD50/I50)))),"Not Req.")</f>
        <v/>
      </c>
      <c r="AW50" s="284" t="str">
        <f>IF(Start!$C$18="x",(IF(AND(F50="",G50= "",G50&lt;&gt;"NA"),"",IF(OR(AF50="NA",I50="NA",I50=0),"NA",(AF50/I50)))),"Not Req.")</f>
        <v/>
      </c>
      <c r="AX50" s="284" t="str">
        <f>IF(Start!$C$18="x",(IF(F50 ="","",IF(OR(AO50="NA",I50="NA",I50=0),"NA",(AO50/I50)))),"Not Req.")</f>
        <v/>
      </c>
      <c r="AY50" s="344" t="str">
        <f>IF(Start!$C$18="x",(IF(F50 ="","",IF(OR(AU50="NA",I50="NA",I50=0),"NA",(AU50/I50)))),"Not Req.")</f>
        <v/>
      </c>
      <c r="AZ50" s="208"/>
    </row>
    <row r="51" spans="1:52" s="23" customFormat="1" x14ac:dyDescent="0.25">
      <c r="A51" s="405" t="s">
        <v>369</v>
      </c>
      <c r="B51" s="347" t="str">
        <f>IF(Start!$C$18="x",IF(AND(OR(F51="",F51="NA"),OR(G51="",G51="NA")),"",IF(I51="NA","NA",IF(AND(I51="",K51="--"),"NA",IF(AD51="NA","Missing Data",IF(I51="","No Criteria",IF(AD51&gt;=I51,"Needed","No")))))),"---")</f>
        <v/>
      </c>
      <c r="C51" s="501" t="str">
        <f>IF(Start!$C$18="x",IF(AND(OR(F51="",F51="NA"),OR(G51="",G51="NA")),"",IF(I51="NA","NA",IF(AND(I51="",K51="--"),"NA",IF(AF51="NA","Missing Data",IF(I51="","No Criteria",IF(AF51&gt;=I51,"Needed","No")))))),"---")</f>
        <v/>
      </c>
      <c r="D51" s="347" t="str">
        <f>IF(Start!$C$18="x",IF(AND(OR(F51="",F51="NA"),OR(G51="",G51="NA")),"",IF(I51="NA","NA",IF(AND(I51="",K51="--"),"NA",IF(AO51="NA","Missing Data",IF(I51="","No Criteria",IF(AO51&gt;=I51,"Needed","No")))))),"---")</f>
        <v/>
      </c>
      <c r="E51" s="401" t="str">
        <f>IF(Start!$C$18="x",IF(AND(OR(F51="",F51="NA"),OR(G51="",G51="NA")),"",IF(I51="NA","NA",IF(AND(I51="",K51="--"),"NA",IF(AU51="NA","Missing Data",IF(I51="","No Criteria",IF(AU51&gt;=I51,"Needed","No")))))),"---")</f>
        <v/>
      </c>
      <c r="F51" s="431" t="str">
        <f>IF(TRUE=ISBLANK(ChemData!B51),"",(ChemData!B51))</f>
        <v/>
      </c>
      <c r="G51" s="432" t="str">
        <f>IF(TRUE=ISBLANK(ChemData!C51),"",(ChemData!C51))</f>
        <v/>
      </c>
      <c r="H51" s="433" t="str">
        <f>IF(TRUE=ISBLANK(ChemData!D51),"",(ChemData!D51))</f>
        <v/>
      </c>
      <c r="I51" s="919" t="str">
        <f>IF(TRUE=ISBLANK(ChemData!K51),"",(ChemData!K51))</f>
        <v>NA</v>
      </c>
      <c r="J51" s="290">
        <f>IF(TRUE=ISBLANK(ChemData!M51),"",(ChemData!M51))</f>
        <v>152</v>
      </c>
      <c r="K51" s="290">
        <f>IF(TRUE=ISBLANK(ChemData!N51),"",(ChemData!N51))</f>
        <v>1.1400000000000001E-4</v>
      </c>
      <c r="L51" s="290">
        <f>IF(TRUE=ISBLANK(ChemData!O51),"",(ChemData!O51))</f>
        <v>4.3999999999999997E-2</v>
      </c>
      <c r="M51" s="290">
        <f>IF(TRUE=ISBLANK(ChemData!Q51),"",(ChemData!Q51))</f>
        <v>185.1</v>
      </c>
      <c r="N51" s="290">
        <f>IF(TRUE=ISBLANK(ChemData!R51),"",(ChemData!R51))</f>
        <v>185.1</v>
      </c>
      <c r="O51" s="290">
        <f>IF(TRUE=ISBLANK(ChemData!S51),"",(ChemData!S51))</f>
        <v>1</v>
      </c>
      <c r="P51" s="291">
        <f>IF(TRUE=ISBLANK(ChemData!T51),"",(ChemData!T51))</f>
        <v>1</v>
      </c>
      <c r="Q51" s="375">
        <f>IF(Start!$C$18="x",IF(OR(K51="NA",K51="",K51="--"),"NA",(K51*1000000/82.1/Data!$D$50)),"---")</f>
        <v>4.4791953164905118E-3</v>
      </c>
      <c r="R51" s="376">
        <f>IF(Start!$C$18="x",IF(OR(J51="NA",J51=0,J51=""),"NA",(0.32*(Data!$D$48+Data!$D$49)*(18/J51)^0.5)),"---")</f>
        <v>0.28355784706401438</v>
      </c>
      <c r="S51" s="376">
        <f>IF(Start!$C$18="x",IF(OR(J51="NA",J51= 0,J51=""),"NA",(0.0065*((Data!$D$49^0.969)/(Data!$D$51^0.673))*(32/J51)^0.5*EXP(0.526*Data!$D$48^-1.9))),"---")</f>
        <v>5.9766225605257281E-4</v>
      </c>
      <c r="T51" s="377">
        <f>IF(Start!$C$18="x",IF(OR(S51="NA",R51="NA",R51=0,Q51="NA",S51=0,Q51=0),"NA",(1/(1/S51+(1/(R51*Q51))))),"---")</f>
        <v>4.0641839126484249E-4</v>
      </c>
      <c r="U51" s="375" t="str">
        <f>IF(Start!$C$18="x",IF(OR(F51="NA",F51="",O51="",O51="NA"),"NA",(F51*$O51)),"---")</f>
        <v>NA</v>
      </c>
      <c r="V51" s="376" t="str">
        <f>IF(Start!$C$18="x",IF(OR(U51="NA",M51="NA",M51="",U51=""),"NA",U51/((Data!$D$18+((1-Data!$D$18)*Data!$D$14*M51))/((1-Data!$D$18)*Data!$D$14*1000))),"---")</f>
        <v>NA</v>
      </c>
      <c r="W51" s="376" t="str">
        <f>IF(Start!$C$18="x",IF(OR(G51="NA",U51="NA",G51="",U51=""),"NA",(U51 +($G51*(Data!$D$19-Data!$D$22)/(Data!$D$19*Data!$D$22)))),"---")</f>
        <v>NA</v>
      </c>
      <c r="X51" s="376" t="str">
        <f>IF(Start!$C$18="x",IF(OR(G51="NA",V51="NA",G51="",V51=""),"NA",(((Data!$D$22*Data!$D$18)*V51)+(Data!$D$19-Data!$D$22)*$G51)/((Data!$D$22*Data!$D$18)+Data!$D$19-Data!$D$22)),"---")</f>
        <v>NA</v>
      </c>
      <c r="Y51" s="376" t="str">
        <f>IF(Start!$C$18="x",IF(OR(W51="NA",W51="",M51="NA",M51=""),"NA",(W51/((Data!$D$23+((1-Data!$D$23)*Data!$D$14*M51)) /((1-Data!$D$23)*Data!$D$14*1000)))),"---")</f>
        <v>NA</v>
      </c>
      <c r="Z51" s="376" t="str">
        <f>IF(Start!$C$18="x",IF(OR(Y51="NA",X51="NA"),"NA",IF(Y51&gt;X51, Y51, X51)),"---")</f>
        <v>NA</v>
      </c>
      <c r="AA51" s="461" t="str">
        <f>IF(Start!$C$18="x",IF(OR(Z51="NA",T51="NA"),"NA",Z51*T51/(1000000000)),"---")</f>
        <v>NA</v>
      </c>
      <c r="AB51" s="1057" t="str">
        <f>IF(Start!$C$18="x",IF(AA51 = "NA", "NA", AA51*(Data!$D$52*Data!$D$53*10000)),"---")</f>
        <v>NA</v>
      </c>
      <c r="AC51" s="375" t="str">
        <f>IF(Start!$C$18="x",IF(AB51="NA", "NA", AB51*Data!$D$54),"---")</f>
        <v>NA</v>
      </c>
      <c r="AD51" s="498" t="str">
        <f>IF(Start!$C$18="x",IF(AC51="NA","NA",AC51*Data!$D$41),"---")</f>
        <v>NA</v>
      </c>
      <c r="AE51" s="376" t="str">
        <f>IF(Start!$C$18="x",IF(AB51 = "NA", "NA", AB51/(Data!$D$53*3*Data!$D$48)*1000),"---")</f>
        <v>NA</v>
      </c>
      <c r="AF51" s="498" t="str">
        <f>IF(Start!$C$18="x",IF(AE51="NA","NA",AE51*Data!$D$46),"---")</f>
        <v>NA</v>
      </c>
      <c r="AG51" s="375">
        <f>IF(Start!$C$18="x",IF(OR($L51="NA",L51=""),"NA",($L51*(Data!$D$55^3.33)/(Data!$D$18^2))),"---")</f>
        <v>4.4824972131613232E-4</v>
      </c>
      <c r="AH51" s="376" t="str">
        <f>IF(Start!$C$18="x",IF(OR(F51="NA",F51="",P51="NA",P51=""),"NA",IF(100/Data!$D$10&gt;Data!$D$13,(F51*$P51),(F51*$P51)*Data!$D$13)),"---")</f>
        <v>NA</v>
      </c>
      <c r="AI51" s="489">
        <f>IF(Start!$C$18="x",IF(OR($N51="NA",$Q51="NA",$Q51=0,Q51="",N51=""),"NA",(1000*$N51/$Q51)),"---")</f>
        <v>41324386.842105255</v>
      </c>
      <c r="AJ51" s="376">
        <f>IF(Start!$C$18="x",IF(OR(Q51 = "NA",Q51=0,N51 = "NA",N51="",Q51=""), "NA", IF($AG51="NA","NA",(3.1416*Data!$D$57*86400/($AG51*(Data!$D$55+(N51*Data!$D$19/(Q51*1000)))))^0.5)),"---")</f>
        <v>719.42055498868649</v>
      </c>
      <c r="AK51" s="376" t="str">
        <f>IF(Start!$C$18="x",IF(OR(AH51 = "NA",AI51="NA",AI51=0,AI51="",AH51=""), "NA", AH51/AI51),"---")</f>
        <v>NA</v>
      </c>
      <c r="AL51" s="376" t="str">
        <f>IF(Start!$C$18="x",IF(OR(AK51 ="NA",AK51="",AJ51= "NA",R51="NA",R51=0),"NA",(2*AK51)/(1000*(1/$R51+AJ51))),"---")</f>
        <v>NA</v>
      </c>
      <c r="AM51" s="376" t="str">
        <f>IF(Start!$C$18="x",IF(AL51 = "NA", "NA", AL51*(Data!$D$52*Data!$D$53*10000)),"---")</f>
        <v>NA</v>
      </c>
      <c r="AN51" s="376" t="str">
        <f>IF(Start!$C$18="x",IF(AM51 = "NA", "NA", AM51*(Data!$D$54)),"---")</f>
        <v>NA</v>
      </c>
      <c r="AO51" s="498" t="str">
        <f>IF(Start!$C$18="x",IF(AN51="NA","NA",AN51*Data!$D$41),"---")</f>
        <v>NA</v>
      </c>
      <c r="AP51" s="376">
        <f>IF(Start!$C$18="x",IF(OR(Q51=0,N51="NA",N51="",AG51="NA",AG51="",AG51=0,Q51="",Q51="NA"),"NA", (3.1416*Data!$D$56*86400/($AG51*(Data!$D$55+(N51*Data!$D$19/(Q51*1000)))))^0.5),"---")</f>
        <v>719.42055498868649</v>
      </c>
      <c r="AQ51" s="376" t="str">
        <f>IF(Start!$C$18="x",IF(OR(AH51="NA",AI51="NA",AI51="",AI51=0,AH51=""),"NA", AH51/AI51),"---")</f>
        <v>NA</v>
      </c>
      <c r="AR51" s="376" t="str">
        <f>IF(Start!$C$18="x",IF(OR(AQ51="NA",AP51="NA",$R51="NA",R51=0,R51=""),"NA",(2*AQ51)/(1000*(1/$R51+AP51))),"---")</f>
        <v>NA</v>
      </c>
      <c r="AS51" s="376" t="str">
        <f>IF(Start!$C$18="x",IF(AR51 = "NA", "NA", AR51*(Data!$D$52*Data!$D$53*10000)),"---")</f>
        <v>NA</v>
      </c>
      <c r="AT51" s="376" t="str">
        <f>IF(Start!$C$18="x",IF(AS51 = "NA", "NA", (AS51*1000)/(Data!$D$48*3*Data!$D$53)),"---")</f>
        <v>NA</v>
      </c>
      <c r="AU51" s="498" t="str">
        <f>IF(Start!$C$18="x",IF(AT51="NA","NA",AT51*Data!$D$47),"---")</f>
        <v>NA</v>
      </c>
      <c r="AV51" s="283" t="str">
        <f>IF(Start!$C$18="x",(IF(AND(F51="",G51= "",G51&lt;&gt;"NA"),"",IF(OR(AD51="NA",I51="NA",I51=0),"NA",(AD51/I51)))),"Not Req.")</f>
        <v/>
      </c>
      <c r="AW51" s="284" t="str">
        <f>IF(Start!$C$18="x",(IF(AND(F51="",G51= "",G51&lt;&gt;"NA"),"",IF(OR(AF51="NA",I51="NA",I51=0),"NA",(AF51/I51)))),"Not Req.")</f>
        <v/>
      </c>
      <c r="AX51" s="284" t="str">
        <f>IF(Start!$C$18="x",(IF(F51 ="","",IF(OR(AO51="NA",I51="NA",I51=0),"NA",(AO51/I51)))),"Not Req.")</f>
        <v/>
      </c>
      <c r="AY51" s="344" t="str">
        <f>IF(Start!$C$18="x",(IF(F51 ="","",IF(OR(AU51="NA",I51="NA",I51=0),"NA",(AU51/I51)))),"Not Req.")</f>
        <v/>
      </c>
      <c r="AZ51" s="208"/>
    </row>
    <row r="52" spans="1:52" s="23" customFormat="1" x14ac:dyDescent="0.25">
      <c r="A52" s="405" t="s">
        <v>370</v>
      </c>
      <c r="B52" s="347" t="str">
        <f>IF(Start!$C$18="x",IF(AND(OR(F52="",F52="NA"),OR(G52="",G52="NA")),"",IF(I52="NA","NA",IF(AND(I52="",K52="--"),"NA",IF(AD52="NA","Missing Data",IF(I52="","No Criteria",IF(AD52&gt;=I52,"Needed","No")))))),"---")</f>
        <v/>
      </c>
      <c r="C52" s="501" t="str">
        <f>IF(Start!$C$18="x",IF(AND(OR(F52="",F52="NA"),OR(G52="",G52="NA")),"",IF(I52="NA","NA",IF(AND(I52="",K52="--"),"NA",IF(AF52="NA","Missing Data",IF(I52="","No Criteria",IF(AF52&gt;=I52,"Needed","No")))))),"---")</f>
        <v/>
      </c>
      <c r="D52" s="347" t="str">
        <f>IF(Start!$C$18="x",IF(AND(OR(F52="",F52="NA"),OR(G52="",G52="NA")),"",IF(I52="NA","NA",IF(AND(I52="",K52="--"),"NA",IF(AO52="NA","Missing Data",IF(I52="","No Criteria",IF(AO52&gt;=I52,"Needed","No")))))),"---")</f>
        <v/>
      </c>
      <c r="E52" s="401" t="str">
        <f>IF(Start!$C$18="x",IF(AND(OR(F52="",F52="NA"),OR(G52="",G52="NA")),"",IF(I52="NA","NA",IF(AND(I52="",K52="--"),"NA",IF(AU52="NA","Missing Data",IF(I52="","No Criteria",IF(AU52&gt;=I52,"Needed","No")))))),"---")</f>
        <v/>
      </c>
      <c r="F52" s="431" t="str">
        <f>IF(TRUE=ISBLANK(ChemData!B52),"",(ChemData!B52))</f>
        <v/>
      </c>
      <c r="G52" s="432" t="str">
        <f>IF(TRUE=ISBLANK(ChemData!C52),"",(ChemData!C52))</f>
        <v/>
      </c>
      <c r="H52" s="433" t="str">
        <f>IF(TRUE=ISBLANK(ChemData!D52),"",(ChemData!D52))</f>
        <v/>
      </c>
      <c r="I52" s="919">
        <f>IF(TRUE=ISBLANK(ChemData!K52),"",(ChemData!K52))</f>
        <v>0.3</v>
      </c>
      <c r="J52" s="290">
        <f>IF(TRUE=ISBLANK(ChemData!M52),"",(ChemData!M52))</f>
        <v>178.2</v>
      </c>
      <c r="K52" s="290">
        <f>IF(TRUE=ISBLANK(ChemData!N52),"",(ChemData!N52))</f>
        <v>5.8999999999999998E-5</v>
      </c>
      <c r="L52" s="290">
        <f>IF(TRUE=ISBLANK(ChemData!O52),"",(ChemData!O52))</f>
        <v>3.2399999999999998E-2</v>
      </c>
      <c r="M52" s="290">
        <f>IF(TRUE=ISBLANK(ChemData!Q52),"",(ChemData!Q52))</f>
        <v>585.33759489716783</v>
      </c>
      <c r="N52" s="290">
        <f>IF(TRUE=ISBLANK(ChemData!R52),"",(ChemData!R52))</f>
        <v>585.33759489716783</v>
      </c>
      <c r="O52" s="290">
        <f>IF(TRUE=ISBLANK(ChemData!S52),"",(ChemData!S52))</f>
        <v>1</v>
      </c>
      <c r="P52" s="291">
        <f>IF(TRUE=ISBLANK(ChemData!T52),"",(ChemData!T52))</f>
        <v>1</v>
      </c>
      <c r="Q52" s="375">
        <f>IF(Start!$C$18="x",IF(OR(K52="NA",K52="",K52="--"),"NA",(K52*1000000/82.1/Data!$D$50)),"---")</f>
        <v>2.3181800322187732E-3</v>
      </c>
      <c r="R52" s="376">
        <f>IF(Start!$C$18="x",IF(OR(J52="NA",J52=0,J52=""),"NA",(0.32*(Data!$D$48+Data!$D$49)*(18/J52)^0.5)),"---")</f>
        <v>0.26188439117945606</v>
      </c>
      <c r="S52" s="376">
        <f>IF(Start!$C$18="x",IF(OR(J52="NA",J52= 0,J52=""),"NA",(0.0065*((Data!$D$49^0.969)/(Data!$D$51^0.673))*(32/J52)^0.5*EXP(0.526*Data!$D$48^-1.9))),"---")</f>
        <v>5.5198054886463255E-4</v>
      </c>
      <c r="T52" s="377">
        <f>IF(Start!$C$18="x",IF(OR(S52="NA",R52="NA",R52=0,Q52="NA",S52=0,Q52=0),"NA",(1/(1/S52+(1/(R52*Q52))))),"---")</f>
        <v>2.8911374705257542E-4</v>
      </c>
      <c r="U52" s="375" t="str">
        <f>IF(Start!$C$18="x",IF(OR(F52="NA",F52="",O52="",O52="NA"),"NA",(F52*$O52)),"---")</f>
        <v>NA</v>
      </c>
      <c r="V52" s="376" t="str">
        <f>IF(Start!$C$18="x",IF(OR(U52="NA",M52="NA",M52="",U52=""),"NA",U52/((Data!$D$18+((1-Data!$D$18)*Data!$D$14*M52))/((1-Data!$D$18)*Data!$D$14*1000))),"---")</f>
        <v>NA</v>
      </c>
      <c r="W52" s="376" t="str">
        <f>IF(Start!$C$18="x",IF(OR(G52="NA",U52="NA",G52="",U52=""),"NA",(U52 +($G52*(Data!$D$19-Data!$D$22)/(Data!$D$19*Data!$D$22)))),"---")</f>
        <v>NA</v>
      </c>
      <c r="X52" s="376" t="str">
        <f>IF(Start!$C$18="x",IF(OR(G52="NA",V52="NA",G52="",V52=""),"NA",(((Data!$D$22*Data!$D$18)*V52)+(Data!$D$19-Data!$D$22)*$G52)/((Data!$D$22*Data!$D$18)+Data!$D$19-Data!$D$22)),"---")</f>
        <v>NA</v>
      </c>
      <c r="Y52" s="376" t="str">
        <f>IF(Start!$C$18="x",IF(OR(W52="NA",W52="",M52="NA",M52=""),"NA",(W52/((Data!$D$23+((1-Data!$D$23)*Data!$D$14*M52)) /((1-Data!$D$23)*Data!$D$14*1000)))),"---")</f>
        <v>NA</v>
      </c>
      <c r="Z52" s="376" t="str">
        <f>IF(Start!$C$18="x",IF(OR(Y52="NA",X52="NA"),"NA",IF(Y52&gt;X52, Y52, X52)),"---")</f>
        <v>NA</v>
      </c>
      <c r="AA52" s="461" t="str">
        <f>IF(Start!$C$18="x",IF(OR(Z52="NA",T52="NA"),"NA",Z52*T52/(1000000000)),"---")</f>
        <v>NA</v>
      </c>
      <c r="AB52" s="1057" t="str">
        <f>IF(Start!$C$18="x",IF(AA52 = "NA", "NA", AA52*(Data!$D$52*Data!$D$53*10000)),"---")</f>
        <v>NA</v>
      </c>
      <c r="AC52" s="375" t="str">
        <f>IF(Start!$C$18="x",IF(AB52="NA", "NA", AB52*Data!$D$54),"---")</f>
        <v>NA</v>
      </c>
      <c r="AD52" s="498" t="str">
        <f>IF(Start!$C$18="x",IF(AC52="NA","NA",AC52*Data!$D$41),"---")</f>
        <v>NA</v>
      </c>
      <c r="AE52" s="376" t="str">
        <f>IF(Start!$C$18="x",IF(AB52 = "NA", "NA", AB52/(Data!$D$53*3*Data!$D$48)*1000),"---")</f>
        <v>NA</v>
      </c>
      <c r="AF52" s="498" t="str">
        <f>IF(Start!$C$18="x",IF(AE52="NA","NA",AE52*Data!$D$46),"---")</f>
        <v>NA</v>
      </c>
      <c r="AG52" s="375">
        <f>IF(Start!$C$18="x",IF(OR($L52="NA",L52=""),"NA",($L52*(Data!$D$55^3.33)/(Data!$D$18^2))),"---")</f>
        <v>3.3007479478733379E-4</v>
      </c>
      <c r="AH52" s="376" t="str">
        <f>IF(Start!$C$18="x",IF(OR(F52="NA",F52="",P52="NA",P52=""),"NA",IF(100/Data!$D$10&gt;Data!$D$13,(F52*$P52),(F52*$P52)*Data!$D$13)),"---")</f>
        <v>NA</v>
      </c>
      <c r="AI52" s="489">
        <f>IF(Start!$C$18="x",IF(OR($N52="NA",$Q52="NA",$Q52=0,Q52="",N52=""),"NA",(1000*$N52/$Q52)),"---")</f>
        <v>252498764.87674272</v>
      </c>
      <c r="AJ52" s="376">
        <f>IF(Start!$C$18="x",IF(OR(Q52 = "NA",Q52=0,N52 = "NA",N52="",Q52=""), "NA", IF($AG52="NA","NA",(3.1416*Data!$D$57*86400/($AG52*(Data!$D$55+(N52*Data!$D$19/(Q52*1000)))))^0.5)),"---")</f>
        <v>339.1652039970827</v>
      </c>
      <c r="AK52" s="376" t="str">
        <f>IF(Start!$C$18="x",IF(OR(AH52 = "NA",AI52="NA",AI52=0,AI52="",AH52=""), "NA", AH52/AI52),"---")</f>
        <v>NA</v>
      </c>
      <c r="AL52" s="376" t="str">
        <f>IF(Start!$C$18="x",IF(OR(AK52 ="NA",AK52="",AJ52= "NA",R52="NA",R52=0),"NA",(2*AK52)/(1000*(1/$R52+AJ52))),"---")</f>
        <v>NA</v>
      </c>
      <c r="AM52" s="376" t="str">
        <f>IF(Start!$C$18="x",IF(AL52 = "NA", "NA", AL52*(Data!$D$52*Data!$D$53*10000)),"---")</f>
        <v>NA</v>
      </c>
      <c r="AN52" s="376" t="str">
        <f>IF(Start!$C$18="x",IF(AM52 = "NA", "NA", AM52*(Data!$D$54)),"---")</f>
        <v>NA</v>
      </c>
      <c r="AO52" s="498" t="str">
        <f>IF(Start!$C$18="x",IF(AN52="NA","NA",AN52*Data!$D$41),"---")</f>
        <v>NA</v>
      </c>
      <c r="AP52" s="376">
        <f>IF(Start!$C$18="x",IF(OR(Q52=0,N52="NA",N52="",AG52="NA",AG52="",AG52=0,Q52="",Q52="NA"),"NA", (3.1416*Data!$D$56*86400/($AG52*(Data!$D$55+(N52*Data!$D$19/(Q52*1000)))))^0.5),"---")</f>
        <v>339.1652039970827</v>
      </c>
      <c r="AQ52" s="376" t="str">
        <f>IF(Start!$C$18="x",IF(OR(AH52="NA",AI52="NA",AI52="",AI52=0,AH52=""),"NA", AH52/AI52),"---")</f>
        <v>NA</v>
      </c>
      <c r="AR52" s="376" t="str">
        <f>IF(Start!$C$18="x",IF(OR(AQ52="NA",AP52="NA",$R52="NA",R52=0,R52=""),"NA",(2*AQ52)/(1000*(1/$R52+AP52))),"---")</f>
        <v>NA</v>
      </c>
      <c r="AS52" s="376" t="str">
        <f>IF(Start!$C$18="x",IF(AR52 = "NA", "NA", AR52*(Data!$D$52*Data!$D$53*10000)),"---")</f>
        <v>NA</v>
      </c>
      <c r="AT52" s="376" t="str">
        <f>IF(Start!$C$18="x",IF(AS52 = "NA", "NA", (AS52*1000)/(Data!$D$48*3*Data!$D$53)),"---")</f>
        <v>NA</v>
      </c>
      <c r="AU52" s="498" t="str">
        <f>IF(Start!$C$18="x",IF(AT52="NA","NA",AT52*Data!$D$47),"---")</f>
        <v>NA</v>
      </c>
      <c r="AV52" s="283" t="str">
        <f>IF(Start!$C$18="x",(IF(AND(F52="",G52= "",G52&lt;&gt;"NA"),"",IF(OR(AD52="NA",I52="NA",I52=0),"NA",(AD52/I52)))),"Not Req.")</f>
        <v/>
      </c>
      <c r="AW52" s="284" t="str">
        <f>IF(Start!$C$18="x",(IF(AND(F52="",G52= "",G52&lt;&gt;"NA"),"",IF(OR(AF52="NA",I52="NA",I52=0),"NA",(AF52/I52)))),"Not Req.")</f>
        <v/>
      </c>
      <c r="AX52" s="284" t="str">
        <f>IF(Start!$C$18="x",(IF(F52 ="","",IF(OR(AO52="NA",I52="NA",I52=0),"NA",(AO52/I52)))),"Not Req.")</f>
        <v/>
      </c>
      <c r="AY52" s="344" t="str">
        <f>IF(Start!$C$18="x",(IF(F52 ="","",IF(OR(AU52="NA",I52="NA",I52=0),"NA",(AU52/I52)))),"Not Req.")</f>
        <v/>
      </c>
      <c r="AZ52" s="208"/>
    </row>
    <row r="53" spans="1:52" s="23" customFormat="1" x14ac:dyDescent="0.25">
      <c r="A53" s="405" t="s">
        <v>371</v>
      </c>
      <c r="B53" s="347" t="str">
        <f>IF(Start!$C$18="x",IF(AND(OR(F53="",F53="NA"),OR(G53="",G53="NA")),"",IF(I53="NA","NA",IF(AND(I53="",K53="--"),"NA",IF(AD53="NA","Missing Data",IF(I53="","No Criteria",IF(AD53&gt;=I53,"Needed","No")))))),"---")</f>
        <v/>
      </c>
      <c r="C53" s="501" t="str">
        <f>IF(Start!$C$18="x",IF(AND(OR(F53="",F53="NA"),OR(G53="",G53="NA")),"",IF(I53="NA","NA",IF(AND(I53="",K53="--"),"NA",IF(AF53="NA","Missing Data",IF(I53="","No Criteria",IF(AF53&gt;=I53,"Needed","No")))))),"---")</f>
        <v/>
      </c>
      <c r="D53" s="347" t="str">
        <f>IF(Start!$C$18="x",IF(AND(OR(F53="",F53="NA"),OR(G53="",G53="NA")),"",IF(I53="NA","NA",IF(AND(I53="",K53="--"),"NA",IF(AO53="NA","Missing Data",IF(I53="","No Criteria",IF(AO53&gt;=I53,"Needed","No")))))),"---")</f>
        <v/>
      </c>
      <c r="E53" s="401" t="str">
        <f>IF(Start!$C$18="x",IF(AND(OR(F53="",F53="NA"),OR(G53="",G53="NA")),"",IF(I53="NA","NA",IF(AND(I53="",K53="--"),"NA",IF(AU53="NA","Missing Data",IF(I53="","No Criteria",IF(AU53&gt;=I53,"Needed","No")))))),"---")</f>
        <v/>
      </c>
      <c r="F53" s="431" t="str">
        <f>IF(TRUE=ISBLANK(ChemData!B53),"",(ChemData!B53))</f>
        <v/>
      </c>
      <c r="G53" s="432" t="str">
        <f>IF(TRUE=ISBLANK(ChemData!C53),"",(ChemData!C53))</f>
        <v/>
      </c>
      <c r="H53" s="433" t="str">
        <f>IF(TRUE=ISBLANK(ChemData!D53),"",(ChemData!D53))</f>
        <v/>
      </c>
      <c r="I53" s="919" t="str">
        <f>IF(TRUE=ISBLANK(ChemData!K53),"",(ChemData!K53))</f>
        <v>NA</v>
      </c>
      <c r="J53" s="290">
        <f>IF(TRUE=ISBLANK(ChemData!M53),"",(ChemData!M53))</f>
        <v>228.2</v>
      </c>
      <c r="K53" s="290">
        <f>IF(TRUE=ISBLANK(ChemData!N53),"",(ChemData!N53))</f>
        <v>3.3500000000000001E-6</v>
      </c>
      <c r="L53" s="290">
        <f>IF(TRUE=ISBLANK(ChemData!O53),"",(ChemData!O53))</f>
        <v>5.0999999999999997E-2</v>
      </c>
      <c r="M53" s="290">
        <f>IF(TRUE=ISBLANK(ChemData!Q53),"",(ChemData!Q53))</f>
        <v>9276.9756944408309</v>
      </c>
      <c r="N53" s="290">
        <f>IF(TRUE=ISBLANK(ChemData!R53),"",(ChemData!R53))</f>
        <v>9276.9756944408309</v>
      </c>
      <c r="O53" s="290">
        <f>IF(TRUE=ISBLANK(ChemData!S53),"",(ChemData!S53))</f>
        <v>1</v>
      </c>
      <c r="P53" s="291">
        <f>IF(TRUE=ISBLANK(ChemData!T53),"",(ChemData!T53))</f>
        <v>1</v>
      </c>
      <c r="Q53" s="375">
        <f>IF(Start!$C$18="x",IF(OR(K53="NA",K53="",K53="--"),"NA",(K53*1000000/82.1/Data!$D$50)),"---")</f>
        <v>1.3162547640564222E-4</v>
      </c>
      <c r="R53" s="376">
        <f>IF(Start!$C$18="x",IF(OR(J53="NA",J53=0,J53=""),"NA",(0.32*(Data!$D$48+Data!$D$49)*(18/J53)^0.5)),"---")</f>
        <v>0.23142253376095437</v>
      </c>
      <c r="S53" s="376">
        <f>IF(Start!$C$18="x",IF(OR(J53="NA",J53= 0,J53=""),"NA",(0.0065*((Data!$D$49^0.969)/(Data!$D$51^0.673))*(32/J53)^0.5*EXP(0.526*Data!$D$48^-1.9))),"---")</f>
        <v>4.877752989771786E-4</v>
      </c>
      <c r="T53" s="377">
        <f>IF(Start!$C$18="x",IF(OR(S53="NA",R53="NA",R53=0,Q53="NA",S53=0,Q53=0),"NA",(1/(1/S53+(1/(R53*Q53))))),"---")</f>
        <v>2.8670646767044423E-5</v>
      </c>
      <c r="U53" s="375" t="str">
        <f>IF(Start!$C$18="x",IF(OR(F53="NA",F53="",O53="",O53="NA"),"NA",(F53*$O53)),"---")</f>
        <v>NA</v>
      </c>
      <c r="V53" s="376" t="str">
        <f>IF(Start!$C$18="x",IF(OR(U53="NA",M53="NA",M53="",U53=""),"NA",U53/((Data!$D$18+((1-Data!$D$18)*Data!$D$14*M53))/((1-Data!$D$18)*Data!$D$14*1000))),"---")</f>
        <v>NA</v>
      </c>
      <c r="W53" s="376" t="str">
        <f>IF(Start!$C$18="x",IF(OR(G53="NA",U53="NA",G53="",U53=""),"NA",(U53 +($G53*(Data!$D$19-Data!$D$22)/(Data!$D$19*Data!$D$22)))),"---")</f>
        <v>NA</v>
      </c>
      <c r="X53" s="376" t="str">
        <f>IF(Start!$C$18="x",IF(OR(G53="NA",V53="NA",G53="",V53=""),"NA",(((Data!$D$22*Data!$D$18)*V53)+(Data!$D$19-Data!$D$22)*$G53)/((Data!$D$22*Data!$D$18)+Data!$D$19-Data!$D$22)),"---")</f>
        <v>NA</v>
      </c>
      <c r="Y53" s="376" t="str">
        <f>IF(Start!$C$18="x",IF(OR(W53="NA",W53="",M53="NA",M53=""),"NA",(W53/((Data!$D$23+((1-Data!$D$23)*Data!$D$14*M53)) /((1-Data!$D$23)*Data!$D$14*1000)))),"---")</f>
        <v>NA</v>
      </c>
      <c r="Z53" s="376" t="str">
        <f>IF(Start!$C$18="x",IF(OR(Y53="NA",X53="NA"),"NA",IF(Y53&gt;X53, Y53, X53)),"---")</f>
        <v>NA</v>
      </c>
      <c r="AA53" s="461" t="str">
        <f>IF(Start!$C$18="x",IF(OR(Z53="NA",T53="NA"),"NA",Z53*T53/(1000000000)),"---")</f>
        <v>NA</v>
      </c>
      <c r="AB53" s="1057" t="str">
        <f>IF(Start!$C$18="x",IF(AA53 = "NA", "NA", AA53*(Data!$D$52*Data!$D$53*10000)),"---")</f>
        <v>NA</v>
      </c>
      <c r="AC53" s="375" t="str">
        <f>IF(Start!$C$18="x",IF(AB53="NA", "NA", AB53*Data!$D$54),"---")</f>
        <v>NA</v>
      </c>
      <c r="AD53" s="498" t="str">
        <f>IF(Start!$C$18="x",IF(AC53="NA","NA",AC53*Data!$D$41),"---")</f>
        <v>NA</v>
      </c>
      <c r="AE53" s="376" t="str">
        <f>IF(Start!$C$18="x",IF(AB53 = "NA", "NA", AB53/(Data!$D$53*3*Data!$D$48)*1000),"---")</f>
        <v>NA</v>
      </c>
      <c r="AF53" s="498" t="str">
        <f>IF(Start!$C$18="x",IF(AE53="NA","NA",AE53*Data!$D$46),"---")</f>
        <v>NA</v>
      </c>
      <c r="AG53" s="375">
        <f>IF(Start!$C$18="x",IF(OR($L53="NA",L53=""),"NA",($L53*(Data!$D$55^3.33)/(Data!$D$18^2))),"---")</f>
        <v>5.1956217698006244E-4</v>
      </c>
      <c r="AH53" s="376" t="str">
        <f>IF(Start!$C$18="x",IF(OR(F53="NA",F53="",P53="NA",P53=""),"NA",IF(100/Data!$D$10&gt;Data!$D$13,(F53*$P53),(F53*$P53)*Data!$D$13)),"---")</f>
        <v>NA</v>
      </c>
      <c r="AI53" s="489">
        <f>IF(Start!$C$18="x",IF(OR($N53="NA",$Q53="NA",$Q53=0,Q53="",N53=""),"NA",(1000*$N53/$Q53)),"---")</f>
        <v>70480092059.466736</v>
      </c>
      <c r="AJ53" s="376">
        <f>IF(Start!$C$18="x",IF(OR(Q53 = "NA",Q53=0,N53 = "NA",N53="",Q53=""), "NA", IF($AG53="NA","NA",(3.1416*Data!$D$57*86400/($AG53*(Data!$D$55+(N53*Data!$D$19/(Q53*1000)))))^0.5)),"---")</f>
        <v>16.180625519371326</v>
      </c>
      <c r="AK53" s="376" t="str">
        <f>IF(Start!$C$18="x",IF(OR(AH53 = "NA",AI53="NA",AI53=0,AI53="",AH53=""), "NA", AH53/AI53),"---")</f>
        <v>NA</v>
      </c>
      <c r="AL53" s="376" t="str">
        <f>IF(Start!$C$18="x",IF(OR(AK53 ="NA",AK53="",AJ53= "NA",R53="NA",R53=0),"NA",(2*AK53)/(1000*(1/$R53+AJ53))),"---")</f>
        <v>NA</v>
      </c>
      <c r="AM53" s="376" t="str">
        <f>IF(Start!$C$18="x",IF(AL53 = "NA", "NA", AL53*(Data!$D$52*Data!$D$53*10000)),"---")</f>
        <v>NA</v>
      </c>
      <c r="AN53" s="376" t="str">
        <f>IF(Start!$C$18="x",IF(AM53 = "NA", "NA", AM53*(Data!$D$54)),"---")</f>
        <v>NA</v>
      </c>
      <c r="AO53" s="498" t="str">
        <f>IF(Start!$C$18="x",IF(AN53="NA","NA",AN53*Data!$D$41),"---")</f>
        <v>NA</v>
      </c>
      <c r="AP53" s="376">
        <f>IF(Start!$C$18="x",IF(OR(Q53=0,N53="NA",N53="",AG53="NA",AG53="",AG53=0,Q53="",Q53="NA"),"NA", (3.1416*Data!$D$56*86400/($AG53*(Data!$D$55+(N53*Data!$D$19/(Q53*1000)))))^0.5),"---")</f>
        <v>16.180625519371326</v>
      </c>
      <c r="AQ53" s="376" t="str">
        <f>IF(Start!$C$18="x",IF(OR(AH53="NA",AI53="NA",AI53="",AI53=0,AH53=""),"NA", AH53/AI53),"---")</f>
        <v>NA</v>
      </c>
      <c r="AR53" s="376" t="str">
        <f>IF(Start!$C$18="x",IF(OR(AQ53="NA",AP53="NA",$R53="NA",R53=0,R53=""),"NA",(2*AQ53)/(1000*(1/$R53+AP53))),"---")</f>
        <v>NA</v>
      </c>
      <c r="AS53" s="376" t="str">
        <f>IF(Start!$C$18="x",IF(AR53 = "NA", "NA", AR53*(Data!$D$52*Data!$D$53*10000)),"---")</f>
        <v>NA</v>
      </c>
      <c r="AT53" s="376" t="str">
        <f>IF(Start!$C$18="x",IF(AS53 = "NA", "NA", (AS53*1000)/(Data!$D$48*3*Data!$D$53)),"---")</f>
        <v>NA</v>
      </c>
      <c r="AU53" s="498" t="str">
        <f>IF(Start!$C$18="x",IF(AT53="NA","NA",AT53*Data!$D$47),"---")</f>
        <v>NA</v>
      </c>
      <c r="AV53" s="283" t="str">
        <f>IF(Start!$C$18="x",(IF(AND(F53="",G53= "",G53&lt;&gt;"NA"),"",IF(OR(AD53="NA",I53="NA",I53=0),"NA",(AD53/I53)))),"Not Req.")</f>
        <v/>
      </c>
      <c r="AW53" s="284" t="str">
        <f>IF(Start!$C$18="x",(IF(AND(F53="",G53= "",G53&lt;&gt;"NA"),"",IF(OR(AF53="NA",I53="NA",I53=0),"NA",(AF53/I53)))),"Not Req.")</f>
        <v/>
      </c>
      <c r="AX53" s="284" t="str">
        <f>IF(Start!$C$18="x",(IF(F53 ="","",IF(OR(AO53="NA",I53="NA",I53=0),"NA",(AO53/I53)))),"Not Req.")</f>
        <v/>
      </c>
      <c r="AY53" s="344" t="str">
        <f>IF(Start!$C$18="x",(IF(F53 ="","",IF(OR(AU53="NA",I53="NA",I53=0),"NA",(AU53/I53)))),"Not Req.")</f>
        <v/>
      </c>
      <c r="AZ53" s="208"/>
    </row>
    <row r="54" spans="1:52" s="23" customFormat="1" x14ac:dyDescent="0.25">
      <c r="A54" s="405" t="s">
        <v>372</v>
      </c>
      <c r="B54" s="347" t="str">
        <f>IF(Start!$C$18="x",IF(AND(OR(F54="",F54="NA"),OR(G54="",G54="NA")),"",IF(I54="NA","NA",IF(AND(I54="",K54="--"),"NA",IF(AD54="NA","Missing Data",IF(I54="","No Criteria",IF(AD54&gt;=I54,"Needed","No")))))),"---")</f>
        <v/>
      </c>
      <c r="C54" s="501" t="str">
        <f>IF(Start!$C$18="x",IF(AND(OR(F54="",F54="NA"),OR(G54="",G54="NA")),"",IF(I54="NA","NA",IF(AND(I54="",K54="--"),"NA",IF(AF54="NA","Missing Data",IF(I54="","No Criteria",IF(AF54&gt;=I54,"Needed","No")))))),"---")</f>
        <v/>
      </c>
      <c r="D54" s="347" t="str">
        <f>IF(Start!$C$18="x",IF(AND(OR(F54="",F54="NA"),OR(G54="",G54="NA")),"",IF(I54="NA","NA",IF(AND(I54="",K54="--"),"NA",IF(AO54="NA","Missing Data",IF(I54="","No Criteria",IF(AO54&gt;=I54,"Needed","No")))))),"---")</f>
        <v/>
      </c>
      <c r="E54" s="401" t="str">
        <f>IF(Start!$C$18="x",IF(AND(OR(F54="",F54="NA"),OR(G54="",G54="NA")),"",IF(I54="NA","NA",IF(AND(I54="",K54="--"),"NA",IF(AU54="NA","Missing Data",IF(I54="","No Criteria",IF(AU54&gt;=I54,"Needed","No")))))),"---")</f>
        <v/>
      </c>
      <c r="F54" s="431" t="str">
        <f>IF(TRUE=ISBLANK(ChemData!B54),"",(ChemData!B54))</f>
        <v/>
      </c>
      <c r="G54" s="432" t="str">
        <f>IF(TRUE=ISBLANK(ChemData!C54),"",(ChemData!C54))</f>
        <v/>
      </c>
      <c r="H54" s="433" t="str">
        <f>IF(TRUE=ISBLANK(ChemData!D54),"",(ChemData!D54))</f>
        <v/>
      </c>
      <c r="I54" s="919" t="str">
        <f>IF(TRUE=ISBLANK(ChemData!K54),"",(ChemData!K54))</f>
        <v>NA</v>
      </c>
      <c r="J54" s="290">
        <f>IF(TRUE=ISBLANK(ChemData!M54),"",(ChemData!M54))</f>
        <v>252</v>
      </c>
      <c r="K54" s="290">
        <f>IF(TRUE=ISBLANK(ChemData!N54),"",(ChemData!N54))</f>
        <v>3.9400000000000002E-5</v>
      </c>
      <c r="L54" s="290">
        <f>IF(TRUE=ISBLANK(ChemData!O54),"",(ChemData!O54))</f>
        <v>2.2599999999999999E-2</v>
      </c>
      <c r="M54" s="290">
        <f>IF(TRUE=ISBLANK(ChemData!Q54),"",(ChemData!Q54))</f>
        <v>29336.372992455243</v>
      </c>
      <c r="N54" s="290">
        <f>IF(TRUE=ISBLANK(ChemData!R54),"",(ChemData!R54))</f>
        <v>29336.372992455243</v>
      </c>
      <c r="O54" s="290">
        <f>IF(TRUE=ISBLANK(ChemData!S54),"",(ChemData!S54))</f>
        <v>1</v>
      </c>
      <c r="P54" s="291">
        <f>IF(TRUE=ISBLANK(ChemData!T54),"",(ChemData!T54))</f>
        <v>1</v>
      </c>
      <c r="Q54" s="375">
        <f>IF(Start!$C$18="x",IF(OR(K54="NA",K54="",K54="--"),"NA",(K54*1000000/82.1/Data!$D$50)),"---")</f>
        <v>1.5480727672782999E-3</v>
      </c>
      <c r="R54" s="376">
        <f>IF(Start!$C$18="x",IF(OR(J54="NA",J54=0,J54=""),"NA",(0.32*(Data!$D$48+Data!$D$49)*(18/J54)^0.5)),"---")</f>
        <v>0.22022326333583772</v>
      </c>
      <c r="S54" s="376">
        <f>IF(Start!$C$18="x",IF(OR(J54="NA",J54= 0,J54=""),"NA",(0.0065*((Data!$D$49^0.969)/(Data!$D$51^0.673))*(32/J54)^0.5*EXP(0.526*Data!$D$48^-1.9))),"---")</f>
        <v>4.6417030515414731E-4</v>
      </c>
      <c r="T54" s="377">
        <f>IF(Start!$C$18="x",IF(OR(S54="NA",R54="NA",R54=0,Q54="NA",S54=0,Q54=0),"NA",(1/(1/S54+(1/(R54*Q54))))),"---")</f>
        <v>1.9655606013635715E-4</v>
      </c>
      <c r="U54" s="375" t="str">
        <f>IF(Start!$C$18="x",IF(OR(F54="NA",F54="",O54="",O54="NA"),"NA",(F54*$O54)),"---")</f>
        <v>NA</v>
      </c>
      <c r="V54" s="376" t="str">
        <f>IF(Start!$C$18="x",IF(OR(U54="NA",M54="NA",M54="",U54=""),"NA",U54/((Data!$D$18+((1-Data!$D$18)*Data!$D$14*M54))/((1-Data!$D$18)*Data!$D$14*1000))),"---")</f>
        <v>NA</v>
      </c>
      <c r="W54" s="376" t="str">
        <f>IF(Start!$C$18="x",IF(OR(G54="NA",U54="NA",G54="",U54=""),"NA",(U54 +($G54*(Data!$D$19-Data!$D$22)/(Data!$D$19*Data!$D$22)))),"---")</f>
        <v>NA</v>
      </c>
      <c r="X54" s="376" t="str">
        <f>IF(Start!$C$18="x",IF(OR(G54="NA",V54="NA",G54="",V54=""),"NA",(((Data!$D$22*Data!$D$18)*V54)+(Data!$D$19-Data!$D$22)*$G54)/((Data!$D$22*Data!$D$18)+Data!$D$19-Data!$D$22)),"---")</f>
        <v>NA</v>
      </c>
      <c r="Y54" s="376" t="str">
        <f>IF(Start!$C$18="x",IF(OR(W54="NA",W54="",M54="NA",M54=""),"NA",(W54/((Data!$D$23+((1-Data!$D$23)*Data!$D$14*M54)) /((1-Data!$D$23)*Data!$D$14*1000)))),"---")</f>
        <v>NA</v>
      </c>
      <c r="Z54" s="376" t="str">
        <f>IF(Start!$C$18="x",IF(OR(Y54="NA",X54="NA"),"NA",IF(Y54&gt;X54, Y54, X54)),"---")</f>
        <v>NA</v>
      </c>
      <c r="AA54" s="461" t="str">
        <f>IF(Start!$C$18="x",IF(OR(Z54="NA",T54="NA"),"NA",Z54*T54/(1000000000)),"---")</f>
        <v>NA</v>
      </c>
      <c r="AB54" s="1057" t="str">
        <f>IF(Start!$C$18="x",IF(AA54 = "NA", "NA", AA54*(Data!$D$52*Data!$D$53*10000)),"---")</f>
        <v>NA</v>
      </c>
      <c r="AC54" s="375" t="str">
        <f>IF(Start!$C$18="x",IF(AB54="NA", "NA", AB54*Data!$D$54),"---")</f>
        <v>NA</v>
      </c>
      <c r="AD54" s="498" t="str">
        <f>IF(Start!$C$18="x",IF(AC54="NA","NA",AC54*Data!$D$41),"---")</f>
        <v>NA</v>
      </c>
      <c r="AE54" s="376" t="str">
        <f>IF(Start!$C$18="x",IF(AB54 = "NA", "NA", AB54/(Data!$D$53*3*Data!$D$48)*1000),"---")</f>
        <v>NA</v>
      </c>
      <c r="AF54" s="498" t="str">
        <f>IF(Start!$C$18="x",IF(AE54="NA","NA",AE54*Data!$D$46),"---")</f>
        <v>NA</v>
      </c>
      <c r="AG54" s="375">
        <f>IF(Start!$C$18="x",IF(OR($L54="NA",L54=""),"NA",($L54*(Data!$D$55^3.33)/(Data!$D$18^2))),"---")</f>
        <v>2.3023735685783159E-4</v>
      </c>
      <c r="AH54" s="376" t="str">
        <f>IF(Start!$C$18="x",IF(OR(F54="NA",F54="",P54="NA",P54=""),"NA",IF(100/Data!$D$10&gt;Data!$D$13,(F54*$P54),(F54*$P54)*Data!$D$13)),"---")</f>
        <v>NA</v>
      </c>
      <c r="AI54" s="489">
        <f>IF(Start!$C$18="x",IF(OR($N54="NA",$Q54="NA",$Q54=0,Q54="",N54=""),"NA",(1000*$N54/$Q54)),"---")</f>
        <v>18950254543.933456</v>
      </c>
      <c r="AJ54" s="376">
        <f>IF(Start!$C$18="x",IF(OR(Q54 = "NA",Q54=0,N54 = "NA",N54="",Q54=""), "NA", IF($AG54="NA","NA",(3.1416*Data!$D$57*86400/($AG54*(Data!$D$55+(N54*Data!$D$19/(Q54*1000)))))^0.5)),"---")</f>
        <v>46.876144105839572</v>
      </c>
      <c r="AK54" s="376" t="str">
        <f>IF(Start!$C$18="x",IF(OR(AH54 = "NA",AI54="NA",AI54=0,AI54="",AH54=""), "NA", AH54/AI54),"---")</f>
        <v>NA</v>
      </c>
      <c r="AL54" s="376" t="str">
        <f>IF(Start!$C$18="x",IF(OR(AK54 ="NA",AK54="",AJ54= "NA",R54="NA",R54=0),"NA",(2*AK54)/(1000*(1/$R54+AJ54))),"---")</f>
        <v>NA</v>
      </c>
      <c r="AM54" s="376" t="str">
        <f>IF(Start!$C$18="x",IF(AL54 = "NA", "NA", AL54*(Data!$D$52*Data!$D$53*10000)),"---")</f>
        <v>NA</v>
      </c>
      <c r="AN54" s="376" t="str">
        <f>IF(Start!$C$18="x",IF(AM54 = "NA", "NA", AM54*(Data!$D$54)),"---")</f>
        <v>NA</v>
      </c>
      <c r="AO54" s="498" t="str">
        <f>IF(Start!$C$18="x",IF(AN54="NA","NA",AN54*Data!$D$41),"---")</f>
        <v>NA</v>
      </c>
      <c r="AP54" s="376">
        <f>IF(Start!$C$18="x",IF(OR(Q54=0,N54="NA",N54="",AG54="NA",AG54="",AG54=0,Q54="",Q54="NA"),"NA", (3.1416*Data!$D$56*86400/($AG54*(Data!$D$55+(N54*Data!$D$19/(Q54*1000)))))^0.5),"---")</f>
        <v>46.876144105839572</v>
      </c>
      <c r="AQ54" s="376" t="str">
        <f>IF(Start!$C$18="x",IF(OR(AH54="NA",AI54="NA",AI54="",AI54=0,AH54=""),"NA", AH54/AI54),"---")</f>
        <v>NA</v>
      </c>
      <c r="AR54" s="376" t="str">
        <f>IF(Start!$C$18="x",IF(OR(AQ54="NA",AP54="NA",$R54="NA",R54=0,R54=""),"NA",(2*AQ54)/(1000*(1/$R54+AP54))),"---")</f>
        <v>NA</v>
      </c>
      <c r="AS54" s="376" t="str">
        <f>IF(Start!$C$18="x",IF(AR54 = "NA", "NA", AR54*(Data!$D$52*Data!$D$53*10000)),"---")</f>
        <v>NA</v>
      </c>
      <c r="AT54" s="376" t="str">
        <f>IF(Start!$C$18="x",IF(AS54 = "NA", "NA", (AS54*1000)/(Data!$D$48*3*Data!$D$53)),"---")</f>
        <v>NA</v>
      </c>
      <c r="AU54" s="498" t="str">
        <f>IF(Start!$C$18="x",IF(AT54="NA","NA",AT54*Data!$D$47),"---")</f>
        <v>NA</v>
      </c>
      <c r="AV54" s="283" t="str">
        <f>IF(Start!$C$18="x",(IF(AND(F54="",G54= "",G54&lt;&gt;"NA"),"",IF(OR(AD54="NA",I54="NA",I54=0),"NA",(AD54/I54)))),"Not Req.")</f>
        <v/>
      </c>
      <c r="AW54" s="284" t="str">
        <f>IF(Start!$C$18="x",(IF(AND(F54="",G54= "",G54&lt;&gt;"NA"),"",IF(OR(AF54="NA",I54="NA",I54=0),"NA",(AF54/I54)))),"Not Req.")</f>
        <v/>
      </c>
      <c r="AX54" s="284" t="str">
        <f>IF(Start!$C$18="x",(IF(F54 ="","",IF(OR(AO54="NA",I54="NA",I54=0),"NA",(AO54/I54)))),"Not Req.")</f>
        <v/>
      </c>
      <c r="AY54" s="344" t="str">
        <f>IF(Start!$C$18="x",(IF(F54 ="","",IF(OR(AU54="NA",I54="NA",I54=0),"NA",(AU54/I54)))),"Not Req.")</f>
        <v/>
      </c>
      <c r="AZ54" s="208"/>
    </row>
    <row r="55" spans="1:52" s="23" customFormat="1" x14ac:dyDescent="0.25">
      <c r="A55" s="405" t="s">
        <v>373</v>
      </c>
      <c r="B55" s="347" t="str">
        <f>IF(Start!$C$18="x",IF(AND(OR(F55="",F55="NA"),OR(G55="",G55="NA")),"",IF(I55="NA","NA",IF(AND(I55="",K55="--"),"NA",IF(AD55="NA","Missing Data",IF(I55="","No Criteria",IF(AD55&gt;=I55,"Needed","No")))))),"---")</f>
        <v/>
      </c>
      <c r="C55" s="501" t="str">
        <f>IF(Start!$C$18="x",IF(AND(OR(F55="",F55="NA"),OR(G55="",G55="NA")),"",IF(I55="NA","NA",IF(AND(I55="",K55="--"),"NA",IF(AF55="NA","Missing Data",IF(I55="","No Criteria",IF(AF55&gt;=I55,"Needed","No")))))),"---")</f>
        <v/>
      </c>
      <c r="D55" s="347" t="str">
        <f>IF(Start!$C$18="x",IF(AND(OR(F55="",F55="NA"),OR(G55="",G55="NA")),"",IF(I55="NA","NA",IF(AND(I55="",K55="--"),"NA",IF(AO55="NA","Missing Data",IF(I55="","No Criteria",IF(AO55&gt;=I55,"Needed","No")))))),"---")</f>
        <v/>
      </c>
      <c r="E55" s="401" t="str">
        <f>IF(Start!$C$18="x",IF(AND(OR(F55="",F55="NA"),OR(G55="",G55="NA")),"",IF(I55="NA","NA",IF(AND(I55="",K55="--"),"NA",IF(AU55="NA","Missing Data",IF(I55="","No Criteria",IF(AU55&gt;=I55,"Needed","No")))))),"---")</f>
        <v/>
      </c>
      <c r="F55" s="431" t="str">
        <f>IF(TRUE=ISBLANK(ChemData!B55),"",(ChemData!B55))</f>
        <v/>
      </c>
      <c r="G55" s="432" t="str">
        <f>IF(TRUE=ISBLANK(ChemData!C55),"",(ChemData!C55))</f>
        <v/>
      </c>
      <c r="H55" s="433" t="str">
        <f>IF(TRUE=ISBLANK(ChemData!D55),"",(ChemData!D55))</f>
        <v/>
      </c>
      <c r="I55" s="919" t="str">
        <f>IF(TRUE=ISBLANK(ChemData!K55),"",(ChemData!K55))</f>
        <v>NA</v>
      </c>
      <c r="J55" s="290">
        <f>IF(TRUE=ISBLANK(ChemData!M55),"",(ChemData!M55))</f>
        <v>252.32</v>
      </c>
      <c r="K55" s="290">
        <f>IF(TRUE=ISBLANK(ChemData!N55),"",(ChemData!N55))</f>
        <v>3.8699999999999999E-5</v>
      </c>
      <c r="L55" s="290">
        <f>IF(TRUE=ISBLANK(ChemData!O55),"",(ChemData!O55))</f>
        <v>2.2599999999999999E-2</v>
      </c>
      <c r="M55" s="290">
        <f>IF(TRUE=ISBLANK(ChemData!Q55),"",(ChemData!Q55))</f>
        <v>29336.372992455243</v>
      </c>
      <c r="N55" s="290">
        <f>IF(TRUE=ISBLANK(ChemData!R55),"",(ChemData!R55))</f>
        <v>29336.372992455243</v>
      </c>
      <c r="O55" s="290">
        <f>IF(TRUE=ISBLANK(ChemData!S55),"",(ChemData!S55))</f>
        <v>1</v>
      </c>
      <c r="P55" s="291">
        <f>IF(TRUE=ISBLANK(ChemData!T55),"",(ChemData!T55))</f>
        <v>1</v>
      </c>
      <c r="Q55" s="375">
        <f>IF(Start!$C$18="x",IF(OR(K55="NA",K55="",K55="--"),"NA",(K55*1000000/82.1/Data!$D$50)),"---")</f>
        <v>1.5205689363875681E-3</v>
      </c>
      <c r="R55" s="376">
        <f>IF(Start!$C$18="x",IF(OR(J55="NA",J55=0,J55=""),"NA",(0.32*(Data!$D$48+Data!$D$49)*(18/J55)^0.5)),"---")</f>
        <v>0.22008357206689069</v>
      </c>
      <c r="S55" s="376">
        <f>IF(Start!$C$18="x",IF(OR(J55="NA",J55= 0,J55=""),"NA",(0.0065*((Data!$D$49^0.969)/(Data!$D$51^0.673))*(32/J55)^0.5*EXP(0.526*Data!$D$48^-1.9))),"---")</f>
        <v>4.6387587423003725E-4</v>
      </c>
      <c r="T55" s="377">
        <f>IF(Start!$C$18="x",IF(OR(S55="NA",R55="NA",R55=0,Q55="NA",S55=0,Q55=0),"NA",(1/(1/S55+(1/(R55*Q55))))),"---")</f>
        <v>1.9440405223115358E-4</v>
      </c>
      <c r="U55" s="375" t="str">
        <f>IF(Start!$C$18="x",IF(OR(F55="NA",F55="",O55="",O55="NA"),"NA",(F55*$O55)),"---")</f>
        <v>NA</v>
      </c>
      <c r="V55" s="376" t="str">
        <f>IF(Start!$C$18="x",IF(OR(U55="NA",M55="NA",M55="",U55=""),"NA",U55/((Data!$D$18+((1-Data!$D$18)*Data!$D$14*M55))/((1-Data!$D$18)*Data!$D$14*1000))),"---")</f>
        <v>NA</v>
      </c>
      <c r="W55" s="376" t="str">
        <f>IF(Start!$C$18="x",IF(OR(G55="NA",U55="NA",G55="",U55=""),"NA",(U55 +($G55*(Data!$D$19-Data!$D$22)/(Data!$D$19*Data!$D$22)))),"---")</f>
        <v>NA</v>
      </c>
      <c r="X55" s="376" t="str">
        <f>IF(Start!$C$18="x",IF(OR(G55="NA",V55="NA",G55="",V55=""),"NA",(((Data!$D$22*Data!$D$18)*V55)+(Data!$D$19-Data!$D$22)*$G55)/((Data!$D$22*Data!$D$18)+Data!$D$19-Data!$D$22)),"---")</f>
        <v>NA</v>
      </c>
      <c r="Y55" s="376" t="str">
        <f>IF(Start!$C$18="x",IF(OR(W55="NA",W55="",M55="NA",M55=""),"NA",(W55/((Data!$D$23+((1-Data!$D$23)*Data!$D$14*M55)) /((1-Data!$D$23)*Data!$D$14*1000)))),"---")</f>
        <v>NA</v>
      </c>
      <c r="Z55" s="376" t="str">
        <f>IF(Start!$C$18="x",IF(OR(Y55="NA",X55="NA"),"NA",IF(Y55&gt;X55, Y55, X55)),"---")</f>
        <v>NA</v>
      </c>
      <c r="AA55" s="461" t="str">
        <f>IF(Start!$C$18="x",IF(OR(Z55="NA",T55="NA"),"NA",Z55*T55/(1000000000)),"---")</f>
        <v>NA</v>
      </c>
      <c r="AB55" s="1057" t="str">
        <f>IF(Start!$C$18="x",IF(AA55 = "NA", "NA", AA55*(Data!$D$52*Data!$D$53*10000)),"---")</f>
        <v>NA</v>
      </c>
      <c r="AC55" s="375" t="str">
        <f>IF(Start!$C$18="x",IF(AB55="NA", "NA", AB55*Data!$D$54),"---")</f>
        <v>NA</v>
      </c>
      <c r="AD55" s="498" t="str">
        <f>IF(Start!$C$18="x",IF(AC55="NA","NA",AC55*Data!$D$41),"---")</f>
        <v>NA</v>
      </c>
      <c r="AE55" s="376" t="str">
        <f>IF(Start!$C$18="x",IF(AB55 = "NA", "NA", AB55/(Data!$D$53*3*Data!$D$48)*1000),"---")</f>
        <v>NA</v>
      </c>
      <c r="AF55" s="498" t="str">
        <f>IF(Start!$C$18="x",IF(AE55="NA","NA",AE55*Data!$D$46),"---")</f>
        <v>NA</v>
      </c>
      <c r="AG55" s="375">
        <f>IF(Start!$C$18="x",IF(OR($L55="NA",L55=""),"NA",($L55*(Data!$D$55^3.33)/(Data!$D$18^2))),"---")</f>
        <v>2.3023735685783159E-4</v>
      </c>
      <c r="AH55" s="376" t="str">
        <f>IF(Start!$C$18="x",IF(OR(F55="NA",F55="",P55="NA",P55=""),"NA",IF(100/Data!$D$10&gt;Data!$D$13,(F55*$P55),(F55*$P55)*Data!$D$13)),"---")</f>
        <v>NA</v>
      </c>
      <c r="AI55" s="489">
        <f>IF(Start!$C$18="x",IF(OR($N55="NA",$Q55="NA",$Q55=0,Q55="",N55=""),"NA",(1000*$N55/$Q55)),"---")</f>
        <v>19293024005.968437</v>
      </c>
      <c r="AJ55" s="376">
        <f>IF(Start!$C$18="x",IF(OR(Q55 = "NA",Q55=0,N55 = "NA",N55="",Q55=""), "NA", IF($AG55="NA","NA",(3.1416*Data!$D$57*86400/($AG55*(Data!$D$55+(N55*Data!$D$19/(Q55*1000)))))^0.5)),"---")</f>
        <v>46.457865500922168</v>
      </c>
      <c r="AK55" s="376" t="str">
        <f>IF(Start!$C$18="x",IF(OR(AH55 = "NA",AI55="NA",AI55=0,AI55="",AH55=""), "NA", AH55/AI55),"---")</f>
        <v>NA</v>
      </c>
      <c r="AL55" s="376" t="str">
        <f>IF(Start!$C$18="x",IF(OR(AK55 ="NA",AK55="",AJ55= "NA",R55="NA",R55=0),"NA",(2*AK55)/(1000*(1/$R55+AJ55))),"---")</f>
        <v>NA</v>
      </c>
      <c r="AM55" s="376" t="str">
        <f>IF(Start!$C$18="x",IF(AL55 = "NA", "NA", AL55*(Data!$D$52*Data!$D$53*10000)),"---")</f>
        <v>NA</v>
      </c>
      <c r="AN55" s="376" t="str">
        <f>IF(Start!$C$18="x",IF(AM55 = "NA", "NA", AM55*(Data!$D$54)),"---")</f>
        <v>NA</v>
      </c>
      <c r="AO55" s="498" t="str">
        <f>IF(Start!$C$18="x",IF(AN55="NA","NA",AN55*Data!$D$41),"---")</f>
        <v>NA</v>
      </c>
      <c r="AP55" s="376">
        <f>IF(Start!$C$18="x",IF(OR(Q55=0,N55="NA",N55="",AG55="NA",AG55="",AG55=0,Q55="",Q55="NA"),"NA", (3.1416*Data!$D$56*86400/($AG55*(Data!$D$55+(N55*Data!$D$19/(Q55*1000)))))^0.5),"---")</f>
        <v>46.457865500922168</v>
      </c>
      <c r="AQ55" s="376" t="str">
        <f>IF(Start!$C$18="x",IF(OR(AH55="NA",AI55="NA",AI55="",AI55=0,AH55=""),"NA", AH55/AI55),"---")</f>
        <v>NA</v>
      </c>
      <c r="AR55" s="376" t="str">
        <f>IF(Start!$C$18="x",IF(OR(AQ55="NA",AP55="NA",$R55="NA",R55=0,R55=""),"NA",(2*AQ55)/(1000*(1/$R55+AP55))),"---")</f>
        <v>NA</v>
      </c>
      <c r="AS55" s="376" t="str">
        <f>IF(Start!$C$18="x",IF(AR55 = "NA", "NA", AR55*(Data!$D$52*Data!$D$53*10000)),"---")</f>
        <v>NA</v>
      </c>
      <c r="AT55" s="376" t="str">
        <f>IF(Start!$C$18="x",IF(AS55 = "NA", "NA", (AS55*1000)/(Data!$D$48*3*Data!$D$53)),"---")</f>
        <v>NA</v>
      </c>
      <c r="AU55" s="498" t="str">
        <f>IF(Start!$C$18="x",IF(AT55="NA","NA",AT55*Data!$D$47),"---")</f>
        <v>NA</v>
      </c>
      <c r="AV55" s="283" t="str">
        <f>IF(Start!$C$18="x",(IF(AND(F55="",G55= "",G55&lt;&gt;"NA"),"",IF(OR(AD55="NA",I55="NA",I55=0),"NA",(AD55/I55)))),"Not Req.")</f>
        <v/>
      </c>
      <c r="AW55" s="284" t="str">
        <f>IF(Start!$C$18="x",(IF(AND(F55="",G55= "",G55&lt;&gt;"NA"),"",IF(OR(AF55="NA",I55="NA",I55=0),"NA",(AF55/I55)))),"Not Req.")</f>
        <v/>
      </c>
      <c r="AX55" s="284" t="str">
        <f>IF(Start!$C$18="x",(IF(F55 ="","",IF(OR(AO55="NA",I55="NA",I55=0),"NA",(AO55/I55)))),"Not Req.")</f>
        <v/>
      </c>
      <c r="AY55" s="344" t="str">
        <f>IF(Start!$C$18="x",(IF(F55 ="","",IF(OR(AU55="NA",I55="NA",I55=0),"NA",(AU55/I55)))),"Not Req.")</f>
        <v/>
      </c>
      <c r="AZ55" s="208"/>
    </row>
    <row r="56" spans="1:52" s="23" customFormat="1" x14ac:dyDescent="0.25">
      <c r="A56" s="405" t="s">
        <v>374</v>
      </c>
      <c r="B56" s="347" t="str">
        <f>IF(Start!$C$18="x",IF(AND(OR(F56="",F56="NA"),OR(G56="",G56="NA")),"",IF(I56="NA","NA",IF(AND(I56="",K56="--"),"NA",IF(AD56="NA","Missing Data",IF(I56="","No Criteria",IF(AD56&gt;=I56,"Needed","No")))))),"---")</f>
        <v/>
      </c>
      <c r="C56" s="501" t="str">
        <f>IF(Start!$C$18="x",IF(AND(OR(F56="",F56="NA"),OR(G56="",G56="NA")),"",IF(I56="NA","NA",IF(AND(I56="",K56="--"),"NA",IF(AF56="NA","Missing Data",IF(I56="","No Criteria",IF(AF56&gt;=I56,"Needed","No")))))),"---")</f>
        <v/>
      </c>
      <c r="D56" s="347" t="str">
        <f>IF(Start!$C$18="x",IF(AND(OR(F56="",F56="NA"),OR(G56="",G56="NA")),"",IF(I56="NA","NA",IF(AND(I56="",K56="--"),"NA",IF(AO56="NA","Missing Data",IF(I56="","No Criteria",IF(AO56&gt;=I56,"Needed","No")))))),"---")</f>
        <v/>
      </c>
      <c r="E56" s="401" t="str">
        <f>IF(Start!$C$18="x",IF(AND(OR(F56="",F56="NA"),OR(G56="",G56="NA")),"",IF(I56="NA","NA",IF(AND(I56="",K56="--"),"NA",IF(AU56="NA","Missing Data",IF(I56="","No Criteria",IF(AU56&gt;=I56,"Needed","No")))))),"---")</f>
        <v/>
      </c>
      <c r="F56" s="431" t="str">
        <f>IF(TRUE=ISBLANK(ChemData!B56),"",(ChemData!B56))</f>
        <v/>
      </c>
      <c r="G56" s="432" t="str">
        <f>IF(TRUE=ISBLANK(ChemData!C56),"",(ChemData!C56))</f>
        <v/>
      </c>
      <c r="H56" s="433" t="str">
        <f>IF(TRUE=ISBLANK(ChemData!D56),"",(ChemData!D56))</f>
        <v/>
      </c>
      <c r="I56" s="919" t="str">
        <f>IF(TRUE=ISBLANK(ChemData!K56),"",(ChemData!K56))</f>
        <v>NA</v>
      </c>
      <c r="J56" s="290">
        <f>IF(TRUE=ISBLANK(ChemData!M56),"",(ChemData!M56))</f>
        <v>276.33999999999997</v>
      </c>
      <c r="K56" s="290">
        <f>IF(TRUE=ISBLANK(ChemData!N56),"",(ChemData!N56))</f>
        <v>1.48E-7</v>
      </c>
      <c r="L56" s="290">
        <f>IF(TRUE=ISBLANK(ChemData!O56),"",(ChemData!O56))</f>
        <v>4.9000000000000002E-2</v>
      </c>
      <c r="M56" s="290">
        <f>IF(TRUE=ISBLANK(ChemData!Q56),"",(ChemData!Q56))</f>
        <v>92769.756944408247</v>
      </c>
      <c r="N56" s="290">
        <f>IF(TRUE=ISBLANK(ChemData!R56),"",(ChemData!R56))</f>
        <v>92769.756944408247</v>
      </c>
      <c r="O56" s="290">
        <f>IF(TRUE=ISBLANK(ChemData!S56),"",(ChemData!S56))</f>
        <v>1</v>
      </c>
      <c r="P56" s="291">
        <f>IF(TRUE=ISBLANK(ChemData!T56),"",(ChemData!T56))</f>
        <v>1</v>
      </c>
      <c r="Q56" s="375">
        <f>IF(Start!$C$18="x",IF(OR(K56="NA",K56="",K56="--"),"NA",(K56*1000000/82.1/Data!$D$50)),"---")</f>
        <v>5.8150956740403126E-6</v>
      </c>
      <c r="R56" s="376">
        <f>IF(Start!$C$18="x",IF(OR(J56="NA",J56=0,J56=""),"NA",(0.32*(Data!$D$48+Data!$D$49)*(18/J56)^0.5)),"---")</f>
        <v>0.21030112097236206</v>
      </c>
      <c r="S56" s="376">
        <f>IF(Start!$C$18="x",IF(OR(J56="NA",J56= 0,J56=""),"NA",(0.0065*((Data!$D$49^0.969)/(Data!$D$51^0.673))*(32/J56)^0.5*EXP(0.526*Data!$D$48^-1.9))),"---")</f>
        <v>4.4325714739381586E-4</v>
      </c>
      <c r="T56" s="377">
        <f>IF(Start!$C$18="x",IF(OR(S56="NA",R56="NA",R56=0,Q56="NA",S56=0,Q56=0),"NA",(1/(1/S56+(1/(R56*Q56))))),"---")</f>
        <v>1.2195564522545189E-6</v>
      </c>
      <c r="U56" s="375" t="str">
        <f>IF(Start!$C$18="x",IF(OR(F56="NA",F56="",O56="",O56="NA"),"NA",(F56*$O56)),"---")</f>
        <v>NA</v>
      </c>
      <c r="V56" s="376" t="str">
        <f>IF(Start!$C$18="x",IF(OR(U56="NA",M56="NA",M56="",U56=""),"NA",U56/((Data!$D$18+((1-Data!$D$18)*Data!$D$14*M56))/((1-Data!$D$18)*Data!$D$14*1000))),"---")</f>
        <v>NA</v>
      </c>
      <c r="W56" s="376" t="str">
        <f>IF(Start!$C$18="x",IF(OR(G56="NA",U56="NA",G56="",U56=""),"NA",(U56 +($G56*(Data!$D$19-Data!$D$22)/(Data!$D$19*Data!$D$22)))),"---")</f>
        <v>NA</v>
      </c>
      <c r="X56" s="376" t="str">
        <f>IF(Start!$C$18="x",IF(OR(G56="NA",V56="NA",G56="",V56=""),"NA",(((Data!$D$22*Data!$D$18)*V56)+(Data!$D$19-Data!$D$22)*$G56)/((Data!$D$22*Data!$D$18)+Data!$D$19-Data!$D$22)),"---")</f>
        <v>NA</v>
      </c>
      <c r="Y56" s="376" t="str">
        <f>IF(Start!$C$18="x",IF(OR(W56="NA",W56="",M56="NA",M56=""),"NA",(W56/((Data!$D$23+((1-Data!$D$23)*Data!$D$14*M56)) /((1-Data!$D$23)*Data!$D$14*1000)))),"---")</f>
        <v>NA</v>
      </c>
      <c r="Z56" s="376" t="str">
        <f>IF(Start!$C$18="x",IF(OR(Y56="NA",X56="NA"),"NA",IF(Y56&gt;X56, Y56, X56)),"---")</f>
        <v>NA</v>
      </c>
      <c r="AA56" s="461" t="str">
        <f>IF(Start!$C$18="x",IF(OR(Z56="NA",T56="NA"),"NA",Z56*T56/(1000000000)),"---")</f>
        <v>NA</v>
      </c>
      <c r="AB56" s="1057" t="str">
        <f>IF(Start!$C$18="x",IF(AA56 = "NA", "NA", AA56*(Data!$D$52*Data!$D$53*10000)),"---")</f>
        <v>NA</v>
      </c>
      <c r="AC56" s="375" t="str">
        <f>IF(Start!$C$18="x",IF(AB56="NA", "NA", AB56*Data!$D$54),"---")</f>
        <v>NA</v>
      </c>
      <c r="AD56" s="498" t="str">
        <f>IF(Start!$C$18="x",IF(AC56="NA","NA",AC56*Data!$D$41),"---")</f>
        <v>NA</v>
      </c>
      <c r="AE56" s="376" t="str">
        <f>IF(Start!$C$18="x",IF(AB56 = "NA", "NA", AB56/(Data!$D$53*3*Data!$D$48)*1000),"---")</f>
        <v>NA</v>
      </c>
      <c r="AF56" s="498" t="str">
        <f>IF(Start!$C$18="x",IF(AE56="NA","NA",AE56*Data!$D$46),"---")</f>
        <v>NA</v>
      </c>
      <c r="AG56" s="375">
        <f>IF(Start!$C$18="x",IF(OR($L56="NA",L56=""),"NA",($L56*(Data!$D$55^3.33)/(Data!$D$18^2))),"---")</f>
        <v>4.9918718964751102E-4</v>
      </c>
      <c r="AH56" s="376" t="str">
        <f>IF(Start!$C$18="x",IF(OR(F56="NA",F56="",P56="NA",P56=""),"NA",IF(100/Data!$D$10&gt;Data!$D$13,(F56*$P56),(F56*$P56)*Data!$D$13)),"---")</f>
        <v>NA</v>
      </c>
      <c r="AI56" s="489">
        <f>IF(Start!$C$18="x",IF(OR($N56="NA",$Q56="NA",$Q56=0,Q56="",N56=""),"NA",(1000*$N56/$Q56)),"---")</f>
        <v>15953264081027.936</v>
      </c>
      <c r="AJ56" s="376">
        <f>IF(Start!$C$18="x",IF(OR(Q56 = "NA",Q56=0,N56 = "NA",N56="",Q56=""), "NA", IF($AG56="NA","NA",(3.1416*Data!$D$57*86400/($AG56*(Data!$D$55+(N56*Data!$D$19/(Q56*1000)))))^0.5)),"---")</f>
        <v>1.0972126593279863</v>
      </c>
      <c r="AK56" s="376" t="str">
        <f>IF(Start!$C$18="x",IF(OR(AH56 = "NA",AI56="NA",AI56=0,AI56="",AH56=""), "NA", AH56/AI56),"---")</f>
        <v>NA</v>
      </c>
      <c r="AL56" s="376" t="str">
        <f>IF(Start!$C$18="x",IF(OR(AK56 ="NA",AK56="",AJ56= "NA",R56="NA",R56=0),"NA",(2*AK56)/(1000*(1/$R56+AJ56))),"---")</f>
        <v>NA</v>
      </c>
      <c r="AM56" s="376" t="str">
        <f>IF(Start!$C$18="x",IF(AL56 = "NA", "NA", AL56*(Data!$D$52*Data!$D$53*10000)),"---")</f>
        <v>NA</v>
      </c>
      <c r="AN56" s="376" t="str">
        <f>IF(Start!$C$18="x",IF(AM56 = "NA", "NA", AM56*(Data!$D$54)),"---")</f>
        <v>NA</v>
      </c>
      <c r="AO56" s="498" t="str">
        <f>IF(Start!$C$18="x",IF(AN56="NA","NA",AN56*Data!$D$41),"---")</f>
        <v>NA</v>
      </c>
      <c r="AP56" s="376">
        <f>IF(Start!$C$18="x",IF(OR(Q56=0,N56="NA",N56="",AG56="NA",AG56="",AG56=0,Q56="",Q56="NA"),"NA", (3.1416*Data!$D$56*86400/($AG56*(Data!$D$55+(N56*Data!$D$19/(Q56*1000)))))^0.5),"---")</f>
        <v>1.0972126593279863</v>
      </c>
      <c r="AQ56" s="376" t="str">
        <f>IF(Start!$C$18="x",IF(OR(AH56="NA",AI56="NA",AI56="",AI56=0,AH56=""),"NA", AH56/AI56),"---")</f>
        <v>NA</v>
      </c>
      <c r="AR56" s="376" t="str">
        <f>IF(Start!$C$18="x",IF(OR(AQ56="NA",AP56="NA",$R56="NA",R56=0,R56=""),"NA",(2*AQ56)/(1000*(1/$R56+AP56))),"---")</f>
        <v>NA</v>
      </c>
      <c r="AS56" s="376" t="str">
        <f>IF(Start!$C$18="x",IF(AR56 = "NA", "NA", AR56*(Data!$D$52*Data!$D$53*10000)),"---")</f>
        <v>NA</v>
      </c>
      <c r="AT56" s="376" t="str">
        <f>IF(Start!$C$18="x",IF(AS56 = "NA", "NA", (AS56*1000)/(Data!$D$48*3*Data!$D$53)),"---")</f>
        <v>NA</v>
      </c>
      <c r="AU56" s="498" t="str">
        <f>IF(Start!$C$18="x",IF(AT56="NA","NA",AT56*Data!$D$47),"---")</f>
        <v>NA</v>
      </c>
      <c r="AV56" s="283" t="str">
        <f>IF(Start!$C$18="x",(IF(AND(F56="",G56= "",G56&lt;&gt;"NA"),"",IF(OR(AD56="NA",I56="NA",I56=0),"NA",(AD56/I56)))),"Not Req.")</f>
        <v/>
      </c>
      <c r="AW56" s="284" t="str">
        <f>IF(Start!$C$18="x",(IF(AND(F56="",G56= "",G56&lt;&gt;"NA"),"",IF(OR(AF56="NA",I56="NA",I56=0),"NA",(AF56/I56)))),"Not Req.")</f>
        <v/>
      </c>
      <c r="AX56" s="284" t="str">
        <f>IF(Start!$C$18="x",(IF(F56 ="","",IF(OR(AO56="NA",I56="NA",I56=0),"NA",(AO56/I56)))),"Not Req.")</f>
        <v/>
      </c>
      <c r="AY56" s="344" t="str">
        <f>IF(Start!$C$18="x",(IF(F56 ="","",IF(OR(AU56="NA",I56="NA",I56=0),"NA",(AU56/I56)))),"Not Req.")</f>
        <v/>
      </c>
      <c r="AZ56" s="208"/>
    </row>
    <row r="57" spans="1:52" s="23" customFormat="1" x14ac:dyDescent="0.25">
      <c r="A57" s="405" t="s">
        <v>375</v>
      </c>
      <c r="B57" s="347" t="str">
        <f>IF(Start!$C$18="x",IF(AND(OR(F57="",F57="NA"),OR(G57="",G57="NA")),"",IF(I57="NA","NA",IF(AND(I57="",K57="--"),"NA",IF(AD57="NA","Missing Data",IF(I57="","No Criteria",IF(AD57&gt;=I57,"Needed","No")))))),"---")</f>
        <v/>
      </c>
      <c r="C57" s="501" t="str">
        <f>IF(Start!$C$18="x",IF(AND(OR(F57="",F57="NA"),OR(G57="",G57="NA")),"",IF(I57="NA","NA",IF(AND(I57="",K57="--"),"NA",IF(AF57="NA","Missing Data",IF(I57="","No Criteria",IF(AF57&gt;=I57,"Needed","No")))))),"---")</f>
        <v/>
      </c>
      <c r="D57" s="347" t="str">
        <f>IF(Start!$C$18="x",IF(AND(OR(F57="",F57="NA"),OR(G57="",G57="NA")),"",IF(I57="NA","NA",IF(AND(I57="",K57="--"),"NA",IF(AO57="NA","Missing Data",IF(I57="","No Criteria",IF(AO57&gt;=I57,"Needed","No")))))),"---")</f>
        <v/>
      </c>
      <c r="E57" s="401" t="str">
        <f>IF(Start!$C$18="x",IF(AND(OR(F57="",F57="NA"),OR(G57="",G57="NA")),"",IF(I57="NA","NA",IF(AND(I57="",K57="--"),"NA",IF(AU57="NA","Missing Data",IF(I57="","No Criteria",IF(AU57&gt;=I57,"Needed","No")))))),"---")</f>
        <v/>
      </c>
      <c r="F57" s="431" t="str">
        <f>IF(TRUE=ISBLANK(ChemData!B57),"",(ChemData!B57))</f>
        <v/>
      </c>
      <c r="G57" s="432" t="str">
        <f>IF(TRUE=ISBLANK(ChemData!C57),"",(ChemData!C57))</f>
        <v/>
      </c>
      <c r="H57" s="433" t="str">
        <f>IF(TRUE=ISBLANK(ChemData!D57),"",(ChemData!D57))</f>
        <v/>
      </c>
      <c r="I57" s="919" t="str">
        <f>IF(TRUE=ISBLANK(ChemData!K57),"",(ChemData!K57))</f>
        <v>NA</v>
      </c>
      <c r="J57" s="290">
        <f>IF(TRUE=ISBLANK(ChemData!M57),"",(ChemData!M57))</f>
        <v>252.3</v>
      </c>
      <c r="K57" s="290">
        <f>IF(TRUE=ISBLANK(ChemData!N57),"",(ChemData!N57))</f>
        <v>4.4999999999999998E-7</v>
      </c>
      <c r="L57" s="290">
        <f>IF(TRUE=ISBLANK(ChemData!O57),"",(ChemData!O57))</f>
        <v>4.2999999999999997E-2</v>
      </c>
      <c r="M57" s="290">
        <f>IF(TRUE=ISBLANK(ChemData!Q57),"",(ChemData!Q57))</f>
        <v>20295.811410610371</v>
      </c>
      <c r="N57" s="290">
        <f>IF(TRUE=ISBLANK(ChemData!R57),"",(ChemData!R57))</f>
        <v>20295.811410610371</v>
      </c>
      <c r="O57" s="290">
        <f>IF(TRUE=ISBLANK(ChemData!S57),"",(ChemData!S57))</f>
        <v>1</v>
      </c>
      <c r="P57" s="291">
        <f>IF(TRUE=ISBLANK(ChemData!T57),"",(ChemData!T57))</f>
        <v>1</v>
      </c>
      <c r="Q57" s="375">
        <f>IF(Start!$C$18="x",IF(OR(K57="NA",K57="",K57="--"),"NA",(K57*1000000/82.1/Data!$D$50)),"---")</f>
        <v>1.7681034144041492E-5</v>
      </c>
      <c r="R57" s="376">
        <f>IF(Start!$C$18="x",IF(OR(J57="NA",J57=0,J57=""),"NA",(0.32*(Data!$D$48+Data!$D$49)*(18/J57)^0.5)),"---")</f>
        <v>0.22009229498447666</v>
      </c>
      <c r="S57" s="376">
        <f>IF(Start!$C$18="x",IF(OR(J57="NA",J57= 0,J57=""),"NA",(0.0065*((Data!$D$49^0.969)/(Data!$D$51^0.673))*(32/J57)^0.5*EXP(0.526*Data!$D$48^-1.9))),"---")</f>
        <v>4.6389425975051489E-4</v>
      </c>
      <c r="T57" s="377">
        <f>IF(Start!$C$18="x",IF(OR(S57="NA",R57="NA",R57=0,Q57="NA",S57=0,Q57=0),"NA",(1/(1/S57+(1/(R57*Q57))))),"---")</f>
        <v>3.8590867479277801E-6</v>
      </c>
      <c r="U57" s="375" t="str">
        <f>IF(Start!$C$18="x",IF(OR(F57="NA",F57="",O57="",O57="NA"),"NA",(F57*$O57)),"---")</f>
        <v>NA</v>
      </c>
      <c r="V57" s="376" t="str">
        <f>IF(Start!$C$18="x",IF(OR(U57="NA",M57="NA",M57="",U57=""),"NA",U57/((Data!$D$18+((1-Data!$D$18)*Data!$D$14*M57))/((1-Data!$D$18)*Data!$D$14*1000))),"---")</f>
        <v>NA</v>
      </c>
      <c r="W57" s="376" t="str">
        <f>IF(Start!$C$18="x",IF(OR(G57="NA",U57="NA",G57="",U57=""),"NA",(U57 +($G57*(Data!$D$19-Data!$D$22)/(Data!$D$19*Data!$D$22)))),"---")</f>
        <v>NA</v>
      </c>
      <c r="X57" s="376" t="str">
        <f>IF(Start!$C$18="x",IF(OR(G57="NA",V57="NA",G57="",V57=""),"NA",(((Data!$D$22*Data!$D$18)*V57)+(Data!$D$19-Data!$D$22)*$G57)/((Data!$D$22*Data!$D$18)+Data!$D$19-Data!$D$22)),"---")</f>
        <v>NA</v>
      </c>
      <c r="Y57" s="376" t="str">
        <f>IF(Start!$C$18="x",IF(OR(W57="NA",W57="",M57="NA",M57=""),"NA",(W57/((Data!$D$23+((1-Data!$D$23)*Data!$D$14*M57)) /((1-Data!$D$23)*Data!$D$14*1000)))),"---")</f>
        <v>NA</v>
      </c>
      <c r="Z57" s="376" t="str">
        <f>IF(Start!$C$18="x",IF(OR(Y57="NA",X57="NA"),"NA",IF(Y57&gt;X57, Y57, X57)),"---")</f>
        <v>NA</v>
      </c>
      <c r="AA57" s="461" t="str">
        <f>IF(Start!$C$18="x",IF(OR(Z57="NA",T57="NA"),"NA",Z57*T57/(1000000000)),"---")</f>
        <v>NA</v>
      </c>
      <c r="AB57" s="1057" t="str">
        <f>IF(Start!$C$18="x",IF(AA57 = "NA", "NA", AA57*(Data!$D$52*Data!$D$53*10000)),"---")</f>
        <v>NA</v>
      </c>
      <c r="AC57" s="375" t="str">
        <f>IF(Start!$C$18="x",IF(AB57="NA", "NA", AB57*Data!$D$54),"---")</f>
        <v>NA</v>
      </c>
      <c r="AD57" s="498" t="str">
        <f>IF(Start!$C$18="x",IF(AC57="NA","NA",AC57*Data!$D$41),"---")</f>
        <v>NA</v>
      </c>
      <c r="AE57" s="376" t="str">
        <f>IF(Start!$C$18="x",IF(AB57 = "NA", "NA", AB57/(Data!$D$53*3*Data!$D$48)*1000),"---")</f>
        <v>NA</v>
      </c>
      <c r="AF57" s="498" t="str">
        <f>IF(Start!$C$18="x",IF(AE57="NA","NA",AE57*Data!$D$46),"---")</f>
        <v>NA</v>
      </c>
      <c r="AG57" s="375">
        <f>IF(Start!$C$18="x",IF(OR($L57="NA",L57=""),"NA",($L57*(Data!$D$55^3.33)/(Data!$D$18^2))),"---")</f>
        <v>4.3806222764985656E-4</v>
      </c>
      <c r="AH57" s="376" t="str">
        <f>IF(Start!$C$18="x",IF(OR(F57="NA",F57="",P57="NA",P57=""),"NA",IF(100/Data!$D$10&gt;Data!$D$13,(F57*$P57),(F57*$P57)*Data!$D$13)),"---")</f>
        <v>NA</v>
      </c>
      <c r="AI57" s="489">
        <f>IF(Start!$C$18="x",IF(OR($N57="NA",$Q57="NA",$Q57=0,Q57="",N57=""),"NA",(1000*$N57/$Q57)),"---")</f>
        <v>1147885991580.9878</v>
      </c>
      <c r="AJ57" s="376">
        <f>IF(Start!$C$18="x",IF(OR(Q57 = "NA",Q57=0,N57 = "NA",N57="",Q57=""), "NA", IF($AG57="NA","NA",(3.1416*Data!$D$57*86400/($AG57*(Data!$D$55+(N57*Data!$D$19/(Q57*1000)))))^0.5)),"---")</f>
        <v>4.3664653794410286</v>
      </c>
      <c r="AK57" s="376" t="str">
        <f>IF(Start!$C$18="x",IF(OR(AH57 = "NA",AI57="NA",AI57=0,AI57="",AH57=""), "NA", AH57/AI57),"---")</f>
        <v>NA</v>
      </c>
      <c r="AL57" s="376" t="str">
        <f>IF(Start!$C$18="x",IF(OR(AK57 ="NA",AK57="",AJ57= "NA",R57="NA",R57=0),"NA",(2*AK57)/(1000*(1/$R57+AJ57))),"---")</f>
        <v>NA</v>
      </c>
      <c r="AM57" s="376" t="str">
        <f>IF(Start!$C$18="x",IF(AL57 = "NA", "NA", AL57*(Data!$D$52*Data!$D$53*10000)),"---")</f>
        <v>NA</v>
      </c>
      <c r="AN57" s="376" t="str">
        <f>IF(Start!$C$18="x",IF(AM57 = "NA", "NA", AM57*(Data!$D$54)),"---")</f>
        <v>NA</v>
      </c>
      <c r="AO57" s="498" t="str">
        <f>IF(Start!$C$18="x",IF(AN57="NA","NA",AN57*Data!$D$41),"---")</f>
        <v>NA</v>
      </c>
      <c r="AP57" s="376">
        <f>IF(Start!$C$18="x",IF(OR(Q57=0,N57="NA",N57="",AG57="NA",AG57="",AG57=0,Q57="",Q57="NA"),"NA", (3.1416*Data!$D$56*86400/($AG57*(Data!$D$55+(N57*Data!$D$19/(Q57*1000)))))^0.5),"---")</f>
        <v>4.3664653794410286</v>
      </c>
      <c r="AQ57" s="376" t="str">
        <f>IF(Start!$C$18="x",IF(OR(AH57="NA",AI57="NA",AI57="",AI57=0,AH57=""),"NA", AH57/AI57),"---")</f>
        <v>NA</v>
      </c>
      <c r="AR57" s="376" t="str">
        <f>IF(Start!$C$18="x",IF(OR(AQ57="NA",AP57="NA",$R57="NA",R57=0,R57=""),"NA",(2*AQ57)/(1000*(1/$R57+AP57))),"---")</f>
        <v>NA</v>
      </c>
      <c r="AS57" s="376" t="str">
        <f>IF(Start!$C$18="x",IF(AR57 = "NA", "NA", AR57*(Data!$D$52*Data!$D$53*10000)),"---")</f>
        <v>NA</v>
      </c>
      <c r="AT57" s="376" t="str">
        <f>IF(Start!$C$18="x",IF(AS57 = "NA", "NA", (AS57*1000)/(Data!$D$48*3*Data!$D$53)),"---")</f>
        <v>NA</v>
      </c>
      <c r="AU57" s="498" t="str">
        <f>IF(Start!$C$18="x",IF(AT57="NA","NA",AT57*Data!$D$47),"---")</f>
        <v>NA</v>
      </c>
      <c r="AV57" s="283" t="str">
        <f>IF(Start!$C$18="x",(IF(AND(F57="",G57= "",G57&lt;&gt;"NA"),"",IF(OR(AD57="NA",I57="NA",I57=0),"NA",(AD57/I57)))),"Not Req.")</f>
        <v/>
      </c>
      <c r="AW57" s="284" t="str">
        <f>IF(Start!$C$18="x",(IF(AND(F57="",G57= "",G57&lt;&gt;"NA"),"",IF(OR(AF57="NA",I57="NA",I57=0),"NA",(AF57/I57)))),"Not Req.")</f>
        <v/>
      </c>
      <c r="AX57" s="284" t="str">
        <f>IF(Start!$C$18="x",(IF(F57 ="","",IF(OR(AO57="NA",I57="NA",I57=0),"NA",(AO57/I57)))),"Not Req.")</f>
        <v/>
      </c>
      <c r="AY57" s="344" t="str">
        <f>IF(Start!$C$18="x",(IF(F57 ="","",IF(OR(AU57="NA",I57="NA",I57=0),"NA",(AU57/I57)))),"Not Req.")</f>
        <v/>
      </c>
      <c r="AZ57" s="208"/>
    </row>
    <row r="58" spans="1:52" s="23" customFormat="1" x14ac:dyDescent="0.25">
      <c r="A58" s="405" t="s">
        <v>376</v>
      </c>
      <c r="B58" s="347" t="str">
        <f>IF(Start!$C$18="x",IF(AND(OR(F58="",F58="NA"),OR(G58="",G58="NA")),"",IF(I58="NA","NA",IF(AND(I58="",K58="--"),"NA",IF(AD58="NA","Missing Data",IF(I58="","No Criteria",IF(AD58&gt;=I58,"Needed","No")))))),"---")</f>
        <v/>
      </c>
      <c r="C58" s="501" t="str">
        <f>IF(Start!$C$18="x",IF(AND(OR(F58="",F58="NA"),OR(G58="",G58="NA")),"",IF(I58="NA","NA",IF(AND(I58="",K58="--"),"NA",IF(AF58="NA","Missing Data",IF(I58="","No Criteria",IF(AF58&gt;=I58,"Needed","No")))))),"---")</f>
        <v/>
      </c>
      <c r="D58" s="347" t="str">
        <f>IF(Start!$C$18="x",IF(AND(OR(F58="",F58="NA"),OR(G58="",G58="NA")),"",IF(I58="NA","NA",IF(AND(I58="",K58="--"),"NA",IF(AO58="NA","Missing Data",IF(I58="","No Criteria",IF(AO58&gt;=I58,"Needed","No")))))),"---")</f>
        <v/>
      </c>
      <c r="E58" s="401" t="str">
        <f>IF(Start!$C$18="x",IF(AND(OR(F58="",F58="NA"),OR(G58="",G58="NA")),"",IF(I58="NA","NA",IF(AND(I58="",K58="--"),"NA",IF(AU58="NA","Missing Data",IF(I58="","No Criteria",IF(AU58&gt;=I58,"Needed","No")))))),"---")</f>
        <v/>
      </c>
      <c r="F58" s="431" t="str">
        <f>IF(TRUE=ISBLANK(ChemData!B58),"",(ChemData!B58))</f>
        <v/>
      </c>
      <c r="G58" s="432" t="str">
        <f>IF(TRUE=ISBLANK(ChemData!C58),"",(ChemData!C58))</f>
        <v/>
      </c>
      <c r="H58" s="433" t="str">
        <f>IF(TRUE=ISBLANK(ChemData!D58),"",(ChemData!D58))</f>
        <v/>
      </c>
      <c r="I58" s="919" t="str">
        <f>IF(TRUE=ISBLANK(ChemData!K58),"",(ChemData!K58))</f>
        <v>NA</v>
      </c>
      <c r="J58" s="290">
        <f>IF(TRUE=ISBLANK(ChemData!M58),"",(ChemData!M58))</f>
        <v>252.3</v>
      </c>
      <c r="K58" s="290">
        <f>IF(TRUE=ISBLANK(ChemData!N58),"",(ChemData!N58))</f>
        <v>1.9699999999999998E-7</v>
      </c>
      <c r="L58" s="290">
        <f>IF(TRUE=ISBLANK(ChemData!O58),"",(ChemData!O58))</f>
        <v>0.15193381222063138</v>
      </c>
      <c r="M58" s="290">
        <f>IF(TRUE=ISBLANK(ChemData!Q58),"",(ChemData!Q58))</f>
        <v>50980.773298789587</v>
      </c>
      <c r="N58" s="290">
        <f>IF(TRUE=ISBLANK(ChemData!R58),"",(ChemData!R58))</f>
        <v>50980.773298789587</v>
      </c>
      <c r="O58" s="290">
        <f>IF(TRUE=ISBLANK(ChemData!S58),"",(ChemData!S58))</f>
        <v>1</v>
      </c>
      <c r="P58" s="291">
        <f>IF(TRUE=ISBLANK(ChemData!T58),"",(ChemData!T58))</f>
        <v>1</v>
      </c>
      <c r="Q58" s="375">
        <f>IF(Start!$C$18="x",IF(OR(K58="NA",K58="",K58="--"),"NA",(K58*1000000/82.1/Data!$D$50)),"---")</f>
        <v>7.7403638363914979E-6</v>
      </c>
      <c r="R58" s="376">
        <f>IF(Start!$C$18="x",IF(OR(J58="NA",J58=0,J58=""),"NA",(0.32*(Data!$D$48+Data!$D$49)*(18/J58)^0.5)),"---")</f>
        <v>0.22009229498447666</v>
      </c>
      <c r="S58" s="376">
        <f>IF(Start!$C$18="x",IF(OR(J58="NA",J58= 0,J58=""),"NA",(0.0065*((Data!$D$49^0.969)/(Data!$D$51^0.673))*(32/J58)^0.5*EXP(0.526*Data!$D$48^-1.9))),"---")</f>
        <v>4.6389425975051489E-4</v>
      </c>
      <c r="T58" s="377">
        <f>IF(Start!$C$18="x",IF(OR(S58="NA",R58="NA",R58=0,Q58="NA",S58=0,Q58=0),"NA",(1/(1/S58+(1/(R58*Q58))))),"---")</f>
        <v>1.6973610915519386E-6</v>
      </c>
      <c r="U58" s="375" t="str">
        <f>IF(Start!$C$18="x",IF(OR(F58="NA",F58="",O58="",O58="NA"),"NA",(F58*$O58)),"---")</f>
        <v>NA</v>
      </c>
      <c r="V58" s="376" t="str">
        <f>IF(Start!$C$18="x",IF(OR(U58="NA",M58="NA",M58="",U58=""),"NA",U58/((Data!$D$18+((1-Data!$D$18)*Data!$D$14*M58))/((1-Data!$D$18)*Data!$D$14*1000))),"---")</f>
        <v>NA</v>
      </c>
      <c r="W58" s="376" t="str">
        <f>IF(Start!$C$18="x",IF(OR(G58="NA",U58="NA",G58="",U58=""),"NA",(U58 +($G58*(Data!$D$19-Data!$D$22)/(Data!$D$19*Data!$D$22)))),"---")</f>
        <v>NA</v>
      </c>
      <c r="X58" s="376" t="str">
        <f>IF(Start!$C$18="x",IF(OR(G58="NA",V58="NA",G58="",V58=""),"NA",(((Data!$D$22*Data!$D$18)*V58)+(Data!$D$19-Data!$D$22)*$G58)/((Data!$D$22*Data!$D$18)+Data!$D$19-Data!$D$22)),"---")</f>
        <v>NA</v>
      </c>
      <c r="Y58" s="376" t="str">
        <f>IF(Start!$C$18="x",IF(OR(W58="NA",W58="",M58="NA",M58=""),"NA",(W58/((Data!$D$23+((1-Data!$D$23)*Data!$D$14*M58)) /((1-Data!$D$23)*Data!$D$14*1000)))),"---")</f>
        <v>NA</v>
      </c>
      <c r="Z58" s="376" t="str">
        <f>IF(Start!$C$18="x",IF(OR(Y58="NA",X58="NA"),"NA",IF(Y58&gt;X58, Y58, X58)),"---")</f>
        <v>NA</v>
      </c>
      <c r="AA58" s="461" t="str">
        <f>IF(Start!$C$18="x",IF(OR(Z58="NA",T58="NA"),"NA",Z58*T58/(1000000000)),"---")</f>
        <v>NA</v>
      </c>
      <c r="AB58" s="1057" t="str">
        <f>IF(Start!$C$18="x",IF(AA58 = "NA", "NA", AA58*(Data!$D$52*Data!$D$53*10000)),"---")</f>
        <v>NA</v>
      </c>
      <c r="AC58" s="375" t="str">
        <f>IF(Start!$C$18="x",IF(AB58="NA", "NA", AB58*Data!$D$54),"---")</f>
        <v>NA</v>
      </c>
      <c r="AD58" s="498" t="str">
        <f>IF(Start!$C$18="x",IF(AC58="NA","NA",AC58*Data!$D$41),"---")</f>
        <v>NA</v>
      </c>
      <c r="AE58" s="376" t="str">
        <f>IF(Start!$C$18="x",IF(AB58 = "NA", "NA", AB58/(Data!$D$53*3*Data!$D$48)*1000),"---")</f>
        <v>NA</v>
      </c>
      <c r="AF58" s="498" t="str">
        <f>IF(Start!$C$18="x",IF(AE58="NA","NA",AE58*Data!$D$46),"---")</f>
        <v>NA</v>
      </c>
      <c r="AG58" s="375">
        <f>IF(Start!$C$18="x",IF(OR($L58="NA",L58=""),"NA",($L58*(Data!$D$55^3.33)/(Data!$D$18^2))),"---")</f>
        <v>1.5478247496908089E-3</v>
      </c>
      <c r="AH58" s="376" t="str">
        <f>IF(Start!$C$18="x",IF(OR(F58="NA",F58="",P58="NA",P58=""),"NA",IF(100/Data!$D$10&gt;Data!$D$13,(F58*$P58),(F58*$P58)*Data!$D$13)),"---")</f>
        <v>NA</v>
      </c>
      <c r="AI58" s="489">
        <f>IF(Start!$C$18="x",IF(OR($N58="NA",$Q58="NA",$Q58=0,Q58="",N58=""),"NA",(1000*$N58/$Q58)),"---")</f>
        <v>6586353610291.8467</v>
      </c>
      <c r="AJ58" s="376">
        <f>IF(Start!$C$18="x",IF(OR(Q58 = "NA",Q58=0,N58 = "NA",N58="",Q58=""), "NA", IF($AG58="NA","NA",(3.1416*Data!$D$57*86400/($AG58*(Data!$D$55+(N58*Data!$D$19/(Q58*1000)))))^0.5)),"---")</f>
        <v>0.96975915360966203</v>
      </c>
      <c r="AK58" s="376" t="str">
        <f>IF(Start!$C$18="x",IF(OR(AH58 = "NA",AI58="NA",AI58=0,AI58="",AH58=""), "NA", AH58/AI58),"---")</f>
        <v>NA</v>
      </c>
      <c r="AL58" s="376" t="str">
        <f>IF(Start!$C$18="x",IF(OR(AK58 ="NA",AK58="",AJ58= "NA",R58="NA",R58=0),"NA",(2*AK58)/(1000*(1/$R58+AJ58))),"---")</f>
        <v>NA</v>
      </c>
      <c r="AM58" s="376" t="str">
        <f>IF(Start!$C$18="x",IF(AL58 = "NA", "NA", AL58*(Data!$D$52*Data!$D$53*10000)),"---")</f>
        <v>NA</v>
      </c>
      <c r="AN58" s="376" t="str">
        <f>IF(Start!$C$18="x",IF(AM58 = "NA", "NA", AM58*(Data!$D$54)),"---")</f>
        <v>NA</v>
      </c>
      <c r="AO58" s="498" t="str">
        <f>IF(Start!$C$18="x",IF(AN58="NA","NA",AN58*Data!$D$41),"---")</f>
        <v>NA</v>
      </c>
      <c r="AP58" s="376">
        <f>IF(Start!$C$18="x",IF(OR(Q58=0,N58="NA",N58="",AG58="NA",AG58="",AG58=0,Q58="",Q58="NA"),"NA", (3.1416*Data!$D$56*86400/($AG58*(Data!$D$55+(N58*Data!$D$19/(Q58*1000)))))^0.5),"---")</f>
        <v>0.96975915360966203</v>
      </c>
      <c r="AQ58" s="376" t="str">
        <f>IF(Start!$C$18="x",IF(OR(AH58="NA",AI58="NA",AI58="",AI58=0,AH58=""),"NA", AH58/AI58),"---")</f>
        <v>NA</v>
      </c>
      <c r="AR58" s="376" t="str">
        <f>IF(Start!$C$18="x",IF(OR(AQ58="NA",AP58="NA",$R58="NA",R58=0,R58=""),"NA",(2*AQ58)/(1000*(1/$R58+AP58))),"---")</f>
        <v>NA</v>
      </c>
      <c r="AS58" s="376" t="str">
        <f>IF(Start!$C$18="x",IF(AR58 = "NA", "NA", AR58*(Data!$D$52*Data!$D$53*10000)),"---")</f>
        <v>NA</v>
      </c>
      <c r="AT58" s="376" t="str">
        <f>IF(Start!$C$18="x",IF(AS58 = "NA", "NA", (AS58*1000)/(Data!$D$48*3*Data!$D$53)),"---")</f>
        <v>NA</v>
      </c>
      <c r="AU58" s="498" t="str">
        <f>IF(Start!$C$18="x",IF(AT58="NA","NA",AT58*Data!$D$47),"---")</f>
        <v>NA</v>
      </c>
      <c r="AV58" s="283" t="str">
        <f>IF(Start!$C$18="x",(IF(AND(F58="",G58= "",G58&lt;&gt;"NA"),"",IF(OR(AD58="NA",I58="NA",I58=0),"NA",(AD58/I58)))),"Not Req.")</f>
        <v/>
      </c>
      <c r="AW58" s="284" t="str">
        <f>IF(Start!$C$18="x",(IF(AND(F58="",G58= "",G58&lt;&gt;"NA"),"",IF(OR(AF58="NA",I58="NA",I58=0),"NA",(AF58/I58)))),"Not Req.")</f>
        <v/>
      </c>
      <c r="AX58" s="284" t="str">
        <f>IF(Start!$C$18="x",(IF(F58 ="","",IF(OR(AO58="NA",I58="NA",I58=0),"NA",(AO58/I58)))),"Not Req.")</f>
        <v/>
      </c>
      <c r="AY58" s="344" t="str">
        <f>IF(Start!$C$18="x",(IF(F58 ="","",IF(OR(AU58="NA",I58="NA",I58=0),"NA",(AU58/I58)))),"Not Req.")</f>
        <v/>
      </c>
      <c r="AZ58" s="208"/>
    </row>
    <row r="59" spans="1:52" s="23" customFormat="1" x14ac:dyDescent="0.25">
      <c r="A59" s="405" t="s">
        <v>377</v>
      </c>
      <c r="B59" s="347" t="str">
        <f>IF(Start!$C$18="x",IF(AND(OR(F59="",F59="NA"),OR(G59="",G59="NA")),"",IF(I59="NA","NA",IF(AND(I59="",K59="--"),"NA",IF(AD59="NA","Missing Data",IF(I59="","No Criteria",IF(AD59&gt;=I59,"Needed","No")))))),"---")</f>
        <v/>
      </c>
      <c r="C59" s="501" t="str">
        <f>IF(Start!$C$18="x",IF(AND(OR(F59="",F59="NA"),OR(G59="",G59="NA")),"",IF(I59="NA","NA",IF(AND(I59="",K59="--"),"NA",IF(AF59="NA","Missing Data",IF(I59="","No Criteria",IF(AF59&gt;=I59,"Needed","No")))))),"---")</f>
        <v/>
      </c>
      <c r="D59" s="347" t="str">
        <f>IF(Start!$C$18="x",IF(AND(OR(F59="",F59="NA"),OR(G59="",G59="NA")),"",IF(I59="NA","NA",IF(AND(I59="",K59="--"),"NA",IF(AO59="NA","Missing Data",IF(I59="","No Criteria",IF(AO59&gt;=I59,"Needed","No")))))),"---")</f>
        <v/>
      </c>
      <c r="E59" s="401" t="str">
        <f>IF(Start!$C$18="x",IF(AND(OR(F59="",F59="NA"),OR(G59="",G59="NA")),"",IF(I59="NA","NA",IF(AND(I59="",K59="--"),"NA",IF(AU59="NA","Missing Data",IF(I59="","No Criteria",IF(AU59&gt;=I59,"Needed","No")))))),"---")</f>
        <v/>
      </c>
      <c r="F59" s="431" t="str">
        <f>IF(TRUE=ISBLANK(ChemData!B59),"",(ChemData!B59))</f>
        <v/>
      </c>
      <c r="G59" s="432" t="str">
        <f>IF(TRUE=ISBLANK(ChemData!C59),"",(ChemData!C59))</f>
        <v/>
      </c>
      <c r="H59" s="433" t="str">
        <f>IF(TRUE=ISBLANK(ChemData!D59),"",(ChemData!D59))</f>
        <v/>
      </c>
      <c r="I59" s="919" t="str">
        <f>IF(TRUE=ISBLANK(ChemData!K59),"",(ChemData!K59))</f>
        <v>NA</v>
      </c>
      <c r="J59" s="290">
        <f>IF(TRUE=ISBLANK(ChemData!M59),"",(ChemData!M59))</f>
        <v>154.19999999999999</v>
      </c>
      <c r="K59" s="290">
        <f>IF(TRUE=ISBLANK(ChemData!N59),"",(ChemData!N59))</f>
        <v>2.9999999999999997E-4</v>
      </c>
      <c r="L59" s="290">
        <f>IF(TRUE=ISBLANK(ChemData!O59),"",(ChemData!O59))</f>
        <v>4.0399999999999998E-2</v>
      </c>
      <c r="M59" s="290">
        <f>IF(TRUE=ISBLANK(ChemData!Q59),"",(ChemData!Q59))</f>
        <v>114.13173484456048</v>
      </c>
      <c r="N59" s="290">
        <f>IF(TRUE=ISBLANK(ChemData!R59),"",(ChemData!R59))</f>
        <v>114.13173484456048</v>
      </c>
      <c r="O59" s="290">
        <f>IF(TRUE=ISBLANK(ChemData!S59),"",(ChemData!S59))</f>
        <v>1</v>
      </c>
      <c r="P59" s="291">
        <f>IF(TRUE=ISBLANK(ChemData!T59),"",(ChemData!T59))</f>
        <v>1</v>
      </c>
      <c r="Q59" s="375">
        <f>IF(Start!$C$18="x",IF(OR(K59="NA",K59="",K59="--"),"NA",(K59*1000000/82.1/Data!$D$50)),"---")</f>
        <v>1.1787356096027662E-2</v>
      </c>
      <c r="R59" s="376">
        <f>IF(Start!$C$18="x",IF(OR(J59="NA",J59=0,J59=""),"NA",(0.32*(Data!$D$48+Data!$D$49)*(18/J59)^0.5)),"---")</f>
        <v>0.28152779406780576</v>
      </c>
      <c r="S59" s="376">
        <f>IF(Start!$C$18="x",IF(OR(J59="NA",J59= 0,J59=""),"NA",(0.0065*((Data!$D$49^0.969)/(Data!$D$51^0.673))*(32/J59)^0.5*EXP(0.526*Data!$D$48^-1.9))),"---")</f>
        <v>5.9338346050456445E-4</v>
      </c>
      <c r="T59" s="377">
        <f>IF(Start!$C$18="x",IF(OR(S59="NA",R59="NA",R59=0,Q59="NA",S59=0,Q59=0),"NA",(1/(1/S59+(1/(R59*Q59))))),"---")</f>
        <v>5.0337393371467014E-4</v>
      </c>
      <c r="U59" s="375" t="str">
        <f>IF(Start!$C$18="x",IF(OR(F59="NA",F59="",O59="",O59="NA"),"NA",(F59*$O59)),"---")</f>
        <v>NA</v>
      </c>
      <c r="V59" s="376" t="str">
        <f>IF(Start!$C$18="x",IF(OR(U59="NA",M59="NA",M59="",U59=""),"NA",U59/((Data!$D$18+((1-Data!$D$18)*Data!$D$14*M59))/((1-Data!$D$18)*Data!$D$14*1000))),"---")</f>
        <v>NA</v>
      </c>
      <c r="W59" s="376" t="str">
        <f>IF(Start!$C$18="x",IF(OR(G59="NA",U59="NA",G59="",U59=""),"NA",(U59 +($G59*(Data!$D$19-Data!$D$22)/(Data!$D$19*Data!$D$22)))),"---")</f>
        <v>NA</v>
      </c>
      <c r="X59" s="376" t="str">
        <f>IF(Start!$C$18="x",IF(OR(G59="NA",V59="NA",G59="",V59=""),"NA",(((Data!$D$22*Data!$D$18)*V59)+(Data!$D$19-Data!$D$22)*$G59)/((Data!$D$22*Data!$D$18)+Data!$D$19-Data!$D$22)),"---")</f>
        <v>NA</v>
      </c>
      <c r="Y59" s="376" t="str">
        <f>IF(Start!$C$18="x",IF(OR(W59="NA",W59="",M59="NA",M59=""),"NA",(W59/((Data!$D$23+((1-Data!$D$23)*Data!$D$14*M59)) /((1-Data!$D$23)*Data!$D$14*1000)))),"---")</f>
        <v>NA</v>
      </c>
      <c r="Z59" s="376" t="str">
        <f>IF(Start!$C$18="x",IF(OR(Y59="NA",X59="NA"),"NA",IF(Y59&gt;X59, Y59, X59)),"---")</f>
        <v>NA</v>
      </c>
      <c r="AA59" s="461" t="str">
        <f>IF(Start!$C$18="x",IF(OR(Z59="NA",T59="NA"),"NA",Z59*T59/(1000000000)),"---")</f>
        <v>NA</v>
      </c>
      <c r="AB59" s="1057" t="str">
        <f>IF(Start!$C$18="x",IF(AA59 = "NA", "NA", AA59*(Data!$D$52*Data!$D$53*10000)),"---")</f>
        <v>NA</v>
      </c>
      <c r="AC59" s="375" t="str">
        <f>IF(Start!$C$18="x",IF(AB59="NA", "NA", AB59*Data!$D$54),"---")</f>
        <v>NA</v>
      </c>
      <c r="AD59" s="498" t="str">
        <f>IF(Start!$C$18="x",IF(AC59="NA","NA",AC59*Data!$D$41),"---")</f>
        <v>NA</v>
      </c>
      <c r="AE59" s="376" t="str">
        <f>IF(Start!$C$18="x",IF(AB59 = "NA", "NA", AB59/(Data!$D$53*3*Data!$D$48)*1000),"---")</f>
        <v>NA</v>
      </c>
      <c r="AF59" s="498" t="str">
        <f>IF(Start!$C$18="x",IF(AE59="NA","NA",AE59*Data!$D$46),"---")</f>
        <v>NA</v>
      </c>
      <c r="AG59" s="375">
        <f>IF(Start!$C$18="x",IF(OR($L59="NA",L59=""),"NA",($L59*(Data!$D$55^3.33)/(Data!$D$18^2))),"---")</f>
        <v>4.1157474411753967E-4</v>
      </c>
      <c r="AH59" s="376" t="str">
        <f>IF(Start!$C$18="x",IF(OR(F59="NA",F59="",P59="NA",P59=""),"NA",IF(100/Data!$D$10&gt;Data!$D$13,(F59*$P59),(F59*$P59)*Data!$D$13)),"---")</f>
        <v>NA</v>
      </c>
      <c r="AI59" s="489">
        <f>IF(Start!$C$18="x",IF(OR($N59="NA",$Q59="NA",$Q59=0,Q59="",N59=""),"NA",(1000*$N59/$Q59)),"---")</f>
        <v>9682555.9450963624</v>
      </c>
      <c r="AJ59" s="376">
        <f>IF(Start!$C$18="x",IF(OR(Q59 = "NA",Q59=0,N59 = "NA",N59="",Q59=""), "NA", IF($AG59="NA","NA",(3.1416*Data!$D$57*86400/($AG59*(Data!$D$55+(N59*Data!$D$19/(Q59*1000)))))^0.5)),"---")</f>
        <v>1551.0387787016271</v>
      </c>
      <c r="AK59" s="376" t="str">
        <f>IF(Start!$C$18="x",IF(OR(AH59 = "NA",AI59="NA",AI59=0,AI59="",AH59=""), "NA", AH59/AI59),"---")</f>
        <v>NA</v>
      </c>
      <c r="AL59" s="376" t="str">
        <f>IF(Start!$C$18="x",IF(OR(AK59 ="NA",AK59="",AJ59= "NA",R59="NA",R59=0),"NA",(2*AK59)/(1000*(1/$R59+AJ59))),"---")</f>
        <v>NA</v>
      </c>
      <c r="AM59" s="376" t="str">
        <f>IF(Start!$C$18="x",IF(AL59 = "NA", "NA", AL59*(Data!$D$52*Data!$D$53*10000)),"---")</f>
        <v>NA</v>
      </c>
      <c r="AN59" s="376" t="str">
        <f>IF(Start!$C$18="x",IF(AM59 = "NA", "NA", AM59*(Data!$D$54)),"---")</f>
        <v>NA</v>
      </c>
      <c r="AO59" s="498" t="str">
        <f>IF(Start!$C$18="x",IF(AN59="NA","NA",AN59*Data!$D$41),"---")</f>
        <v>NA</v>
      </c>
      <c r="AP59" s="376">
        <f>IF(Start!$C$18="x",IF(OR(Q59=0,N59="NA",N59="",AG59="NA",AG59="",AG59=0,Q59="",Q59="NA"),"NA", (3.1416*Data!$D$56*86400/($AG59*(Data!$D$55+(N59*Data!$D$19/(Q59*1000)))))^0.5),"---")</f>
        <v>1551.0387787016271</v>
      </c>
      <c r="AQ59" s="376" t="str">
        <f>IF(Start!$C$18="x",IF(OR(AH59="NA",AI59="NA",AI59="",AI59=0,AH59=""),"NA", AH59/AI59),"---")</f>
        <v>NA</v>
      </c>
      <c r="AR59" s="376" t="str">
        <f>IF(Start!$C$18="x",IF(OR(AQ59="NA",AP59="NA",$R59="NA",R59=0,R59=""),"NA",(2*AQ59)/(1000*(1/$R59+AP59))),"---")</f>
        <v>NA</v>
      </c>
      <c r="AS59" s="376" t="str">
        <f>IF(Start!$C$18="x",IF(AR59 = "NA", "NA", AR59*(Data!$D$52*Data!$D$53*10000)),"---")</f>
        <v>NA</v>
      </c>
      <c r="AT59" s="376" t="str">
        <f>IF(Start!$C$18="x",IF(AS59 = "NA", "NA", (AS59*1000)/(Data!$D$48*3*Data!$D$53)),"---")</f>
        <v>NA</v>
      </c>
      <c r="AU59" s="498" t="str">
        <f>IF(Start!$C$18="x",IF(AT59="NA","NA",AT59*Data!$D$47),"---")</f>
        <v>NA</v>
      </c>
      <c r="AV59" s="283" t="str">
        <f>IF(Start!$C$18="x",(IF(AND(F59="",G59= "",G59&lt;&gt;"NA"),"",IF(OR(AD59="NA",I59="NA",I59=0),"NA",(AD59/I59)))),"Not Req.")</f>
        <v/>
      </c>
      <c r="AW59" s="284" t="str">
        <f>IF(Start!$C$18="x",(IF(AND(F59="",G59= "",G59&lt;&gt;"NA"),"",IF(OR(AF59="NA",I59="NA",I59=0),"NA",(AF59/I59)))),"Not Req.")</f>
        <v/>
      </c>
      <c r="AX59" s="284" t="str">
        <f>IF(Start!$C$18="x",(IF(F59 ="","",IF(OR(AO59="NA",I59="NA",I59=0),"NA",(AO59/I59)))),"Not Req.")</f>
        <v/>
      </c>
      <c r="AY59" s="344" t="str">
        <f>IF(Start!$C$18="x",(IF(F59 ="","",IF(OR(AU59="NA",I59="NA",I59=0),"NA",(AU59/I59)))),"Not Req.")</f>
        <v/>
      </c>
      <c r="AZ59" s="208"/>
    </row>
    <row r="60" spans="1:52" s="23" customFormat="1" x14ac:dyDescent="0.25">
      <c r="A60" s="405" t="s">
        <v>378</v>
      </c>
      <c r="B60" s="347" t="str">
        <f>IF(Start!$C$18="x",IF(AND(OR(F60="",F60="NA"),OR(G60="",G60="NA")),"",IF(I60="NA","NA",IF(AND(I60="",K60="--"),"NA",IF(AD60="NA","Missing Data",IF(I60="","No Criteria",IF(AD60&gt;=I60,"Needed","No")))))),"---")</f>
        <v/>
      </c>
      <c r="C60" s="501" t="str">
        <f>IF(Start!$C$18="x",IF(AND(OR(F60="",F60="NA"),OR(G60="",G60="NA")),"",IF(I60="NA","NA",IF(AND(I60="",K60="--"),"NA",IF(AF60="NA","Missing Data",IF(I60="","No Criteria",IF(AF60&gt;=I60,"Needed","No")))))),"---")</f>
        <v/>
      </c>
      <c r="D60" s="347" t="str">
        <f>IF(Start!$C$18="x",IF(AND(OR(F60="",F60="NA"),OR(G60="",G60="NA")),"",IF(I60="NA","NA",IF(AND(I60="",K60="--"),"NA",IF(AO60="NA","Missing Data",IF(I60="","No Criteria",IF(AO60&gt;=I60,"Needed","No")))))),"---")</f>
        <v/>
      </c>
      <c r="E60" s="401" t="str">
        <f>IF(Start!$C$18="x",IF(AND(OR(F60="",F60="NA"),OR(G60="",G60="NA")),"",IF(I60="NA","NA",IF(AND(I60="",K60="--"),"NA",IF(AU60="NA","Missing Data",IF(I60="","No Criteria",IF(AU60&gt;=I60,"Needed","No")))))),"---")</f>
        <v/>
      </c>
      <c r="F60" s="431" t="str">
        <f>IF(TRUE=ISBLANK(ChemData!B60),"",(ChemData!B60))</f>
        <v/>
      </c>
      <c r="G60" s="432" t="str">
        <f>IF(TRUE=ISBLANK(ChemData!C60),"",(ChemData!C60))</f>
        <v/>
      </c>
      <c r="H60" s="433" t="str">
        <f>IF(TRUE=ISBLANK(ChemData!D60),"",(ChemData!D60))</f>
        <v/>
      </c>
      <c r="I60" s="919" t="str">
        <f>IF(TRUE=ISBLANK(ChemData!K60),"",(ChemData!K60))</f>
        <v>NA</v>
      </c>
      <c r="J60" s="290">
        <f>IF(TRUE=ISBLANK(ChemData!M60),"",(ChemData!M60))</f>
        <v>167.2</v>
      </c>
      <c r="K60" s="290">
        <f>IF(TRUE=ISBLANK(ChemData!N60),"",(ChemData!N60))</f>
        <v>1.5300000000000001E-8</v>
      </c>
      <c r="L60" s="290">
        <f>IF(TRUE=ISBLANK(ChemData!O60),"",(ChemData!O60))</f>
        <v>3.9E-2</v>
      </c>
      <c r="M60" s="290">
        <f>IF(TRUE=ISBLANK(ChemData!Q60),"",(ChemData!Q60))</f>
        <v>72.012256338441432</v>
      </c>
      <c r="N60" s="290">
        <f>IF(TRUE=ISBLANK(ChemData!R60),"",(ChemData!R60))</f>
        <v>72.012256338441432</v>
      </c>
      <c r="O60" s="290">
        <f>IF(TRUE=ISBLANK(ChemData!S60),"",(ChemData!S60))</f>
        <v>1</v>
      </c>
      <c r="P60" s="291">
        <f>IF(TRUE=ISBLANK(ChemData!T60),"",(ChemData!T60))</f>
        <v>1</v>
      </c>
      <c r="Q60" s="375">
        <f>IF(Start!$C$18="x",IF(OR(K60="NA",K60="",K60="--"),"NA",(K60*1000000/82.1/Data!$D$50)),"---")</f>
        <v>6.011551608974108E-7</v>
      </c>
      <c r="R60" s="376">
        <f>IF(Start!$C$18="x",IF(OR(J60="NA",J60=0,J60=""),"NA",(0.32*(Data!$D$48+Data!$D$49)*(18/J60)^0.5)),"---")</f>
        <v>0.2703617990625608</v>
      </c>
      <c r="S60" s="376">
        <f>IF(Start!$C$18="x",IF(OR(J60="NA",J60= 0,J60=""),"NA",(0.0065*((Data!$D$49^0.969)/(Data!$D$51^0.673))*(32/J60)^0.5*EXP(0.526*Data!$D$48^-1.9))),"---")</f>
        <v>5.6984860215024825E-4</v>
      </c>
      <c r="T60" s="377">
        <f>IF(Start!$C$18="x",IF(OR(S60="NA",R60="NA",R60=0,Q60="NA",S60=0,Q60=0),"NA",(1/(1/S60+(1/(R60*Q60))))),"---")</f>
        <v>1.6248304820717007E-7</v>
      </c>
      <c r="U60" s="375" t="str">
        <f>IF(Start!$C$18="x",IF(OR(F60="NA",F60="",O60="",O60="NA"),"NA",(F60*$O60)),"---")</f>
        <v>NA</v>
      </c>
      <c r="V60" s="376" t="str">
        <f>IF(Start!$C$18="x",IF(OR(U60="NA",M60="NA",M60="",U60=""),"NA",U60/((Data!$D$18+((1-Data!$D$18)*Data!$D$14*M60))/((1-Data!$D$18)*Data!$D$14*1000))),"---")</f>
        <v>NA</v>
      </c>
      <c r="W60" s="376" t="str">
        <f>IF(Start!$C$18="x",IF(OR(G60="NA",U60="NA",G60="",U60=""),"NA",(U60 +($G60*(Data!$D$19-Data!$D$22)/(Data!$D$19*Data!$D$22)))),"---")</f>
        <v>NA</v>
      </c>
      <c r="X60" s="376" t="str">
        <f>IF(Start!$C$18="x",IF(OR(G60="NA",V60="NA",G60="",V60=""),"NA",(((Data!$D$22*Data!$D$18)*V60)+(Data!$D$19-Data!$D$22)*$G60)/((Data!$D$22*Data!$D$18)+Data!$D$19-Data!$D$22)),"---")</f>
        <v>NA</v>
      </c>
      <c r="Y60" s="376" t="str">
        <f>IF(Start!$C$18="x",IF(OR(W60="NA",W60="",M60="NA",M60=""),"NA",(W60/((Data!$D$23+((1-Data!$D$23)*Data!$D$14*M60)) /((1-Data!$D$23)*Data!$D$14*1000)))),"---")</f>
        <v>NA</v>
      </c>
      <c r="Z60" s="376" t="str">
        <f>IF(Start!$C$18="x",IF(OR(Y60="NA",X60="NA"),"NA",IF(Y60&gt;X60, Y60, X60)),"---")</f>
        <v>NA</v>
      </c>
      <c r="AA60" s="461" t="str">
        <f>IF(Start!$C$18="x",IF(OR(Z60="NA",T60="NA"),"NA",Z60*T60/(1000000000)),"---")</f>
        <v>NA</v>
      </c>
      <c r="AB60" s="1057" t="str">
        <f>IF(Start!$C$18="x",IF(AA60 = "NA", "NA", AA60*(Data!$D$52*Data!$D$53*10000)),"---")</f>
        <v>NA</v>
      </c>
      <c r="AC60" s="375" t="str">
        <f>IF(Start!$C$18="x",IF(AB60="NA", "NA", AB60*Data!$D$54),"---")</f>
        <v>NA</v>
      </c>
      <c r="AD60" s="498" t="str">
        <f>IF(Start!$C$18="x",IF(AC60="NA","NA",AC60*Data!$D$41),"---")</f>
        <v>NA</v>
      </c>
      <c r="AE60" s="376" t="str">
        <f>IF(Start!$C$18="x",IF(AB60 = "NA", "NA", AB60/(Data!$D$53*3*Data!$D$48)*1000),"---")</f>
        <v>NA</v>
      </c>
      <c r="AF60" s="498" t="str">
        <f>IF(Start!$C$18="x",IF(AE60="NA","NA",AE60*Data!$D$46),"---")</f>
        <v>NA</v>
      </c>
      <c r="AG60" s="375">
        <f>IF(Start!$C$18="x",IF(OR($L60="NA",L60=""),"NA",($L60*(Data!$D$55^3.33)/(Data!$D$18^2))),"---")</f>
        <v>3.9731225298475368E-4</v>
      </c>
      <c r="AH60" s="376" t="str">
        <f>IF(Start!$C$18="x",IF(OR(F60="NA",F60="",P60="NA",P60=""),"NA",IF(100/Data!$D$10&gt;Data!$D$13,(F60*$P60),(F60*$P60)*Data!$D$13)),"---")</f>
        <v>NA</v>
      </c>
      <c r="AI60" s="489">
        <f>IF(Start!$C$18="x",IF(OR($N60="NA",$Q60="NA",$Q60=0,Q60="",N60=""),"NA",(1000*$N60/$Q60)),"---")</f>
        <v>119789799743.11588</v>
      </c>
      <c r="AJ60" s="376">
        <f>IF(Start!$C$18="x",IF(OR(Q60 = "NA",Q60=0,N60 = "NA",N60="",Q60=""), "NA", IF($AG60="NA","NA",(3.1416*Data!$D$57*86400/($AG60*(Data!$D$55+(N60*Data!$D$19/(Q60*1000)))))^0.5)),"---")</f>
        <v>14.192908519094505</v>
      </c>
      <c r="AK60" s="376" t="str">
        <f>IF(Start!$C$18="x",IF(OR(AH60 = "NA",AI60="NA",AI60=0,AI60="",AH60=""), "NA", AH60/AI60),"---")</f>
        <v>NA</v>
      </c>
      <c r="AL60" s="376" t="str">
        <f>IF(Start!$C$18="x",IF(OR(AK60 ="NA",AK60="",AJ60= "NA",R60="NA",R60=0),"NA",(2*AK60)/(1000*(1/$R60+AJ60))),"---")</f>
        <v>NA</v>
      </c>
      <c r="AM60" s="376" t="str">
        <f>IF(Start!$C$18="x",IF(AL60 = "NA", "NA", AL60*(Data!$D$52*Data!$D$53*10000)),"---")</f>
        <v>NA</v>
      </c>
      <c r="AN60" s="376" t="str">
        <f>IF(Start!$C$18="x",IF(AM60 = "NA", "NA", AM60*(Data!$D$54)),"---")</f>
        <v>NA</v>
      </c>
      <c r="AO60" s="498" t="str">
        <f>IF(Start!$C$18="x",IF(AN60="NA","NA",AN60*Data!$D$41),"---")</f>
        <v>NA</v>
      </c>
      <c r="AP60" s="376">
        <f>IF(Start!$C$18="x",IF(OR(Q60=0,N60="NA",N60="",AG60="NA",AG60="",AG60=0,Q60="",Q60="NA"),"NA", (3.1416*Data!$D$56*86400/($AG60*(Data!$D$55+(N60*Data!$D$19/(Q60*1000)))))^0.5),"---")</f>
        <v>14.192908519094505</v>
      </c>
      <c r="AQ60" s="376" t="str">
        <f>IF(Start!$C$18="x",IF(OR(AH60="NA",AI60="NA",AI60="",AI60=0,AH60=""),"NA", AH60/AI60),"---")</f>
        <v>NA</v>
      </c>
      <c r="AR60" s="376" t="str">
        <f>IF(Start!$C$18="x",IF(OR(AQ60="NA",AP60="NA",$R60="NA",R60=0,R60=""),"NA",(2*AQ60)/(1000*(1/$R60+AP60))),"---")</f>
        <v>NA</v>
      </c>
      <c r="AS60" s="376" t="str">
        <f>IF(Start!$C$18="x",IF(AR60 = "NA", "NA", AR60*(Data!$D$52*Data!$D$53*10000)),"---")</f>
        <v>NA</v>
      </c>
      <c r="AT60" s="376" t="str">
        <f>IF(Start!$C$18="x",IF(AS60 = "NA", "NA", (AS60*1000)/(Data!$D$48*3*Data!$D$53)),"---")</f>
        <v>NA</v>
      </c>
      <c r="AU60" s="498" t="str">
        <f>IF(Start!$C$18="x",IF(AT60="NA","NA",AT60*Data!$D$47),"---")</f>
        <v>NA</v>
      </c>
      <c r="AV60" s="283" t="str">
        <f>IF(Start!$C$18="x",(IF(AND(F60="",G60= "",G60&lt;&gt;"NA"),"",IF(OR(AD60="NA",I60="NA",I60=0),"NA",(AD60/I60)))),"Not Req.")</f>
        <v/>
      </c>
      <c r="AW60" s="284" t="str">
        <f>IF(Start!$C$18="x",(IF(AND(F60="",G60= "",G60&lt;&gt;"NA"),"",IF(OR(AF60="NA",I60="NA",I60=0),"NA",(AF60/I60)))),"Not Req.")</f>
        <v/>
      </c>
      <c r="AX60" s="284" t="str">
        <f>IF(Start!$C$18="x",(IF(F60 ="","",IF(OR(AO60="NA",I60="NA",I60=0),"NA",(AO60/I60)))),"Not Req.")</f>
        <v/>
      </c>
      <c r="AY60" s="344" t="str">
        <f>IF(Start!$C$18="x",(IF(F60 ="","",IF(OR(AU60="NA",I60="NA",I60=0),"NA",(AU60/I60)))),"Not Req.")</f>
        <v/>
      </c>
      <c r="AZ60" s="208"/>
    </row>
    <row r="61" spans="1:52" s="23" customFormat="1" x14ac:dyDescent="0.25">
      <c r="A61" s="405" t="s">
        <v>379</v>
      </c>
      <c r="B61" s="347" t="str">
        <f>IF(Start!$C$18="x",IF(AND(OR(F61="",F61="NA"),OR(G61="",G61="NA")),"",IF(I61="NA","NA",IF(AND(I61="",K61="--"),"NA",IF(AD61="NA","Missing Data",IF(I61="","No Criteria",IF(AD61&gt;=I61,"Needed","No")))))),"---")</f>
        <v/>
      </c>
      <c r="C61" s="501" t="str">
        <f>IF(Start!$C$18="x",IF(AND(OR(F61="",F61="NA"),OR(G61="",G61="NA")),"",IF(I61="NA","NA",IF(AND(I61="",K61="--"),"NA",IF(AF61="NA","Missing Data",IF(I61="","No Criteria",IF(AF61&gt;=I61,"Needed","No")))))),"---")</f>
        <v/>
      </c>
      <c r="D61" s="347" t="str">
        <f>IF(Start!$C$18="x",IF(AND(OR(F61="",F61="NA"),OR(G61="",G61="NA")),"",IF(I61="NA","NA",IF(AND(I61="",K61="--"),"NA",IF(AO61="NA","Missing Data",IF(I61="","No Criteria",IF(AO61&gt;=I61,"Needed","No")))))),"---")</f>
        <v/>
      </c>
      <c r="E61" s="401" t="str">
        <f>IF(Start!$C$18="x",IF(AND(OR(F61="",F61="NA"),OR(G61="",G61="NA")),"",IF(I61="NA","NA",IF(AND(I61="",K61="--"),"NA",IF(AU61="NA","Missing Data",IF(I61="","No Criteria",IF(AU61&gt;=I61,"Needed","No")))))),"---")</f>
        <v/>
      </c>
      <c r="F61" s="431" t="str">
        <f>IF(TRUE=ISBLANK(ChemData!B61),"",(ChemData!B61))</f>
        <v/>
      </c>
      <c r="G61" s="432" t="str">
        <f>IF(TRUE=ISBLANK(ChemData!C61),"",(ChemData!C61))</f>
        <v/>
      </c>
      <c r="H61" s="433" t="str">
        <f>IF(TRUE=ISBLANK(ChemData!D61),"",(ChemData!D61))</f>
        <v/>
      </c>
      <c r="I61" s="919" t="str">
        <f>IF(TRUE=ISBLANK(ChemData!K61),"",(ChemData!K61))</f>
        <v>NA</v>
      </c>
      <c r="J61" s="290">
        <f>IF(TRUE=ISBLANK(ChemData!M61),"",(ChemData!M61))</f>
        <v>228.3</v>
      </c>
      <c r="K61" s="290">
        <f>IF(TRUE=ISBLANK(ChemData!N61),"",(ChemData!N61))</f>
        <v>9.4599999999999996E-5</v>
      </c>
      <c r="L61" s="290">
        <f>IF(TRUE=ISBLANK(ChemData!O61),"",(ChemData!O61))</f>
        <v>2.4799999999999999E-2</v>
      </c>
      <c r="M61" s="290">
        <f>IF(TRUE=ISBLANK(ChemData!Q61),"",(ChemData!Q61))</f>
        <v>9276.9756944408309</v>
      </c>
      <c r="N61" s="290">
        <f>IF(TRUE=ISBLANK(ChemData!R61),"",(ChemData!R61))</f>
        <v>9276.9756944408309</v>
      </c>
      <c r="O61" s="290">
        <f>IF(TRUE=ISBLANK(ChemData!S61),"",(ChemData!S61))</f>
        <v>1</v>
      </c>
      <c r="P61" s="291">
        <f>IF(TRUE=ISBLANK(ChemData!T61),"",(ChemData!T61))</f>
        <v>1</v>
      </c>
      <c r="Q61" s="375">
        <f>IF(Start!$C$18="x",IF(OR(K61="NA",K61="",K61="--"),"NA",(K61*1000000/82.1/Data!$D$50)),"---")</f>
        <v>3.7169462889473891E-3</v>
      </c>
      <c r="R61" s="376">
        <f>IF(Start!$C$18="x",IF(OR(J61="NA",J61=0,J61=""),"NA",(0.32*(Data!$D$48+Data!$D$49)*(18/J61)^0.5)),"---")</f>
        <v>0.23137184434324831</v>
      </c>
      <c r="S61" s="376">
        <f>IF(Start!$C$18="x",IF(OR(J61="NA",J61= 0,J61=""),"NA",(0.0065*((Data!$D$49^0.969)/(Data!$D$51^0.673))*(32/J61)^0.5*EXP(0.526*Data!$D$48^-1.9))),"---")</f>
        <v>4.8766845957189358E-4</v>
      </c>
      <c r="T61" s="377">
        <f>IF(Start!$C$18="x",IF(OR(S61="NA",R61="NA",R61=0,Q61="NA",S61=0,Q61=0),"NA",(1/(1/S61+(1/(R61*Q61))))),"---")</f>
        <v>3.1119990463403415E-4</v>
      </c>
      <c r="U61" s="375" t="str">
        <f>IF(Start!$C$18="x",IF(OR(F61="NA",F61="",O61="",O61="NA"),"NA",(F61*$O61)),"---")</f>
        <v>NA</v>
      </c>
      <c r="V61" s="376" t="str">
        <f>IF(Start!$C$18="x",IF(OR(U61="NA",M61="NA",M61="",U61=""),"NA",U61/((Data!$D$18+((1-Data!$D$18)*Data!$D$14*M61))/((1-Data!$D$18)*Data!$D$14*1000))),"---")</f>
        <v>NA</v>
      </c>
      <c r="W61" s="376" t="str">
        <f>IF(Start!$C$18="x",IF(OR(G61="NA",U61="NA",G61="",U61=""),"NA",(U61 +($G61*(Data!$D$19-Data!$D$22)/(Data!$D$19*Data!$D$22)))),"---")</f>
        <v>NA</v>
      </c>
      <c r="X61" s="376" t="str">
        <f>IF(Start!$C$18="x",IF(OR(G61="NA",V61="NA",G61="",V61=""),"NA",(((Data!$D$22*Data!$D$18)*V61)+(Data!$D$19-Data!$D$22)*$G61)/((Data!$D$22*Data!$D$18)+Data!$D$19-Data!$D$22)),"---")</f>
        <v>NA</v>
      </c>
      <c r="Y61" s="376" t="str">
        <f>IF(Start!$C$18="x",IF(OR(W61="NA",W61="",M61="NA",M61=""),"NA",(W61/((Data!$D$23+((1-Data!$D$23)*Data!$D$14*M61)) /((1-Data!$D$23)*Data!$D$14*1000)))),"---")</f>
        <v>NA</v>
      </c>
      <c r="Z61" s="376" t="str">
        <f>IF(Start!$C$18="x",IF(OR(Y61="NA",X61="NA"),"NA",IF(Y61&gt;X61, Y61, X61)),"---")</f>
        <v>NA</v>
      </c>
      <c r="AA61" s="461" t="str">
        <f>IF(Start!$C$18="x",IF(OR(Z61="NA",T61="NA"),"NA",Z61*T61/(1000000000)),"---")</f>
        <v>NA</v>
      </c>
      <c r="AB61" s="1057" t="str">
        <f>IF(Start!$C$18="x",IF(AA61 = "NA", "NA", AA61*(Data!$D$52*Data!$D$53*10000)),"---")</f>
        <v>NA</v>
      </c>
      <c r="AC61" s="375" t="str">
        <f>IF(Start!$C$18="x",IF(AB61="NA", "NA", AB61*Data!$D$54),"---")</f>
        <v>NA</v>
      </c>
      <c r="AD61" s="498" t="str">
        <f>IF(Start!$C$18="x",IF(AC61="NA","NA",AC61*Data!$D$41),"---")</f>
        <v>NA</v>
      </c>
      <c r="AE61" s="376" t="str">
        <f>IF(Start!$C$18="x",IF(AB61 = "NA", "NA", AB61/(Data!$D$53*3*Data!$D$48)*1000),"---")</f>
        <v>NA</v>
      </c>
      <c r="AF61" s="498" t="str">
        <f>IF(Start!$C$18="x",IF(AE61="NA","NA",AE61*Data!$D$46),"---")</f>
        <v>NA</v>
      </c>
      <c r="AG61" s="375">
        <f>IF(Start!$C$18="x",IF(OR($L61="NA",L61=""),"NA",($L61*(Data!$D$55^3.33)/(Data!$D$18^2))),"---")</f>
        <v>2.526498429236382E-4</v>
      </c>
      <c r="AH61" s="376" t="str">
        <f>IF(Start!$C$18="x",IF(OR(F61="NA",F61="",P61="NA",P61=""),"NA",IF(100/Data!$D$10&gt;Data!$D$13,(F61*$P61),(F61*$P61)*Data!$D$13)),"---")</f>
        <v>NA</v>
      </c>
      <c r="AI61" s="489">
        <f>IF(Start!$C$18="x",IF(OR($N61="NA",$Q61="NA",$Q61=0,Q61="",N61=""),"NA",(1000*$N61/$Q61)),"---")</f>
        <v>2495859496.8204393</v>
      </c>
      <c r="AJ61" s="376">
        <f>IF(Start!$C$18="x",IF(OR(Q61 = "NA",Q61=0,N61 = "NA",N61="",Q61=""), "NA", IF($AG61="NA","NA",(3.1416*Data!$D$57*86400/($AG61*(Data!$D$55+(N61*Data!$D$19/(Q61*1000)))))^0.5)),"---")</f>
        <v>123.30415159731808</v>
      </c>
      <c r="AK61" s="376" t="str">
        <f>IF(Start!$C$18="x",IF(OR(AH61 = "NA",AI61="NA",AI61=0,AI61="",AH61=""), "NA", AH61/AI61),"---")</f>
        <v>NA</v>
      </c>
      <c r="AL61" s="376" t="str">
        <f>IF(Start!$C$18="x",IF(OR(AK61 ="NA",AK61="",AJ61= "NA",R61="NA",R61=0),"NA",(2*AK61)/(1000*(1/$R61+AJ61))),"---")</f>
        <v>NA</v>
      </c>
      <c r="AM61" s="376" t="str">
        <f>IF(Start!$C$18="x",IF(AL61 = "NA", "NA", AL61*(Data!$D$52*Data!$D$53*10000)),"---")</f>
        <v>NA</v>
      </c>
      <c r="AN61" s="376" t="str">
        <f>IF(Start!$C$18="x",IF(AM61 = "NA", "NA", AM61*(Data!$D$54)),"---")</f>
        <v>NA</v>
      </c>
      <c r="AO61" s="498" t="str">
        <f>IF(Start!$C$18="x",IF(AN61="NA","NA",AN61*Data!$D$41),"---")</f>
        <v>NA</v>
      </c>
      <c r="AP61" s="376">
        <f>IF(Start!$C$18="x",IF(OR(Q61=0,N61="NA",N61="",AG61="NA",AG61="",AG61=0,Q61="",Q61="NA"),"NA", (3.1416*Data!$D$56*86400/($AG61*(Data!$D$55+(N61*Data!$D$19/(Q61*1000)))))^0.5),"---")</f>
        <v>123.30415159731808</v>
      </c>
      <c r="AQ61" s="376" t="str">
        <f>IF(Start!$C$18="x",IF(OR(AH61="NA",AI61="NA",AI61="",AI61=0,AH61=""),"NA", AH61/AI61),"---")</f>
        <v>NA</v>
      </c>
      <c r="AR61" s="376" t="str">
        <f>IF(Start!$C$18="x",IF(OR(AQ61="NA",AP61="NA",$R61="NA",R61=0,R61=""),"NA",(2*AQ61)/(1000*(1/$R61+AP61))),"---")</f>
        <v>NA</v>
      </c>
      <c r="AS61" s="376" t="str">
        <f>IF(Start!$C$18="x",IF(AR61 = "NA", "NA", AR61*(Data!$D$52*Data!$D$53*10000)),"---")</f>
        <v>NA</v>
      </c>
      <c r="AT61" s="376" t="str">
        <f>IF(Start!$C$18="x",IF(AS61 = "NA", "NA", (AS61*1000)/(Data!$D$48*3*Data!$D$53)),"---")</f>
        <v>NA</v>
      </c>
      <c r="AU61" s="498" t="str">
        <f>IF(Start!$C$18="x",IF(AT61="NA","NA",AT61*Data!$D$47),"---")</f>
        <v>NA</v>
      </c>
      <c r="AV61" s="283" t="str">
        <f>IF(Start!$C$18="x",(IF(AND(F61="",G61= "",G61&lt;&gt;"NA"),"",IF(OR(AD61="NA",I61="NA",I61=0),"NA",(AD61/I61)))),"Not Req.")</f>
        <v/>
      </c>
      <c r="AW61" s="284" t="str">
        <f>IF(Start!$C$18="x",(IF(AND(F61="",G61= "",G61&lt;&gt;"NA"),"",IF(OR(AF61="NA",I61="NA",I61=0),"NA",(AF61/I61)))),"Not Req.")</f>
        <v/>
      </c>
      <c r="AX61" s="284" t="str">
        <f>IF(Start!$C$18="x",(IF(F61 ="","",IF(OR(AO61="NA",I61="NA",I61=0),"NA",(AO61/I61)))),"Not Req.")</f>
        <v/>
      </c>
      <c r="AY61" s="344" t="str">
        <f>IF(Start!$C$18="x",(IF(F61 ="","",IF(OR(AU61="NA",I61="NA",I61=0),"NA",(AU61/I61)))),"Not Req.")</f>
        <v/>
      </c>
      <c r="AZ61" s="208"/>
    </row>
    <row r="62" spans="1:52" s="23" customFormat="1" x14ac:dyDescent="0.25">
      <c r="A62" s="405" t="s">
        <v>380</v>
      </c>
      <c r="B62" s="347" t="str">
        <f>IF(Start!$C$18="x",IF(AND(OR(F62="",F62="NA"),OR(G62="",G62="NA")),"",IF(I62="NA","NA",IF(AND(I62="",K62="--"),"NA",IF(AD62="NA","Missing Data",IF(I62="","No Criteria",IF(AD62&gt;=I62,"Needed","No")))))),"---")</f>
        <v/>
      </c>
      <c r="C62" s="501" t="str">
        <f>IF(Start!$C$18="x",IF(AND(OR(F62="",F62="NA"),OR(G62="",G62="NA")),"",IF(I62="NA","NA",IF(AND(I62="",K62="--"),"NA",IF(AF62="NA","Missing Data",IF(I62="","No Criteria",IF(AF62&gt;=I62,"Needed","No")))))),"---")</f>
        <v/>
      </c>
      <c r="D62" s="347" t="str">
        <f>IF(Start!$C$18="x",IF(AND(OR(F62="",F62="NA"),OR(G62="",G62="NA")),"",IF(I62="NA","NA",IF(AND(I62="",K62="--"),"NA",IF(AO62="NA","Missing Data",IF(I62="","No Criteria",IF(AO62&gt;=I62,"Needed","No")))))),"---")</f>
        <v/>
      </c>
      <c r="E62" s="401" t="str">
        <f>IF(Start!$C$18="x",IF(AND(OR(F62="",F62="NA"),OR(G62="",G62="NA")),"",IF(I62="NA","NA",IF(AND(I62="",K62="--"),"NA",IF(AU62="NA","Missing Data",IF(I62="","No Criteria",IF(AU62&gt;=I62,"Needed","No")))))),"---")</f>
        <v/>
      </c>
      <c r="F62" s="431" t="str">
        <f>IF(TRUE=ISBLANK(ChemData!B62),"",(ChemData!B62))</f>
        <v/>
      </c>
      <c r="G62" s="432" t="str">
        <f>IF(TRUE=ISBLANK(ChemData!C62),"",(ChemData!C62))</f>
        <v/>
      </c>
      <c r="H62" s="433" t="str">
        <f>IF(TRUE=ISBLANK(ChemData!D62),"",(ChemData!D62))</f>
        <v/>
      </c>
      <c r="I62" s="919" t="str">
        <f>IF(TRUE=ISBLANK(ChemData!K62),"",(ChemData!K62))</f>
        <v>NA</v>
      </c>
      <c r="J62" s="290">
        <f>IF(TRUE=ISBLANK(ChemData!M62),"",(ChemData!M62))</f>
        <v>278.3</v>
      </c>
      <c r="K62" s="290">
        <f>IF(TRUE=ISBLANK(ChemData!N62),"",(ChemData!N62))</f>
        <v>1.4699999999999999E-8</v>
      </c>
      <c r="L62" s="290">
        <f>IF(TRUE=ISBLANK(ChemData!O62),"",(ChemData!O62))</f>
        <v>2.0199999999999999E-2</v>
      </c>
      <c r="M62" s="290">
        <f>IF(TRUE=ISBLANK(ChemData!Q62),"",(ChemData!Q62))</f>
        <v>92769.756944408247</v>
      </c>
      <c r="N62" s="290">
        <f>IF(TRUE=ISBLANK(ChemData!R62),"",(ChemData!R62))</f>
        <v>92769.756944408247</v>
      </c>
      <c r="O62" s="290">
        <f>IF(TRUE=ISBLANK(ChemData!S62),"",(ChemData!S62))</f>
        <v>1</v>
      </c>
      <c r="P62" s="291">
        <f>IF(TRUE=ISBLANK(ChemData!T62),"",(ChemData!T62))</f>
        <v>1</v>
      </c>
      <c r="Q62" s="375">
        <f>IF(Start!$C$18="x",IF(OR(K62="NA",K62="",K62="--"),"NA",(K62*1000000/82.1/Data!$D$50)),"---")</f>
        <v>5.7758044870535546E-7</v>
      </c>
      <c r="R62" s="376">
        <f>IF(Start!$C$18="x",IF(OR(J62="NA",J62=0,J62=""),"NA",(0.32*(Data!$D$48+Data!$D$49)*(18/J62)^0.5)),"---")</f>
        <v>0.20955926236091416</v>
      </c>
      <c r="S62" s="376">
        <f>IF(Start!$C$18="x",IF(OR(J62="NA",J62= 0,J62=""),"NA",(0.0065*((Data!$D$49^0.969)/(Data!$D$51^0.673))*(32/J62)^0.5*EXP(0.526*Data!$D$48^-1.9))),"---")</f>
        <v>4.4169351268583384E-4</v>
      </c>
      <c r="T62" s="377">
        <f>IF(Start!$C$18="x",IF(OR(S62="NA",R62="NA",R62=0,Q62="NA",S62=0,Q62=0),"NA",(1/(1/S62+(1/(R62*Q62))))),"---")</f>
        <v>1.2100417399467906E-7</v>
      </c>
      <c r="U62" s="375" t="str">
        <f>IF(Start!$C$18="x",IF(OR(F62="NA",F62="",O62="",O62="NA"),"NA",(F62*$O62)),"---")</f>
        <v>NA</v>
      </c>
      <c r="V62" s="376" t="str">
        <f>IF(Start!$C$18="x",IF(OR(U62="NA",M62="NA",M62="",U62=""),"NA",U62/((Data!$D$18+((1-Data!$D$18)*Data!$D$14*M62))/((1-Data!$D$18)*Data!$D$14*1000))),"---")</f>
        <v>NA</v>
      </c>
      <c r="W62" s="376" t="str">
        <f>IF(Start!$C$18="x",IF(OR(G62="NA",U62="NA",G62="",U62=""),"NA",(U62 +($G62*(Data!$D$19-Data!$D$22)/(Data!$D$19*Data!$D$22)))),"---")</f>
        <v>NA</v>
      </c>
      <c r="X62" s="376" t="str">
        <f>IF(Start!$C$18="x",IF(OR(G62="NA",V62="NA",G62="",V62=""),"NA",(((Data!$D$22*Data!$D$18)*V62)+(Data!$D$19-Data!$D$22)*$G62)/((Data!$D$22*Data!$D$18)+Data!$D$19-Data!$D$22)),"---")</f>
        <v>NA</v>
      </c>
      <c r="Y62" s="376" t="str">
        <f>IF(Start!$C$18="x",IF(OR(W62="NA",W62="",M62="NA",M62=""),"NA",(W62/((Data!$D$23+((1-Data!$D$23)*Data!$D$14*M62)) /((1-Data!$D$23)*Data!$D$14*1000)))),"---")</f>
        <v>NA</v>
      </c>
      <c r="Z62" s="376" t="str">
        <f>IF(Start!$C$18="x",IF(OR(Y62="NA",X62="NA"),"NA",IF(Y62&gt;X62, Y62, X62)),"---")</f>
        <v>NA</v>
      </c>
      <c r="AA62" s="461" t="str">
        <f>IF(Start!$C$18="x",IF(OR(Z62="NA",T62="NA"),"NA",Z62*T62/(1000000000)),"---")</f>
        <v>NA</v>
      </c>
      <c r="AB62" s="1057" t="str">
        <f>IF(Start!$C$18="x",IF(AA62 = "NA", "NA", AA62*(Data!$D$52*Data!$D$53*10000)),"---")</f>
        <v>NA</v>
      </c>
      <c r="AC62" s="375" t="str">
        <f>IF(Start!$C$18="x",IF(AB62="NA", "NA", AB62*Data!$D$54),"---")</f>
        <v>NA</v>
      </c>
      <c r="AD62" s="498" t="str">
        <f>IF(Start!$C$18="x",IF(AC62="NA","NA",AC62*Data!$D$41),"---")</f>
        <v>NA</v>
      </c>
      <c r="AE62" s="376" t="str">
        <f>IF(Start!$C$18="x",IF(AB62 = "NA", "NA", AB62/(Data!$D$53*3*Data!$D$48)*1000),"---")</f>
        <v>NA</v>
      </c>
      <c r="AF62" s="498" t="str">
        <f>IF(Start!$C$18="x",IF(AE62="NA","NA",AE62*Data!$D$46),"---")</f>
        <v>NA</v>
      </c>
      <c r="AG62" s="375">
        <f>IF(Start!$C$18="x",IF(OR($L62="NA",L62=""),"NA",($L62*(Data!$D$55^3.33)/(Data!$D$18^2))),"---")</f>
        <v>2.0578737205876983E-4</v>
      </c>
      <c r="AH62" s="376" t="str">
        <f>IF(Start!$C$18="x",IF(OR(F62="NA",F62="",P62="NA",P62=""),"NA",IF(100/Data!$D$10&gt;Data!$D$13,(F62*$P62),(F62*$P62)*Data!$D$13)),"---")</f>
        <v>NA</v>
      </c>
      <c r="AI62" s="489">
        <f>IF(Start!$C$18="x",IF(OR($N62="NA",$Q62="NA",$Q62=0,Q62="",N62=""),"NA",(1000*$N62/$Q62)),"---")</f>
        <v>160617896870213.22</v>
      </c>
      <c r="AJ62" s="376">
        <f>IF(Start!$C$18="x",IF(OR(Q62 = "NA",Q62=0,N62 = "NA",N62="",Q62=""), "NA", IF($AG62="NA","NA",(3.1416*Data!$D$57*86400/($AG62*(Data!$D$55+(N62*Data!$D$19/(Q62*1000)))))^0.5)),"---")</f>
        <v>0.53856853231865531</v>
      </c>
      <c r="AK62" s="376" t="str">
        <f>IF(Start!$C$18="x",IF(OR(AH62 = "NA",AI62="NA",AI62=0,AI62="",AH62=""), "NA", AH62/AI62),"---")</f>
        <v>NA</v>
      </c>
      <c r="AL62" s="376" t="str">
        <f>IF(Start!$C$18="x",IF(OR(AK62 ="NA",AK62="",AJ62= "NA",R62="NA",R62=0),"NA",(2*AK62)/(1000*(1/$R62+AJ62))),"---")</f>
        <v>NA</v>
      </c>
      <c r="AM62" s="376" t="str">
        <f>IF(Start!$C$18="x",IF(AL62 = "NA", "NA", AL62*(Data!$D$52*Data!$D$53*10000)),"---")</f>
        <v>NA</v>
      </c>
      <c r="AN62" s="376" t="str">
        <f>IF(Start!$C$18="x",IF(AM62 = "NA", "NA", AM62*(Data!$D$54)),"---")</f>
        <v>NA</v>
      </c>
      <c r="AO62" s="498" t="str">
        <f>IF(Start!$C$18="x",IF(AN62="NA","NA",AN62*Data!$D$41),"---")</f>
        <v>NA</v>
      </c>
      <c r="AP62" s="376">
        <f>IF(Start!$C$18="x",IF(OR(Q62=0,N62="NA",N62="",AG62="NA",AG62="",AG62=0,Q62="",Q62="NA"),"NA", (3.1416*Data!$D$56*86400/($AG62*(Data!$D$55+(N62*Data!$D$19/(Q62*1000)))))^0.5),"---")</f>
        <v>0.53856853231865531</v>
      </c>
      <c r="AQ62" s="376" t="str">
        <f>IF(Start!$C$18="x",IF(OR(AH62="NA",AI62="NA",AI62="",AI62=0,AH62=""),"NA", AH62/AI62),"---")</f>
        <v>NA</v>
      </c>
      <c r="AR62" s="376" t="str">
        <f>IF(Start!$C$18="x",IF(OR(AQ62="NA",AP62="NA",$R62="NA",R62=0,R62=""),"NA",(2*AQ62)/(1000*(1/$R62+AP62))),"---")</f>
        <v>NA</v>
      </c>
      <c r="AS62" s="376" t="str">
        <f>IF(Start!$C$18="x",IF(AR62 = "NA", "NA", AR62*(Data!$D$52*Data!$D$53*10000)),"---")</f>
        <v>NA</v>
      </c>
      <c r="AT62" s="376" t="str">
        <f>IF(Start!$C$18="x",IF(AS62 = "NA", "NA", (AS62*1000)/(Data!$D$48*3*Data!$D$53)),"---")</f>
        <v>NA</v>
      </c>
      <c r="AU62" s="498" t="str">
        <f>IF(Start!$C$18="x",IF(AT62="NA","NA",AT62*Data!$D$47),"---")</f>
        <v>NA</v>
      </c>
      <c r="AV62" s="283" t="str">
        <f>IF(Start!$C$18="x",(IF(AND(F62="",G62= "",G62&lt;&gt;"NA"),"",IF(OR(AD62="NA",I62="NA",I62=0),"NA",(AD62/I62)))),"Not Req.")</f>
        <v/>
      </c>
      <c r="AW62" s="284" t="str">
        <f>IF(Start!$C$18="x",(IF(AND(F62="",G62= "",G62&lt;&gt;"NA"),"",IF(OR(AF62="NA",I62="NA",I62=0),"NA",(AF62/I62)))),"Not Req.")</f>
        <v/>
      </c>
      <c r="AX62" s="284" t="str">
        <f>IF(Start!$C$18="x",(IF(F62 ="","",IF(OR(AO62="NA",I62="NA",I62=0),"NA",(AO62/I62)))),"Not Req.")</f>
        <v/>
      </c>
      <c r="AY62" s="344" t="str">
        <f>IF(Start!$C$18="x",(IF(F62 ="","",IF(OR(AU62="NA",I62="NA",I62=0),"NA",(AU62/I62)))),"Not Req.")</f>
        <v/>
      </c>
      <c r="AZ62" s="208"/>
    </row>
    <row r="63" spans="1:52" s="23" customFormat="1" x14ac:dyDescent="0.25">
      <c r="A63" s="405" t="s">
        <v>381</v>
      </c>
      <c r="B63" s="347" t="str">
        <f>IF(Start!$C$18="x",IF(AND(OR(F63="",F63="NA"),OR(G63="",G63="NA")),"",IF(I63="NA","NA",IF(AND(I63="",K63="--"),"NA",IF(AD63="NA","Missing Data",IF(I63="","No Criteria",IF(AD63&gt;=I63,"Needed","No")))))),"---")</f>
        <v/>
      </c>
      <c r="C63" s="501" t="str">
        <f>IF(Start!$C$18="x",IF(AND(OR(F63="",F63="NA"),OR(G63="",G63="NA")),"",IF(I63="NA","NA",IF(AND(I63="",K63="--"),"NA",IF(AF63="NA","Missing Data",IF(I63="","No Criteria",IF(AF63&gt;=I63,"Needed","No")))))),"---")</f>
        <v/>
      </c>
      <c r="D63" s="347" t="str">
        <f>IF(Start!$C$18="x",IF(AND(OR(F63="",F63="NA"),OR(G63="",G63="NA")),"",IF(I63="NA","NA",IF(AND(I63="",K63="--"),"NA",IF(AO63="NA","Missing Data",IF(I63="","No Criteria",IF(AO63&gt;=I63,"Needed","No")))))),"---")</f>
        <v/>
      </c>
      <c r="E63" s="401" t="str">
        <f>IF(Start!$C$18="x",IF(AND(OR(F63="",F63="NA"),OR(G63="",G63="NA")),"",IF(I63="NA","NA",IF(AND(I63="",K63="--"),"NA",IF(AU63="NA","Missing Data",IF(I63="","No Criteria",IF(AU63&gt;=I63,"Needed","No")))))),"---")</f>
        <v/>
      </c>
      <c r="F63" s="431" t="str">
        <f>IF(TRUE=ISBLANK(ChemData!B63),"",(ChemData!B63))</f>
        <v/>
      </c>
      <c r="G63" s="432" t="str">
        <f>IF(TRUE=ISBLANK(ChemData!C63),"",(ChemData!C63))</f>
        <v/>
      </c>
      <c r="H63" s="433" t="str">
        <f>IF(TRUE=ISBLANK(ChemData!D63),"",(ChemData!D63))</f>
        <v/>
      </c>
      <c r="I63" s="919" t="str">
        <f>IF(TRUE=ISBLANK(ChemData!K63),"",(ChemData!K63))</f>
        <v>NA</v>
      </c>
      <c r="J63" s="290">
        <f>IF(TRUE=ISBLANK(ChemData!M63),"",(ChemData!M63))</f>
        <v>184.19</v>
      </c>
      <c r="K63" s="290" t="str">
        <f>IF(TRUE=ISBLANK(ChemData!N63),"",(ChemData!N63))</f>
        <v/>
      </c>
      <c r="L63" s="290">
        <f>IF(TRUE=ISBLANK(ChemData!O63),"",(ChemData!O63))</f>
        <v>0.15480008168197598</v>
      </c>
      <c r="M63" s="290" t="str">
        <f>IF(TRUE=ISBLANK(ChemData!Q63),"",(ChemData!Q63))</f>
        <v>NA</v>
      </c>
      <c r="N63" s="290" t="str">
        <f>IF(TRUE=ISBLANK(ChemData!R63),"",(ChemData!R63))</f>
        <v>NA</v>
      </c>
      <c r="O63" s="290">
        <f>IF(TRUE=ISBLANK(ChemData!S63),"",(ChemData!S63))</f>
        <v>1</v>
      </c>
      <c r="P63" s="291">
        <f>IF(TRUE=ISBLANK(ChemData!T63),"",(ChemData!T63))</f>
        <v>1</v>
      </c>
      <c r="Q63" s="375" t="str">
        <f>IF(Start!$C$18="x",IF(OR(K63="NA",K63="",K63="--"),"NA",(K63*1000000/82.1/Data!$D$50)),"---")</f>
        <v>NA</v>
      </c>
      <c r="R63" s="376">
        <f>IF(Start!$C$18="x",IF(OR(J63="NA",J63=0,J63=""),"NA",(0.32*(Data!$D$48+Data!$D$49)*(18/J63)^0.5)),"---")</f>
        <v>0.25759085481155036</v>
      </c>
      <c r="S63" s="376">
        <f>IF(Start!$C$18="x",IF(OR(J63="NA",J63= 0,J63=""),"NA",(0.0065*((Data!$D$49^0.969)/(Data!$D$51^0.673))*(32/J63)^0.5*EXP(0.526*Data!$D$48^-1.9))),"---")</f>
        <v>5.4293095048936002E-4</v>
      </c>
      <c r="T63" s="377" t="str">
        <f>IF(Start!$C$18="x",IF(OR(S63="NA",R63="NA",R63=0,Q63="NA",S63=0,Q63=0),"NA",(1/(1/S63+(1/(R63*Q63))))),"---")</f>
        <v>NA</v>
      </c>
      <c r="U63" s="375" t="str">
        <f>IF(Start!$C$18="x",IF(OR(F63="NA",F63="",O63="",O63="NA"),"NA",(F63*$O63)),"---")</f>
        <v>NA</v>
      </c>
      <c r="V63" s="376" t="str">
        <f>IF(Start!$C$18="x",IF(OR(U63="NA",M63="NA",M63="",U63=""),"NA",U63/((Data!$D$18+((1-Data!$D$18)*Data!$D$14*M63))/((1-Data!$D$18)*Data!$D$14*1000))),"---")</f>
        <v>NA</v>
      </c>
      <c r="W63" s="376" t="str">
        <f>IF(Start!$C$18="x",IF(OR(G63="NA",U63="NA",G63="",U63=""),"NA",(U63 +($G63*(Data!$D$19-Data!$D$22)/(Data!$D$19*Data!$D$22)))),"---")</f>
        <v>NA</v>
      </c>
      <c r="X63" s="376" t="str">
        <f>IF(Start!$C$18="x",IF(OR(G63="NA",V63="NA",G63="",V63=""),"NA",(((Data!$D$22*Data!$D$18)*V63)+(Data!$D$19-Data!$D$22)*$G63)/((Data!$D$22*Data!$D$18)+Data!$D$19-Data!$D$22)),"---")</f>
        <v>NA</v>
      </c>
      <c r="Y63" s="376" t="str">
        <f>IF(Start!$C$18="x",IF(OR(W63="NA",W63="",M63="NA",M63=""),"NA",(W63/((Data!$D$23+((1-Data!$D$23)*Data!$D$14*M63)) /((1-Data!$D$23)*Data!$D$14*1000)))),"---")</f>
        <v>NA</v>
      </c>
      <c r="Z63" s="376" t="str">
        <f>IF(Start!$C$18="x",IF(OR(Y63="NA",X63="NA"),"NA",IF(Y63&gt;X63, Y63, X63)),"---")</f>
        <v>NA</v>
      </c>
      <c r="AA63" s="461" t="str">
        <f>IF(Start!$C$18="x",IF(OR(Z63="NA",T63="NA"),"NA",Z63*T63/(1000000000)),"---")</f>
        <v>NA</v>
      </c>
      <c r="AB63" s="1057" t="str">
        <f>IF(Start!$C$18="x",IF(AA63 = "NA", "NA", AA63*(Data!$D$52*Data!$D$53*10000)),"---")</f>
        <v>NA</v>
      </c>
      <c r="AC63" s="375" t="str">
        <f>IF(Start!$C$18="x",IF(AB63="NA", "NA", AB63*Data!$D$54),"---")</f>
        <v>NA</v>
      </c>
      <c r="AD63" s="498" t="str">
        <f>IF(Start!$C$18="x",IF(AC63="NA","NA",AC63*Data!$D$41),"---")</f>
        <v>NA</v>
      </c>
      <c r="AE63" s="376" t="str">
        <f>IF(Start!$C$18="x",IF(AB63 = "NA", "NA", AB63/(Data!$D$53*3*Data!$D$48)*1000),"---")</f>
        <v>NA</v>
      </c>
      <c r="AF63" s="498" t="str">
        <f>IF(Start!$C$18="x",IF(AE63="NA","NA",AE63*Data!$D$46),"---")</f>
        <v>NA</v>
      </c>
      <c r="AG63" s="375">
        <f>IF(Start!$C$18="x",IF(OR($L63="NA",L63=""),"NA",($L63*(Data!$D$55^3.33)/(Data!$D$18^2))),"---")</f>
        <v>1.5770248516740967E-3</v>
      </c>
      <c r="AH63" s="376" t="str">
        <f>IF(Start!$C$18="x",IF(OR(F63="NA",F63="",P63="NA",P63=""),"NA",IF(100/Data!$D$10&gt;Data!$D$13,(F63*$P63),(F63*$P63)*Data!$D$13)),"---")</f>
        <v>NA</v>
      </c>
      <c r="AI63" s="489" t="str">
        <f>IF(Start!$C$18="x",IF(OR($N63="NA",$Q63="NA",$Q63=0,Q63="",N63=""),"NA",(1000*$N63/$Q63)),"---")</f>
        <v>NA</v>
      </c>
      <c r="AJ63" s="376" t="str">
        <f>IF(Start!$C$18="x",IF(OR(Q63 = "NA",Q63=0,N63 = "NA",N63="",Q63=""), "NA", IF($AG63="NA","NA",(3.1416*Data!$D$57*86400/($AG63*(Data!$D$55+(N63*Data!$D$19/(Q63*1000)))))^0.5)),"---")</f>
        <v>NA</v>
      </c>
      <c r="AK63" s="376" t="str">
        <f>IF(Start!$C$18="x",IF(OR(AH63 = "NA",AI63="NA",AI63=0,AI63="",AH63=""), "NA", AH63/AI63),"---")</f>
        <v>NA</v>
      </c>
      <c r="AL63" s="376" t="str">
        <f>IF(Start!$C$18="x",IF(OR(AK63 ="NA",AK63="",AJ63= "NA",R63="NA",R63=0),"NA",(2*AK63)/(1000*(1/$R63+AJ63))),"---")</f>
        <v>NA</v>
      </c>
      <c r="AM63" s="376" t="str">
        <f>IF(Start!$C$18="x",IF(AL63 = "NA", "NA", AL63*(Data!$D$52*Data!$D$53*10000)),"---")</f>
        <v>NA</v>
      </c>
      <c r="AN63" s="376" t="str">
        <f>IF(Start!$C$18="x",IF(AM63 = "NA", "NA", AM63*(Data!$D$54)),"---")</f>
        <v>NA</v>
      </c>
      <c r="AO63" s="498" t="str">
        <f>IF(Start!$C$18="x",IF(AN63="NA","NA",AN63*Data!$D$41),"---")</f>
        <v>NA</v>
      </c>
      <c r="AP63" s="376" t="str">
        <f>IF(Start!$C$18="x",IF(OR(Q63=0,N63="NA",N63="",AG63="NA",AG63="",AG63=0,Q63="",Q63="NA"),"NA", (3.1416*Data!$D$56*86400/($AG63*(Data!$D$55+(N63*Data!$D$19/(Q63*1000)))))^0.5),"---")</f>
        <v>NA</v>
      </c>
      <c r="AQ63" s="376" t="str">
        <f>IF(Start!$C$18="x",IF(OR(AH63="NA",AI63="NA",AI63="",AI63=0,AH63=""),"NA", AH63/AI63),"---")</f>
        <v>NA</v>
      </c>
      <c r="AR63" s="376" t="str">
        <f>IF(Start!$C$18="x",IF(OR(AQ63="NA",AP63="NA",$R63="NA",R63=0,R63=""),"NA",(2*AQ63)/(1000*(1/$R63+AP63))),"---")</f>
        <v>NA</v>
      </c>
      <c r="AS63" s="376" t="str">
        <f>IF(Start!$C$18="x",IF(AR63 = "NA", "NA", AR63*(Data!$D$52*Data!$D$53*10000)),"---")</f>
        <v>NA</v>
      </c>
      <c r="AT63" s="376" t="str">
        <f>IF(Start!$C$18="x",IF(AS63 = "NA", "NA", (AS63*1000)/(Data!$D$48*3*Data!$D$53)),"---")</f>
        <v>NA</v>
      </c>
      <c r="AU63" s="498" t="str">
        <f>IF(Start!$C$18="x",IF(AT63="NA","NA",AT63*Data!$D$47),"---")</f>
        <v>NA</v>
      </c>
      <c r="AV63" s="283" t="str">
        <f>IF(Start!$C$18="x",(IF(AND(F63="",G63= "",G63&lt;&gt;"NA"),"",IF(OR(AD63="NA",I63="NA",I63=0),"NA",(AD63/I63)))),"Not Req.")</f>
        <v/>
      </c>
      <c r="AW63" s="284" t="str">
        <f>IF(Start!$C$18="x",(IF(AND(F63="",G63= "",G63&lt;&gt;"NA"),"",IF(OR(AF63="NA",I63="NA",I63=0),"NA",(AF63/I63)))),"Not Req.")</f>
        <v/>
      </c>
      <c r="AX63" s="284" t="str">
        <f>IF(Start!$C$18="x",(IF(F63 ="","",IF(OR(AO63="NA",I63="NA",I63=0),"NA",(AO63/I63)))),"Not Req.")</f>
        <v/>
      </c>
      <c r="AY63" s="344" t="str">
        <f>IF(Start!$C$18="x",(IF(F63 ="","",IF(OR(AU63="NA",I63="NA",I63=0),"NA",(AU63/I63)))),"Not Req.")</f>
        <v/>
      </c>
      <c r="AZ63" s="208"/>
    </row>
    <row r="64" spans="1:52" s="23" customFormat="1" x14ac:dyDescent="0.25">
      <c r="A64" s="405" t="s">
        <v>382</v>
      </c>
      <c r="B64" s="347" t="str">
        <f>IF(Start!$C$18="x",IF(AND(OR(F64="",F64="NA"),OR(G64="",G64="NA")),"",IF(I64="NA","NA",IF(AND(I64="",K64="--"),"NA",IF(AD64="NA","Missing Data",IF(I64="","No Criteria",IF(AD64&gt;=I64,"Needed","No")))))),"---")</f>
        <v/>
      </c>
      <c r="C64" s="501" t="str">
        <f>IF(Start!$C$18="x",IF(AND(OR(F64="",F64="NA"),OR(G64="",G64="NA")),"",IF(I64="NA","NA",IF(AND(I64="",K64="--"),"NA",IF(AF64="NA","Missing Data",IF(I64="","No Criteria",IF(AF64&gt;=I64,"Needed","No")))))),"---")</f>
        <v/>
      </c>
      <c r="D64" s="347" t="str">
        <f>IF(Start!$C$18="x",IF(AND(OR(F64="",F64="NA"),OR(G64="",G64="NA")),"",IF(I64="NA","NA",IF(AND(I64="",K64="--"),"NA",IF(AO64="NA","Missing Data",IF(I64="","No Criteria",IF(AO64&gt;=I64,"Needed","No")))))),"---")</f>
        <v/>
      </c>
      <c r="E64" s="401" t="str">
        <f>IF(Start!$C$18="x",IF(AND(OR(F64="",F64="NA"),OR(G64="",G64="NA")),"",IF(I64="NA","NA",IF(AND(I64="",K64="--"),"NA",IF(AU64="NA","Missing Data",IF(I64="","No Criteria",IF(AU64&gt;=I64,"Needed","No")))))),"---")</f>
        <v/>
      </c>
      <c r="F64" s="431" t="str">
        <f>IF(TRUE=ISBLANK(ChemData!B64),"",(ChemData!B64))</f>
        <v/>
      </c>
      <c r="G64" s="432" t="str">
        <f>IF(TRUE=ISBLANK(ChemData!C64),"",(ChemData!C64))</f>
        <v/>
      </c>
      <c r="H64" s="433" t="str">
        <f>IF(TRUE=ISBLANK(ChemData!D64),"",(ChemData!D64))</f>
        <v/>
      </c>
      <c r="I64" s="919" t="str">
        <f>IF(TRUE=ISBLANK(ChemData!K64),"",(ChemData!K64))</f>
        <v>NA</v>
      </c>
      <c r="J64" s="290">
        <f>IF(TRUE=ISBLANK(ChemData!M64),"",(ChemData!M64))</f>
        <v>168.19</v>
      </c>
      <c r="K64" s="290">
        <f>IF(TRUE=ISBLANK(ChemData!N64),"",(ChemData!N64))</f>
        <v>1.048E-4</v>
      </c>
      <c r="L64" s="290">
        <f>IF(TRUE=ISBLANK(ChemData!O64),"",(ChemData!O64))</f>
        <v>6.0100000000000001E-2</v>
      </c>
      <c r="M64" s="290">
        <f>IF(TRUE=ISBLANK(ChemData!Q64),"",(ChemData!Q64))</f>
        <v>244.00932230679132</v>
      </c>
      <c r="N64" s="290">
        <f>IF(TRUE=ISBLANK(ChemData!R64),"",(ChemData!R64))</f>
        <v>244.00932230679132</v>
      </c>
      <c r="O64" s="290">
        <f>IF(TRUE=ISBLANK(ChemData!S64),"",(ChemData!S64))</f>
        <v>1</v>
      </c>
      <c r="P64" s="291">
        <f>IF(TRUE=ISBLANK(ChemData!T64),"",(ChemData!T64))</f>
        <v>1</v>
      </c>
      <c r="Q64" s="375">
        <f>IF(Start!$C$18="x",IF(OR(K64="NA",K64="",K64="--"),"NA",(K64*1000000/82.1/Data!$D$50)),"---")</f>
        <v>4.1177163962123299E-3</v>
      </c>
      <c r="R64" s="376">
        <f>IF(Start!$C$18="x",IF(OR(J64="NA",J64=0,J64=""),"NA",(0.32*(Data!$D$48+Data!$D$49)*(18/J64)^0.5)),"---")</f>
        <v>0.26956492286015526</v>
      </c>
      <c r="S64" s="376">
        <f>IF(Start!$C$18="x",IF(OR(J64="NA",J64= 0,J64=""),"NA",(0.0065*((Data!$D$49^0.969)/(Data!$D$51^0.673))*(32/J64)^0.5*EXP(0.526*Data!$D$48^-1.9))),"---")</f>
        <v>5.6816900543354444E-4</v>
      </c>
      <c r="T64" s="377">
        <f>IF(Start!$C$18="x",IF(OR(S64="NA",R64="NA",R64=0,Q64="NA",S64=0,Q64=0),"NA",(1/(1/S64+(1/(R64*Q64))))),"---")</f>
        <v>3.7580603405827667E-4</v>
      </c>
      <c r="U64" s="375" t="str">
        <f>IF(Start!$C$18="x",IF(OR(F64="NA",F64="",O64="",O64="NA"),"NA",(F64*$O64)),"---")</f>
        <v>NA</v>
      </c>
      <c r="V64" s="376" t="str">
        <f>IF(Start!$C$18="x",IF(OR(U64="NA",M64="NA",M64="",U64=""),"NA",U64/((Data!$D$18+((1-Data!$D$18)*Data!$D$14*M64))/((1-Data!$D$18)*Data!$D$14*1000))),"---")</f>
        <v>NA</v>
      </c>
      <c r="W64" s="376" t="str">
        <f>IF(Start!$C$18="x",IF(OR(G64="NA",U64="NA",G64="",U64=""),"NA",(U64 +($G64*(Data!$D$19-Data!$D$22)/(Data!$D$19*Data!$D$22)))),"---")</f>
        <v>NA</v>
      </c>
      <c r="X64" s="376" t="str">
        <f>IF(Start!$C$18="x",IF(OR(G64="NA",V64="NA",G64="",V64=""),"NA",(((Data!$D$22*Data!$D$18)*V64)+(Data!$D$19-Data!$D$22)*$G64)/((Data!$D$22*Data!$D$18)+Data!$D$19-Data!$D$22)),"---")</f>
        <v>NA</v>
      </c>
      <c r="Y64" s="376" t="str">
        <f>IF(Start!$C$18="x",IF(OR(W64="NA",W64="",M64="NA",M64=""),"NA",(W64/((Data!$D$23+((1-Data!$D$23)*Data!$D$14*M64)) /((1-Data!$D$23)*Data!$D$14*1000)))),"---")</f>
        <v>NA</v>
      </c>
      <c r="Z64" s="376" t="str">
        <f>IF(Start!$C$18="x",IF(OR(Y64="NA",X64="NA"),"NA",IF(Y64&gt;X64, Y64, X64)),"---")</f>
        <v>NA</v>
      </c>
      <c r="AA64" s="461" t="str">
        <f>IF(Start!$C$18="x",IF(OR(Z64="NA",T64="NA"),"NA",Z64*T64/(1000000000)),"---")</f>
        <v>NA</v>
      </c>
      <c r="AB64" s="1057" t="str">
        <f>IF(Start!$C$18="x",IF(AA64 = "NA", "NA", AA64*(Data!$D$52*Data!$D$53*10000)),"---")</f>
        <v>NA</v>
      </c>
      <c r="AC64" s="375" t="str">
        <f>IF(Start!$C$18="x",IF(AB64="NA", "NA", AB64*Data!$D$54),"---")</f>
        <v>NA</v>
      </c>
      <c r="AD64" s="498" t="str">
        <f>IF(Start!$C$18="x",IF(AC64="NA","NA",AC64*Data!$D$41),"---")</f>
        <v>NA</v>
      </c>
      <c r="AE64" s="376" t="str">
        <f>IF(Start!$C$18="x",IF(AB64 = "NA", "NA", AB64/(Data!$D$53*3*Data!$D$48)*1000),"---")</f>
        <v>NA</v>
      </c>
      <c r="AF64" s="498" t="str">
        <f>IF(Start!$C$18="x",IF(AE64="NA","NA",AE64*Data!$D$46),"---")</f>
        <v>NA</v>
      </c>
      <c r="AG64" s="375">
        <f>IF(Start!$C$18="x",IF(OR($L64="NA",L64=""),"NA",($L64*(Data!$D$55^3.33)/(Data!$D$18^2))),"---")</f>
        <v>6.1226836934317173E-4</v>
      </c>
      <c r="AH64" s="376" t="str">
        <f>IF(Start!$C$18="x",IF(OR(F64="NA",F64="",P64="NA",P64=""),"NA",IF(100/Data!$D$10&gt;Data!$D$13,(F64*$P64),(F64*$P64)*Data!$D$13)),"---")</f>
        <v>NA</v>
      </c>
      <c r="AI64" s="489">
        <f>IF(Start!$C$18="x",IF(OR($N64="NA",$Q64="NA",$Q64=0,Q64="",N64=""),"NA",(1000*$N64/$Q64)),"---")</f>
        <v>59258408.988837264</v>
      </c>
      <c r="AJ64" s="376">
        <f>IF(Start!$C$18="x",IF(OR(Q64 = "NA",Q64=0,N64 = "NA",N64="",Q64=""), "NA", IF($AG64="NA","NA",(3.1416*Data!$D$57*86400/($AG64*(Data!$D$55+(N64*Data!$D$19/(Q64*1000)))))^0.5)),"---")</f>
        <v>514.04428424042089</v>
      </c>
      <c r="AK64" s="376" t="str">
        <f>IF(Start!$C$18="x",IF(OR(AH64 = "NA",AI64="NA",AI64=0,AI64="",AH64=""), "NA", AH64/AI64),"---")</f>
        <v>NA</v>
      </c>
      <c r="AL64" s="376" t="str">
        <f>IF(Start!$C$18="x",IF(OR(AK64 ="NA",AK64="",AJ64= "NA",R64="NA",R64=0),"NA",(2*AK64)/(1000*(1/$R64+AJ64))),"---")</f>
        <v>NA</v>
      </c>
      <c r="AM64" s="376" t="str">
        <f>IF(Start!$C$18="x",IF(AL64 = "NA", "NA", AL64*(Data!$D$52*Data!$D$53*10000)),"---")</f>
        <v>NA</v>
      </c>
      <c r="AN64" s="376" t="str">
        <f>IF(Start!$C$18="x",IF(AM64 = "NA", "NA", AM64*(Data!$D$54)),"---")</f>
        <v>NA</v>
      </c>
      <c r="AO64" s="498" t="str">
        <f>IF(Start!$C$18="x",IF(AN64="NA","NA",AN64*Data!$D$41),"---")</f>
        <v>NA</v>
      </c>
      <c r="AP64" s="376">
        <f>IF(Start!$C$18="x",IF(OR(Q64=0,N64="NA",N64="",AG64="NA",AG64="",AG64=0,Q64="",Q64="NA"),"NA", (3.1416*Data!$D$56*86400/($AG64*(Data!$D$55+(N64*Data!$D$19/(Q64*1000)))))^0.5),"---")</f>
        <v>514.04428424042089</v>
      </c>
      <c r="AQ64" s="376" t="str">
        <f>IF(Start!$C$18="x",IF(OR(AH64="NA",AI64="NA",AI64="",AI64=0,AH64=""),"NA", AH64/AI64),"---")</f>
        <v>NA</v>
      </c>
      <c r="AR64" s="376" t="str">
        <f>IF(Start!$C$18="x",IF(OR(AQ64="NA",AP64="NA",$R64="NA",R64=0,R64=""),"NA",(2*AQ64)/(1000*(1/$R64+AP64))),"---")</f>
        <v>NA</v>
      </c>
      <c r="AS64" s="376" t="str">
        <f>IF(Start!$C$18="x",IF(AR64 = "NA", "NA", AR64*(Data!$D$52*Data!$D$53*10000)),"---")</f>
        <v>NA</v>
      </c>
      <c r="AT64" s="376" t="str">
        <f>IF(Start!$C$18="x",IF(AS64 = "NA", "NA", (AS64*1000)/(Data!$D$48*3*Data!$D$53)),"---")</f>
        <v>NA</v>
      </c>
      <c r="AU64" s="498" t="str">
        <f>IF(Start!$C$18="x",IF(AT64="NA","NA",AT64*Data!$D$47),"---")</f>
        <v>NA</v>
      </c>
      <c r="AV64" s="283" t="str">
        <f>IF(Start!$C$18="x",(IF(AND(F64="",G64= "",G64&lt;&gt;"NA"),"",IF(OR(AD64="NA",I64="NA",I64=0),"NA",(AD64/I64)))),"Not Req.")</f>
        <v/>
      </c>
      <c r="AW64" s="284" t="str">
        <f>IF(Start!$C$18="x",(IF(AND(F64="",G64= "",G64&lt;&gt;"NA"),"",IF(OR(AF64="NA",I64="NA",I64=0),"NA",(AF64/I64)))),"Not Req.")</f>
        <v/>
      </c>
      <c r="AX64" s="284" t="str">
        <f>IF(Start!$C$18="x",(IF(F64 ="","",IF(OR(AO64="NA",I64="NA",I64=0),"NA",(AO64/I64)))),"Not Req.")</f>
        <v/>
      </c>
      <c r="AY64" s="344" t="str">
        <f>IF(Start!$C$18="x",(IF(F64 ="","",IF(OR(AU64="NA",I64="NA",I64=0),"NA",(AU64/I64)))),"Not Req.")</f>
        <v/>
      </c>
      <c r="AZ64" s="208"/>
    </row>
    <row r="65" spans="1:52" s="23" customFormat="1" x14ac:dyDescent="0.25">
      <c r="A65" s="405" t="s">
        <v>383</v>
      </c>
      <c r="B65" s="347" t="str">
        <f>IF(Start!$C$18="x",IF(AND(OR(F65="",F65="NA"),OR(G65="",G65="NA")),"",IF(I65="NA","NA",IF(AND(I65="",K65="--"),"NA",IF(AD65="NA","Missing Data",IF(I65="","No Criteria",IF(AD65&gt;=I65,"Needed","No")))))),"---")</f>
        <v/>
      </c>
      <c r="C65" s="501" t="str">
        <f>IF(Start!$C$18="x",IF(AND(OR(F65="",F65="NA"),OR(G65="",G65="NA")),"",IF(I65="NA","NA",IF(AND(I65="",K65="--"),"NA",IF(AF65="NA","Missing Data",IF(I65="","No Criteria",IF(AF65&gt;=I65,"Needed","No")))))),"---")</f>
        <v/>
      </c>
      <c r="D65" s="347" t="str">
        <f>IF(Start!$C$18="x",IF(AND(OR(F65="",F65="NA"),OR(G65="",G65="NA")),"",IF(I65="NA","NA",IF(AND(I65="",K65="--"),"NA",IF(AO65="NA","Missing Data",IF(I65="","No Criteria",IF(AO65&gt;=I65,"Needed","No")))))),"---")</f>
        <v/>
      </c>
      <c r="E65" s="401" t="str">
        <f>IF(Start!$C$18="x",IF(AND(OR(F65="",F65="NA"),OR(G65="",G65="NA")),"",IF(I65="NA","NA",IF(AND(I65="",K65="--"),"NA",IF(AU65="NA","Missing Data",IF(I65="","No Criteria",IF(AU65&gt;=I65,"Needed","No")))))),"---")</f>
        <v/>
      </c>
      <c r="F65" s="431" t="str">
        <f>IF(TRUE=ISBLANK(ChemData!B65),"",(ChemData!B65))</f>
        <v/>
      </c>
      <c r="G65" s="432" t="str">
        <f>IF(TRUE=ISBLANK(ChemData!C65),"",(ChemData!C65))</f>
        <v/>
      </c>
      <c r="H65" s="433" t="str">
        <f>IF(TRUE=ISBLANK(ChemData!D65),"",(ChemData!D65))</f>
        <v/>
      </c>
      <c r="I65" s="919" t="str">
        <f>IF(TRUE=ISBLANK(ChemData!K65),"",(ChemData!K65))</f>
        <v>NA</v>
      </c>
      <c r="J65" s="290">
        <f>IF(TRUE=ISBLANK(ChemData!M65),"",(ChemData!M65))</f>
        <v>302.39999999999998</v>
      </c>
      <c r="K65" s="290">
        <f>IF(TRUE=ISBLANK(ChemData!N65),"",(ChemData!N65))</f>
        <v>1.4E-8</v>
      </c>
      <c r="L65" s="290">
        <f>IF(TRUE=ISBLANK(ChemData!O65),"",(ChemData!O65))</f>
        <v>0.15063193469290961</v>
      </c>
      <c r="M65" s="290">
        <f>IF(TRUE=ISBLANK(ChemData!Q65),"",(ChemData!Q65))</f>
        <v>352700.77889499755</v>
      </c>
      <c r="N65" s="290">
        <f>IF(TRUE=ISBLANK(ChemData!R65),"",(ChemData!R65))</f>
        <v>352700.77889499755</v>
      </c>
      <c r="O65" s="290">
        <f>IF(TRUE=ISBLANK(ChemData!S65),"",(ChemData!S65))</f>
        <v>1</v>
      </c>
      <c r="P65" s="291">
        <f>IF(TRUE=ISBLANK(ChemData!T65),"",(ChemData!T65))</f>
        <v>1</v>
      </c>
      <c r="Q65" s="375">
        <f>IF(Start!$C$18="x",IF(OR(K65="NA",K65="",K65="--"),"NA",(K65*1000000/82.1/Data!$D$50)),"---")</f>
        <v>5.5007661781462422E-7</v>
      </c>
      <c r="R65" s="376">
        <f>IF(Start!$C$18="x",IF(OR(J65="NA",J65=0,J65=""),"NA",(0.32*(Data!$D$48+Data!$D$49)*(18/J65)^0.5)),"---")</f>
        <v>0.20103541502739786</v>
      </c>
      <c r="S65" s="376">
        <f>IF(Start!$C$18="x",IF(OR(J65="NA",J65= 0,J65=""),"NA",(0.0065*((Data!$D$49^0.969)/(Data!$D$51^0.673))*(32/J65)^0.5*EXP(0.526*Data!$D$48^-1.9))),"---")</f>
        <v>4.2372757776163827E-4</v>
      </c>
      <c r="T65" s="377">
        <f>IF(Start!$C$18="x",IF(OR(S65="NA",R65="NA",R65=0,Q65="NA",S65=0,Q65=0),"NA",(1/(1/S65+(1/(R65*Q65))))),"---")</f>
        <v>1.105560281275336E-7</v>
      </c>
      <c r="U65" s="375" t="str">
        <f>IF(Start!$C$18="x",IF(OR(F65="NA",F65="",O65="",O65="NA"),"NA",(F65*$O65)),"---")</f>
        <v>NA</v>
      </c>
      <c r="V65" s="376" t="str">
        <f>IF(Start!$C$18="x",IF(OR(U65="NA",M65="NA",M65="",U65=""),"NA",U65/((Data!$D$18+((1-Data!$D$18)*Data!$D$14*M65))/((1-Data!$D$18)*Data!$D$14*1000))),"---")</f>
        <v>NA</v>
      </c>
      <c r="W65" s="376" t="str">
        <f>IF(Start!$C$18="x",IF(OR(G65="NA",U65="NA",G65="",U65=""),"NA",(U65 +($G65*(Data!$D$19-Data!$D$22)/(Data!$D$19*Data!$D$22)))),"---")</f>
        <v>NA</v>
      </c>
      <c r="X65" s="376" t="str">
        <f>IF(Start!$C$18="x",IF(OR(G65="NA",V65="NA",G65="",V65=""),"NA",(((Data!$D$22*Data!$D$18)*V65)+(Data!$D$19-Data!$D$22)*$G65)/((Data!$D$22*Data!$D$18)+Data!$D$19-Data!$D$22)),"---")</f>
        <v>NA</v>
      </c>
      <c r="Y65" s="376" t="str">
        <f>IF(Start!$C$18="x",IF(OR(W65="NA",W65="",M65="NA",M65=""),"NA",(W65/((Data!$D$23+((1-Data!$D$23)*Data!$D$14*M65)) /((1-Data!$D$23)*Data!$D$14*1000)))),"---")</f>
        <v>NA</v>
      </c>
      <c r="Z65" s="376" t="str">
        <f>IF(Start!$C$18="x",IF(OR(Y65="NA",X65="NA"),"NA",IF(Y65&gt;X65, Y65, X65)),"---")</f>
        <v>NA</v>
      </c>
      <c r="AA65" s="461" t="str">
        <f>IF(Start!$C$18="x",IF(OR(Z65="NA",T65="NA"),"NA",Z65*T65/(1000000000)),"---")</f>
        <v>NA</v>
      </c>
      <c r="AB65" s="1057" t="str">
        <f>IF(Start!$C$18="x",IF(AA65 = "NA", "NA", AA65*(Data!$D$52*Data!$D$53*10000)),"---")</f>
        <v>NA</v>
      </c>
      <c r="AC65" s="375" t="str">
        <f>IF(Start!$C$18="x",IF(AB65="NA", "NA", AB65*Data!$D$54),"---")</f>
        <v>NA</v>
      </c>
      <c r="AD65" s="498" t="str">
        <f>IF(Start!$C$18="x",IF(AC65="NA","NA",AC65*Data!$D$41),"---")</f>
        <v>NA</v>
      </c>
      <c r="AE65" s="376" t="str">
        <f>IF(Start!$C$18="x",IF(AB65 = "NA", "NA", AB65/(Data!$D$53*3*Data!$D$48)*1000),"---")</f>
        <v>NA</v>
      </c>
      <c r="AF65" s="498" t="str">
        <f>IF(Start!$C$18="x",IF(AE65="NA","NA",AE65*Data!$D$46),"---")</f>
        <v>NA</v>
      </c>
      <c r="AG65" s="375">
        <f>IF(Start!$C$18="x",IF(OR($L65="NA",L65=""),"NA",($L65*(Data!$D$55^3.33)/(Data!$D$18^2))),"---")</f>
        <v>1.5345618806228767E-3</v>
      </c>
      <c r="AH65" s="376" t="str">
        <f>IF(Start!$C$18="x",IF(OR(F65="NA",F65="",P65="NA",P65=""),"NA",IF(100/Data!$D$10&gt;Data!$D$13,(F65*$P65),(F65*$P65)*Data!$D$13)),"---")</f>
        <v>NA</v>
      </c>
      <c r="AI65" s="489">
        <f>IF(Start!$C$18="x",IF(OR($N65="NA",$Q65="NA",$Q65=0,Q65="",N65=""),"NA",(1000*$N65/$Q65)),"---")</f>
        <v>641184823118327.25</v>
      </c>
      <c r="AJ65" s="376">
        <f>IF(Start!$C$18="x",IF(OR(Q65 = "NA",Q65=0,N65 = "NA",N65="",Q65=""), "NA", IF($AG65="NA","NA",(3.1416*Data!$D$57*86400/($AG65*(Data!$D$55+(N65*Data!$D$19/(Q65*1000)))))^0.5)),"---")</f>
        <v>9.8710529789431081E-2</v>
      </c>
      <c r="AK65" s="376" t="str">
        <f>IF(Start!$C$18="x",IF(OR(AH65 = "NA",AI65="NA",AI65=0,AI65="",AH65=""), "NA", AH65/AI65),"---")</f>
        <v>NA</v>
      </c>
      <c r="AL65" s="376" t="str">
        <f>IF(Start!$C$18="x",IF(OR(AK65 ="NA",AK65="",AJ65= "NA",R65="NA",R65=0),"NA",(2*AK65)/(1000*(1/$R65+AJ65))),"---")</f>
        <v>NA</v>
      </c>
      <c r="AM65" s="376" t="str">
        <f>IF(Start!$C$18="x",IF(AL65 = "NA", "NA", AL65*(Data!$D$52*Data!$D$53*10000)),"---")</f>
        <v>NA</v>
      </c>
      <c r="AN65" s="376" t="str">
        <f>IF(Start!$C$18="x",IF(AM65 = "NA", "NA", AM65*(Data!$D$54)),"---")</f>
        <v>NA</v>
      </c>
      <c r="AO65" s="498" t="str">
        <f>IF(Start!$C$18="x",IF(AN65="NA","NA",AN65*Data!$D$41),"---")</f>
        <v>NA</v>
      </c>
      <c r="AP65" s="376">
        <f>IF(Start!$C$18="x",IF(OR(Q65=0,N65="NA",N65="",AG65="NA",AG65="",AG65=0,Q65="",Q65="NA"),"NA", (3.1416*Data!$D$56*86400/($AG65*(Data!$D$55+(N65*Data!$D$19/(Q65*1000)))))^0.5),"---")</f>
        <v>9.8710529789431081E-2</v>
      </c>
      <c r="AQ65" s="376" t="str">
        <f>IF(Start!$C$18="x",IF(OR(AH65="NA",AI65="NA",AI65="",AI65=0,AH65=""),"NA", AH65/AI65),"---")</f>
        <v>NA</v>
      </c>
      <c r="AR65" s="376" t="str">
        <f>IF(Start!$C$18="x",IF(OR(AQ65="NA",AP65="NA",$R65="NA",R65=0,R65=""),"NA",(2*AQ65)/(1000*(1/$R65+AP65))),"---")</f>
        <v>NA</v>
      </c>
      <c r="AS65" s="376" t="str">
        <f>IF(Start!$C$18="x",IF(AR65 = "NA", "NA", AR65*(Data!$D$52*Data!$D$53*10000)),"---")</f>
        <v>NA</v>
      </c>
      <c r="AT65" s="376" t="str">
        <f>IF(Start!$C$18="x",IF(AS65 = "NA", "NA", (AS65*1000)/(Data!$D$48*3*Data!$D$53)),"---")</f>
        <v>NA</v>
      </c>
      <c r="AU65" s="498" t="str">
        <f>IF(Start!$C$18="x",IF(AT65="NA","NA",AT65*Data!$D$47),"---")</f>
        <v>NA</v>
      </c>
      <c r="AV65" s="283" t="str">
        <f>IF(Start!$C$18="x",(IF(AND(F65="",G65= "",G65&lt;&gt;"NA"),"",IF(OR(AD65="NA",I65="NA",I65=0),"NA",(AD65/I65)))),"Not Req.")</f>
        <v/>
      </c>
      <c r="AW65" s="284" t="str">
        <f>IF(Start!$C$18="x",(IF(AND(F65="",G65= "",G65&lt;&gt;"NA"),"",IF(OR(AF65="NA",I65="NA",I65=0),"NA",(AF65/I65)))),"Not Req.")</f>
        <v/>
      </c>
      <c r="AX65" s="284" t="str">
        <f>IF(Start!$C$18="x",(IF(F65 ="","",IF(OR(AO65="NA",I65="NA",I65=0),"NA",(AO65/I65)))),"Not Req.")</f>
        <v/>
      </c>
      <c r="AY65" s="344" t="str">
        <f>IF(Start!$C$18="x",(IF(F65 ="","",IF(OR(AU65="NA",I65="NA",I65=0),"NA",(AU65/I65)))),"Not Req.")</f>
        <v/>
      </c>
      <c r="AZ65" s="208"/>
    </row>
    <row r="66" spans="1:52" s="23" customFormat="1" x14ac:dyDescent="0.25">
      <c r="A66" s="405" t="s">
        <v>384</v>
      </c>
      <c r="B66" s="347" t="str">
        <f>IF(Start!$C$18="x",IF(AND(OR(F66="",F66="NA"),OR(G66="",G66="NA")),"",IF(I66="NA","NA",IF(AND(I66="",K66="--"),"NA",IF(AD66="NA","Missing Data",IF(I66="","No Criteria",IF(AD66&gt;=I66,"Needed","No")))))),"---")</f>
        <v/>
      </c>
      <c r="C66" s="501" t="str">
        <f>IF(Start!$C$18="x",IF(AND(OR(F66="",F66="NA"),OR(G66="",G66="NA")),"",IF(I66="NA","NA",IF(AND(I66="",K66="--"),"NA",IF(AF66="NA","Missing Data",IF(I66="","No Criteria",IF(AF66&gt;=I66,"Needed","No")))))),"---")</f>
        <v/>
      </c>
      <c r="D66" s="347" t="str">
        <f>IF(Start!$C$18="x",IF(AND(OR(F66="",F66="NA"),OR(G66="",G66="NA")),"",IF(I66="NA","NA",IF(AND(I66="",K66="--"),"NA",IF(AO66="NA","Missing Data",IF(I66="","No Criteria",IF(AO66&gt;=I66,"Needed","No")))))),"---")</f>
        <v/>
      </c>
      <c r="E66" s="401" t="str">
        <f>IF(Start!$C$18="x",IF(AND(OR(F66="",F66="NA"),OR(G66="",G66="NA")),"",IF(I66="NA","NA",IF(AND(I66="",K66="--"),"NA",IF(AU66="NA","Missing Data",IF(I66="","No Criteria",IF(AU66&gt;=I66,"Needed","No")))))),"---")</f>
        <v/>
      </c>
      <c r="F66" s="431" t="str">
        <f>IF(TRUE=ISBLANK(ChemData!B66),"",(ChemData!B66))</f>
        <v/>
      </c>
      <c r="G66" s="432" t="str">
        <f>IF(TRUE=ISBLANK(ChemData!C66),"",(ChemData!C66))</f>
        <v/>
      </c>
      <c r="H66" s="433" t="str">
        <f>IF(TRUE=ISBLANK(ChemData!D66),"",(ChemData!D66))</f>
        <v/>
      </c>
      <c r="I66" s="919" t="str">
        <f>IF(TRUE=ISBLANK(ChemData!K66),"",(ChemData!K66))</f>
        <v>NA</v>
      </c>
      <c r="J66" s="290">
        <f>IF(TRUE=ISBLANK(ChemData!M66),"",(ChemData!M66))</f>
        <v>184.26</v>
      </c>
      <c r="K66" s="290">
        <f>IF(TRUE=ISBLANK(ChemData!N66),"",(ChemData!N66))</f>
        <v>4.3700000000000005E-4</v>
      </c>
      <c r="L66" s="290">
        <f>IF(TRUE=ISBLANK(ChemData!O66),"",(ChemData!O66))</f>
        <v>0.1547960853960593</v>
      </c>
      <c r="M66" s="290">
        <f>IF(TRUE=ISBLANK(ChemData!Q66),"",(ChemData!Q66))</f>
        <v>444.02397331050798</v>
      </c>
      <c r="N66" s="290">
        <f>IF(TRUE=ISBLANK(ChemData!R66),"",(ChemData!R66))</f>
        <v>444.02397331050798</v>
      </c>
      <c r="O66" s="290">
        <f>IF(TRUE=ISBLANK(ChemData!S66),"",(ChemData!S66))</f>
        <v>1</v>
      </c>
      <c r="P66" s="291">
        <f>IF(TRUE=ISBLANK(ChemData!T66),"",(ChemData!T66))</f>
        <v>1</v>
      </c>
      <c r="Q66" s="375">
        <f>IF(Start!$C$18="x",IF(OR(K66="NA",K66="",K66="--"),"NA",(K66*1000000/82.1/Data!$D$50)),"---")</f>
        <v>1.717024871321363E-2</v>
      </c>
      <c r="R66" s="376">
        <f>IF(Start!$C$18="x",IF(OR(J66="NA",J66=0,J66=""),"NA",(0.32*(Data!$D$48+Data!$D$49)*(18/J66)^0.5)),"---")</f>
        <v>0.25754192104219881</v>
      </c>
      <c r="S66" s="376">
        <f>IF(Start!$C$18="x",IF(OR(J66="NA",J66= 0,J66=""),"NA",(0.0065*((Data!$D$49^0.969)/(Data!$D$51^0.673))*(32/J66)^0.5*EXP(0.526*Data!$D$48^-1.9))),"---")</f>
        <v>5.4282781150981623E-4</v>
      </c>
      <c r="T66" s="377">
        <f>IF(Start!$C$18="x",IF(OR(S66="NA",R66="NA",R66=0,Q66="NA",S66=0,Q66=0),"NA",(1/(1/S66+(1/(R66*Q66))))),"---")</f>
        <v>4.8347861509755402E-4</v>
      </c>
      <c r="U66" s="375" t="str">
        <f>IF(Start!$C$18="x",IF(OR(F66="NA",F66="",O66="",O66="NA"),"NA",(F66*$O66)),"---")</f>
        <v>NA</v>
      </c>
      <c r="V66" s="376" t="str">
        <f>IF(Start!$C$18="x",IF(OR(U66="NA",M66="NA",M66="",U66=""),"NA",U66/((Data!$D$18+((1-Data!$D$18)*Data!$D$14*M66))/((1-Data!$D$18)*Data!$D$14*1000))),"---")</f>
        <v>NA</v>
      </c>
      <c r="W66" s="376" t="str">
        <f>IF(Start!$C$18="x",IF(OR(G66="NA",U66="NA",G66="",U66=""),"NA",(U66 +($G66*(Data!$D$19-Data!$D$22)/(Data!$D$19*Data!$D$22)))),"---")</f>
        <v>NA</v>
      </c>
      <c r="X66" s="376" t="str">
        <f>IF(Start!$C$18="x",IF(OR(G66="NA",V66="NA",G66="",V66=""),"NA",(((Data!$D$22*Data!$D$18)*V66)+(Data!$D$19-Data!$D$22)*$G66)/((Data!$D$22*Data!$D$18)+Data!$D$19-Data!$D$22)),"---")</f>
        <v>NA</v>
      </c>
      <c r="Y66" s="376" t="str">
        <f>IF(Start!$C$18="x",IF(OR(W66="NA",W66="",M66="NA",M66=""),"NA",(W66/((Data!$D$23+((1-Data!$D$23)*Data!$D$14*M66)) /((1-Data!$D$23)*Data!$D$14*1000)))),"---")</f>
        <v>NA</v>
      </c>
      <c r="Z66" s="376" t="str">
        <f>IF(Start!$C$18="x",IF(OR(Y66="NA",X66="NA"),"NA",IF(Y66&gt;X66, Y66, X66)),"---")</f>
        <v>NA</v>
      </c>
      <c r="AA66" s="461" t="str">
        <f>IF(Start!$C$18="x",IF(OR(Z66="NA",T66="NA"),"NA",Z66*T66/(1000000000)),"---")</f>
        <v>NA</v>
      </c>
      <c r="AB66" s="1057" t="str">
        <f>IF(Start!$C$18="x",IF(AA66 = "NA", "NA", AA66*(Data!$D$52*Data!$D$53*10000)),"---")</f>
        <v>NA</v>
      </c>
      <c r="AC66" s="375" t="str">
        <f>IF(Start!$C$18="x",IF(AB66="NA", "NA", AB66*Data!$D$54),"---")</f>
        <v>NA</v>
      </c>
      <c r="AD66" s="498" t="str">
        <f>IF(Start!$C$18="x",IF(AC66="NA","NA",AC66*Data!$D$41),"---")</f>
        <v>NA</v>
      </c>
      <c r="AE66" s="376" t="str">
        <f>IF(Start!$C$18="x",IF(AB66 = "NA", "NA", AB66/(Data!$D$53*3*Data!$D$48)*1000),"---")</f>
        <v>NA</v>
      </c>
      <c r="AF66" s="498" t="str">
        <f>IF(Start!$C$18="x",IF(AE66="NA","NA",AE66*Data!$D$46),"---")</f>
        <v>NA</v>
      </c>
      <c r="AG66" s="375">
        <f>IF(Start!$C$18="x",IF(OR($L66="NA",L66=""),"NA",($L66*(Data!$D$55^3.33)/(Data!$D$18^2))),"---")</f>
        <v>1.5769841395366321E-3</v>
      </c>
      <c r="AH66" s="376" t="str">
        <f>IF(Start!$C$18="x",IF(OR(F66="NA",F66="",P66="NA",P66=""),"NA",IF(100/Data!$D$10&gt;Data!$D$13,(F66*$P66),(F66*$P66)*Data!$D$13)),"---")</f>
        <v>NA</v>
      </c>
      <c r="AI66" s="489">
        <f>IF(Start!$C$18="x",IF(OR($N66="NA",$Q66="NA",$Q66=0,Q66="",N66=""),"NA",(1000*$N66/$Q66)),"---")</f>
        <v>25860078.134383839</v>
      </c>
      <c r="AJ66" s="376">
        <f>IF(Start!$C$18="x",IF(OR(Q66 = "NA",Q66=0,N66 = "NA",N66="",Q66=""), "NA", IF($AG66="NA","NA",(3.1416*Data!$D$57*86400/($AG66*(Data!$D$55+(N66*Data!$D$19/(Q66*1000)))))^0.5)),"---")</f>
        <v>484.86043460545278</v>
      </c>
      <c r="AK66" s="376" t="str">
        <f>IF(Start!$C$18="x",IF(OR(AH66 = "NA",AI66="NA",AI66=0,AI66="",AH66=""), "NA", AH66/AI66),"---")</f>
        <v>NA</v>
      </c>
      <c r="AL66" s="376" t="str">
        <f>IF(Start!$C$18="x",IF(OR(AK66 ="NA",AK66="",AJ66= "NA",R66="NA",R66=0),"NA",(2*AK66)/(1000*(1/$R66+AJ66))),"---")</f>
        <v>NA</v>
      </c>
      <c r="AM66" s="376" t="str">
        <f>IF(Start!$C$18="x",IF(AL66 = "NA", "NA", AL66*(Data!$D$52*Data!$D$53*10000)),"---")</f>
        <v>NA</v>
      </c>
      <c r="AN66" s="376" t="str">
        <f>IF(Start!$C$18="x",IF(AM66 = "NA", "NA", AM66*(Data!$D$54)),"---")</f>
        <v>NA</v>
      </c>
      <c r="AO66" s="498" t="str">
        <f>IF(Start!$C$18="x",IF(AN66="NA","NA",AN66*Data!$D$41),"---")</f>
        <v>NA</v>
      </c>
      <c r="AP66" s="376">
        <f>IF(Start!$C$18="x",IF(OR(Q66=0,N66="NA",N66="",AG66="NA",AG66="",AG66=0,Q66="",Q66="NA"),"NA", (3.1416*Data!$D$56*86400/($AG66*(Data!$D$55+(N66*Data!$D$19/(Q66*1000)))))^0.5),"---")</f>
        <v>484.86043460545278</v>
      </c>
      <c r="AQ66" s="376" t="str">
        <f>IF(Start!$C$18="x",IF(OR(AH66="NA",AI66="NA",AI66="",AI66=0,AH66=""),"NA", AH66/AI66),"---")</f>
        <v>NA</v>
      </c>
      <c r="AR66" s="376" t="str">
        <f>IF(Start!$C$18="x",IF(OR(AQ66="NA",AP66="NA",$R66="NA",R66=0,R66=""),"NA",(2*AQ66)/(1000*(1/$R66+AP66))),"---")</f>
        <v>NA</v>
      </c>
      <c r="AS66" s="376" t="str">
        <f>IF(Start!$C$18="x",IF(AR66 = "NA", "NA", AR66*(Data!$D$52*Data!$D$53*10000)),"---")</f>
        <v>NA</v>
      </c>
      <c r="AT66" s="376" t="str">
        <f>IF(Start!$C$18="x",IF(AS66 = "NA", "NA", (AS66*1000)/(Data!$D$48*3*Data!$D$53)),"---")</f>
        <v>NA</v>
      </c>
      <c r="AU66" s="498" t="str">
        <f>IF(Start!$C$18="x",IF(AT66="NA","NA",AT66*Data!$D$47),"---")</f>
        <v>NA</v>
      </c>
      <c r="AV66" s="283" t="str">
        <f>IF(Start!$C$18="x",(IF(AND(F66="",G66= "",G66&lt;&gt;"NA"),"",IF(OR(AD66="NA",I66="NA",I66=0),"NA",(AD66/I66)))),"Not Req.")</f>
        <v/>
      </c>
      <c r="AW66" s="284" t="str">
        <f>IF(Start!$C$18="x",(IF(AND(F66="",G66= "",G66&lt;&gt;"NA"),"",IF(OR(AF66="NA",I66="NA",I66=0),"NA",(AF66/I66)))),"Not Req.")</f>
        <v/>
      </c>
      <c r="AX66" s="284" t="str">
        <f>IF(Start!$C$18="x",(IF(F66 ="","",IF(OR(AO66="NA",I66="NA",I66=0),"NA",(AO66/I66)))),"Not Req.")</f>
        <v/>
      </c>
      <c r="AY66" s="344" t="str">
        <f>IF(Start!$C$18="x",(IF(F66 ="","",IF(OR(AU66="NA",I66="NA",I66=0),"NA",(AU66/I66)))),"Not Req.")</f>
        <v/>
      </c>
      <c r="AZ66" s="208"/>
    </row>
    <row r="67" spans="1:52" s="23" customFormat="1" x14ac:dyDescent="0.25">
      <c r="A67" s="405" t="s">
        <v>385</v>
      </c>
      <c r="B67" s="347" t="str">
        <f>IF(Start!$C$18="x",IF(AND(OR(F67="",F67="NA"),OR(G67="",G67="NA")),"",IF(I67="NA","NA",IF(AND(I67="",K67="--"),"NA",IF(AD67="NA","Missing Data",IF(I67="","No Criteria",IF(AD67&gt;=I67,"Needed","No")))))),"---")</f>
        <v/>
      </c>
      <c r="C67" s="501" t="str">
        <f>IF(Start!$C$18="x",IF(AND(OR(F67="",F67="NA"),OR(G67="",G67="NA")),"",IF(I67="NA","NA",IF(AND(I67="",K67="--"),"NA",IF(AF67="NA","Missing Data",IF(I67="","No Criteria",IF(AF67&gt;=I67,"Needed","No")))))),"---")</f>
        <v/>
      </c>
      <c r="D67" s="347" t="str">
        <f>IF(Start!$C$18="x",IF(AND(OR(F67="",F67="NA"),OR(G67="",G67="NA")),"",IF(I67="NA","NA",IF(AND(I67="",K67="--"),"NA",IF(AO67="NA","Missing Data",IF(I67="","No Criteria",IF(AO67&gt;=I67,"Needed","No")))))),"---")</f>
        <v/>
      </c>
      <c r="E67" s="401" t="str">
        <f>IF(Start!$C$18="x",IF(AND(OR(F67="",F67="NA"),OR(G67="",G67="NA")),"",IF(I67="NA","NA",IF(AND(I67="",K67="--"),"NA",IF(AU67="NA","Missing Data",IF(I67="","No Criteria",IF(AU67&gt;=I67,"Needed","No")))))),"---")</f>
        <v/>
      </c>
      <c r="F67" s="431" t="str">
        <f>IF(TRUE=ISBLANK(ChemData!B67),"",(ChemData!B67))</f>
        <v/>
      </c>
      <c r="G67" s="432" t="str">
        <f>IF(TRUE=ISBLANK(ChemData!C67),"",(ChemData!C67))</f>
        <v/>
      </c>
      <c r="H67" s="433" t="str">
        <f>IF(TRUE=ISBLANK(ChemData!D67),"",(ChemData!D67))</f>
        <v/>
      </c>
      <c r="I67" s="919" t="str">
        <f>IF(TRUE=ISBLANK(ChemData!K67),"",(ChemData!K67))</f>
        <v>NA</v>
      </c>
      <c r="J67" s="290">
        <f>IF(TRUE=ISBLANK(ChemData!M67),"",(ChemData!M67))</f>
        <v>256.3</v>
      </c>
      <c r="K67" s="290">
        <f>IF(TRUE=ISBLANK(ChemData!N67),"",(ChemData!N67))</f>
        <v>3.1100000000000001E-8</v>
      </c>
      <c r="L67" s="290">
        <f>IF(TRUE=ISBLANK(ChemData!O67),"",(ChemData!O67))</f>
        <v>4.6100000000000002E-2</v>
      </c>
      <c r="M67" s="290">
        <f>IF(TRUE=ISBLANK(ChemData!Q67),"",(ChemData!Q67))</f>
        <v>18510</v>
      </c>
      <c r="N67" s="290">
        <f>IF(TRUE=ISBLANK(ChemData!R67),"",(ChemData!R67))</f>
        <v>18510</v>
      </c>
      <c r="O67" s="290">
        <f>IF(TRUE=ISBLANK(ChemData!S67),"",(ChemData!S67))</f>
        <v>1</v>
      </c>
      <c r="P67" s="291">
        <f>IF(TRUE=ISBLANK(ChemData!T67),"",(ChemData!T67))</f>
        <v>1</v>
      </c>
      <c r="Q67" s="375">
        <f>IF(Start!$C$18="x",IF(OR(K67="NA",K67="",K67="--"),"NA",(K67*1000000/82.1/Data!$D$50)),"---")</f>
        <v>1.221955915288201E-6</v>
      </c>
      <c r="R67" s="376">
        <f>IF(Start!$C$18="x",IF(OR(J67="NA",J67=0,J67=""),"NA",(0.32*(Data!$D$48+Data!$D$49)*(18/J67)^0.5)),"---")</f>
        <v>0.21836808280154443</v>
      </c>
      <c r="S67" s="376">
        <f>IF(Start!$C$18="x",IF(OR(J67="NA",J67= 0,J67=""),"NA",(0.0065*((Data!$D$49^0.969)/(Data!$D$51^0.673))*(32/J67)^0.5*EXP(0.526*Data!$D$48^-1.9))),"---")</f>
        <v>4.6026009284653232E-4</v>
      </c>
      <c r="T67" s="377">
        <f>IF(Start!$C$18="x",IF(OR(S67="NA",R67="NA",R67=0,Q67="NA",S67=0,Q67=0),"NA",(1/(1/S67+(1/(R67*Q67))))),"---")</f>
        <v>2.666815616329937E-7</v>
      </c>
      <c r="U67" s="375" t="str">
        <f>IF(Start!$C$18="x",IF(OR(F67="NA",F67="",O67="",O67="NA"),"NA",(F67*$O67)),"---")</f>
        <v>NA</v>
      </c>
      <c r="V67" s="376" t="str">
        <f>IF(Start!$C$18="x",IF(OR(U67="NA",M67="NA",M67="",U67=""),"NA",U67/((Data!$D$18+((1-Data!$D$18)*Data!$D$14*M67))/((1-Data!$D$18)*Data!$D$14*1000))),"---")</f>
        <v>NA</v>
      </c>
      <c r="W67" s="376" t="str">
        <f>IF(Start!$C$18="x",IF(OR(G67="NA",U67="NA",G67="",U67=""),"NA",(U67 +($G67*(Data!$D$19-Data!$D$22)/(Data!$D$19*Data!$D$22)))),"---")</f>
        <v>NA</v>
      </c>
      <c r="X67" s="376" t="str">
        <f>IF(Start!$C$18="x",IF(OR(G67="NA",V67="NA",G67="",V67=""),"NA",(((Data!$D$22*Data!$D$18)*V67)+(Data!$D$19-Data!$D$22)*$G67)/((Data!$D$22*Data!$D$18)+Data!$D$19-Data!$D$22)),"---")</f>
        <v>NA</v>
      </c>
      <c r="Y67" s="376" t="str">
        <f>IF(Start!$C$18="x",IF(OR(W67="NA",W67="",M67="NA",M67=""),"NA",(W67/((Data!$D$23+((1-Data!$D$23)*Data!$D$14*M67)) /((1-Data!$D$23)*Data!$D$14*1000)))),"---")</f>
        <v>NA</v>
      </c>
      <c r="Z67" s="376" t="str">
        <f>IF(Start!$C$18="x",IF(OR(Y67="NA",X67="NA"),"NA",IF(Y67&gt;X67, Y67, X67)),"---")</f>
        <v>NA</v>
      </c>
      <c r="AA67" s="461" t="str">
        <f>IF(Start!$C$18="x",IF(OR(Z67="NA",T67="NA"),"NA",Z67*T67/(1000000000)),"---")</f>
        <v>NA</v>
      </c>
      <c r="AB67" s="1057" t="str">
        <f>IF(Start!$C$18="x",IF(AA67 = "NA", "NA", AA67*(Data!$D$52*Data!$D$53*10000)),"---")</f>
        <v>NA</v>
      </c>
      <c r="AC67" s="375" t="str">
        <f>IF(Start!$C$18="x",IF(AB67="NA", "NA", AB67*Data!$D$54),"---")</f>
        <v>NA</v>
      </c>
      <c r="AD67" s="498" t="str">
        <f>IF(Start!$C$18="x",IF(AC67="NA","NA",AC67*Data!$D$41),"---")</f>
        <v>NA</v>
      </c>
      <c r="AE67" s="376" t="str">
        <f>IF(Start!$C$18="x",IF(AB67 = "NA", "NA", AB67/(Data!$D$53*3*Data!$D$48)*1000),"---")</f>
        <v>NA</v>
      </c>
      <c r="AF67" s="498" t="str">
        <f>IF(Start!$C$18="x",IF(AE67="NA","NA",AE67*Data!$D$46),"---")</f>
        <v>NA</v>
      </c>
      <c r="AG67" s="375">
        <f>IF(Start!$C$18="x",IF(OR($L67="NA",L67=""),"NA",($L67*(Data!$D$55^3.33)/(Data!$D$18^2))),"---")</f>
        <v>4.6964345801531144E-4</v>
      </c>
      <c r="AH67" s="376" t="str">
        <f>IF(Start!$C$18="x",IF(OR(F67="NA",F67="",P67="NA",P67=""),"NA",IF(100/Data!$D$10&gt;Data!$D$13,(F67*$P67),(F67*$P67)*Data!$D$13)),"---")</f>
        <v>NA</v>
      </c>
      <c r="AI67" s="489">
        <f>IF(Start!$C$18="x",IF(OR($N67="NA",$Q67="NA",$Q67=0,Q67="",N67=""),"NA",(1000*$N67/$Q67)),"---")</f>
        <v>15147845980707.393</v>
      </c>
      <c r="AJ67" s="376">
        <f>IF(Start!$C$18="x",IF(OR(Q67 = "NA",Q67=0,N67 = "NA",N67="",Q67=""), "NA", IF($AG67="NA","NA",(3.1416*Data!$D$57*86400/($AG67*(Data!$D$55+(N67*Data!$D$19/(Q67*1000)))))^0.5)),"---")</f>
        <v>1.1608810552115878</v>
      </c>
      <c r="AK67" s="376" t="str">
        <f>IF(Start!$C$18="x",IF(OR(AH67 = "NA",AI67="NA",AI67=0,AI67="",AH67=""), "NA", AH67/AI67),"---")</f>
        <v>NA</v>
      </c>
      <c r="AL67" s="376" t="str">
        <f>IF(Start!$C$18="x",IF(OR(AK67 ="NA",AK67="",AJ67= "NA",R67="NA",R67=0),"NA",(2*AK67)/(1000*(1/$R67+AJ67))),"---")</f>
        <v>NA</v>
      </c>
      <c r="AM67" s="376" t="str">
        <f>IF(Start!$C$18="x",IF(AL67 = "NA", "NA", AL67*(Data!$D$52*Data!$D$53*10000)),"---")</f>
        <v>NA</v>
      </c>
      <c r="AN67" s="376" t="str">
        <f>IF(Start!$C$18="x",IF(AM67 = "NA", "NA", AM67*(Data!$D$54)),"---")</f>
        <v>NA</v>
      </c>
      <c r="AO67" s="498" t="str">
        <f>IF(Start!$C$18="x",IF(AN67="NA","NA",AN67*Data!$D$41),"---")</f>
        <v>NA</v>
      </c>
      <c r="AP67" s="376">
        <f>IF(Start!$C$18="x",IF(OR(Q67=0,N67="NA",N67="",AG67="NA",AG67="",AG67=0,Q67="",Q67="NA"),"NA", (3.1416*Data!$D$56*86400/($AG67*(Data!$D$55+(N67*Data!$D$19/(Q67*1000)))))^0.5),"---")</f>
        <v>1.1608810552115878</v>
      </c>
      <c r="AQ67" s="376" t="str">
        <f>IF(Start!$C$18="x",IF(OR(AH67="NA",AI67="NA",AI67="",AI67=0,AH67=""),"NA", AH67/AI67),"---")</f>
        <v>NA</v>
      </c>
      <c r="AR67" s="376" t="str">
        <f>IF(Start!$C$18="x",IF(OR(AQ67="NA",AP67="NA",$R67="NA",R67=0,R67=""),"NA",(2*AQ67)/(1000*(1/$R67+AP67))),"---")</f>
        <v>NA</v>
      </c>
      <c r="AS67" s="376" t="str">
        <f>IF(Start!$C$18="x",IF(AR67 = "NA", "NA", AR67*(Data!$D$52*Data!$D$53*10000)),"---")</f>
        <v>NA</v>
      </c>
      <c r="AT67" s="376" t="str">
        <f>IF(Start!$C$18="x",IF(AS67 = "NA", "NA", (AS67*1000)/(Data!$D$48*3*Data!$D$53)),"---")</f>
        <v>NA</v>
      </c>
      <c r="AU67" s="498" t="str">
        <f>IF(Start!$C$18="x",IF(AT67="NA","NA",AT67*Data!$D$47),"---")</f>
        <v>NA</v>
      </c>
      <c r="AV67" s="283" t="str">
        <f>IF(Start!$C$18="x",(IF(AND(F67="",G67= "",G67&lt;&gt;"NA"),"",IF(OR(AD67="NA",I67="NA",I67=0),"NA",(AD67/I67)))),"Not Req.")</f>
        <v/>
      </c>
      <c r="AW67" s="284" t="str">
        <f>IF(Start!$C$18="x",(IF(AND(F67="",G67= "",G67&lt;&gt;"NA"),"",IF(OR(AF67="NA",I67="NA",I67=0),"NA",(AF67/I67)))),"Not Req.")</f>
        <v/>
      </c>
      <c r="AX67" s="284" t="str">
        <f>IF(Start!$C$18="x",(IF(F67 ="","",IF(OR(AO67="NA",I67="NA",I67=0),"NA",(AO67/I67)))),"Not Req.")</f>
        <v/>
      </c>
      <c r="AY67" s="344" t="str">
        <f>IF(Start!$C$18="x",(IF(F67 ="","",IF(OR(AU67="NA",I67="NA",I67=0),"NA",(AU67/I67)))),"Not Req.")</f>
        <v/>
      </c>
      <c r="AZ67" s="208"/>
    </row>
    <row r="68" spans="1:52" s="10" customFormat="1" x14ac:dyDescent="0.25">
      <c r="A68" s="407" t="s">
        <v>386</v>
      </c>
      <c r="B68" s="347" t="str">
        <f>IF(Start!$C$18="x",IF(AND(OR(F68="",F68="NA"),OR(G68="",G68="NA")),"",IF(I68="NA","NA",IF(AND(I68="",K68="--"),"NA",IF(AD68="NA","Missing Data",IF(I68="","No Criteria",IF(AD68&gt;=I68,"Needed","No")))))),"---")</f>
        <v/>
      </c>
      <c r="C68" s="501" t="str">
        <f>IF(Start!$C$18="x",IF(AND(OR(F68="",F68="NA"),OR(G68="",G68="NA")),"",IF(I68="NA","NA",IF(AND(I68="",K68="--"),"NA",IF(AF68="NA","Missing Data",IF(I68="","No Criteria",IF(AF68&gt;=I68,"Needed","No")))))),"---")</f>
        <v/>
      </c>
      <c r="D68" s="347" t="str">
        <f>IF(Start!$C$18="x",IF(AND(OR(F68="",F68="NA"),OR(G68="",G68="NA")),"",IF(I68="NA","NA",IF(AND(I68="",K68="--"),"NA",IF(AO68="NA","Missing Data",IF(I68="","No Criteria",IF(AO68&gt;=I68,"Needed","No")))))),"---")</f>
        <v/>
      </c>
      <c r="E68" s="401" t="str">
        <f>IF(Start!$C$18="x",IF(AND(OR(F68="",F68="NA"),OR(G68="",G68="NA")),"",IF(I68="NA","NA",IF(AND(I68="",K68="--"),"NA",IF(AU68="NA","Missing Data",IF(I68="","No Criteria",IF(AU68&gt;=I68,"Needed","No")))))),"---")</f>
        <v/>
      </c>
      <c r="F68" s="431" t="str">
        <f>IF(TRUE=ISBLANK(ChemData!B68),"",(ChemData!B68))</f>
        <v/>
      </c>
      <c r="G68" s="432" t="str">
        <f>IF(TRUE=ISBLANK(ChemData!C68),"",(ChemData!C68))</f>
        <v/>
      </c>
      <c r="H68" s="433" t="str">
        <f>IF(TRUE=ISBLANK(ChemData!D68),"",(ChemData!D68))</f>
        <v/>
      </c>
      <c r="I68" s="919" t="str">
        <f>IF(TRUE=ISBLANK(ChemData!K68),"",(ChemData!K68))</f>
        <v>NA</v>
      </c>
      <c r="J68" s="290">
        <f>IF(TRUE=ISBLANK(ChemData!M68),"",(ChemData!M68))</f>
        <v>156.22999999999999</v>
      </c>
      <c r="K68" s="290" t="str">
        <f>IF(TRUE=ISBLANK(ChemData!N68),"",(ChemData!N68))</f>
        <v/>
      </c>
      <c r="L68" s="290">
        <f>IF(TRUE=ISBLANK(ChemData!O68),"",(ChemData!O68))</f>
        <v>0.15667136544089752</v>
      </c>
      <c r="M68" s="290" t="str">
        <f>IF(TRUE=ISBLANK(ChemData!Q68),"",(ChemData!Q68))</f>
        <v>NA</v>
      </c>
      <c r="N68" s="290" t="str">
        <f>IF(TRUE=ISBLANK(ChemData!R68),"",(ChemData!R68))</f>
        <v>NA</v>
      </c>
      <c r="O68" s="290">
        <f>IF(TRUE=ISBLANK(ChemData!S68),"",(ChemData!S68))</f>
        <v>1</v>
      </c>
      <c r="P68" s="291">
        <f>IF(TRUE=ISBLANK(ChemData!T68),"",(ChemData!T68))</f>
        <v>1</v>
      </c>
      <c r="Q68" s="375" t="str">
        <f>IF(Start!$C$18="x",IF(OR(K68="NA",K68="",K68="--"),"NA",(K68*1000000/82.1/Data!$D$50)),"---")</f>
        <v>NA</v>
      </c>
      <c r="R68" s="376">
        <f>IF(Start!$C$18="x",IF(OR(J68="NA",J68=0,J68=""),"NA",(0.32*(Data!$D$48+Data!$D$49)*(18/J68)^0.5)),"---")</f>
        <v>0.27969277500535111</v>
      </c>
      <c r="S68" s="376">
        <f>IF(Start!$C$18="x",IF(OR(J68="NA",J68= 0,J68=""),"NA",(0.0065*((Data!$D$49^0.969)/(Data!$D$51^0.673))*(32/J68)^0.5*EXP(0.526*Data!$D$48^-1.9))),"---")</f>
        <v>5.8951574305600267E-4</v>
      </c>
      <c r="T68" s="377" t="str">
        <f>IF(Start!$C$18="x",IF(OR(S68="NA",R68="NA",R68=0,Q68="NA",S68=0,Q68=0),"NA",(1/(1/S68+(1/(R68*Q68))))),"---")</f>
        <v>NA</v>
      </c>
      <c r="U68" s="375" t="str">
        <f>IF(Start!$C$18="x",IF(OR(F68="NA",F68="",O68="",O68="NA"),"NA",(F68*$O68)),"---")</f>
        <v>NA</v>
      </c>
      <c r="V68" s="376" t="str">
        <f>IF(Start!$C$18="x",IF(OR(U68="NA",M68="NA",M68="",U68=""),"NA",U68/((Data!$D$18+((1-Data!$D$18)*Data!$D$14*M68))/((1-Data!$D$18)*Data!$D$14*1000))),"---")</f>
        <v>NA</v>
      </c>
      <c r="W68" s="376" t="str">
        <f>IF(Start!$C$18="x",IF(OR(G68="NA",U68="NA",G68="",U68=""),"NA",(U68 +($G68*(Data!$D$19-Data!$D$22)/(Data!$D$19*Data!$D$22)))),"---")</f>
        <v>NA</v>
      </c>
      <c r="X68" s="376" t="str">
        <f>IF(Start!$C$18="x",IF(OR(G68="NA",V68="NA",G68="",V68=""),"NA",(((Data!$D$22*Data!$D$18)*V68)+(Data!$D$19-Data!$D$22)*$G68)/((Data!$D$22*Data!$D$18)+Data!$D$19-Data!$D$22)),"---")</f>
        <v>NA</v>
      </c>
      <c r="Y68" s="376" t="str">
        <f>IF(Start!$C$18="x",IF(OR(W68="NA",W68="",M68="NA",M68=""),"NA",(W68/((Data!$D$23+((1-Data!$D$23)*Data!$D$14*M68)) /((1-Data!$D$23)*Data!$D$14*1000)))),"---")</f>
        <v>NA</v>
      </c>
      <c r="Z68" s="376" t="str">
        <f>IF(Start!$C$18="x",IF(OR(Y68="NA",X68="NA"),"NA",IF(Y68&gt;X68, Y68, X68)),"---")</f>
        <v>NA</v>
      </c>
      <c r="AA68" s="461" t="str">
        <f>IF(Start!$C$18="x",IF(OR(Z68="NA",T68="NA"),"NA",Z68*T68/(1000000000)),"---")</f>
        <v>NA</v>
      </c>
      <c r="AB68" s="1057" t="str">
        <f>IF(Start!$C$18="x",IF(AA68 = "NA", "NA", AA68*(Data!$D$52*Data!$D$53*10000)),"---")</f>
        <v>NA</v>
      </c>
      <c r="AC68" s="375" t="str">
        <f>IF(Start!$C$18="x",IF(AB68="NA", "NA", AB68*Data!$D$54),"---")</f>
        <v>NA</v>
      </c>
      <c r="AD68" s="498" t="str">
        <f>IF(Start!$C$18="x",IF(AC68="NA","NA",AC68*Data!$D$41),"---")</f>
        <v>NA</v>
      </c>
      <c r="AE68" s="376" t="str">
        <f>IF(Start!$C$18="x",IF(AB68 = "NA", "NA", AB68/(Data!$D$53*3*Data!$D$48)*1000),"---")</f>
        <v>NA</v>
      </c>
      <c r="AF68" s="498" t="str">
        <f>IF(Start!$C$18="x",IF(AE68="NA","NA",AE68*Data!$D$46),"---")</f>
        <v>NA</v>
      </c>
      <c r="AG68" s="375">
        <f>IF(Start!$C$18="x",IF(OR($L68="NA",L68=""),"NA",($L68*(Data!$D$55^3.33)/(Data!$D$18^2))),"---")</f>
        <v>1.5960885431159145E-3</v>
      </c>
      <c r="AH68" s="376" t="str">
        <f>IF(Start!$C$18="x",IF(OR(F68="NA",F68="",P68="NA",P68=""),"NA",IF(100/Data!$D$10&gt;Data!$D$13,(F68*$P68),(F68*$P68)*Data!$D$13)),"---")</f>
        <v>NA</v>
      </c>
      <c r="AI68" s="489" t="str">
        <f>IF(Start!$C$18="x",IF(OR($N68="NA",$Q68="NA",$Q68=0,Q68="",N68=""),"NA",(1000*$N68/$Q68)),"---")</f>
        <v>NA</v>
      </c>
      <c r="AJ68" s="376" t="str">
        <f>IF(Start!$C$18="x",IF(OR(Q68 = "NA",Q68=0,N68 = "NA",N68="",Q68=""), "NA", IF($AG68="NA","NA",(3.1416*Data!$D$57*86400/($AG68*(Data!$D$55+(N68*Data!$D$19/(Q68*1000)))))^0.5)),"---")</f>
        <v>NA</v>
      </c>
      <c r="AK68" s="376" t="str">
        <f>IF(Start!$C$18="x",IF(OR(AH68 = "NA",AI68="NA",AI68=0,AI68="",AH68=""), "NA", AH68/AI68),"---")</f>
        <v>NA</v>
      </c>
      <c r="AL68" s="376" t="str">
        <f>IF(Start!$C$18="x",IF(OR(AK68 ="NA",AK68="",AJ68= "NA",R68="NA",R68=0),"NA",(2*AK68)/(1000*(1/$R68+AJ68))),"---")</f>
        <v>NA</v>
      </c>
      <c r="AM68" s="376" t="str">
        <f>IF(Start!$C$18="x",IF(AL68 = "NA", "NA", AL68*(Data!$D$52*Data!$D$53*10000)),"---")</f>
        <v>NA</v>
      </c>
      <c r="AN68" s="376" t="str">
        <f>IF(Start!$C$18="x",IF(AM68 = "NA", "NA", AM68*(Data!$D$54)),"---")</f>
        <v>NA</v>
      </c>
      <c r="AO68" s="498" t="str">
        <f>IF(Start!$C$18="x",IF(AN68="NA","NA",AN68*Data!$D$41),"---")</f>
        <v>NA</v>
      </c>
      <c r="AP68" s="376" t="str">
        <f>IF(Start!$C$18="x",IF(OR(Q68=0,N68="NA",N68="",AG68="NA",AG68="",AG68=0,Q68="",Q68="NA"),"NA", (3.1416*Data!$D$56*86400/($AG68*(Data!$D$55+(N68*Data!$D$19/(Q68*1000)))))^0.5),"---")</f>
        <v>NA</v>
      </c>
      <c r="AQ68" s="376" t="str">
        <f>IF(Start!$C$18="x",IF(OR(AH68="NA",AI68="NA",AI68="",AI68=0,AH68=""),"NA", AH68/AI68),"---")</f>
        <v>NA</v>
      </c>
      <c r="AR68" s="376" t="str">
        <f>IF(Start!$C$18="x",IF(OR(AQ68="NA",AP68="NA",$R68="NA",R68=0,R68=""),"NA",(2*AQ68)/(1000*(1/$R68+AP68))),"---")</f>
        <v>NA</v>
      </c>
      <c r="AS68" s="376" t="str">
        <f>IF(Start!$C$18="x",IF(AR68 = "NA", "NA", AR68*(Data!$D$52*Data!$D$53*10000)),"---")</f>
        <v>NA</v>
      </c>
      <c r="AT68" s="376" t="str">
        <f>IF(Start!$C$18="x",IF(AS68 = "NA", "NA", (AS68*1000)/(Data!$D$48*3*Data!$D$53)),"---")</f>
        <v>NA</v>
      </c>
      <c r="AU68" s="498" t="str">
        <f>IF(Start!$C$18="x",IF(AT68="NA","NA",AT68*Data!$D$47),"---")</f>
        <v>NA</v>
      </c>
      <c r="AV68" s="283" t="str">
        <f>IF(Start!$C$18="x",(IF(AND(F68="",G68= "",G68&lt;&gt;"NA"),"",IF(OR(AD68="NA",I68="NA",I68=0),"NA",(AD68/I68)))),"Not Req.")</f>
        <v/>
      </c>
      <c r="AW68" s="284" t="str">
        <f>IF(Start!$C$18="x",(IF(AND(F68="",G68= "",G68&lt;&gt;"NA"),"",IF(OR(AF68="NA",I68="NA",I68=0),"NA",(AF68/I68)))),"Not Req.")</f>
        <v/>
      </c>
      <c r="AX68" s="284" t="str">
        <f>IF(Start!$C$18="x",(IF(F68 ="","",IF(OR(AO68="NA",I68="NA",I68=0),"NA",(AO68/I68)))),"Not Req.")</f>
        <v/>
      </c>
      <c r="AY68" s="344" t="str">
        <f>IF(Start!$C$18="x",(IF(F68 ="","",IF(OR(AU68="NA",I68="NA",I68=0),"NA",(AU68/I68)))),"Not Req.")</f>
        <v/>
      </c>
      <c r="AZ68" s="208"/>
    </row>
    <row r="69" spans="1:52" s="182" customFormat="1" x14ac:dyDescent="0.25">
      <c r="A69" s="405" t="s">
        <v>387</v>
      </c>
      <c r="B69" s="347" t="str">
        <f>IF(Start!$C$18="x",IF(AND(OR(F69="",F69="NA"),OR(G69="",G69="NA")),"",IF(I69="NA","NA",IF(AND(I69="",K69="--"),"NA",IF(AD69="NA","Missing Data",IF(I69="","No Criteria",IF(AD69&gt;=I69,"Needed","No")))))),"---")</f>
        <v/>
      </c>
      <c r="C69" s="501" t="str">
        <f>IF(Start!$C$18="x",IF(AND(OR(F69="",F69="NA"),OR(G69="",G69="NA")),"",IF(I69="NA","NA",IF(AND(I69="",K69="--"),"NA",IF(AF69="NA","Missing Data",IF(I69="","No Criteria",IF(AF69&gt;=I69,"Needed","No")))))),"---")</f>
        <v/>
      </c>
      <c r="D69" s="347" t="str">
        <f>IF(Start!$C$18="x",IF(AND(OR(F69="",F69="NA"),OR(G69="",G69="NA")),"",IF(I69="NA","NA",IF(AND(I69="",K69="--"),"NA",IF(AO69="NA","Missing Data",IF(I69="","No Criteria",IF(AO69&gt;=I69,"Needed","No")))))),"---")</f>
        <v/>
      </c>
      <c r="E69" s="401" t="str">
        <f>IF(Start!$C$18="x",IF(AND(OR(F69="",F69="NA"),OR(G69="",G69="NA")),"",IF(I69="NA","NA",IF(AND(I69="",K69="--"),"NA",IF(AU69="NA","Missing Data",IF(I69="","No Criteria",IF(AU69&gt;=I69,"Needed","No")))))),"---")</f>
        <v/>
      </c>
      <c r="F69" s="431" t="str">
        <f>IF(TRUE=ISBLANK(ChemData!B69),"",(ChemData!B69))</f>
        <v/>
      </c>
      <c r="G69" s="432" t="str">
        <f>IF(TRUE=ISBLANK(ChemData!C69),"",(ChemData!C69))</f>
        <v/>
      </c>
      <c r="H69" s="433" t="str">
        <f>IF(TRUE=ISBLANK(ChemData!D69),"",(ChemData!D69))</f>
        <v/>
      </c>
      <c r="I69" s="919" t="str">
        <f>IF(TRUE=ISBLANK(ChemData!K69),"",(ChemData!K69))</f>
        <v>NA</v>
      </c>
      <c r="J69" s="290">
        <f>IF(TRUE=ISBLANK(ChemData!M69),"",(ChemData!M69))</f>
        <v>156.22999999999999</v>
      </c>
      <c r="K69" s="290">
        <f>IF(TRUE=ISBLANK(ChemData!N69),"",(ChemData!N69))</f>
        <v>5.0000000000000001E-4</v>
      </c>
      <c r="L69" s="290">
        <f>IF(TRUE=ISBLANK(ChemData!O69),"",(ChemData!O69))</f>
        <v>0.15667136544089752</v>
      </c>
      <c r="M69" s="290" t="str">
        <f>IF(TRUE=ISBLANK(ChemData!Q69),"",(ChemData!Q69))</f>
        <v>NA</v>
      </c>
      <c r="N69" s="290" t="str">
        <f>IF(TRUE=ISBLANK(ChemData!R69),"",(ChemData!R69))</f>
        <v>NA</v>
      </c>
      <c r="O69" s="290">
        <f>IF(TRUE=ISBLANK(ChemData!S69),"",(ChemData!S69))</f>
        <v>1</v>
      </c>
      <c r="P69" s="291">
        <f>IF(TRUE=ISBLANK(ChemData!T69),"",(ChemData!T69))</f>
        <v>1</v>
      </c>
      <c r="Q69" s="375">
        <f>IF(Start!$C$18="x",IF(OR(K69="NA",K69="",K69="--"),"NA",(K69*1000000/82.1/Data!$D$50)),"---")</f>
        <v>1.9645593493379437E-2</v>
      </c>
      <c r="R69" s="376">
        <f>IF(Start!$C$18="x",IF(OR(J69="NA",J69=0,J69=""),"NA",(0.32*(Data!$D$48+Data!$D$49)*(18/J69)^0.5)),"---")</f>
        <v>0.27969277500535111</v>
      </c>
      <c r="S69" s="376">
        <f>IF(Start!$C$18="x",IF(OR(J69="NA",J69= 0,J69=""),"NA",(0.0065*((Data!$D$49^0.969)/(Data!$D$51^0.673))*(32/J69)^0.5*EXP(0.526*Data!$D$48^-1.9))),"---")</f>
        <v>5.8951574305600267E-4</v>
      </c>
      <c r="T69" s="377">
        <f>IF(Start!$C$18="x",IF(OR(S69="NA",R69="NA",R69=0,Q69="NA",S69=0,Q69=0),"NA",(1/(1/S69+(1/(R69*Q69))))),"---")</f>
        <v>5.3239629161447105E-4</v>
      </c>
      <c r="U69" s="375" t="str">
        <f>IF(Start!$C$18="x",IF(OR(F69="NA",F69="",O69="",O69="NA"),"NA",(F69*$O69)),"---")</f>
        <v>NA</v>
      </c>
      <c r="V69" s="376" t="str">
        <f>IF(Start!$C$18="x",IF(OR(U69="NA",M69="NA",M69="",U69=""),"NA",U69/((Data!$D$18+((1-Data!$D$18)*Data!$D$14*M69))/((1-Data!$D$18)*Data!$D$14*1000))),"---")</f>
        <v>NA</v>
      </c>
      <c r="W69" s="376" t="str">
        <f>IF(Start!$C$18="x",IF(OR(G69="NA",U69="NA",G69="",U69=""),"NA",(U69 +($G69*(Data!$D$19-Data!$D$22)/(Data!$D$19*Data!$D$22)))),"---")</f>
        <v>NA</v>
      </c>
      <c r="X69" s="376" t="str">
        <f>IF(Start!$C$18="x",IF(OR(G69="NA",V69="NA",G69="",V69=""),"NA",(((Data!$D$22*Data!$D$18)*V69)+(Data!$D$19-Data!$D$22)*$G69)/((Data!$D$22*Data!$D$18)+Data!$D$19-Data!$D$22)),"---")</f>
        <v>NA</v>
      </c>
      <c r="Y69" s="376" t="str">
        <f>IF(Start!$C$18="x",IF(OR(W69="NA",W69="",M69="NA",M69=""),"NA",(W69/((Data!$D$23+((1-Data!$D$23)*Data!$D$14*M69)) /((1-Data!$D$23)*Data!$D$14*1000)))),"---")</f>
        <v>NA</v>
      </c>
      <c r="Z69" s="376" t="str">
        <f>IF(Start!$C$18="x",IF(OR(Y69="NA",X69="NA"),"NA",IF(Y69&gt;X69, Y69, X69)),"---")</f>
        <v>NA</v>
      </c>
      <c r="AA69" s="461" t="str">
        <f>IF(Start!$C$18="x",IF(OR(Z69="NA",T69="NA"),"NA",Z69*T69/(1000000000)),"---")</f>
        <v>NA</v>
      </c>
      <c r="AB69" s="1057" t="str">
        <f>IF(Start!$C$18="x",IF(AA69 = "NA", "NA", AA69*(Data!$D$52*Data!$D$53*10000)),"---")</f>
        <v>NA</v>
      </c>
      <c r="AC69" s="375" t="str">
        <f>IF(Start!$C$18="x",IF(AB69="NA", "NA", AB69*Data!$D$54),"---")</f>
        <v>NA</v>
      </c>
      <c r="AD69" s="498" t="str">
        <f>IF(Start!$C$18="x",IF(AC69="NA","NA",AC69*Data!$D$41),"---")</f>
        <v>NA</v>
      </c>
      <c r="AE69" s="376" t="str">
        <f>IF(Start!$C$18="x",IF(AB69 = "NA", "NA", AB69/(Data!$D$53*3*Data!$D$48)*1000),"---")</f>
        <v>NA</v>
      </c>
      <c r="AF69" s="498" t="str">
        <f>IF(Start!$C$18="x",IF(AE69="NA","NA",AE69*Data!$D$46),"---")</f>
        <v>NA</v>
      </c>
      <c r="AG69" s="375">
        <f>IF(Start!$C$18="x",IF(OR($L69="NA",L69=""),"NA",($L69*(Data!$D$55^3.33)/(Data!$D$18^2))),"---")</f>
        <v>1.5960885431159145E-3</v>
      </c>
      <c r="AH69" s="376" t="str">
        <f>IF(Start!$C$18="x",IF(OR(F69="NA",F69="",P69="NA",P69=""),"NA",IF(100/Data!$D$10&gt;Data!$D$13,(F69*$P69),(F69*$P69)*Data!$D$13)),"---")</f>
        <v>NA</v>
      </c>
      <c r="AI69" s="489" t="str">
        <f>IF(Start!$C$18="x",IF(OR($N69="NA",$Q69="NA",$Q69=0,Q69="",N69=""),"NA",(1000*$N69/$Q69)),"---")</f>
        <v>NA</v>
      </c>
      <c r="AJ69" s="376" t="str">
        <f>IF(Start!$C$18="x",IF(OR(Q69 = "NA",Q69=0,N69 = "NA",N69="",Q69=""), "NA", IF($AG69="NA","NA",(3.1416*Data!$D$57*86400/($AG69*(Data!$D$55+(N69*Data!$D$19/(Q69*1000)))))^0.5)),"---")</f>
        <v>NA</v>
      </c>
      <c r="AK69" s="376" t="str">
        <f>IF(Start!$C$18="x",IF(OR(AH69 = "NA",AI69="NA",AI69=0,AI69="",AH69=""), "NA", AH69/AI69),"---")</f>
        <v>NA</v>
      </c>
      <c r="AL69" s="376" t="str">
        <f>IF(Start!$C$18="x",IF(OR(AK69 ="NA",AK69="",AJ69= "NA",R69="NA",R69=0),"NA",(2*AK69)/(1000*(1/$R69+AJ69))),"---")</f>
        <v>NA</v>
      </c>
      <c r="AM69" s="376" t="str">
        <f>IF(Start!$C$18="x",IF(AL69 = "NA", "NA", AL69*(Data!$D$52*Data!$D$53*10000)),"---")</f>
        <v>NA</v>
      </c>
      <c r="AN69" s="376" t="str">
        <f>IF(Start!$C$18="x",IF(AM69 = "NA", "NA", AM69*(Data!$D$54)),"---")</f>
        <v>NA</v>
      </c>
      <c r="AO69" s="498" t="str">
        <f>IF(Start!$C$18="x",IF(AN69="NA","NA",AN69*Data!$D$41),"---")</f>
        <v>NA</v>
      </c>
      <c r="AP69" s="376" t="str">
        <f>IF(Start!$C$18="x",IF(OR(Q69=0,N69="NA",N69="",AG69="NA",AG69="",AG69=0,Q69="",Q69="NA"),"NA", (3.1416*Data!$D$56*86400/($AG69*(Data!$D$55+(N69*Data!$D$19/(Q69*1000)))))^0.5),"---")</f>
        <v>NA</v>
      </c>
      <c r="AQ69" s="376" t="str">
        <f>IF(Start!$C$18="x",IF(OR(AH69="NA",AI69="NA",AI69="",AI69=0,AH69=""),"NA", AH69/AI69),"---")</f>
        <v>NA</v>
      </c>
      <c r="AR69" s="376" t="str">
        <f>IF(Start!$C$18="x",IF(OR(AQ69="NA",AP69="NA",$R69="NA",R69=0,R69=""),"NA",(2*AQ69)/(1000*(1/$R69+AP69))),"---")</f>
        <v>NA</v>
      </c>
      <c r="AS69" s="376" t="str">
        <f>IF(Start!$C$18="x",IF(AR69 = "NA", "NA", AR69*(Data!$D$52*Data!$D$53*10000)),"---")</f>
        <v>NA</v>
      </c>
      <c r="AT69" s="376" t="str">
        <f>IF(Start!$C$18="x",IF(AS69 = "NA", "NA", (AS69*1000)/(Data!$D$48*3*Data!$D$53)),"---")</f>
        <v>NA</v>
      </c>
      <c r="AU69" s="498" t="str">
        <f>IF(Start!$C$18="x",IF(AT69="NA","NA",AT69*Data!$D$47),"---")</f>
        <v>NA</v>
      </c>
      <c r="AV69" s="283" t="str">
        <f>IF(Start!$C$18="x",(IF(AND(F69="",G69= "",G69&lt;&gt;"NA"),"",IF(OR(AD69="NA",I69="NA",I69=0),"NA",(AD69/I69)))),"Not Req.")</f>
        <v/>
      </c>
      <c r="AW69" s="284" t="str">
        <f>IF(Start!$C$18="x",(IF(AND(F69="",G69= "",G69&lt;&gt;"NA"),"",IF(OR(AF69="NA",I69="NA",I69=0),"NA",(AF69/I69)))),"Not Req.")</f>
        <v/>
      </c>
      <c r="AX69" s="284" t="str">
        <f>IF(Start!$C$18="x",(IF(F69 ="","",IF(OR(AO69="NA",I69="NA",I69=0),"NA",(AO69/I69)))),"Not Req.")</f>
        <v/>
      </c>
      <c r="AY69" s="344" t="str">
        <f>IF(Start!$C$18="x",(IF(F69 ="","",IF(OR(AU69="NA",I69="NA",I69=0),"NA",(AU69/I69)))),"Not Req.")</f>
        <v/>
      </c>
      <c r="AZ69" s="208"/>
    </row>
    <row r="70" spans="1:52" s="23" customFormat="1" x14ac:dyDescent="0.25">
      <c r="A70" s="405" t="s">
        <v>388</v>
      </c>
      <c r="B70" s="347" t="str">
        <f>IF(Start!$C$18="x",IF(AND(OR(F70="",F70="NA"),OR(G70="",G70="NA")),"",IF(I70="NA","NA",IF(AND(I70="",K70="--"),"NA",IF(AD70="NA","Missing Data",IF(I70="","No Criteria",IF(AD70&gt;=I70,"Needed","No")))))),"---")</f>
        <v/>
      </c>
      <c r="C70" s="501" t="str">
        <f>IF(Start!$C$18="x",IF(AND(OR(F70="",F70="NA"),OR(G70="",G70="NA")),"",IF(I70="NA","NA",IF(AND(I70="",K70="--"),"NA",IF(AF70="NA","Missing Data",IF(I70="","No Criteria",IF(AF70&gt;=I70,"Needed","No")))))),"---")</f>
        <v/>
      </c>
      <c r="D70" s="347" t="str">
        <f>IF(Start!$C$18="x",IF(AND(OR(F70="",F70="NA"),OR(G70="",G70="NA")),"",IF(I70="NA","NA",IF(AND(I70="",K70="--"),"NA",IF(AO70="NA","Missing Data",IF(I70="","No Criteria",IF(AO70&gt;=I70,"Needed","No")))))),"---")</f>
        <v/>
      </c>
      <c r="E70" s="401" t="str">
        <f>IF(Start!$C$18="x",IF(AND(OR(F70="",F70="NA"),OR(G70="",G70="NA")),"",IF(I70="NA","NA",IF(AND(I70="",K70="--"),"NA",IF(AU70="NA","Missing Data",IF(I70="","No Criteria",IF(AU70&gt;=I70,"Needed","No")))))),"---")</f>
        <v/>
      </c>
      <c r="F70" s="431" t="str">
        <f>IF(TRUE=ISBLANK(ChemData!B70),"",(ChemData!B70))</f>
        <v/>
      </c>
      <c r="G70" s="432" t="str">
        <f>IF(TRUE=ISBLANK(ChemData!C70),"",(ChemData!C70))</f>
        <v/>
      </c>
      <c r="H70" s="433" t="str">
        <f>IF(TRUE=ISBLANK(ChemData!D70),"",(ChemData!D70))</f>
        <v/>
      </c>
      <c r="I70" s="919" t="str">
        <f>IF(TRUE=ISBLANK(ChemData!K70),"",(ChemData!K70))</f>
        <v>NA</v>
      </c>
      <c r="J70" s="290">
        <f>IF(TRUE=ISBLANK(ChemData!M70),"",(ChemData!M70))</f>
        <v>156.22999999999999</v>
      </c>
      <c r="K70" s="290">
        <f>IF(TRUE=ISBLANK(ChemData!N70),"",(ChemData!N70))</f>
        <v>1.1999999999999999E-3</v>
      </c>
      <c r="L70" s="290">
        <f>IF(TRUE=ISBLANK(ChemData!O70),"",(ChemData!O70))</f>
        <v>0.15667136544089752</v>
      </c>
      <c r="M70" s="290" t="str">
        <f>IF(TRUE=ISBLANK(ChemData!Q70),"",(ChemData!Q70))</f>
        <v>NA</v>
      </c>
      <c r="N70" s="290" t="str">
        <f>IF(TRUE=ISBLANK(ChemData!R70),"",(ChemData!R70))</f>
        <v>NA</v>
      </c>
      <c r="O70" s="290">
        <f>IF(TRUE=ISBLANK(ChemData!S70),"",(ChemData!S70))</f>
        <v>1</v>
      </c>
      <c r="P70" s="291">
        <f>IF(TRUE=ISBLANK(ChemData!T70),"",(ChemData!T70))</f>
        <v>1</v>
      </c>
      <c r="Q70" s="375">
        <f>IF(Start!$C$18="x",IF(OR(K70="NA",K70="",K70="--"),"NA",(K70*1000000/82.1/Data!$D$50)),"---")</f>
        <v>4.7149424384110648E-2</v>
      </c>
      <c r="R70" s="376">
        <f>IF(Start!$C$18="x",IF(OR(J70="NA",J70=0,J70=""),"NA",(0.32*(Data!$D$48+Data!$D$49)*(18/J70)^0.5)),"---")</f>
        <v>0.27969277500535111</v>
      </c>
      <c r="S70" s="376">
        <f>IF(Start!$C$18="x",IF(OR(J70="NA",J70= 0,J70=""),"NA",(0.0065*((Data!$D$49^0.969)/(Data!$D$51^0.673))*(32/J70)^0.5*EXP(0.526*Data!$D$48^-1.9))),"---")</f>
        <v>5.8951574305600267E-4</v>
      </c>
      <c r="T70" s="377">
        <f>IF(Start!$C$18="x",IF(OR(S70="NA",R70="NA",R70=0,Q70="NA",S70=0,Q70=0),"NA",(1/(1/S70+(1/(R70*Q70))))),"---")</f>
        <v>5.6429021401402759E-4</v>
      </c>
      <c r="U70" s="375" t="str">
        <f>IF(Start!$C$18="x",IF(OR(F70="NA",F70="",O70="",O70="NA"),"NA",(F70*$O70)),"---")</f>
        <v>NA</v>
      </c>
      <c r="V70" s="376" t="str">
        <f>IF(Start!$C$18="x",IF(OR(U70="NA",M70="NA",M70="",U70=""),"NA",U70/((Data!$D$18+((1-Data!$D$18)*Data!$D$14*M70))/((1-Data!$D$18)*Data!$D$14*1000))),"---")</f>
        <v>NA</v>
      </c>
      <c r="W70" s="376" t="str">
        <f>IF(Start!$C$18="x",IF(OR(G70="NA",U70="NA",G70="",U70=""),"NA",(U70 +($G70*(Data!$D$19-Data!$D$22)/(Data!$D$19*Data!$D$22)))),"---")</f>
        <v>NA</v>
      </c>
      <c r="X70" s="376" t="str">
        <f>IF(Start!$C$18="x",IF(OR(G70="NA",V70="NA",G70="",V70=""),"NA",(((Data!$D$22*Data!$D$18)*V70)+(Data!$D$19-Data!$D$22)*$G70)/((Data!$D$22*Data!$D$18)+Data!$D$19-Data!$D$22)),"---")</f>
        <v>NA</v>
      </c>
      <c r="Y70" s="376" t="str">
        <f>IF(Start!$C$18="x",IF(OR(W70="NA",W70="",M70="NA",M70=""),"NA",(W70/((Data!$D$23+((1-Data!$D$23)*Data!$D$14*M70)) /((1-Data!$D$23)*Data!$D$14*1000)))),"---")</f>
        <v>NA</v>
      </c>
      <c r="Z70" s="376" t="str">
        <f>IF(Start!$C$18="x",IF(OR(Y70="NA",X70="NA"),"NA",IF(Y70&gt;X70, Y70, X70)),"---")</f>
        <v>NA</v>
      </c>
      <c r="AA70" s="461" t="str">
        <f>IF(Start!$C$18="x",IF(OR(Z70="NA",T70="NA"),"NA",Z70*T70/(1000000000)),"---")</f>
        <v>NA</v>
      </c>
      <c r="AB70" s="1057" t="str">
        <f>IF(Start!$C$18="x",IF(AA70 = "NA", "NA", AA70*(Data!$D$52*Data!$D$53*10000)),"---")</f>
        <v>NA</v>
      </c>
      <c r="AC70" s="375" t="str">
        <f>IF(Start!$C$18="x",IF(AB70="NA", "NA", AB70*Data!$D$54),"---")</f>
        <v>NA</v>
      </c>
      <c r="AD70" s="498" t="str">
        <f>IF(Start!$C$18="x",IF(AC70="NA","NA",AC70*Data!$D$41),"---")</f>
        <v>NA</v>
      </c>
      <c r="AE70" s="376" t="str">
        <f>IF(Start!$C$18="x",IF(AB70 = "NA", "NA", AB70/(Data!$D$53*3*Data!$D$48)*1000),"---")</f>
        <v>NA</v>
      </c>
      <c r="AF70" s="498" t="str">
        <f>IF(Start!$C$18="x",IF(AE70="NA","NA",AE70*Data!$D$46),"---")</f>
        <v>NA</v>
      </c>
      <c r="AG70" s="375">
        <f>IF(Start!$C$18="x",IF(OR($L70="NA",L70=""),"NA",($L70*(Data!$D$55^3.33)/(Data!$D$18^2))),"---")</f>
        <v>1.5960885431159145E-3</v>
      </c>
      <c r="AH70" s="376" t="str">
        <f>IF(Start!$C$18="x",IF(OR(F70="NA",F70="",P70="NA",P70=""),"NA",IF(100/Data!$D$10&gt;Data!$D$13,(F70*$P70),(F70*$P70)*Data!$D$13)),"---")</f>
        <v>NA</v>
      </c>
      <c r="AI70" s="489" t="str">
        <f>IF(Start!$C$18="x",IF(OR($N70="NA",$Q70="NA",$Q70=0,Q70="",N70=""),"NA",(1000*$N70/$Q70)),"---")</f>
        <v>NA</v>
      </c>
      <c r="AJ70" s="376" t="str">
        <f>IF(Start!$C$18="x",IF(OR(Q70 = "NA",Q70=0,N70 = "NA",N70="",Q70=""), "NA", IF($AG70="NA","NA",(3.1416*Data!$D$57*86400/($AG70*(Data!$D$55+(N70*Data!$D$19/(Q70*1000)))))^0.5)),"---")</f>
        <v>NA</v>
      </c>
      <c r="AK70" s="376" t="str">
        <f>IF(Start!$C$18="x",IF(OR(AH70 = "NA",AI70="NA",AI70=0,AI70="",AH70=""), "NA", AH70/AI70),"---")</f>
        <v>NA</v>
      </c>
      <c r="AL70" s="376" t="str">
        <f>IF(Start!$C$18="x",IF(OR(AK70 ="NA",AK70="",AJ70= "NA",R70="NA",R70=0),"NA",(2*AK70)/(1000*(1/$R70+AJ70))),"---")</f>
        <v>NA</v>
      </c>
      <c r="AM70" s="376" t="str">
        <f>IF(Start!$C$18="x",IF(AL70 = "NA", "NA", AL70*(Data!$D$52*Data!$D$53*10000)),"---")</f>
        <v>NA</v>
      </c>
      <c r="AN70" s="376" t="str">
        <f>IF(Start!$C$18="x",IF(AM70 = "NA", "NA", AM70*(Data!$D$54)),"---")</f>
        <v>NA</v>
      </c>
      <c r="AO70" s="498" t="str">
        <f>IF(Start!$C$18="x",IF(AN70="NA","NA",AN70*Data!$D$41),"---")</f>
        <v>NA</v>
      </c>
      <c r="AP70" s="376" t="str">
        <f>IF(Start!$C$18="x",IF(OR(Q70=0,N70="NA",N70="",AG70="NA",AG70="",AG70=0,Q70="",Q70="NA"),"NA", (3.1416*Data!$D$56*86400/($AG70*(Data!$D$55+(N70*Data!$D$19/(Q70*1000)))))^0.5),"---")</f>
        <v>NA</v>
      </c>
      <c r="AQ70" s="376" t="str">
        <f>IF(Start!$C$18="x",IF(OR(AH70="NA",AI70="NA",AI70="",AI70=0,AH70=""),"NA", AH70/AI70),"---")</f>
        <v>NA</v>
      </c>
      <c r="AR70" s="376" t="str">
        <f>IF(Start!$C$18="x",IF(OR(AQ70="NA",AP70="NA",$R70="NA",R70=0,R70=""),"NA",(2*AQ70)/(1000*(1/$R70+AP70))),"---")</f>
        <v>NA</v>
      </c>
      <c r="AS70" s="376" t="str">
        <f>IF(Start!$C$18="x",IF(AR70 = "NA", "NA", AR70*(Data!$D$52*Data!$D$53*10000)),"---")</f>
        <v>NA</v>
      </c>
      <c r="AT70" s="376" t="str">
        <f>IF(Start!$C$18="x",IF(AS70 = "NA", "NA", (AS70*1000)/(Data!$D$48*3*Data!$D$53)),"---")</f>
        <v>NA</v>
      </c>
      <c r="AU70" s="498" t="str">
        <f>IF(Start!$C$18="x",IF(AT70="NA","NA",AT70*Data!$D$47),"---")</f>
        <v>NA</v>
      </c>
      <c r="AV70" s="283" t="str">
        <f>IF(Start!$C$18="x",(IF(AND(F70="",G70= "",G70&lt;&gt;"NA"),"",IF(OR(AD70="NA",I70="NA",I70=0),"NA",(AD70/I70)))),"Not Req.")</f>
        <v/>
      </c>
      <c r="AW70" s="284" t="str">
        <f>IF(Start!$C$18="x",(IF(AND(F70="",G70= "",G70&lt;&gt;"NA"),"",IF(OR(AF70="NA",I70="NA",I70=0),"NA",(AF70/I70)))),"Not Req.")</f>
        <v/>
      </c>
      <c r="AX70" s="284" t="str">
        <f>IF(Start!$C$18="x",(IF(F70 ="","",IF(OR(AO70="NA",I70="NA",I70=0),"NA",(AO70/I70)))),"Not Req.")</f>
        <v/>
      </c>
      <c r="AY70" s="344" t="str">
        <f>IF(Start!$C$18="x",(IF(F70 ="","",IF(OR(AU70="NA",I70="NA",I70=0),"NA",(AU70/I70)))),"Not Req.")</f>
        <v/>
      </c>
      <c r="AZ70" s="208"/>
    </row>
    <row r="71" spans="1:52" s="23" customFormat="1" x14ac:dyDescent="0.25">
      <c r="A71" s="405" t="s">
        <v>389</v>
      </c>
      <c r="B71" s="347" t="str">
        <f>IF(Start!$C$18="x",IF(AND(OR(F71="",F71="NA"),OR(G71="",G71="NA")),"",IF(I71="NA","NA",IF(AND(I71="",K71="--"),"NA",IF(AD71="NA","Missing Data",IF(I71="","No Criteria",IF(AD71&gt;=I71,"Needed","No")))))),"---")</f>
        <v/>
      </c>
      <c r="C71" s="501" t="str">
        <f>IF(Start!$C$18="x",IF(AND(OR(F71="",F71="NA"),OR(G71="",G71="NA")),"",IF(I71="NA","NA",IF(AND(I71="",K71="--"),"NA",IF(AF71="NA","Missing Data",IF(I71="","No Criteria",IF(AF71&gt;=I71,"Needed","No")))))),"---")</f>
        <v/>
      </c>
      <c r="D71" s="347" t="str">
        <f>IF(Start!$C$18="x",IF(AND(OR(F71="",F71="NA"),OR(G71="",G71="NA")),"",IF(I71="NA","NA",IF(AND(I71="",K71="--"),"NA",IF(AO71="NA","Missing Data",IF(I71="","No Criteria",IF(AO71&gt;=I71,"Needed","No")))))),"---")</f>
        <v/>
      </c>
      <c r="E71" s="401" t="str">
        <f>IF(Start!$C$18="x",IF(AND(OR(F71="",F71="NA"),OR(G71="",G71="NA")),"",IF(I71="NA","NA",IF(AND(I71="",K71="--"),"NA",IF(AU71="NA","Missing Data",IF(I71="","No Criteria",IF(AU71&gt;=I71,"Needed","No")))))),"---")</f>
        <v/>
      </c>
      <c r="F71" s="431" t="str">
        <f>IF(TRUE=ISBLANK(ChemData!B71),"",(ChemData!B71))</f>
        <v/>
      </c>
      <c r="G71" s="432" t="str">
        <f>IF(TRUE=ISBLANK(ChemData!C71),"",(ChemData!C71))</f>
        <v/>
      </c>
      <c r="H71" s="433" t="str">
        <f>IF(TRUE=ISBLANK(ChemData!D71),"",(ChemData!D71))</f>
        <v/>
      </c>
      <c r="I71" s="919" t="str">
        <f>IF(TRUE=ISBLANK(ChemData!K71),"",(ChemData!K71))</f>
        <v>NA</v>
      </c>
      <c r="J71" s="290">
        <f>IF(TRUE=ISBLANK(ChemData!M71),"",(ChemData!M71))</f>
        <v>156.22999999999999</v>
      </c>
      <c r="K71" s="290" t="str">
        <f>IF(TRUE=ISBLANK(ChemData!N71),"",(ChemData!N71))</f>
        <v/>
      </c>
      <c r="L71" s="290">
        <f>IF(TRUE=ISBLANK(ChemData!O71),"",(ChemData!O71))</f>
        <v>0.15667136544089752</v>
      </c>
      <c r="M71" s="290" t="str">
        <f>IF(TRUE=ISBLANK(ChemData!Q71),"",(ChemData!Q71))</f>
        <v>NA</v>
      </c>
      <c r="N71" s="290" t="str">
        <f>IF(TRUE=ISBLANK(ChemData!R71),"",(ChemData!R71))</f>
        <v>NA</v>
      </c>
      <c r="O71" s="290">
        <f>IF(TRUE=ISBLANK(ChemData!S71),"",(ChemData!S71))</f>
        <v>1</v>
      </c>
      <c r="P71" s="291">
        <f>IF(TRUE=ISBLANK(ChemData!T71),"",(ChemData!T71))</f>
        <v>1</v>
      </c>
      <c r="Q71" s="375" t="str">
        <f>IF(Start!$C$18="x",IF(OR(K71="NA",K71="",K71="--"),"NA",(K71*1000000/82.1/Data!$D$50)),"---")</f>
        <v>NA</v>
      </c>
      <c r="R71" s="376">
        <f>IF(Start!$C$18="x",IF(OR(J71="NA",J71=0,J71=""),"NA",(0.32*(Data!$D$48+Data!$D$49)*(18/J71)^0.5)),"---")</f>
        <v>0.27969277500535111</v>
      </c>
      <c r="S71" s="376">
        <f>IF(Start!$C$18="x",IF(OR(J71="NA",J71= 0,J71=""),"NA",(0.0065*((Data!$D$49^0.969)/(Data!$D$51^0.673))*(32/J71)^0.5*EXP(0.526*Data!$D$48^-1.9))),"---")</f>
        <v>5.8951574305600267E-4</v>
      </c>
      <c r="T71" s="377" t="str">
        <f>IF(Start!$C$18="x",IF(OR(S71="NA",R71="NA",R71=0,Q71="NA",S71=0,Q71=0),"NA",(1/(1/S71+(1/(R71*Q71))))),"---")</f>
        <v>NA</v>
      </c>
      <c r="U71" s="375" t="str">
        <f>IF(Start!$C$18="x",IF(OR(F71="NA",F71="",O71="",O71="NA"),"NA",(F71*$O71)),"---")</f>
        <v>NA</v>
      </c>
      <c r="V71" s="376" t="str">
        <f>IF(Start!$C$18="x",IF(OR(U71="NA",M71="NA",M71="",U71=""),"NA",U71/((Data!$D$18+((1-Data!$D$18)*Data!$D$14*M71))/((1-Data!$D$18)*Data!$D$14*1000))),"---")</f>
        <v>NA</v>
      </c>
      <c r="W71" s="376" t="str">
        <f>IF(Start!$C$18="x",IF(OR(G71="NA",U71="NA",G71="",U71=""),"NA",(U71 +($G71*(Data!$D$19-Data!$D$22)/(Data!$D$19*Data!$D$22)))),"---")</f>
        <v>NA</v>
      </c>
      <c r="X71" s="376" t="str">
        <f>IF(Start!$C$18="x",IF(OR(G71="NA",V71="NA",G71="",V71=""),"NA",(((Data!$D$22*Data!$D$18)*V71)+(Data!$D$19-Data!$D$22)*$G71)/((Data!$D$22*Data!$D$18)+Data!$D$19-Data!$D$22)),"---")</f>
        <v>NA</v>
      </c>
      <c r="Y71" s="376" t="str">
        <f>IF(Start!$C$18="x",IF(OR(W71="NA",W71="",M71="NA",M71=""),"NA",(W71/((Data!$D$23+((1-Data!$D$23)*Data!$D$14*M71)) /((1-Data!$D$23)*Data!$D$14*1000)))),"---")</f>
        <v>NA</v>
      </c>
      <c r="Z71" s="376" t="str">
        <f>IF(Start!$C$18="x",IF(OR(Y71="NA",X71="NA"),"NA",IF(Y71&gt;X71, Y71, X71)),"---")</f>
        <v>NA</v>
      </c>
      <c r="AA71" s="461" t="str">
        <f>IF(Start!$C$18="x",IF(OR(Z71="NA",T71="NA"),"NA",Z71*T71/(1000000000)),"---")</f>
        <v>NA</v>
      </c>
      <c r="AB71" s="1057" t="str">
        <f>IF(Start!$C$18="x",IF(AA71 = "NA", "NA", AA71*(Data!$D$52*Data!$D$53*10000)),"---")</f>
        <v>NA</v>
      </c>
      <c r="AC71" s="375" t="str">
        <f>IF(Start!$C$18="x",IF(AB71="NA", "NA", AB71*Data!$D$54),"---")</f>
        <v>NA</v>
      </c>
      <c r="AD71" s="498" t="str">
        <f>IF(Start!$C$18="x",IF(AC71="NA","NA",AC71*Data!$D$41),"---")</f>
        <v>NA</v>
      </c>
      <c r="AE71" s="376" t="str">
        <f>IF(Start!$C$18="x",IF(AB71 = "NA", "NA", AB71/(Data!$D$53*3*Data!$D$48)*1000),"---")</f>
        <v>NA</v>
      </c>
      <c r="AF71" s="498" t="str">
        <f>IF(Start!$C$18="x",IF(AE71="NA","NA",AE71*Data!$D$46),"---")</f>
        <v>NA</v>
      </c>
      <c r="AG71" s="375">
        <f>IF(Start!$C$18="x",IF(OR($L71="NA",L71=""),"NA",($L71*(Data!$D$55^3.33)/(Data!$D$18^2))),"---")</f>
        <v>1.5960885431159145E-3</v>
      </c>
      <c r="AH71" s="376" t="str">
        <f>IF(Start!$C$18="x",IF(OR(F71="NA",F71="",P71="NA",P71=""),"NA",IF(100/Data!$D$10&gt;Data!$D$13,(F71*$P71),(F71*$P71)*Data!$D$13)),"---")</f>
        <v>NA</v>
      </c>
      <c r="AI71" s="489" t="str">
        <f>IF(Start!$C$18="x",IF(OR($N71="NA",$Q71="NA",$Q71=0,Q71="",N71=""),"NA",(1000*$N71/$Q71)),"---")</f>
        <v>NA</v>
      </c>
      <c r="AJ71" s="376" t="str">
        <f>IF(Start!$C$18="x",IF(OR(Q71 = "NA",Q71=0,N71 = "NA",N71="",Q71=""), "NA", IF($AG71="NA","NA",(3.1416*Data!$D$57*86400/($AG71*(Data!$D$55+(N71*Data!$D$19/(Q71*1000)))))^0.5)),"---")</f>
        <v>NA</v>
      </c>
      <c r="AK71" s="376" t="str">
        <f>IF(Start!$C$18="x",IF(OR(AH71 = "NA",AI71="NA",AI71=0,AI71="",AH71=""), "NA", AH71/AI71),"---")</f>
        <v>NA</v>
      </c>
      <c r="AL71" s="376" t="str">
        <f>IF(Start!$C$18="x",IF(OR(AK71 ="NA",AK71="",AJ71= "NA",R71="NA",R71=0),"NA",(2*AK71)/(1000*(1/$R71+AJ71))),"---")</f>
        <v>NA</v>
      </c>
      <c r="AM71" s="376" t="str">
        <f>IF(Start!$C$18="x",IF(AL71 = "NA", "NA", AL71*(Data!$D$52*Data!$D$53*10000)),"---")</f>
        <v>NA</v>
      </c>
      <c r="AN71" s="376" t="str">
        <f>IF(Start!$C$18="x",IF(AM71 = "NA", "NA", AM71*(Data!$D$54)),"---")</f>
        <v>NA</v>
      </c>
      <c r="AO71" s="498" t="str">
        <f>IF(Start!$C$18="x",IF(AN71="NA","NA",AN71*Data!$D$41),"---")</f>
        <v>NA</v>
      </c>
      <c r="AP71" s="376" t="str">
        <f>IF(Start!$C$18="x",IF(OR(Q71=0,N71="NA",N71="",AG71="NA",AG71="",AG71=0,Q71="",Q71="NA"),"NA", (3.1416*Data!$D$56*86400/($AG71*(Data!$D$55+(N71*Data!$D$19/(Q71*1000)))))^0.5),"---")</f>
        <v>NA</v>
      </c>
      <c r="AQ71" s="376" t="str">
        <f>IF(Start!$C$18="x",IF(OR(AH71="NA",AI71="NA",AI71="",AI71=0,AH71=""),"NA", AH71/AI71),"---")</f>
        <v>NA</v>
      </c>
      <c r="AR71" s="376" t="str">
        <f>IF(Start!$C$18="x",IF(OR(AQ71="NA",AP71="NA",$R71="NA",R71=0,R71=""),"NA",(2*AQ71)/(1000*(1/$R71+AP71))),"---")</f>
        <v>NA</v>
      </c>
      <c r="AS71" s="376" t="str">
        <f>IF(Start!$C$18="x",IF(AR71 = "NA", "NA", AR71*(Data!$D$52*Data!$D$53*10000)),"---")</f>
        <v>NA</v>
      </c>
      <c r="AT71" s="376" t="str">
        <f>IF(Start!$C$18="x",IF(AS71 = "NA", "NA", (AS71*1000)/(Data!$D$48*3*Data!$D$53)),"---")</f>
        <v>NA</v>
      </c>
      <c r="AU71" s="498" t="str">
        <f>IF(Start!$C$18="x",IF(AT71="NA","NA",AT71*Data!$D$47),"---")</f>
        <v>NA</v>
      </c>
      <c r="AV71" s="283" t="str">
        <f>IF(Start!$C$18="x",(IF(AND(F71="",G71= "",G71&lt;&gt;"NA"),"",IF(OR(AD71="NA",I71="NA",I71=0),"NA",(AD71/I71)))),"Not Req.")</f>
        <v/>
      </c>
      <c r="AW71" s="284" t="str">
        <f>IF(Start!$C$18="x",(IF(AND(F71="",G71= "",G71&lt;&gt;"NA"),"",IF(OR(AF71="NA",I71="NA",I71=0),"NA",(AF71/I71)))),"Not Req.")</f>
        <v/>
      </c>
      <c r="AX71" s="284" t="str">
        <f>IF(Start!$C$18="x",(IF(F71 ="","",IF(OR(AO71="NA",I71="NA",I71=0),"NA",(AO71/I71)))),"Not Req.")</f>
        <v/>
      </c>
      <c r="AY71" s="344" t="str">
        <f>IF(Start!$C$18="x",(IF(F71 ="","",IF(OR(AU71="NA",I71="NA",I71=0),"NA",(AU71/I71)))),"Not Req.")</f>
        <v/>
      </c>
      <c r="AZ71" s="208"/>
    </row>
    <row r="72" spans="1:52" s="23" customFormat="1" x14ac:dyDescent="0.25">
      <c r="A72" s="405" t="s">
        <v>390</v>
      </c>
      <c r="B72" s="347" t="str">
        <f>IF(Start!$C$18="x",IF(AND(OR(F72="",F72="NA"),OR(G72="",G72="NA")),"",IF(I72="NA","NA",IF(AND(I72="",K72="--"),"NA",IF(AD72="NA","Missing Data",IF(I72="","No Criteria",IF(AD72&gt;=I72,"Needed","No")))))),"---")</f>
        <v/>
      </c>
      <c r="C72" s="501" t="str">
        <f>IF(Start!$C$18="x",IF(AND(OR(F72="",F72="NA"),OR(G72="",G72="NA")),"",IF(I72="NA","NA",IF(AND(I72="",K72="--"),"NA",IF(AF72="NA","Missing Data",IF(I72="","No Criteria",IF(AF72&gt;=I72,"Needed","No")))))),"---")</f>
        <v/>
      </c>
      <c r="D72" s="347" t="str">
        <f>IF(Start!$C$18="x",IF(AND(OR(F72="",F72="NA"),OR(G72="",G72="NA")),"",IF(I72="NA","NA",IF(AND(I72="",K72="--"),"NA",IF(AO72="NA","Missing Data",IF(I72="","No Criteria",IF(AO72&gt;=I72,"Needed","No")))))),"---")</f>
        <v/>
      </c>
      <c r="E72" s="401" t="str">
        <f>IF(Start!$C$18="x",IF(AND(OR(F72="",F72="NA"),OR(G72="",G72="NA")),"",IF(I72="NA","NA",IF(AND(I72="",K72="--"),"NA",IF(AU72="NA","Missing Data",IF(I72="","No Criteria",IF(AU72&gt;=I72,"Needed","No")))))),"---")</f>
        <v/>
      </c>
      <c r="F72" s="431" t="str">
        <f>IF(TRUE=ISBLANK(ChemData!B72),"",(ChemData!B72))</f>
        <v/>
      </c>
      <c r="G72" s="432" t="str">
        <f>IF(TRUE=ISBLANK(ChemData!C72),"",(ChemData!C72))</f>
        <v/>
      </c>
      <c r="H72" s="433" t="str">
        <f>IF(TRUE=ISBLANK(ChemData!D72),"",(ChemData!D72))</f>
        <v/>
      </c>
      <c r="I72" s="919" t="str">
        <f>IF(TRUE=ISBLANK(ChemData!K72),"",(ChemData!K72))</f>
        <v>NA</v>
      </c>
      <c r="J72" s="290">
        <f>IF(TRUE=ISBLANK(ChemData!M72),"",(ChemData!M72))</f>
        <v>156.22999999999999</v>
      </c>
      <c r="K72" s="290" t="str">
        <f>IF(TRUE=ISBLANK(ChemData!N72),"",(ChemData!N72))</f>
        <v/>
      </c>
      <c r="L72" s="290">
        <f>IF(TRUE=ISBLANK(ChemData!O72),"",(ChemData!O72))</f>
        <v>0.15667136544089752</v>
      </c>
      <c r="M72" s="290" t="str">
        <f>IF(TRUE=ISBLANK(ChemData!Q72),"",(ChemData!Q72))</f>
        <v>NA</v>
      </c>
      <c r="N72" s="290" t="str">
        <f>IF(TRUE=ISBLANK(ChemData!R72),"",(ChemData!R72))</f>
        <v>NA</v>
      </c>
      <c r="O72" s="290">
        <f>IF(TRUE=ISBLANK(ChemData!S72),"",(ChemData!S72))</f>
        <v>1</v>
      </c>
      <c r="P72" s="291">
        <f>IF(TRUE=ISBLANK(ChemData!T72),"",(ChemData!T72))</f>
        <v>1</v>
      </c>
      <c r="Q72" s="375" t="str">
        <f>IF(Start!$C$18="x",IF(OR(K72="NA",K72="",K72="--"),"NA",(K72*1000000/82.1/Data!$D$50)),"---")</f>
        <v>NA</v>
      </c>
      <c r="R72" s="376">
        <f>IF(Start!$C$18="x",IF(OR(J72="NA",J72=0,J72=""),"NA",(0.32*(Data!$D$48+Data!$D$49)*(18/J72)^0.5)),"---")</f>
        <v>0.27969277500535111</v>
      </c>
      <c r="S72" s="376">
        <f>IF(Start!$C$18="x",IF(OR(J72="NA",J72= 0,J72=""),"NA",(0.0065*((Data!$D$49^0.969)/(Data!$D$51^0.673))*(32/J72)^0.5*EXP(0.526*Data!$D$48^-1.9))),"---")</f>
        <v>5.8951574305600267E-4</v>
      </c>
      <c r="T72" s="377" t="str">
        <f>IF(Start!$C$18="x",IF(OR(S72="NA",R72="NA",R72=0,Q72="NA",S72=0,Q72=0),"NA",(1/(1/S72+(1/(R72*Q72))))),"---")</f>
        <v>NA</v>
      </c>
      <c r="U72" s="375" t="str">
        <f>IF(Start!$C$18="x",IF(OR(F72="NA",F72="",O72="",O72="NA"),"NA",(F72*$O72)),"---")</f>
        <v>NA</v>
      </c>
      <c r="V72" s="376" t="str">
        <f>IF(Start!$C$18="x",IF(OR(U72="NA",M72="NA",M72="",U72=""),"NA",U72/((Data!$D$18+((1-Data!$D$18)*Data!$D$14*M72))/((1-Data!$D$18)*Data!$D$14*1000))),"---")</f>
        <v>NA</v>
      </c>
      <c r="W72" s="376" t="str">
        <f>IF(Start!$C$18="x",IF(OR(G72="NA",U72="NA",G72="",U72=""),"NA",(U72 +($G72*(Data!$D$19-Data!$D$22)/(Data!$D$19*Data!$D$22)))),"---")</f>
        <v>NA</v>
      </c>
      <c r="X72" s="376" t="str">
        <f>IF(Start!$C$18="x",IF(OR(G72="NA",V72="NA",G72="",V72=""),"NA",(((Data!$D$22*Data!$D$18)*V72)+(Data!$D$19-Data!$D$22)*$G72)/((Data!$D$22*Data!$D$18)+Data!$D$19-Data!$D$22)),"---")</f>
        <v>NA</v>
      </c>
      <c r="Y72" s="376" t="str">
        <f>IF(Start!$C$18="x",IF(OR(W72="NA",W72="",M72="NA",M72=""),"NA",(W72/((Data!$D$23+((1-Data!$D$23)*Data!$D$14*M72)) /((1-Data!$D$23)*Data!$D$14*1000)))),"---")</f>
        <v>NA</v>
      </c>
      <c r="Z72" s="376" t="str">
        <f>IF(Start!$C$18="x",IF(OR(Y72="NA",X72="NA"),"NA",IF(Y72&gt;X72, Y72, X72)),"---")</f>
        <v>NA</v>
      </c>
      <c r="AA72" s="461" t="str">
        <f>IF(Start!$C$18="x",IF(OR(Z72="NA",T72="NA"),"NA",Z72*T72/(1000000000)),"---")</f>
        <v>NA</v>
      </c>
      <c r="AB72" s="1057" t="str">
        <f>IF(Start!$C$18="x",IF(AA72 = "NA", "NA", AA72*(Data!$D$52*Data!$D$53*10000)),"---")</f>
        <v>NA</v>
      </c>
      <c r="AC72" s="375" t="str">
        <f>IF(Start!$C$18="x",IF(AB72="NA", "NA", AB72*Data!$D$54),"---")</f>
        <v>NA</v>
      </c>
      <c r="AD72" s="498" t="str">
        <f>IF(Start!$C$18="x",IF(AC72="NA","NA",AC72*Data!$D$41),"---")</f>
        <v>NA</v>
      </c>
      <c r="AE72" s="376" t="str">
        <f>IF(Start!$C$18="x",IF(AB72 = "NA", "NA", AB72/(Data!$D$53*3*Data!$D$48)*1000),"---")</f>
        <v>NA</v>
      </c>
      <c r="AF72" s="498" t="str">
        <f>IF(Start!$C$18="x",IF(AE72="NA","NA",AE72*Data!$D$46),"---")</f>
        <v>NA</v>
      </c>
      <c r="AG72" s="375">
        <f>IF(Start!$C$18="x",IF(OR($L72="NA",L72=""),"NA",($L72*(Data!$D$55^3.33)/(Data!$D$18^2))),"---")</f>
        <v>1.5960885431159145E-3</v>
      </c>
      <c r="AH72" s="376" t="str">
        <f>IF(Start!$C$18="x",IF(OR(F72="NA",F72="",P72="NA",P72=""),"NA",IF(100/Data!$D$10&gt;Data!$D$13,(F72*$P72),(F72*$P72)*Data!$D$13)),"---")</f>
        <v>NA</v>
      </c>
      <c r="AI72" s="489" t="str">
        <f>IF(Start!$C$18="x",IF(OR($N72="NA",$Q72="NA",$Q72=0,Q72="",N72=""),"NA",(1000*$N72/$Q72)),"---")</f>
        <v>NA</v>
      </c>
      <c r="AJ72" s="376" t="str">
        <f>IF(Start!$C$18="x",IF(OR(Q72 = "NA",Q72=0,N72 = "NA",N72="",Q72=""), "NA", IF($AG72="NA","NA",(3.1416*Data!$D$57*86400/($AG72*(Data!$D$55+(N72*Data!$D$19/(Q72*1000)))))^0.5)),"---")</f>
        <v>NA</v>
      </c>
      <c r="AK72" s="376" t="str">
        <f>IF(Start!$C$18="x",IF(OR(AH72 = "NA",AI72="NA",AI72=0,AI72="",AH72=""), "NA", AH72/AI72),"---")</f>
        <v>NA</v>
      </c>
      <c r="AL72" s="376" t="str">
        <f>IF(Start!$C$18="x",IF(OR(AK72 ="NA",AK72="",AJ72= "NA",R72="NA",R72=0),"NA",(2*AK72)/(1000*(1/$R72+AJ72))),"---")</f>
        <v>NA</v>
      </c>
      <c r="AM72" s="376" t="str">
        <f>IF(Start!$C$18="x",IF(AL72 = "NA", "NA", AL72*(Data!$D$52*Data!$D$53*10000)),"---")</f>
        <v>NA</v>
      </c>
      <c r="AN72" s="376" t="str">
        <f>IF(Start!$C$18="x",IF(AM72 = "NA", "NA", AM72*(Data!$D$54)),"---")</f>
        <v>NA</v>
      </c>
      <c r="AO72" s="498" t="str">
        <f>IF(Start!$C$18="x",IF(AN72="NA","NA",AN72*Data!$D$41),"---")</f>
        <v>NA</v>
      </c>
      <c r="AP72" s="376" t="str">
        <f>IF(Start!$C$18="x",IF(OR(Q72=0,N72="NA",N72="",AG72="NA",AG72="",AG72=0,Q72="",Q72="NA"),"NA", (3.1416*Data!$D$56*86400/($AG72*(Data!$D$55+(N72*Data!$D$19/(Q72*1000)))))^0.5),"---")</f>
        <v>NA</v>
      </c>
      <c r="AQ72" s="376" t="str">
        <f>IF(Start!$C$18="x",IF(OR(AH72="NA",AI72="NA",AI72="",AI72=0,AH72=""),"NA", AH72/AI72),"---")</f>
        <v>NA</v>
      </c>
      <c r="AR72" s="376" t="str">
        <f>IF(Start!$C$18="x",IF(OR(AQ72="NA",AP72="NA",$R72="NA",R72=0,R72=""),"NA",(2*AQ72)/(1000*(1/$R72+AP72))),"---")</f>
        <v>NA</v>
      </c>
      <c r="AS72" s="376" t="str">
        <f>IF(Start!$C$18="x",IF(AR72 = "NA", "NA", AR72*(Data!$D$52*Data!$D$53*10000)),"---")</f>
        <v>NA</v>
      </c>
      <c r="AT72" s="376" t="str">
        <f>IF(Start!$C$18="x",IF(AS72 = "NA", "NA", (AS72*1000)/(Data!$D$48*3*Data!$D$53)),"---")</f>
        <v>NA</v>
      </c>
      <c r="AU72" s="498" t="str">
        <f>IF(Start!$C$18="x",IF(AT72="NA","NA",AT72*Data!$D$47),"---")</f>
        <v>NA</v>
      </c>
      <c r="AV72" s="283" t="str">
        <f>IF(Start!$C$18="x",(IF(AND(F72="",G72= "",G72&lt;&gt;"NA"),"",IF(OR(AD72="NA",I72="NA",I72=0),"NA",(AD72/I72)))),"Not Req.")</f>
        <v/>
      </c>
      <c r="AW72" s="284" t="str">
        <f>IF(Start!$C$18="x",(IF(AND(F72="",G72= "",G72&lt;&gt;"NA"),"",IF(OR(AF72="NA",I72="NA",I72=0),"NA",(AF72/I72)))),"Not Req.")</f>
        <v/>
      </c>
      <c r="AX72" s="284" t="str">
        <f>IF(Start!$C$18="x",(IF(F72 ="","",IF(OR(AO72="NA",I72="NA",I72=0),"NA",(AO72/I72)))),"Not Req.")</f>
        <v/>
      </c>
      <c r="AY72" s="344" t="str">
        <f>IF(Start!$C$18="x",(IF(F72 ="","",IF(OR(AU72="NA",I72="NA",I72=0),"NA",(AU72/I72)))),"Not Req.")</f>
        <v/>
      </c>
      <c r="AZ72" s="208"/>
    </row>
    <row r="73" spans="1:52" s="23" customFormat="1" x14ac:dyDescent="0.25">
      <c r="A73" s="405" t="s">
        <v>391</v>
      </c>
      <c r="B73" s="347" t="str">
        <f>IF(Start!$C$18="x",IF(AND(OR(F73="",F73="NA"),OR(G73="",G73="NA")),"",IF(I73="NA","NA",IF(AND(I73="",K73="--"),"NA",IF(AD73="NA","Missing Data",IF(I73="","No Criteria",IF(AD73&gt;=I73,"Needed","No")))))),"---")</f>
        <v/>
      </c>
      <c r="C73" s="501" t="str">
        <f>IF(Start!$C$18="x",IF(AND(OR(F73="",F73="NA"),OR(G73="",G73="NA")),"",IF(I73="NA","NA",IF(AND(I73="",K73="--"),"NA",IF(AF73="NA","Missing Data",IF(I73="","No Criteria",IF(AF73&gt;=I73,"Needed","No")))))),"---")</f>
        <v/>
      </c>
      <c r="D73" s="347" t="str">
        <f>IF(Start!$C$18="x",IF(AND(OR(F73="",F73="NA"),OR(G73="",G73="NA")),"",IF(I73="NA","NA",IF(AND(I73="",K73="--"),"NA",IF(AO73="NA","Missing Data",IF(I73="","No Criteria",IF(AO73&gt;=I73,"Needed","No")))))),"---")</f>
        <v/>
      </c>
      <c r="E73" s="401" t="str">
        <f>IF(Start!$C$18="x",IF(AND(OR(F73="",F73="NA"),OR(G73="",G73="NA")),"",IF(I73="NA","NA",IF(AND(I73="",K73="--"),"NA",IF(AU73="NA","Missing Data",IF(I73="","No Criteria",IF(AU73&gt;=I73,"Needed","No")))))),"---")</f>
        <v/>
      </c>
      <c r="F73" s="431" t="str">
        <f>IF(TRUE=ISBLANK(ChemData!B73),"",(ChemData!B73))</f>
        <v/>
      </c>
      <c r="G73" s="432" t="str">
        <f>IF(TRUE=ISBLANK(ChemData!C73),"",(ChemData!C73))</f>
        <v/>
      </c>
      <c r="H73" s="433" t="str">
        <f>IF(TRUE=ISBLANK(ChemData!D73),"",(ChemData!D73))</f>
        <v/>
      </c>
      <c r="I73" s="919">
        <f>IF(TRUE=ISBLANK(ChemData!K73),"",(ChemData!K73))</f>
        <v>0.04</v>
      </c>
      <c r="J73" s="290">
        <f>IF(TRUE=ISBLANK(ChemData!M73),"",(ChemData!M73))</f>
        <v>202.3</v>
      </c>
      <c r="K73" s="290">
        <f>IF(TRUE=ISBLANK(ChemData!N73),"",(ChemData!N73))</f>
        <v>1.0200000000000001E-5</v>
      </c>
      <c r="L73" s="290">
        <f>IF(TRUE=ISBLANK(ChemData!O73),"",(ChemData!O73))</f>
        <v>3.0200000000000001E-2</v>
      </c>
      <c r="M73" s="290">
        <f>IF(TRUE=ISBLANK(ChemData!Q73),"",(ChemData!Q73))</f>
        <v>3071.8953656669246</v>
      </c>
      <c r="N73" s="290">
        <f>IF(TRUE=ISBLANK(ChemData!R73),"",(ChemData!R73))</f>
        <v>3071.8953656669246</v>
      </c>
      <c r="O73" s="290">
        <f>IF(TRUE=ISBLANK(ChemData!S73),"",(ChemData!S73))</f>
        <v>1</v>
      </c>
      <c r="P73" s="291">
        <f>IF(TRUE=ISBLANK(ChemData!T73),"",(ChemData!T73))</f>
        <v>1</v>
      </c>
      <c r="Q73" s="375">
        <f>IF(Start!$C$18="x",IF(OR(K73="NA",K73="",K73="--"),"NA",(K73*1000000/82.1/Data!$D$50)),"---")</f>
        <v>4.0077010726494053E-4</v>
      </c>
      <c r="R73" s="376">
        <f>IF(Start!$C$18="x",IF(OR(J73="NA",J73=0,J73=""),"NA",(0.32*(Data!$D$48+Data!$D$49)*(18/J73)^0.5)),"---")</f>
        <v>0.24579074325751682</v>
      </c>
      <c r="S73" s="376">
        <f>IF(Start!$C$18="x",IF(OR(J73="NA",J73= 0,J73=""),"NA",(0.0065*((Data!$D$49^0.969)/(Data!$D$51^0.673))*(32/J73)^0.5*EXP(0.526*Data!$D$48^-1.9))),"---")</f>
        <v>5.1805954817735276E-4</v>
      </c>
      <c r="T73" s="377">
        <f>IF(Start!$C$18="x",IF(OR(S73="NA",R73="NA",R73=0,Q73="NA",S73=0,Q73=0),"NA",(1/(1/S73+(1/(R73*Q73))))),"---")</f>
        <v>8.2767829449364026E-5</v>
      </c>
      <c r="U73" s="375" t="str">
        <f>IF(Start!$C$18="x",IF(OR(F73="NA",F73="",O73="",O73="NA"),"NA",(F73*$O73)),"---")</f>
        <v>NA</v>
      </c>
      <c r="V73" s="376" t="str">
        <f>IF(Start!$C$18="x",IF(OR(U73="NA",M73="NA",M73="",U73=""),"NA",U73/((Data!$D$18+((1-Data!$D$18)*Data!$D$14*M73))/((1-Data!$D$18)*Data!$D$14*1000))),"---")</f>
        <v>NA</v>
      </c>
      <c r="W73" s="376" t="str">
        <f>IF(Start!$C$18="x",IF(OR(G73="NA",U73="NA",G73="",U73=""),"NA",(U73 +($G73*(Data!$D$19-Data!$D$22)/(Data!$D$19*Data!$D$22)))),"---")</f>
        <v>NA</v>
      </c>
      <c r="X73" s="376" t="str">
        <f>IF(Start!$C$18="x",IF(OR(G73="NA",V73="NA",G73="",V73=""),"NA",(((Data!$D$22*Data!$D$18)*V73)+(Data!$D$19-Data!$D$22)*$G73)/((Data!$D$22*Data!$D$18)+Data!$D$19-Data!$D$22)),"---")</f>
        <v>NA</v>
      </c>
      <c r="Y73" s="376" t="str">
        <f>IF(Start!$C$18="x",IF(OR(W73="NA",W73="",M73="NA",M73=""),"NA",(W73/((Data!$D$23+((1-Data!$D$23)*Data!$D$14*M73)) /((1-Data!$D$23)*Data!$D$14*1000)))),"---")</f>
        <v>NA</v>
      </c>
      <c r="Z73" s="376" t="str">
        <f>IF(Start!$C$18="x",IF(OR(Y73="NA",X73="NA"),"NA",IF(Y73&gt;X73, Y73, X73)),"---")</f>
        <v>NA</v>
      </c>
      <c r="AA73" s="461" t="str">
        <f>IF(Start!$C$18="x",IF(OR(Z73="NA",T73="NA"),"NA",Z73*T73/(1000000000)),"---")</f>
        <v>NA</v>
      </c>
      <c r="AB73" s="1057" t="str">
        <f>IF(Start!$C$18="x",IF(AA73 = "NA", "NA", AA73*(Data!$D$52*Data!$D$53*10000)),"---")</f>
        <v>NA</v>
      </c>
      <c r="AC73" s="375" t="str">
        <f>IF(Start!$C$18="x",IF(AB73="NA", "NA", AB73*Data!$D$54),"---")</f>
        <v>NA</v>
      </c>
      <c r="AD73" s="498" t="str">
        <f>IF(Start!$C$18="x",IF(AC73="NA","NA",AC73*Data!$D$41),"---")</f>
        <v>NA</v>
      </c>
      <c r="AE73" s="376" t="str">
        <f>IF(Start!$C$18="x",IF(AB73 = "NA", "NA", AB73/(Data!$D$53*3*Data!$D$48)*1000),"---")</f>
        <v>NA</v>
      </c>
      <c r="AF73" s="498" t="str">
        <f>IF(Start!$C$18="x",IF(AE73="NA","NA",AE73*Data!$D$46),"---")</f>
        <v>NA</v>
      </c>
      <c r="AG73" s="375">
        <f>IF(Start!$C$18="x",IF(OR($L73="NA",L73=""),"NA",($L73*(Data!$D$55^3.33)/(Data!$D$18^2))),"---")</f>
        <v>3.0766230872152723E-4</v>
      </c>
      <c r="AH73" s="376" t="str">
        <f>IF(Start!$C$18="x",IF(OR(F73="NA",F73="",P73="NA",P73=""),"NA",IF(100/Data!$D$10&gt;Data!$D$13,(F73*$P73),(F73*$P73)*Data!$D$13)),"---")</f>
        <v>NA</v>
      </c>
      <c r="AI73" s="489">
        <f>IF(Start!$C$18="x",IF(OR($N73="NA",$Q73="NA",$Q73=0,Q73="",N73=""),"NA",(1000*$N73/$Q73)),"---")</f>
        <v>7664981269.7636166</v>
      </c>
      <c r="AJ73" s="376">
        <f>IF(Start!$C$18="x",IF(OR(Q73 = "NA",Q73=0,N73 = "NA",N73="",Q73=""), "NA", IF($AG73="NA","NA",(3.1416*Data!$D$57*86400/($AG73*(Data!$D$55+(N73*Data!$D$19/(Q73*1000)))))^0.5)),"---")</f>
        <v>63.760923663610846</v>
      </c>
      <c r="AK73" s="376" t="str">
        <f>IF(Start!$C$18="x",IF(OR(AH73 = "NA",AI73="NA",AI73=0,AI73="",AH73=""), "NA", AH73/AI73),"---")</f>
        <v>NA</v>
      </c>
      <c r="AL73" s="376" t="str">
        <f>IF(Start!$C$18="x",IF(OR(AK73 ="NA",AK73="",AJ73= "NA",R73="NA",R73=0),"NA",(2*AK73)/(1000*(1/$R73+AJ73))),"---")</f>
        <v>NA</v>
      </c>
      <c r="AM73" s="376" t="str">
        <f>IF(Start!$C$18="x",IF(AL73 = "NA", "NA", AL73*(Data!$D$52*Data!$D$53*10000)),"---")</f>
        <v>NA</v>
      </c>
      <c r="AN73" s="376" t="str">
        <f>IF(Start!$C$18="x",IF(AM73 = "NA", "NA", AM73*(Data!$D$54)),"---")</f>
        <v>NA</v>
      </c>
      <c r="AO73" s="498" t="str">
        <f>IF(Start!$C$18="x",IF(AN73="NA","NA",AN73*Data!$D$41),"---")</f>
        <v>NA</v>
      </c>
      <c r="AP73" s="376">
        <f>IF(Start!$C$18="x",IF(OR(Q73=0,N73="NA",N73="",AG73="NA",AG73="",AG73=0,Q73="",Q73="NA"),"NA", (3.1416*Data!$D$56*86400/($AG73*(Data!$D$55+(N73*Data!$D$19/(Q73*1000)))))^0.5),"---")</f>
        <v>63.760923663610846</v>
      </c>
      <c r="AQ73" s="376" t="str">
        <f>IF(Start!$C$18="x",IF(OR(AH73="NA",AI73="NA",AI73="",AI73=0,AH73=""),"NA", AH73/AI73),"---")</f>
        <v>NA</v>
      </c>
      <c r="AR73" s="376" t="str">
        <f>IF(Start!$C$18="x",IF(OR(AQ73="NA",AP73="NA",$R73="NA",R73=0,R73=""),"NA",(2*AQ73)/(1000*(1/$R73+AP73))),"---")</f>
        <v>NA</v>
      </c>
      <c r="AS73" s="376" t="str">
        <f>IF(Start!$C$18="x",IF(AR73 = "NA", "NA", AR73*(Data!$D$52*Data!$D$53*10000)),"---")</f>
        <v>NA</v>
      </c>
      <c r="AT73" s="376" t="str">
        <f>IF(Start!$C$18="x",IF(AS73 = "NA", "NA", (AS73*1000)/(Data!$D$48*3*Data!$D$53)),"---")</f>
        <v>NA</v>
      </c>
      <c r="AU73" s="498" t="str">
        <f>IF(Start!$C$18="x",IF(AT73="NA","NA",AT73*Data!$D$47),"---")</f>
        <v>NA</v>
      </c>
      <c r="AV73" s="283" t="str">
        <f>IF(Start!$C$18="x",(IF(AND(F73="",G73= "",G73&lt;&gt;"NA"),"",IF(OR(AD73="NA",I73="NA",I73=0),"NA",(AD73/I73)))),"Not Req.")</f>
        <v/>
      </c>
      <c r="AW73" s="284" t="str">
        <f>IF(Start!$C$18="x",(IF(AND(F73="",G73= "",G73&lt;&gt;"NA"),"",IF(OR(AF73="NA",I73="NA",I73=0),"NA",(AF73/I73)))),"Not Req.")</f>
        <v/>
      </c>
      <c r="AX73" s="284" t="str">
        <f>IF(Start!$C$18="x",(IF(F73 ="","",IF(OR(AO73="NA",I73="NA",I73=0),"NA",(AO73/I73)))),"Not Req.")</f>
        <v/>
      </c>
      <c r="AY73" s="344" t="str">
        <f>IF(Start!$C$18="x",(IF(F73 ="","",IF(OR(AU73="NA",I73="NA",I73=0),"NA",(AU73/I73)))),"Not Req.")</f>
        <v/>
      </c>
      <c r="AZ73" s="208"/>
    </row>
    <row r="74" spans="1:52" s="23" customFormat="1" x14ac:dyDescent="0.25">
      <c r="A74" s="405" t="s">
        <v>392</v>
      </c>
      <c r="B74" s="347" t="str">
        <f>IF(Start!$C$18="x",IF(AND(OR(F74="",F74="NA"),OR(G74="",G74="NA")),"",IF(I74="NA","NA",IF(AND(I74="",K74="--"),"NA",IF(AD74="NA","Missing Data",IF(I74="","No Criteria",IF(AD74&gt;=I74,"Needed","No")))))),"---")</f>
        <v/>
      </c>
      <c r="C74" s="501" t="str">
        <f>IF(Start!$C$18="x",IF(AND(OR(F74="",F74="NA"),OR(G74="",G74="NA")),"",IF(I74="NA","NA",IF(AND(I74="",K74="--"),"NA",IF(AF74="NA","Missing Data",IF(I74="","No Criteria",IF(AF74&gt;=I74,"Needed","No")))))),"---")</f>
        <v/>
      </c>
      <c r="D74" s="347" t="str">
        <f>IF(Start!$C$18="x",IF(AND(OR(F74="",F74="NA"),OR(G74="",G74="NA")),"",IF(I74="NA","NA",IF(AND(I74="",K74="--"),"NA",IF(AO74="NA","Missing Data",IF(I74="","No Criteria",IF(AO74&gt;=I74,"Needed","No")))))),"---")</f>
        <v/>
      </c>
      <c r="E74" s="401" t="str">
        <f>IF(Start!$C$18="x",IF(AND(OR(F74="",F74="NA"),OR(G74="",G74="NA")),"",IF(I74="NA","NA",IF(AND(I74="",K74="--"),"NA",IF(AU74="NA","Missing Data",IF(I74="","No Criteria",IF(AU74&gt;=I74,"Needed","No")))))),"---")</f>
        <v/>
      </c>
      <c r="F74" s="431" t="str">
        <f>IF(TRUE=ISBLANK(ChemData!B74),"",(ChemData!B74))</f>
        <v/>
      </c>
      <c r="G74" s="432" t="str">
        <f>IF(TRUE=ISBLANK(ChemData!C74),"",(ChemData!C74))</f>
        <v/>
      </c>
      <c r="H74" s="433" t="str">
        <f>IF(TRUE=ISBLANK(ChemData!D74),"",(ChemData!D74))</f>
        <v/>
      </c>
      <c r="I74" s="919">
        <f>IF(TRUE=ISBLANK(ChemData!K74),"",(ChemData!K74))</f>
        <v>0.04</v>
      </c>
      <c r="J74" s="290">
        <f>IF(TRUE=ISBLANK(ChemData!M74),"",(ChemData!M74))</f>
        <v>166.2</v>
      </c>
      <c r="K74" s="290">
        <f>IF(TRUE=ISBLANK(ChemData!N74),"",(ChemData!N74))</f>
        <v>7.7000000000000001E-5</v>
      </c>
      <c r="L74" s="290">
        <f>IF(TRUE=ISBLANK(ChemData!O74),"",(ChemData!O74))</f>
        <v>3.5999999999999997E-2</v>
      </c>
      <c r="M74" s="290">
        <f>IF(TRUE=ISBLANK(ChemData!Q74),"",(ChemData!Q74))</f>
        <v>293.36372992455233</v>
      </c>
      <c r="N74" s="290">
        <f>IF(TRUE=ISBLANK(ChemData!R74),"",(ChemData!R74))</f>
        <v>293.36372992455233</v>
      </c>
      <c r="O74" s="290">
        <f>IF(TRUE=ISBLANK(ChemData!S74),"",(ChemData!S74))</f>
        <v>1</v>
      </c>
      <c r="P74" s="291">
        <f>IF(TRUE=ISBLANK(ChemData!T74),"",(ChemData!T74))</f>
        <v>1</v>
      </c>
      <c r="Q74" s="375">
        <f>IF(Start!$C$18="x",IF(OR(K74="NA",K74="",K74="--"),"NA",(K74*1000000/82.1/Data!$D$50)),"---")</f>
        <v>3.0254213979804328E-3</v>
      </c>
      <c r="R74" s="376">
        <f>IF(Start!$C$18="x",IF(OR(J74="NA",J74=0,J74=""),"NA",(0.32*(Data!$D$48+Data!$D$49)*(18/J74)^0.5)),"---")</f>
        <v>0.27117394207262208</v>
      </c>
      <c r="S74" s="376">
        <f>IF(Start!$C$18="x",IF(OR(J74="NA",J74= 0,J74=""),"NA",(0.0065*((Data!$D$49^0.969)/(Data!$D$51^0.673))*(32/J74)^0.5*EXP(0.526*Data!$D$48^-1.9))),"---")</f>
        <v>5.7156037711488525E-4</v>
      </c>
      <c r="T74" s="377">
        <f>IF(Start!$C$18="x",IF(OR(S74="NA",R74="NA",R74=0,Q74="NA",S74=0,Q74=0),"NA",(1/(1/S74+(1/(R74*Q74))))),"---")</f>
        <v>3.3687148450144789E-4</v>
      </c>
      <c r="U74" s="375" t="str">
        <f>IF(Start!$C$18="x",IF(OR(F74="NA",F74="",O74="",O74="NA"),"NA",(F74*$O74)),"---")</f>
        <v>NA</v>
      </c>
      <c r="V74" s="376" t="str">
        <f>IF(Start!$C$18="x",IF(OR(U74="NA",M74="NA",M74="",U74=""),"NA",U74/((Data!$D$18+((1-Data!$D$18)*Data!$D$14*M74))/((1-Data!$D$18)*Data!$D$14*1000))),"---")</f>
        <v>NA</v>
      </c>
      <c r="W74" s="376" t="str">
        <f>IF(Start!$C$18="x",IF(OR(G74="NA",U74="NA",G74="",U74=""),"NA",(U74 +($G74*(Data!$D$19-Data!$D$22)/(Data!$D$19*Data!$D$22)))),"---")</f>
        <v>NA</v>
      </c>
      <c r="X74" s="376" t="str">
        <f>IF(Start!$C$18="x",IF(OR(G74="NA",V74="NA",G74="",V74=""),"NA",(((Data!$D$22*Data!$D$18)*V74)+(Data!$D$19-Data!$D$22)*$G74)/((Data!$D$22*Data!$D$18)+Data!$D$19-Data!$D$22)),"---")</f>
        <v>NA</v>
      </c>
      <c r="Y74" s="376" t="str">
        <f>IF(Start!$C$18="x",IF(OR(W74="NA",W74="",M74="NA",M74=""),"NA",(W74/((Data!$D$23+((1-Data!$D$23)*Data!$D$14*M74)) /((1-Data!$D$23)*Data!$D$14*1000)))),"---")</f>
        <v>NA</v>
      </c>
      <c r="Z74" s="376" t="str">
        <f>IF(Start!$C$18="x",IF(OR(Y74="NA",X74="NA"),"NA",IF(Y74&gt;X74, Y74, X74)),"---")</f>
        <v>NA</v>
      </c>
      <c r="AA74" s="461" t="str">
        <f>IF(Start!$C$18="x",IF(OR(Z74="NA",T74="NA"),"NA",Z74*T74/(1000000000)),"---")</f>
        <v>NA</v>
      </c>
      <c r="AB74" s="1057" t="str">
        <f>IF(Start!$C$18="x",IF(AA74 = "NA", "NA", AA74*(Data!$D$52*Data!$D$53*10000)),"---")</f>
        <v>NA</v>
      </c>
      <c r="AC74" s="375" t="str">
        <f>IF(Start!$C$18="x",IF(AB74="NA", "NA", AB74*Data!$D$54),"---")</f>
        <v>NA</v>
      </c>
      <c r="AD74" s="498" t="str">
        <f>IF(Start!$C$18="x",IF(AC74="NA","NA",AC74*Data!$D$41),"---")</f>
        <v>NA</v>
      </c>
      <c r="AE74" s="376" t="str">
        <f>IF(Start!$C$18="x",IF(AB74 = "NA", "NA", AB74/(Data!$D$53*3*Data!$D$48)*1000),"---")</f>
        <v>NA</v>
      </c>
      <c r="AF74" s="498" t="str">
        <f>IF(Start!$C$18="x",IF(AE74="NA","NA",AE74*Data!$D$46),"---")</f>
        <v>NA</v>
      </c>
      <c r="AG74" s="375">
        <f>IF(Start!$C$18="x",IF(OR($L74="NA",L74=""),"NA",($L74*(Data!$D$55^3.33)/(Data!$D$18^2))),"---")</f>
        <v>3.6674977198592645E-4</v>
      </c>
      <c r="AH74" s="376" t="str">
        <f>IF(Start!$C$18="x",IF(OR(F74="NA",F74="",P74="NA",P74=""),"NA",IF(100/Data!$D$10&gt;Data!$D$13,(F74*$P74),(F74*$P74)*Data!$D$13)),"---")</f>
        <v>NA</v>
      </c>
      <c r="AI74" s="489">
        <f>IF(Start!$C$18="x",IF(OR($N74="NA",$Q74="NA",$Q74=0,Q74="",N74=""),"NA",(1000*$N74/$Q74)),"---")</f>
        <v>96966237.536490664</v>
      </c>
      <c r="AJ74" s="376">
        <f>IF(Start!$C$18="x",IF(OR(Q74 = "NA",Q74=0,N74 = "NA",N74="",Q74=""), "NA", IF($AG74="NA","NA",(3.1416*Data!$D$57*86400/($AG74*(Data!$D$55+(N74*Data!$D$19/(Q74*1000)))))^0.5)),"---")</f>
        <v>519.22019617945591</v>
      </c>
      <c r="AK74" s="376" t="str">
        <f>IF(Start!$C$18="x",IF(OR(AH74 = "NA",AI74="NA",AI74=0,AI74="",AH74=""), "NA", AH74/AI74),"---")</f>
        <v>NA</v>
      </c>
      <c r="AL74" s="376" t="str">
        <f>IF(Start!$C$18="x",IF(OR(AK74 ="NA",AK74="",AJ74= "NA",R74="NA",R74=0),"NA",(2*AK74)/(1000*(1/$R74+AJ74))),"---")</f>
        <v>NA</v>
      </c>
      <c r="AM74" s="376" t="str">
        <f>IF(Start!$C$18="x",IF(AL74 = "NA", "NA", AL74*(Data!$D$52*Data!$D$53*10000)),"---")</f>
        <v>NA</v>
      </c>
      <c r="AN74" s="376" t="str">
        <f>IF(Start!$C$18="x",IF(AM74 = "NA", "NA", AM74*(Data!$D$54)),"---")</f>
        <v>NA</v>
      </c>
      <c r="AO74" s="498" t="str">
        <f>IF(Start!$C$18="x",IF(AN74="NA","NA",AN74*Data!$D$41),"---")</f>
        <v>NA</v>
      </c>
      <c r="AP74" s="376">
        <f>IF(Start!$C$18="x",IF(OR(Q74=0,N74="NA",N74="",AG74="NA",AG74="",AG74=0,Q74="",Q74="NA"),"NA", (3.1416*Data!$D$56*86400/($AG74*(Data!$D$55+(N74*Data!$D$19/(Q74*1000)))))^0.5),"---")</f>
        <v>519.22019617945591</v>
      </c>
      <c r="AQ74" s="376" t="str">
        <f>IF(Start!$C$18="x",IF(OR(AH74="NA",AI74="NA",AI74="",AI74=0,AH74=""),"NA", AH74/AI74),"---")</f>
        <v>NA</v>
      </c>
      <c r="AR74" s="376" t="str">
        <f>IF(Start!$C$18="x",IF(OR(AQ74="NA",AP74="NA",$R74="NA",R74=0,R74=""),"NA",(2*AQ74)/(1000*(1/$R74+AP74))),"---")</f>
        <v>NA</v>
      </c>
      <c r="AS74" s="376" t="str">
        <f>IF(Start!$C$18="x",IF(AR74 = "NA", "NA", AR74*(Data!$D$52*Data!$D$53*10000)),"---")</f>
        <v>NA</v>
      </c>
      <c r="AT74" s="376" t="str">
        <f>IF(Start!$C$18="x",IF(AS74 = "NA", "NA", (AS74*1000)/(Data!$D$48*3*Data!$D$53)),"---")</f>
        <v>NA</v>
      </c>
      <c r="AU74" s="498" t="str">
        <f>IF(Start!$C$18="x",IF(AT74="NA","NA",AT74*Data!$D$47),"---")</f>
        <v>NA</v>
      </c>
      <c r="AV74" s="283" t="str">
        <f>IF(Start!$C$18="x",(IF(AND(F74="",G74= "",G74&lt;&gt;"NA"),"",IF(OR(AD74="NA",I74="NA",I74=0),"NA",(AD74/I74)))),"Not Req.")</f>
        <v/>
      </c>
      <c r="AW74" s="284" t="str">
        <f>IF(Start!$C$18="x",(IF(AND(F74="",G74= "",G74&lt;&gt;"NA"),"",IF(OR(AF74="NA",I74="NA",I74=0),"NA",(AF74/I74)))),"Not Req.")</f>
        <v/>
      </c>
      <c r="AX74" s="284" t="str">
        <f>IF(Start!$C$18="x",(IF(F74 ="","",IF(OR(AO74="NA",I74="NA",I74=0),"NA",(AO74/I74)))),"Not Req.")</f>
        <v/>
      </c>
      <c r="AY74" s="344" t="str">
        <f>IF(Start!$C$18="x",(IF(F74 ="","",IF(OR(AU74="NA",I74="NA",I74=0),"NA",(AU74/I74)))),"Not Req.")</f>
        <v/>
      </c>
      <c r="AZ74" s="208"/>
    </row>
    <row r="75" spans="1:52" s="23" customFormat="1" x14ac:dyDescent="0.25">
      <c r="A75" s="405" t="s">
        <v>393</v>
      </c>
      <c r="B75" s="347" t="str">
        <f>IF(Start!$C$18="x",IF(AND(OR(F75="",F75="NA"),OR(G75="",G75="NA")),"",IF(I75="NA","NA",IF(AND(I75="",K75="--"),"NA",IF(AD75="NA","Missing Data",IF(I75="","No Criteria",IF(AD75&gt;=I75,"Needed","No")))))),"---")</f>
        <v/>
      </c>
      <c r="C75" s="501" t="str">
        <f>IF(Start!$C$18="x",IF(AND(OR(F75="",F75="NA"),OR(G75="",G75="NA")),"",IF(I75="NA","NA",IF(AND(I75="",K75="--"),"NA",IF(AF75="NA","Missing Data",IF(I75="","No Criteria",IF(AF75&gt;=I75,"Needed","No")))))),"---")</f>
        <v/>
      </c>
      <c r="D75" s="347" t="str">
        <f>IF(Start!$C$18="x",IF(AND(OR(F75="",F75="NA"),OR(G75="",G75="NA")),"",IF(I75="NA","NA",IF(AND(I75="",K75="--"),"NA",IF(AO75="NA","Missing Data",IF(I75="","No Criteria",IF(AO75&gt;=I75,"Needed","No")))))),"---")</f>
        <v/>
      </c>
      <c r="E75" s="401" t="str">
        <f>IF(Start!$C$18="x",IF(AND(OR(F75="",F75="NA"),OR(G75="",G75="NA")),"",IF(I75="NA","NA",IF(AND(I75="",K75="--"),"NA",IF(AU75="NA","Missing Data",IF(I75="","No Criteria",IF(AU75&gt;=I75,"Needed","No")))))),"---")</f>
        <v/>
      </c>
      <c r="F75" s="431" t="str">
        <f>IF(TRUE=ISBLANK(ChemData!B75),"",(ChemData!B75))</f>
        <v/>
      </c>
      <c r="G75" s="432" t="str">
        <f>IF(TRUE=ISBLANK(ChemData!C75),"",(ChemData!C75))</f>
        <v/>
      </c>
      <c r="H75" s="433" t="str">
        <f>IF(TRUE=ISBLANK(ChemData!D75),"",(ChemData!D75))</f>
        <v/>
      </c>
      <c r="I75" s="919" t="str">
        <f>IF(TRUE=ISBLANK(ChemData!K75),"",(ChemData!K75))</f>
        <v>NA</v>
      </c>
      <c r="J75" s="290">
        <f>IF(TRUE=ISBLANK(ChemData!M75),"",(ChemData!M75))</f>
        <v>276</v>
      </c>
      <c r="K75" s="290">
        <f>IF(TRUE=ISBLANK(ChemData!N75),"",(ChemData!N75))</f>
        <v>6.9499999999999994E-8</v>
      </c>
      <c r="L75" s="290">
        <f>IF(TRUE=ISBLANK(ChemData!O75),"",(ChemData!O75))</f>
        <v>1.9E-2</v>
      </c>
      <c r="M75" s="290">
        <f>IF(TRUE=ISBLANK(ChemData!Q75),"",(ChemData!Q75))</f>
        <v>82681.132907143459</v>
      </c>
      <c r="N75" s="290">
        <f>IF(TRUE=ISBLANK(ChemData!R75),"",(ChemData!R75))</f>
        <v>82681.132907143459</v>
      </c>
      <c r="O75" s="290">
        <f>IF(TRUE=ISBLANK(ChemData!S75),"",(ChemData!S75))</f>
        <v>1</v>
      </c>
      <c r="P75" s="291">
        <f>IF(TRUE=ISBLANK(ChemData!T75),"",(ChemData!T75))</f>
        <v>1</v>
      </c>
      <c r="Q75" s="375">
        <f>IF(Start!$C$18="x",IF(OR(K75="NA",K75="",K75="--"),"NA",(K75*1000000/82.1/Data!$D$50)),"---")</f>
        <v>2.7307374955797412E-6</v>
      </c>
      <c r="R75" s="376">
        <f>IF(Start!$C$18="x",IF(OR(J75="NA",J75=0,J75=""),"NA",(0.32*(Data!$D$48+Data!$D$49)*(18/J75)^0.5)),"---")</f>
        <v>0.2104306144035627</v>
      </c>
      <c r="S75" s="376">
        <f>IF(Start!$C$18="x",IF(OR(J75="NA",J75= 0,J75=""),"NA",(0.0065*((Data!$D$49^0.969)/(Data!$D$51^0.673))*(32/J75)^0.5*EXP(0.526*Data!$D$48^-1.9))),"---")</f>
        <v>4.4353008406982996E-4</v>
      </c>
      <c r="T75" s="377">
        <f>IF(Start!$C$18="x",IF(OR(S75="NA",R75="NA",R75=0,Q75="NA",S75=0,Q75=0),"NA",(1/(1/S75+(1/(R75*Q75))))),"---")</f>
        <v>5.7388724945815751E-7</v>
      </c>
      <c r="U75" s="375" t="str">
        <f>IF(Start!$C$18="x",IF(OR(F75="NA",F75="",O75="",O75="NA"),"NA",(F75*$O75)),"---")</f>
        <v>NA</v>
      </c>
      <c r="V75" s="376" t="str">
        <f>IF(Start!$C$18="x",IF(OR(U75="NA",M75="NA",M75="",U75=""),"NA",U75/((Data!$D$18+((1-Data!$D$18)*Data!$D$14*M75))/((1-Data!$D$18)*Data!$D$14*1000))),"---")</f>
        <v>NA</v>
      </c>
      <c r="W75" s="376" t="str">
        <f>IF(Start!$C$18="x",IF(OR(G75="NA",U75="NA",G75="",U75=""),"NA",(U75 +($G75*(Data!$D$19-Data!$D$22)/(Data!$D$19*Data!$D$22)))),"---")</f>
        <v>NA</v>
      </c>
      <c r="X75" s="376" t="str">
        <f>IF(Start!$C$18="x",IF(OR(G75="NA",V75="NA",G75="",V75=""),"NA",(((Data!$D$22*Data!$D$18)*V75)+(Data!$D$19-Data!$D$22)*$G75)/((Data!$D$22*Data!$D$18)+Data!$D$19-Data!$D$22)),"---")</f>
        <v>NA</v>
      </c>
      <c r="Y75" s="376" t="str">
        <f>IF(Start!$C$18="x",IF(OR(W75="NA",W75="",M75="NA",M75=""),"NA",(W75/((Data!$D$23+((1-Data!$D$23)*Data!$D$14*M75)) /((1-Data!$D$23)*Data!$D$14*1000)))),"---")</f>
        <v>NA</v>
      </c>
      <c r="Z75" s="376" t="str">
        <f>IF(Start!$C$18="x",IF(OR(Y75="NA",X75="NA"),"NA",IF(Y75&gt;X75, Y75, X75)),"---")</f>
        <v>NA</v>
      </c>
      <c r="AA75" s="461" t="str">
        <f>IF(Start!$C$18="x",IF(OR(Z75="NA",T75="NA"),"NA",Z75*T75/(1000000000)),"---")</f>
        <v>NA</v>
      </c>
      <c r="AB75" s="1057" t="str">
        <f>IF(Start!$C$18="x",IF(AA75 = "NA", "NA", AA75*(Data!$D$52*Data!$D$53*10000)),"---")</f>
        <v>NA</v>
      </c>
      <c r="AC75" s="375" t="str">
        <f>IF(Start!$C$18="x",IF(AB75="NA", "NA", AB75*Data!$D$54),"---")</f>
        <v>NA</v>
      </c>
      <c r="AD75" s="498" t="str">
        <f>IF(Start!$C$18="x",IF(AC75="NA","NA",AC75*Data!$D$41),"---")</f>
        <v>NA</v>
      </c>
      <c r="AE75" s="376" t="str">
        <f>IF(Start!$C$18="x",IF(AB75 = "NA", "NA", AB75/(Data!$D$53*3*Data!$D$48)*1000),"---")</f>
        <v>NA</v>
      </c>
      <c r="AF75" s="498" t="str">
        <f>IF(Start!$C$18="x",IF(AE75="NA","NA",AE75*Data!$D$46),"---")</f>
        <v>NA</v>
      </c>
      <c r="AG75" s="375">
        <f>IF(Start!$C$18="x",IF(OR($L75="NA",L75=""),"NA",($L75*(Data!$D$55^3.33)/(Data!$D$18^2))),"---")</f>
        <v>1.9356237965923896E-4</v>
      </c>
      <c r="AH75" s="376" t="str">
        <f>IF(Start!$C$18="x",IF(OR(F75="NA",F75="",P75="NA",P75=""),"NA",IF(100/Data!$D$10&gt;Data!$D$13,(F75*$P75),(F75*$P75)*Data!$D$13)),"---")</f>
        <v>NA</v>
      </c>
      <c r="AI75" s="489">
        <f>IF(Start!$C$18="x",IF(OR($N75="NA",$Q75="NA",$Q75=0,Q75="",N75=""),"NA",(1000*$N75/$Q75)),"---")</f>
        <v>30277949836254.797</v>
      </c>
      <c r="AJ75" s="376">
        <f>IF(Start!$C$18="x",IF(OR(Q75 = "NA",Q75=0,N75 = "NA",N75="",Q75=""), "NA", IF($AG75="NA","NA",(3.1416*Data!$D$57*86400/($AG75*(Data!$D$55+(N75*Data!$D$19/(Q75*1000)))))^0.5)),"---")</f>
        <v>1.2790089804927505</v>
      </c>
      <c r="AK75" s="376" t="str">
        <f>IF(Start!$C$18="x",IF(OR(AH75 = "NA",AI75="NA",AI75=0,AI75="",AH75=""), "NA", AH75/AI75),"---")</f>
        <v>NA</v>
      </c>
      <c r="AL75" s="376" t="str">
        <f>IF(Start!$C$18="x",IF(OR(AK75 ="NA",AK75="",AJ75= "NA",R75="NA",R75=0),"NA",(2*AK75)/(1000*(1/$R75+AJ75))),"---")</f>
        <v>NA</v>
      </c>
      <c r="AM75" s="376" t="str">
        <f>IF(Start!$C$18="x",IF(AL75 = "NA", "NA", AL75*(Data!$D$52*Data!$D$53*10000)),"---")</f>
        <v>NA</v>
      </c>
      <c r="AN75" s="376" t="str">
        <f>IF(Start!$C$18="x",IF(AM75 = "NA", "NA", AM75*(Data!$D$54)),"---")</f>
        <v>NA</v>
      </c>
      <c r="AO75" s="498" t="str">
        <f>IF(Start!$C$18="x",IF(AN75="NA","NA",AN75*Data!$D$41),"---")</f>
        <v>NA</v>
      </c>
      <c r="AP75" s="376">
        <f>IF(Start!$C$18="x",IF(OR(Q75=0,N75="NA",N75="",AG75="NA",AG75="",AG75=0,Q75="",Q75="NA"),"NA", (3.1416*Data!$D$56*86400/($AG75*(Data!$D$55+(N75*Data!$D$19/(Q75*1000)))))^0.5),"---")</f>
        <v>1.2790089804927505</v>
      </c>
      <c r="AQ75" s="376" t="str">
        <f>IF(Start!$C$18="x",IF(OR(AH75="NA",AI75="NA",AI75="",AI75=0,AH75=""),"NA", AH75/AI75),"---")</f>
        <v>NA</v>
      </c>
      <c r="AR75" s="376" t="str">
        <f>IF(Start!$C$18="x",IF(OR(AQ75="NA",AP75="NA",$R75="NA",R75=0,R75=""),"NA",(2*AQ75)/(1000*(1/$R75+AP75))),"---")</f>
        <v>NA</v>
      </c>
      <c r="AS75" s="376" t="str">
        <f>IF(Start!$C$18="x",IF(AR75 = "NA", "NA", AR75*(Data!$D$52*Data!$D$53*10000)),"---")</f>
        <v>NA</v>
      </c>
      <c r="AT75" s="376" t="str">
        <f>IF(Start!$C$18="x",IF(AS75 = "NA", "NA", (AS75*1000)/(Data!$D$48*3*Data!$D$53)),"---")</f>
        <v>NA</v>
      </c>
      <c r="AU75" s="498" t="str">
        <f>IF(Start!$C$18="x",IF(AT75="NA","NA",AT75*Data!$D$47),"---")</f>
        <v>NA</v>
      </c>
      <c r="AV75" s="283" t="str">
        <f>IF(Start!$C$18="x",(IF(AND(F75="",G75= "",G75&lt;&gt;"NA"),"",IF(OR(AD75="NA",I75="NA",I75=0),"NA",(AD75/I75)))),"Not Req.")</f>
        <v/>
      </c>
      <c r="AW75" s="284" t="str">
        <f>IF(Start!$C$18="x",(IF(AND(F75="",G75= "",G75&lt;&gt;"NA"),"",IF(OR(AF75="NA",I75="NA",I75=0),"NA",(AF75/I75)))),"Not Req.")</f>
        <v/>
      </c>
      <c r="AX75" s="284" t="str">
        <f>IF(Start!$C$18="x",(IF(F75 ="","",IF(OR(AO75="NA",I75="NA",I75=0),"NA",(AO75/I75)))),"Not Req.")</f>
        <v/>
      </c>
      <c r="AY75" s="344" t="str">
        <f>IF(Start!$C$18="x",(IF(F75 ="","",IF(OR(AU75="NA",I75="NA",I75=0),"NA",(AU75/I75)))),"Not Req.")</f>
        <v/>
      </c>
      <c r="AZ75" s="208"/>
    </row>
    <row r="76" spans="1:52" s="23" customFormat="1" x14ac:dyDescent="0.25">
      <c r="A76" s="405" t="s">
        <v>394</v>
      </c>
      <c r="B76" s="347" t="str">
        <f>IF(Start!$C$18="x",IF(AND(OR(F76="",F76="NA"),OR(G76="",G76="NA")),"",IF(I76="NA","NA",IF(AND(I76="",K76="--"),"NA",IF(AD76="NA","Missing Data",IF(I76="","No Criteria",IF(AD76&gt;=I76,"Needed","No")))))),"---")</f>
        <v/>
      </c>
      <c r="C76" s="501" t="str">
        <f>IF(Start!$C$18="x",IF(AND(OR(F76="",F76="NA"),OR(G76="",G76="NA")),"",IF(I76="NA","NA",IF(AND(I76="",K76="--"),"NA",IF(AF76="NA","Missing Data",IF(I76="","No Criteria",IF(AF76&gt;=I76,"Needed","No")))))),"---")</f>
        <v/>
      </c>
      <c r="D76" s="347" t="str">
        <f>IF(Start!$C$18="x",IF(AND(OR(F76="",F76="NA"),OR(G76="",G76="NA")),"",IF(I76="NA","NA",IF(AND(I76="",K76="--"),"NA",IF(AO76="NA","Missing Data",IF(I76="","No Criteria",IF(AO76&gt;=I76,"Needed","No")))))),"---")</f>
        <v/>
      </c>
      <c r="E76" s="401" t="str">
        <f>IF(Start!$C$18="x",IF(AND(OR(F76="",F76="NA"),OR(G76="",G76="NA")),"",IF(I76="NA","NA",IF(AND(I76="",K76="--"),"NA",IF(AU76="NA","Missing Data",IF(I76="","No Criteria",IF(AU76&gt;=I76,"Needed","No")))))),"---")</f>
        <v/>
      </c>
      <c r="F76" s="431" t="str">
        <f>IF(TRUE=ISBLANK(ChemData!B76),"",(ChemData!B76))</f>
        <v/>
      </c>
      <c r="G76" s="432" t="str">
        <f>IF(TRUE=ISBLANK(ChemData!C76),"",(ChemData!C76))</f>
        <v/>
      </c>
      <c r="H76" s="433" t="str">
        <f>IF(TRUE=ISBLANK(ChemData!D76),"",(ChemData!D76))</f>
        <v/>
      </c>
      <c r="I76" s="919" t="str">
        <f>IF(TRUE=ISBLANK(ChemData!K76),"",(ChemData!K76))</f>
        <v>NA</v>
      </c>
      <c r="J76" s="290">
        <f>IF(TRUE=ISBLANK(ChemData!M76),"",(ChemData!M76))</f>
        <v>268.38</v>
      </c>
      <c r="K76" s="290">
        <f>IF(TRUE=ISBLANK(ChemData!N76),"",(ChemData!N76))</f>
        <v>1.3999999999999999E-6</v>
      </c>
      <c r="L76" s="290">
        <f>IF(TRUE=ISBLANK(ChemData!O76),"",(ChemData!O76))</f>
        <v>5.0099999999999999E-2</v>
      </c>
      <c r="M76" s="290">
        <f>IF(TRUE=ISBLANK(ChemData!Q76),"",(ChemData!Q76))</f>
        <v>48686.260529983556</v>
      </c>
      <c r="N76" s="290">
        <f>IF(TRUE=ISBLANK(ChemData!R76),"",(ChemData!R76))</f>
        <v>48686.260529983556</v>
      </c>
      <c r="O76" s="290">
        <f>IF(TRUE=ISBLANK(ChemData!S76),"",(ChemData!S76))</f>
        <v>1</v>
      </c>
      <c r="P76" s="291">
        <f>IF(TRUE=ISBLANK(ChemData!T76),"",(ChemData!T76))</f>
        <v>1</v>
      </c>
      <c r="Q76" s="375">
        <f>IF(Start!$C$18="x",IF(OR(K76="NA",K76="",K76="--"),"NA",(K76*1000000/82.1/Data!$D$50)),"---")</f>
        <v>5.5007661781462418E-5</v>
      </c>
      <c r="R76" s="376">
        <f>IF(Start!$C$18="x",IF(OR(J76="NA",J76=0,J76=""),"NA",(0.32*(Data!$D$48+Data!$D$49)*(18/J76)^0.5)),"---")</f>
        <v>0.21339703944839231</v>
      </c>
      <c r="S76" s="376">
        <f>IF(Start!$C$18="x",IF(OR(J76="NA",J76= 0,J76=""),"NA",(0.0065*((Data!$D$49^0.969)/(Data!$D$51^0.673))*(32/J76)^0.5*EXP(0.526*Data!$D$48^-1.9))),"---")</f>
        <v>4.4978249536107347E-4</v>
      </c>
      <c r="T76" s="377">
        <f>IF(Start!$C$18="x",IF(OR(S76="NA",R76="NA",R76=0,Q76="NA",S76=0,Q76=0),"NA",(1/(1/S76+(1/(R76*Q76))))),"---")</f>
        <v>1.1439912108639937E-5</v>
      </c>
      <c r="U76" s="375" t="str">
        <f>IF(Start!$C$18="x",IF(OR(F76="NA",F76="",O76="",O76="NA"),"NA",(F76*$O76)),"---")</f>
        <v>NA</v>
      </c>
      <c r="V76" s="376" t="str">
        <f>IF(Start!$C$18="x",IF(OR(U76="NA",M76="NA",M76="",U76=""),"NA",U76/((Data!$D$18+((1-Data!$D$18)*Data!$D$14*M76))/((1-Data!$D$18)*Data!$D$14*1000))),"---")</f>
        <v>NA</v>
      </c>
      <c r="W76" s="376" t="str">
        <f>IF(Start!$C$18="x",IF(OR(G76="NA",U76="NA",G76="",U76=""),"NA",(U76 +($G76*(Data!$D$19-Data!$D$22)/(Data!$D$19*Data!$D$22)))),"---")</f>
        <v>NA</v>
      </c>
      <c r="X76" s="376" t="str">
        <f>IF(Start!$C$18="x",IF(OR(G76="NA",V76="NA",G76="",V76=""),"NA",(((Data!$D$22*Data!$D$18)*V76)+(Data!$D$19-Data!$D$22)*$G76)/((Data!$D$22*Data!$D$18)+Data!$D$19-Data!$D$22)),"---")</f>
        <v>NA</v>
      </c>
      <c r="Y76" s="376" t="str">
        <f>IF(Start!$C$18="x",IF(OR(W76="NA",W76="",M76="NA",M76=""),"NA",(W76/((Data!$D$23+((1-Data!$D$23)*Data!$D$14*M76)) /((1-Data!$D$23)*Data!$D$14*1000)))),"---")</f>
        <v>NA</v>
      </c>
      <c r="Z76" s="376" t="str">
        <f>IF(Start!$C$18="x",IF(OR(Y76="NA",X76="NA"),"NA",IF(Y76&gt;X76, Y76, X76)),"---")</f>
        <v>NA</v>
      </c>
      <c r="AA76" s="461" t="str">
        <f>IF(Start!$C$18="x",IF(OR(Z76="NA",T76="NA"),"NA",Z76*T76/(1000000000)),"---")</f>
        <v>NA</v>
      </c>
      <c r="AB76" s="1057" t="str">
        <f>IF(Start!$C$18="x",IF(AA76 = "NA", "NA", AA76*(Data!$D$52*Data!$D$53*10000)),"---")</f>
        <v>NA</v>
      </c>
      <c r="AC76" s="375" t="str">
        <f>IF(Start!$C$18="x",IF(AB76="NA", "NA", AB76*Data!$D$54),"---")</f>
        <v>NA</v>
      </c>
      <c r="AD76" s="498" t="str">
        <f>IF(Start!$C$18="x",IF(AC76="NA","NA",AC76*Data!$D$41),"---")</f>
        <v>NA</v>
      </c>
      <c r="AE76" s="376" t="str">
        <f>IF(Start!$C$18="x",IF(AB76 = "NA", "NA", AB76/(Data!$D$53*3*Data!$D$48)*1000),"---")</f>
        <v>NA</v>
      </c>
      <c r="AF76" s="498" t="str">
        <f>IF(Start!$C$18="x",IF(AE76="NA","NA",AE76*Data!$D$46),"---")</f>
        <v>NA</v>
      </c>
      <c r="AG76" s="375">
        <f>IF(Start!$C$18="x",IF(OR($L76="NA",L76=""),"NA",($L76*(Data!$D$55^3.33)/(Data!$D$18^2))),"---")</f>
        <v>5.1039343268041433E-4</v>
      </c>
      <c r="AH76" s="376" t="str">
        <f>IF(Start!$C$18="x",IF(OR(F76="NA",F76="",P76="NA",P76=""),"NA",IF(100/Data!$D$10&gt;Data!$D$13,(F76*$P76),(F76*$P76)*Data!$D$13)),"---")</f>
        <v>NA</v>
      </c>
      <c r="AI76" s="489">
        <f>IF(Start!$C$18="x",IF(OR($N76="NA",$Q76="NA",$Q76=0,Q76="",N76=""),"NA",(1000*$N76/$Q76)),"---")</f>
        <v>885081440534.72253</v>
      </c>
      <c r="AJ76" s="376">
        <f>IF(Start!$C$18="x",IF(OR(Q76 = "NA",Q76=0,N76 = "NA",N76="",Q76=""), "NA", IF($AG76="NA","NA",(3.1416*Data!$D$57*86400/($AG76*(Data!$D$55+(N76*Data!$D$19/(Q76*1000)))))^0.5)),"---")</f>
        <v>4.6068401893191462</v>
      </c>
      <c r="AK76" s="376" t="str">
        <f>IF(Start!$C$18="x",IF(OR(AH76 = "NA",AI76="NA",AI76=0,AI76="",AH76=""), "NA", AH76/AI76),"---")</f>
        <v>NA</v>
      </c>
      <c r="AL76" s="376" t="str">
        <f>IF(Start!$C$18="x",IF(OR(AK76 ="NA",AK76="",AJ76= "NA",R76="NA",R76=0),"NA",(2*AK76)/(1000*(1/$R76+AJ76))),"---")</f>
        <v>NA</v>
      </c>
      <c r="AM76" s="376" t="str">
        <f>IF(Start!$C$18="x",IF(AL76 = "NA", "NA", AL76*(Data!$D$52*Data!$D$53*10000)),"---")</f>
        <v>NA</v>
      </c>
      <c r="AN76" s="376" t="str">
        <f>IF(Start!$C$18="x",IF(AM76 = "NA", "NA", AM76*(Data!$D$54)),"---")</f>
        <v>NA</v>
      </c>
      <c r="AO76" s="498" t="str">
        <f>IF(Start!$C$18="x",IF(AN76="NA","NA",AN76*Data!$D$41),"---")</f>
        <v>NA</v>
      </c>
      <c r="AP76" s="376">
        <f>IF(Start!$C$18="x",IF(OR(Q76=0,N76="NA",N76="",AG76="NA",AG76="",AG76=0,Q76="",Q76="NA"),"NA", (3.1416*Data!$D$56*86400/($AG76*(Data!$D$55+(N76*Data!$D$19/(Q76*1000)))))^0.5),"---")</f>
        <v>4.6068401893191462</v>
      </c>
      <c r="AQ76" s="376" t="str">
        <f>IF(Start!$C$18="x",IF(OR(AH76="NA",AI76="NA",AI76="",AI76=0,AH76=""),"NA", AH76/AI76),"---")</f>
        <v>NA</v>
      </c>
      <c r="AR76" s="376" t="str">
        <f>IF(Start!$C$18="x",IF(OR(AQ76="NA",AP76="NA",$R76="NA",R76=0,R76=""),"NA",(2*AQ76)/(1000*(1/$R76+AP76))),"---")</f>
        <v>NA</v>
      </c>
      <c r="AS76" s="376" t="str">
        <f>IF(Start!$C$18="x",IF(AR76 = "NA", "NA", AR76*(Data!$D$52*Data!$D$53*10000)),"---")</f>
        <v>NA</v>
      </c>
      <c r="AT76" s="376" t="str">
        <f>IF(Start!$C$18="x",IF(AS76 = "NA", "NA", (AS76*1000)/(Data!$D$48*3*Data!$D$53)),"---")</f>
        <v>NA</v>
      </c>
      <c r="AU76" s="498" t="str">
        <f>IF(Start!$C$18="x",IF(AT76="NA","NA",AT76*Data!$D$47),"---")</f>
        <v>NA</v>
      </c>
      <c r="AV76" s="283" t="str">
        <f>IF(Start!$C$18="x",(IF(AND(F76="",G76= "",G76&lt;&gt;"NA"),"",IF(OR(AD76="NA",I76="NA",I76=0),"NA",(AD76/I76)))),"Not Req.")</f>
        <v/>
      </c>
      <c r="AW76" s="284" t="str">
        <f>IF(Start!$C$18="x",(IF(AND(F76="",G76= "",G76&lt;&gt;"NA"),"",IF(OR(AF76="NA",I76="NA",I76=0),"NA",(AF76/I76)))),"Not Req.")</f>
        <v/>
      </c>
      <c r="AX76" s="284" t="str">
        <f>IF(Start!$C$18="x",(IF(F76 ="","",IF(OR(AO76="NA",I76="NA",I76=0),"NA",(AO76/I76)))),"Not Req.")</f>
        <v/>
      </c>
      <c r="AY76" s="344" t="str">
        <f>IF(Start!$C$18="x",(IF(F76 ="","",IF(OR(AU76="NA",I76="NA",I76=0),"NA",(AU76/I76)))),"Not Req.")</f>
        <v/>
      </c>
      <c r="AZ76" s="208"/>
    </row>
    <row r="77" spans="1:52" s="23" customFormat="1" x14ac:dyDescent="0.25">
      <c r="A77" s="405" t="s">
        <v>395</v>
      </c>
      <c r="B77" s="347" t="str">
        <f>IF(Start!$C$18="x",IF(AND(OR(F77="",F77="NA"),OR(G77="",G77="NA")),"",IF(I77="NA","NA",IF(AND(I77="",K77="--"),"NA",IF(AD77="NA","Missing Data",IF(I77="","No Criteria",IF(AD77&gt;=I77,"Needed","No")))))),"---")</f>
        <v/>
      </c>
      <c r="C77" s="501" t="str">
        <f>IF(Start!$C$18="x",IF(AND(OR(F77="",F77="NA"),OR(G77="",G77="NA")),"",IF(I77="NA","NA",IF(AND(I77="",K77="--"),"NA",IF(AF77="NA","Missing Data",IF(I77="","No Criteria",IF(AF77&gt;=I77,"Needed","No")))))),"---")</f>
        <v/>
      </c>
      <c r="D77" s="347" t="str">
        <f>IF(Start!$C$18="x",IF(AND(OR(F77="",F77="NA"),OR(G77="",G77="NA")),"",IF(I77="NA","NA",IF(AND(I77="",K77="--"),"NA",IF(AO77="NA","Missing Data",IF(I77="","No Criteria",IF(AO77&gt;=I77,"Needed","No")))))),"---")</f>
        <v/>
      </c>
      <c r="E77" s="401" t="str">
        <f>IF(Start!$C$18="x",IF(AND(OR(F77="",F77="NA"),OR(G77="",G77="NA")),"",IF(I77="NA","NA",IF(AND(I77="",K77="--"),"NA",IF(AU77="NA","Missing Data",IF(I77="","No Criteria",IF(AU77&gt;=I77,"Needed","No")))))),"---")</f>
        <v/>
      </c>
      <c r="F77" s="431" t="str">
        <f>IF(TRUE=ISBLANK(ChemData!B77),"",(ChemData!B77))</f>
        <v/>
      </c>
      <c r="G77" s="432" t="str">
        <f>IF(TRUE=ISBLANK(ChemData!C77),"",(ChemData!C77))</f>
        <v/>
      </c>
      <c r="H77" s="433" t="str">
        <f>IF(TRUE=ISBLANK(ChemData!D77),"",(ChemData!D77))</f>
        <v/>
      </c>
      <c r="I77" s="919" t="str">
        <f>IF(TRUE=ISBLANK(ChemData!K77),"",(ChemData!K77))</f>
        <v>NA</v>
      </c>
      <c r="J77" s="290">
        <f>IF(TRUE=ISBLANK(ChemData!M77),"",(ChemData!M77))</f>
        <v>142.19999999999999</v>
      </c>
      <c r="K77" s="290">
        <f>IF(TRUE=ISBLANK(ChemData!N77),"",(ChemData!N77))</f>
        <v>4.44E-4</v>
      </c>
      <c r="L77" s="290">
        <f>IF(TRUE=ISBLANK(ChemData!O77),"",(ChemData!O77))</f>
        <v>4.8000000000000001E-2</v>
      </c>
      <c r="M77" s="290">
        <f>IF(TRUE=ISBLANK(ChemData!Q77),"",(ChemData!Q77))</f>
        <v>137.21652566479986</v>
      </c>
      <c r="N77" s="290">
        <f>IF(TRUE=ISBLANK(ChemData!R77),"",(ChemData!R77))</f>
        <v>137.21652566479986</v>
      </c>
      <c r="O77" s="290">
        <f>IF(TRUE=ISBLANK(ChemData!S77),"",(ChemData!S77))</f>
        <v>1</v>
      </c>
      <c r="P77" s="291">
        <f>IF(TRUE=ISBLANK(ChemData!T77),"",(ChemData!T77))</f>
        <v>1</v>
      </c>
      <c r="Q77" s="375">
        <f>IF(Start!$C$18="x",IF(OR(K77="NA",K77="",K77="--"),"NA",(K77*1000000/82.1/Data!$D$50)),"---")</f>
        <v>1.7445287022120941E-2</v>
      </c>
      <c r="R77" s="376">
        <f>IF(Start!$C$18="x",IF(OR(J77="NA",J77=0,J77=""),"NA",(0.32*(Data!$D$48+Data!$D$49)*(18/J77)^0.5)),"---")</f>
        <v>0.29316604358950593</v>
      </c>
      <c r="S77" s="376">
        <f>IF(Start!$C$18="x",IF(OR(J77="NA",J77= 0,J77=""),"NA",(0.0065*((Data!$D$49^0.969)/(Data!$D$51^0.673))*(32/J77)^0.5*EXP(0.526*Data!$D$48^-1.9))),"---")</f>
        <v>6.1791370199730576E-4</v>
      </c>
      <c r="T77" s="377">
        <f>IF(Start!$C$18="x",IF(OR(S77="NA",R77="NA",R77=0,Q77="NA",S77=0,Q77=0),"NA",(1/(1/S77+(1/(R77*Q77))))),"---")</f>
        <v>5.5130541037248511E-4</v>
      </c>
      <c r="U77" s="375" t="str">
        <f>IF(Start!$C$18="x",IF(OR(F77="NA",F77="",O77="",O77="NA"),"NA",(F77*$O77)),"---")</f>
        <v>NA</v>
      </c>
      <c r="V77" s="376" t="str">
        <f>IF(Start!$C$18="x",IF(OR(U77="NA",M77="NA",M77="",U77=""),"NA",U77/((Data!$D$18+((1-Data!$D$18)*Data!$D$14*M77))/((1-Data!$D$18)*Data!$D$14*1000))),"---")</f>
        <v>NA</v>
      </c>
      <c r="W77" s="376" t="str">
        <f>IF(Start!$C$18="x",IF(OR(G77="NA",U77="NA",G77="",U77=""),"NA",(U77 +($G77*(Data!$D$19-Data!$D$22)/(Data!$D$19*Data!$D$22)))),"---")</f>
        <v>NA</v>
      </c>
      <c r="X77" s="376" t="str">
        <f>IF(Start!$C$18="x",IF(OR(G77="NA",V77="NA",G77="",V77=""),"NA",(((Data!$D$22*Data!$D$18)*V77)+(Data!$D$19-Data!$D$22)*$G77)/((Data!$D$22*Data!$D$18)+Data!$D$19-Data!$D$22)),"---")</f>
        <v>NA</v>
      </c>
      <c r="Y77" s="376" t="str">
        <f>IF(Start!$C$18="x",IF(OR(W77="NA",W77="",M77="NA",M77=""),"NA",(W77/((Data!$D$23+((1-Data!$D$23)*Data!$D$14*M77)) /((1-Data!$D$23)*Data!$D$14*1000)))),"---")</f>
        <v>NA</v>
      </c>
      <c r="Z77" s="376" t="str">
        <f>IF(Start!$C$18="x",IF(OR(Y77="NA",X77="NA"),"NA",IF(Y77&gt;X77, Y77, X77)),"---")</f>
        <v>NA</v>
      </c>
      <c r="AA77" s="461" t="str">
        <f>IF(Start!$C$18="x",IF(OR(Z77="NA",T77="NA"),"NA",Z77*T77/(1000000000)),"---")</f>
        <v>NA</v>
      </c>
      <c r="AB77" s="1057" t="str">
        <f>IF(Start!$C$18="x",IF(AA77 = "NA", "NA", AA77*(Data!$D$52*Data!$D$53*10000)),"---")</f>
        <v>NA</v>
      </c>
      <c r="AC77" s="375" t="str">
        <f>IF(Start!$C$18="x",IF(AB77="NA", "NA", AB77*Data!$D$54),"---")</f>
        <v>NA</v>
      </c>
      <c r="AD77" s="498" t="str">
        <f>IF(Start!$C$18="x",IF(AC77="NA","NA",AC77*Data!$D$41),"---")</f>
        <v>NA</v>
      </c>
      <c r="AE77" s="376" t="str">
        <f>IF(Start!$C$18="x",IF(AB77 = "NA", "NA", AB77/(Data!$D$53*3*Data!$D$48)*1000),"---")</f>
        <v>NA</v>
      </c>
      <c r="AF77" s="498" t="str">
        <f>IF(Start!$C$18="x",IF(AE77="NA","NA",AE77*Data!$D$46),"---")</f>
        <v>NA</v>
      </c>
      <c r="AG77" s="375">
        <f>IF(Start!$C$18="x",IF(OR($L77="NA",L77=""),"NA",($L77*(Data!$D$55^3.33)/(Data!$D$18^2))),"---")</f>
        <v>4.8899969598123526E-4</v>
      </c>
      <c r="AH77" s="376" t="str">
        <f>IF(Start!$C$18="x",IF(OR(F77="NA",F77="",P77="NA",P77=""),"NA",IF(100/Data!$D$10&gt;Data!$D$13,(F77*$P77),(F77*$P77)*Data!$D$13)),"---")</f>
        <v>NA</v>
      </c>
      <c r="AI77" s="489">
        <f>IF(Start!$C$18="x",IF(OR($N77="NA",$Q77="NA",$Q77=0,Q77="",N77=""),"NA",(1000*$N77/$Q77)),"---")</f>
        <v>7865535.5736369826</v>
      </c>
      <c r="AJ77" s="376">
        <f>IF(Start!$C$18="x",IF(OR(Q77 = "NA",Q77=0,N77 = "NA",N77="",Q77=""), "NA", IF($AG77="NA","NA",(3.1416*Data!$D$57*86400/($AG77*(Data!$D$55+(N77*Data!$D$19/(Q77*1000)))))^0.5)),"---")</f>
        <v>1578.782696045655</v>
      </c>
      <c r="AK77" s="376" t="str">
        <f>IF(Start!$C$18="x",IF(OR(AH77 = "NA",AI77="NA",AI77=0,AI77="",AH77=""), "NA", AH77/AI77),"---")</f>
        <v>NA</v>
      </c>
      <c r="AL77" s="376" t="str">
        <f>IF(Start!$C$18="x",IF(OR(AK77 ="NA",AK77="",AJ77= "NA",R77="NA",R77=0),"NA",(2*AK77)/(1000*(1/$R77+AJ77))),"---")</f>
        <v>NA</v>
      </c>
      <c r="AM77" s="376" t="str">
        <f>IF(Start!$C$18="x",IF(AL77 = "NA", "NA", AL77*(Data!$D$52*Data!$D$53*10000)),"---")</f>
        <v>NA</v>
      </c>
      <c r="AN77" s="376" t="str">
        <f>IF(Start!$C$18="x",IF(AM77 = "NA", "NA", AM77*(Data!$D$54)),"---")</f>
        <v>NA</v>
      </c>
      <c r="AO77" s="498" t="str">
        <f>IF(Start!$C$18="x",IF(AN77="NA","NA",AN77*Data!$D$41),"---")</f>
        <v>NA</v>
      </c>
      <c r="AP77" s="376">
        <f>IF(Start!$C$18="x",IF(OR(Q77=0,N77="NA",N77="",AG77="NA",AG77="",AG77=0,Q77="",Q77="NA"),"NA", (3.1416*Data!$D$56*86400/($AG77*(Data!$D$55+(N77*Data!$D$19/(Q77*1000)))))^0.5),"---")</f>
        <v>1578.782696045655</v>
      </c>
      <c r="AQ77" s="376" t="str">
        <f>IF(Start!$C$18="x",IF(OR(AH77="NA",AI77="NA",AI77="",AI77=0,AH77=""),"NA", AH77/AI77),"---")</f>
        <v>NA</v>
      </c>
      <c r="AR77" s="376" t="str">
        <f>IF(Start!$C$18="x",IF(OR(AQ77="NA",AP77="NA",$R77="NA",R77=0,R77=""),"NA",(2*AQ77)/(1000*(1/$R77+AP77))),"---")</f>
        <v>NA</v>
      </c>
      <c r="AS77" s="376" t="str">
        <f>IF(Start!$C$18="x",IF(AR77 = "NA", "NA", AR77*(Data!$D$52*Data!$D$53*10000)),"---")</f>
        <v>NA</v>
      </c>
      <c r="AT77" s="376" t="str">
        <f>IF(Start!$C$18="x",IF(AS77 = "NA", "NA", (AS77*1000)/(Data!$D$48*3*Data!$D$53)),"---")</f>
        <v>NA</v>
      </c>
      <c r="AU77" s="498" t="str">
        <f>IF(Start!$C$18="x",IF(AT77="NA","NA",AT77*Data!$D$47),"---")</f>
        <v>NA</v>
      </c>
      <c r="AV77" s="283" t="str">
        <f>IF(Start!$C$18="x",(IF(AND(F77="",G77= "",G77&lt;&gt;"NA"),"",IF(OR(AD77="NA",I77="NA",I77=0),"NA",(AD77/I77)))),"Not Req.")</f>
        <v/>
      </c>
      <c r="AW77" s="284" t="str">
        <f>IF(Start!$C$18="x",(IF(AND(F77="",G77= "",G77&lt;&gt;"NA"),"",IF(OR(AF77="NA",I77="NA",I77=0),"NA",(AF77/I77)))),"Not Req.")</f>
        <v/>
      </c>
      <c r="AX77" s="284" t="str">
        <f>IF(Start!$C$18="x",(IF(F77 ="","",IF(OR(AO77="NA",I77="NA",I77=0),"NA",(AO77/I77)))),"Not Req.")</f>
        <v/>
      </c>
      <c r="AY77" s="344" t="str">
        <f>IF(Start!$C$18="x",(IF(F77 ="","",IF(OR(AU77="NA",I77="NA",I77=0),"NA",(AU77/I77)))),"Not Req.")</f>
        <v/>
      </c>
      <c r="AZ77" s="208"/>
    </row>
    <row r="78" spans="1:52" s="23" customFormat="1" x14ac:dyDescent="0.25">
      <c r="A78" s="405" t="s">
        <v>396</v>
      </c>
      <c r="B78" s="347" t="str">
        <f>IF(Start!$C$18="x",IF(AND(OR(F78="",F78="NA"),OR(G78="",G78="NA")),"",IF(I78="NA","NA",IF(AND(I78="",K78="--"),"NA",IF(AD78="NA","Missing Data",IF(I78="","No Criteria",IF(AD78&gt;=I78,"Needed","No")))))),"---")</f>
        <v/>
      </c>
      <c r="C78" s="501" t="str">
        <f>IF(Start!$C$18="x",IF(AND(OR(F78="",F78="NA"),OR(G78="",G78="NA")),"",IF(I78="NA","NA",IF(AND(I78="",K78="--"),"NA",IF(AF78="NA","Missing Data",IF(I78="","No Criteria",IF(AF78&gt;=I78,"Needed","No")))))),"---")</f>
        <v/>
      </c>
      <c r="D78" s="347" t="str">
        <f>IF(Start!$C$18="x",IF(AND(OR(F78="",F78="NA"),OR(G78="",G78="NA")),"",IF(I78="NA","NA",IF(AND(I78="",K78="--"),"NA",IF(AO78="NA","Missing Data",IF(I78="","No Criteria",IF(AO78&gt;=I78,"Needed","No")))))),"---")</f>
        <v/>
      </c>
      <c r="E78" s="401" t="str">
        <f>IF(Start!$C$18="x",IF(AND(OR(F78="",F78="NA"),OR(G78="",G78="NA")),"",IF(I78="NA","NA",IF(AND(I78="",K78="--"),"NA",IF(AU78="NA","Missing Data",IF(I78="","No Criteria",IF(AU78&gt;=I78,"Needed","No")))))),"---")</f>
        <v/>
      </c>
      <c r="F78" s="431" t="str">
        <f>IF(TRUE=ISBLANK(ChemData!B78),"",(ChemData!B78))</f>
        <v/>
      </c>
      <c r="G78" s="432" t="str">
        <f>IF(TRUE=ISBLANK(ChemData!C78),"",(ChemData!C78))</f>
        <v/>
      </c>
      <c r="H78" s="433" t="str">
        <f>IF(TRUE=ISBLANK(ChemData!D78),"",(ChemData!D78))</f>
        <v/>
      </c>
      <c r="I78" s="919">
        <f>IF(TRUE=ISBLANK(ChemData!K78),"",(ChemData!K78))</f>
        <v>0.06</v>
      </c>
      <c r="J78" s="290">
        <f>IF(TRUE=ISBLANK(ChemData!M78),"",(ChemData!M78))</f>
        <v>142.19999999999999</v>
      </c>
      <c r="K78" s="290">
        <f>IF(TRUE=ISBLANK(ChemData!N78),"",(ChemData!N78))</f>
        <v>3.1E-4</v>
      </c>
      <c r="L78" s="290">
        <f>IF(TRUE=ISBLANK(ChemData!O78),"",(ChemData!O78))</f>
        <v>4.8000000000000001E-2</v>
      </c>
      <c r="M78" s="290">
        <f>IF(TRUE=ISBLANK(ChemData!Q78),"",(ChemData!Q78))</f>
        <v>134.09309620988071</v>
      </c>
      <c r="N78" s="290">
        <f>IF(TRUE=ISBLANK(ChemData!R78),"",(ChemData!R78))</f>
        <v>134.09309620988071</v>
      </c>
      <c r="O78" s="290">
        <f>IF(TRUE=ISBLANK(ChemData!S78),"",(ChemData!S78))</f>
        <v>1</v>
      </c>
      <c r="P78" s="291">
        <f>IF(TRUE=ISBLANK(ChemData!T78),"",(ChemData!T78))</f>
        <v>1</v>
      </c>
      <c r="Q78" s="375">
        <f>IF(Start!$C$18="x",IF(OR(K78="NA",K78="",K78="--"),"NA",(K78*1000000/82.1/Data!$D$50)),"---")</f>
        <v>1.2180267965895251E-2</v>
      </c>
      <c r="R78" s="376">
        <f>IF(Start!$C$18="x",IF(OR(J78="NA",J78=0,J78=""),"NA",(0.32*(Data!$D$48+Data!$D$49)*(18/J78)^0.5)),"---")</f>
        <v>0.29316604358950593</v>
      </c>
      <c r="S78" s="376">
        <f>IF(Start!$C$18="x",IF(OR(J78="NA",J78= 0,J78=""),"NA",(0.0065*((Data!$D$49^0.969)/(Data!$D$51^0.673))*(32/J78)^0.5*EXP(0.526*Data!$D$48^-1.9))),"---")</f>
        <v>6.1791370199730576E-4</v>
      </c>
      <c r="T78" s="377">
        <f>IF(Start!$C$18="x",IF(OR(S78="NA",R78="NA",R78=0,Q78="NA",S78=0,Q78=0),"NA",(1/(1/S78+(1/(R78*Q78))))),"---")</f>
        <v>5.2676075247718357E-4</v>
      </c>
      <c r="U78" s="375" t="str">
        <f>IF(Start!$C$18="x",IF(OR(F78="NA",F78="",O78="",O78="NA"),"NA",(F78*$O78)),"---")</f>
        <v>NA</v>
      </c>
      <c r="V78" s="376" t="str">
        <f>IF(Start!$C$18="x",IF(OR(U78="NA",M78="NA",M78="",U78=""),"NA",U78/((Data!$D$18+((1-Data!$D$18)*Data!$D$14*M78))/((1-Data!$D$18)*Data!$D$14*1000))),"---")</f>
        <v>NA</v>
      </c>
      <c r="W78" s="376" t="str">
        <f>IF(Start!$C$18="x",IF(OR(G78="NA",U78="NA",G78="",U78=""),"NA",(U78 +($G78*(Data!$D$19-Data!$D$22)/(Data!$D$19*Data!$D$22)))),"---")</f>
        <v>NA</v>
      </c>
      <c r="X78" s="376" t="str">
        <f>IF(Start!$C$18="x",IF(OR(G78="NA",V78="NA",G78="",V78=""),"NA",(((Data!$D$22*Data!$D$18)*V78)+(Data!$D$19-Data!$D$22)*$G78)/((Data!$D$22*Data!$D$18)+Data!$D$19-Data!$D$22)),"---")</f>
        <v>NA</v>
      </c>
      <c r="Y78" s="376" t="str">
        <f>IF(Start!$C$18="x",IF(OR(W78="NA",W78="",M78="NA",M78=""),"NA",(W78/((Data!$D$23+((1-Data!$D$23)*Data!$D$14*M78)) /((1-Data!$D$23)*Data!$D$14*1000)))),"---")</f>
        <v>NA</v>
      </c>
      <c r="Z78" s="376" t="str">
        <f>IF(Start!$C$18="x",IF(OR(Y78="NA",X78="NA"),"NA",IF(Y78&gt;X78, Y78, X78)),"---")</f>
        <v>NA</v>
      </c>
      <c r="AA78" s="461" t="str">
        <f>IF(Start!$C$18="x",IF(OR(Z78="NA",T78="NA"),"NA",Z78*T78/(1000000000)),"---")</f>
        <v>NA</v>
      </c>
      <c r="AB78" s="1057" t="str">
        <f>IF(Start!$C$18="x",IF(AA78 = "NA", "NA", AA78*(Data!$D$52*Data!$D$53*10000)),"---")</f>
        <v>NA</v>
      </c>
      <c r="AC78" s="375" t="str">
        <f>IF(Start!$C$18="x",IF(AB78="NA", "NA", AB78*Data!$D$54),"---")</f>
        <v>NA</v>
      </c>
      <c r="AD78" s="498" t="str">
        <f>IF(Start!$C$18="x",IF(AC78="NA","NA",AC78*Data!$D$41),"---")</f>
        <v>NA</v>
      </c>
      <c r="AE78" s="376" t="str">
        <f>IF(Start!$C$18="x",IF(AB78 = "NA", "NA", AB78/(Data!$D$53*3*Data!$D$48)*1000),"---")</f>
        <v>NA</v>
      </c>
      <c r="AF78" s="498" t="str">
        <f>IF(Start!$C$18="x",IF(AE78="NA","NA",AE78*Data!$D$46),"---")</f>
        <v>NA</v>
      </c>
      <c r="AG78" s="375">
        <f>IF(Start!$C$18="x",IF(OR($L78="NA",L78=""),"NA",($L78*(Data!$D$55^3.33)/(Data!$D$18^2))),"---")</f>
        <v>4.8899969598123526E-4</v>
      </c>
      <c r="AH78" s="376" t="str">
        <f>IF(Start!$C$18="x",IF(OR(F78="NA",F78="",P78="NA",P78=""),"NA",IF(100/Data!$D$10&gt;Data!$D$13,(F78*$P78),(F78*$P78)*Data!$D$13)),"---")</f>
        <v>NA</v>
      </c>
      <c r="AI78" s="489">
        <f>IF(Start!$C$18="x",IF(OR($N78="NA",$Q78="NA",$Q78=0,Q78="",N78=""),"NA",(1000*$N78/$Q78)),"---")</f>
        <v>11009043.198831206</v>
      </c>
      <c r="AJ78" s="376">
        <f>IF(Start!$C$18="x",IF(OR(Q78 = "NA",Q78=0,N78 = "NA",N78="",Q78=""), "NA", IF($AG78="NA","NA",(3.1416*Data!$D$57*86400/($AG78*(Data!$D$55+(N78*Data!$D$19/(Q78*1000)))))^0.5)),"---")</f>
        <v>1334.4846288844963</v>
      </c>
      <c r="AK78" s="376" t="str">
        <f>IF(Start!$C$18="x",IF(OR(AH78 = "NA",AI78="NA",AI78=0,AI78="",AH78=""), "NA", AH78/AI78),"---")</f>
        <v>NA</v>
      </c>
      <c r="AL78" s="376" t="str">
        <f>IF(Start!$C$18="x",IF(OR(AK78 ="NA",AK78="",AJ78= "NA",R78="NA",R78=0),"NA",(2*AK78)/(1000*(1/$R78+AJ78))),"---")</f>
        <v>NA</v>
      </c>
      <c r="AM78" s="376" t="str">
        <f>IF(Start!$C$18="x",IF(AL78 = "NA", "NA", AL78*(Data!$D$52*Data!$D$53*10000)),"---")</f>
        <v>NA</v>
      </c>
      <c r="AN78" s="376" t="str">
        <f>IF(Start!$C$18="x",IF(AM78 = "NA", "NA", AM78*(Data!$D$54)),"---")</f>
        <v>NA</v>
      </c>
      <c r="AO78" s="498" t="str">
        <f>IF(Start!$C$18="x",IF(AN78="NA","NA",AN78*Data!$D$41),"---")</f>
        <v>NA</v>
      </c>
      <c r="AP78" s="376">
        <f>IF(Start!$C$18="x",IF(OR(Q78=0,N78="NA",N78="",AG78="NA",AG78="",AG78=0,Q78="",Q78="NA"),"NA", (3.1416*Data!$D$56*86400/($AG78*(Data!$D$55+(N78*Data!$D$19/(Q78*1000)))))^0.5),"---")</f>
        <v>1334.4846288844963</v>
      </c>
      <c r="AQ78" s="376" t="str">
        <f>IF(Start!$C$18="x",IF(OR(AH78="NA",AI78="NA",AI78="",AI78=0,AH78=""),"NA", AH78/AI78),"---")</f>
        <v>NA</v>
      </c>
      <c r="AR78" s="376" t="str">
        <f>IF(Start!$C$18="x",IF(OR(AQ78="NA",AP78="NA",$R78="NA",R78=0,R78=""),"NA",(2*AQ78)/(1000*(1/$R78+AP78))),"---")</f>
        <v>NA</v>
      </c>
      <c r="AS78" s="376" t="str">
        <f>IF(Start!$C$18="x",IF(AR78 = "NA", "NA", AR78*(Data!$D$52*Data!$D$53*10000)),"---")</f>
        <v>NA</v>
      </c>
      <c r="AT78" s="376" t="str">
        <f>IF(Start!$C$18="x",IF(AS78 = "NA", "NA", (AS78*1000)/(Data!$D$48*3*Data!$D$53)),"---")</f>
        <v>NA</v>
      </c>
      <c r="AU78" s="498" t="str">
        <f>IF(Start!$C$18="x",IF(AT78="NA","NA",AT78*Data!$D$47),"---")</f>
        <v>NA</v>
      </c>
      <c r="AV78" s="283" t="str">
        <f>IF(Start!$C$18="x",(IF(AND(F78="",G78= "",G78&lt;&gt;"NA"),"",IF(OR(AD78="NA",I78="NA",I78=0),"NA",(AD78/I78)))),"Not Req.")</f>
        <v/>
      </c>
      <c r="AW78" s="284" t="str">
        <f>IF(Start!$C$18="x",(IF(AND(F78="",G78= "",G78&lt;&gt;"NA"),"",IF(OR(AF78="NA",I78="NA",I78=0),"NA",(AF78/I78)))),"Not Req.")</f>
        <v/>
      </c>
      <c r="AX78" s="284" t="str">
        <f>IF(Start!$C$18="x",(IF(F78 ="","",IF(OR(AO78="NA",I78="NA",I78=0),"NA",(AO78/I78)))),"Not Req.")</f>
        <v/>
      </c>
      <c r="AY78" s="344" t="str">
        <f>IF(Start!$C$18="x",(IF(F78 ="","",IF(OR(AU78="NA",I78="NA",I78=0),"NA",(AU78/I78)))),"Not Req.")</f>
        <v/>
      </c>
      <c r="AZ78" s="208"/>
    </row>
    <row r="79" spans="1:52" s="23" customFormat="1" x14ac:dyDescent="0.25">
      <c r="A79" s="405" t="s">
        <v>397</v>
      </c>
      <c r="B79" s="347" t="str">
        <f>IF(Start!$C$18="x",IF(AND(OR(F79="",F79="NA"),OR(G79="",G79="NA")),"",IF(I79="NA","NA",IF(AND(I79="",K79="--"),"NA",IF(AD79="NA","Missing Data",IF(I79="","No Criteria",IF(AD79&gt;=I79,"Needed","No")))))),"---")</f>
        <v/>
      </c>
      <c r="C79" s="501" t="str">
        <f>IF(Start!$C$18="x",IF(AND(OR(F79="",F79="NA"),OR(G79="",G79="NA")),"",IF(I79="NA","NA",IF(AND(I79="",K79="--"),"NA",IF(AF79="NA","Missing Data",IF(I79="","No Criteria",IF(AF79&gt;=I79,"Needed","No")))))),"---")</f>
        <v/>
      </c>
      <c r="D79" s="347" t="str">
        <f>IF(Start!$C$18="x",IF(AND(OR(F79="",F79="NA"),OR(G79="",G79="NA")),"",IF(I79="NA","NA",IF(AND(I79="",K79="--"),"NA",IF(AO79="NA","Missing Data",IF(I79="","No Criteria",IF(AO79&gt;=I79,"Needed","No")))))),"---")</f>
        <v/>
      </c>
      <c r="E79" s="401" t="str">
        <f>IF(Start!$C$18="x",IF(AND(OR(F79="",F79="NA"),OR(G79="",G79="NA")),"",IF(I79="NA","NA",IF(AND(I79="",K79="--"),"NA",IF(AU79="NA","Missing Data",IF(I79="","No Criteria",IF(AU79&gt;=I79,"Needed","No")))))),"---")</f>
        <v/>
      </c>
      <c r="F79" s="431" t="str">
        <f>IF(TRUE=ISBLANK(ChemData!B79),"",(ChemData!B79))</f>
        <v/>
      </c>
      <c r="G79" s="432" t="str">
        <f>IF(TRUE=ISBLANK(ChemData!C79),"",(ChemData!C79))</f>
        <v/>
      </c>
      <c r="H79" s="433" t="str">
        <f>IF(TRUE=ISBLANK(ChemData!D79),"",(ChemData!D79))</f>
        <v/>
      </c>
      <c r="I79" s="919">
        <f>IF(TRUE=ISBLANK(ChemData!K79),"",(ChemData!K79))</f>
        <v>0.04</v>
      </c>
      <c r="J79" s="290">
        <f>IF(TRUE=ISBLANK(ChemData!M79),"",(ChemData!M79))</f>
        <v>128.19999999999999</v>
      </c>
      <c r="K79" s="290">
        <f>IF(TRUE=ISBLANK(ChemData!N79),"",(ChemData!N79))</f>
        <v>4.6000000000000001E-4</v>
      </c>
      <c r="L79" s="290">
        <f>IF(TRUE=ISBLANK(ChemData!O79),"",(ChemData!O79))</f>
        <v>5.8999999999999997E-2</v>
      </c>
      <c r="M79" s="290">
        <f>IF(TRUE=ISBLANK(ChemData!Q79),"",(ChemData!Q79))</f>
        <v>40.495467659306222</v>
      </c>
      <c r="N79" s="290">
        <f>IF(TRUE=ISBLANK(ChemData!R79),"",(ChemData!R79))</f>
        <v>40.495467659306222</v>
      </c>
      <c r="O79" s="290">
        <f>IF(TRUE=ISBLANK(ChemData!S79),"",(ChemData!S79))</f>
        <v>1</v>
      </c>
      <c r="P79" s="291">
        <f>IF(TRUE=ISBLANK(ChemData!T79),"",(ChemData!T79))</f>
        <v>1</v>
      </c>
      <c r="Q79" s="375">
        <f>IF(Start!$C$18="x",IF(OR(K79="NA",K79="",K79="--"),"NA",(K79*1000000/82.1/Data!$D$50)),"---")</f>
        <v>1.8073946013909083E-2</v>
      </c>
      <c r="R79" s="376">
        <f>IF(Start!$C$18="x",IF(OR(J79="NA",J79=0,J79=""),"NA",(0.32*(Data!$D$48+Data!$D$49)*(18/J79)^0.5)),"---")</f>
        <v>0.30875887628009546</v>
      </c>
      <c r="S79" s="376">
        <f>IF(Start!$C$18="x",IF(OR(J79="NA",J79= 0,J79=""),"NA",(0.0065*((Data!$D$49^0.969)/(Data!$D$51^0.673))*(32/J79)^0.5*EXP(0.526*Data!$D$48^-1.9))),"---")</f>
        <v>6.5077912138386291E-4</v>
      </c>
      <c r="T79" s="377">
        <f>IF(Start!$C$18="x",IF(OR(S79="NA",R79="NA",R79=0,Q79="NA",S79=0,Q79=0),"NA",(1/(1/S79+(1/(R79*Q79))))),"---")</f>
        <v>5.8281329117165759E-4</v>
      </c>
      <c r="U79" s="375" t="str">
        <f>IF(Start!$C$18="x",IF(OR(F79="NA",F79="",O79="",O79="NA"),"NA",(F79*$O79)),"---")</f>
        <v>NA</v>
      </c>
      <c r="V79" s="376" t="str">
        <f>IF(Start!$C$18="x",IF(OR(U79="NA",M79="NA",M79="",U79=""),"NA",U79/((Data!$D$18+((1-Data!$D$18)*Data!$D$14*M79))/((1-Data!$D$18)*Data!$D$14*1000))),"---")</f>
        <v>NA</v>
      </c>
      <c r="W79" s="376" t="str">
        <f>IF(Start!$C$18="x",IF(OR(G79="NA",U79="NA",G79="",U79=""),"NA",(U79 +($G79*(Data!$D$19-Data!$D$22)/(Data!$D$19*Data!$D$22)))),"---")</f>
        <v>NA</v>
      </c>
      <c r="X79" s="376" t="str">
        <f>IF(Start!$C$18="x",IF(OR(G79="NA",V79="NA",G79="",V79=""),"NA",(((Data!$D$22*Data!$D$18)*V79)+(Data!$D$19-Data!$D$22)*$G79)/((Data!$D$22*Data!$D$18)+Data!$D$19-Data!$D$22)),"---")</f>
        <v>NA</v>
      </c>
      <c r="Y79" s="376" t="str">
        <f>IF(Start!$C$18="x",IF(OR(W79="NA",W79="",M79="NA",M79=""),"NA",(W79/((Data!$D$23+((1-Data!$D$23)*Data!$D$14*M79)) /((1-Data!$D$23)*Data!$D$14*1000)))),"---")</f>
        <v>NA</v>
      </c>
      <c r="Z79" s="376" t="str">
        <f>IF(Start!$C$18="x",IF(OR(Y79="NA",X79="NA"),"NA",IF(Y79&gt;X79, Y79, X79)),"---")</f>
        <v>NA</v>
      </c>
      <c r="AA79" s="461" t="str">
        <f>IF(Start!$C$18="x",IF(OR(Z79="NA",T79="NA"),"NA",Z79*T79/(1000000000)),"---")</f>
        <v>NA</v>
      </c>
      <c r="AB79" s="1057" t="str">
        <f>IF(Start!$C$18="x",IF(AA79 = "NA", "NA", AA79*(Data!$D$52*Data!$D$53*10000)),"---")</f>
        <v>NA</v>
      </c>
      <c r="AC79" s="375" t="str">
        <f>IF(Start!$C$18="x",IF(AB79="NA", "NA", AB79*Data!$D$54),"---")</f>
        <v>NA</v>
      </c>
      <c r="AD79" s="498" t="str">
        <f>IF(Start!$C$18="x",IF(AC79="NA","NA",AC79*Data!$D$41),"---")</f>
        <v>NA</v>
      </c>
      <c r="AE79" s="376" t="str">
        <f>IF(Start!$C$18="x",IF(AB79 = "NA", "NA", AB79/(Data!$D$53*3*Data!$D$48)*1000),"---")</f>
        <v>NA</v>
      </c>
      <c r="AF79" s="498" t="str">
        <f>IF(Start!$C$18="x",IF(AE79="NA","NA",AE79*Data!$D$46),"---")</f>
        <v>NA</v>
      </c>
      <c r="AG79" s="375">
        <f>IF(Start!$C$18="x",IF(OR($L79="NA",L79=""),"NA",($L79*(Data!$D$55^3.33)/(Data!$D$18^2))),"---")</f>
        <v>6.0106212631026831E-4</v>
      </c>
      <c r="AH79" s="376" t="str">
        <f>IF(Start!$C$18="x",IF(OR(F79="NA",F79="",P79="NA",P79=""),"NA",IF(100/Data!$D$10&gt;Data!$D$13,(F79*$P79),(F79*$P79)*Data!$D$13)),"---")</f>
        <v>NA</v>
      </c>
      <c r="AI79" s="489">
        <f>IF(Start!$C$18="x",IF(OR($N79="NA",$Q79="NA",$Q79=0,Q79="",N79=""),"NA",(1000*$N79/$Q79)),"---")</f>
        <v>2240543.7986891363</v>
      </c>
      <c r="AJ79" s="376">
        <f>IF(Start!$C$18="x",IF(OR(Q79 = "NA",Q79=0,N79 = "NA",N79="",Q79=""), "NA", IF($AG79="NA","NA",(3.1416*Data!$D$57*86400/($AG79*(Data!$D$55+(N79*Data!$D$19/(Q79*1000)))))^0.5)),"---")</f>
        <v>2668.0138640040122</v>
      </c>
      <c r="AK79" s="376" t="str">
        <f>IF(Start!$C$18="x",IF(OR(AH79 = "NA",AI79="NA",AI79=0,AI79="",AH79=""), "NA", AH79/AI79),"---")</f>
        <v>NA</v>
      </c>
      <c r="AL79" s="376" t="str">
        <f>IF(Start!$C$18="x",IF(OR(AK79 ="NA",AK79="",AJ79= "NA",R79="NA",R79=0),"NA",(2*AK79)/(1000*(1/$R79+AJ79))),"---")</f>
        <v>NA</v>
      </c>
      <c r="AM79" s="376" t="str">
        <f>IF(Start!$C$18="x",IF(AL79 = "NA", "NA", AL79*(Data!$D$52*Data!$D$53*10000)),"---")</f>
        <v>NA</v>
      </c>
      <c r="AN79" s="376" t="str">
        <f>IF(Start!$C$18="x",IF(AM79 = "NA", "NA", AM79*(Data!$D$54)),"---")</f>
        <v>NA</v>
      </c>
      <c r="AO79" s="498" t="str">
        <f>IF(Start!$C$18="x",IF(AN79="NA","NA",AN79*Data!$D$41),"---")</f>
        <v>NA</v>
      </c>
      <c r="AP79" s="376">
        <f>IF(Start!$C$18="x",IF(OR(Q79=0,N79="NA",N79="",AG79="NA",AG79="",AG79=0,Q79="",Q79="NA"),"NA", (3.1416*Data!$D$56*86400/($AG79*(Data!$D$55+(N79*Data!$D$19/(Q79*1000)))))^0.5),"---")</f>
        <v>2668.0138640040122</v>
      </c>
      <c r="AQ79" s="376" t="str">
        <f>IF(Start!$C$18="x",IF(OR(AH79="NA",AI79="NA",AI79="",AI79=0,AH79=""),"NA", AH79/AI79),"---")</f>
        <v>NA</v>
      </c>
      <c r="AR79" s="376" t="str">
        <f>IF(Start!$C$18="x",IF(OR(AQ79="NA",AP79="NA",$R79="NA",R79=0,R79=""),"NA",(2*AQ79)/(1000*(1/$R79+AP79))),"---")</f>
        <v>NA</v>
      </c>
      <c r="AS79" s="376" t="str">
        <f>IF(Start!$C$18="x",IF(AR79 = "NA", "NA", AR79*(Data!$D$52*Data!$D$53*10000)),"---")</f>
        <v>NA</v>
      </c>
      <c r="AT79" s="376" t="str">
        <f>IF(Start!$C$18="x",IF(AS79 = "NA", "NA", (AS79*1000)/(Data!$D$48*3*Data!$D$53)),"---")</f>
        <v>NA</v>
      </c>
      <c r="AU79" s="498" t="str">
        <f>IF(Start!$C$18="x",IF(AT79="NA","NA",AT79*Data!$D$47),"---")</f>
        <v>NA</v>
      </c>
      <c r="AV79" s="283" t="str">
        <f>IF(Start!$C$18="x",(IF(AND(F79="",G79= "",G79&lt;&gt;"NA"),"",IF(OR(AD79="NA",I79="NA",I79=0),"NA",(AD79/I79)))),"Not Req.")</f>
        <v/>
      </c>
      <c r="AW79" s="284" t="str">
        <f>IF(Start!$C$18="x",(IF(AND(F79="",G79= "",G79&lt;&gt;"NA"),"",IF(OR(AF79="NA",I79="NA",I79=0),"NA",(AF79/I79)))),"Not Req.")</f>
        <v/>
      </c>
      <c r="AX79" s="284" t="str">
        <f>IF(Start!$C$18="x",(IF(F79 ="","",IF(OR(AO79="NA",I79="NA",I79=0),"NA",(AO79/I79)))),"Not Req.")</f>
        <v/>
      </c>
      <c r="AY79" s="344" t="str">
        <f>IF(Start!$C$18="x",(IF(F79 ="","",IF(OR(AU79="NA",I79="NA",I79=0),"NA",(AU79/I79)))),"Not Req.")</f>
        <v/>
      </c>
      <c r="AZ79" s="208"/>
    </row>
    <row r="80" spans="1:52" s="23" customFormat="1" x14ac:dyDescent="0.25">
      <c r="A80" s="405" t="s">
        <v>398</v>
      </c>
      <c r="B80" s="347" t="str">
        <f>IF(Start!$C$18="x",IF(AND(OR(F80="",F80="NA"),OR(G80="",G80="NA")),"",IF(I80="NA","NA",IF(AND(I80="",K80="--"),"NA",IF(AD80="NA","Missing Data",IF(I80="","No Criteria",IF(AD80&gt;=I80,"Needed","No")))))),"---")</f>
        <v/>
      </c>
      <c r="C80" s="501" t="str">
        <f>IF(Start!$C$18="x",IF(AND(OR(F80="",F80="NA"),OR(G80="",G80="NA")),"",IF(I80="NA","NA",IF(AND(I80="",K80="--"),"NA",IF(AF80="NA","Missing Data",IF(I80="","No Criteria",IF(AF80&gt;=I80,"Needed","No")))))),"---")</f>
        <v/>
      </c>
      <c r="D80" s="347" t="str">
        <f>IF(Start!$C$18="x",IF(AND(OR(F80="",F80="NA"),OR(G80="",G80="NA")),"",IF(I80="NA","NA",IF(AND(I80="",K80="--"),"NA",IF(AO80="NA","Missing Data",IF(I80="","No Criteria",IF(AO80&gt;=I80,"Needed","No")))))),"---")</f>
        <v/>
      </c>
      <c r="E80" s="401" t="str">
        <f>IF(Start!$C$18="x",IF(AND(OR(F80="",F80="NA"),OR(G80="",G80="NA")),"",IF(I80="NA","NA",IF(AND(I80="",K80="--"),"NA",IF(AU80="NA","Missing Data",IF(I80="","No Criteria",IF(AU80&gt;=I80,"Needed","No")))))),"---")</f>
        <v/>
      </c>
      <c r="F80" s="431" t="str">
        <f>IF(TRUE=ISBLANK(ChemData!B80),"",(ChemData!B80))</f>
        <v/>
      </c>
      <c r="G80" s="432" t="str">
        <f>IF(TRUE=ISBLANK(ChemData!C80),"",(ChemData!C80))</f>
        <v/>
      </c>
      <c r="H80" s="433" t="str">
        <f>IF(TRUE=ISBLANK(ChemData!D80),"",(ChemData!D80))</f>
        <v/>
      </c>
      <c r="I80" s="919" t="str">
        <f>IF(TRUE=ISBLANK(ChemData!K80),"",(ChemData!K80))</f>
        <v>NA</v>
      </c>
      <c r="J80" s="290">
        <f>IF(TRUE=ISBLANK(ChemData!M80),"",(ChemData!M80))</f>
        <v>278</v>
      </c>
      <c r="K80" s="290">
        <f>IF(TRUE=ISBLANK(ChemData!N80),"",(ChemData!N80))</f>
        <v>2.6099999999999999E-9</v>
      </c>
      <c r="L80" s="290">
        <f>IF(TRUE=ISBLANK(ChemData!O80),"",(ChemData!O80))</f>
        <v>0.15120874985675184</v>
      </c>
      <c r="M80" s="290" t="str">
        <f>IF(TRUE=ISBLANK(ChemData!Q80),"",(ChemData!Q80))</f>
        <v>NA</v>
      </c>
      <c r="N80" s="290" t="str">
        <f>IF(TRUE=ISBLANK(ChemData!R80),"",(ChemData!R80))</f>
        <v>NA</v>
      </c>
      <c r="O80" s="290">
        <f>IF(TRUE=ISBLANK(ChemData!S80),"",(ChemData!S80))</f>
        <v>1</v>
      </c>
      <c r="P80" s="291">
        <f>IF(TRUE=ISBLANK(ChemData!T80),"",(ChemData!T80))</f>
        <v>1</v>
      </c>
      <c r="Q80" s="375">
        <f>IF(Start!$C$18="x",IF(OR(K80="NA",K80="",K80="--"),"NA",(K80*1000000/82.1/Data!$D$50)),"---")</f>
        <v>1.0254999803544066E-7</v>
      </c>
      <c r="R80" s="376">
        <f>IF(Start!$C$18="x",IF(OR(J80="NA",J80=0,J80=""),"NA",(0.32*(Data!$D$48+Data!$D$49)*(18/J80)^0.5)),"---")</f>
        <v>0.20967230341688881</v>
      </c>
      <c r="S80" s="376">
        <f>IF(Start!$C$18="x",IF(OR(J80="NA",J80= 0,J80=""),"NA",(0.0065*((Data!$D$49^0.969)/(Data!$D$51^0.673))*(32/J80)^0.5*EXP(0.526*Data!$D$48^-1.9))),"---")</f>
        <v>4.4193177226228326E-4</v>
      </c>
      <c r="T80" s="377">
        <f>IF(Start!$C$18="x",IF(OR(S80="NA",R80="NA",R80=0,Q80="NA",S80=0,Q80=0),"NA",(1/(1/S80+(1/(R80*Q80))))),"---")</f>
        <v>2.1500848194124056E-8</v>
      </c>
      <c r="U80" s="375" t="str">
        <f>IF(Start!$C$18="x",IF(OR(F80="NA",F80="",O80="",O80="NA"),"NA",(F80*$O80)),"---")</f>
        <v>NA</v>
      </c>
      <c r="V80" s="376" t="str">
        <f>IF(Start!$C$18="x",IF(OR(U80="NA",M80="NA",M80="",U80=""),"NA",U80/((Data!$D$18+((1-Data!$D$18)*Data!$D$14*M80))/((1-Data!$D$18)*Data!$D$14*1000))),"---")</f>
        <v>NA</v>
      </c>
      <c r="W80" s="376" t="str">
        <f>IF(Start!$C$18="x",IF(OR(G80="NA",U80="NA",G80="",U80=""),"NA",(U80 +($G80*(Data!$D$19-Data!$D$22)/(Data!$D$19*Data!$D$22)))),"---")</f>
        <v>NA</v>
      </c>
      <c r="X80" s="376" t="str">
        <f>IF(Start!$C$18="x",IF(OR(G80="NA",V80="NA",G80="",V80=""),"NA",(((Data!$D$22*Data!$D$18)*V80)+(Data!$D$19-Data!$D$22)*$G80)/((Data!$D$22*Data!$D$18)+Data!$D$19-Data!$D$22)),"---")</f>
        <v>NA</v>
      </c>
      <c r="Y80" s="376" t="str">
        <f>IF(Start!$C$18="x",IF(OR(W80="NA",W80="",M80="NA",M80=""),"NA",(W80/((Data!$D$23+((1-Data!$D$23)*Data!$D$14*M80)) /((1-Data!$D$23)*Data!$D$14*1000)))),"---")</f>
        <v>NA</v>
      </c>
      <c r="Z80" s="376" t="str">
        <f>IF(Start!$C$18="x",IF(OR(Y80="NA",X80="NA"),"NA",IF(Y80&gt;X80, Y80, X80)),"---")</f>
        <v>NA</v>
      </c>
      <c r="AA80" s="461" t="str">
        <f>IF(Start!$C$18="x",IF(OR(Z80="NA",T80="NA"),"NA",Z80*T80/(1000000000)),"---")</f>
        <v>NA</v>
      </c>
      <c r="AB80" s="1057" t="str">
        <f>IF(Start!$C$18="x",IF(AA80 = "NA", "NA", AA80*(Data!$D$52*Data!$D$53*10000)),"---")</f>
        <v>NA</v>
      </c>
      <c r="AC80" s="375" t="str">
        <f>IF(Start!$C$18="x",IF(AB80="NA", "NA", AB80*Data!$D$54),"---")</f>
        <v>NA</v>
      </c>
      <c r="AD80" s="498" t="str">
        <f>IF(Start!$C$18="x",IF(AC80="NA","NA",AC80*Data!$D$41),"---")</f>
        <v>NA</v>
      </c>
      <c r="AE80" s="376" t="str">
        <f>IF(Start!$C$18="x",IF(AB80 = "NA", "NA", AB80/(Data!$D$53*3*Data!$D$48)*1000),"---")</f>
        <v>NA</v>
      </c>
      <c r="AF80" s="498" t="str">
        <f>IF(Start!$C$18="x",IF(AE80="NA","NA",AE80*Data!$D$46),"---")</f>
        <v>NA</v>
      </c>
      <c r="AG80" s="375">
        <f>IF(Start!$C$18="x",IF(OR($L80="NA",L80=""),"NA",($L80*(Data!$D$55^3.33)/(Data!$D$18^2))),"---")</f>
        <v>1.5404381814511313E-3</v>
      </c>
      <c r="AH80" s="376" t="str">
        <f>IF(Start!$C$18="x",IF(OR(F80="NA",F80="",P80="NA",P80=""),"NA",IF(100/Data!$D$10&gt;Data!$D$13,(F80*$P80),(F80*$P80)*Data!$D$13)),"---")</f>
        <v>NA</v>
      </c>
      <c r="AI80" s="489" t="str">
        <f>IF(Start!$C$18="x",IF(OR($N80="NA",$Q80="NA",$Q80=0,Q80="",N80=""),"NA",(1000*$N80/$Q80)),"---")</f>
        <v>NA</v>
      </c>
      <c r="AJ80" s="376" t="str">
        <f>IF(Start!$C$18="x",IF(OR(Q80 = "NA",Q80=0,N80 = "NA",N80="",Q80=""), "NA", IF($AG80="NA","NA",(3.1416*Data!$D$57*86400/($AG80*(Data!$D$55+(N80*Data!$D$19/(Q80*1000)))))^0.5)),"---")</f>
        <v>NA</v>
      </c>
      <c r="AK80" s="376" t="str">
        <f>IF(Start!$C$18="x",IF(OR(AH80 = "NA",AI80="NA",AI80=0,AI80="",AH80=""), "NA", AH80/AI80),"---")</f>
        <v>NA</v>
      </c>
      <c r="AL80" s="376" t="str">
        <f>IF(Start!$C$18="x",IF(OR(AK80 ="NA",AK80="",AJ80= "NA",R80="NA",R80=0),"NA",(2*AK80)/(1000*(1/$R80+AJ80))),"---")</f>
        <v>NA</v>
      </c>
      <c r="AM80" s="376" t="str">
        <f>IF(Start!$C$18="x",IF(AL80 = "NA", "NA", AL80*(Data!$D$52*Data!$D$53*10000)),"---")</f>
        <v>NA</v>
      </c>
      <c r="AN80" s="376" t="str">
        <f>IF(Start!$C$18="x",IF(AM80 = "NA", "NA", AM80*(Data!$D$54)),"---")</f>
        <v>NA</v>
      </c>
      <c r="AO80" s="498" t="str">
        <f>IF(Start!$C$18="x",IF(AN80="NA","NA",AN80*Data!$D$41),"---")</f>
        <v>NA</v>
      </c>
      <c r="AP80" s="376" t="str">
        <f>IF(Start!$C$18="x",IF(OR(Q80=0,N80="NA",N80="",AG80="NA",AG80="",AG80=0,Q80="",Q80="NA"),"NA", (3.1416*Data!$D$56*86400/($AG80*(Data!$D$55+(N80*Data!$D$19/(Q80*1000)))))^0.5),"---")</f>
        <v>NA</v>
      </c>
      <c r="AQ80" s="376" t="str">
        <f>IF(Start!$C$18="x",IF(OR(AH80="NA",AI80="NA",AI80="",AI80=0,AH80=""),"NA", AH80/AI80),"---")</f>
        <v>NA</v>
      </c>
      <c r="AR80" s="376" t="str">
        <f>IF(Start!$C$18="x",IF(OR(AQ80="NA",AP80="NA",$R80="NA",R80=0,R80=""),"NA",(2*AQ80)/(1000*(1/$R80+AP80))),"---")</f>
        <v>NA</v>
      </c>
      <c r="AS80" s="376" t="str">
        <f>IF(Start!$C$18="x",IF(AR80 = "NA", "NA", AR80*(Data!$D$52*Data!$D$53*10000)),"---")</f>
        <v>NA</v>
      </c>
      <c r="AT80" s="376" t="str">
        <f>IF(Start!$C$18="x",IF(AS80 = "NA", "NA", (AS80*1000)/(Data!$D$48*3*Data!$D$53)),"---")</f>
        <v>NA</v>
      </c>
      <c r="AU80" s="498" t="str">
        <f>IF(Start!$C$18="x",IF(AT80="NA","NA",AT80*Data!$D$47),"---")</f>
        <v>NA</v>
      </c>
      <c r="AV80" s="283" t="str">
        <f>IF(Start!$C$18="x",(IF(AND(F80="",G80= "",G80&lt;&gt;"NA"),"",IF(OR(AD80="NA",I80="NA",I80=0),"NA",(AD80/I80)))),"Not Req.")</f>
        <v/>
      </c>
      <c r="AW80" s="284" t="str">
        <f>IF(Start!$C$18="x",(IF(AND(F80="",G80= "",G80&lt;&gt;"NA"),"",IF(OR(AF80="NA",I80="NA",I80=0),"NA",(AF80/I80)))),"Not Req.")</f>
        <v/>
      </c>
      <c r="AX80" s="284" t="str">
        <f>IF(Start!$C$18="x",(IF(F80 ="","",IF(OR(AO80="NA",I80="NA",I80=0),"NA",(AO80/I80)))),"Not Req.")</f>
        <v/>
      </c>
      <c r="AY80" s="344" t="str">
        <f>IF(Start!$C$18="x",(IF(F80 ="","",IF(OR(AU80="NA",I80="NA",I80=0),"NA",(AU80/I80)))),"Not Req.")</f>
        <v/>
      </c>
      <c r="AZ80" s="208"/>
    </row>
    <row r="81" spans="1:52" s="181" customFormat="1" x14ac:dyDescent="0.25">
      <c r="A81" s="405" t="s">
        <v>399</v>
      </c>
      <c r="B81" s="347" t="str">
        <f>IF(Start!$C$18="x",IF(AND(OR(F81="",F81="NA"),OR(G81="",G81="NA")),"",IF(I81="NA","NA",IF(AND(I81="",K81="--"),"NA",IF(AD81="NA","Missing Data",IF(I81="","No Criteria",IF(AD81&gt;=I81,"Needed","No")))))),"---")</f>
        <v/>
      </c>
      <c r="C81" s="501" t="str">
        <f>IF(Start!$C$18="x",IF(AND(OR(F81="",F81="NA"),OR(G81="",G81="NA")),"",IF(I81="NA","NA",IF(AND(I81="",K81="--"),"NA",IF(AF81="NA","Missing Data",IF(I81="","No Criteria",IF(AF81&gt;=I81,"Needed","No")))))),"---")</f>
        <v/>
      </c>
      <c r="D81" s="347" t="str">
        <f>IF(Start!$C$18="x",IF(AND(OR(F81="",F81="NA"),OR(G81="",G81="NA")),"",IF(I81="NA","NA",IF(AND(I81="",K81="--"),"NA",IF(AO81="NA","Missing Data",IF(I81="","No Criteria",IF(AO81&gt;=I81,"Needed","No")))))),"---")</f>
        <v/>
      </c>
      <c r="E81" s="401" t="str">
        <f>IF(Start!$C$18="x",IF(AND(OR(F81="",F81="NA"),OR(G81="",G81="NA")),"",IF(I81="NA","NA",IF(AND(I81="",K81="--"),"NA",IF(AU81="NA","Missing Data",IF(I81="","No Criteria",IF(AU81&gt;=I81,"Needed","No")))))),"---")</f>
        <v/>
      </c>
      <c r="F81" s="431" t="str">
        <f>IF(TRUE=ISBLANK(ChemData!B81),"",(ChemData!B81))</f>
        <v/>
      </c>
      <c r="G81" s="432" t="str">
        <f>IF(TRUE=ISBLANK(ChemData!C81),"",(ChemData!C81))</f>
        <v/>
      </c>
      <c r="H81" s="433" t="str">
        <f>IF(TRUE=ISBLANK(ChemData!D81),"",(ChemData!D81))</f>
        <v/>
      </c>
      <c r="I81" s="919">
        <f>IF(TRUE=ISBLANK(ChemData!K81),"",(ChemData!K81))</f>
        <v>0.04</v>
      </c>
      <c r="J81" s="290">
        <f>IF(TRUE=ISBLANK(ChemData!M81),"",(ChemData!M81))</f>
        <v>178</v>
      </c>
      <c r="K81" s="290">
        <f>IF(TRUE=ISBLANK(ChemData!N81),"",(ChemData!N81))</f>
        <v>2.3E-5</v>
      </c>
      <c r="L81" s="290">
        <f>IF(TRUE=ISBLANK(ChemData!O81),"",(ChemData!O81))</f>
        <v>3.3000000000000002E-2</v>
      </c>
      <c r="M81" s="290">
        <f>IF(TRUE=ISBLANK(ChemData!Q81),"",(ChemData!Q81))</f>
        <v>533.83423122873478</v>
      </c>
      <c r="N81" s="290">
        <f>IF(TRUE=ISBLANK(ChemData!R81),"",(ChemData!R81))</f>
        <v>533.83423122873478</v>
      </c>
      <c r="O81" s="290">
        <f>IF(TRUE=ISBLANK(ChemData!S81),"",(ChemData!S81))</f>
        <v>1</v>
      </c>
      <c r="P81" s="291">
        <f>IF(TRUE=ISBLANK(ChemData!T81),"",(ChemData!T81))</f>
        <v>1</v>
      </c>
      <c r="Q81" s="375">
        <f>IF(Start!$C$18="x",IF(OR(K81="NA",K81="",K81="--"),"NA",(K81*1000000/82.1/Data!$D$50)),"---")</f>
        <v>9.0369730069545407E-4</v>
      </c>
      <c r="R81" s="376">
        <f>IF(Start!$C$18="x",IF(OR(J81="NA",J81=0,J81=""),"NA",(0.32*(Data!$D$48+Data!$D$49)*(18/J81)^0.5)),"---")</f>
        <v>0.2620314759375722</v>
      </c>
      <c r="S81" s="376">
        <f>IF(Start!$C$18="x",IF(OR(J81="NA",J81= 0,J81=""),"NA",(0.0065*((Data!$D$49^0.969)/(Data!$D$51^0.673))*(32/J81)^0.5*EXP(0.526*Data!$D$48^-1.9))),"---")</f>
        <v>5.5229056323833747E-4</v>
      </c>
      <c r="T81" s="377">
        <f>IF(Start!$C$18="x",IF(OR(S81="NA",R81="NA",R81=0,Q81="NA",S81=0,Q81=0),"NA",(1/(1/S81+(1/(R81*Q81))))),"---")</f>
        <v>1.6573674171009892E-4</v>
      </c>
      <c r="U81" s="375" t="str">
        <f>IF(Start!$C$18="x",IF(OR(F81="NA",F81="",O81="",O81="NA"),"NA",(F81*$O81)),"---")</f>
        <v>NA</v>
      </c>
      <c r="V81" s="376" t="str">
        <f>IF(Start!$C$18="x",IF(OR(U81="NA",M81="NA",M81="",U81=""),"NA",U81/((Data!$D$18+((1-Data!$D$18)*Data!$D$14*M81))/((1-Data!$D$18)*Data!$D$14*1000))),"---")</f>
        <v>NA</v>
      </c>
      <c r="W81" s="376" t="str">
        <f>IF(Start!$C$18="x",IF(OR(G81="NA",U81="NA",G81="",U81=""),"NA",(U81 +($G81*(Data!$D$19-Data!$D$22)/(Data!$D$19*Data!$D$22)))),"---")</f>
        <v>NA</v>
      </c>
      <c r="X81" s="376" t="str">
        <f>IF(Start!$C$18="x",IF(OR(G81="NA",V81="NA",G81="",V81=""),"NA",(((Data!$D$22*Data!$D$18)*V81)+(Data!$D$19-Data!$D$22)*$G81)/((Data!$D$22*Data!$D$18)+Data!$D$19-Data!$D$22)),"---")</f>
        <v>NA</v>
      </c>
      <c r="Y81" s="376" t="str">
        <f>IF(Start!$C$18="x",IF(OR(W81="NA",W81="",M81="NA",M81=""),"NA",(W81/((Data!$D$23+((1-Data!$D$23)*Data!$D$14*M81)) /((1-Data!$D$23)*Data!$D$14*1000)))),"---")</f>
        <v>NA</v>
      </c>
      <c r="Z81" s="376" t="str">
        <f>IF(Start!$C$18="x",IF(OR(Y81="NA",X81="NA"),"NA",IF(Y81&gt;X81, Y81, X81)),"---")</f>
        <v>NA</v>
      </c>
      <c r="AA81" s="461" t="str">
        <f>IF(Start!$C$18="x",IF(OR(Z81="NA",T81="NA"),"NA",Z81*T81/(1000000000)),"---")</f>
        <v>NA</v>
      </c>
      <c r="AB81" s="1057" t="str">
        <f>IF(Start!$C$18="x",IF(AA81 = "NA", "NA", AA81*(Data!$D$52*Data!$D$53*10000)),"---")</f>
        <v>NA</v>
      </c>
      <c r="AC81" s="375" t="str">
        <f>IF(Start!$C$18="x",IF(AB81="NA", "NA", AB81*Data!$D$54),"---")</f>
        <v>NA</v>
      </c>
      <c r="AD81" s="498" t="str">
        <f>IF(Start!$C$18="x",IF(AC81="NA","NA",AC81*Data!$D$41),"---")</f>
        <v>NA</v>
      </c>
      <c r="AE81" s="376" t="str">
        <f>IF(Start!$C$18="x",IF(AB81 = "NA", "NA", AB81/(Data!$D$53*3*Data!$D$48)*1000),"---")</f>
        <v>NA</v>
      </c>
      <c r="AF81" s="498" t="str">
        <f>IF(Start!$C$18="x",IF(AE81="NA","NA",AE81*Data!$D$46),"---")</f>
        <v>NA</v>
      </c>
      <c r="AG81" s="375">
        <f>IF(Start!$C$18="x",IF(OR($L81="NA",L81=""),"NA",($L81*(Data!$D$55^3.33)/(Data!$D$18^2))),"---")</f>
        <v>3.3618729098709927E-4</v>
      </c>
      <c r="AH81" s="376" t="str">
        <f>IF(Start!$C$18="x",IF(OR(F81="NA",F81="",P81="NA",P81=""),"NA",IF(100/Data!$D$10&gt;Data!$D$13,(F81*$P81),(F81*$P81)*Data!$D$13)),"---")</f>
        <v>NA</v>
      </c>
      <c r="AI81" s="489">
        <f>IF(Start!$C$18="x",IF(OR($N81="NA",$Q81="NA",$Q81=0,Q81="",N81=""),"NA",(1000*$N81/$Q81)),"---")</f>
        <v>590722392.13054478</v>
      </c>
      <c r="AJ81" s="376">
        <f>IF(Start!$C$18="x",IF(OR(Q81 = "NA",Q81=0,N81 = "NA",N81="",Q81=""), "NA", IF($AG81="NA","NA",(3.1416*Data!$D$57*86400/($AG81*(Data!$D$55+(N81*Data!$D$19/(Q81*1000)))))^0.5)),"---")</f>
        <v>219.71760355725021</v>
      </c>
      <c r="AK81" s="376" t="str">
        <f>IF(Start!$C$18="x",IF(OR(AH81 = "NA",AI81="NA",AI81=0,AI81="",AH81=""), "NA", AH81/AI81),"---")</f>
        <v>NA</v>
      </c>
      <c r="AL81" s="376" t="str">
        <f>IF(Start!$C$18="x",IF(OR(AK81 ="NA",AK81="",AJ81= "NA",R81="NA",R81=0),"NA",(2*AK81)/(1000*(1/$R81+AJ81))),"---")</f>
        <v>NA</v>
      </c>
      <c r="AM81" s="376" t="str">
        <f>IF(Start!$C$18="x",IF(AL81 = "NA", "NA", AL81*(Data!$D$52*Data!$D$53*10000)),"---")</f>
        <v>NA</v>
      </c>
      <c r="AN81" s="376" t="str">
        <f>IF(Start!$C$18="x",IF(AM81 = "NA", "NA", AM81*(Data!$D$54)),"---")</f>
        <v>NA</v>
      </c>
      <c r="AO81" s="498" t="str">
        <f>IF(Start!$C$18="x",IF(AN81="NA","NA",AN81*Data!$D$41),"---")</f>
        <v>NA</v>
      </c>
      <c r="AP81" s="376">
        <f>IF(Start!$C$18="x",IF(OR(Q81=0,N81="NA",N81="",AG81="NA",AG81="",AG81=0,Q81="",Q81="NA"),"NA", (3.1416*Data!$D$56*86400/($AG81*(Data!$D$55+(N81*Data!$D$19/(Q81*1000)))))^0.5),"---")</f>
        <v>219.71760355725021</v>
      </c>
      <c r="AQ81" s="376" t="str">
        <f>IF(Start!$C$18="x",IF(OR(AH81="NA",AI81="NA",AI81="",AI81=0,AH81=""),"NA", AH81/AI81),"---")</f>
        <v>NA</v>
      </c>
      <c r="AR81" s="376" t="str">
        <f>IF(Start!$C$18="x",IF(OR(AQ81="NA",AP81="NA",$R81="NA",R81=0,R81=""),"NA",(2*AQ81)/(1000*(1/$R81+AP81))),"---")</f>
        <v>NA</v>
      </c>
      <c r="AS81" s="376" t="str">
        <f>IF(Start!$C$18="x",IF(AR81 = "NA", "NA", AR81*(Data!$D$52*Data!$D$53*10000)),"---")</f>
        <v>NA</v>
      </c>
      <c r="AT81" s="376" t="str">
        <f>IF(Start!$C$18="x",IF(AS81 = "NA", "NA", (AS81*1000)/(Data!$D$48*3*Data!$D$53)),"---")</f>
        <v>NA</v>
      </c>
      <c r="AU81" s="498" t="str">
        <f>IF(Start!$C$18="x",IF(AT81="NA","NA",AT81*Data!$D$47),"---")</f>
        <v>NA</v>
      </c>
      <c r="AV81" s="283" t="str">
        <f>IF(Start!$C$18="x",(IF(AND(F81="",G81= "",G81&lt;&gt;"NA"),"",IF(OR(AD81="NA",I81="NA",I81=0),"NA",(AD81/I81)))),"Not Req.")</f>
        <v/>
      </c>
      <c r="AW81" s="284" t="str">
        <f>IF(Start!$C$18="x",(IF(AND(F81="",G81= "",G81&lt;&gt;"NA"),"",IF(OR(AF81="NA",I81="NA",I81=0),"NA",(AF81/I81)))),"Not Req.")</f>
        <v/>
      </c>
      <c r="AX81" s="284" t="str">
        <f>IF(Start!$C$18="x",(IF(F81 ="","",IF(OR(AO81="NA",I81="NA",I81=0),"NA",(AO81/I81)))),"Not Req.")</f>
        <v/>
      </c>
      <c r="AY81" s="344" t="str">
        <f>IF(Start!$C$18="x",(IF(F81 ="","",IF(OR(AU81="NA",I81="NA",I81=0),"NA",(AU81/I81)))),"Not Req.")</f>
        <v/>
      </c>
      <c r="AZ81" s="208"/>
    </row>
    <row r="82" spans="1:52" s="183" customFormat="1" ht="13.8" thickBot="1" x14ac:dyDescent="0.3">
      <c r="A82" s="487" t="s">
        <v>400</v>
      </c>
      <c r="B82" s="911" t="str">
        <f>IF(Start!$C$18="x",IF(AND(OR(F82="",F82="NA"),OR(G82="",G82="NA")),"",IF(I82="NA","NA",IF(AND(I82="",K82="--"),"NA",IF(AD82="NA","Missing Data",IF(I82="","No Criteria",IF(AD82&gt;=I82,"Needed","No")))))),"---")</f>
        <v/>
      </c>
      <c r="C82" s="912" t="str">
        <f>IF(Start!$C$18="x",IF(AND(OR(F82="",F82="NA"),OR(G82="",G82="NA")),"",IF(I82="NA","NA",IF(AND(I82="",K82="--"),"NA",IF(AF82="NA","Missing Data",IF(I82="","No Criteria",IF(AF82&gt;=I82,"Needed","No")))))),"---")</f>
        <v/>
      </c>
      <c r="D82" s="911" t="str">
        <f>IF(Start!$C$18="x",IF(AND(OR(F82="",F82="NA"),OR(G82="",G82="NA")),"",IF(I82="NA","NA",IF(AND(I82="",K82="--"),"NA",IF(AO82="NA","Missing Data",IF(I82="","No Criteria",IF(AO82&gt;=I82,"Needed","No")))))),"---")</f>
        <v/>
      </c>
      <c r="E82" s="913" t="str">
        <f>IF(Start!$C$18="x",IF(AND(OR(F82="",F82="NA"),OR(G82="",G82="NA")),"",IF(I82="NA","NA",IF(AND(I82="",K82="--"),"NA",IF(AU82="NA","Missing Data",IF(I82="","No Criteria",IF(AU82&gt;=I82,"Needed","No")))))),"---")</f>
        <v/>
      </c>
      <c r="F82" s="914" t="str">
        <f>IF(TRUE=ISBLANK(ChemData!B82),"",(ChemData!B82))</f>
        <v/>
      </c>
      <c r="G82" s="915" t="str">
        <f>IF(TRUE=ISBLANK(ChemData!C82),"",(ChemData!C82))</f>
        <v/>
      </c>
      <c r="H82" s="916" t="str">
        <f>IF(TRUE=ISBLANK(ChemData!D82),"",(ChemData!D82))</f>
        <v/>
      </c>
      <c r="I82" s="920">
        <f>IF(TRUE=ISBLANK(ChemData!K82),"",(ChemData!K82))</f>
        <v>0.03</v>
      </c>
      <c r="J82" s="523">
        <f>IF(TRUE=ISBLANK(ChemData!M82),"",(ChemData!M82))</f>
        <v>202.3</v>
      </c>
      <c r="K82" s="523">
        <f>IF(TRUE=ISBLANK(ChemData!N82),"",(ChemData!N82))</f>
        <v>5.1000000000000003E-6</v>
      </c>
      <c r="L82" s="523">
        <f>IF(TRUE=ISBLANK(ChemData!O82),"",(ChemData!O82))</f>
        <v>2.7199999999999998E-2</v>
      </c>
      <c r="M82" s="523">
        <f>IF(TRUE=ISBLANK(ChemData!Q82),"",(ChemData!Q82))</f>
        <v>2330.270937231006</v>
      </c>
      <c r="N82" s="523">
        <f>IF(TRUE=ISBLANK(ChemData!R82),"",(ChemData!R82))</f>
        <v>2330.270937231006</v>
      </c>
      <c r="O82" s="523">
        <f>IF(TRUE=ISBLANK(ChemData!S82),"",(ChemData!S82))</f>
        <v>1</v>
      </c>
      <c r="P82" s="700">
        <f>IF(TRUE=ISBLANK(ChemData!T82),"",(ChemData!T82))</f>
        <v>1</v>
      </c>
      <c r="Q82" s="906">
        <f>IF(Start!$C$18="x",IF(OR(K82="NA",K82="",K82="--"),"NA",(K82*1000000/82.1/Data!$D$50)),"---")</f>
        <v>2.0038505363247026E-4</v>
      </c>
      <c r="R82" s="907">
        <f>IF(Start!$C$18="x",IF(OR(J82="NA",J82=0,J82=""),"NA",(0.32*(Data!$D$48+Data!$D$49)*(18/J82)^0.5)),"---")</f>
        <v>0.24579074325751682</v>
      </c>
      <c r="S82" s="907">
        <f>IF(Start!$C$18="x",IF(OR(J82="NA",J82= 0,J82=""),"NA",(0.0065*((Data!$D$49^0.969)/(Data!$D$51^0.673))*(32/J82)^0.5*EXP(0.526*Data!$D$48^-1.9))),"---")</f>
        <v>5.1805954817735276E-4</v>
      </c>
      <c r="T82" s="767">
        <f>IF(Start!$C$18="x",IF(OR(S82="NA",R82="NA",R82=0,Q82="NA",S82=0,Q82=0),"NA",(1/(1/S82+(1/(R82*Q82))))),"---")</f>
        <v>4.4976773846795709E-5</v>
      </c>
      <c r="U82" s="906" t="str">
        <f>IF(Start!$C$18="x",IF(OR(F82="NA",F82="",O82="",O82="NA"),"NA",(F82*$O82)),"---")</f>
        <v>NA</v>
      </c>
      <c r="V82" s="907" t="str">
        <f>IF(Start!$C$18="x",IF(OR(U82="NA",M82="NA",M82="",U82=""),"NA",U82/((Data!$D$18+((1-Data!$D$18)*Data!$D$14*M82))/((1-Data!$D$18)*Data!$D$14*1000))),"---")</f>
        <v>NA</v>
      </c>
      <c r="W82" s="907" t="str">
        <f>IF(Start!$C$18="x",IF(OR(G82="NA",U82="NA",G82="",U82=""),"NA",(U82 +($G82*(Data!$D$19-Data!$D$22)/(Data!$D$19*Data!$D$22)))),"---")</f>
        <v>NA</v>
      </c>
      <c r="X82" s="907" t="str">
        <f>IF(Start!$C$18="x",IF(OR(G82="NA",V82="NA",G82="",V82=""),"NA",(((Data!$D$22*Data!$D$18)*V82)+(Data!$D$19-Data!$D$22)*$G82)/((Data!$D$22*Data!$D$18)+Data!$D$19-Data!$D$22)),"---")</f>
        <v>NA</v>
      </c>
      <c r="Y82" s="907" t="str">
        <f>IF(Start!$C$18="x",IF(OR(W82="NA",W82="",M82="NA",M82=""),"NA",(W82/((Data!$D$23+((1-Data!$D$23)*Data!$D$14*M82)) /((1-Data!$D$23)*Data!$D$14*1000)))),"---")</f>
        <v>NA</v>
      </c>
      <c r="Z82" s="907" t="str">
        <f>IF(Start!$C$18="x",IF(OR(Y82="NA",X82="NA"),"NA",IF(Y82&gt;X82, Y82, X82)),"---")</f>
        <v>NA</v>
      </c>
      <c r="AA82" s="766" t="str">
        <f>IF(Start!$C$18="x",IF(OR(Z82="NA",T82="NA"),"NA",Z82*T82/(1000000000)),"---")</f>
        <v>NA</v>
      </c>
      <c r="AB82" s="1059" t="str">
        <f>IF(Start!$C$18="x",IF(AA82 = "NA", "NA", AA82*(Data!$D$52*Data!$D$53*10000)),"---")</f>
        <v>NA</v>
      </c>
      <c r="AC82" s="906" t="str">
        <f>IF(Start!$C$18="x",IF(AB82="NA", "NA", AB82*Data!$D$54),"---")</f>
        <v>NA</v>
      </c>
      <c r="AD82" s="917" t="str">
        <f>IF(Start!$C$18="x",IF(AC82="NA","NA",AC82*Data!$D$41),"---")</f>
        <v>NA</v>
      </c>
      <c r="AE82" s="907" t="str">
        <f>IF(Start!$C$18="x",IF(AB82 = "NA", "NA", AB82/(Data!$D$53*3*Data!$D$48)*1000),"---")</f>
        <v>NA</v>
      </c>
      <c r="AF82" s="917" t="str">
        <f>IF(Start!$C$18="x",IF(AE82="NA","NA",AE82*Data!$D$46),"---")</f>
        <v>NA</v>
      </c>
      <c r="AG82" s="906">
        <f>IF(Start!$C$18="x",IF(OR($L82="NA",L82=""),"NA",($L82*(Data!$D$55^3.33)/(Data!$D$18^2))),"---")</f>
        <v>2.770998277227E-4</v>
      </c>
      <c r="AH82" s="907" t="str">
        <f>IF(Start!$C$18="x",IF(OR(F82="NA",F82="",P82="NA",P82=""),"NA",IF(100/Data!$D$10&gt;Data!$D$13,(F82*$P82),(F82*$P82)*Data!$D$13)),"---")</f>
        <v>NA</v>
      </c>
      <c r="AI82" s="918">
        <f>IF(Start!$C$18="x",IF(OR($N82="NA",$Q82="NA",$Q82=0,Q82="",N82=""),"NA",(1000*$N82/$Q82)),"---")</f>
        <v>11628965808.52281</v>
      </c>
      <c r="AJ82" s="907">
        <f>IF(Start!$C$18="x",IF(OR(Q82 = "NA",Q82=0,N82 = "NA",N82="",Q82=""), "NA", IF($AG82="NA","NA",(3.1416*Data!$D$57*86400/($AG82*(Data!$D$55+(N82*Data!$D$19/(Q82*1000)))))^0.5)),"---")</f>
        <v>54.5454618874247</v>
      </c>
      <c r="AK82" s="907" t="str">
        <f>IF(Start!$C$18="x",IF(OR(AH82 = "NA",AI82="NA",AI82=0,AI82="",AH82=""), "NA", AH82/AI82),"---")</f>
        <v>NA</v>
      </c>
      <c r="AL82" s="907" t="str">
        <f>IF(Start!$C$18="x",IF(OR(AK82 ="NA",AK82="",AJ82= "NA",R82="NA",R82=0),"NA",(2*AK82)/(1000*(1/$R82+AJ82))),"---")</f>
        <v>NA</v>
      </c>
      <c r="AM82" s="907" t="str">
        <f>IF(Start!$C$18="x",IF(AL82 = "NA", "NA", AL82*(Data!$D$52*Data!$D$53*10000)),"---")</f>
        <v>NA</v>
      </c>
      <c r="AN82" s="907" t="str">
        <f>IF(Start!$C$18="x",IF(AM82 = "NA", "NA", AM82*(Data!$D$54)),"---")</f>
        <v>NA</v>
      </c>
      <c r="AO82" s="917" t="str">
        <f>IF(Start!$C$18="x",IF(AN82="NA","NA",AN82*Data!$D$41),"---")</f>
        <v>NA</v>
      </c>
      <c r="AP82" s="907">
        <f>IF(Start!$C$18="x",IF(OR(Q82=0,N82="NA",N82="",AG82="NA",AG82="",AG82=0,Q82="",Q82="NA"),"NA", (3.1416*Data!$D$56*86400/($AG82*(Data!$D$55+(N82*Data!$D$19/(Q82*1000)))))^0.5),"---")</f>
        <v>54.5454618874247</v>
      </c>
      <c r="AQ82" s="907" t="str">
        <f>IF(Start!$C$18="x",IF(OR(AH82="NA",AI82="NA",AI82="",AI82=0,AH82=""),"NA", AH82/AI82),"---")</f>
        <v>NA</v>
      </c>
      <c r="AR82" s="907" t="str">
        <f>IF(Start!$C$18="x",IF(OR(AQ82="NA",AP82="NA",$R82="NA",R82=0,R82=""),"NA",(2*AQ82)/(1000*(1/$R82+AP82))),"---")</f>
        <v>NA</v>
      </c>
      <c r="AS82" s="907" t="str">
        <f>IF(Start!$C$18="x",IF(AR82 = "NA", "NA", AR82*(Data!$D$52*Data!$D$53*10000)),"---")</f>
        <v>NA</v>
      </c>
      <c r="AT82" s="907" t="str">
        <f>IF(Start!$C$18="x",IF(AS82 = "NA", "NA", (AS82*1000)/(Data!$D$48*3*Data!$D$53)),"---")</f>
        <v>NA</v>
      </c>
      <c r="AU82" s="917" t="str">
        <f>IF(Start!$C$18="x",IF(AT82="NA","NA",AT82*Data!$D$47),"---")</f>
        <v>NA</v>
      </c>
      <c r="AV82" s="780" t="str">
        <f>IF(Start!$C$18="x",(IF(AND(F82="",G82= "",G82&lt;&gt;"NA"),"",IF(OR(AD82="NA",I82="NA",I82=0),"NA",(AD82/I82)))),"Not Req.")</f>
        <v/>
      </c>
      <c r="AW82" s="781" t="str">
        <f>IF(Start!$C$18="x",(IF(AND(F82="",G82= "",G82&lt;&gt;"NA"),"",IF(OR(AF82="NA",I82="NA",I82=0),"NA",(AF82/I82)))),"Not Req.")</f>
        <v/>
      </c>
      <c r="AX82" s="781" t="str">
        <f>IF(Start!$C$18="x",(IF(F82 ="","",IF(OR(AO82="NA",I82="NA",I82=0),"NA",(AO82/I82)))),"Not Req.")</f>
        <v/>
      </c>
      <c r="AY82" s="779" t="str">
        <f>IF(Start!$C$18="x",(IF(F82 ="","",IF(OR(AU82="NA",I82="NA",I82=0),"NA",(AU82/I82)))),"Not Req.")</f>
        <v/>
      </c>
      <c r="AZ82" s="208"/>
    </row>
    <row r="83" spans="1:52" s="10" customFormat="1" x14ac:dyDescent="0.25">
      <c r="A83" s="505" t="s">
        <v>401</v>
      </c>
      <c r="B83" s="530"/>
      <c r="C83" s="531"/>
      <c r="D83" s="530"/>
      <c r="E83" s="526"/>
      <c r="F83" s="508"/>
      <c r="G83" s="509"/>
      <c r="H83" s="510"/>
      <c r="I83" s="800"/>
      <c r="J83" s="512"/>
      <c r="K83" s="512"/>
      <c r="L83" s="512"/>
      <c r="M83" s="512"/>
      <c r="N83" s="512"/>
      <c r="O83" s="512"/>
      <c r="P83" s="513"/>
      <c r="Q83" s="511"/>
      <c r="R83" s="512"/>
      <c r="S83" s="512"/>
      <c r="T83" s="513"/>
      <c r="U83" s="511"/>
      <c r="V83" s="512"/>
      <c r="W83" s="512"/>
      <c r="X83" s="512"/>
      <c r="Y83" s="512"/>
      <c r="Z83" s="512"/>
      <c r="AA83" s="512"/>
      <c r="AB83" s="512"/>
      <c r="AC83" s="511"/>
      <c r="AD83" s="533"/>
      <c r="AE83" s="512"/>
      <c r="AF83" s="533"/>
      <c r="AG83" s="511"/>
      <c r="AH83" s="512"/>
      <c r="AI83" s="534"/>
      <c r="AJ83" s="512"/>
      <c r="AK83" s="512"/>
      <c r="AL83" s="512"/>
      <c r="AM83" s="512"/>
      <c r="AN83" s="512"/>
      <c r="AO83" s="533"/>
      <c r="AP83" s="512"/>
      <c r="AQ83" s="512"/>
      <c r="AR83" s="512"/>
      <c r="AS83" s="512"/>
      <c r="AT83" s="512"/>
      <c r="AU83" s="533"/>
      <c r="AV83" s="511"/>
      <c r="AW83" s="512"/>
      <c r="AX83" s="512"/>
      <c r="AY83" s="513"/>
      <c r="AZ83" s="208"/>
    </row>
    <row r="84" spans="1:52" s="183" customFormat="1" x14ac:dyDescent="0.25">
      <c r="A84" s="405" t="s">
        <v>402</v>
      </c>
      <c r="B84" s="347" t="str">
        <f>IF(Start!$C$18="x",IF(AND(OR(F84="",F84="NA"),OR(G84="",G84="NA")),"",IF(I84="NA","NA",IF(AND(I84="",K84="--"),"NA",IF(AD84="NA","Missing Data",IF(I84="","No Criteria",IF(AD84&gt;=I84,"Needed","No")))))),"---")</f>
        <v/>
      </c>
      <c r="C84" s="501" t="str">
        <f>IF(Start!$C$18="x",IF(AND(OR(F84="",F84="NA"),OR(G84="",G84="NA")),"",IF(I84="NA","NA",IF(AND(I84="",K84="--"),"NA",IF(AF84="NA","Missing Data",IF(I84="","No Criteria",IF(AF84&gt;=I84,"Needed","No")))))),"---")</f>
        <v/>
      </c>
      <c r="D84" s="347" t="str">
        <f>IF(Start!$C$18="x",IF(AND(OR(F84="",F84="NA"),OR(G84="",G84="NA")),"",IF(I84="NA","NA",IF(AND(I84="",K84="--"),"NA",IF(AO84="NA","Missing Data",IF(I84="","No Criteria",IF(AO84&gt;=I84,"Needed","No")))))),"---")</f>
        <v/>
      </c>
      <c r="E84" s="401" t="str">
        <f>IF(Start!$C$18="x",IF(AND(OR(F84="",F84="NA"),OR(G84="",G84="NA")),"",IF(I84="NA","NA",IF(AND(I84="",K84="--"),"NA",IF(AU84="NA","Missing Data",IF(I84="","No Criteria",IF(AU84&gt;=I84,"Needed","No")))))),"---")</f>
        <v/>
      </c>
      <c r="F84" s="431" t="str">
        <f>IF(TRUE=ISBLANK(ChemData!B84),"",(ChemData!B84))</f>
        <v/>
      </c>
      <c r="G84" s="432" t="str">
        <f>IF(TRUE=ISBLANK(ChemData!C84),"",(ChemData!C84))</f>
        <v/>
      </c>
      <c r="H84" s="433" t="str">
        <f>IF(TRUE=ISBLANK(ChemData!D84),"",(ChemData!D84))</f>
        <v/>
      </c>
      <c r="I84" s="919" t="str">
        <f>IF(TRUE=ISBLANK(ChemData!K84),"",(ChemData!K84))</f>
        <v>NA</v>
      </c>
      <c r="J84" s="290">
        <f>IF(TRUE=ISBLANK(ChemData!M84),"",(ChemData!M84))</f>
        <v>120.15</v>
      </c>
      <c r="K84" s="290">
        <f>IF(TRUE=ISBLANK(ChemData!N84),"",(ChemData!N84))</f>
        <v>1.0699999999999999E-5</v>
      </c>
      <c r="L84" s="290">
        <f>IF(TRUE=ISBLANK(ChemData!O84),"",(ChemData!O84))</f>
        <v>0.06</v>
      </c>
      <c r="M84" s="290">
        <f>IF(TRUE=ISBLANK(ChemData!Q84),"",(ChemData!Q84))</f>
        <v>0.72012256338441361</v>
      </c>
      <c r="N84" s="290">
        <f>IF(TRUE=ISBLANK(ChemData!R84),"",(ChemData!R84))</f>
        <v>0.72012256338441361</v>
      </c>
      <c r="O84" s="290">
        <f>IF(TRUE=ISBLANK(ChemData!S84),"",(ChemData!S84))</f>
        <v>1</v>
      </c>
      <c r="P84" s="291">
        <f>IF(TRUE=ISBLANK(ChemData!T84),"",(ChemData!T84))</f>
        <v>1</v>
      </c>
      <c r="Q84" s="375">
        <f>IF(Start!$C$18="x",IF(OR(K84="NA",K84="",K84="--"),"NA",(K84*1000000/82.1/Data!$D$50)),"---")</f>
        <v>4.2041570075831991E-4</v>
      </c>
      <c r="R84" s="376">
        <f>IF(Start!$C$18="x",IF(OR(J84="NA",J84=0,J84=""),"NA",(0.32*(Data!$D$48+Data!$D$49)*(18/J84)^0.5)),"---")</f>
        <v>0.31893455588306763</v>
      </c>
      <c r="S84" s="376">
        <f>IF(Start!$C$18="x",IF(OR(J84="NA",J84= 0,J84=""),"NA",(0.0065*((Data!$D$49^0.969)/(Data!$D$51^0.673))*(32/J84)^0.5*EXP(0.526*Data!$D$48^-1.9))),"---")</f>
        <v>6.7222666618415737E-4</v>
      </c>
      <c r="T84" s="377">
        <f>IF(Start!$C$18="x",IF(OR(S84="NA",R84="NA",R84=0,Q84="NA",S84=0,Q84=0),"NA",(1/(1/S84+(1/(R84*Q84))))),"---")</f>
        <v>1.1178750035426329E-4</v>
      </c>
      <c r="U84" s="375" t="str">
        <f>IF(Start!$C$18="x",IF(OR(F84="NA",F84="",O84="",O84="NA"),"NA",(F84*$O84)),"---")</f>
        <v>NA</v>
      </c>
      <c r="V84" s="376" t="str">
        <f>IF(Start!$C$18="x",IF(OR(U84="NA",M84="NA",M84="",U84=""),"NA",U84/((Data!$D$18+((1-Data!$D$18)*Data!$D$14*M84))/((1-Data!$D$18)*Data!$D$14*1000))),"---")</f>
        <v>NA</v>
      </c>
      <c r="W84" s="376" t="str">
        <f>IF(Start!$C$18="x",IF(OR(G84="NA",U84="NA",G84="",U84=""),"NA",(U84 +($G84*(Data!$D$19-Data!$D$22)/(Data!$D$19*Data!$D$22)))),"---")</f>
        <v>NA</v>
      </c>
      <c r="X84" s="376" t="str">
        <f>IF(Start!$C$18="x",IF(OR(G84="NA",V84="NA",G84="",V84=""),"NA",(((Data!$D$22*Data!$D$18)*V84)+(Data!$D$19-Data!$D$22)*$G84)/((Data!$D$22*Data!$D$18)+Data!$D$19-Data!$D$22)),"---")</f>
        <v>NA</v>
      </c>
      <c r="Y84" s="376" t="str">
        <f>IF(Start!$C$18="x",IF(OR(W84="NA",W84="",M84="NA",M84=""),"NA",(W84/((Data!$D$23+((1-Data!$D$23)*Data!$D$14*M84)) /((1-Data!$D$23)*Data!$D$14*1000)))),"---")</f>
        <v>NA</v>
      </c>
      <c r="Z84" s="376" t="str">
        <f>IF(Start!$C$18="x",IF(OR(Y84="NA",X84="NA"),"NA",IF(Y84&gt;X84, Y84, X84)),"---")</f>
        <v>NA</v>
      </c>
      <c r="AA84" s="461" t="str">
        <f>IF(Start!$C$18="x",IF(OR(Z84="NA",T84="NA"),"NA",Z84*T84/(1000000000)),"---")</f>
        <v>NA</v>
      </c>
      <c r="AB84" s="1057" t="str">
        <f>IF(Start!$C$18="x",IF(AA84 = "NA", "NA", AA84*(Data!$D$52*Data!$D$53*10000)),"---")</f>
        <v>NA</v>
      </c>
      <c r="AC84" s="375" t="str">
        <f>IF(Start!$C$18="x",IF(AB84="NA", "NA", AB84*Data!$D$54),"---")</f>
        <v>NA</v>
      </c>
      <c r="AD84" s="498" t="str">
        <f>IF(Start!$C$18="x",IF(AC84="NA","NA",AC84*Data!$D$41),"---")</f>
        <v>NA</v>
      </c>
      <c r="AE84" s="376" t="str">
        <f>IF(Start!$C$18="x",IF(AB84 = "NA", "NA", AB84/(Data!$D$53*3*Data!$D$48)*1000),"---")</f>
        <v>NA</v>
      </c>
      <c r="AF84" s="498" t="str">
        <f>IF(Start!$C$18="x",IF(AE84="NA","NA",AE84*Data!$D$46),"---")</f>
        <v>NA</v>
      </c>
      <c r="AG84" s="375">
        <f>IF(Start!$C$18="x",IF(OR($L84="NA",L84=""),"NA",($L84*(Data!$D$55^3.33)/(Data!$D$18^2))),"---")</f>
        <v>6.1124961997654408E-4</v>
      </c>
      <c r="AH84" s="376" t="str">
        <f>IF(Start!$C$18="x",IF(OR(F84="NA",F84="",P84="NA",P84=""),"NA",IF(100/Data!$D$10&gt;Data!$D$13,(F84*$P84),(F84*$P84)*Data!$D$13)),"---")</f>
        <v>NA</v>
      </c>
      <c r="AI84" s="489">
        <f>IF(Start!$C$18="x",IF(OR($N84="NA",$Q84="NA",$Q84=0,Q84="",N84=""),"NA",(1000*$N84/$Q84)),"---")</f>
        <v>1712882.1832426833</v>
      </c>
      <c r="AJ84" s="376">
        <f>IF(Start!$C$18="x",IF(OR(Q84 = "NA",Q84=0,N84 = "NA",N84="",Q84=""), "NA", IF($AG84="NA","NA",(3.1416*Data!$D$57*86400/($AG84*(Data!$D$55+(N84*Data!$D$19/(Q84*1000)))))^0.5)),"---")</f>
        <v>3025.8291768731983</v>
      </c>
      <c r="AK84" s="376" t="str">
        <f>IF(Start!$C$18="x",IF(OR(AH84 = "NA",AI84="NA",AI84=0,AI84="",AH84=""), "NA", AH84/AI84),"---")</f>
        <v>NA</v>
      </c>
      <c r="AL84" s="376" t="str">
        <f>IF(Start!$C$18="x",IF(OR(AK84 ="NA",AK84="",AJ84= "NA",R84="NA",R84=0),"NA",(2*AK84)/(1000*(1/$R84+AJ84))),"---")</f>
        <v>NA</v>
      </c>
      <c r="AM84" s="376" t="str">
        <f>IF(Start!$C$18="x",IF(AL84 = "NA", "NA", AL84*(Data!$D$52*Data!$D$53*10000)),"---")</f>
        <v>NA</v>
      </c>
      <c r="AN84" s="376" t="str">
        <f>IF(Start!$C$18="x",IF(AM84 = "NA", "NA", AM84*(Data!$D$54)),"---")</f>
        <v>NA</v>
      </c>
      <c r="AO84" s="498" t="str">
        <f>IF(Start!$C$18="x",IF(AN84="NA","NA",AN84*Data!$D$41),"---")</f>
        <v>NA</v>
      </c>
      <c r="AP84" s="376">
        <f>IF(Start!$C$18="x",IF(OR(Q84=0,N84="NA",N84="",AG84="NA",AG84="",AG84=0,Q84="",Q84="NA"),"NA", (3.1416*Data!$D$56*86400/($AG84*(Data!$D$55+(N84*Data!$D$19/(Q84*1000)))))^0.5),"---")</f>
        <v>3025.8291768731983</v>
      </c>
      <c r="AQ84" s="376" t="str">
        <f>IF(Start!$C$18="x",IF(OR(AH84="NA",AI84="NA",AI84="",AI84=0,AH84=""),"NA", AH84/AI84),"---")</f>
        <v>NA</v>
      </c>
      <c r="AR84" s="376" t="str">
        <f>IF(Start!$C$18="x",IF(OR(AQ84="NA",AP84="NA",$R84="NA",R84=0,R84=""),"NA",(2*AQ84)/(1000*(1/$R84+AP84))),"---")</f>
        <v>NA</v>
      </c>
      <c r="AS84" s="376" t="str">
        <f>IF(Start!$C$18="x",IF(AR84 = "NA", "NA", AR84*(Data!$D$52*Data!$D$53*10000)),"---")</f>
        <v>NA</v>
      </c>
      <c r="AT84" s="376" t="str">
        <f>IF(Start!$C$18="x",IF(AS84 = "NA", "NA", (AS84*1000)/(Data!$D$48*3*Data!$D$53)),"---")</f>
        <v>NA</v>
      </c>
      <c r="AU84" s="498" t="str">
        <f>IF(Start!$C$18="x",IF(AT84="NA","NA",AT84*Data!$D$47),"---")</f>
        <v>NA</v>
      </c>
      <c r="AV84" s="283" t="str">
        <f>IF(Start!$C$18="x",(IF(AND(F84="",G84= "",G84&lt;&gt;"NA"),"",IF(OR(AD84="NA",I84="NA",I84=0),"NA",(AD84/I84)))),"Not Req.")</f>
        <v/>
      </c>
      <c r="AW84" s="284" t="str">
        <f>IF(Start!$C$18="x",(IF(AND(F84="",G84= "",G84&lt;&gt;"NA"),"",IF(OR(AF84="NA",I84="NA",I84=0),"NA",(AF84/I84)))),"Not Req.")</f>
        <v/>
      </c>
      <c r="AX84" s="284" t="str">
        <f>IF(Start!$C$18="x",(IF(F84 ="","",IF(OR(AO84="NA",I84="NA",I84=0),"NA",(AO84/I84)))),"Not Req.")</f>
        <v/>
      </c>
      <c r="AY84" s="344" t="str">
        <f>IF(Start!$C$18="x",(IF(F84 ="","",IF(OR(AU84="NA",I84="NA",I84=0),"NA",(AU84/I84)))),"Not Req.")</f>
        <v/>
      </c>
      <c r="AZ84" s="208"/>
    </row>
    <row r="85" spans="1:52" s="183" customFormat="1" x14ac:dyDescent="0.25">
      <c r="A85" s="405" t="s">
        <v>403</v>
      </c>
      <c r="B85" s="347" t="str">
        <f>IF(Start!$C$18="x",IF(AND(OR(F85="",F85="NA"),OR(G85="",G85="NA")),"",IF(I85="NA","NA",IF(AND(I85="",K85="--"),"NA",IF(AD85="NA","Missing Data",IF(I85="","No Criteria",IF(AD85&gt;=I85,"Needed","No")))))),"---")</f>
        <v/>
      </c>
      <c r="C85" s="501" t="str">
        <f>IF(Start!$C$18="x",IF(AND(OR(F85="",F85="NA"),OR(G85="",G85="NA")),"",IF(I85="NA","NA",IF(AND(I85="",K85="--"),"NA",IF(AF85="NA","Missing Data",IF(I85="","No Criteria",IF(AF85&gt;=I85,"Needed","No")))))),"---")</f>
        <v/>
      </c>
      <c r="D85" s="347" t="str">
        <f>IF(Start!$C$18="x",IF(AND(OR(F85="",F85="NA"),OR(G85="",G85="NA")),"",IF(I85="NA","NA",IF(AND(I85="",K85="--"),"NA",IF(AO85="NA","Missing Data",IF(I85="","No Criteria",IF(AO85&gt;=I85,"Needed","No")))))),"---")</f>
        <v/>
      </c>
      <c r="E85" s="401" t="str">
        <f>IF(Start!$C$18="x",IF(AND(OR(F85="",F85="NA"),OR(G85="",G85="NA")),"",IF(I85="NA","NA",IF(AND(I85="",K85="--"),"NA",IF(AU85="NA","Missing Data",IF(I85="","No Criteria",IF(AU85&gt;=I85,"Needed","No")))))),"---")</f>
        <v/>
      </c>
      <c r="F85" s="431" t="str">
        <f>IF(TRUE=ISBLANK(ChemData!B85),"",(ChemData!B85))</f>
        <v/>
      </c>
      <c r="G85" s="432" t="str">
        <f>IF(TRUE=ISBLANK(ChemData!C85),"",(ChemData!C85))</f>
        <v/>
      </c>
      <c r="H85" s="433" t="str">
        <f>IF(TRUE=ISBLANK(ChemData!D85),"",(ChemData!D85))</f>
        <v/>
      </c>
      <c r="I85" s="919" t="str">
        <f>IF(TRUE=ISBLANK(ChemData!K85),"",(ChemData!K85))</f>
        <v>NA</v>
      </c>
      <c r="J85" s="290">
        <f>IF(TRUE=ISBLANK(ChemData!M85),"",(ChemData!M85))</f>
        <v>106.13</v>
      </c>
      <c r="K85" s="290">
        <f>IF(TRUE=ISBLANK(ChemData!N85),"",(ChemData!N85))</f>
        <v>2.6699999999999998E-5</v>
      </c>
      <c r="L85" s="290">
        <f>IF(TRUE=ISBLANK(ChemData!O85),"",(ChemData!O85))</f>
        <v>7.2999999999999995E-2</v>
      </c>
      <c r="M85" s="290">
        <f>IF(TRUE=ISBLANK(ChemData!Q85),"",(ChemData!Q85))</f>
        <v>0.5589930634464132</v>
      </c>
      <c r="N85" s="290">
        <f>IF(TRUE=ISBLANK(ChemData!R85),"",(ChemData!R85))</f>
        <v>0.5589930634464132</v>
      </c>
      <c r="O85" s="290">
        <f>IF(TRUE=ISBLANK(ChemData!S85),"",(ChemData!S85))</f>
        <v>1</v>
      </c>
      <c r="P85" s="291">
        <f>IF(TRUE=ISBLANK(ChemData!T85),"",(ChemData!T85))</f>
        <v>1</v>
      </c>
      <c r="Q85" s="375">
        <f>IF(Start!$C$18="x",IF(OR(K85="NA",K85="",K85="--"),"NA",(K85*1000000/82.1/Data!$D$50)),"---")</f>
        <v>1.0490746925464619E-3</v>
      </c>
      <c r="R85" s="376">
        <f>IF(Start!$C$18="x",IF(OR(J85="NA",J85=0,J85=""),"NA",(0.32*(Data!$D$48+Data!$D$49)*(18/J85)^0.5)),"---")</f>
        <v>0.33934728752552029</v>
      </c>
      <c r="S85" s="376">
        <f>IF(Start!$C$18="x",IF(OR(J85="NA",J85= 0,J85=""),"NA",(0.0065*((Data!$D$49^0.969)/(Data!$D$51^0.673))*(32/J85)^0.5*EXP(0.526*Data!$D$48^-1.9))),"---")</f>
        <v>7.1525111206686932E-4</v>
      </c>
      <c r="T85" s="377">
        <f>IF(Start!$C$18="x",IF(OR(S85="NA",R85="NA",R85=0,Q85="NA",S85=0,Q85=0),"NA",(1/(1/S85+(1/(R85*Q85))))),"---")</f>
        <v>2.3769376206356341E-4</v>
      </c>
      <c r="U85" s="375" t="str">
        <f>IF(Start!$C$18="x",IF(OR(F85="NA",F85="",O85="",O85="NA"),"NA",(F85*$O85)),"---")</f>
        <v>NA</v>
      </c>
      <c r="V85" s="376" t="str">
        <f>IF(Start!$C$18="x",IF(OR(U85="NA",M85="NA",M85="",U85=""),"NA",U85/((Data!$D$18+((1-Data!$D$18)*Data!$D$14*M85))/((1-Data!$D$18)*Data!$D$14*1000))),"---")</f>
        <v>NA</v>
      </c>
      <c r="W85" s="376" t="str">
        <f>IF(Start!$C$18="x",IF(OR(G85="NA",U85="NA",G85="",U85=""),"NA",(U85 +($G85*(Data!$D$19-Data!$D$22)/(Data!$D$19*Data!$D$22)))),"---")</f>
        <v>NA</v>
      </c>
      <c r="X85" s="376" t="str">
        <f>IF(Start!$C$18="x",IF(OR(G85="NA",V85="NA",G85="",V85=""),"NA",(((Data!$D$22*Data!$D$18)*V85)+(Data!$D$19-Data!$D$22)*$G85)/((Data!$D$22*Data!$D$18)+Data!$D$19-Data!$D$22)),"---")</f>
        <v>NA</v>
      </c>
      <c r="Y85" s="376" t="str">
        <f>IF(Start!$C$18="x",IF(OR(W85="NA",W85="",M85="NA",M85=""),"NA",(W85/((Data!$D$23+((1-Data!$D$23)*Data!$D$14*M85)) /((1-Data!$D$23)*Data!$D$14*1000)))),"---")</f>
        <v>NA</v>
      </c>
      <c r="Z85" s="376" t="str">
        <f>IF(Start!$C$18="x",IF(OR(Y85="NA",X85="NA"),"NA",IF(Y85&gt;X85, Y85, X85)),"---")</f>
        <v>NA</v>
      </c>
      <c r="AA85" s="461" t="str">
        <f>IF(Start!$C$18="x",IF(OR(Z85="NA",T85="NA"),"NA",Z85*T85/(1000000000)),"---")</f>
        <v>NA</v>
      </c>
      <c r="AB85" s="1057" t="str">
        <f>IF(Start!$C$18="x",IF(AA85 = "NA", "NA", AA85*(Data!$D$52*Data!$D$53*10000)),"---")</f>
        <v>NA</v>
      </c>
      <c r="AC85" s="375" t="str">
        <f>IF(Start!$C$18="x",IF(AB85="NA", "NA", AB85*Data!$D$54),"---")</f>
        <v>NA</v>
      </c>
      <c r="AD85" s="498" t="str">
        <f>IF(Start!$C$18="x",IF(AC85="NA","NA",AC85*Data!$D$41),"---")</f>
        <v>NA</v>
      </c>
      <c r="AE85" s="376" t="str">
        <f>IF(Start!$C$18="x",IF(AB85 = "NA", "NA", AB85/(Data!$D$53*3*Data!$D$48)*1000),"---")</f>
        <v>NA</v>
      </c>
      <c r="AF85" s="498" t="str">
        <f>IF(Start!$C$18="x",IF(AE85="NA","NA",AE85*Data!$D$46),"---")</f>
        <v>NA</v>
      </c>
      <c r="AG85" s="375">
        <f>IF(Start!$C$18="x",IF(OR($L85="NA",L85=""),"NA",($L85*(Data!$D$55^3.33)/(Data!$D$18^2))),"---")</f>
        <v>7.4368703763812865E-4</v>
      </c>
      <c r="AH85" s="376" t="str">
        <f>IF(Start!$C$18="x",IF(OR(F85="NA",F85="",P85="NA",P85=""),"NA",IF(100/Data!$D$10&gt;Data!$D$13,(F85*$P85),(F85*$P85)*Data!$D$13)),"---")</f>
        <v>NA</v>
      </c>
      <c r="AI85" s="489">
        <f>IF(Start!$C$18="x",IF(OR($N85="NA",$Q85="NA",$Q85=0,Q85="",N85=""),"NA",(1000*$N85/$Q85)),"---")</f>
        <v>532843.91227620456</v>
      </c>
      <c r="AJ85" s="376">
        <f>IF(Start!$C$18="x",IF(OR(Q85 = "NA",Q85=0,N85 = "NA",N85="",Q85=""), "NA", IF($AG85="NA","NA",(3.1416*Data!$D$57*86400/($AG85*(Data!$D$55+(N85*Data!$D$19/(Q85*1000)))))^0.5)),"---")</f>
        <v>4917.6345714007603</v>
      </c>
      <c r="AK85" s="376" t="str">
        <f>IF(Start!$C$18="x",IF(OR(AH85 = "NA",AI85="NA",AI85=0,AI85="",AH85=""), "NA", AH85/AI85),"---")</f>
        <v>NA</v>
      </c>
      <c r="AL85" s="376" t="str">
        <f>IF(Start!$C$18="x",IF(OR(AK85 ="NA",AK85="",AJ85= "NA",R85="NA",R85=0),"NA",(2*AK85)/(1000*(1/$R85+AJ85))),"---")</f>
        <v>NA</v>
      </c>
      <c r="AM85" s="376" t="str">
        <f>IF(Start!$C$18="x",IF(AL85 = "NA", "NA", AL85*(Data!$D$52*Data!$D$53*10000)),"---")</f>
        <v>NA</v>
      </c>
      <c r="AN85" s="376" t="str">
        <f>IF(Start!$C$18="x",IF(AM85 = "NA", "NA", AM85*(Data!$D$54)),"---")</f>
        <v>NA</v>
      </c>
      <c r="AO85" s="498" t="str">
        <f>IF(Start!$C$18="x",IF(AN85="NA","NA",AN85*Data!$D$41),"---")</f>
        <v>NA</v>
      </c>
      <c r="AP85" s="376">
        <f>IF(Start!$C$18="x",IF(OR(Q85=0,N85="NA",N85="",AG85="NA",AG85="",AG85=0,Q85="",Q85="NA"),"NA", (3.1416*Data!$D$56*86400/($AG85*(Data!$D$55+(N85*Data!$D$19/(Q85*1000)))))^0.5),"---")</f>
        <v>4917.6345714007603</v>
      </c>
      <c r="AQ85" s="376" t="str">
        <f>IF(Start!$C$18="x",IF(OR(AH85="NA",AI85="NA",AI85="",AI85=0,AH85=""),"NA", AH85/AI85),"---")</f>
        <v>NA</v>
      </c>
      <c r="AR85" s="376" t="str">
        <f>IF(Start!$C$18="x",IF(OR(AQ85="NA",AP85="NA",$R85="NA",R85=0,R85=""),"NA",(2*AQ85)/(1000*(1/$R85+AP85))),"---")</f>
        <v>NA</v>
      </c>
      <c r="AS85" s="376" t="str">
        <f>IF(Start!$C$18="x",IF(AR85 = "NA", "NA", AR85*(Data!$D$52*Data!$D$53*10000)),"---")</f>
        <v>NA</v>
      </c>
      <c r="AT85" s="376" t="str">
        <f>IF(Start!$C$18="x",IF(AS85 = "NA", "NA", (AS85*1000)/(Data!$D$48*3*Data!$D$53)),"---")</f>
        <v>NA</v>
      </c>
      <c r="AU85" s="498" t="str">
        <f>IF(Start!$C$18="x",IF(AT85="NA","NA",AT85*Data!$D$47),"---")</f>
        <v>NA</v>
      </c>
      <c r="AV85" s="283" t="str">
        <f>IF(Start!$C$18="x",(IF(AND(F85="",G85= "",G85&lt;&gt;"NA"),"",IF(OR(AD85="NA",I85="NA",I85=0),"NA",(AD85/I85)))),"Not Req.")</f>
        <v/>
      </c>
      <c r="AW85" s="284" t="str">
        <f>IF(Start!$C$18="x",(IF(AND(F85="",G85= "",G85&lt;&gt;"NA"),"",IF(OR(AF85="NA",I85="NA",I85=0),"NA",(AF85/I85)))),"Not Req.")</f>
        <v/>
      </c>
      <c r="AX85" s="284" t="str">
        <f>IF(Start!$C$18="x",(IF(F85 ="","",IF(OR(AO85="NA",I85="NA",I85=0),"NA",(AO85/I85)))),"Not Req.")</f>
        <v/>
      </c>
      <c r="AY85" s="344" t="str">
        <f>IF(Start!$C$18="x",(IF(F85 ="","",IF(OR(AU85="NA",I85="NA",I85=0),"NA",(AU85/I85)))),"Not Req.")</f>
        <v/>
      </c>
      <c r="AZ85" s="208"/>
    </row>
    <row r="86" spans="1:52" s="183" customFormat="1" x14ac:dyDescent="0.25">
      <c r="A86" s="405" t="s">
        <v>404</v>
      </c>
      <c r="B86" s="347" t="str">
        <f>IF(Start!$C$18="x",IF(AND(OR(F86="",F86="NA"),OR(G86="",G86="NA")),"",IF(I86="NA","NA",IF(AND(I86="",K86="--"),"NA",IF(AD86="NA","Missing Data",IF(I86="","No Criteria",IF(AD86&gt;=I86,"Needed","No")))))),"---")</f>
        <v/>
      </c>
      <c r="C86" s="501" t="str">
        <f>IF(Start!$C$18="x",IF(AND(OR(F86="",F86="NA"),OR(G86="",G86="NA")),"",IF(I86="NA","NA",IF(AND(I86="",K86="--"),"NA",IF(AF86="NA","Missing Data",IF(I86="","No Criteria",IF(AF86&gt;=I86,"Needed","No")))))),"---")</f>
        <v/>
      </c>
      <c r="D86" s="347" t="str">
        <f>IF(Start!$C$18="x",IF(AND(OR(F86="",F86="NA"),OR(G86="",G86="NA")),"",IF(I86="NA","NA",IF(AND(I86="",K86="--"),"NA",IF(AO86="NA","Missing Data",IF(I86="","No Criteria",IF(AO86&gt;=I86,"Needed","No")))))),"---")</f>
        <v/>
      </c>
      <c r="E86" s="401" t="str">
        <f>IF(Start!$C$18="x",IF(AND(OR(F86="",F86="NA"),OR(G86="",G86="NA")),"",IF(I86="NA","NA",IF(AND(I86="",K86="--"),"NA",IF(AU86="NA","Missing Data",IF(I86="","No Criteria",IF(AU86&gt;=I86,"Needed","No")))))),"---")</f>
        <v/>
      </c>
      <c r="F86" s="431" t="str">
        <f>IF(TRUE=ISBLANK(ChemData!B86),"",(ChemData!B86))</f>
        <v/>
      </c>
      <c r="G86" s="432" t="str">
        <f>IF(TRUE=ISBLANK(ChemData!C86),"",(ChemData!C86))</f>
        <v/>
      </c>
      <c r="H86" s="433" t="str">
        <f>IF(TRUE=ISBLANK(ChemData!D86),"",(ChemData!D86))</f>
        <v/>
      </c>
      <c r="I86" s="919" t="str">
        <f>IF(TRUE=ISBLANK(ChemData!K86),"",(ChemData!K86))</f>
        <v>NA</v>
      </c>
      <c r="J86" s="290">
        <f>IF(TRUE=ISBLANK(ChemData!M86),"",(ChemData!M86))</f>
        <v>184.2</v>
      </c>
      <c r="K86" s="290">
        <f>IF(TRUE=ISBLANK(ChemData!N86),"",(ChemData!N86))</f>
        <v>3.8799999999999998E-11</v>
      </c>
      <c r="L86" s="290">
        <f>IF(TRUE=ISBLANK(ChemData!O86),"",(ChemData!O86))</f>
        <v>3.4000000000000002E-2</v>
      </c>
      <c r="M86" s="290">
        <f>IF(TRUE=ISBLANK(ChemData!Q86),"",(ChemData!Q86))</f>
        <v>0.40495467659306245</v>
      </c>
      <c r="N86" s="290">
        <f>IF(TRUE=ISBLANK(ChemData!R86),"",(ChemData!R86))</f>
        <v>0.40495467659306245</v>
      </c>
      <c r="O86" s="290">
        <f>IF(TRUE=ISBLANK(ChemData!S86),"",(ChemData!S86))</f>
        <v>1</v>
      </c>
      <c r="P86" s="291">
        <f>IF(TRUE=ISBLANK(ChemData!T86),"",(ChemData!T86))</f>
        <v>1</v>
      </c>
      <c r="Q86" s="375">
        <f>IF(Start!$C$18="x",IF(OR(K86="NA",K86="",K86="--"),"NA",(K86*1000000/82.1/Data!$D$50)),"---")</f>
        <v>1.5244980550862443E-9</v>
      </c>
      <c r="R86" s="376">
        <f>IF(Start!$C$18="x",IF(OR(J86="NA",J86=0,J86=""),"NA",(0.32*(Data!$D$48+Data!$D$49)*(18/J86)^0.5)),"---")</f>
        <v>0.2575838625653239</v>
      </c>
      <c r="S86" s="376">
        <f>IF(Start!$C$18="x",IF(OR(J86="NA",J86= 0,J86=""),"NA",(0.0065*((Data!$D$49^0.969)/(Data!$D$51^0.673))*(32/J86)^0.5*EXP(0.526*Data!$D$48^-1.9))),"---")</f>
        <v>5.4291621274996094E-4</v>
      </c>
      <c r="T86" s="377">
        <f>IF(Start!$C$18="x",IF(OR(S86="NA",R86="NA",R86=0,Q86="NA",S86=0,Q86=0),"NA",(1/(1/S86+(1/(R86*Q86))))),"---")</f>
        <v>3.9268581347655043E-10</v>
      </c>
      <c r="U86" s="375" t="str">
        <f>IF(Start!$C$18="x",IF(OR(F86="NA",F86="",O86="",O86="NA"),"NA",(F86*$O86)),"---")</f>
        <v>NA</v>
      </c>
      <c r="V86" s="376" t="str">
        <f>IF(Start!$C$18="x",IF(OR(U86="NA",M86="NA",M86="",U86=""),"NA",U86/((Data!$D$18+((1-Data!$D$18)*Data!$D$14*M86))/((1-Data!$D$18)*Data!$D$14*1000))),"---")</f>
        <v>NA</v>
      </c>
      <c r="W86" s="376" t="str">
        <f>IF(Start!$C$18="x",IF(OR(G86="NA",U86="NA",G86="",U86=""),"NA",(U86 +($G86*(Data!$D$19-Data!$D$22)/(Data!$D$19*Data!$D$22)))),"---")</f>
        <v>NA</v>
      </c>
      <c r="X86" s="376" t="str">
        <f>IF(Start!$C$18="x",IF(OR(G86="NA",V86="NA",G86="",V86=""),"NA",(((Data!$D$22*Data!$D$18)*V86)+(Data!$D$19-Data!$D$22)*$G86)/((Data!$D$22*Data!$D$18)+Data!$D$19-Data!$D$22)),"---")</f>
        <v>NA</v>
      </c>
      <c r="Y86" s="376" t="str">
        <f>IF(Start!$C$18="x",IF(OR(W86="NA",W86="",M86="NA",M86=""),"NA",(W86/((Data!$D$23+((1-Data!$D$23)*Data!$D$14*M86)) /((1-Data!$D$23)*Data!$D$14*1000)))),"---")</f>
        <v>NA</v>
      </c>
      <c r="Z86" s="376" t="str">
        <f>IF(Start!$C$18="x",IF(OR(Y86="NA",X86="NA"),"NA",IF(Y86&gt;X86, Y86, X86)),"---")</f>
        <v>NA</v>
      </c>
      <c r="AA86" s="461" t="str">
        <f>IF(Start!$C$18="x",IF(OR(Z86="NA",T86="NA"),"NA",Z86*T86/(1000000000)),"---")</f>
        <v>NA</v>
      </c>
      <c r="AB86" s="1057" t="str">
        <f>IF(Start!$C$18="x",IF(AA86 = "NA", "NA", AA86*(Data!$D$52*Data!$D$53*10000)),"---")</f>
        <v>NA</v>
      </c>
      <c r="AC86" s="375" t="str">
        <f>IF(Start!$C$18="x",IF(AB86="NA", "NA", AB86*Data!$D$54),"---")</f>
        <v>NA</v>
      </c>
      <c r="AD86" s="498" t="str">
        <f>IF(Start!$C$18="x",IF(AC86="NA","NA",AC86*Data!$D$41),"---")</f>
        <v>NA</v>
      </c>
      <c r="AE86" s="376" t="str">
        <f>IF(Start!$C$18="x",IF(AB86 = "NA", "NA", AB86/(Data!$D$53*3*Data!$D$48)*1000),"---")</f>
        <v>NA</v>
      </c>
      <c r="AF86" s="498" t="str">
        <f>IF(Start!$C$18="x",IF(AE86="NA","NA",AE86*Data!$D$46),"---")</f>
        <v>NA</v>
      </c>
      <c r="AG86" s="375">
        <f>IF(Start!$C$18="x",IF(OR($L86="NA",L86=""),"NA",($L86*(Data!$D$55^3.33)/(Data!$D$18^2))),"---")</f>
        <v>3.4637478465337503E-4</v>
      </c>
      <c r="AH86" s="376" t="str">
        <f>IF(Start!$C$18="x",IF(OR(F86="NA",F86="",P86="NA",P86=""),"NA",IF(100/Data!$D$10&gt;Data!$D$13,(F86*$P86),(F86*$P86)*Data!$D$13)),"---")</f>
        <v>NA</v>
      </c>
      <c r="AI86" s="489">
        <f>IF(Start!$C$18="x",IF(OR($N86="NA",$Q86="NA",$Q86=0,Q86="",N86=""),"NA",(1000*$N86/$Q86)),"---")</f>
        <v>265631481287.88742</v>
      </c>
      <c r="AJ86" s="376">
        <f>IF(Start!$C$18="x",IF(OR(Q86 = "NA",Q86=0,N86 = "NA",N86="",Q86=""), "NA", IF($AG86="NA","NA",(3.1416*Data!$D$57*86400/($AG86*(Data!$D$55+(N86*Data!$D$19/(Q86*1000)))))^0.5)),"---")</f>
        <v>10.207852737782666</v>
      </c>
      <c r="AK86" s="376" t="str">
        <f>IF(Start!$C$18="x",IF(OR(AH86 = "NA",AI86="NA",AI86=0,AI86="",AH86=""), "NA", AH86/AI86),"---")</f>
        <v>NA</v>
      </c>
      <c r="AL86" s="376" t="str">
        <f>IF(Start!$C$18="x",IF(OR(AK86 ="NA",AK86="",AJ86= "NA",R86="NA",R86=0),"NA",(2*AK86)/(1000*(1/$R86+AJ86))),"---")</f>
        <v>NA</v>
      </c>
      <c r="AM86" s="376" t="str">
        <f>IF(Start!$C$18="x",IF(AL86 = "NA", "NA", AL86*(Data!$D$52*Data!$D$53*10000)),"---")</f>
        <v>NA</v>
      </c>
      <c r="AN86" s="376" t="str">
        <f>IF(Start!$C$18="x",IF(AM86 = "NA", "NA", AM86*(Data!$D$54)),"---")</f>
        <v>NA</v>
      </c>
      <c r="AO86" s="498" t="str">
        <f>IF(Start!$C$18="x",IF(AN86="NA","NA",AN86*Data!$D$41),"---")</f>
        <v>NA</v>
      </c>
      <c r="AP86" s="376">
        <f>IF(Start!$C$18="x",IF(OR(Q86=0,N86="NA",N86="",AG86="NA",AG86="",AG86=0,Q86="",Q86="NA"),"NA", (3.1416*Data!$D$56*86400/($AG86*(Data!$D$55+(N86*Data!$D$19/(Q86*1000)))))^0.5),"---")</f>
        <v>10.207852737782666</v>
      </c>
      <c r="AQ86" s="376" t="str">
        <f>IF(Start!$C$18="x",IF(OR(AH86="NA",AI86="NA",AI86="",AI86=0,AH86=""),"NA", AH86/AI86),"---")</f>
        <v>NA</v>
      </c>
      <c r="AR86" s="376" t="str">
        <f>IF(Start!$C$18="x",IF(OR(AQ86="NA",AP86="NA",$R86="NA",R86=0,R86=""),"NA",(2*AQ86)/(1000*(1/$R86+AP86))),"---")</f>
        <v>NA</v>
      </c>
      <c r="AS86" s="376" t="str">
        <f>IF(Start!$C$18="x",IF(AR86 = "NA", "NA", AR86*(Data!$D$52*Data!$D$53*10000)),"---")</f>
        <v>NA</v>
      </c>
      <c r="AT86" s="376" t="str">
        <f>IF(Start!$C$18="x",IF(AS86 = "NA", "NA", (AS86*1000)/(Data!$D$48*3*Data!$D$53)),"---")</f>
        <v>NA</v>
      </c>
      <c r="AU86" s="498" t="str">
        <f>IF(Start!$C$18="x",IF(AT86="NA","NA",AT86*Data!$D$47),"---")</f>
        <v>NA</v>
      </c>
      <c r="AV86" s="283" t="str">
        <f>IF(Start!$C$18="x",(IF(AND(F86="",G86= "",G86&lt;&gt;"NA"),"",IF(OR(AD86="NA",I86="NA",I86=0),"NA",(AD86/I86)))),"Not Req.")</f>
        <v/>
      </c>
      <c r="AW86" s="284" t="str">
        <f>IF(Start!$C$18="x",(IF(AND(F86="",G86= "",G86&lt;&gt;"NA"),"",IF(OR(AF86="NA",I86="NA",I86=0),"NA",(AF86/I86)))),"Not Req.")</f>
        <v/>
      </c>
      <c r="AX86" s="284" t="str">
        <f>IF(Start!$C$18="x",(IF(F86 ="","",IF(OR(AO86="NA",I86="NA",I86=0),"NA",(AO86/I86)))),"Not Req.")</f>
        <v/>
      </c>
      <c r="AY86" s="344" t="str">
        <f>IF(Start!$C$18="x",(IF(F86 ="","",IF(OR(AU86="NA",I86="NA",I86=0),"NA",(AU86/I86)))),"Not Req.")</f>
        <v/>
      </c>
      <c r="AZ86" s="208"/>
    </row>
    <row r="87" spans="1:52" s="183" customFormat="1" x14ac:dyDescent="0.25">
      <c r="A87" s="405" t="s">
        <v>405</v>
      </c>
      <c r="B87" s="347" t="str">
        <f>IF(Start!$C$18="x",IF(AND(OR(F87="",F87="NA"),OR(G87="",G87="NA")),"",IF(I87="NA","NA",IF(AND(I87="",K87="--"),"NA",IF(AD87="NA","Missing Data",IF(I87="","No Criteria",IF(AD87&gt;=I87,"Needed","No")))))),"---")</f>
        <v/>
      </c>
      <c r="C87" s="501" t="str">
        <f>IF(Start!$C$18="x",IF(AND(OR(F87="",F87="NA"),OR(G87="",G87="NA")),"",IF(I87="NA","NA",IF(AND(I87="",K87="--"),"NA",IF(AF87="NA","Missing Data",IF(I87="","No Criteria",IF(AF87&gt;=I87,"Needed","No")))))),"---")</f>
        <v/>
      </c>
      <c r="D87" s="347" t="str">
        <f>IF(Start!$C$18="x",IF(AND(OR(F87="",F87="NA"),OR(G87="",G87="NA")),"",IF(I87="NA","NA",IF(AND(I87="",K87="--"),"NA",IF(AO87="NA","Missing Data",IF(I87="","No Criteria",IF(AO87&gt;=I87,"Needed","No")))))),"---")</f>
        <v/>
      </c>
      <c r="E87" s="401" t="str">
        <f>IF(Start!$C$18="x",IF(AND(OR(F87="",F87="NA"),OR(G87="",G87="NA")),"",IF(I87="NA","NA",IF(AND(I87="",K87="--"),"NA",IF(AU87="NA","Missing Data",IF(I87="","No Criteria",IF(AU87&gt;=I87,"Needed","No")))))),"---")</f>
        <v/>
      </c>
      <c r="F87" s="431" t="str">
        <f>IF(TRUE=ISBLANK(ChemData!B87),"",(ChemData!B87))</f>
        <v/>
      </c>
      <c r="G87" s="432" t="str">
        <f>IF(TRUE=ISBLANK(ChemData!C87),"",(ChemData!C87))</f>
        <v/>
      </c>
      <c r="H87" s="433" t="str">
        <f>IF(TRUE=ISBLANK(ChemData!D87),"",(ChemData!D87))</f>
        <v/>
      </c>
      <c r="I87" s="919">
        <f>IF(TRUE=ISBLANK(ChemData!K87),"",(ChemData!K87))</f>
        <v>4</v>
      </c>
      <c r="J87" s="290">
        <f>IF(TRUE=ISBLANK(ChemData!M87),"",(ChemData!M87))</f>
        <v>122.1</v>
      </c>
      <c r="K87" s="290">
        <f>IF(TRUE=ISBLANK(ChemData!N87),"",(ChemData!N87))</f>
        <v>1.3E-7</v>
      </c>
      <c r="L87" s="290">
        <f>IF(TRUE=ISBLANK(ChemData!O87),"",(ChemData!O87))</f>
        <v>5.3600000000000002E-2</v>
      </c>
      <c r="M87" s="290">
        <f>IF(TRUE=ISBLANK(ChemData!Q87),"",(ChemData!Q87))</f>
        <v>1.3721652566479994</v>
      </c>
      <c r="N87" s="290">
        <f>IF(TRUE=ISBLANK(ChemData!R87),"",(ChemData!R87))</f>
        <v>1.3721652566479994</v>
      </c>
      <c r="O87" s="290">
        <f>IF(TRUE=ISBLANK(ChemData!S87),"",(ChemData!S87))</f>
        <v>1</v>
      </c>
      <c r="P87" s="291">
        <f>IF(TRUE=ISBLANK(ChemData!T87),"",(ChemData!T87))</f>
        <v>1</v>
      </c>
      <c r="Q87" s="375">
        <f>IF(Start!$C$18="x",IF(OR(K87="NA",K87="",K87="--"),"NA",(K87*1000000/82.1/Data!$D$50)),"---")</f>
        <v>5.107854308278654E-6</v>
      </c>
      <c r="R87" s="376">
        <f>IF(Start!$C$18="x",IF(OR(J87="NA",J87=0,J87=""),"NA",(0.32*(Data!$D$48+Data!$D$49)*(18/J87)^0.5)),"---")</f>
        <v>0.31637753083103426</v>
      </c>
      <c r="S87" s="376">
        <f>IF(Start!$C$18="x",IF(OR(J87="NA",J87= 0,J87=""),"NA",(0.0065*((Data!$D$49^0.969)/(Data!$D$51^0.673))*(32/J87)^0.5*EXP(0.526*Data!$D$48^-1.9))),"---")</f>
        <v>6.6683715791554586E-4</v>
      </c>
      <c r="T87" s="377">
        <f>IF(Start!$C$18="x",IF(OR(S87="NA",R87="NA",R87=0,Q87="NA",S87=0,Q87=0),"NA",(1/(1/S87+(1/(R87*Q87))))),"---")</f>
        <v>1.6121035689615774E-6</v>
      </c>
      <c r="U87" s="375" t="str">
        <f>IF(Start!$C$18="x",IF(OR(F87="NA",F87="",O87="",O87="NA"),"NA",(F87*$O87)),"---")</f>
        <v>NA</v>
      </c>
      <c r="V87" s="376" t="str">
        <f>IF(Start!$C$18="x",IF(OR(U87="NA",M87="NA",M87="",U87=""),"NA",U87/((Data!$D$18+((1-Data!$D$18)*Data!$D$14*M87))/((1-Data!$D$18)*Data!$D$14*1000))),"---")</f>
        <v>NA</v>
      </c>
      <c r="W87" s="376" t="str">
        <f>IF(Start!$C$18="x",IF(OR(G87="NA",U87="NA",G87="",U87=""),"NA",(U87 +($G87*(Data!$D$19-Data!$D$22)/(Data!$D$19*Data!$D$22)))),"---")</f>
        <v>NA</v>
      </c>
      <c r="X87" s="376" t="str">
        <f>IF(Start!$C$18="x",IF(OR(G87="NA",V87="NA",G87="",V87=""),"NA",(((Data!$D$22*Data!$D$18)*V87)+(Data!$D$19-Data!$D$22)*$G87)/((Data!$D$22*Data!$D$18)+Data!$D$19-Data!$D$22)),"---")</f>
        <v>NA</v>
      </c>
      <c r="Y87" s="376" t="str">
        <f>IF(Start!$C$18="x",IF(OR(W87="NA",W87="",M87="NA",M87=""),"NA",(W87/((Data!$D$23+((1-Data!$D$23)*Data!$D$14*M87)) /((1-Data!$D$23)*Data!$D$14*1000)))),"---")</f>
        <v>NA</v>
      </c>
      <c r="Z87" s="376" t="str">
        <f>IF(Start!$C$18="x",IF(OR(Y87="NA",X87="NA"),"NA",IF(Y87&gt;X87, Y87, X87)),"---")</f>
        <v>NA</v>
      </c>
      <c r="AA87" s="461" t="str">
        <f>IF(Start!$C$18="x",IF(OR(Z87="NA",T87="NA"),"NA",Z87*T87/(1000000000)),"---")</f>
        <v>NA</v>
      </c>
      <c r="AB87" s="1057" t="str">
        <f>IF(Start!$C$18="x",IF(AA87 = "NA", "NA", AA87*(Data!$D$52*Data!$D$53*10000)),"---")</f>
        <v>NA</v>
      </c>
      <c r="AC87" s="375" t="str">
        <f>IF(Start!$C$18="x",IF(AB87="NA", "NA", AB87*Data!$D$54),"---")</f>
        <v>NA</v>
      </c>
      <c r="AD87" s="498" t="str">
        <f>IF(Start!$C$18="x",IF(AC87="NA","NA",AC87*Data!$D$41),"---")</f>
        <v>NA</v>
      </c>
      <c r="AE87" s="376" t="str">
        <f>IF(Start!$C$18="x",IF(AB87 = "NA", "NA", AB87/(Data!$D$53*3*Data!$D$48)*1000),"---")</f>
        <v>NA</v>
      </c>
      <c r="AF87" s="498" t="str">
        <f>IF(Start!$C$18="x",IF(AE87="NA","NA",AE87*Data!$D$46),"---")</f>
        <v>NA</v>
      </c>
      <c r="AG87" s="375">
        <f>IF(Start!$C$18="x",IF(OR($L87="NA",L87=""),"NA",($L87*(Data!$D$55^3.33)/(Data!$D$18^2))),"---")</f>
        <v>5.4604966051237944E-4</v>
      </c>
      <c r="AH87" s="376" t="str">
        <f>IF(Start!$C$18="x",IF(OR(F87="NA",F87="",P87="NA",P87=""),"NA",IF(100/Data!$D$10&gt;Data!$D$13,(F87*$P87),(F87*$P87)*Data!$D$13)),"---")</f>
        <v>NA</v>
      </c>
      <c r="AI87" s="489">
        <f>IF(Start!$C$18="x",IF(OR($N87="NA",$Q87="NA",$Q87=0,Q87="",N87=""),"NA",(1000*$N87/$Q87)),"---")</f>
        <v>268638291.8996017</v>
      </c>
      <c r="AJ87" s="376">
        <f>IF(Start!$C$18="x",IF(OR(Q87 = "NA",Q87=0,N87 = "NA",N87="",Q87=""), "NA", IF($AG87="NA","NA",(3.1416*Data!$D$57*86400/($AG87*(Data!$D$55+(N87*Data!$D$19/(Q87*1000)))))^0.5)),"---")</f>
        <v>255.65075698578445</v>
      </c>
      <c r="AK87" s="376" t="str">
        <f>IF(Start!$C$18="x",IF(OR(AH87 = "NA",AI87="NA",AI87=0,AI87="",AH87=""), "NA", AH87/AI87),"---")</f>
        <v>NA</v>
      </c>
      <c r="AL87" s="376" t="str">
        <f>IF(Start!$C$18="x",IF(OR(AK87 ="NA",AK87="",AJ87= "NA",R87="NA",R87=0),"NA",(2*AK87)/(1000*(1/$R87+AJ87))),"---")</f>
        <v>NA</v>
      </c>
      <c r="AM87" s="376" t="str">
        <f>IF(Start!$C$18="x",IF(AL87 = "NA", "NA", AL87*(Data!$D$52*Data!$D$53*10000)),"---")</f>
        <v>NA</v>
      </c>
      <c r="AN87" s="376" t="str">
        <f>IF(Start!$C$18="x",IF(AM87 = "NA", "NA", AM87*(Data!$D$54)),"---")</f>
        <v>NA</v>
      </c>
      <c r="AO87" s="498" t="str">
        <f>IF(Start!$C$18="x",IF(AN87="NA","NA",AN87*Data!$D$41),"---")</f>
        <v>NA</v>
      </c>
      <c r="AP87" s="376">
        <f>IF(Start!$C$18="x",IF(OR(Q87=0,N87="NA",N87="",AG87="NA",AG87="",AG87=0,Q87="",Q87="NA"),"NA", (3.1416*Data!$D$56*86400/($AG87*(Data!$D$55+(N87*Data!$D$19/(Q87*1000)))))^0.5),"---")</f>
        <v>255.65075698578445</v>
      </c>
      <c r="AQ87" s="376" t="str">
        <f>IF(Start!$C$18="x",IF(OR(AH87="NA",AI87="NA",AI87="",AI87=0,AH87=""),"NA", AH87/AI87),"---")</f>
        <v>NA</v>
      </c>
      <c r="AR87" s="376" t="str">
        <f>IF(Start!$C$18="x",IF(OR(AQ87="NA",AP87="NA",$R87="NA",R87=0,R87=""),"NA",(2*AQ87)/(1000*(1/$R87+AP87))),"---")</f>
        <v>NA</v>
      </c>
      <c r="AS87" s="376" t="str">
        <f>IF(Start!$C$18="x",IF(AR87 = "NA", "NA", AR87*(Data!$D$52*Data!$D$53*10000)),"---")</f>
        <v>NA</v>
      </c>
      <c r="AT87" s="376" t="str">
        <f>IF(Start!$C$18="x",IF(AS87 = "NA", "NA", (AS87*1000)/(Data!$D$48*3*Data!$D$53)),"---")</f>
        <v>NA</v>
      </c>
      <c r="AU87" s="498" t="str">
        <f>IF(Start!$C$18="x",IF(AT87="NA","NA",AT87*Data!$D$47),"---")</f>
        <v>NA</v>
      </c>
      <c r="AV87" s="283" t="str">
        <f>IF(Start!$C$18="x",(IF(AND(F87="",G87= "",G87&lt;&gt;"NA"),"",IF(OR(AD87="NA",I87="NA",I87=0),"NA",(AD87/I87)))),"Not Req.")</f>
        <v/>
      </c>
      <c r="AW87" s="284" t="str">
        <f>IF(Start!$C$18="x",(IF(AND(F87="",G87= "",G87&lt;&gt;"NA"),"",IF(OR(AF87="NA",I87="NA",I87=0),"NA",(AF87/I87)))),"Not Req.")</f>
        <v/>
      </c>
      <c r="AX87" s="284" t="str">
        <f>IF(Start!$C$18="x",(IF(F87 ="","",IF(OR(AO87="NA",I87="NA",I87=0),"NA",(AO87/I87)))),"Not Req.")</f>
        <v/>
      </c>
      <c r="AY87" s="344" t="str">
        <f>IF(Start!$C$18="x",(IF(F87 ="","",IF(OR(AU87="NA",I87="NA",I87=0),"NA",(AU87/I87)))),"Not Req.")</f>
        <v/>
      </c>
      <c r="AZ87" s="208"/>
    </row>
    <row r="88" spans="1:52" s="183" customFormat="1" x14ac:dyDescent="0.25">
      <c r="A88" s="405" t="s">
        <v>406</v>
      </c>
      <c r="B88" s="347" t="str">
        <f>IF(Start!$C$18="x",IF(AND(OR(F88="",F88="NA"),OR(G88="",G88="NA")),"",IF(I88="NA","NA",IF(AND(I88="",K88="--"),"NA",IF(AD88="NA","Missing Data",IF(I88="","No Criteria",IF(AD88&gt;=I88,"Needed","No")))))),"---")</f>
        <v/>
      </c>
      <c r="C88" s="501" t="str">
        <f>IF(Start!$C$18="x",IF(AND(OR(F88="",F88="NA"),OR(G88="",G88="NA")),"",IF(I88="NA","NA",IF(AND(I88="",K88="--"),"NA",IF(AF88="NA","Missing Data",IF(I88="","No Criteria",IF(AF88&gt;=I88,"Needed","No")))))),"---")</f>
        <v/>
      </c>
      <c r="D88" s="347" t="str">
        <f>IF(Start!$C$18="x",IF(AND(OR(F88="",F88="NA"),OR(G88="",G88="NA")),"",IF(I88="NA","NA",IF(AND(I88="",K88="--"),"NA",IF(AO88="NA","Missing Data",IF(I88="","No Criteria",IF(AO88&gt;=I88,"Needed","No")))))),"---")</f>
        <v/>
      </c>
      <c r="E88" s="401" t="str">
        <f>IF(Start!$C$18="x",IF(AND(OR(F88="",F88="NA"),OR(G88="",G88="NA")),"",IF(I88="NA","NA",IF(AND(I88="",K88="--"),"NA",IF(AU88="NA","Missing Data",IF(I88="","No Criteria",IF(AU88&gt;=I88,"Needed","No")))))),"---")</f>
        <v/>
      </c>
      <c r="F88" s="431" t="str">
        <f>IF(TRUE=ISBLANK(ChemData!B88),"",(ChemData!B88))</f>
        <v/>
      </c>
      <c r="G88" s="432" t="str">
        <f>IF(TRUE=ISBLANK(ChemData!C88),"",(ChemData!C88))</f>
        <v/>
      </c>
      <c r="H88" s="433" t="str">
        <f>IF(TRUE=ISBLANK(ChemData!D88),"",(ChemData!D88))</f>
        <v/>
      </c>
      <c r="I88" s="919" t="str">
        <f>IF(TRUE=ISBLANK(ChemData!K88),"",(ChemData!K88))</f>
        <v>NA</v>
      </c>
      <c r="J88" s="290">
        <f>IF(TRUE=ISBLANK(ChemData!M88),"",(ChemData!M88))</f>
        <v>108.13</v>
      </c>
      <c r="K88" s="290">
        <f>IF(TRUE=ISBLANK(ChemData!N88),"",(ChemData!N88))</f>
        <v>3.9099999999999999E-7</v>
      </c>
      <c r="L88" s="290">
        <f>IF(TRUE=ISBLANK(ChemData!O88),"",(ChemData!O88))</f>
        <v>7.1199999999999999E-2</v>
      </c>
      <c r="M88" s="290">
        <f>IF(TRUE=ISBLANK(ChemData!Q88),"",(ChemData!Q88))</f>
        <v>0.23302709372310049</v>
      </c>
      <c r="N88" s="290">
        <f>IF(TRUE=ISBLANK(ChemData!R88),"",(ChemData!R88))</f>
        <v>0.23302709372310049</v>
      </c>
      <c r="O88" s="290">
        <f>IF(TRUE=ISBLANK(ChemData!S88),"",(ChemData!S88))</f>
        <v>1</v>
      </c>
      <c r="P88" s="291">
        <f>IF(TRUE=ISBLANK(ChemData!T88),"",(ChemData!T88))</f>
        <v>1</v>
      </c>
      <c r="Q88" s="375">
        <f>IF(Start!$C$18="x",IF(OR(K88="NA",K88="",K88="--"),"NA",(K88*1000000/82.1/Data!$D$50)),"---")</f>
        <v>1.5362854111822721E-5</v>
      </c>
      <c r="R88" s="376">
        <f>IF(Start!$C$18="x",IF(OR(J88="NA",J88=0,J88=""),"NA",(0.32*(Data!$D$48+Data!$D$49)*(18/J88)^0.5)),"---")</f>
        <v>0.33619431302483044</v>
      </c>
      <c r="S88" s="376">
        <f>IF(Start!$C$18="x",IF(OR(J88="NA",J88= 0,J88=""),"NA",(0.0065*((Data!$D$49^0.969)/(Data!$D$51^0.673))*(32/J88)^0.5*EXP(0.526*Data!$D$48^-1.9))),"---")</f>
        <v>7.086055056311105E-4</v>
      </c>
      <c r="T88" s="377">
        <f>IF(Start!$C$18="x",IF(OR(S88="NA",R88="NA",R88=0,Q88="NA",S88=0,Q88=0),"NA",(1/(1/S88+(1/(R88*Q88))))),"---")</f>
        <v>5.1275304925372557E-6</v>
      </c>
      <c r="U88" s="375" t="str">
        <f>IF(Start!$C$18="x",IF(OR(F88="NA",F88="",O88="",O88="NA"),"NA",(F88*$O88)),"---")</f>
        <v>NA</v>
      </c>
      <c r="V88" s="376" t="str">
        <f>IF(Start!$C$18="x",IF(OR(U88="NA",M88="NA",M88="",U88=""),"NA",U88/((Data!$D$18+((1-Data!$D$18)*Data!$D$14*M88))/((1-Data!$D$18)*Data!$D$14*1000))),"---")</f>
        <v>NA</v>
      </c>
      <c r="W88" s="376" t="str">
        <f>IF(Start!$C$18="x",IF(OR(G88="NA",U88="NA",G88="",U88=""),"NA",(U88 +($G88*(Data!$D$19-Data!$D$22)/(Data!$D$19*Data!$D$22)))),"---")</f>
        <v>NA</v>
      </c>
      <c r="X88" s="376" t="str">
        <f>IF(Start!$C$18="x",IF(OR(G88="NA",V88="NA",G88="",V88=""),"NA",(((Data!$D$22*Data!$D$18)*V88)+(Data!$D$19-Data!$D$22)*$G88)/((Data!$D$22*Data!$D$18)+Data!$D$19-Data!$D$22)),"---")</f>
        <v>NA</v>
      </c>
      <c r="Y88" s="376" t="str">
        <f>IF(Start!$C$18="x",IF(OR(W88="NA",W88="",M88="NA",M88=""),"NA",(W88/((Data!$D$23+((1-Data!$D$23)*Data!$D$14*M88)) /((1-Data!$D$23)*Data!$D$14*1000)))),"---")</f>
        <v>NA</v>
      </c>
      <c r="Z88" s="376" t="str">
        <f>IF(Start!$C$18="x",IF(OR(Y88="NA",X88="NA"),"NA",IF(Y88&gt;X88, Y88, X88)),"---")</f>
        <v>NA</v>
      </c>
      <c r="AA88" s="461" t="str">
        <f>IF(Start!$C$18="x",IF(OR(Z88="NA",T88="NA"),"NA",Z88*T88/(1000000000)),"---")</f>
        <v>NA</v>
      </c>
      <c r="AB88" s="1057" t="str">
        <f>IF(Start!$C$18="x",IF(AA88 = "NA", "NA", AA88*(Data!$D$52*Data!$D$53*10000)),"---")</f>
        <v>NA</v>
      </c>
      <c r="AC88" s="375" t="str">
        <f>IF(Start!$C$18="x",IF(AB88="NA", "NA", AB88*Data!$D$54),"---")</f>
        <v>NA</v>
      </c>
      <c r="AD88" s="498" t="str">
        <f>IF(Start!$C$18="x",IF(AC88="NA","NA",AC88*Data!$D$41),"---")</f>
        <v>NA</v>
      </c>
      <c r="AE88" s="376" t="str">
        <f>IF(Start!$C$18="x",IF(AB88 = "NA", "NA", AB88/(Data!$D$53*3*Data!$D$48)*1000),"---")</f>
        <v>NA</v>
      </c>
      <c r="AF88" s="498" t="str">
        <f>IF(Start!$C$18="x",IF(AE88="NA","NA",AE88*Data!$D$46),"---")</f>
        <v>NA</v>
      </c>
      <c r="AG88" s="375">
        <f>IF(Start!$C$18="x",IF(OR($L88="NA",L88=""),"NA",($L88*(Data!$D$55^3.33)/(Data!$D$18^2))),"---")</f>
        <v>7.2534954903883233E-4</v>
      </c>
      <c r="AH88" s="376" t="str">
        <f>IF(Start!$C$18="x",IF(OR(F88="NA",F88="",P88="NA",P88=""),"NA",IF(100/Data!$D$10&gt;Data!$D$13,(F88*$P88),(F88*$P88)*Data!$D$13)),"---")</f>
        <v>NA</v>
      </c>
      <c r="AI88" s="489">
        <f>IF(Start!$C$18="x",IF(OR($N88="NA",$Q88="NA",$Q88=0,Q88="",N88=""),"NA",(1000*$N88/$Q88)),"---")</f>
        <v>15168216.271986265</v>
      </c>
      <c r="AJ88" s="376">
        <f>IF(Start!$C$18="x",IF(OR(Q88 = "NA",Q88=0,N88 = "NA",N88="",Q88=""), "NA", IF($AG88="NA","NA",(3.1416*Data!$D$57*86400/($AG88*(Data!$D$55+(N88*Data!$D$19/(Q88*1000)))))^0.5)),"---")</f>
        <v>933.47566983424838</v>
      </c>
      <c r="AK88" s="376" t="str">
        <f>IF(Start!$C$18="x",IF(OR(AH88 = "NA",AI88="NA",AI88=0,AI88="",AH88=""), "NA", AH88/AI88),"---")</f>
        <v>NA</v>
      </c>
      <c r="AL88" s="376" t="str">
        <f>IF(Start!$C$18="x",IF(OR(AK88 ="NA",AK88="",AJ88= "NA",R88="NA",R88=0),"NA",(2*AK88)/(1000*(1/$R88+AJ88))),"---")</f>
        <v>NA</v>
      </c>
      <c r="AM88" s="376" t="str">
        <f>IF(Start!$C$18="x",IF(AL88 = "NA", "NA", AL88*(Data!$D$52*Data!$D$53*10000)),"---")</f>
        <v>NA</v>
      </c>
      <c r="AN88" s="376" t="str">
        <f>IF(Start!$C$18="x",IF(AM88 = "NA", "NA", AM88*(Data!$D$54)),"---")</f>
        <v>NA</v>
      </c>
      <c r="AO88" s="498" t="str">
        <f>IF(Start!$C$18="x",IF(AN88="NA","NA",AN88*Data!$D$41),"---")</f>
        <v>NA</v>
      </c>
      <c r="AP88" s="376">
        <f>IF(Start!$C$18="x",IF(OR(Q88=0,N88="NA",N88="",AG88="NA",AG88="",AG88=0,Q88="",Q88="NA"),"NA", (3.1416*Data!$D$56*86400/($AG88*(Data!$D$55+(N88*Data!$D$19/(Q88*1000)))))^0.5),"---")</f>
        <v>933.47566983424838</v>
      </c>
      <c r="AQ88" s="376" t="str">
        <f>IF(Start!$C$18="x",IF(OR(AH88="NA",AI88="NA",AI88="",AI88=0,AH88=""),"NA", AH88/AI88),"---")</f>
        <v>NA</v>
      </c>
      <c r="AR88" s="376" t="str">
        <f>IF(Start!$C$18="x",IF(OR(AQ88="NA",AP88="NA",$R88="NA",R88=0,R88=""),"NA",(2*AQ88)/(1000*(1/$R88+AP88))),"---")</f>
        <v>NA</v>
      </c>
      <c r="AS88" s="376" t="str">
        <f>IF(Start!$C$18="x",IF(AR88 = "NA", "NA", AR88*(Data!$D$52*Data!$D$53*10000)),"---")</f>
        <v>NA</v>
      </c>
      <c r="AT88" s="376" t="str">
        <f>IF(Start!$C$18="x",IF(AS88 = "NA", "NA", (AS88*1000)/(Data!$D$48*3*Data!$D$53)),"---")</f>
        <v>NA</v>
      </c>
      <c r="AU88" s="498" t="str">
        <f>IF(Start!$C$18="x",IF(AT88="NA","NA",AT88*Data!$D$47),"---")</f>
        <v>NA</v>
      </c>
      <c r="AV88" s="283" t="str">
        <f>IF(Start!$C$18="x",(IF(AND(F88="",G88= "",G88&lt;&gt;"NA"),"",IF(OR(AD88="NA",I88="NA",I88=0),"NA",(AD88/I88)))),"Not Req.")</f>
        <v/>
      </c>
      <c r="AW88" s="284" t="str">
        <f>IF(Start!$C$18="x",(IF(AND(F88="",G88= "",G88&lt;&gt;"NA"),"",IF(OR(AF88="NA",I88="NA",I88=0),"NA",(AF88/I88)))),"Not Req.")</f>
        <v/>
      </c>
      <c r="AX88" s="284" t="str">
        <f>IF(Start!$C$18="x",(IF(F88 ="","",IF(OR(AO88="NA",I88="NA",I88=0),"NA",(AO88/I88)))),"Not Req.")</f>
        <v/>
      </c>
      <c r="AY88" s="344" t="str">
        <f>IF(Start!$C$18="x",(IF(F88 ="","",IF(OR(AU88="NA",I88="NA",I88=0),"NA",(AU88/I88)))),"Not Req.")</f>
        <v/>
      </c>
      <c r="AZ88" s="208"/>
    </row>
    <row r="89" spans="1:52" s="183" customFormat="1" x14ac:dyDescent="0.25">
      <c r="A89" s="405" t="s">
        <v>407</v>
      </c>
      <c r="B89" s="347" t="str">
        <f>IF(Start!$C$18="x",IF(AND(OR(F89="",F89="NA"),OR(G89="",G89="NA")),"",IF(I89="NA","NA",IF(AND(I89="",K89="--"),"NA",IF(AD89="NA","Missing Data",IF(I89="","No Criteria",IF(AD89&gt;=I89,"Needed","No")))))),"---")</f>
        <v/>
      </c>
      <c r="C89" s="501" t="str">
        <f>IF(Start!$C$18="x",IF(AND(OR(F89="",F89="NA"),OR(G89="",G89="NA")),"",IF(I89="NA","NA",IF(AND(I89="",K89="--"),"NA",IF(AF89="NA","Missing Data",IF(I89="","No Criteria",IF(AF89&gt;=I89,"Needed","No")))))),"---")</f>
        <v/>
      </c>
      <c r="D89" s="347" t="str">
        <f>IF(Start!$C$18="x",IF(AND(OR(F89="",F89="NA"),OR(G89="",G89="NA")),"",IF(I89="NA","NA",IF(AND(I89="",K89="--"),"NA",IF(AO89="NA","Missing Data",IF(I89="","No Criteria",IF(AO89&gt;=I89,"Needed","No")))))),"---")</f>
        <v/>
      </c>
      <c r="E89" s="401" t="str">
        <f>IF(Start!$C$18="x",IF(AND(OR(F89="",F89="NA"),OR(G89="",G89="NA")),"",IF(I89="NA","NA",IF(AND(I89="",K89="--"),"NA",IF(AU89="NA","Missing Data",IF(I89="","No Criteria",IF(AU89&gt;=I89,"Needed","No")))))),"---")</f>
        <v/>
      </c>
      <c r="F89" s="431" t="str">
        <f>IF(TRUE=ISBLANK(ChemData!B89),"",(ChemData!B89))</f>
        <v/>
      </c>
      <c r="G89" s="432" t="str">
        <f>IF(TRUE=ISBLANK(ChemData!C89),"",(ChemData!C89))</f>
        <v/>
      </c>
      <c r="H89" s="433" t="str">
        <f>IF(TRUE=ISBLANK(ChemData!D89),"",(ChemData!D89))</f>
        <v/>
      </c>
      <c r="I89" s="919" t="str">
        <f>IF(TRUE=ISBLANK(ChemData!K89),"",(ChemData!K89))</f>
        <v>NA</v>
      </c>
      <c r="J89" s="290">
        <f>IF(TRUE=ISBLANK(ChemData!M89),"",(ChemData!M89))</f>
        <v>312.39999999999998</v>
      </c>
      <c r="K89" s="290">
        <f>IF(TRUE=ISBLANK(ChemData!N89),"",(ChemData!N89))</f>
        <v>1.3E-6</v>
      </c>
      <c r="L89" s="290">
        <f>IF(TRUE=ISBLANK(ChemData!O89),"",(ChemData!O89))</f>
        <v>1.7399999999999999E-2</v>
      </c>
      <c r="M89" s="290">
        <f>IF(TRUE=ISBLANK(ChemData!Q89),"",(ChemData!Q89))</f>
        <v>1280.5791271709513</v>
      </c>
      <c r="N89" s="290">
        <f>IF(TRUE=ISBLANK(ChemData!R89),"",(ChemData!R89))</f>
        <v>1280.5791271709513</v>
      </c>
      <c r="O89" s="290">
        <f>IF(TRUE=ISBLANK(ChemData!S89),"",(ChemData!S89))</f>
        <v>1</v>
      </c>
      <c r="P89" s="291">
        <f>IF(TRUE=ISBLANK(ChemData!T89),"",(ChemData!T89))</f>
        <v>1</v>
      </c>
      <c r="Q89" s="375">
        <f>IF(Start!$C$18="x",IF(OR(K89="NA",K89="",K89="--"),"NA",(K89*1000000/82.1/Data!$D$50)),"---")</f>
        <v>5.1078543082786534E-5</v>
      </c>
      <c r="R89" s="376">
        <f>IF(Start!$C$18="x",IF(OR(J89="NA",J89=0,J89=""),"NA",(0.32*(Data!$D$48+Data!$D$49)*(18/J89)^0.5)),"---")</f>
        <v>0.19779164919600964</v>
      </c>
      <c r="S89" s="376">
        <f>IF(Start!$C$18="x",IF(OR(J89="NA",J89= 0,J89=""),"NA",(0.0065*((Data!$D$49^0.969)/(Data!$D$51^0.673))*(32/J89)^0.5*EXP(0.526*Data!$D$48^-1.9))),"---")</f>
        <v>4.1689060807461692E-4</v>
      </c>
      <c r="T89" s="377">
        <f>IF(Start!$C$18="x",IF(OR(S89="NA",R89="NA",R89=0,Q89="NA",S89=0,Q89=0),"NA",(1/(1/S89+(1/(R89*Q89))))),"---")</f>
        <v>9.8638687000896238E-6</v>
      </c>
      <c r="U89" s="375" t="str">
        <f>IF(Start!$C$18="x",IF(OR(F89="NA",F89="",O89="",O89="NA"),"NA",(F89*$O89)),"---")</f>
        <v>NA</v>
      </c>
      <c r="V89" s="376" t="str">
        <f>IF(Start!$C$18="x",IF(OR(U89="NA",M89="NA",M89="",U89=""),"NA",U89/((Data!$D$18+((1-Data!$D$18)*Data!$D$14*M89))/((1-Data!$D$18)*Data!$D$14*1000))),"---")</f>
        <v>NA</v>
      </c>
      <c r="W89" s="376" t="str">
        <f>IF(Start!$C$18="x",IF(OR(G89="NA",U89="NA",G89="",U89=""),"NA",(U89 +($G89*(Data!$D$19-Data!$D$22)/(Data!$D$19*Data!$D$22)))),"---")</f>
        <v>NA</v>
      </c>
      <c r="X89" s="376" t="str">
        <f>IF(Start!$C$18="x",IF(OR(G89="NA",V89="NA",G89="",V89=""),"NA",(((Data!$D$22*Data!$D$18)*V89)+(Data!$D$19-Data!$D$22)*$G89)/((Data!$D$22*Data!$D$18)+Data!$D$19-Data!$D$22)),"---")</f>
        <v>NA</v>
      </c>
      <c r="Y89" s="376" t="str">
        <f>IF(Start!$C$18="x",IF(OR(W89="NA",W89="",M89="NA",M89=""),"NA",(W89/((Data!$D$23+((1-Data!$D$23)*Data!$D$14*M89)) /((1-Data!$D$23)*Data!$D$14*1000)))),"---")</f>
        <v>NA</v>
      </c>
      <c r="Z89" s="376" t="str">
        <f>IF(Start!$C$18="x",IF(OR(Y89="NA",X89="NA"),"NA",IF(Y89&gt;X89, Y89, X89)),"---")</f>
        <v>NA</v>
      </c>
      <c r="AA89" s="461" t="str">
        <f>IF(Start!$C$18="x",IF(OR(Z89="NA",T89="NA"),"NA",Z89*T89/(1000000000)),"---")</f>
        <v>NA</v>
      </c>
      <c r="AB89" s="1057" t="str">
        <f>IF(Start!$C$18="x",IF(AA89 = "NA", "NA", AA89*(Data!$D$52*Data!$D$53*10000)),"---")</f>
        <v>NA</v>
      </c>
      <c r="AC89" s="375" t="str">
        <f>IF(Start!$C$18="x",IF(AB89="NA", "NA", AB89*Data!$D$54),"---")</f>
        <v>NA</v>
      </c>
      <c r="AD89" s="498" t="str">
        <f>IF(Start!$C$18="x",IF(AC89="NA","NA",AC89*Data!$D$41),"---")</f>
        <v>NA</v>
      </c>
      <c r="AE89" s="376" t="str">
        <f>IF(Start!$C$18="x",IF(AB89 = "NA", "NA", AB89/(Data!$D$53*3*Data!$D$48)*1000),"---")</f>
        <v>NA</v>
      </c>
      <c r="AF89" s="498" t="str">
        <f>IF(Start!$C$18="x",IF(AE89="NA","NA",AE89*Data!$D$46),"---")</f>
        <v>NA</v>
      </c>
      <c r="AG89" s="375">
        <f>IF(Start!$C$18="x",IF(OR($L89="NA",L89=""),"NA",($L89*(Data!$D$55^3.33)/(Data!$D$18^2))),"---")</f>
        <v>1.7726238979319777E-4</v>
      </c>
      <c r="AH89" s="376" t="str">
        <f>IF(Start!$C$18="x",IF(OR(F89="NA",F89="",P89="NA",P89=""),"NA",IF(100/Data!$D$10&gt;Data!$D$13,(F89*$P89),(F89*$P89)*Data!$D$13)),"---")</f>
        <v>NA</v>
      </c>
      <c r="AI89" s="489">
        <f>IF(Start!$C$18="x",IF(OR($N89="NA",$Q89="NA",$Q89=0,Q89="",N89=""),"NA",(1000*$N89/$Q89)),"---")</f>
        <v>25070784127.406063</v>
      </c>
      <c r="AJ89" s="376">
        <f>IF(Start!$C$18="x",IF(OR(Q89 = "NA",Q89=0,N89 = "NA",N89="",Q89=""), "NA", IF($AG89="NA","NA",(3.1416*Data!$D$57*86400/($AG89*(Data!$D$55+(N89*Data!$D$19/(Q89*1000)))))^0.5)),"---")</f>
        <v>46.446719128832378</v>
      </c>
      <c r="AK89" s="376" t="str">
        <f>IF(Start!$C$18="x",IF(OR(AH89 = "NA",AI89="NA",AI89=0,AI89="",AH89=""), "NA", AH89/AI89),"---")</f>
        <v>NA</v>
      </c>
      <c r="AL89" s="376" t="str">
        <f>IF(Start!$C$18="x",IF(OR(AK89 ="NA",AK89="",AJ89= "NA",R89="NA",R89=0),"NA",(2*AK89)/(1000*(1/$R89+AJ89))),"---")</f>
        <v>NA</v>
      </c>
      <c r="AM89" s="376" t="str">
        <f>IF(Start!$C$18="x",IF(AL89 = "NA", "NA", AL89*(Data!$D$52*Data!$D$53*10000)),"---")</f>
        <v>NA</v>
      </c>
      <c r="AN89" s="376" t="str">
        <f>IF(Start!$C$18="x",IF(AM89 = "NA", "NA", AM89*(Data!$D$54)),"---")</f>
        <v>NA</v>
      </c>
      <c r="AO89" s="498" t="str">
        <f>IF(Start!$C$18="x",IF(AN89="NA","NA",AN89*Data!$D$41),"---")</f>
        <v>NA</v>
      </c>
      <c r="AP89" s="376">
        <f>IF(Start!$C$18="x",IF(OR(Q89=0,N89="NA",N89="",AG89="NA",AG89="",AG89=0,Q89="",Q89="NA"),"NA", (3.1416*Data!$D$56*86400/($AG89*(Data!$D$55+(N89*Data!$D$19/(Q89*1000)))))^0.5),"---")</f>
        <v>46.446719128832378</v>
      </c>
      <c r="AQ89" s="376" t="str">
        <f>IF(Start!$C$18="x",IF(OR(AH89="NA",AI89="NA",AI89="",AI89=0,AH89=""),"NA", AH89/AI89),"---")</f>
        <v>NA</v>
      </c>
      <c r="AR89" s="376" t="str">
        <f>IF(Start!$C$18="x",IF(OR(AQ89="NA",AP89="NA",$R89="NA",R89=0,R89=""),"NA",(2*AQ89)/(1000*(1/$R89+AP89))),"---")</f>
        <v>NA</v>
      </c>
      <c r="AS89" s="376" t="str">
        <f>IF(Start!$C$18="x",IF(AR89 = "NA", "NA", AR89*(Data!$D$52*Data!$D$53*10000)),"---")</f>
        <v>NA</v>
      </c>
      <c r="AT89" s="376" t="str">
        <f>IF(Start!$C$18="x",IF(AS89 = "NA", "NA", (AS89*1000)/(Data!$D$48*3*Data!$D$53)),"---")</f>
        <v>NA</v>
      </c>
      <c r="AU89" s="498" t="str">
        <f>IF(Start!$C$18="x",IF(AT89="NA","NA",AT89*Data!$D$47),"---")</f>
        <v>NA</v>
      </c>
      <c r="AV89" s="283" t="str">
        <f>IF(Start!$C$18="x",(IF(AND(F89="",G89= "",G89&lt;&gt;"NA"),"",IF(OR(AD89="NA",I89="NA",I89=0),"NA",(AD89/I89)))),"Not Req.")</f>
        <v/>
      </c>
      <c r="AW89" s="284" t="str">
        <f>IF(Start!$C$18="x",(IF(AND(F89="",G89= "",G89&lt;&gt;"NA"),"",IF(OR(AF89="NA",I89="NA",I89=0),"NA",(AF89/I89)))),"Not Req.")</f>
        <v/>
      </c>
      <c r="AX89" s="284" t="str">
        <f>IF(Start!$C$18="x",(IF(F89 ="","",IF(OR(AO89="NA",I89="NA",I89=0),"NA",(AO89/I89)))),"Not Req.")</f>
        <v/>
      </c>
      <c r="AY89" s="344" t="str">
        <f>IF(Start!$C$18="x",(IF(F89 ="","",IF(OR(AU89="NA",I89="NA",I89=0),"NA",(AU89/I89)))),"Not Req.")</f>
        <v/>
      </c>
      <c r="AZ89" s="208"/>
    </row>
    <row r="90" spans="1:52" s="183" customFormat="1" x14ac:dyDescent="0.25">
      <c r="A90" s="405" t="s">
        <v>408</v>
      </c>
      <c r="B90" s="347" t="str">
        <f>IF(Start!$C$18="x",IF(AND(OR(F90="",F90="NA"),OR(G90="",G90="NA")),"",IF(I90="NA","NA",IF(AND(I90="",K90="--"),"NA",IF(AD90="NA","Missing Data",IF(I90="","No Criteria",IF(AD90&gt;=I90,"Needed","No")))))),"---")</f>
        <v/>
      </c>
      <c r="C90" s="501" t="str">
        <f>IF(Start!$C$18="x",IF(AND(OR(F90="",F90="NA"),OR(G90="",G90="NA")),"",IF(I90="NA","NA",IF(AND(I90="",K90="--"),"NA",IF(AF90="NA","Missing Data",IF(I90="","No Criteria",IF(AF90&gt;=I90,"Needed","No")))))),"---")</f>
        <v/>
      </c>
      <c r="D90" s="347" t="str">
        <f>IF(Start!$C$18="x",IF(AND(OR(F90="",F90="NA"),OR(G90="",G90="NA")),"",IF(I90="NA","NA",IF(AND(I90="",K90="--"),"NA",IF(AO90="NA","Missing Data",IF(I90="","No Criteria",IF(AO90&gt;=I90,"Needed","No")))))),"---")</f>
        <v/>
      </c>
      <c r="E90" s="401" t="str">
        <f>IF(Start!$C$18="x",IF(AND(OR(F90="",F90="NA"),OR(G90="",G90="NA")),"",IF(I90="NA","NA",IF(AND(I90="",K90="--"),"NA",IF(AU90="NA","Missing Data",IF(I90="","No Criteria",IF(AU90&gt;=I90,"Needed","No")))))),"---")</f>
        <v/>
      </c>
      <c r="F90" s="431" t="str">
        <f>IF(TRUE=ISBLANK(ChemData!B90),"",(ChemData!B90))</f>
        <v/>
      </c>
      <c r="G90" s="432" t="str">
        <f>IF(TRUE=ISBLANK(ChemData!C90),"",(ChemData!C90))</f>
        <v/>
      </c>
      <c r="H90" s="433" t="str">
        <f>IF(TRUE=ISBLANK(ChemData!D90),"",(ChemData!D90))</f>
        <v/>
      </c>
      <c r="I90" s="919">
        <f>IF(TRUE=ISBLANK(ChemData!K90),"",(ChemData!K90))</f>
        <v>0.1</v>
      </c>
      <c r="J90" s="290">
        <f>IF(TRUE=ISBLANK(ChemData!M90),"",(ChemData!M90))</f>
        <v>249.1</v>
      </c>
      <c r="K90" s="290">
        <f>IF(TRUE=ISBLANK(ChemData!N90),"",(ChemData!N90))</f>
        <v>1E-4</v>
      </c>
      <c r="L90" s="290">
        <f>IF(TRUE=ISBLANK(ChemData!O90),"",(ChemData!O90))</f>
        <v>0.15203429281300498</v>
      </c>
      <c r="M90" s="290">
        <f>IF(TRUE=ISBLANK(ChemData!Q90),"",(ChemData!Q90))</f>
        <v>1851</v>
      </c>
      <c r="N90" s="290">
        <f>IF(TRUE=ISBLANK(ChemData!R90),"",(ChemData!R90))</f>
        <v>1851</v>
      </c>
      <c r="O90" s="290">
        <f>IF(TRUE=ISBLANK(ChemData!S90),"",(ChemData!S90))</f>
        <v>1</v>
      </c>
      <c r="P90" s="291">
        <f>IF(TRUE=ISBLANK(ChemData!T90),"",(ChemData!T90))</f>
        <v>1</v>
      </c>
      <c r="Q90" s="375">
        <f>IF(Start!$C$18="x",IF(OR(K90="NA",K90="",K90="--"),"NA",(K90*1000000/82.1/Data!$D$50)),"---")</f>
        <v>3.9291186986758877E-3</v>
      </c>
      <c r="R90" s="376">
        <f>IF(Start!$C$18="x",IF(OR(J90="NA",J90=0,J90=""),"NA",(0.32*(Data!$D$48+Data!$D$49)*(18/J90)^0.5)),"---")</f>
        <v>0.22150146372961901</v>
      </c>
      <c r="S90" s="376">
        <f>IF(Start!$C$18="x",IF(OR(J90="NA",J90= 0,J90=""),"NA",(0.0065*((Data!$D$49^0.969)/(Data!$D$51^0.673))*(32/J90)^0.5*EXP(0.526*Data!$D$48^-1.9))),"---")</f>
        <v>4.6686440139921497E-4</v>
      </c>
      <c r="T90" s="377">
        <f>IF(Start!$C$18="x",IF(OR(S90="NA",R90="NA",R90=0,Q90="NA",S90=0,Q90=0),"NA",(1/(1/S90+(1/(R90*Q90))))),"---")</f>
        <v>3.0386165801632751E-4</v>
      </c>
      <c r="U90" s="375" t="str">
        <f>IF(Start!$C$18="x",IF(OR(F90="NA",F90="",O90="",O90="NA"),"NA",(F90*$O90)),"---")</f>
        <v>NA</v>
      </c>
      <c r="V90" s="376" t="str">
        <f>IF(Start!$C$18="x",IF(OR(U90="NA",M90="NA",M90="",U90=""),"NA",U90/((Data!$D$18+((1-Data!$D$18)*Data!$D$14*M90))/((1-Data!$D$18)*Data!$D$14*1000))),"---")</f>
        <v>NA</v>
      </c>
      <c r="W90" s="376" t="str">
        <f>IF(Start!$C$18="x",IF(OR(G90="NA",U90="NA",G90="",U90=""),"NA",(U90 +($G90*(Data!$D$19-Data!$D$22)/(Data!$D$19*Data!$D$22)))),"---")</f>
        <v>NA</v>
      </c>
      <c r="X90" s="376" t="str">
        <f>IF(Start!$C$18="x",IF(OR(G90="NA",V90="NA",G90="",V90=""),"NA",(((Data!$D$22*Data!$D$18)*V90)+(Data!$D$19-Data!$D$22)*$G90)/((Data!$D$22*Data!$D$18)+Data!$D$19-Data!$D$22)),"---")</f>
        <v>NA</v>
      </c>
      <c r="Y90" s="376" t="str">
        <f>IF(Start!$C$18="x",IF(OR(W90="NA",W90="",M90="NA",M90=""),"NA",(W90/((Data!$D$23+((1-Data!$D$23)*Data!$D$14*M90)) /((1-Data!$D$23)*Data!$D$14*1000)))),"---")</f>
        <v>NA</v>
      </c>
      <c r="Z90" s="376" t="str">
        <f>IF(Start!$C$18="x",IF(OR(Y90="NA",X90="NA"),"NA",IF(Y90&gt;X90, Y90, X90)),"---")</f>
        <v>NA</v>
      </c>
      <c r="AA90" s="461" t="str">
        <f>IF(Start!$C$18="x",IF(OR(Z90="NA",T90="NA"),"NA",Z90*T90/(1000000000)),"---")</f>
        <v>NA</v>
      </c>
      <c r="AB90" s="1057" t="str">
        <f>IF(Start!$C$18="x",IF(AA90 = "NA", "NA", AA90*(Data!$D$52*Data!$D$53*10000)),"---")</f>
        <v>NA</v>
      </c>
      <c r="AC90" s="375" t="str">
        <f>IF(Start!$C$18="x",IF(AB90="NA", "NA", AB90*Data!$D$54),"---")</f>
        <v>NA</v>
      </c>
      <c r="AD90" s="498" t="str">
        <f>IF(Start!$C$18="x",IF(AC90="NA","NA",AC90*Data!$D$41),"---")</f>
        <v>NA</v>
      </c>
      <c r="AE90" s="376" t="str">
        <f>IF(Start!$C$18="x",IF(AB90 = "NA", "NA", AB90/(Data!$D$53*3*Data!$D$48)*1000),"---")</f>
        <v>NA</v>
      </c>
      <c r="AF90" s="498" t="str">
        <f>IF(Start!$C$18="x",IF(AE90="NA","NA",AE90*Data!$D$46),"---")</f>
        <v>NA</v>
      </c>
      <c r="AG90" s="375">
        <f>IF(Start!$C$18="x",IF(OR($L90="NA",L90=""),"NA",($L90*(Data!$D$55^3.33)/(Data!$D$18^2))),"---")</f>
        <v>1.5488483950891988E-3</v>
      </c>
      <c r="AH90" s="376" t="str">
        <f>IF(Start!$C$18="x",IF(OR(F90="NA",F90="",P90="NA",P90=""),"NA",IF(100/Data!$D$10&gt;Data!$D$13,(F90*$P90),(F90*$P90)*Data!$D$13)),"---")</f>
        <v>NA</v>
      </c>
      <c r="AI90" s="489">
        <f>IF(Start!$C$18="x",IF(OR($N90="NA",$Q90="NA",$Q90=0,Q90="",N90=""),"NA",(1000*$N90/$Q90)),"---")</f>
        <v>471098009.99999994</v>
      </c>
      <c r="AJ90" s="376">
        <f>IF(Start!$C$18="x",IF(OR(Q90 = "NA",Q90=0,N90 = "NA",N90="",Q90=""), "NA", IF($AG90="NA","NA",(3.1416*Data!$D$57*86400/($AG90*(Data!$D$55+(N90*Data!$D$19/(Q90*1000)))))^0.5)),"---")</f>
        <v>114.62704700001329</v>
      </c>
      <c r="AK90" s="376" t="str">
        <f>IF(Start!$C$18="x",IF(OR(AH90 = "NA",AI90="NA",AI90=0,AI90="",AH90=""), "NA", AH90/AI90),"---")</f>
        <v>NA</v>
      </c>
      <c r="AL90" s="376" t="str">
        <f>IF(Start!$C$18="x",IF(OR(AK90 ="NA",AK90="",AJ90= "NA",R90="NA",R90=0),"NA",(2*AK90)/(1000*(1/$R90+AJ90))),"---")</f>
        <v>NA</v>
      </c>
      <c r="AM90" s="376" t="str">
        <f>IF(Start!$C$18="x",IF(AL90 = "NA", "NA", AL90*(Data!$D$52*Data!$D$53*10000)),"---")</f>
        <v>NA</v>
      </c>
      <c r="AN90" s="376" t="str">
        <f>IF(Start!$C$18="x",IF(AM90 = "NA", "NA", AM90*(Data!$D$54)),"---")</f>
        <v>NA</v>
      </c>
      <c r="AO90" s="498" t="str">
        <f>IF(Start!$C$18="x",IF(AN90="NA","NA",AN90*Data!$D$41),"---")</f>
        <v>NA</v>
      </c>
      <c r="AP90" s="376">
        <f>IF(Start!$C$18="x",IF(OR(Q90=0,N90="NA",N90="",AG90="NA",AG90="",AG90=0,Q90="",Q90="NA"),"NA", (3.1416*Data!$D$56*86400/($AG90*(Data!$D$55+(N90*Data!$D$19/(Q90*1000)))))^0.5),"---")</f>
        <v>114.62704700001329</v>
      </c>
      <c r="AQ90" s="376" t="str">
        <f>IF(Start!$C$18="x",IF(OR(AH90="NA",AI90="NA",AI90="",AI90=0,AH90=""),"NA", AH90/AI90),"---")</f>
        <v>NA</v>
      </c>
      <c r="AR90" s="376" t="str">
        <f>IF(Start!$C$18="x",IF(OR(AQ90="NA",AP90="NA",$R90="NA",R90=0,R90=""),"NA",(2*AQ90)/(1000*(1/$R90+AP90))),"---")</f>
        <v>NA</v>
      </c>
      <c r="AS90" s="376" t="str">
        <f>IF(Start!$C$18="x",IF(AR90 = "NA", "NA", AR90*(Data!$D$52*Data!$D$53*10000)),"---")</f>
        <v>NA</v>
      </c>
      <c r="AT90" s="376" t="str">
        <f>IF(Start!$C$18="x",IF(AS90 = "NA", "NA", (AS90*1000)/(Data!$D$48*3*Data!$D$53)),"---")</f>
        <v>NA</v>
      </c>
      <c r="AU90" s="498" t="str">
        <f>IF(Start!$C$18="x",IF(AT90="NA","NA",AT90*Data!$D$47),"---")</f>
        <v>NA</v>
      </c>
      <c r="AV90" s="283" t="str">
        <f>IF(Start!$C$18="x",(IF(AND(F90="",G90= "",G90&lt;&gt;"NA"),"",IF(OR(AD90="NA",I90="NA",I90=0),"NA",(AD90/I90)))),"Not Req.")</f>
        <v/>
      </c>
      <c r="AW90" s="284" t="str">
        <f>IF(Start!$C$18="x",(IF(AND(F90="",G90= "",G90&lt;&gt;"NA"),"",IF(OR(AF90="NA",I90="NA",I90=0),"NA",(AF90/I90)))),"Not Req.")</f>
        <v/>
      </c>
      <c r="AX90" s="284" t="str">
        <f>IF(Start!$C$18="x",(IF(F90 ="","",IF(OR(AO90="NA",I90="NA",I90=0),"NA",(AO90/I90)))),"Not Req.")</f>
        <v/>
      </c>
      <c r="AY90" s="344" t="str">
        <f>IF(Start!$C$18="x",(IF(F90 ="","",IF(OR(AU90="NA",I90="NA",I90=0),"NA",(AU90/I90)))),"Not Req.")</f>
        <v/>
      </c>
      <c r="AZ90" s="208"/>
    </row>
    <row r="91" spans="1:52" s="183" customFormat="1" x14ac:dyDescent="0.25">
      <c r="A91" s="405" t="s">
        <v>409</v>
      </c>
      <c r="B91" s="347" t="str">
        <f>IF(Start!$C$18="x",IF(AND(OR(F91="",F91="NA"),OR(G91="",G91="NA")),"",IF(I91="NA","NA",IF(AND(I91="",K91="--"),"NA",IF(AD91="NA","Missing Data",IF(I91="","No Criteria",IF(AD91&gt;=I91,"Needed","No")))))),"---")</f>
        <v/>
      </c>
      <c r="C91" s="501" t="str">
        <f>IF(Start!$C$18="x",IF(AND(OR(F91="",F91="NA"),OR(G91="",G91="NA")),"",IF(I91="NA","NA",IF(AND(I91="",K91="--"),"NA",IF(AF91="NA","Missing Data",IF(I91="","No Criteria",IF(AF91&gt;=I91,"Needed","No")))))),"---")</f>
        <v/>
      </c>
      <c r="D91" s="347" t="str">
        <f>IF(Start!$C$18="x",IF(AND(OR(F91="",F91="NA"),OR(G91="",G91="NA")),"",IF(I91="NA","NA",IF(AND(I91="",K91="--"),"NA",IF(AO91="NA","Missing Data",IF(I91="","No Criteria",IF(AO91&gt;=I91,"Needed","No")))))),"---")</f>
        <v/>
      </c>
      <c r="E91" s="401" t="str">
        <f>IF(Start!$C$18="x",IF(AND(OR(F91="",F91="NA"),OR(G91="",G91="NA")),"",IF(I91="NA","NA",IF(AND(I91="",K91="--"),"NA",IF(AU91="NA","Missing Data",IF(I91="","No Criteria",IF(AU91&gt;=I91,"Needed","No")))))),"---")</f>
        <v/>
      </c>
      <c r="F91" s="431" t="str">
        <f>IF(TRUE=ISBLANK(ChemData!B91),"",(ChemData!B91))</f>
        <v/>
      </c>
      <c r="G91" s="432" t="str">
        <f>IF(TRUE=ISBLANK(ChemData!C91),"",(ChemData!C91))</f>
        <v/>
      </c>
      <c r="H91" s="433" t="str">
        <f>IF(TRUE=ISBLANK(ChemData!D91),"",(ChemData!D91))</f>
        <v/>
      </c>
      <c r="I91" s="919" t="str">
        <f>IF(TRUE=ISBLANK(ChemData!K91),"",(ChemData!K91))</f>
        <v>NA</v>
      </c>
      <c r="J91" s="290">
        <f>IF(TRUE=ISBLANK(ChemData!M91),"",(ChemData!M91))</f>
        <v>173</v>
      </c>
      <c r="K91" s="290">
        <f>IF(TRUE=ISBLANK(ChemData!N91),"",(ChemData!N91))</f>
        <v>2.8000000000000002E-7</v>
      </c>
      <c r="L91" s="290">
        <f>IF(TRUE=ISBLANK(ChemData!O91),"",(ChemData!O91))</f>
        <v>0.15547899861800335</v>
      </c>
      <c r="M91" s="290">
        <f>IF(TRUE=ISBLANK(ChemData!Q91),"",(ChemData!Q91))</f>
        <v>0.19833822339948104</v>
      </c>
      <c r="N91" s="290">
        <f>IF(TRUE=ISBLANK(ChemData!R91),"",(ChemData!R91))</f>
        <v>0.19833822339948104</v>
      </c>
      <c r="O91" s="290">
        <f>IF(TRUE=ISBLANK(ChemData!S91),"",(ChemData!S91))</f>
        <v>1</v>
      </c>
      <c r="P91" s="291">
        <f>IF(TRUE=ISBLANK(ChemData!T91),"",(ChemData!T91))</f>
        <v>1</v>
      </c>
      <c r="Q91" s="375">
        <f>IF(Start!$C$18="x",IF(OR(K91="NA",K91="",K91="--"),"NA",(K91*1000000/82.1/Data!$D$50)),"---")</f>
        <v>1.1001532356292485E-5</v>
      </c>
      <c r="R91" s="376">
        <f>IF(Start!$C$18="x",IF(OR(J91="NA",J91=0,J91=""),"NA",(0.32*(Data!$D$48+Data!$D$49)*(18/J91)^0.5)),"---")</f>
        <v>0.26579108663404055</v>
      </c>
      <c r="S91" s="376">
        <f>IF(Start!$C$18="x",IF(OR(J91="NA",J91= 0,J91=""),"NA",(0.0065*((Data!$D$49^0.969)/(Data!$D$51^0.673))*(32/J91)^0.5*EXP(0.526*Data!$D$48^-1.9))),"---")</f>
        <v>5.6021479257635824E-4</v>
      </c>
      <c r="T91" s="377">
        <f>IF(Start!$C$18="x",IF(OR(S91="NA",R91="NA",R91=0,Q91="NA",S91=0,Q91=0),"NA",(1/(1/S91+(1/(R91*Q91))))),"---")</f>
        <v>2.9089257479122279E-6</v>
      </c>
      <c r="U91" s="375" t="str">
        <f>IF(Start!$C$18="x",IF(OR(F91="NA",F91="",O91="",O91="NA"),"NA",(F91*$O91)),"---")</f>
        <v>NA</v>
      </c>
      <c r="V91" s="376" t="str">
        <f>IF(Start!$C$18="x",IF(OR(U91="NA",M91="NA",M91="",U91=""),"NA",U91/((Data!$D$18+((1-Data!$D$18)*Data!$D$14*M91))/((1-Data!$D$18)*Data!$D$14*1000))),"---")</f>
        <v>NA</v>
      </c>
      <c r="W91" s="376" t="str">
        <f>IF(Start!$C$18="x",IF(OR(G91="NA",U91="NA",G91="",U91=""),"NA",(U91 +($G91*(Data!$D$19-Data!$D$22)/(Data!$D$19*Data!$D$22)))),"---")</f>
        <v>NA</v>
      </c>
      <c r="X91" s="376" t="str">
        <f>IF(Start!$C$18="x",IF(OR(G91="NA",V91="NA",G91="",V91=""),"NA",(((Data!$D$22*Data!$D$18)*V91)+(Data!$D$19-Data!$D$22)*$G91)/((Data!$D$22*Data!$D$18)+Data!$D$19-Data!$D$22)),"---")</f>
        <v>NA</v>
      </c>
      <c r="Y91" s="376" t="str">
        <f>IF(Start!$C$18="x",IF(OR(W91="NA",W91="",M91="NA",M91=""),"NA",(W91/((Data!$D$23+((1-Data!$D$23)*Data!$D$14*M91)) /((1-Data!$D$23)*Data!$D$14*1000)))),"---")</f>
        <v>NA</v>
      </c>
      <c r="Z91" s="376" t="str">
        <f>IF(Start!$C$18="x",IF(OR(Y91="NA",X91="NA"),"NA",IF(Y91&gt;X91, Y91, X91)),"---")</f>
        <v>NA</v>
      </c>
      <c r="AA91" s="461" t="str">
        <f>IF(Start!$C$18="x",IF(OR(Z91="NA",T91="NA"),"NA",Z91*T91/(1000000000)),"---")</f>
        <v>NA</v>
      </c>
      <c r="AB91" s="1057" t="str">
        <f>IF(Start!$C$18="x",IF(AA91 = "NA", "NA", AA91*(Data!$D$52*Data!$D$53*10000)),"---")</f>
        <v>NA</v>
      </c>
      <c r="AC91" s="375" t="str">
        <f>IF(Start!$C$18="x",IF(AB91="NA", "NA", AB91*Data!$D$54),"---")</f>
        <v>NA</v>
      </c>
      <c r="AD91" s="498" t="str">
        <f>IF(Start!$C$18="x",IF(AC91="NA","NA",AC91*Data!$D$41),"---")</f>
        <v>NA</v>
      </c>
      <c r="AE91" s="376" t="str">
        <f>IF(Start!$C$18="x",IF(AB91 = "NA", "NA", AB91/(Data!$D$53*3*Data!$D$48)*1000),"---")</f>
        <v>NA</v>
      </c>
      <c r="AF91" s="498" t="str">
        <f>IF(Start!$C$18="x",IF(AE91="NA","NA",AE91*Data!$D$46),"---")</f>
        <v>NA</v>
      </c>
      <c r="AG91" s="375">
        <f>IF(Start!$C$18="x",IF(OR($L91="NA",L91=""),"NA",($L91*(Data!$D$55^3.33)/(Data!$D$18^2))),"---")</f>
        <v>1.5839413136598029E-3</v>
      </c>
      <c r="AH91" s="376" t="str">
        <f>IF(Start!$C$18="x",IF(OR(F91="NA",F91="",P91="NA",P91=""),"NA",IF(100/Data!$D$10&gt;Data!$D$13,(F91*$P91),(F91*$P91)*Data!$D$13)),"---")</f>
        <v>NA</v>
      </c>
      <c r="AI91" s="489">
        <f>IF(Start!$C$18="x",IF(OR($N91="NA",$Q91="NA",$Q91=0,Q91="",N91=""),"NA",(1000*$N91/$Q91)),"---")</f>
        <v>18028236.156214971</v>
      </c>
      <c r="AJ91" s="376">
        <f>IF(Start!$C$18="x",IF(OR(Q91 = "NA",Q91=0,N91 = "NA",N91="",Q91=""), "NA", IF($AG91="NA","NA",(3.1416*Data!$D$57*86400/($AG91*(Data!$D$55+(N91*Data!$D$19/(Q91*1000)))))^0.5)),"---")</f>
        <v>579.42643378633295</v>
      </c>
      <c r="AK91" s="376" t="str">
        <f>IF(Start!$C$18="x",IF(OR(AH91 = "NA",AI91="NA",AI91=0,AI91="",AH91=""), "NA", AH91/AI91),"---")</f>
        <v>NA</v>
      </c>
      <c r="AL91" s="376" t="str">
        <f>IF(Start!$C$18="x",IF(OR(AK91 ="NA",AK91="",AJ91= "NA",R91="NA",R91=0),"NA",(2*AK91)/(1000*(1/$R91+AJ91))),"---")</f>
        <v>NA</v>
      </c>
      <c r="AM91" s="376" t="str">
        <f>IF(Start!$C$18="x",IF(AL91 = "NA", "NA", AL91*(Data!$D$52*Data!$D$53*10000)),"---")</f>
        <v>NA</v>
      </c>
      <c r="AN91" s="376" t="str">
        <f>IF(Start!$C$18="x",IF(AM91 = "NA", "NA", AM91*(Data!$D$54)),"---")</f>
        <v>NA</v>
      </c>
      <c r="AO91" s="498" t="str">
        <f>IF(Start!$C$18="x",IF(AN91="NA","NA",AN91*Data!$D$41),"---")</f>
        <v>NA</v>
      </c>
      <c r="AP91" s="376">
        <f>IF(Start!$C$18="x",IF(OR(Q91=0,N91="NA",N91="",AG91="NA",AG91="",AG91=0,Q91="",Q91="NA"),"NA", (3.1416*Data!$D$56*86400/($AG91*(Data!$D$55+(N91*Data!$D$19/(Q91*1000)))))^0.5),"---")</f>
        <v>579.42643378633295</v>
      </c>
      <c r="AQ91" s="376" t="str">
        <f>IF(Start!$C$18="x",IF(OR(AH91="NA",AI91="NA",AI91="",AI91=0,AH91=""),"NA", AH91/AI91),"---")</f>
        <v>NA</v>
      </c>
      <c r="AR91" s="376" t="str">
        <f>IF(Start!$C$18="x",IF(OR(AQ91="NA",AP91="NA",$R91="NA",R91=0,R91=""),"NA",(2*AQ91)/(1000*(1/$R91+AP91))),"---")</f>
        <v>NA</v>
      </c>
      <c r="AS91" s="376" t="str">
        <f>IF(Start!$C$18="x",IF(AR91 = "NA", "NA", AR91*(Data!$D$52*Data!$D$53*10000)),"---")</f>
        <v>NA</v>
      </c>
      <c r="AT91" s="376" t="str">
        <f>IF(Start!$C$18="x",IF(AS91 = "NA", "NA", (AS91*1000)/(Data!$D$48*3*Data!$D$53)),"---")</f>
        <v>NA</v>
      </c>
      <c r="AU91" s="498" t="str">
        <f>IF(Start!$C$18="x",IF(AT91="NA","NA",AT91*Data!$D$47),"---")</f>
        <v>NA</v>
      </c>
      <c r="AV91" s="283" t="str">
        <f>IF(Start!$C$18="x",(IF(AND(F91="",G91= "",G91&lt;&gt;"NA"),"",IF(OR(AD91="NA",I91="NA",I91=0),"NA",(AD91/I91)))),"Not Req.")</f>
        <v/>
      </c>
      <c r="AW91" s="284" t="str">
        <f>IF(Start!$C$18="x",(IF(AND(F91="",G91= "",G91&lt;&gt;"NA"),"",IF(OR(AF91="NA",I91="NA",I91=0),"NA",(AF91/I91)))),"Not Req.")</f>
        <v/>
      </c>
      <c r="AX91" s="284" t="str">
        <f>IF(Start!$C$18="x",(IF(F91 ="","",IF(OR(AO91="NA",I91="NA",I91=0),"NA",(AO91/I91)))),"Not Req.")</f>
        <v/>
      </c>
      <c r="AY91" s="344" t="str">
        <f>IF(Start!$C$18="x",(IF(F91 ="","",IF(OR(AU91="NA",I91="NA",I91=0),"NA",(AU91/I91)))),"Not Req.")</f>
        <v/>
      </c>
      <c r="AZ91" s="208"/>
    </row>
    <row r="92" spans="1:52" s="183" customFormat="1" x14ac:dyDescent="0.25">
      <c r="A92" s="405" t="s">
        <v>410</v>
      </c>
      <c r="B92" s="347" t="str">
        <f>IF(Start!$C$18="x",IF(AND(OR(F92="",F92="NA"),OR(G92="",G92="NA")),"",IF(I92="NA","NA",IF(AND(I92="",K92="--"),"NA",IF(AD92="NA","Missing Data",IF(I92="","No Criteria",IF(AD92&gt;=I92,"Needed","No")))))),"---")</f>
        <v/>
      </c>
      <c r="C92" s="501" t="str">
        <f>IF(Start!$C$18="x",IF(AND(OR(F92="",F92="NA"),OR(G92="",G92="NA")),"",IF(I92="NA","NA",IF(AND(I92="",K92="--"),"NA",IF(AF92="NA","Missing Data",IF(I92="","No Criteria",IF(AF92&gt;=I92,"Needed","No")))))),"---")</f>
        <v/>
      </c>
      <c r="D92" s="347" t="str">
        <f>IF(Start!$C$18="x",IF(AND(OR(F92="",F92="NA"),OR(G92="",G92="NA")),"",IF(I92="NA","NA",IF(AND(I92="",K92="--"),"NA",IF(AO92="NA","Missing Data",IF(I92="","No Criteria",IF(AO92&gt;=I92,"Needed","No")))))),"---")</f>
        <v/>
      </c>
      <c r="E92" s="401" t="str">
        <f>IF(Start!$C$18="x",IF(AND(OR(F92="",F92="NA"),OR(G92="",G92="NA")),"",IF(I92="NA","NA",IF(AND(I92="",K92="--"),"NA",IF(AU92="NA","Missing Data",IF(I92="","No Criteria",IF(AU92&gt;=I92,"Needed","No")))))),"---")</f>
        <v/>
      </c>
      <c r="F92" s="431" t="str">
        <f>IF(TRUE=ISBLANK(ChemData!B92),"",(ChemData!B92))</f>
        <v/>
      </c>
      <c r="G92" s="432" t="str">
        <f>IF(TRUE=ISBLANK(ChemData!C92),"",(ChemData!C92))</f>
        <v/>
      </c>
      <c r="H92" s="433" t="str">
        <f>IF(TRUE=ISBLANK(ChemData!D92),"",(ChemData!D92))</f>
        <v/>
      </c>
      <c r="I92" s="919" t="str">
        <f>IF(TRUE=ISBLANK(ChemData!K92),"",(ChemData!K92))</f>
        <v>NA</v>
      </c>
      <c r="J92" s="290">
        <f>IF(TRUE=ISBLANK(ChemData!M92),"",(ChemData!M92))</f>
        <v>143</v>
      </c>
      <c r="K92" s="290">
        <f>IF(TRUE=ISBLANK(ChemData!N92),"",(ChemData!N92))</f>
        <v>1.31E-5</v>
      </c>
      <c r="L92" s="290">
        <f>IF(TRUE=ISBLANK(ChemData!O92),"",(ChemData!O92))</f>
        <v>6.9199999999999998E-2</v>
      </c>
      <c r="M92" s="290">
        <f>IF(TRUE=ISBLANK(ChemData!Q92),"",(ChemData!Q92))</f>
        <v>0.30019704902113792</v>
      </c>
      <c r="N92" s="290">
        <f>IF(TRUE=ISBLANK(ChemData!R92),"",(ChemData!R92))</f>
        <v>0.30019704902113792</v>
      </c>
      <c r="O92" s="290">
        <f>IF(TRUE=ISBLANK(ChemData!S92),"",(ChemData!S92))</f>
        <v>1</v>
      </c>
      <c r="P92" s="291">
        <f>IF(TRUE=ISBLANK(ChemData!T92),"",(ChemData!T92))</f>
        <v>1</v>
      </c>
      <c r="Q92" s="375">
        <f>IF(Start!$C$18="x",IF(OR(K92="NA",K92="",K92="--"),"NA",(K92*1000000/82.1/Data!$D$50)),"---")</f>
        <v>5.1471454952654123E-4</v>
      </c>
      <c r="R92" s="376">
        <f>IF(Start!$C$18="x",IF(OR(J92="NA",J92=0,J92=""),"NA",(0.32*(Data!$D$48+Data!$D$49)*(18/J92)^0.5)),"---")</f>
        <v>0.29234484857700249</v>
      </c>
      <c r="S92" s="376">
        <f>IF(Start!$C$18="x",IF(OR(J92="NA",J92= 0,J92=""),"NA",(0.0065*((Data!$D$49^0.969)/(Data!$D$51^0.673))*(32/J92)^0.5*EXP(0.526*Data!$D$48^-1.9))),"---")</f>
        <v>6.161828478914728E-4</v>
      </c>
      <c r="T92" s="377">
        <f>IF(Start!$C$18="x",IF(OR(S92="NA",R92="NA",R92=0,Q92="NA",S92=0,Q92=0),"NA",(1/(1/S92+(1/(R92*Q92))))),"---")</f>
        <v>1.2094011933757329E-4</v>
      </c>
      <c r="U92" s="375" t="str">
        <f>IF(Start!$C$18="x",IF(OR(F92="NA",F92="",O92="",O92="NA"),"NA",(F92*$O92)),"---")</f>
        <v>NA</v>
      </c>
      <c r="V92" s="376" t="str">
        <f>IF(Start!$C$18="x",IF(OR(U92="NA",M92="NA",M92="",U92=""),"NA",U92/((Data!$D$18+((1-Data!$D$18)*Data!$D$14*M92))/((1-Data!$D$18)*Data!$D$14*1000))),"---")</f>
        <v>NA</v>
      </c>
      <c r="W92" s="376" t="str">
        <f>IF(Start!$C$18="x",IF(OR(G92="NA",U92="NA",G92="",U92=""),"NA",(U92 +($G92*(Data!$D$19-Data!$D$22)/(Data!$D$19*Data!$D$22)))),"---")</f>
        <v>NA</v>
      </c>
      <c r="X92" s="376" t="str">
        <f>IF(Start!$C$18="x",IF(OR(G92="NA",V92="NA",G92="",V92=""),"NA",(((Data!$D$22*Data!$D$18)*V92)+(Data!$D$19-Data!$D$22)*$G92)/((Data!$D$22*Data!$D$18)+Data!$D$19-Data!$D$22)),"---")</f>
        <v>NA</v>
      </c>
      <c r="Y92" s="376" t="str">
        <f>IF(Start!$C$18="x",IF(OR(W92="NA",W92="",M92="NA",M92=""),"NA",(W92/((Data!$D$23+((1-Data!$D$23)*Data!$D$14*M92)) /((1-Data!$D$23)*Data!$D$14*1000)))),"---")</f>
        <v>NA</v>
      </c>
      <c r="Z92" s="376" t="str">
        <f>IF(Start!$C$18="x",IF(OR(Y92="NA",X92="NA"),"NA",IF(Y92&gt;X92, Y92, X92)),"---")</f>
        <v>NA</v>
      </c>
      <c r="AA92" s="461" t="str">
        <f>IF(Start!$C$18="x",IF(OR(Z92="NA",T92="NA"),"NA",Z92*T92/(1000000000)),"---")</f>
        <v>NA</v>
      </c>
      <c r="AB92" s="1057" t="str">
        <f>IF(Start!$C$18="x",IF(AA92 = "NA", "NA", AA92*(Data!$D$52*Data!$D$53*10000)),"---")</f>
        <v>NA</v>
      </c>
      <c r="AC92" s="375" t="str">
        <f>IF(Start!$C$18="x",IF(AB92="NA", "NA", AB92*Data!$D$54),"---")</f>
        <v>NA</v>
      </c>
      <c r="AD92" s="498" t="str">
        <f>IF(Start!$C$18="x",IF(AC92="NA","NA",AC92*Data!$D$41),"---")</f>
        <v>NA</v>
      </c>
      <c r="AE92" s="376" t="str">
        <f>IF(Start!$C$18="x",IF(AB92 = "NA", "NA", AB92/(Data!$D$53*3*Data!$D$48)*1000),"---")</f>
        <v>NA</v>
      </c>
      <c r="AF92" s="498" t="str">
        <f>IF(Start!$C$18="x",IF(AE92="NA","NA",AE92*Data!$D$46),"---")</f>
        <v>NA</v>
      </c>
      <c r="AG92" s="375">
        <f>IF(Start!$C$18="x",IF(OR($L92="NA",L92=""),"NA",($L92*(Data!$D$55^3.33)/(Data!$D$18^2))),"---")</f>
        <v>7.0497456170628091E-4</v>
      </c>
      <c r="AH92" s="376" t="str">
        <f>IF(Start!$C$18="x",IF(OR(F92="NA",F92="",P92="NA",P92=""),"NA",IF(100/Data!$D$10&gt;Data!$D$13,(F92*$P92),(F92*$P92)*Data!$D$13)),"---")</f>
        <v>NA</v>
      </c>
      <c r="AI92" s="489">
        <f>IF(Start!$C$18="x",IF(OR($N92="NA",$Q92="NA",$Q92=0,Q92="",N92=""),"NA",(1000*$N92/$Q92)),"---")</f>
        <v>583230.15989595267</v>
      </c>
      <c r="AJ92" s="376">
        <f>IF(Start!$C$18="x",IF(OR(Q92 = "NA",Q92=0,N92 = "NA",N92="",Q92=""), "NA", IF($AG92="NA","NA",(3.1416*Data!$D$57*86400/($AG92*(Data!$D$55+(N92*Data!$D$19/(Q92*1000)))))^0.5)),"---")</f>
        <v>4827.8407922284314</v>
      </c>
      <c r="AK92" s="376" t="str">
        <f>IF(Start!$C$18="x",IF(OR(AH92 = "NA",AI92="NA",AI92=0,AI92="",AH92=""), "NA", AH92/AI92),"---")</f>
        <v>NA</v>
      </c>
      <c r="AL92" s="376" t="str">
        <f>IF(Start!$C$18="x",IF(OR(AK92 ="NA",AK92="",AJ92= "NA",R92="NA",R92=0),"NA",(2*AK92)/(1000*(1/$R92+AJ92))),"---")</f>
        <v>NA</v>
      </c>
      <c r="AM92" s="376" t="str">
        <f>IF(Start!$C$18="x",IF(AL92 = "NA", "NA", AL92*(Data!$D$52*Data!$D$53*10000)),"---")</f>
        <v>NA</v>
      </c>
      <c r="AN92" s="376" t="str">
        <f>IF(Start!$C$18="x",IF(AM92 = "NA", "NA", AM92*(Data!$D$54)),"---")</f>
        <v>NA</v>
      </c>
      <c r="AO92" s="498" t="str">
        <f>IF(Start!$C$18="x",IF(AN92="NA","NA",AN92*Data!$D$41),"---")</f>
        <v>NA</v>
      </c>
      <c r="AP92" s="376">
        <f>IF(Start!$C$18="x",IF(OR(Q92=0,N92="NA",N92="",AG92="NA",AG92="",AG92=0,Q92="",Q92="NA"),"NA", (3.1416*Data!$D$56*86400/($AG92*(Data!$D$55+(N92*Data!$D$19/(Q92*1000)))))^0.5),"---")</f>
        <v>4827.8407922284314</v>
      </c>
      <c r="AQ92" s="376" t="str">
        <f>IF(Start!$C$18="x",IF(OR(AH92="NA",AI92="NA",AI92="",AI92=0,AH92=""),"NA", AH92/AI92),"---")</f>
        <v>NA</v>
      </c>
      <c r="AR92" s="376" t="str">
        <f>IF(Start!$C$18="x",IF(OR(AQ92="NA",AP92="NA",$R92="NA",R92=0,R92=""),"NA",(2*AQ92)/(1000*(1/$R92+AP92))),"---")</f>
        <v>NA</v>
      </c>
      <c r="AS92" s="376" t="str">
        <f>IF(Start!$C$18="x",IF(AR92 = "NA", "NA", AR92*(Data!$D$52*Data!$D$53*10000)),"---")</f>
        <v>NA</v>
      </c>
      <c r="AT92" s="376" t="str">
        <f>IF(Start!$C$18="x",IF(AS92 = "NA", "NA", (AS92*1000)/(Data!$D$48*3*Data!$D$53)),"---")</f>
        <v>NA</v>
      </c>
      <c r="AU92" s="498" t="str">
        <f>IF(Start!$C$18="x",IF(AT92="NA","NA",AT92*Data!$D$47),"---")</f>
        <v>NA</v>
      </c>
      <c r="AV92" s="283" t="str">
        <f>IF(Start!$C$18="x",(IF(AND(F92="",G92= "",G92&lt;&gt;"NA"),"",IF(OR(AD92="NA",I92="NA",I92=0),"NA",(AD92/I92)))),"Not Req.")</f>
        <v/>
      </c>
      <c r="AW92" s="284" t="str">
        <f>IF(Start!$C$18="x",(IF(AND(F92="",G92= "",G92&lt;&gt;"NA"),"",IF(OR(AF92="NA",I92="NA",I92=0),"NA",(AF92/I92)))),"Not Req.")</f>
        <v/>
      </c>
      <c r="AX92" s="284" t="str">
        <f>IF(Start!$C$18="x",(IF(F92 ="","",IF(OR(AO92="NA",I92="NA",I92=0),"NA",(AO92/I92)))),"Not Req.")</f>
        <v/>
      </c>
      <c r="AY92" s="344" t="str">
        <f>IF(Start!$C$18="x",(IF(F92 ="","",IF(OR(AU92="NA",I92="NA",I92=0),"NA",(AU92/I92)))),"Not Req.")</f>
        <v/>
      </c>
      <c r="AZ92" s="208"/>
    </row>
    <row r="93" spans="1:52" s="183" customFormat="1" x14ac:dyDescent="0.25">
      <c r="A93" s="405" t="s">
        <v>411</v>
      </c>
      <c r="B93" s="347" t="str">
        <f>IF(Start!$C$18="x",IF(AND(OR(F93="",F93="NA"),OR(G93="",G93="NA")),"",IF(I93="NA","NA",IF(AND(I93="",K93="--"),"NA",IF(AD93="NA","Missing Data",IF(I93="","No Criteria",IF(AD93&gt;=I93,"Needed","No")))))),"---")</f>
        <v/>
      </c>
      <c r="C93" s="501" t="str">
        <f>IF(Start!$C$18="x",IF(AND(OR(F93="",F93="NA"),OR(G93="",G93="NA")),"",IF(I93="NA","NA",IF(AND(I93="",K93="--"),"NA",IF(AF93="NA","Missing Data",IF(I93="","No Criteria",IF(AF93&gt;=I93,"Needed","No")))))),"---")</f>
        <v/>
      </c>
      <c r="D93" s="347" t="str">
        <f>IF(Start!$C$18="x",IF(AND(OR(F93="",F93="NA"),OR(G93="",G93="NA")),"",IF(I93="NA","NA",IF(AND(I93="",K93="--"),"NA",IF(AO93="NA","Missing Data",IF(I93="","No Criteria",IF(AO93&gt;=I93,"Needed","No")))))),"---")</f>
        <v/>
      </c>
      <c r="E93" s="401" t="str">
        <f>IF(Start!$C$18="x",IF(AND(OR(F93="",F93="NA"),OR(G93="",G93="NA")),"",IF(I93="NA","NA",IF(AND(I93="",K93="--"),"NA",IF(AU93="NA","Missing Data",IF(I93="","No Criteria",IF(AU93&gt;=I93,"Needed","No")))))),"---")</f>
        <v/>
      </c>
      <c r="F93" s="431" t="str">
        <f>IF(TRUE=ISBLANK(ChemData!B93),"",(ChemData!B93))</f>
        <v/>
      </c>
      <c r="G93" s="432" t="str">
        <f>IF(TRUE=ISBLANK(ChemData!C93),"",(ChemData!C93))</f>
        <v/>
      </c>
      <c r="H93" s="433" t="str">
        <f>IF(TRUE=ISBLANK(ChemData!D93),"",(ChemData!D93))</f>
        <v/>
      </c>
      <c r="I93" s="919" t="str">
        <f>IF(TRUE=ISBLANK(ChemData!K93),"",(ChemData!K93))</f>
        <v>NA</v>
      </c>
      <c r="J93" s="290">
        <f>IF(TRUE=ISBLANK(ChemData!M93),"",(ChemData!M93))</f>
        <v>171.07</v>
      </c>
      <c r="K93" s="290">
        <f>IF(TRUE=ISBLANK(ChemData!N93),"",(ChemData!N93))</f>
        <v>1.1E-4</v>
      </c>
      <c r="L93" s="290">
        <f>IF(TRUE=ISBLANK(ChemData!O93),"",(ChemData!O93))</f>
        <v>6.3079999999999997E-2</v>
      </c>
      <c r="M93" s="290">
        <f>IF(TRUE=ISBLANK(ChemData!Q93),"",(ChemData!Q93))</f>
        <v>7.0373057258935958</v>
      </c>
      <c r="N93" s="290">
        <f>IF(TRUE=ISBLANK(ChemData!R93),"",(ChemData!R93))</f>
        <v>7.0373057258935958</v>
      </c>
      <c r="O93" s="290">
        <f>IF(TRUE=ISBLANK(ChemData!S93),"",(ChemData!S93))</f>
        <v>1</v>
      </c>
      <c r="P93" s="291">
        <f>IF(TRUE=ISBLANK(ChemData!T93),"",(ChemData!T93))</f>
        <v>1</v>
      </c>
      <c r="Q93" s="375">
        <f>IF(Start!$C$18="x",IF(OR(K93="NA",K93="",K93="--"),"NA",(K93*1000000/82.1/Data!$D$50)),"---")</f>
        <v>4.3220305685434755E-3</v>
      </c>
      <c r="R93" s="376">
        <f>IF(Start!$C$18="x",IF(OR(J93="NA",J93=0,J93=""),"NA",(0.32*(Data!$D$48+Data!$D$49)*(18/J93)^0.5)),"---")</f>
        <v>0.26728619991935459</v>
      </c>
      <c r="S93" s="376">
        <f>IF(Start!$C$18="x",IF(OR(J93="NA",J93= 0,J93=""),"NA",(0.0065*((Data!$D$49^0.969)/(Data!$D$51^0.673))*(32/J93)^0.5*EXP(0.526*Data!$D$48^-1.9))),"---")</f>
        <v>5.6336608176975236E-4</v>
      </c>
      <c r="T93" s="377">
        <f>IF(Start!$C$18="x",IF(OR(S93="NA",R93="NA",R93=0,Q93="NA",S93=0,Q93=0),"NA",(1/(1/S93+(1/(R93*Q93))))),"---")</f>
        <v>3.7869013987133722E-4</v>
      </c>
      <c r="U93" s="375" t="str">
        <f>IF(Start!$C$18="x",IF(OR(F93="NA",F93="",O93="",O93="NA"),"NA",(F93*$O93)),"---")</f>
        <v>NA</v>
      </c>
      <c r="V93" s="376" t="str">
        <f>IF(Start!$C$18="x",IF(OR(U93="NA",M93="NA",M93="",U93=""),"NA",U93/((Data!$D$18+((1-Data!$D$18)*Data!$D$14*M93))/((1-Data!$D$18)*Data!$D$14*1000))),"---")</f>
        <v>NA</v>
      </c>
      <c r="W93" s="376" t="str">
        <f>IF(Start!$C$18="x",IF(OR(G93="NA",U93="NA",G93="",U93=""),"NA",(U93 +($G93*(Data!$D$19-Data!$D$22)/(Data!$D$19*Data!$D$22)))),"---")</f>
        <v>NA</v>
      </c>
      <c r="X93" s="376" t="str">
        <f>IF(Start!$C$18="x",IF(OR(G93="NA",V93="NA",G93="",V93=""),"NA",(((Data!$D$22*Data!$D$18)*V93)+(Data!$D$19-Data!$D$22)*$G93)/((Data!$D$22*Data!$D$18)+Data!$D$19-Data!$D$22)),"---")</f>
        <v>NA</v>
      </c>
      <c r="Y93" s="376" t="str">
        <f>IF(Start!$C$18="x",IF(OR(W93="NA",W93="",M93="NA",M93=""),"NA",(W93/((Data!$D$23+((1-Data!$D$23)*Data!$D$14*M93)) /((1-Data!$D$23)*Data!$D$14*1000)))),"---")</f>
        <v>NA</v>
      </c>
      <c r="Z93" s="376" t="str">
        <f>IF(Start!$C$18="x",IF(OR(Y93="NA",X93="NA"),"NA",IF(Y93&gt;X93, Y93, X93)),"---")</f>
        <v>NA</v>
      </c>
      <c r="AA93" s="461" t="str">
        <f>IF(Start!$C$18="x",IF(OR(Z93="NA",T93="NA"),"NA",Z93*T93/(1000000000)),"---")</f>
        <v>NA</v>
      </c>
      <c r="AB93" s="1057" t="str">
        <f>IF(Start!$C$18="x",IF(AA93 = "NA", "NA", AA93*(Data!$D$52*Data!$D$53*10000)),"---")</f>
        <v>NA</v>
      </c>
      <c r="AC93" s="375" t="str">
        <f>IF(Start!$C$18="x",IF(AB93="NA", "NA", AB93*Data!$D$54),"---")</f>
        <v>NA</v>
      </c>
      <c r="AD93" s="498" t="str">
        <f>IF(Start!$C$18="x",IF(AC93="NA","NA",AC93*Data!$D$41),"---")</f>
        <v>NA</v>
      </c>
      <c r="AE93" s="376" t="str">
        <f>IF(Start!$C$18="x",IF(AB93 = "NA", "NA", AB93/(Data!$D$53*3*Data!$D$48)*1000),"---")</f>
        <v>NA</v>
      </c>
      <c r="AF93" s="498" t="str">
        <f>IF(Start!$C$18="x",IF(AE93="NA","NA",AE93*Data!$D$46),"---")</f>
        <v>NA</v>
      </c>
      <c r="AG93" s="375">
        <f>IF(Start!$C$18="x",IF(OR($L93="NA",L93=""),"NA",($L93*(Data!$D$55^3.33)/(Data!$D$18^2))),"---")</f>
        <v>6.4262710046867331E-4</v>
      </c>
      <c r="AH93" s="376" t="str">
        <f>IF(Start!$C$18="x",IF(OR(F93="NA",F93="",P93="NA",P93=""),"NA",IF(100/Data!$D$10&gt;Data!$D$13,(F93*$P93),(F93*$P93)*Data!$D$13)),"---")</f>
        <v>NA</v>
      </c>
      <c r="AI93" s="489">
        <f>IF(Start!$C$18="x",IF(OR($N93="NA",$Q93="NA",$Q93=0,Q93="",N93=""),"NA",(1000*$N93/$Q93)),"---")</f>
        <v>1628240.6184519811</v>
      </c>
      <c r="AJ93" s="376">
        <f>IF(Start!$C$18="x",IF(OR(Q93 = "NA",Q93=0,N93 = "NA",N93="",Q93=""), "NA", IF($AG93="NA","NA",(3.1416*Data!$D$57*86400/($AG93*(Data!$D$55+(N93*Data!$D$19/(Q93*1000)))))^0.5)),"---")</f>
        <v>3026.7537651638299</v>
      </c>
      <c r="AK93" s="376" t="str">
        <f>IF(Start!$C$18="x",IF(OR(AH93 = "NA",AI93="NA",AI93=0,AI93="",AH93=""), "NA", AH93/AI93),"---")</f>
        <v>NA</v>
      </c>
      <c r="AL93" s="376" t="str">
        <f>IF(Start!$C$18="x",IF(OR(AK93 ="NA",AK93="",AJ93= "NA",R93="NA",R93=0),"NA",(2*AK93)/(1000*(1/$R93+AJ93))),"---")</f>
        <v>NA</v>
      </c>
      <c r="AM93" s="376" t="str">
        <f>IF(Start!$C$18="x",IF(AL93 = "NA", "NA", AL93*(Data!$D$52*Data!$D$53*10000)),"---")</f>
        <v>NA</v>
      </c>
      <c r="AN93" s="376" t="str">
        <f>IF(Start!$C$18="x",IF(AM93 = "NA", "NA", AM93*(Data!$D$54)),"---")</f>
        <v>NA</v>
      </c>
      <c r="AO93" s="498" t="str">
        <f>IF(Start!$C$18="x",IF(AN93="NA","NA",AN93*Data!$D$41),"---")</f>
        <v>NA</v>
      </c>
      <c r="AP93" s="376">
        <f>IF(Start!$C$18="x",IF(OR(Q93=0,N93="NA",N93="",AG93="NA",AG93="",AG93=0,Q93="",Q93="NA"),"NA", (3.1416*Data!$D$56*86400/($AG93*(Data!$D$55+(N93*Data!$D$19/(Q93*1000)))))^0.5),"---")</f>
        <v>3026.7537651638299</v>
      </c>
      <c r="AQ93" s="376" t="str">
        <f>IF(Start!$C$18="x",IF(OR(AH93="NA",AI93="NA",AI93="",AI93=0,AH93=""),"NA", AH93/AI93),"---")</f>
        <v>NA</v>
      </c>
      <c r="AR93" s="376" t="str">
        <f>IF(Start!$C$18="x",IF(OR(AQ93="NA",AP93="NA",$R93="NA",R93=0,R93=""),"NA",(2*AQ93)/(1000*(1/$R93+AP93))),"---")</f>
        <v>NA</v>
      </c>
      <c r="AS93" s="376" t="str">
        <f>IF(Start!$C$18="x",IF(AR93 = "NA", "NA", AR93*(Data!$D$52*Data!$D$53*10000)),"---")</f>
        <v>NA</v>
      </c>
      <c r="AT93" s="376" t="str">
        <f>IF(Start!$C$18="x",IF(AS93 = "NA", "NA", (AS93*1000)/(Data!$D$48*3*Data!$D$53)),"---")</f>
        <v>NA</v>
      </c>
      <c r="AU93" s="498" t="str">
        <f>IF(Start!$C$18="x",IF(AT93="NA","NA",AT93*Data!$D$47),"---")</f>
        <v>NA</v>
      </c>
      <c r="AV93" s="283" t="str">
        <f>IF(Start!$C$18="x",(IF(AND(F93="",G93= "",G93&lt;&gt;"NA"),"",IF(OR(AD93="NA",I93="NA",I93=0),"NA",(AD93/I93)))),"Not Req.")</f>
        <v/>
      </c>
      <c r="AW93" s="284" t="str">
        <f>IF(Start!$C$18="x",(IF(AND(F93="",G93= "",G93&lt;&gt;"NA"),"",IF(OR(AF93="NA",I93="NA",I93=0),"NA",(AF93/I93)))),"Not Req.")</f>
        <v/>
      </c>
      <c r="AX93" s="284" t="str">
        <f>IF(Start!$C$18="x",(IF(F93 ="","",IF(OR(AO93="NA",I93="NA",I93=0),"NA",(AO93/I93)))),"Not Req.")</f>
        <v/>
      </c>
      <c r="AY93" s="344" t="str">
        <f>IF(Start!$C$18="x",(IF(F93 ="","",IF(OR(AU93="NA",I93="NA",I93=0),"NA",(AU93/I93)))),"Not Req.")</f>
        <v/>
      </c>
      <c r="AZ93" s="208"/>
    </row>
    <row r="94" spans="1:52" s="183" customFormat="1" x14ac:dyDescent="0.25">
      <c r="A94" s="405" t="s">
        <v>412</v>
      </c>
      <c r="B94" s="347" t="str">
        <f>IF(Start!$C$18="x",IF(AND(OR(F94="",F94="NA"),OR(G94="",G94="NA")),"",IF(I94="NA","NA",IF(AND(I94="",K94="--"),"NA",IF(AD94="NA","Missing Data",IF(I94="","No Criteria",IF(AD94&gt;=I94,"Needed","No")))))),"---")</f>
        <v/>
      </c>
      <c r="C94" s="501" t="str">
        <f>IF(Start!$C$18="x",IF(AND(OR(F94="",F94="NA"),OR(G94="",G94="NA")),"",IF(I94="NA","NA",IF(AND(I94="",K94="--"),"NA",IF(AF94="NA","Missing Data",IF(I94="","No Criteria",IF(AF94&gt;=I94,"Needed","No")))))),"---")</f>
        <v/>
      </c>
      <c r="D94" s="347" t="str">
        <f>IF(Start!$C$18="x",IF(AND(OR(F94="",F94="NA"),OR(G94="",G94="NA")),"",IF(I94="NA","NA",IF(AND(I94="",K94="--"),"NA",IF(AO94="NA","Missing Data",IF(I94="","No Criteria",IF(AO94&gt;=I94,"Needed","No")))))),"---")</f>
        <v/>
      </c>
      <c r="E94" s="401" t="str">
        <f>IF(Start!$C$18="x",IF(AND(OR(F94="",F94="NA"),OR(G94="",G94="NA")),"",IF(I94="NA","NA",IF(AND(I94="",K94="--"),"NA",IF(AU94="NA","Missing Data",IF(I94="","No Criteria",IF(AU94&gt;=I94,"Needed","No")))))),"---")</f>
        <v/>
      </c>
      <c r="F94" s="431" t="str">
        <f>IF(TRUE=ISBLANK(ChemData!B94),"",(ChemData!B94))</f>
        <v/>
      </c>
      <c r="G94" s="432" t="str">
        <f>IF(TRUE=ISBLANK(ChemData!C94),"",(ChemData!C94))</f>
        <v/>
      </c>
      <c r="H94" s="433" t="str">
        <f>IF(TRUE=ISBLANK(ChemData!D94),"",(ChemData!D94))</f>
        <v/>
      </c>
      <c r="I94" s="919">
        <f>IF(TRUE=ISBLANK(ChemData!K94),"",(ChemData!K94))</f>
        <v>0.02</v>
      </c>
      <c r="J94" s="290">
        <f>IF(TRUE=ISBLANK(ChemData!M94),"",(ChemData!M94))</f>
        <v>391</v>
      </c>
      <c r="K94" s="290">
        <f>IF(TRUE=ISBLANK(ChemData!N94),"",(ChemData!N94))</f>
        <v>2.9999999999999999E-7</v>
      </c>
      <c r="L94" s="290">
        <f>IF(TRUE=ISBLANK(ChemData!O94),"",(ChemData!O94))</f>
        <v>3.5099999999999999E-2</v>
      </c>
      <c r="M94" s="290">
        <f>IF(TRUE=ISBLANK(ChemData!Q94),"",(ChemData!Q94))</f>
        <v>369323.05450074008</v>
      </c>
      <c r="N94" s="290">
        <f>IF(TRUE=ISBLANK(ChemData!R94),"",(ChemData!R94))</f>
        <v>369323.05450074008</v>
      </c>
      <c r="O94" s="290">
        <f>IF(TRUE=ISBLANK(ChemData!S94),"",(ChemData!S94))</f>
        <v>1</v>
      </c>
      <c r="P94" s="291">
        <f>IF(TRUE=ISBLANK(ChemData!T94),"",(ChemData!T94))</f>
        <v>1</v>
      </c>
      <c r="Q94" s="375">
        <f>IF(Start!$C$18="x",IF(OR(K94="NA",K94="",K94="--"),"NA",(K94*1000000/82.1/Data!$D$50)),"---")</f>
        <v>1.1787356096027662E-5</v>
      </c>
      <c r="R94" s="376">
        <f>IF(Start!$C$18="x",IF(OR(J94="NA",J94=0,J94=""),"NA",(0.32*(Data!$D$48+Data!$D$49)*(18/J94)^0.5)),"---")</f>
        <v>0.17679707905145187</v>
      </c>
      <c r="S94" s="376">
        <f>IF(Start!$C$18="x",IF(OR(J94="NA",J94= 0,J94=""),"NA",(0.0065*((Data!$D$49^0.969)/(Data!$D$51^0.673))*(32/J94)^0.5*EXP(0.526*Data!$D$48^-1.9))),"---")</f>
        <v>3.7263980603415101E-4</v>
      </c>
      <c r="T94" s="377">
        <f>IF(Start!$C$18="x",IF(OR(S94="NA",R94="NA",R94=0,Q94="NA",S94=0,Q94=0),"NA",(1/(1/S94+(1/(R94*Q94))))),"---")</f>
        <v>2.0723804399426957E-6</v>
      </c>
      <c r="U94" s="375" t="str">
        <f>IF(Start!$C$18="x",IF(OR(F94="NA",F94="",O94="",O94="NA"),"NA",(F94*$O94)),"---")</f>
        <v>NA</v>
      </c>
      <c r="V94" s="376" t="str">
        <f>IF(Start!$C$18="x",IF(OR(U94="NA",M94="NA",M94="",U94=""),"NA",U94/((Data!$D$18+((1-Data!$D$18)*Data!$D$14*M94))/((1-Data!$D$18)*Data!$D$14*1000))),"---")</f>
        <v>NA</v>
      </c>
      <c r="W94" s="376" t="str">
        <f>IF(Start!$C$18="x",IF(OR(G94="NA",U94="NA",G94="",U94=""),"NA",(U94 +($G94*(Data!$D$19-Data!$D$22)/(Data!$D$19*Data!$D$22)))),"---")</f>
        <v>NA</v>
      </c>
      <c r="X94" s="376" t="str">
        <f>IF(Start!$C$18="x",IF(OR(G94="NA",V94="NA",G94="",V94=""),"NA",(((Data!$D$22*Data!$D$18)*V94)+(Data!$D$19-Data!$D$22)*$G94)/((Data!$D$22*Data!$D$18)+Data!$D$19-Data!$D$22)),"---")</f>
        <v>NA</v>
      </c>
      <c r="Y94" s="376" t="str">
        <f>IF(Start!$C$18="x",IF(OR(W94="NA",W94="",M94="NA",M94=""),"NA",(W94/((Data!$D$23+((1-Data!$D$23)*Data!$D$14*M94)) /((1-Data!$D$23)*Data!$D$14*1000)))),"---")</f>
        <v>NA</v>
      </c>
      <c r="Z94" s="376" t="str">
        <f>IF(Start!$C$18="x",IF(OR(Y94="NA",X94="NA"),"NA",IF(Y94&gt;X94, Y94, X94)),"---")</f>
        <v>NA</v>
      </c>
      <c r="AA94" s="461" t="str">
        <f>IF(Start!$C$18="x",IF(OR(Z94="NA",T94="NA"),"NA",Z94*T94/(1000000000)),"---")</f>
        <v>NA</v>
      </c>
      <c r="AB94" s="1057" t="str">
        <f>IF(Start!$C$18="x",IF(AA94 = "NA", "NA", AA94*(Data!$D$52*Data!$D$53*10000)),"---")</f>
        <v>NA</v>
      </c>
      <c r="AC94" s="375" t="str">
        <f>IF(Start!$C$18="x",IF(AB94="NA", "NA", AB94*Data!$D$54),"---")</f>
        <v>NA</v>
      </c>
      <c r="AD94" s="498" t="str">
        <f>IF(Start!$C$18="x",IF(AC94="NA","NA",AC94*Data!$D$41),"---")</f>
        <v>NA</v>
      </c>
      <c r="AE94" s="376" t="str">
        <f>IF(Start!$C$18="x",IF(AB94 = "NA", "NA", AB94/(Data!$D$53*3*Data!$D$48)*1000),"---")</f>
        <v>NA</v>
      </c>
      <c r="AF94" s="498" t="str">
        <f>IF(Start!$C$18="x",IF(AE94="NA","NA",AE94*Data!$D$46),"---")</f>
        <v>NA</v>
      </c>
      <c r="AG94" s="375">
        <f>IF(Start!$C$18="x",IF(OR($L94="NA",L94=""),"NA",($L94*(Data!$D$55^3.33)/(Data!$D$18^2))),"---")</f>
        <v>3.5758102768627828E-4</v>
      </c>
      <c r="AH94" s="376" t="str">
        <f>IF(Start!$C$18="x",IF(OR(F94="NA",F94="",P94="NA",P94=""),"NA",IF(100/Data!$D$10&gt;Data!$D$13,(F94*$P94),(F94*$P94)*Data!$D$13)),"---")</f>
        <v>NA</v>
      </c>
      <c r="AI94" s="489">
        <f>IF(Start!$C$18="x",IF(OR($N94="NA",$Q94="NA",$Q94=0,Q94="",N94=""),"NA",(1000*$N94/$Q94)),"---")</f>
        <v>31332136866994.445</v>
      </c>
      <c r="AJ94" s="376">
        <f>IF(Start!$C$18="x",IF(OR(Q94 = "NA",Q94=0,N94 = "NA",N94="",Q94=""), "NA", IF($AG94="NA","NA",(3.1416*Data!$D$57*86400/($AG94*(Data!$D$55+(N94*Data!$D$19/(Q94*1000)))))^0.5)),"---")</f>
        <v>0.92504968836105816</v>
      </c>
      <c r="AK94" s="376" t="str">
        <f>IF(Start!$C$18="x",IF(OR(AH94 = "NA",AI94="NA",AI94=0,AI94="",AH94=""), "NA", AH94/AI94),"---")</f>
        <v>NA</v>
      </c>
      <c r="AL94" s="376" t="str">
        <f>IF(Start!$C$18="x",IF(OR(AK94 ="NA",AK94="",AJ94= "NA",R94="NA",R94=0),"NA",(2*AK94)/(1000*(1/$R94+AJ94))),"---")</f>
        <v>NA</v>
      </c>
      <c r="AM94" s="376" t="str">
        <f>IF(Start!$C$18="x",IF(AL94 = "NA", "NA", AL94*(Data!$D$52*Data!$D$53*10000)),"---")</f>
        <v>NA</v>
      </c>
      <c r="AN94" s="376" t="str">
        <f>IF(Start!$C$18="x",IF(AM94 = "NA", "NA", AM94*(Data!$D$54)),"---")</f>
        <v>NA</v>
      </c>
      <c r="AO94" s="498" t="str">
        <f>IF(Start!$C$18="x",IF(AN94="NA","NA",AN94*Data!$D$41),"---")</f>
        <v>NA</v>
      </c>
      <c r="AP94" s="376">
        <f>IF(Start!$C$18="x",IF(OR(Q94=0,N94="NA",N94="",AG94="NA",AG94="",AG94=0,Q94="",Q94="NA"),"NA", (3.1416*Data!$D$56*86400/($AG94*(Data!$D$55+(N94*Data!$D$19/(Q94*1000)))))^0.5),"---")</f>
        <v>0.92504968836105816</v>
      </c>
      <c r="AQ94" s="376" t="str">
        <f>IF(Start!$C$18="x",IF(OR(AH94="NA",AI94="NA",AI94="",AI94=0,AH94=""),"NA", AH94/AI94),"---")</f>
        <v>NA</v>
      </c>
      <c r="AR94" s="376" t="str">
        <f>IF(Start!$C$18="x",IF(OR(AQ94="NA",AP94="NA",$R94="NA",R94=0,R94=""),"NA",(2*AQ94)/(1000*(1/$R94+AP94))),"---")</f>
        <v>NA</v>
      </c>
      <c r="AS94" s="376" t="str">
        <f>IF(Start!$C$18="x",IF(AR94 = "NA", "NA", AR94*(Data!$D$52*Data!$D$53*10000)),"---")</f>
        <v>NA</v>
      </c>
      <c r="AT94" s="376" t="str">
        <f>IF(Start!$C$18="x",IF(AS94 = "NA", "NA", (AS94*1000)/(Data!$D$48*3*Data!$D$53)),"---")</f>
        <v>NA</v>
      </c>
      <c r="AU94" s="498" t="str">
        <f>IF(Start!$C$18="x",IF(AT94="NA","NA",AT94*Data!$D$47),"---")</f>
        <v>NA</v>
      </c>
      <c r="AV94" s="283" t="str">
        <f>IF(Start!$C$18="x",(IF(AND(F94="",G94= "",G94&lt;&gt;"NA"),"",IF(OR(AD94="NA",I94="NA",I94=0),"NA",(AD94/I94)))),"Not Req.")</f>
        <v/>
      </c>
      <c r="AW94" s="284" t="str">
        <f>IF(Start!$C$18="x",(IF(AND(F94="",G94= "",G94&lt;&gt;"NA"),"",IF(OR(AF94="NA",I94="NA",I94=0),"NA",(AF94/I94)))),"Not Req.")</f>
        <v/>
      </c>
      <c r="AX94" s="284" t="str">
        <f>IF(Start!$C$18="x",(IF(F94 ="","",IF(OR(AO94="NA",I94="NA",I94=0),"NA",(AO94/I94)))),"Not Req.")</f>
        <v/>
      </c>
      <c r="AY94" s="344" t="str">
        <f>IF(Start!$C$18="x",(IF(F94 ="","",IF(OR(AU94="NA",I94="NA",I94=0),"NA",(AU94/I94)))),"Not Req.")</f>
        <v/>
      </c>
      <c r="AZ94" s="208"/>
    </row>
    <row r="95" spans="1:52" s="183" customFormat="1" x14ac:dyDescent="0.25">
      <c r="A95" s="405" t="s">
        <v>413</v>
      </c>
      <c r="B95" s="347" t="str">
        <f>IF(Start!$C$18="x",IF(AND(OR(F95="",F95="NA"),OR(G95="",G95="NA")),"",IF(I95="NA","NA",IF(AND(I95="",K95="--"),"NA",IF(AD95="NA","Missing Data",IF(I95="","No Criteria",IF(AD95&gt;=I95,"Needed","No")))))),"---")</f>
        <v/>
      </c>
      <c r="C95" s="501" t="str">
        <f>IF(Start!$C$18="x",IF(AND(OR(F95="",F95="NA"),OR(G95="",G95="NA")),"",IF(I95="NA","NA",IF(AND(I95="",K95="--"),"NA",IF(AF95="NA","Missing Data",IF(I95="","No Criteria",IF(AF95&gt;=I95,"Needed","No")))))),"---")</f>
        <v/>
      </c>
      <c r="D95" s="347" t="str">
        <f>IF(Start!$C$18="x",IF(AND(OR(F95="",F95="NA"),OR(G95="",G95="NA")),"",IF(I95="NA","NA",IF(AND(I95="",K95="--"),"NA",IF(AO95="NA","Missing Data",IF(I95="","No Criteria",IF(AO95&gt;=I95,"Needed","No")))))),"---")</f>
        <v/>
      </c>
      <c r="E95" s="401" t="str">
        <f>IF(Start!$C$18="x",IF(AND(OR(F95="",F95="NA"),OR(G95="",G95="NA")),"",IF(I95="NA","NA",IF(AND(I95="",K95="--"),"NA",IF(AU95="NA","Missing Data",IF(I95="","No Criteria",IF(AU95&gt;=I95,"Needed","No")))))),"---")</f>
        <v/>
      </c>
      <c r="F95" s="431" t="str">
        <f>IF(TRUE=ISBLANK(ChemData!B95),"",(ChemData!B95))</f>
        <v/>
      </c>
      <c r="G95" s="432" t="str">
        <f>IF(TRUE=ISBLANK(ChemData!C95),"",(ChemData!C95))</f>
        <v/>
      </c>
      <c r="H95" s="433" t="str">
        <f>IF(TRUE=ISBLANK(ChemData!D95),"",(ChemData!D95))</f>
        <v/>
      </c>
      <c r="I95" s="919" t="str">
        <f>IF(TRUE=ISBLANK(ChemData!K95),"",(ChemData!K95))</f>
        <v>NA</v>
      </c>
      <c r="J95" s="290">
        <f>IF(TRUE=ISBLANK(ChemData!M95),"",(ChemData!M95))</f>
        <v>113.16</v>
      </c>
      <c r="K95" s="290">
        <f>IF(TRUE=ISBLANK(ChemData!N95),"",(ChemData!N95))</f>
        <v>3.6E-9</v>
      </c>
      <c r="L95" s="290">
        <f>IF(TRUE=ISBLANK(ChemData!O95),"",(ChemData!O95))</f>
        <v>6.54E-2</v>
      </c>
      <c r="M95" s="290">
        <f>IF(TRUE=ISBLANK(ChemData!Q95),"",(ChemData!Q95))</f>
        <v>1.1951059779431472E-2</v>
      </c>
      <c r="N95" s="290">
        <f>IF(TRUE=ISBLANK(ChemData!R95),"",(ChemData!R95))</f>
        <v>1.1951059779431472E-2</v>
      </c>
      <c r="O95" s="290">
        <f>IF(TRUE=ISBLANK(ChemData!S95),"",(ChemData!S95))</f>
        <v>1</v>
      </c>
      <c r="P95" s="291">
        <f>IF(TRUE=ISBLANK(ChemData!T95),"",(ChemData!T95))</f>
        <v>1</v>
      </c>
      <c r="Q95" s="375">
        <f>IF(Start!$C$18="x",IF(OR(K95="NA",K95="",K95="--"),"NA",(K95*1000000/82.1/Data!$D$50)),"---")</f>
        <v>1.4144827315233194E-7</v>
      </c>
      <c r="R95" s="376">
        <f>IF(Start!$C$18="x",IF(OR(J95="NA",J95=0,J95=""),"NA",(0.32*(Data!$D$48+Data!$D$49)*(18/J95)^0.5)),"---")</f>
        <v>0.32863740667935076</v>
      </c>
      <c r="S95" s="376">
        <f>IF(Start!$C$18="x",IF(OR(J95="NA",J95= 0,J95=""),"NA",(0.0065*((Data!$D$49^0.969)/(Data!$D$51^0.673))*(32/J95)^0.5*EXP(0.526*Data!$D$48^-1.9))),"---")</f>
        <v>6.926776173995507E-4</v>
      </c>
      <c r="T95" s="377">
        <f>IF(Start!$C$18="x",IF(OR(S95="NA",R95="NA",R95=0,Q95="NA",S95=0,Q95=0),"NA",(1/(1/S95+(1/(R95*Q95))))),"---")</f>
        <v>4.6482074282974559E-8</v>
      </c>
      <c r="U95" s="375" t="str">
        <f>IF(Start!$C$18="x",IF(OR(F95="NA",F95="",O95="",O95="NA"),"NA",(F95*$O95)),"---")</f>
        <v>NA</v>
      </c>
      <c r="V95" s="376" t="str">
        <f>IF(Start!$C$18="x",IF(OR(U95="NA",M95="NA",M95="",U95=""),"NA",U95/((Data!$D$18+((1-Data!$D$18)*Data!$D$14*M95))/((1-Data!$D$18)*Data!$D$14*1000))),"---")</f>
        <v>NA</v>
      </c>
      <c r="W95" s="376" t="str">
        <f>IF(Start!$C$18="x",IF(OR(G95="NA",U95="NA",G95="",U95=""),"NA",(U95 +($G95*(Data!$D$19-Data!$D$22)/(Data!$D$19*Data!$D$22)))),"---")</f>
        <v>NA</v>
      </c>
      <c r="X95" s="376" t="str">
        <f>IF(Start!$C$18="x",IF(OR(G95="NA",V95="NA",G95="",V95=""),"NA",(((Data!$D$22*Data!$D$18)*V95)+(Data!$D$19-Data!$D$22)*$G95)/((Data!$D$22*Data!$D$18)+Data!$D$19-Data!$D$22)),"---")</f>
        <v>NA</v>
      </c>
      <c r="Y95" s="376" t="str">
        <f>IF(Start!$C$18="x",IF(OR(W95="NA",W95="",M95="NA",M95=""),"NA",(W95/((Data!$D$23+((1-Data!$D$23)*Data!$D$14*M95)) /((1-Data!$D$23)*Data!$D$14*1000)))),"---")</f>
        <v>NA</v>
      </c>
      <c r="Z95" s="376" t="str">
        <f>IF(Start!$C$18="x",IF(OR(Y95="NA",X95="NA"),"NA",IF(Y95&gt;X95, Y95, X95)),"---")</f>
        <v>NA</v>
      </c>
      <c r="AA95" s="461" t="str">
        <f>IF(Start!$C$18="x",IF(OR(Z95="NA",T95="NA"),"NA",Z95*T95/(1000000000)),"---")</f>
        <v>NA</v>
      </c>
      <c r="AB95" s="1057" t="str">
        <f>IF(Start!$C$18="x",IF(AA95 = "NA", "NA", AA95*(Data!$D$52*Data!$D$53*10000)),"---")</f>
        <v>NA</v>
      </c>
      <c r="AC95" s="375" t="str">
        <f>IF(Start!$C$18="x",IF(AB95="NA", "NA", AB95*Data!$D$54),"---")</f>
        <v>NA</v>
      </c>
      <c r="AD95" s="498" t="str">
        <f>IF(Start!$C$18="x",IF(AC95="NA","NA",AC95*Data!$D$41),"---")</f>
        <v>NA</v>
      </c>
      <c r="AE95" s="376" t="str">
        <f>IF(Start!$C$18="x",IF(AB95 = "NA", "NA", AB95/(Data!$D$53*3*Data!$D$48)*1000),"---")</f>
        <v>NA</v>
      </c>
      <c r="AF95" s="498" t="str">
        <f>IF(Start!$C$18="x",IF(AE95="NA","NA",AE95*Data!$D$46),"---")</f>
        <v>NA</v>
      </c>
      <c r="AG95" s="375">
        <f>IF(Start!$C$18="x",IF(OR($L95="NA",L95=""),"NA",($L95*(Data!$D$55^3.33)/(Data!$D$18^2))),"---")</f>
        <v>6.6626208577443306E-4</v>
      </c>
      <c r="AH95" s="376" t="str">
        <f>IF(Start!$C$18="x",IF(OR(F95="NA",F95="",P95="NA",P95=""),"NA",IF(100/Data!$D$10&gt;Data!$D$13,(F95*$P95),(F95*$P95)*Data!$D$13)),"---")</f>
        <v>NA</v>
      </c>
      <c r="AI95" s="489">
        <f>IF(Start!$C$18="x",IF(OR($N95="NA",$Q95="NA",$Q95=0,Q95="",N95=""),"NA",(1000*$N95/$Q95)),"---")</f>
        <v>84490672.901752889</v>
      </c>
      <c r="AJ95" s="376">
        <f>IF(Start!$C$18="x",IF(OR(Q95 = "NA",Q95=0,N95 = "NA",N95="",Q95=""), "NA", IF($AG95="NA","NA",(3.1416*Data!$D$57*86400/($AG95*(Data!$D$55+(N95*Data!$D$19/(Q95*1000)))))^0.5)),"---")</f>
        <v>412.68602566748984</v>
      </c>
      <c r="AK95" s="376" t="str">
        <f>IF(Start!$C$18="x",IF(OR(AH95 = "NA",AI95="NA",AI95=0,AI95="",AH95=""), "NA", AH95/AI95),"---")</f>
        <v>NA</v>
      </c>
      <c r="AL95" s="376" t="str">
        <f>IF(Start!$C$18="x",IF(OR(AK95 ="NA",AK95="",AJ95= "NA",R95="NA",R95=0),"NA",(2*AK95)/(1000*(1/$R95+AJ95))),"---")</f>
        <v>NA</v>
      </c>
      <c r="AM95" s="376" t="str">
        <f>IF(Start!$C$18="x",IF(AL95 = "NA", "NA", AL95*(Data!$D$52*Data!$D$53*10000)),"---")</f>
        <v>NA</v>
      </c>
      <c r="AN95" s="376" t="str">
        <f>IF(Start!$C$18="x",IF(AM95 = "NA", "NA", AM95*(Data!$D$54)),"---")</f>
        <v>NA</v>
      </c>
      <c r="AO95" s="498" t="str">
        <f>IF(Start!$C$18="x",IF(AN95="NA","NA",AN95*Data!$D$41),"---")</f>
        <v>NA</v>
      </c>
      <c r="AP95" s="376">
        <f>IF(Start!$C$18="x",IF(OR(Q95=0,N95="NA",N95="",AG95="NA",AG95="",AG95=0,Q95="",Q95="NA"),"NA", (3.1416*Data!$D$56*86400/($AG95*(Data!$D$55+(N95*Data!$D$19/(Q95*1000)))))^0.5),"---")</f>
        <v>412.68602566748984</v>
      </c>
      <c r="AQ95" s="376" t="str">
        <f>IF(Start!$C$18="x",IF(OR(AH95="NA",AI95="NA",AI95="",AI95=0,AH95=""),"NA", AH95/AI95),"---")</f>
        <v>NA</v>
      </c>
      <c r="AR95" s="376" t="str">
        <f>IF(Start!$C$18="x",IF(OR(AQ95="NA",AP95="NA",$R95="NA",R95=0,R95=""),"NA",(2*AQ95)/(1000*(1/$R95+AP95))),"---")</f>
        <v>NA</v>
      </c>
      <c r="AS95" s="376" t="str">
        <f>IF(Start!$C$18="x",IF(AR95 = "NA", "NA", AR95*(Data!$D$52*Data!$D$53*10000)),"---")</f>
        <v>NA</v>
      </c>
      <c r="AT95" s="376" t="str">
        <f>IF(Start!$C$18="x",IF(AS95 = "NA", "NA", (AS95*1000)/(Data!$D$48*3*Data!$D$53)),"---")</f>
        <v>NA</v>
      </c>
      <c r="AU95" s="498" t="str">
        <f>IF(Start!$C$18="x",IF(AT95="NA","NA",AT95*Data!$D$47),"---")</f>
        <v>NA</v>
      </c>
      <c r="AV95" s="283" t="str">
        <f>IF(Start!$C$18="x",(IF(AND(F95="",G95= "",G95&lt;&gt;"NA"),"",IF(OR(AD95="NA",I95="NA",I95=0),"NA",(AD95/I95)))),"Not Req.")</f>
        <v/>
      </c>
      <c r="AW95" s="284" t="str">
        <f>IF(Start!$C$18="x",(IF(AND(F95="",G95= "",G95&lt;&gt;"NA"),"",IF(OR(AF95="NA",I95="NA",I95=0),"NA",(AF95/I95)))),"Not Req.")</f>
        <v/>
      </c>
      <c r="AX95" s="284" t="str">
        <f>IF(Start!$C$18="x",(IF(F95 ="","",IF(OR(AO95="NA",I95="NA",I95=0),"NA",(AO95/I95)))),"Not Req.")</f>
        <v/>
      </c>
      <c r="AY95" s="344" t="str">
        <f>IF(Start!$C$18="x",(IF(F95 ="","",IF(OR(AU95="NA",I95="NA",I95=0),"NA",(AU95/I95)))),"Not Req.")</f>
        <v/>
      </c>
      <c r="AZ95" s="208"/>
    </row>
    <row r="96" spans="1:52" s="183" customFormat="1" x14ac:dyDescent="0.25">
      <c r="A96" s="405" t="s">
        <v>666</v>
      </c>
      <c r="B96" s="347" t="str">
        <f>IF(Start!$C$18="x",IF(AND(OR(F96="",F96="NA"),OR(G96="",G96="NA")),"",IF(I96="NA","NA",IF(AND(I96="",K96="--"),"NA",IF(AD96="NA","Missing Data",IF(I96="","No Criteria",IF(AD96&gt;=I96,"Needed","No")))))),"---")</f>
        <v/>
      </c>
      <c r="C96" s="501" t="str">
        <f>IF(Start!$C$18="x",IF(AND(OR(F96="",F96="NA"),OR(G96="",G96="NA")),"",IF(I96="NA","NA",IF(AND(I96="",K96="--"),"NA",IF(AF96="NA","Missing Data",IF(I96="","No Criteria",IF(AF96&gt;=I96,"Needed","No")))))),"---")</f>
        <v/>
      </c>
      <c r="D96" s="347" t="str">
        <f>IF(Start!$C$18="x",IF(AND(OR(F96="",F96="NA"),OR(G96="",G96="NA")),"",IF(I96="NA","NA",IF(AND(I96="",K96="--"),"NA",IF(AO96="NA","Missing Data",IF(I96="","No Criteria",IF(AO96&gt;=I96,"Needed","No")))))),"---")</f>
        <v/>
      </c>
      <c r="E96" s="401" t="str">
        <f>IF(Start!$C$18="x",IF(AND(OR(F96="",F96="NA"),OR(G96="",G96="NA")),"",IF(I96="NA","NA",IF(AND(I96="",K96="--"),"NA",IF(AU96="NA","Missing Data",IF(I96="","No Criteria",IF(AU96&gt;=I96,"Needed","No")))))),"---")</f>
        <v/>
      </c>
      <c r="F96" s="431" t="str">
        <f>IF(TRUE=ISBLANK(ChemData!B96),"",(ChemData!B96))</f>
        <v/>
      </c>
      <c r="G96" s="432" t="str">
        <f>IF(TRUE=ISBLANK(ChemData!C96),"",(ChemData!C96))</f>
        <v/>
      </c>
      <c r="H96" s="433" t="str">
        <f>IF(TRUE=ISBLANK(ChemData!D96),"",(ChemData!D96))</f>
        <v/>
      </c>
      <c r="I96" s="919">
        <f>IF(TRUE=ISBLANK(ChemData!K96),"",(ChemData!K96))</f>
        <v>0.09</v>
      </c>
      <c r="J96" s="290">
        <f>IF(TRUE=ISBLANK(ChemData!M96),"",(ChemData!M96))</f>
        <v>142.58000000000001</v>
      </c>
      <c r="K96" s="290">
        <f>IF(TRUE=ISBLANK(ChemData!N96),"",(ChemData!N96))</f>
        <v>2.5000000000000002E-6</v>
      </c>
      <c r="L96" s="290">
        <f>IF(TRUE=ISBLANK(ChemData!O96),"",(ChemData!O96))</f>
        <v>0.15784012263559943</v>
      </c>
      <c r="M96" s="290">
        <f>IF(TRUE=ISBLANK(ChemData!Q96),"",(ChemData!Q96))</f>
        <v>23.302709372310051</v>
      </c>
      <c r="N96" s="290">
        <f>IF(TRUE=ISBLANK(ChemData!R96),"",(ChemData!R96))</f>
        <v>23.302709372310051</v>
      </c>
      <c r="O96" s="290">
        <f>IF(TRUE=ISBLANK(ChemData!S96),"",(ChemData!S96))</f>
        <v>1</v>
      </c>
      <c r="P96" s="291">
        <f>IF(TRUE=ISBLANK(ChemData!T96),"",(ChemData!T96))</f>
        <v>1</v>
      </c>
      <c r="Q96" s="375">
        <f>IF(Start!$C$18="x",IF(OR(K96="NA",K96="",K96="--"),"NA",(K96*1000000/82.1/Data!$D$50)),"---")</f>
        <v>9.8227967466897183E-5</v>
      </c>
      <c r="R96" s="376">
        <f>IF(Start!$C$18="x",IF(OR(J96="NA",J96=0,J96=""),"NA",(0.32*(Data!$D$48+Data!$D$49)*(18/J96)^0.5)),"---")</f>
        <v>0.29277511420704455</v>
      </c>
      <c r="S96" s="376">
        <f>IF(Start!$C$18="x",IF(OR(J96="NA",J96= 0,J96=""),"NA",(0.0065*((Data!$D$49^0.969)/(Data!$D$51^0.673))*(32/J96)^0.5*EXP(0.526*Data!$D$48^-1.9))),"---")</f>
        <v>6.1708972996091791E-4</v>
      </c>
      <c r="T96" s="377">
        <f>IF(Start!$C$18="x",IF(OR(S96="NA",R96="NA",R96=0,Q96="NA",S96=0,Q96=0),"NA",(1/(1/S96+(1/(R96*Q96))))),"---")</f>
        <v>2.7478120537551078E-5</v>
      </c>
      <c r="U96" s="375" t="str">
        <f>IF(Start!$C$18="x",IF(OR(F96="NA",F96="",O96="",O96="NA"),"NA",(F96*$O96)),"---")</f>
        <v>NA</v>
      </c>
      <c r="V96" s="376" t="str">
        <f>IF(Start!$C$18="x",IF(OR(U96="NA",M96="NA",M96="",U96=""),"NA",U96/((Data!$D$18+((1-Data!$D$18)*Data!$D$14*M96))/((1-Data!$D$18)*Data!$D$14*1000))),"---")</f>
        <v>NA</v>
      </c>
      <c r="W96" s="376" t="str">
        <f>IF(Start!$C$18="x",IF(OR(G96="NA",U96="NA",G96="",U96=""),"NA",(U96 +($G96*(Data!$D$19-Data!$D$22)/(Data!$D$19*Data!$D$22)))),"---")</f>
        <v>NA</v>
      </c>
      <c r="X96" s="376" t="str">
        <f>IF(Start!$C$18="x",IF(OR(G96="NA",V96="NA",G96="",V96=""),"NA",(((Data!$D$22*Data!$D$18)*V96)+(Data!$D$19-Data!$D$22)*$G96)/((Data!$D$22*Data!$D$18)+Data!$D$19-Data!$D$22)),"---")</f>
        <v>NA</v>
      </c>
      <c r="Y96" s="376" t="str">
        <f>IF(Start!$C$18="x",IF(OR(W96="NA",W96="",M96="NA",M96=""),"NA",(W96/((Data!$D$23+((1-Data!$D$23)*Data!$D$14*M96)) /((1-Data!$D$23)*Data!$D$14*1000)))),"---")</f>
        <v>NA</v>
      </c>
      <c r="Z96" s="376" t="str">
        <f>IF(Start!$C$18="x",IF(OR(Y96="NA",X96="NA"),"NA",IF(Y96&gt;X96, Y96, X96)),"---")</f>
        <v>NA</v>
      </c>
      <c r="AA96" s="461" t="str">
        <f>IF(Start!$C$18="x",IF(OR(Z96="NA",T96="NA"),"NA",Z96*T96/(1000000000)),"---")</f>
        <v>NA</v>
      </c>
      <c r="AB96" s="1057" t="str">
        <f>IF(Start!$C$18="x",IF(AA96 = "NA", "NA", AA96*(Data!$D$52*Data!$D$53*10000)),"---")</f>
        <v>NA</v>
      </c>
      <c r="AC96" s="375" t="str">
        <f>IF(Start!$C$18="x",IF(AB96="NA", "NA", AB96*Data!$D$54),"---")</f>
        <v>NA</v>
      </c>
      <c r="AD96" s="498" t="str">
        <f>IF(Start!$C$18="x",IF(AC96="NA","NA",AC96*Data!$D$41),"---")</f>
        <v>NA</v>
      </c>
      <c r="AE96" s="376" t="str">
        <f>IF(Start!$C$18="x",IF(AB96 = "NA", "NA", AB96/(Data!$D$53*3*Data!$D$48)*1000),"---")</f>
        <v>NA</v>
      </c>
      <c r="AF96" s="498" t="str">
        <f>IF(Start!$C$18="x",IF(AE96="NA","NA",AE96*Data!$D$46),"---")</f>
        <v>NA</v>
      </c>
      <c r="AG96" s="375">
        <f>IF(Start!$C$18="x",IF(OR($L96="NA",L96=""),"NA",($L96*(Data!$D$55^3.33)/(Data!$D$18^2))),"---")</f>
        <v>1.6079952496343545E-3</v>
      </c>
      <c r="AH96" s="376" t="str">
        <f>IF(Start!$C$18="x",IF(OR(F96="NA",F96="",P96="NA",P96=""),"NA",IF(100/Data!$D$10&gt;Data!$D$13,(F96*$P96),(F96*$P96)*Data!$D$13)),"---")</f>
        <v>NA</v>
      </c>
      <c r="AI96" s="489">
        <f>IF(Start!$C$18="x",IF(OR($N96="NA",$Q96="NA",$Q96=0,Q96="",N96=""),"NA",(1000*$N96/$Q96)),"---")</f>
        <v>237230902.49386522</v>
      </c>
      <c r="AJ96" s="376">
        <f>IF(Start!$C$18="x",IF(OR(Q96 = "NA",Q96=0,N96 = "NA",N96="",Q96=""), "NA", IF($AG96="NA","NA",(3.1416*Data!$D$57*86400/($AG96*(Data!$D$55+(N96*Data!$D$19/(Q96*1000)))))^0.5)),"---")</f>
        <v>158.53278022475547</v>
      </c>
      <c r="AK96" s="376" t="str">
        <f>IF(Start!$C$18="x",IF(OR(AH96 = "NA",AI96="NA",AI96=0,AI96="",AH96=""), "NA", AH96/AI96),"---")</f>
        <v>NA</v>
      </c>
      <c r="AL96" s="376" t="str">
        <f>IF(Start!$C$18="x",IF(OR(AK96 ="NA",AK96="",AJ96= "NA",R96="NA",R96=0),"NA",(2*AK96)/(1000*(1/$R96+AJ96))),"---")</f>
        <v>NA</v>
      </c>
      <c r="AM96" s="376" t="str">
        <f>IF(Start!$C$18="x",IF(AL96 = "NA", "NA", AL96*(Data!$D$52*Data!$D$53*10000)),"---")</f>
        <v>NA</v>
      </c>
      <c r="AN96" s="376" t="str">
        <f>IF(Start!$C$18="x",IF(AM96 = "NA", "NA", AM96*(Data!$D$54)),"---")</f>
        <v>NA</v>
      </c>
      <c r="AO96" s="498" t="str">
        <f>IF(Start!$C$18="x",IF(AN96="NA","NA",AN96*Data!$D$41),"---")</f>
        <v>NA</v>
      </c>
      <c r="AP96" s="376">
        <f>IF(Start!$C$18="x",IF(OR(Q96=0,N96="NA",N96="",AG96="NA",AG96="",AG96=0,Q96="",Q96="NA"),"NA", (3.1416*Data!$D$56*86400/($AG96*(Data!$D$55+(N96*Data!$D$19/(Q96*1000)))))^0.5),"---")</f>
        <v>158.53278022475547</v>
      </c>
      <c r="AQ96" s="376" t="str">
        <f>IF(Start!$C$18="x",IF(OR(AH96="NA",AI96="NA",AI96="",AI96=0,AH96=""),"NA", AH96/AI96),"---")</f>
        <v>NA</v>
      </c>
      <c r="AR96" s="376" t="str">
        <f>IF(Start!$C$18="x",IF(OR(AQ96="NA",AP96="NA",$R96="NA",R96=0,R96=""),"NA",(2*AQ96)/(1000*(1/$R96+AP96))),"---")</f>
        <v>NA</v>
      </c>
      <c r="AS96" s="376" t="str">
        <f>IF(Start!$C$18="x",IF(AR96 = "NA", "NA", AR96*(Data!$D$52*Data!$D$53*10000)),"---")</f>
        <v>NA</v>
      </c>
      <c r="AT96" s="376" t="str">
        <f>IF(Start!$C$18="x",IF(AS96 = "NA", "NA", (AS96*1000)/(Data!$D$48*3*Data!$D$53)),"---")</f>
        <v>NA</v>
      </c>
      <c r="AU96" s="498" t="str">
        <f>IF(Start!$C$18="x",IF(AT96="NA","NA",AT96*Data!$D$47),"---")</f>
        <v>NA</v>
      </c>
      <c r="AV96" s="283" t="str">
        <f>IF(Start!$C$18="x",(IF(AND(F96="",G96= "",G96&lt;&gt;"NA"),"",IF(OR(AD96="NA",I96="NA",I96=0),"NA",(AD96/I96)))),"Not Req.")</f>
        <v/>
      </c>
      <c r="AW96" s="284" t="str">
        <f>IF(Start!$C$18="x",(IF(AND(F96="",G96= "",G96&lt;&gt;"NA"),"",IF(OR(AF96="NA",I96="NA",I96=0),"NA",(AF96/I96)))),"Not Req.")</f>
        <v/>
      </c>
      <c r="AX96" s="284" t="str">
        <f>IF(Start!$C$18="x",(IF(F96 ="","",IF(OR(AO96="NA",I96="NA",I96=0),"NA",(AO96/I96)))),"Not Req.")</f>
        <v/>
      </c>
      <c r="AY96" s="344" t="str">
        <f>IF(Start!$C$18="x",(IF(F96 ="","",IF(OR(AU96="NA",I96="NA",I96=0),"NA",(AU96/I96)))),"Not Req.")</f>
        <v/>
      </c>
      <c r="AZ96" s="208"/>
    </row>
    <row r="97" spans="1:52" s="183" customFormat="1" x14ac:dyDescent="0.25">
      <c r="A97" s="405" t="s">
        <v>415</v>
      </c>
      <c r="B97" s="347" t="str">
        <f>IF(Start!$C$18="x",IF(AND(OR(F97="",F97="NA"),OR(G97="",G97="NA")),"",IF(I97="NA","NA",IF(AND(I97="",K97="--"),"NA",IF(AD97="NA","Missing Data",IF(I97="","No Criteria",IF(AD97&gt;=I97,"Needed","No")))))),"---")</f>
        <v/>
      </c>
      <c r="C97" s="501" t="str">
        <f>IF(Start!$C$18="x",IF(AND(OR(F97="",F97="NA"),OR(G97="",G97="NA")),"",IF(I97="NA","NA",IF(AND(I97="",K97="--"),"NA",IF(AF97="NA","Missing Data",IF(I97="","No Criteria",IF(AF97&gt;=I97,"Needed","No")))))),"---")</f>
        <v/>
      </c>
      <c r="D97" s="347" t="str">
        <f>IF(Start!$C$18="x",IF(AND(OR(F97="",F97="NA"),OR(G97="",G97="NA")),"",IF(I97="NA","NA",IF(AND(I97="",K97="--"),"NA",IF(AO97="NA","Missing Data",IF(I97="","No Criteria",IF(AO97&gt;=I97,"Needed","No")))))),"---")</f>
        <v/>
      </c>
      <c r="E97" s="401" t="str">
        <f>IF(Start!$C$18="x",IF(AND(OR(F97="",F97="NA"),OR(G97="",G97="NA")),"",IF(I97="NA","NA",IF(AND(I97="",K97="--"),"NA",IF(AU97="NA","Missing Data",IF(I97="","No Criteria",IF(AU97&gt;=I97,"Needed","No")))))),"---")</f>
        <v/>
      </c>
      <c r="F97" s="431" t="str">
        <f>IF(TRUE=ISBLANK(ChemData!B97),"",(ChemData!B97))</f>
        <v/>
      </c>
      <c r="G97" s="432" t="str">
        <f>IF(TRUE=ISBLANK(ChemData!C97),"",(ChemData!C97))</f>
        <v/>
      </c>
      <c r="H97" s="433" t="str">
        <f>IF(TRUE=ISBLANK(ChemData!D97),"",(ChemData!D97))</f>
        <v/>
      </c>
      <c r="I97" s="919" t="str">
        <f>IF(TRUE=ISBLANK(ChemData!K97),"",(ChemData!K97))</f>
        <v>NA</v>
      </c>
      <c r="J97" s="290">
        <f>IF(TRUE=ISBLANK(ChemData!M97),"",(ChemData!M97))</f>
        <v>127.57</v>
      </c>
      <c r="K97" s="290">
        <f>IF(TRUE=ISBLANK(ChemData!N97),"",(ChemData!N97))</f>
        <v>3.3099999999999999E-7</v>
      </c>
      <c r="L97" s="290">
        <f>IF(TRUE=ISBLANK(ChemData!O97),"",(ChemData!O97))</f>
        <v>4.8300000000000003E-2</v>
      </c>
      <c r="M97" s="290">
        <f>IF(TRUE=ISBLANK(ChemData!Q97),"",(ChemData!Q97))</f>
        <v>1.3104076468950407</v>
      </c>
      <c r="N97" s="290">
        <f>IF(TRUE=ISBLANK(ChemData!R97),"",(ChemData!R97))</f>
        <v>1.3104076468950407</v>
      </c>
      <c r="O97" s="290">
        <f>IF(TRUE=ISBLANK(ChemData!S97),"",(ChemData!S97))</f>
        <v>1</v>
      </c>
      <c r="P97" s="291">
        <f>IF(TRUE=ISBLANK(ChemData!T97),"",(ChemData!T97))</f>
        <v>1</v>
      </c>
      <c r="Q97" s="375">
        <f>IF(Start!$C$18="x",IF(OR(K97="NA",K97="",K97="--"),"NA",(K97*1000000/82.1/Data!$D$50)),"---")</f>
        <v>1.3005382892617184E-5</v>
      </c>
      <c r="R97" s="376">
        <f>IF(Start!$C$18="x",IF(OR(J97="NA",J97=0,J97=""),"NA",(0.32*(Data!$D$48+Data!$D$49)*(18/J97)^0.5)),"---")</f>
        <v>0.30952033480493096</v>
      </c>
      <c r="S97" s="376">
        <f>IF(Start!$C$18="x",IF(OR(J97="NA",J97= 0,J97=""),"NA",(0.0065*((Data!$D$49^0.969)/(Data!$D$51^0.673))*(32/J97)^0.5*EXP(0.526*Data!$D$48^-1.9))),"---")</f>
        <v>6.5238406733953206E-4</v>
      </c>
      <c r="T97" s="377">
        <f>IF(Start!$C$18="x",IF(OR(S97="NA",R97="NA",R97=0,Q97="NA",S97=0,Q97=0),"NA",(1/(1/S97+(1/(R97*Q97))))),"---")</f>
        <v>4.0007445196209166E-6</v>
      </c>
      <c r="U97" s="375" t="str">
        <f>IF(Start!$C$18="x",IF(OR(F97="NA",F97="",O97="",O97="NA"),"NA",(F97*$O97)),"---")</f>
        <v>NA</v>
      </c>
      <c r="V97" s="376" t="str">
        <f>IF(Start!$C$18="x",IF(OR(U97="NA",M97="NA",M97="",U97=""),"NA",U97/((Data!$D$18+((1-Data!$D$18)*Data!$D$14*M97))/((1-Data!$D$18)*Data!$D$14*1000))),"---")</f>
        <v>NA</v>
      </c>
      <c r="W97" s="376" t="str">
        <f>IF(Start!$C$18="x",IF(OR(G97="NA",U97="NA",G97="",U97=""),"NA",(U97 +($G97*(Data!$D$19-Data!$D$22)/(Data!$D$19*Data!$D$22)))),"---")</f>
        <v>NA</v>
      </c>
      <c r="X97" s="376" t="str">
        <f>IF(Start!$C$18="x",IF(OR(G97="NA",V97="NA",G97="",V97=""),"NA",(((Data!$D$22*Data!$D$18)*V97)+(Data!$D$19-Data!$D$22)*$G97)/((Data!$D$22*Data!$D$18)+Data!$D$19-Data!$D$22)),"---")</f>
        <v>NA</v>
      </c>
      <c r="Y97" s="376" t="str">
        <f>IF(Start!$C$18="x",IF(OR(W97="NA",W97="",M97="NA",M97=""),"NA",(W97/((Data!$D$23+((1-Data!$D$23)*Data!$D$14*M97)) /((1-Data!$D$23)*Data!$D$14*1000)))),"---")</f>
        <v>NA</v>
      </c>
      <c r="Z97" s="376" t="str">
        <f>IF(Start!$C$18="x",IF(OR(Y97="NA",X97="NA"),"NA",IF(Y97&gt;X97, Y97, X97)),"---")</f>
        <v>NA</v>
      </c>
      <c r="AA97" s="461" t="str">
        <f>IF(Start!$C$18="x",IF(OR(Z97="NA",T97="NA"),"NA",Z97*T97/(1000000000)),"---")</f>
        <v>NA</v>
      </c>
      <c r="AB97" s="1057" t="str">
        <f>IF(Start!$C$18="x",IF(AA97 = "NA", "NA", AA97*(Data!$D$52*Data!$D$53*10000)),"---")</f>
        <v>NA</v>
      </c>
      <c r="AC97" s="375" t="str">
        <f>IF(Start!$C$18="x",IF(AB97="NA", "NA", AB97*Data!$D$54),"---")</f>
        <v>NA</v>
      </c>
      <c r="AD97" s="498" t="str">
        <f>IF(Start!$C$18="x",IF(AC97="NA","NA",AC97*Data!$D$41),"---")</f>
        <v>NA</v>
      </c>
      <c r="AE97" s="376" t="str">
        <f>IF(Start!$C$18="x",IF(AB97 = "NA", "NA", AB97/(Data!$D$53*3*Data!$D$48)*1000),"---")</f>
        <v>NA</v>
      </c>
      <c r="AF97" s="498" t="str">
        <f>IF(Start!$C$18="x",IF(AE97="NA","NA",AE97*Data!$D$46),"---")</f>
        <v>NA</v>
      </c>
      <c r="AG97" s="375">
        <f>IF(Start!$C$18="x",IF(OR($L97="NA",L97=""),"NA",($L97*(Data!$D$55^3.33)/(Data!$D$18^2))),"---")</f>
        <v>4.92055944081118E-4</v>
      </c>
      <c r="AH97" s="376" t="str">
        <f>IF(Start!$C$18="x",IF(OR(F97="NA",F97="",P97="NA",P97=""),"NA",IF(100/Data!$D$10&gt;Data!$D$13,(F97*$P97),(F97*$P97)*Data!$D$13)),"---")</f>
        <v>NA</v>
      </c>
      <c r="AI97" s="489">
        <f>IF(Start!$C$18="x",IF(OR($N97="NA",$Q97="NA",$Q97=0,Q97="",N97=""),"NA",(1000*$N97/$Q97)),"---")</f>
        <v>100758867.13331023</v>
      </c>
      <c r="AJ97" s="376">
        <f>IF(Start!$C$18="x",IF(OR(Q97 = "NA",Q97=0,N97 = "NA",N97="",Q97=""), "NA", IF($AG97="NA","NA",(3.1416*Data!$D$57*86400/($AG97*(Data!$D$55+(N97*Data!$D$19/(Q97*1000)))))^0.5)),"---")</f>
        <v>439.74196839437542</v>
      </c>
      <c r="AK97" s="376" t="str">
        <f>IF(Start!$C$18="x",IF(OR(AH97 = "NA",AI97="NA",AI97=0,AI97="",AH97=""), "NA", AH97/AI97),"---")</f>
        <v>NA</v>
      </c>
      <c r="AL97" s="376" t="str">
        <f>IF(Start!$C$18="x",IF(OR(AK97 ="NA",AK97="",AJ97= "NA",R97="NA",R97=0),"NA",(2*AK97)/(1000*(1/$R97+AJ97))),"---")</f>
        <v>NA</v>
      </c>
      <c r="AM97" s="376" t="str">
        <f>IF(Start!$C$18="x",IF(AL97 = "NA", "NA", AL97*(Data!$D$52*Data!$D$53*10000)),"---")</f>
        <v>NA</v>
      </c>
      <c r="AN97" s="376" t="str">
        <f>IF(Start!$C$18="x",IF(AM97 = "NA", "NA", AM97*(Data!$D$54)),"---")</f>
        <v>NA</v>
      </c>
      <c r="AO97" s="498" t="str">
        <f>IF(Start!$C$18="x",IF(AN97="NA","NA",AN97*Data!$D$41),"---")</f>
        <v>NA</v>
      </c>
      <c r="AP97" s="376">
        <f>IF(Start!$C$18="x",IF(OR(Q97=0,N97="NA",N97="",AG97="NA",AG97="",AG97=0,Q97="",Q97="NA"),"NA", (3.1416*Data!$D$56*86400/($AG97*(Data!$D$55+(N97*Data!$D$19/(Q97*1000)))))^0.5),"---")</f>
        <v>439.74196839437542</v>
      </c>
      <c r="AQ97" s="376" t="str">
        <f>IF(Start!$C$18="x",IF(OR(AH97="NA",AI97="NA",AI97="",AI97=0,AH97=""),"NA", AH97/AI97),"---")</f>
        <v>NA</v>
      </c>
      <c r="AR97" s="376" t="str">
        <f>IF(Start!$C$18="x",IF(OR(AQ97="NA",AP97="NA",$R97="NA",R97=0,R97=""),"NA",(2*AQ97)/(1000*(1/$R97+AP97))),"---")</f>
        <v>NA</v>
      </c>
      <c r="AS97" s="376" t="str">
        <f>IF(Start!$C$18="x",IF(AR97 = "NA", "NA", AR97*(Data!$D$52*Data!$D$53*10000)),"---")</f>
        <v>NA</v>
      </c>
      <c r="AT97" s="376" t="str">
        <f>IF(Start!$C$18="x",IF(AS97 = "NA", "NA", (AS97*1000)/(Data!$D$48*3*Data!$D$53)),"---")</f>
        <v>NA</v>
      </c>
      <c r="AU97" s="498" t="str">
        <f>IF(Start!$C$18="x",IF(AT97="NA","NA",AT97*Data!$D$47),"---")</f>
        <v>NA</v>
      </c>
      <c r="AV97" s="283" t="str">
        <f>IF(Start!$C$18="x",(IF(AND(F97="",G97= "",G97&lt;&gt;"NA"),"",IF(OR(AD97="NA",I97="NA",I97=0),"NA",(AD97/I97)))),"Not Req.")</f>
        <v/>
      </c>
      <c r="AW97" s="284" t="str">
        <f>IF(Start!$C$18="x",(IF(AND(F97="",G97= "",G97&lt;&gt;"NA"),"",IF(OR(AF97="NA",I97="NA",I97=0),"NA",(AF97/I97)))),"Not Req.")</f>
        <v/>
      </c>
      <c r="AX97" s="284" t="str">
        <f>IF(Start!$C$18="x",(IF(F97 ="","",IF(OR(AO97="NA",I97="NA",I97=0),"NA",(AO97/I97)))),"Not Req.")</f>
        <v/>
      </c>
      <c r="AY97" s="344" t="str">
        <f>IF(Start!$C$18="x",(IF(F97 ="","",IF(OR(AU97="NA",I97="NA",I97=0),"NA",(AU97/I97)))),"Not Req.")</f>
        <v/>
      </c>
      <c r="AZ97" s="208"/>
    </row>
    <row r="98" spans="1:52" s="183" customFormat="1" x14ac:dyDescent="0.25">
      <c r="A98" s="405" t="s">
        <v>416</v>
      </c>
      <c r="B98" s="347" t="str">
        <f>IF(Start!$C$18="x",IF(AND(OR(F98="",F98="NA"),OR(G98="",G98="NA")),"",IF(I98="NA","NA",IF(AND(I98="",K98="--"),"NA",IF(AD98="NA","Missing Data",IF(I98="","No Criteria",IF(AD98&gt;=I98,"Needed","No")))))),"---")</f>
        <v/>
      </c>
      <c r="C98" s="501" t="str">
        <f>IF(Start!$C$18="x",IF(AND(OR(F98="",F98="NA"),OR(G98="",G98="NA")),"",IF(I98="NA","NA",IF(AND(I98="",K98="--"),"NA",IF(AF98="NA","Missing Data",IF(I98="","No Criteria",IF(AF98&gt;=I98,"Needed","No")))))),"---")</f>
        <v/>
      </c>
      <c r="D98" s="347" t="str">
        <f>IF(Start!$C$18="x",IF(AND(OR(F98="",F98="NA"),OR(G98="",G98="NA")),"",IF(I98="NA","NA",IF(AND(I98="",K98="--"),"NA",IF(AO98="NA","Missing Data",IF(I98="","No Criteria",IF(AO98&gt;=I98,"Needed","No")))))),"---")</f>
        <v/>
      </c>
      <c r="E98" s="401" t="str">
        <f>IF(Start!$C$18="x",IF(AND(OR(F98="",F98="NA"),OR(G98="",G98="NA")),"",IF(I98="NA","NA",IF(AND(I98="",K98="--"),"NA",IF(AU98="NA","Missing Data",IF(I98="","No Criteria",IF(AU98&gt;=I98,"Needed","No")))))),"---")</f>
        <v/>
      </c>
      <c r="F98" s="431" t="str">
        <f>IF(TRUE=ISBLANK(ChemData!B98),"",(ChemData!B98))</f>
        <v/>
      </c>
      <c r="G98" s="432" t="str">
        <f>IF(TRUE=ISBLANK(ChemData!C98),"",(ChemData!C98))</f>
        <v/>
      </c>
      <c r="H98" s="433" t="str">
        <f>IF(TRUE=ISBLANK(ChemData!D98),"",(ChemData!D98))</f>
        <v/>
      </c>
      <c r="I98" s="919">
        <f>IF(TRUE=ISBLANK(ChemData!K98),"",(ChemData!K98))</f>
        <v>0.08</v>
      </c>
      <c r="J98" s="290">
        <f>IF(TRUE=ISBLANK(ChemData!M98),"",(ChemData!M98))</f>
        <v>162.19999999999999</v>
      </c>
      <c r="K98" s="290">
        <f>IF(TRUE=ISBLANK(ChemData!N98),"",(ChemData!N98))</f>
        <v>5.4000000000000001E-4</v>
      </c>
      <c r="L98" s="290">
        <f>IF(TRUE=ISBLANK(ChemData!O98),"",(ChemData!O98))</f>
        <v>3.4700000000000002E-2</v>
      </c>
      <c r="M98" s="290">
        <f>IF(TRUE=ISBLANK(ChemData!Q98),"",(ChemData!Q98))</f>
        <v>185.1</v>
      </c>
      <c r="N98" s="290">
        <f>IF(TRUE=ISBLANK(ChemData!R98),"",(ChemData!R98))</f>
        <v>185.1</v>
      </c>
      <c r="O98" s="290">
        <f>IF(TRUE=ISBLANK(ChemData!S98),"",(ChemData!S98))</f>
        <v>1</v>
      </c>
      <c r="P98" s="291">
        <f>IF(TRUE=ISBLANK(ChemData!T98),"",(ChemData!T98))</f>
        <v>1</v>
      </c>
      <c r="Q98" s="375">
        <f>IF(Start!$C$18="x",IF(OR(K98="NA",K98="",K98="--"),"NA",(K98*1000000/82.1/Data!$D$50)),"---")</f>
        <v>2.1217240972849789E-2</v>
      </c>
      <c r="R98" s="376">
        <f>IF(Start!$C$18="x",IF(OR(J98="NA",J98=0,J98=""),"NA",(0.32*(Data!$D$48+Data!$D$49)*(18/J98)^0.5)),"---")</f>
        <v>0.27449727616849151</v>
      </c>
      <c r="S98" s="376">
        <f>IF(Start!$C$18="x",IF(OR(J98="NA",J98= 0,J98=""),"NA",(0.0065*((Data!$D$49^0.969)/(Data!$D$51^0.673))*(32/J98)^0.5*EXP(0.526*Data!$D$48^-1.9))),"---")</f>
        <v>5.7856505490433581E-4</v>
      </c>
      <c r="T98" s="377">
        <f>IF(Start!$C$18="x",IF(OR(S98="NA",R98="NA",R98=0,Q98="NA",S98=0,Q98=0),"NA",(1/(1/S98+(1/(R98*Q98))))),"---")</f>
        <v>5.2628388222022439E-4</v>
      </c>
      <c r="U98" s="375" t="str">
        <f>IF(Start!$C$18="x",IF(OR(F98="NA",F98="",O98="",O98="NA"),"NA",(F98*$O98)),"---")</f>
        <v>NA</v>
      </c>
      <c r="V98" s="376" t="str">
        <f>IF(Start!$C$18="x",IF(OR(U98="NA",M98="NA",M98="",U98=""),"NA",U98/((Data!$D$18+((1-Data!$D$18)*Data!$D$14*M98))/((1-Data!$D$18)*Data!$D$14*1000))),"---")</f>
        <v>NA</v>
      </c>
      <c r="W98" s="376" t="str">
        <f>IF(Start!$C$18="x",IF(OR(G98="NA",U98="NA",G98="",U98=""),"NA",(U98 +($G98*(Data!$D$19-Data!$D$22)/(Data!$D$19*Data!$D$22)))),"---")</f>
        <v>NA</v>
      </c>
      <c r="X98" s="376" t="str">
        <f>IF(Start!$C$18="x",IF(OR(G98="NA",V98="NA",G98="",V98=""),"NA",(((Data!$D$22*Data!$D$18)*V98)+(Data!$D$19-Data!$D$22)*$G98)/((Data!$D$22*Data!$D$18)+Data!$D$19-Data!$D$22)),"---")</f>
        <v>NA</v>
      </c>
      <c r="Y98" s="376" t="str">
        <f>IF(Start!$C$18="x",IF(OR(W98="NA",W98="",M98="NA",M98=""),"NA",(W98/((Data!$D$23+((1-Data!$D$23)*Data!$D$14*M98)) /((1-Data!$D$23)*Data!$D$14*1000)))),"---")</f>
        <v>NA</v>
      </c>
      <c r="Z98" s="376" t="str">
        <f>IF(Start!$C$18="x",IF(OR(Y98="NA",X98="NA"),"NA",IF(Y98&gt;X98, Y98, X98)),"---")</f>
        <v>NA</v>
      </c>
      <c r="AA98" s="461" t="str">
        <f>IF(Start!$C$18="x",IF(OR(Z98="NA",T98="NA"),"NA",Z98*T98/(1000000000)),"---")</f>
        <v>NA</v>
      </c>
      <c r="AB98" s="1057" t="str">
        <f>IF(Start!$C$18="x",IF(AA98 = "NA", "NA", AA98*(Data!$D$52*Data!$D$53*10000)),"---")</f>
        <v>NA</v>
      </c>
      <c r="AC98" s="375" t="str">
        <f>IF(Start!$C$18="x",IF(AB98="NA", "NA", AB98*Data!$D$54),"---")</f>
        <v>NA</v>
      </c>
      <c r="AD98" s="498" t="str">
        <f>IF(Start!$C$18="x",IF(AC98="NA","NA",AC98*Data!$D$41),"---")</f>
        <v>NA</v>
      </c>
      <c r="AE98" s="376" t="str">
        <f>IF(Start!$C$18="x",IF(AB98 = "NA", "NA", AB98/(Data!$D$53*3*Data!$D$48)*1000),"---")</f>
        <v>NA</v>
      </c>
      <c r="AF98" s="498" t="str">
        <f>IF(Start!$C$18="x",IF(AE98="NA","NA",AE98*Data!$D$46),"---")</f>
        <v>NA</v>
      </c>
      <c r="AG98" s="375">
        <f>IF(Start!$C$18="x",IF(OR($L98="NA",L98=""),"NA",($L98*(Data!$D$55^3.33)/(Data!$D$18^2))),"---")</f>
        <v>3.5350603021976805E-4</v>
      </c>
      <c r="AH98" s="376" t="str">
        <f>IF(Start!$C$18="x",IF(OR(F98="NA",F98="",P98="NA",P98=""),"NA",IF(100/Data!$D$10&gt;Data!$D$13,(F98*$P98),(F98*$P98)*Data!$D$13)),"---")</f>
        <v>NA</v>
      </c>
      <c r="AI98" s="489">
        <f>IF(Start!$C$18="x",IF(OR($N98="NA",$Q98="NA",$Q98=0,Q98="",N98=""),"NA",(1000*$N98/$Q98)),"---")</f>
        <v>8724037.222222222</v>
      </c>
      <c r="AJ98" s="376">
        <f>IF(Start!$C$18="x",IF(OR(Q98 = "NA",Q98=0,N98 = "NA",N98="",Q98=""), "NA", IF($AG98="NA","NA",(3.1416*Data!$D$57*86400/($AG98*(Data!$D$55+(N98*Data!$D$19/(Q98*1000)))))^0.5)),"---")</f>
        <v>1763.1297502826183</v>
      </c>
      <c r="AK98" s="376" t="str">
        <f>IF(Start!$C$18="x",IF(OR(AH98 = "NA",AI98="NA",AI98=0,AI98="",AH98=""), "NA", AH98/AI98),"---")</f>
        <v>NA</v>
      </c>
      <c r="AL98" s="376" t="str">
        <f>IF(Start!$C$18="x",IF(OR(AK98 ="NA",AK98="",AJ98= "NA",R98="NA",R98=0),"NA",(2*AK98)/(1000*(1/$R98+AJ98))),"---")</f>
        <v>NA</v>
      </c>
      <c r="AM98" s="376" t="str">
        <f>IF(Start!$C$18="x",IF(AL98 = "NA", "NA", AL98*(Data!$D$52*Data!$D$53*10000)),"---")</f>
        <v>NA</v>
      </c>
      <c r="AN98" s="376" t="str">
        <f>IF(Start!$C$18="x",IF(AM98 = "NA", "NA", AM98*(Data!$D$54)),"---")</f>
        <v>NA</v>
      </c>
      <c r="AO98" s="498" t="str">
        <f>IF(Start!$C$18="x",IF(AN98="NA","NA",AN98*Data!$D$41),"---")</f>
        <v>NA</v>
      </c>
      <c r="AP98" s="376">
        <f>IF(Start!$C$18="x",IF(OR(Q98=0,N98="NA",N98="",AG98="NA",AG98="",AG98=0,Q98="",Q98="NA"),"NA", (3.1416*Data!$D$56*86400/($AG98*(Data!$D$55+(N98*Data!$D$19/(Q98*1000)))))^0.5),"---")</f>
        <v>1763.1297502826183</v>
      </c>
      <c r="AQ98" s="376" t="str">
        <f>IF(Start!$C$18="x",IF(OR(AH98="NA",AI98="NA",AI98="",AI98=0,AH98=""),"NA", AH98/AI98),"---")</f>
        <v>NA</v>
      </c>
      <c r="AR98" s="376" t="str">
        <f>IF(Start!$C$18="x",IF(OR(AQ98="NA",AP98="NA",$R98="NA",R98=0,R98=""),"NA",(2*AQ98)/(1000*(1/$R98+AP98))),"---")</f>
        <v>NA</v>
      </c>
      <c r="AS98" s="376" t="str">
        <f>IF(Start!$C$18="x",IF(AR98 = "NA", "NA", AR98*(Data!$D$52*Data!$D$53*10000)),"---")</f>
        <v>NA</v>
      </c>
      <c r="AT98" s="376" t="str">
        <f>IF(Start!$C$18="x",IF(AS98 = "NA", "NA", (AS98*1000)/(Data!$D$48*3*Data!$D$53)),"---")</f>
        <v>NA</v>
      </c>
      <c r="AU98" s="498" t="str">
        <f>IF(Start!$C$18="x",IF(AT98="NA","NA",AT98*Data!$D$47),"---")</f>
        <v>NA</v>
      </c>
      <c r="AV98" s="283" t="str">
        <f>IF(Start!$C$18="x",(IF(AND(F98="",G98= "",G98&lt;&gt;"NA"),"",IF(OR(AD98="NA",I98="NA",I98=0),"NA",(AD98/I98)))),"Not Req.")</f>
        <v/>
      </c>
      <c r="AW98" s="284" t="str">
        <f>IF(Start!$C$18="x",(IF(AND(F98="",G98= "",G98&lt;&gt;"NA"),"",IF(OR(AF98="NA",I98="NA",I98=0),"NA",(AF98/I98)))),"Not Req.")</f>
        <v/>
      </c>
      <c r="AX98" s="284" t="str">
        <f>IF(Start!$C$18="x",(IF(F98 ="","",IF(OR(AO98="NA",I98="NA",I98=0),"NA",(AO98/I98)))),"Not Req.")</f>
        <v/>
      </c>
      <c r="AY98" s="344" t="str">
        <f>IF(Start!$C$18="x",(IF(F98 ="","",IF(OR(AU98="NA",I98="NA",I98=0),"NA",(AU98/I98)))),"Not Req.")</f>
        <v/>
      </c>
      <c r="AZ98" s="208"/>
    </row>
    <row r="99" spans="1:52" s="183" customFormat="1" x14ac:dyDescent="0.25">
      <c r="A99" s="405" t="s">
        <v>417</v>
      </c>
      <c r="B99" s="347" t="str">
        <f>IF(Start!$C$18="x",IF(AND(OR(F99="",F99="NA"),OR(G99="",G99="NA")),"",IF(I99="NA","NA",IF(AND(I99="",K99="--"),"NA",IF(AD99="NA","Missing Data",IF(I99="","No Criteria",IF(AD99&gt;=I99,"Needed","No")))))),"---")</f>
        <v/>
      </c>
      <c r="C99" s="501" t="str">
        <f>IF(Start!$C$18="x",IF(AND(OR(F99="",F99="NA"),OR(G99="",G99="NA")),"",IF(I99="NA","NA",IF(AND(I99="",K99="--"),"NA",IF(AF99="NA","Missing Data",IF(I99="","No Criteria",IF(AF99&gt;=I99,"Needed","No")))))),"---")</f>
        <v/>
      </c>
      <c r="D99" s="347" t="str">
        <f>IF(Start!$C$18="x",IF(AND(OR(F99="",F99="NA"),OR(G99="",G99="NA")),"",IF(I99="NA","NA",IF(AND(I99="",K99="--"),"NA",IF(AO99="NA","Missing Data",IF(I99="","No Criteria",IF(AO99&gt;=I99,"Needed","No")))))),"---")</f>
        <v/>
      </c>
      <c r="E99" s="401" t="str">
        <f>IF(Start!$C$18="x",IF(AND(OR(F99="",F99="NA"),OR(G99="",G99="NA")),"",IF(I99="NA","NA",IF(AND(I99="",K99="--"),"NA",IF(AU99="NA","Missing Data",IF(I99="","No Criteria",IF(AU99&gt;=I99,"Needed","No")))))),"---")</f>
        <v/>
      </c>
      <c r="F99" s="431" t="str">
        <f>IF(TRUE=ISBLANK(ChemData!B99),"",(ChemData!B99))</f>
        <v/>
      </c>
      <c r="G99" s="432" t="str">
        <f>IF(TRUE=ISBLANK(ChemData!C99),"",(ChemData!C99))</f>
        <v/>
      </c>
      <c r="H99" s="433" t="str">
        <f>IF(TRUE=ISBLANK(ChemData!D99),"",(ChemData!D99))</f>
        <v/>
      </c>
      <c r="I99" s="919">
        <f>IF(TRUE=ISBLANK(ChemData!K99),"",(ChemData!K99))</f>
        <v>5.0000000000000001E-3</v>
      </c>
      <c r="J99" s="290">
        <f>IF(TRUE=ISBLANK(ChemData!M99),"",(ChemData!M99))</f>
        <v>128.6</v>
      </c>
      <c r="K99" s="290">
        <f>IF(TRUE=ISBLANK(ChemData!N99),"",(ChemData!N99))</f>
        <v>1.03E-5</v>
      </c>
      <c r="L99" s="290">
        <f>IF(TRUE=ISBLANK(ChemData!O99),"",(ChemData!O99))</f>
        <v>5.0099999999999999E-2</v>
      </c>
      <c r="M99" s="290">
        <f>IF(TRUE=ISBLANK(ChemData!Q99),"",(ChemData!Q99))</f>
        <v>2.6755090156507135</v>
      </c>
      <c r="N99" s="290">
        <f>IF(TRUE=ISBLANK(ChemData!R99),"",(ChemData!R99))</f>
        <v>2.6755090156507135</v>
      </c>
      <c r="O99" s="290">
        <f>IF(TRUE=ISBLANK(ChemData!S99),"",(ChemData!S99))</f>
        <v>1</v>
      </c>
      <c r="P99" s="291">
        <f>IF(TRUE=ISBLANK(ChemData!T99),"",(ChemData!T99))</f>
        <v>1</v>
      </c>
      <c r="Q99" s="375">
        <f>IF(Start!$C$18="x",IF(OR(K99="NA",K99="",K99="--"),"NA",(K99*1000000/82.1/Data!$D$50)),"---")</f>
        <v>4.0469922596361632E-4</v>
      </c>
      <c r="R99" s="376">
        <f>IF(Start!$C$18="x",IF(OR(J99="NA",J99=0,J99=""),"NA",(0.32*(Data!$D$48+Data!$D$49)*(18/J99)^0.5)),"---")</f>
        <v>0.30827831742653322</v>
      </c>
      <c r="S99" s="376">
        <f>IF(Start!$C$18="x",IF(OR(J99="NA",J99= 0,J99=""),"NA",(0.0065*((Data!$D$49^0.969)/(Data!$D$51^0.673))*(32/J99)^0.5*EXP(0.526*Data!$D$48^-1.9))),"---")</f>
        <v>6.4976623497793259E-4</v>
      </c>
      <c r="T99" s="377">
        <f>IF(Start!$C$18="x",IF(OR(S99="NA",R99="NA",R99=0,Q99="NA",S99=0,Q99=0),"NA",(1/(1/S99+(1/(R99*Q99))))),"---")</f>
        <v>1.0466376718628379E-4</v>
      </c>
      <c r="U99" s="375" t="str">
        <f>IF(Start!$C$18="x",IF(OR(F99="NA",F99="",O99="",O99="NA"),"NA",(F99*$O99)),"---")</f>
        <v>NA</v>
      </c>
      <c r="V99" s="376" t="str">
        <f>IF(Start!$C$18="x",IF(OR(U99="NA",M99="NA",M99="",U99=""),"NA",U99/((Data!$D$18+((1-Data!$D$18)*Data!$D$14*M99))/((1-Data!$D$18)*Data!$D$14*1000))),"---")</f>
        <v>NA</v>
      </c>
      <c r="W99" s="376" t="str">
        <f>IF(Start!$C$18="x",IF(OR(G99="NA",U99="NA",G99="",U99=""),"NA",(U99 +($G99*(Data!$D$19-Data!$D$22)/(Data!$D$19*Data!$D$22)))),"---")</f>
        <v>NA</v>
      </c>
      <c r="X99" s="376" t="str">
        <f>IF(Start!$C$18="x",IF(OR(G99="NA",V99="NA",G99="",V99=""),"NA",(((Data!$D$22*Data!$D$18)*V99)+(Data!$D$19-Data!$D$22)*$G99)/((Data!$D$22*Data!$D$18)+Data!$D$19-Data!$D$22)),"---")</f>
        <v>NA</v>
      </c>
      <c r="Y99" s="376" t="str">
        <f>IF(Start!$C$18="x",IF(OR(W99="NA",W99="",M99="NA",M99=""),"NA",(W99/((Data!$D$23+((1-Data!$D$23)*Data!$D$14*M99)) /((1-Data!$D$23)*Data!$D$14*1000)))),"---")</f>
        <v>NA</v>
      </c>
      <c r="Z99" s="376" t="str">
        <f>IF(Start!$C$18="x",IF(OR(Y99="NA",X99="NA"),"NA",IF(Y99&gt;X99, Y99, X99)),"---")</f>
        <v>NA</v>
      </c>
      <c r="AA99" s="461" t="str">
        <f>IF(Start!$C$18="x",IF(OR(Z99="NA",T99="NA"),"NA",Z99*T99/(1000000000)),"---")</f>
        <v>NA</v>
      </c>
      <c r="AB99" s="1057" t="str">
        <f>IF(Start!$C$18="x",IF(AA99 = "NA", "NA", AA99*(Data!$D$52*Data!$D$53*10000)),"---")</f>
        <v>NA</v>
      </c>
      <c r="AC99" s="375" t="str">
        <f>IF(Start!$C$18="x",IF(AB99="NA", "NA", AB99*Data!$D$54),"---")</f>
        <v>NA</v>
      </c>
      <c r="AD99" s="498" t="str">
        <f>IF(Start!$C$18="x",IF(AC99="NA","NA",AC99*Data!$D$41),"---")</f>
        <v>NA</v>
      </c>
      <c r="AE99" s="376" t="str">
        <f>IF(Start!$C$18="x",IF(AB99 = "NA", "NA", AB99/(Data!$D$53*3*Data!$D$48)*1000),"---")</f>
        <v>NA</v>
      </c>
      <c r="AF99" s="498" t="str">
        <f>IF(Start!$C$18="x",IF(AE99="NA","NA",AE99*Data!$D$46),"---")</f>
        <v>NA</v>
      </c>
      <c r="AG99" s="375">
        <f>IF(Start!$C$18="x",IF(OR($L99="NA",L99=""),"NA",($L99*(Data!$D$55^3.33)/(Data!$D$18^2))),"---")</f>
        <v>5.1039343268041433E-4</v>
      </c>
      <c r="AH99" s="376" t="str">
        <f>IF(Start!$C$18="x",IF(OR(F99="NA",F99="",P99="NA",P99=""),"NA",IF(100/Data!$D$10&gt;Data!$D$13,(F99*$P99),(F99*$P99)*Data!$D$13)),"---")</f>
        <v>NA</v>
      </c>
      <c r="AI99" s="489">
        <f>IF(Start!$C$18="x",IF(OR($N99="NA",$Q99="NA",$Q99=0,Q99="",N99=""),"NA",(1000*$N99/$Q99)),"---")</f>
        <v>6611104.8502258565</v>
      </c>
      <c r="AJ99" s="376">
        <f>IF(Start!$C$18="x",IF(OR(Q99 = "NA",Q99=0,N99 = "NA",N99="",Q99=""), "NA", IF($AG99="NA","NA",(3.1416*Data!$D$57*86400/($AG99*(Data!$D$55+(N99*Data!$D$19/(Q99*1000)))))^0.5)),"---")</f>
        <v>1685.5824752969245</v>
      </c>
      <c r="AK99" s="376" t="str">
        <f>IF(Start!$C$18="x",IF(OR(AH99 = "NA",AI99="NA",AI99=0,AI99="",AH99=""), "NA", AH99/AI99),"---")</f>
        <v>NA</v>
      </c>
      <c r="AL99" s="376" t="str">
        <f>IF(Start!$C$18="x",IF(OR(AK99 ="NA",AK99="",AJ99= "NA",R99="NA",R99=0),"NA",(2*AK99)/(1000*(1/$R99+AJ99))),"---")</f>
        <v>NA</v>
      </c>
      <c r="AM99" s="376" t="str">
        <f>IF(Start!$C$18="x",IF(AL99 = "NA", "NA", AL99*(Data!$D$52*Data!$D$53*10000)),"---")</f>
        <v>NA</v>
      </c>
      <c r="AN99" s="376" t="str">
        <f>IF(Start!$C$18="x",IF(AM99 = "NA", "NA", AM99*(Data!$D$54)),"---")</f>
        <v>NA</v>
      </c>
      <c r="AO99" s="498" t="str">
        <f>IF(Start!$C$18="x",IF(AN99="NA","NA",AN99*Data!$D$41),"---")</f>
        <v>NA</v>
      </c>
      <c r="AP99" s="376">
        <f>IF(Start!$C$18="x",IF(OR(Q99=0,N99="NA",N99="",AG99="NA",AG99="",AG99=0,Q99="",Q99="NA"),"NA", (3.1416*Data!$D$56*86400/($AG99*(Data!$D$55+(N99*Data!$D$19/(Q99*1000)))))^0.5),"---")</f>
        <v>1685.5824752969245</v>
      </c>
      <c r="AQ99" s="376" t="str">
        <f>IF(Start!$C$18="x",IF(OR(AH99="NA",AI99="NA",AI99="",AI99=0,AH99=""),"NA", AH99/AI99),"---")</f>
        <v>NA</v>
      </c>
      <c r="AR99" s="376" t="str">
        <f>IF(Start!$C$18="x",IF(OR(AQ99="NA",AP99="NA",$R99="NA",R99=0,R99=""),"NA",(2*AQ99)/(1000*(1/$R99+AP99))),"---")</f>
        <v>NA</v>
      </c>
      <c r="AS99" s="376" t="str">
        <f>IF(Start!$C$18="x",IF(AR99 = "NA", "NA", AR99*(Data!$D$52*Data!$D$53*10000)),"---")</f>
        <v>NA</v>
      </c>
      <c r="AT99" s="376" t="str">
        <f>IF(Start!$C$18="x",IF(AS99 = "NA", "NA", (AS99*1000)/(Data!$D$48*3*Data!$D$53)),"---")</f>
        <v>NA</v>
      </c>
      <c r="AU99" s="498" t="str">
        <f>IF(Start!$C$18="x",IF(AT99="NA","NA",AT99*Data!$D$47),"---")</f>
        <v>NA</v>
      </c>
      <c r="AV99" s="283" t="str">
        <f>IF(Start!$C$18="x",(IF(AND(F99="",G99= "",G99&lt;&gt;"NA"),"",IF(OR(AD99="NA",I99="NA",I99=0),"NA",(AD99/I99)))),"Not Req.")</f>
        <v/>
      </c>
      <c r="AW99" s="284" t="str">
        <f>IF(Start!$C$18="x",(IF(AND(F99="",G99= "",G99&lt;&gt;"NA"),"",IF(OR(AF99="NA",I99="NA",I99=0),"NA",(AF99/I99)))),"Not Req.")</f>
        <v/>
      </c>
      <c r="AX99" s="284" t="str">
        <f>IF(Start!$C$18="x",(IF(F99 ="","",IF(OR(AO99="NA",I99="NA",I99=0),"NA",(AO99/I99)))),"Not Req.")</f>
        <v/>
      </c>
      <c r="AY99" s="344" t="str">
        <f>IF(Start!$C$18="x",(IF(F99 ="","",IF(OR(AU99="NA",I99="NA",I99=0),"NA",(AU99/I99)))),"Not Req.")</f>
        <v/>
      </c>
      <c r="AZ99" s="208"/>
    </row>
    <row r="100" spans="1:52" s="183" customFormat="1" x14ac:dyDescent="0.25">
      <c r="A100" s="405" t="s">
        <v>418</v>
      </c>
      <c r="B100" s="347" t="str">
        <f>IF(Start!$C$18="x",IF(AND(OR(F100="",F100="NA"),OR(G100="",G100="NA")),"",IF(I100="NA","NA",IF(AND(I100="",K100="--"),"NA",IF(AD100="NA","Missing Data",IF(I100="","No Criteria",IF(AD100&gt;=I100,"Needed","No")))))),"---")</f>
        <v/>
      </c>
      <c r="C100" s="501" t="str">
        <f>IF(Start!$C$18="x",IF(AND(OR(F100="",F100="NA"),OR(G100="",G100="NA")),"",IF(I100="NA","NA",IF(AND(I100="",K100="--"),"NA",IF(AF100="NA","Missing Data",IF(I100="","No Criteria",IF(AF100&gt;=I100,"Needed","No")))))),"---")</f>
        <v/>
      </c>
      <c r="D100" s="347" t="str">
        <f>IF(Start!$C$18="x",IF(AND(OR(F100="",F100="NA"),OR(G100="",G100="NA")),"",IF(I100="NA","NA",IF(AND(I100="",K100="--"),"NA",IF(AO100="NA","Missing Data",IF(I100="","No Criteria",IF(AO100&gt;=I100,"Needed","No")))))),"---")</f>
        <v/>
      </c>
      <c r="E100" s="401" t="str">
        <f>IF(Start!$C$18="x",IF(AND(OR(F100="",F100="NA"),OR(G100="",G100="NA")),"",IF(I100="NA","NA",IF(AND(I100="",K100="--"),"NA",IF(AU100="NA","Missing Data",IF(I100="","No Criteria",IF(AU100&gt;=I100,"Needed","No")))))),"---")</f>
        <v/>
      </c>
      <c r="F100" s="431" t="str">
        <f>IF(TRUE=ISBLANK(ChemData!B100),"",(ChemData!B100))</f>
        <v/>
      </c>
      <c r="G100" s="432" t="str">
        <f>IF(TRUE=ISBLANK(ChemData!C100),"",(ChemData!C100))</f>
        <v/>
      </c>
      <c r="H100" s="433" t="str">
        <f>IF(TRUE=ISBLANK(ChemData!D100),"",(ChemData!D100))</f>
        <v/>
      </c>
      <c r="I100" s="919">
        <f>IF(TRUE=ISBLANK(ChemData!K100),"",(ChemData!K100))</f>
        <v>4.9000000000000002E-2</v>
      </c>
      <c r="J100" s="290">
        <f>IF(TRUE=ISBLANK(ChemData!M100),"",(ChemData!M100))</f>
        <v>204.7</v>
      </c>
      <c r="K100" s="290">
        <f>IF(TRUE=ISBLANK(ChemData!N100),"",(ChemData!N100))</f>
        <v>2.2000000000000001E-4</v>
      </c>
      <c r="L100" s="290">
        <f>IF(TRUE=ISBLANK(ChemData!O100),"",(ChemData!O100))</f>
        <v>0.15374249036424936</v>
      </c>
      <c r="M100" s="290">
        <f>IF(TRUE=ISBLANK(ChemData!Q100),"",(ChemData!Q100))</f>
        <v>1851</v>
      </c>
      <c r="N100" s="290">
        <f>IF(TRUE=ISBLANK(ChemData!R100),"",(ChemData!R100))</f>
        <v>1851</v>
      </c>
      <c r="O100" s="290">
        <f>IF(TRUE=ISBLANK(ChemData!S100),"",(ChemData!S100))</f>
        <v>1</v>
      </c>
      <c r="P100" s="291">
        <f>IF(TRUE=ISBLANK(ChemData!T100),"",(ChemData!T100))</f>
        <v>1</v>
      </c>
      <c r="Q100" s="375">
        <f>IF(Start!$C$18="x",IF(OR(K100="NA",K100="",K100="--"),"NA",(K100*1000000/82.1/Data!$D$50)),"---")</f>
        <v>8.6440611370869509E-3</v>
      </c>
      <c r="R100" s="376">
        <f>IF(Start!$C$18="x",IF(OR(J100="NA",J100=0,J100=""),"NA",(0.32*(Data!$D$48+Data!$D$49)*(18/J100)^0.5)),"---")</f>
        <v>0.24434561122209217</v>
      </c>
      <c r="S100" s="376">
        <f>IF(Start!$C$18="x",IF(OR(J100="NA",J100= 0,J100=""),"NA",(0.0065*((Data!$D$49^0.969)/(Data!$D$51^0.673))*(32/J100)^0.5*EXP(0.526*Data!$D$48^-1.9))),"---")</f>
        <v>5.1501360576550073E-4</v>
      </c>
      <c r="T100" s="377">
        <f>IF(Start!$C$18="x",IF(OR(S100="NA",R100="NA",R100=0,Q100="NA",S100=0,Q100=0),"NA",(1/(1/S100+(1/(R100*Q100))))),"---")</f>
        <v>4.1405294062647383E-4</v>
      </c>
      <c r="U100" s="375" t="str">
        <f>IF(Start!$C$18="x",IF(OR(F100="NA",F100="",O100="",O100="NA"),"NA",(F100*$O100)),"---")</f>
        <v>NA</v>
      </c>
      <c r="V100" s="376" t="str">
        <f>IF(Start!$C$18="x",IF(OR(U100="NA",M100="NA",M100="",U100=""),"NA",U100/((Data!$D$18+((1-Data!$D$18)*Data!$D$14*M100))/((1-Data!$D$18)*Data!$D$14*1000))),"---")</f>
        <v>NA</v>
      </c>
      <c r="W100" s="376" t="str">
        <f>IF(Start!$C$18="x",IF(OR(G100="NA",U100="NA",G100="",U100=""),"NA",(U100 +($G100*(Data!$D$19-Data!$D$22)/(Data!$D$19*Data!$D$22)))),"---")</f>
        <v>NA</v>
      </c>
      <c r="X100" s="376" t="str">
        <f>IF(Start!$C$18="x",IF(OR(G100="NA",V100="NA",G100="",V100=""),"NA",(((Data!$D$22*Data!$D$18)*V100)+(Data!$D$19-Data!$D$22)*$G100)/((Data!$D$22*Data!$D$18)+Data!$D$19-Data!$D$22)),"---")</f>
        <v>NA</v>
      </c>
      <c r="Y100" s="376" t="str">
        <f>IF(Start!$C$18="x",IF(OR(W100="NA",W100="",M100="NA",M100=""),"NA",(W100/((Data!$D$23+((1-Data!$D$23)*Data!$D$14*M100)) /((1-Data!$D$23)*Data!$D$14*1000)))),"---")</f>
        <v>NA</v>
      </c>
      <c r="Z100" s="376" t="str">
        <f>IF(Start!$C$18="x",IF(OR(Y100="NA",X100="NA"),"NA",IF(Y100&gt;X100, Y100, X100)),"---")</f>
        <v>NA</v>
      </c>
      <c r="AA100" s="461" t="str">
        <f>IF(Start!$C$18="x",IF(OR(Z100="NA",T100="NA"),"NA",Z100*T100/(1000000000)),"---")</f>
        <v>NA</v>
      </c>
      <c r="AB100" s="1057" t="str">
        <f>IF(Start!$C$18="x",IF(AA100 = "NA", "NA", AA100*(Data!$D$52*Data!$D$53*10000)),"---")</f>
        <v>NA</v>
      </c>
      <c r="AC100" s="375" t="str">
        <f>IF(Start!$C$18="x",IF(AB100="NA", "NA", AB100*Data!$D$54),"---")</f>
        <v>NA</v>
      </c>
      <c r="AD100" s="498" t="str">
        <f>IF(Start!$C$18="x",IF(AC100="NA","NA",AC100*Data!$D$41),"---")</f>
        <v>NA</v>
      </c>
      <c r="AE100" s="376" t="str">
        <f>IF(Start!$C$18="x",IF(AB100 = "NA", "NA", AB100/(Data!$D$53*3*Data!$D$48)*1000),"---")</f>
        <v>NA</v>
      </c>
      <c r="AF100" s="498" t="str">
        <f>IF(Start!$C$18="x",IF(AE100="NA","NA",AE100*Data!$D$46),"---")</f>
        <v>NA</v>
      </c>
      <c r="AG100" s="375">
        <f>IF(Start!$C$18="x",IF(OR($L100="NA",L100=""),"NA",($L100*(Data!$D$55^3.33)/(Data!$D$18^2))),"---")</f>
        <v>1.5662506468232485E-3</v>
      </c>
      <c r="AH100" s="376" t="str">
        <f>IF(Start!$C$18="x",IF(OR(F100="NA",F100="",P100="NA",P100=""),"NA",IF(100/Data!$D$10&gt;Data!$D$13,(F100*$P100),(F100*$P100)*Data!$D$13)),"---")</f>
        <v>NA</v>
      </c>
      <c r="AI100" s="489">
        <f>IF(Start!$C$18="x",IF(OR($N100="NA",$Q100="NA",$Q100=0,Q100="",N100=""),"NA",(1000*$N100/$Q100)),"---")</f>
        <v>214135459.09090909</v>
      </c>
      <c r="AJ100" s="376">
        <f>IF(Start!$C$18="x",IF(OR(Q100 = "NA",Q100=0,N100 = "NA",N100="",Q100=""), "NA", IF($AG100="NA","NA",(3.1416*Data!$D$57*86400/($AG100*(Data!$D$55+(N100*Data!$D$19/(Q100*1000)))))^0.5)),"---")</f>
        <v>169.07217432542168</v>
      </c>
      <c r="AK100" s="376" t="str">
        <f>IF(Start!$C$18="x",IF(OR(AH100 = "NA",AI100="NA",AI100=0,AI100="",AH100=""), "NA", AH100/AI100),"---")</f>
        <v>NA</v>
      </c>
      <c r="AL100" s="376" t="str">
        <f>IF(Start!$C$18="x",IF(OR(AK100 ="NA",AK100="",AJ100= "NA",R100="NA",R100=0),"NA",(2*AK100)/(1000*(1/$R100+AJ100))),"---")</f>
        <v>NA</v>
      </c>
      <c r="AM100" s="376" t="str">
        <f>IF(Start!$C$18="x",IF(AL100 = "NA", "NA", AL100*(Data!$D$52*Data!$D$53*10000)),"---")</f>
        <v>NA</v>
      </c>
      <c r="AN100" s="376" t="str">
        <f>IF(Start!$C$18="x",IF(AM100 = "NA", "NA", AM100*(Data!$D$54)),"---")</f>
        <v>NA</v>
      </c>
      <c r="AO100" s="498" t="str">
        <f>IF(Start!$C$18="x",IF(AN100="NA","NA",AN100*Data!$D$41),"---")</f>
        <v>NA</v>
      </c>
      <c r="AP100" s="376">
        <f>IF(Start!$C$18="x",IF(OR(Q100=0,N100="NA",N100="",AG100="NA",AG100="",AG100=0,Q100="",Q100="NA"),"NA", (3.1416*Data!$D$56*86400/($AG100*(Data!$D$55+(N100*Data!$D$19/(Q100*1000)))))^0.5),"---")</f>
        <v>169.07217432542168</v>
      </c>
      <c r="AQ100" s="376" t="str">
        <f>IF(Start!$C$18="x",IF(OR(AH100="NA",AI100="NA",AI100="",AI100=0,AH100=""),"NA", AH100/AI100),"---")</f>
        <v>NA</v>
      </c>
      <c r="AR100" s="376" t="str">
        <f>IF(Start!$C$18="x",IF(OR(AQ100="NA",AP100="NA",$R100="NA",R100=0,R100=""),"NA",(2*AQ100)/(1000*(1/$R100+AP100))),"---")</f>
        <v>NA</v>
      </c>
      <c r="AS100" s="376" t="str">
        <f>IF(Start!$C$18="x",IF(AR100 = "NA", "NA", AR100*(Data!$D$52*Data!$D$53*10000)),"---")</f>
        <v>NA</v>
      </c>
      <c r="AT100" s="376" t="str">
        <f>IF(Start!$C$18="x",IF(AS100 = "NA", "NA", (AS100*1000)/(Data!$D$48*3*Data!$D$53)),"---")</f>
        <v>NA</v>
      </c>
      <c r="AU100" s="498" t="str">
        <f>IF(Start!$C$18="x",IF(AT100="NA","NA",AT100*Data!$D$47),"---")</f>
        <v>NA</v>
      </c>
      <c r="AV100" s="283" t="str">
        <f>IF(Start!$C$18="x",(IF(AND(F100="",G100= "",G100&lt;&gt;"NA"),"",IF(OR(AD100="NA",I100="NA",I100=0),"NA",(AD100/I100)))),"Not Req.")</f>
        <v/>
      </c>
      <c r="AW100" s="284" t="str">
        <f>IF(Start!$C$18="x",(IF(AND(F100="",G100= "",G100&lt;&gt;"NA"),"",IF(OR(AF100="NA",I100="NA",I100=0),"NA",(AF100/I100)))),"Not Req.")</f>
        <v/>
      </c>
      <c r="AX100" s="284" t="str">
        <f>IF(Start!$C$18="x",(IF(F100 ="","",IF(OR(AO100="NA",I100="NA",I100=0),"NA",(AO100/I100)))),"Not Req.")</f>
        <v/>
      </c>
      <c r="AY100" s="344" t="str">
        <f>IF(Start!$C$18="x",(IF(F100 ="","",IF(OR(AU100="NA",I100="NA",I100=0),"NA",(AU100/I100)))),"Not Req.")</f>
        <v/>
      </c>
      <c r="AZ100" s="208"/>
    </row>
    <row r="101" spans="1:52" s="183" customFormat="1" x14ac:dyDescent="0.25">
      <c r="A101" s="405" t="s">
        <v>419</v>
      </c>
      <c r="B101" s="347" t="str">
        <f>IF(Start!$C$18="x",IF(AND(OR(F101="",F101="NA"),OR(G101="",G101="NA")),"",IF(I101="NA","NA",IF(AND(I101="",K101="--"),"NA",IF(AD101="NA","Missing Data",IF(I101="","No Criteria",IF(AD101&gt;=I101,"Needed","No")))))),"---")</f>
        <v/>
      </c>
      <c r="C101" s="501" t="str">
        <f>IF(Start!$C$18="x",IF(AND(OR(F101="",F101="NA"),OR(G101="",G101="NA")),"",IF(I101="NA","NA",IF(AND(I101="",K101="--"),"NA",IF(AF101="NA","Missing Data",IF(I101="","No Criteria",IF(AF101&gt;=I101,"Needed","No")))))),"---")</f>
        <v/>
      </c>
      <c r="D101" s="347" t="str">
        <f>IF(Start!$C$18="x",IF(AND(OR(F101="",F101="NA"),OR(G101="",G101="NA")),"",IF(I101="NA","NA",IF(AND(I101="",K101="--"),"NA",IF(AO101="NA","Missing Data",IF(I101="","No Criteria",IF(AO101&gt;=I101,"Needed","No")))))),"---")</f>
        <v/>
      </c>
      <c r="E101" s="401" t="str">
        <f>IF(Start!$C$18="x",IF(AND(OR(F101="",F101="NA"),OR(G101="",G101="NA")),"",IF(I101="NA","NA",IF(AND(I101="",K101="--"),"NA",IF(AU101="NA","Missing Data",IF(I101="","No Criteria",IF(AU101&gt;=I101,"Needed","No")))))),"---")</f>
        <v/>
      </c>
      <c r="F101" s="431" t="str">
        <f>IF(TRUE=ISBLANK(ChemData!B101),"",(ChemData!B101))</f>
        <v/>
      </c>
      <c r="G101" s="432" t="str">
        <f>IF(TRUE=ISBLANK(ChemData!C101),"",(ChemData!C101))</f>
        <v/>
      </c>
      <c r="H101" s="433" t="str">
        <f>IF(TRUE=ISBLANK(ChemData!D101),"",(ChemData!D101))</f>
        <v/>
      </c>
      <c r="I101" s="919" t="str">
        <f>IF(TRUE=ISBLANK(ChemData!K101),"",(ChemData!K101))</f>
        <v>NA</v>
      </c>
      <c r="J101" s="290">
        <f>IF(TRUE=ISBLANK(ChemData!M101),"",(ChemData!M101))</f>
        <v>84.16</v>
      </c>
      <c r="K101" s="290">
        <f>IF(TRUE=ISBLANK(ChemData!N101),"",(ChemData!N101))</f>
        <v>0.19500000000000001</v>
      </c>
      <c r="L101" s="290">
        <f>IF(TRUE=ISBLANK(ChemData!O101),"",(ChemData!O101))</f>
        <v>8.3900000000000002E-2</v>
      </c>
      <c r="M101" s="290">
        <f>IF(TRUE=ISBLANK(ChemData!Q101),"",(ChemData!Q101))</f>
        <v>50.980773298789508</v>
      </c>
      <c r="N101" s="290">
        <f>IF(TRUE=ISBLANK(ChemData!R101),"",(ChemData!R101))</f>
        <v>50.980773298789508</v>
      </c>
      <c r="O101" s="290">
        <f>IF(TRUE=ISBLANK(ChemData!S101),"",(ChemData!S101))</f>
        <v>1</v>
      </c>
      <c r="P101" s="291">
        <f>IF(TRUE=ISBLANK(ChemData!T101),"",(ChemData!T101))</f>
        <v>1</v>
      </c>
      <c r="Q101" s="375">
        <f>IF(Start!$C$18="x",IF(OR(K101="NA",K101="",K101="--"),"NA",(K101*1000000/82.1/Data!$D$50)),"---")</f>
        <v>7.6617814624179807</v>
      </c>
      <c r="R101" s="376">
        <f>IF(Start!$C$18="x",IF(OR(J101="NA",J101=0,J101=""),"NA",(0.32*(Data!$D$48+Data!$D$49)*(18/J101)^0.5)),"---")</f>
        <v>0.38107512507453223</v>
      </c>
      <c r="S101" s="376">
        <f>IF(Start!$C$18="x",IF(OR(J101="NA",J101= 0,J101=""),"NA",(0.0065*((Data!$D$49^0.969)/(Data!$D$51^0.673))*(32/J101)^0.5*EXP(0.526*Data!$D$48^-1.9))),"---")</f>
        <v>8.032019615600509E-4</v>
      </c>
      <c r="T101" s="377">
        <f>IF(Start!$C$18="x",IF(OR(S101="NA",R101="NA",R101=0,Q101="NA",S101=0,Q101=0),"NA",(1/(1/S101+(1/(R101*Q101))))),"---")</f>
        <v>8.0298106461826032E-4</v>
      </c>
      <c r="U101" s="375" t="str">
        <f>IF(Start!$C$18="x",IF(OR(F101="NA",F101="",O101="",O101="NA"),"NA",(F101*$O101)),"---")</f>
        <v>NA</v>
      </c>
      <c r="V101" s="376" t="str">
        <f>IF(Start!$C$18="x",IF(OR(U101="NA",M101="NA",M101="",U101=""),"NA",U101/((Data!$D$18+((1-Data!$D$18)*Data!$D$14*M101))/((1-Data!$D$18)*Data!$D$14*1000))),"---")</f>
        <v>NA</v>
      </c>
      <c r="W101" s="376" t="str">
        <f>IF(Start!$C$18="x",IF(OR(G101="NA",U101="NA",G101="",U101=""),"NA",(U101 +($G101*(Data!$D$19-Data!$D$22)/(Data!$D$19*Data!$D$22)))),"---")</f>
        <v>NA</v>
      </c>
      <c r="X101" s="376" t="str">
        <f>IF(Start!$C$18="x",IF(OR(G101="NA",V101="NA",G101="",V101=""),"NA",(((Data!$D$22*Data!$D$18)*V101)+(Data!$D$19-Data!$D$22)*$G101)/((Data!$D$22*Data!$D$18)+Data!$D$19-Data!$D$22)),"---")</f>
        <v>NA</v>
      </c>
      <c r="Y101" s="376" t="str">
        <f>IF(Start!$C$18="x",IF(OR(W101="NA",W101="",M101="NA",M101=""),"NA",(W101/((Data!$D$23+((1-Data!$D$23)*Data!$D$14*M101)) /((1-Data!$D$23)*Data!$D$14*1000)))),"---")</f>
        <v>NA</v>
      </c>
      <c r="Z101" s="376" t="str">
        <f>IF(Start!$C$18="x",IF(OR(Y101="NA",X101="NA"),"NA",IF(Y101&gt;X101, Y101, X101)),"---")</f>
        <v>NA</v>
      </c>
      <c r="AA101" s="461" t="str">
        <f>IF(Start!$C$18="x",IF(OR(Z101="NA",T101="NA"),"NA",Z101*T101/(1000000000)),"---")</f>
        <v>NA</v>
      </c>
      <c r="AB101" s="1057" t="str">
        <f>IF(Start!$C$18="x",IF(AA101 = "NA", "NA", AA101*(Data!$D$52*Data!$D$53*10000)),"---")</f>
        <v>NA</v>
      </c>
      <c r="AC101" s="375" t="str">
        <f>IF(Start!$C$18="x",IF(AB101="NA", "NA", AB101*Data!$D$54),"---")</f>
        <v>NA</v>
      </c>
      <c r="AD101" s="498" t="str">
        <f>IF(Start!$C$18="x",IF(AC101="NA","NA",AC101*Data!$D$41),"---")</f>
        <v>NA</v>
      </c>
      <c r="AE101" s="376" t="str">
        <f>IF(Start!$C$18="x",IF(AB101 = "NA", "NA", AB101/(Data!$D$53*3*Data!$D$48)*1000),"---")</f>
        <v>NA</v>
      </c>
      <c r="AF101" s="498" t="str">
        <f>IF(Start!$C$18="x",IF(AE101="NA","NA",AE101*Data!$D$46),"---")</f>
        <v>NA</v>
      </c>
      <c r="AG101" s="375">
        <f>IF(Start!$C$18="x",IF(OR($L101="NA",L101=""),"NA",($L101*(Data!$D$55^3.33)/(Data!$D$18^2))),"---")</f>
        <v>8.5473071860053416E-4</v>
      </c>
      <c r="AH101" s="376" t="str">
        <f>IF(Start!$C$18="x",IF(OR(F101="NA",F101="",P101="NA",P101=""),"NA",IF(100/Data!$D$10&gt;Data!$D$13,(F101*$P101),(F101*$P101)*Data!$D$13)),"---")</f>
        <v>NA</v>
      </c>
      <c r="AI101" s="489">
        <f>IF(Start!$C$18="x",IF(OR($N101="NA",$Q101="NA",$Q101=0,Q101="",N101=""),"NA",(1000*$N101/$Q101)),"---")</f>
        <v>6653.9059550127768</v>
      </c>
      <c r="AJ101" s="376">
        <f>IF(Start!$C$18="x",IF(OR(Q101 = "NA",Q101=0,N101 = "NA",N101="",Q101=""), "NA", IF($AG101="NA","NA",(3.1416*Data!$D$57*86400/($AG101*(Data!$D$55+(N101*Data!$D$19/(Q101*1000)))))^0.5)),"---")</f>
        <v>40349.917443242855</v>
      </c>
      <c r="AK101" s="376" t="str">
        <f>IF(Start!$C$18="x",IF(OR(AH101 = "NA",AI101="NA",AI101=0,AI101="",AH101=""), "NA", AH101/AI101),"---")</f>
        <v>NA</v>
      </c>
      <c r="AL101" s="376" t="str">
        <f>IF(Start!$C$18="x",IF(OR(AK101 ="NA",AK101="",AJ101= "NA",R101="NA",R101=0),"NA",(2*AK101)/(1000*(1/$R101+AJ101))),"---")</f>
        <v>NA</v>
      </c>
      <c r="AM101" s="376" t="str">
        <f>IF(Start!$C$18="x",IF(AL101 = "NA", "NA", AL101*(Data!$D$52*Data!$D$53*10000)),"---")</f>
        <v>NA</v>
      </c>
      <c r="AN101" s="376" t="str">
        <f>IF(Start!$C$18="x",IF(AM101 = "NA", "NA", AM101*(Data!$D$54)),"---")</f>
        <v>NA</v>
      </c>
      <c r="AO101" s="498" t="str">
        <f>IF(Start!$C$18="x",IF(AN101="NA","NA",AN101*Data!$D$41),"---")</f>
        <v>NA</v>
      </c>
      <c r="AP101" s="376">
        <f>IF(Start!$C$18="x",IF(OR(Q101=0,N101="NA",N101="",AG101="NA",AG101="",AG101=0,Q101="",Q101="NA"),"NA", (3.1416*Data!$D$56*86400/($AG101*(Data!$D$55+(N101*Data!$D$19/(Q101*1000)))))^0.5),"---")</f>
        <v>40349.917443242855</v>
      </c>
      <c r="AQ101" s="376" t="str">
        <f>IF(Start!$C$18="x",IF(OR(AH101="NA",AI101="NA",AI101="",AI101=0,AH101=""),"NA", AH101/AI101),"---")</f>
        <v>NA</v>
      </c>
      <c r="AR101" s="376" t="str">
        <f>IF(Start!$C$18="x",IF(OR(AQ101="NA",AP101="NA",$R101="NA",R101=0,R101=""),"NA",(2*AQ101)/(1000*(1/$R101+AP101))),"---")</f>
        <v>NA</v>
      </c>
      <c r="AS101" s="376" t="str">
        <f>IF(Start!$C$18="x",IF(AR101 = "NA", "NA", AR101*(Data!$D$52*Data!$D$53*10000)),"---")</f>
        <v>NA</v>
      </c>
      <c r="AT101" s="376" t="str">
        <f>IF(Start!$C$18="x",IF(AS101 = "NA", "NA", (AS101*1000)/(Data!$D$48*3*Data!$D$53)),"---")</f>
        <v>NA</v>
      </c>
      <c r="AU101" s="498" t="str">
        <f>IF(Start!$C$18="x",IF(AT101="NA","NA",AT101*Data!$D$47),"---")</f>
        <v>NA</v>
      </c>
      <c r="AV101" s="283" t="str">
        <f>IF(Start!$C$18="x",(IF(AND(F101="",G101= "",G101&lt;&gt;"NA"),"",IF(OR(AD101="NA",I101="NA",I101=0),"NA",(AD101/I101)))),"Not Req.")</f>
        <v/>
      </c>
      <c r="AW101" s="284" t="str">
        <f>IF(Start!$C$18="x",(IF(AND(F101="",G101= "",G101&lt;&gt;"NA"),"",IF(OR(AF101="NA",I101="NA",I101=0),"NA",(AF101/I101)))),"Not Req.")</f>
        <v/>
      </c>
      <c r="AX101" s="284" t="str">
        <f>IF(Start!$C$18="x",(IF(F101 ="","",IF(OR(AO101="NA",I101="NA",I101=0),"NA",(AO101/I101)))),"Not Req.")</f>
        <v/>
      </c>
      <c r="AY101" s="344" t="str">
        <f>IF(Start!$C$18="x",(IF(F101 ="","",IF(OR(AU101="NA",I101="NA",I101=0),"NA",(AU101/I101)))),"Not Req.")</f>
        <v/>
      </c>
      <c r="AZ101" s="208"/>
    </row>
    <row r="102" spans="1:52" s="183" customFormat="1" x14ac:dyDescent="0.25">
      <c r="A102" s="405" t="s">
        <v>420</v>
      </c>
      <c r="B102" s="347" t="str">
        <f>IF(Start!$C$18="x",IF(AND(OR(F102="",F102="NA"),OR(G102="",G102="NA")),"",IF(I102="NA","NA",IF(AND(I102="",K102="--"),"NA",IF(AD102="NA","Missing Data",IF(I102="","No Criteria",IF(AD102&gt;=I102,"Needed","No")))))),"---")</f>
        <v/>
      </c>
      <c r="C102" s="501" t="str">
        <f>IF(Start!$C$18="x",IF(AND(OR(F102="",F102="NA"),OR(G102="",G102="NA")),"",IF(I102="NA","NA",IF(AND(I102="",K102="--"),"NA",IF(AF102="NA","Missing Data",IF(I102="","No Criteria",IF(AF102&gt;=I102,"Needed","No")))))),"---")</f>
        <v/>
      </c>
      <c r="D102" s="347" t="str">
        <f>IF(Start!$C$18="x",IF(AND(OR(F102="",F102="NA"),OR(G102="",G102="NA")),"",IF(I102="NA","NA",IF(AND(I102="",K102="--"),"NA",IF(AO102="NA","Missing Data",IF(I102="","No Criteria",IF(AO102&gt;=I102,"Needed","No")))))),"---")</f>
        <v/>
      </c>
      <c r="E102" s="401" t="str">
        <f>IF(Start!$C$18="x",IF(AND(OR(F102="",F102="NA"),OR(G102="",G102="NA")),"",IF(I102="NA","NA",IF(AND(I102="",K102="--"),"NA",IF(AU102="NA","Missing Data",IF(I102="","No Criteria",IF(AU102&gt;=I102,"Needed","No")))))),"---")</f>
        <v/>
      </c>
      <c r="F102" s="431" t="str">
        <f>IF(TRUE=ISBLANK(ChemData!B102),"",(ChemData!B102))</f>
        <v/>
      </c>
      <c r="G102" s="432" t="str">
        <f>IF(TRUE=ISBLANK(ChemData!C102),"",(ChemData!C102))</f>
        <v/>
      </c>
      <c r="H102" s="433" t="str">
        <f>IF(TRUE=ISBLANK(ChemData!D102),"",(ChemData!D102))</f>
        <v/>
      </c>
      <c r="I102" s="919">
        <f>IF(TRUE=ISBLANK(ChemData!K102),"",(ChemData!K102))</f>
        <v>0.1</v>
      </c>
      <c r="J102" s="290">
        <f>IF(TRUE=ISBLANK(ChemData!M102),"",(ChemData!M102))</f>
        <v>278</v>
      </c>
      <c r="K102" s="290">
        <f>IF(TRUE=ISBLANK(ChemData!N102),"",(ChemData!N102))</f>
        <v>2.8200000000000001E-7</v>
      </c>
      <c r="L102" s="290">
        <f>IF(TRUE=ISBLANK(ChemData!O102),"",(ChemData!O102))</f>
        <v>4.3799999999999999E-2</v>
      </c>
      <c r="M102" s="290">
        <f>IF(TRUE=ISBLANK(ChemData!Q102),"",(ChemData!Q102))</f>
        <v>971.41860892233001</v>
      </c>
      <c r="N102" s="290">
        <f>IF(TRUE=ISBLANK(ChemData!R102),"",(ChemData!R102))</f>
        <v>971.41860892233001</v>
      </c>
      <c r="O102" s="290">
        <f>IF(TRUE=ISBLANK(ChemData!S102),"",(ChemData!S102))</f>
        <v>1</v>
      </c>
      <c r="P102" s="291">
        <f>IF(TRUE=ISBLANK(ChemData!T102),"",(ChemData!T102))</f>
        <v>1</v>
      </c>
      <c r="Q102" s="375">
        <f>IF(Start!$C$18="x",IF(OR(K102="NA",K102="",K102="--"),"NA",(K102*1000000/82.1/Data!$D$50)),"---")</f>
        <v>1.1080114730266004E-5</v>
      </c>
      <c r="R102" s="376">
        <f>IF(Start!$C$18="x",IF(OR(J102="NA",J102=0,J102=""),"NA",(0.32*(Data!$D$48+Data!$D$49)*(18/J102)^0.5)),"---")</f>
        <v>0.20967230341688881</v>
      </c>
      <c r="S102" s="376">
        <f>IF(Start!$C$18="x",IF(OR(J102="NA",J102= 0,J102=""),"NA",(0.0065*((Data!$D$49^0.969)/(Data!$D$51^0.673))*(32/J102)^0.5*EXP(0.526*Data!$D$48^-1.9))),"---")</f>
        <v>4.4193177226228326E-4</v>
      </c>
      <c r="T102" s="377">
        <f>IF(Start!$C$18="x",IF(OR(S102="NA",R102="NA",R102=0,Q102="NA",S102=0,Q102=0),"NA",(1/(1/S102+(1/(R102*Q102))))),"---")</f>
        <v>2.3110442384720605E-6</v>
      </c>
      <c r="U102" s="375" t="str">
        <f>IF(Start!$C$18="x",IF(OR(F102="NA",F102="",O102="",O102="NA"),"NA",(F102*$O102)),"---")</f>
        <v>NA</v>
      </c>
      <c r="V102" s="376" t="str">
        <f>IF(Start!$C$18="x",IF(OR(U102="NA",M102="NA",M102="",U102=""),"NA",U102/((Data!$D$18+((1-Data!$D$18)*Data!$D$14*M102))/((1-Data!$D$18)*Data!$D$14*1000))),"---")</f>
        <v>NA</v>
      </c>
      <c r="W102" s="376" t="str">
        <f>IF(Start!$C$18="x",IF(OR(G102="NA",U102="NA",G102="",U102=""),"NA",(U102 +($G102*(Data!$D$19-Data!$D$22)/(Data!$D$19*Data!$D$22)))),"---")</f>
        <v>NA</v>
      </c>
      <c r="X102" s="376" t="str">
        <f>IF(Start!$C$18="x",IF(OR(G102="NA",V102="NA",G102="",V102=""),"NA",(((Data!$D$22*Data!$D$18)*V102)+(Data!$D$19-Data!$D$22)*$G102)/((Data!$D$22*Data!$D$18)+Data!$D$19-Data!$D$22)),"---")</f>
        <v>NA</v>
      </c>
      <c r="Y102" s="376" t="str">
        <f>IF(Start!$C$18="x",IF(OR(W102="NA",W102="",M102="NA",M102=""),"NA",(W102/((Data!$D$23+((1-Data!$D$23)*Data!$D$14*M102)) /((1-Data!$D$23)*Data!$D$14*1000)))),"---")</f>
        <v>NA</v>
      </c>
      <c r="Z102" s="376" t="str">
        <f>IF(Start!$C$18="x",IF(OR(Y102="NA",X102="NA"),"NA",IF(Y102&gt;X102, Y102, X102)),"---")</f>
        <v>NA</v>
      </c>
      <c r="AA102" s="461" t="str">
        <f>IF(Start!$C$18="x",IF(OR(Z102="NA",T102="NA"),"NA",Z102*T102/(1000000000)),"---")</f>
        <v>NA</v>
      </c>
      <c r="AB102" s="1057" t="str">
        <f>IF(Start!$C$18="x",IF(AA102 = "NA", "NA", AA102*(Data!$D$52*Data!$D$53*10000)),"---")</f>
        <v>NA</v>
      </c>
      <c r="AC102" s="375" t="str">
        <f>IF(Start!$C$18="x",IF(AB102="NA", "NA", AB102*Data!$D$54),"---")</f>
        <v>NA</v>
      </c>
      <c r="AD102" s="498" t="str">
        <f>IF(Start!$C$18="x",IF(AC102="NA","NA",AC102*Data!$D$41),"---")</f>
        <v>NA</v>
      </c>
      <c r="AE102" s="376" t="str">
        <f>IF(Start!$C$18="x",IF(AB102 = "NA", "NA", AB102/(Data!$D$53*3*Data!$D$48)*1000),"---")</f>
        <v>NA</v>
      </c>
      <c r="AF102" s="498" t="str">
        <f>IF(Start!$C$18="x",IF(AE102="NA","NA",AE102*Data!$D$46),"---")</f>
        <v>NA</v>
      </c>
      <c r="AG102" s="375">
        <f>IF(Start!$C$18="x",IF(OR($L102="NA",L102=""),"NA",($L102*(Data!$D$55^3.33)/(Data!$D$18^2))),"---")</f>
        <v>4.4621222258287718E-4</v>
      </c>
      <c r="AH102" s="376" t="str">
        <f>IF(Start!$C$18="x",IF(OR(F102="NA",F102="",P102="NA",P102=""),"NA",IF(100/Data!$D$10&gt;Data!$D$13,(F102*$P102),(F102*$P102)*Data!$D$13)),"---")</f>
        <v>NA</v>
      </c>
      <c r="AI102" s="489">
        <f>IF(Start!$C$18="x",IF(OR($N102="NA",$Q102="NA",$Q102=0,Q102="",N102=""),"NA",(1000*$N102/$Q102)),"---")</f>
        <v>87672251828.660339</v>
      </c>
      <c r="AJ102" s="376">
        <f>IF(Start!$C$18="x",IF(OR(Q102 = "NA",Q102=0,N102 = "NA",N102="",Q102=""), "NA", IF($AG102="NA","NA",(3.1416*Data!$D$57*86400/($AG102*(Data!$D$55+(N102*Data!$D$19/(Q102*1000)))))^0.5)),"---")</f>
        <v>15.654726709373545</v>
      </c>
      <c r="AK102" s="376" t="str">
        <f>IF(Start!$C$18="x",IF(OR(AH102 = "NA",AI102="NA",AI102=0,AI102="",AH102=""), "NA", AH102/AI102),"---")</f>
        <v>NA</v>
      </c>
      <c r="AL102" s="376" t="str">
        <f>IF(Start!$C$18="x",IF(OR(AK102 ="NA",AK102="",AJ102= "NA",R102="NA",R102=0),"NA",(2*AK102)/(1000*(1/$R102+AJ102))),"---")</f>
        <v>NA</v>
      </c>
      <c r="AM102" s="376" t="str">
        <f>IF(Start!$C$18="x",IF(AL102 = "NA", "NA", AL102*(Data!$D$52*Data!$D$53*10000)),"---")</f>
        <v>NA</v>
      </c>
      <c r="AN102" s="376" t="str">
        <f>IF(Start!$C$18="x",IF(AM102 = "NA", "NA", AM102*(Data!$D$54)),"---")</f>
        <v>NA</v>
      </c>
      <c r="AO102" s="498" t="str">
        <f>IF(Start!$C$18="x",IF(AN102="NA","NA",AN102*Data!$D$41),"---")</f>
        <v>NA</v>
      </c>
      <c r="AP102" s="376">
        <f>IF(Start!$C$18="x",IF(OR(Q102=0,N102="NA",N102="",AG102="NA",AG102="",AG102=0,Q102="",Q102="NA"),"NA", (3.1416*Data!$D$56*86400/($AG102*(Data!$D$55+(N102*Data!$D$19/(Q102*1000)))))^0.5),"---")</f>
        <v>15.654726709373545</v>
      </c>
      <c r="AQ102" s="376" t="str">
        <f>IF(Start!$C$18="x",IF(OR(AH102="NA",AI102="NA",AI102="",AI102=0,AH102=""),"NA", AH102/AI102),"---")</f>
        <v>NA</v>
      </c>
      <c r="AR102" s="376" t="str">
        <f>IF(Start!$C$18="x",IF(OR(AQ102="NA",AP102="NA",$R102="NA",R102=0,R102=""),"NA",(2*AQ102)/(1000*(1/$R102+AP102))),"---")</f>
        <v>NA</v>
      </c>
      <c r="AS102" s="376" t="str">
        <f>IF(Start!$C$18="x",IF(AR102 = "NA", "NA", AR102*(Data!$D$52*Data!$D$53*10000)),"---")</f>
        <v>NA</v>
      </c>
      <c r="AT102" s="376" t="str">
        <f>IF(Start!$C$18="x",IF(AS102 = "NA", "NA", (AS102*1000)/(Data!$D$48*3*Data!$D$53)),"---")</f>
        <v>NA</v>
      </c>
      <c r="AU102" s="498" t="str">
        <f>IF(Start!$C$18="x",IF(AT102="NA","NA",AT102*Data!$D$47),"---")</f>
        <v>NA</v>
      </c>
      <c r="AV102" s="283" t="str">
        <f>IF(Start!$C$18="x",(IF(AND(F102="",G102= "",G102&lt;&gt;"NA"),"",IF(OR(AD102="NA",I102="NA",I102=0),"NA",(AD102/I102)))),"Not Req.")</f>
        <v/>
      </c>
      <c r="AW102" s="284" t="str">
        <f>IF(Start!$C$18="x",(IF(AND(F102="",G102= "",G102&lt;&gt;"NA"),"",IF(OR(AF102="NA",I102="NA",I102=0),"NA",(AF102/I102)))),"Not Req.")</f>
        <v/>
      </c>
      <c r="AX102" s="284" t="str">
        <f>IF(Start!$C$18="x",(IF(F102 ="","",IF(OR(AO102="NA",I102="NA",I102=0),"NA",(AO102/I102)))),"Not Req.")</f>
        <v/>
      </c>
      <c r="AY102" s="344" t="str">
        <f>IF(Start!$C$18="x",(IF(F102 ="","",IF(OR(AU102="NA",I102="NA",I102=0),"NA",(AU102/I102)))),"Not Req.")</f>
        <v/>
      </c>
      <c r="AZ102" s="208"/>
    </row>
    <row r="103" spans="1:52" s="183" customFormat="1" x14ac:dyDescent="0.25">
      <c r="A103" s="405" t="s">
        <v>421</v>
      </c>
      <c r="B103" s="347" t="str">
        <f>IF(Start!$C$18="x",IF(AND(OR(F103="",F103="NA"),OR(G103="",G103="NA")),"",IF(I103="NA","NA",IF(AND(I103="",K103="--"),"NA",IF(AD103="NA","Missing Data",IF(I103="","No Criteria",IF(AD103&gt;=I103,"Needed","No")))))),"---")</f>
        <v/>
      </c>
      <c r="C103" s="501" t="str">
        <f>IF(Start!$C$18="x",IF(AND(OR(F103="",F103="NA"),OR(G103="",G103="NA")),"",IF(I103="NA","NA",IF(AND(I103="",K103="--"),"NA",IF(AF103="NA","Missing Data",IF(I103="","No Criteria",IF(AF103&gt;=I103,"Needed","No")))))),"---")</f>
        <v/>
      </c>
      <c r="D103" s="347" t="str">
        <f>IF(Start!$C$18="x",IF(AND(OR(F103="",F103="NA"),OR(G103="",G103="NA")),"",IF(I103="NA","NA",IF(AND(I103="",K103="--"),"NA",IF(AO103="NA","Missing Data",IF(I103="","No Criteria",IF(AO103&gt;=I103,"Needed","No")))))),"---")</f>
        <v/>
      </c>
      <c r="E103" s="401" t="str">
        <f>IF(Start!$C$18="x",IF(AND(OR(F103="",F103="NA"),OR(G103="",G103="NA")),"",IF(I103="NA","NA",IF(AND(I103="",K103="--"),"NA",IF(AU103="NA","Missing Data",IF(I103="","No Criteria",IF(AU103&gt;=I103,"Needed","No")))))),"---")</f>
        <v/>
      </c>
      <c r="F103" s="431" t="str">
        <f>IF(TRUE=ISBLANK(ChemData!B103),"",(ChemData!B103))</f>
        <v/>
      </c>
      <c r="G103" s="432" t="str">
        <f>IF(TRUE=ISBLANK(ChemData!C103),"",(ChemData!C103))</f>
        <v/>
      </c>
      <c r="H103" s="433" t="str">
        <f>IF(TRUE=ISBLANK(ChemData!D103),"",(ChemData!D103))</f>
        <v/>
      </c>
      <c r="I103" s="919">
        <f>IF(TRUE=ISBLANK(ChemData!K103),"",(ChemData!K103))</f>
        <v>0.02</v>
      </c>
      <c r="J103" s="290">
        <f>IF(TRUE=ISBLANK(ChemData!M103),"",(ChemData!M103))</f>
        <v>391</v>
      </c>
      <c r="K103" s="290">
        <f>IF(TRUE=ISBLANK(ChemData!N103),"",(ChemData!N103))</f>
        <v>5.4999999999999999E-6</v>
      </c>
      <c r="L103" s="290">
        <f>IF(TRUE=ISBLANK(ChemData!O103),"",(ChemData!O103))</f>
        <v>1.5100000000000001E-2</v>
      </c>
      <c r="M103" s="290">
        <f>IF(TRUE=ISBLANK(ChemData!Q103),"",(ChemData!Q103))</f>
        <v>2330270.9372310056</v>
      </c>
      <c r="N103" s="290">
        <f>IF(TRUE=ISBLANK(ChemData!R103),"",(ChemData!R103))</f>
        <v>2330270.9372310056</v>
      </c>
      <c r="O103" s="290">
        <f>IF(TRUE=ISBLANK(ChemData!S103),"",(ChemData!S103))</f>
        <v>1</v>
      </c>
      <c r="P103" s="291">
        <f>IF(TRUE=ISBLANK(ChemData!T103),"",(ChemData!T103))</f>
        <v>1</v>
      </c>
      <c r="Q103" s="375">
        <f>IF(Start!$C$18="x",IF(OR(K103="NA",K103="",K103="--"),"NA",(K103*1000000/82.1/Data!$D$50)),"---")</f>
        <v>2.161015284271738E-4</v>
      </c>
      <c r="R103" s="376">
        <f>IF(Start!$C$18="x",IF(OR(J103="NA",J103=0,J103=""),"NA",(0.32*(Data!$D$48+Data!$D$49)*(18/J103)^0.5)),"---")</f>
        <v>0.17679707905145187</v>
      </c>
      <c r="S103" s="376">
        <f>IF(Start!$C$18="x",IF(OR(J103="NA",J103= 0,J103=""),"NA",(0.0065*((Data!$D$49^0.969)/(Data!$D$51^0.673))*(32/J103)^0.5*EXP(0.526*Data!$D$48^-1.9))),"---")</f>
        <v>3.7263980603415101E-4</v>
      </c>
      <c r="T103" s="377">
        <f>IF(Start!$C$18="x",IF(OR(S103="NA",R103="NA",R103=0,Q103="NA",S103=0,Q103=0),"NA",(1/(1/S103+(1/(R103*Q103))))),"---")</f>
        <v>3.4653187259452467E-5</v>
      </c>
      <c r="U103" s="375" t="str">
        <f>IF(Start!$C$18="x",IF(OR(F103="NA",F103="",O103="",O103="NA"),"NA",(F103*$O103)),"---")</f>
        <v>NA</v>
      </c>
      <c r="V103" s="376" t="str">
        <f>IF(Start!$C$18="x",IF(OR(U103="NA",M103="NA",M103="",U103=""),"NA",U103/((Data!$D$18+((1-Data!$D$18)*Data!$D$14*M103))/((1-Data!$D$18)*Data!$D$14*1000))),"---")</f>
        <v>NA</v>
      </c>
      <c r="W103" s="376" t="str">
        <f>IF(Start!$C$18="x",IF(OR(G103="NA",U103="NA",G103="",U103=""),"NA",(U103 +($G103*(Data!$D$19-Data!$D$22)/(Data!$D$19*Data!$D$22)))),"---")</f>
        <v>NA</v>
      </c>
      <c r="X103" s="376" t="str">
        <f>IF(Start!$C$18="x",IF(OR(G103="NA",V103="NA",G103="",V103=""),"NA",(((Data!$D$22*Data!$D$18)*V103)+(Data!$D$19-Data!$D$22)*$G103)/((Data!$D$22*Data!$D$18)+Data!$D$19-Data!$D$22)),"---")</f>
        <v>NA</v>
      </c>
      <c r="Y103" s="376" t="str">
        <f>IF(Start!$C$18="x",IF(OR(W103="NA",W103="",M103="NA",M103=""),"NA",(W103/((Data!$D$23+((1-Data!$D$23)*Data!$D$14*M103)) /((1-Data!$D$23)*Data!$D$14*1000)))),"---")</f>
        <v>NA</v>
      </c>
      <c r="Z103" s="376" t="str">
        <f>IF(Start!$C$18="x",IF(OR(Y103="NA",X103="NA"),"NA",IF(Y103&gt;X103, Y103, X103)),"---")</f>
        <v>NA</v>
      </c>
      <c r="AA103" s="461" t="str">
        <f>IF(Start!$C$18="x",IF(OR(Z103="NA",T103="NA"),"NA",Z103*T103/(1000000000)),"---")</f>
        <v>NA</v>
      </c>
      <c r="AB103" s="1057" t="str">
        <f>IF(Start!$C$18="x",IF(AA103 = "NA", "NA", AA103*(Data!$D$52*Data!$D$53*10000)),"---")</f>
        <v>NA</v>
      </c>
      <c r="AC103" s="375" t="str">
        <f>IF(Start!$C$18="x",IF(AB103="NA", "NA", AB103*Data!$D$54),"---")</f>
        <v>NA</v>
      </c>
      <c r="AD103" s="498" t="str">
        <f>IF(Start!$C$18="x",IF(AC103="NA","NA",AC103*Data!$D$41),"---")</f>
        <v>NA</v>
      </c>
      <c r="AE103" s="376" t="str">
        <f>IF(Start!$C$18="x",IF(AB103 = "NA", "NA", AB103/(Data!$D$53*3*Data!$D$48)*1000),"---")</f>
        <v>NA</v>
      </c>
      <c r="AF103" s="498" t="str">
        <f>IF(Start!$C$18="x",IF(AE103="NA","NA",AE103*Data!$D$46),"---")</f>
        <v>NA</v>
      </c>
      <c r="AG103" s="375">
        <f>IF(Start!$C$18="x",IF(OR($L103="NA",L103=""),"NA",($L103*(Data!$D$55^3.33)/(Data!$D$18^2))),"---")</f>
        <v>1.5383115436076362E-4</v>
      </c>
      <c r="AH103" s="376" t="str">
        <f>IF(Start!$C$18="x",IF(OR(F103="NA",F103="",P103="NA",P103=""),"NA",IF(100/Data!$D$10&gt;Data!$D$13,(F103*$P103),(F103*$P103)*Data!$D$13)),"---")</f>
        <v>NA</v>
      </c>
      <c r="AI103" s="489">
        <f>IF(Start!$C$18="x",IF(OR($N103="NA",$Q103="NA",$Q103=0,Q103="",N103=""),"NA",(1000*$N103/$Q103)),"---")</f>
        <v>10783222840630.24</v>
      </c>
      <c r="AJ103" s="376">
        <f>IF(Start!$C$18="x",IF(OR(Q103 = "NA",Q103=0,N103 = "NA",N103="",Q103=""), "NA", IF($AG103="NA","NA",(3.1416*Data!$D$57*86400/($AG103*(Data!$D$55+(N103*Data!$D$19/(Q103*1000)))))^0.5)),"---")</f>
        <v>2.4040907814768708</v>
      </c>
      <c r="AK103" s="376" t="str">
        <f>IF(Start!$C$18="x",IF(OR(AH103 = "NA",AI103="NA",AI103=0,AI103="",AH103=""), "NA", AH103/AI103),"---")</f>
        <v>NA</v>
      </c>
      <c r="AL103" s="376" t="str">
        <f>IF(Start!$C$18="x",IF(OR(AK103 ="NA",AK103="",AJ103= "NA",R103="NA",R103=0),"NA",(2*AK103)/(1000*(1/$R103+AJ103))),"---")</f>
        <v>NA</v>
      </c>
      <c r="AM103" s="376" t="str">
        <f>IF(Start!$C$18="x",IF(AL103 = "NA", "NA", AL103*(Data!$D$52*Data!$D$53*10000)),"---")</f>
        <v>NA</v>
      </c>
      <c r="AN103" s="376" t="str">
        <f>IF(Start!$C$18="x",IF(AM103 = "NA", "NA", AM103*(Data!$D$54)),"---")</f>
        <v>NA</v>
      </c>
      <c r="AO103" s="498" t="str">
        <f>IF(Start!$C$18="x",IF(AN103="NA","NA",AN103*Data!$D$41),"---")</f>
        <v>NA</v>
      </c>
      <c r="AP103" s="376">
        <f>IF(Start!$C$18="x",IF(OR(Q103=0,N103="NA",N103="",AG103="NA",AG103="",AG103=0,Q103="",Q103="NA"),"NA", (3.1416*Data!$D$56*86400/($AG103*(Data!$D$55+(N103*Data!$D$19/(Q103*1000)))))^0.5),"---")</f>
        <v>2.4040907814768708</v>
      </c>
      <c r="AQ103" s="376" t="str">
        <f>IF(Start!$C$18="x",IF(OR(AH103="NA",AI103="NA",AI103="",AI103=0,AH103=""),"NA", AH103/AI103),"---")</f>
        <v>NA</v>
      </c>
      <c r="AR103" s="376" t="str">
        <f>IF(Start!$C$18="x",IF(OR(AQ103="NA",AP103="NA",$R103="NA",R103=0,R103=""),"NA",(2*AQ103)/(1000*(1/$R103+AP103))),"---")</f>
        <v>NA</v>
      </c>
      <c r="AS103" s="376" t="str">
        <f>IF(Start!$C$18="x",IF(AR103 = "NA", "NA", AR103*(Data!$D$52*Data!$D$53*10000)),"---")</f>
        <v>NA</v>
      </c>
      <c r="AT103" s="376" t="str">
        <f>IF(Start!$C$18="x",IF(AS103 = "NA", "NA", (AS103*1000)/(Data!$D$48*3*Data!$D$53)),"---")</f>
        <v>NA</v>
      </c>
      <c r="AU103" s="498" t="str">
        <f>IF(Start!$C$18="x",IF(AT103="NA","NA",AT103*Data!$D$47),"---")</f>
        <v>NA</v>
      </c>
      <c r="AV103" s="283" t="str">
        <f>IF(Start!$C$18="x",(IF(AND(F103="",G103= "",G103&lt;&gt;"NA"),"",IF(OR(AD103="NA",I103="NA",I103=0),"NA",(AD103/I103)))),"Not Req.")</f>
        <v/>
      </c>
      <c r="AW103" s="284" t="str">
        <f>IF(Start!$C$18="x",(IF(AND(F103="",G103= "",G103&lt;&gt;"NA"),"",IF(OR(AF103="NA",I103="NA",I103=0),"NA",(AF103/I103)))),"Not Req.")</f>
        <v/>
      </c>
      <c r="AX103" s="284" t="str">
        <f>IF(Start!$C$18="x",(IF(F103 ="","",IF(OR(AO103="NA",I103="NA",I103=0),"NA",(AO103/I103)))),"Not Req.")</f>
        <v/>
      </c>
      <c r="AY103" s="344" t="str">
        <f>IF(Start!$C$18="x",(IF(F103 ="","",IF(OR(AU103="NA",I103="NA",I103=0),"NA",(AU103/I103)))),"Not Req.")</f>
        <v/>
      </c>
      <c r="AZ103" s="208"/>
    </row>
    <row r="104" spans="1:52" s="183" customFormat="1" x14ac:dyDescent="0.25">
      <c r="A104" s="405" t="s">
        <v>422</v>
      </c>
      <c r="B104" s="347" t="str">
        <f>IF(Start!$C$18="x",IF(AND(OR(F104="",F104="NA"),OR(G104="",G104="NA")),"",IF(I104="NA","NA",IF(AND(I104="",K104="--"),"NA",IF(AD104="NA","Missing Data",IF(I104="","No Criteria",IF(AD104&gt;=I104,"Needed","No")))))),"---")</f>
        <v/>
      </c>
      <c r="C104" s="501" t="str">
        <f>IF(Start!$C$18="x",IF(AND(OR(F104="",F104="NA"),OR(G104="",G104="NA")),"",IF(I104="NA","NA",IF(AND(I104="",K104="--"),"NA",IF(AF104="NA","Missing Data",IF(I104="","No Criteria",IF(AF104&gt;=I104,"Needed","No")))))),"---")</f>
        <v/>
      </c>
      <c r="D104" s="347" t="str">
        <f>IF(Start!$C$18="x",IF(AND(OR(F104="",F104="NA"),OR(G104="",G104="NA")),"",IF(I104="NA","NA",IF(AND(I104="",K104="--"),"NA",IF(AO104="NA","Missing Data",IF(I104="","No Criteria",IF(AO104&gt;=I104,"Needed","No")))))),"---")</f>
        <v/>
      </c>
      <c r="E104" s="401" t="str">
        <f>IF(Start!$C$18="x",IF(AND(OR(F104="",F104="NA"),OR(G104="",G104="NA")),"",IF(I104="NA","NA",IF(AND(I104="",K104="--"),"NA",IF(AU104="NA","Missing Data",IF(I104="","No Criteria",IF(AU104&gt;=I104,"Needed","No")))))),"---")</f>
        <v/>
      </c>
      <c r="F104" s="431" t="str">
        <f>IF(TRUE=ISBLANK(ChemData!B104),"",(ChemData!B104))</f>
        <v/>
      </c>
      <c r="G104" s="432" t="str">
        <f>IF(TRUE=ISBLANK(ChemData!C104),"",(ChemData!C104))</f>
        <v/>
      </c>
      <c r="H104" s="433" t="str">
        <f>IF(TRUE=ISBLANK(ChemData!D104),"",(ChemData!D104))</f>
        <v/>
      </c>
      <c r="I104" s="919">
        <f>IF(TRUE=ISBLANK(ChemData!K104),"",(ChemData!K104))</f>
        <v>0.04</v>
      </c>
      <c r="J104" s="290">
        <f>IF(TRUE=ISBLANK(ChemData!M104),"",(ChemData!M104))</f>
        <v>147</v>
      </c>
      <c r="K104" s="290">
        <f>IF(TRUE=ISBLANK(ChemData!N104),"",(ChemData!N104))</f>
        <v>1.9300000000000001E-3</v>
      </c>
      <c r="L104" s="290">
        <f>IF(TRUE=ISBLANK(ChemData!O104),"",(ChemData!O104))</f>
        <v>6.9000000000000006E-2</v>
      </c>
      <c r="M104" s="290">
        <f>IF(TRUE=ISBLANK(ChemData!Q104),"",(ChemData!Q104))</f>
        <v>46.495017847242345</v>
      </c>
      <c r="N104" s="290">
        <f>IF(TRUE=ISBLANK(ChemData!R104),"",(ChemData!R104))</f>
        <v>46.495017847242345</v>
      </c>
      <c r="O104" s="290">
        <f>IF(TRUE=ISBLANK(ChemData!S104),"",(ChemData!S104))</f>
        <v>1</v>
      </c>
      <c r="P104" s="291">
        <f>IF(TRUE=ISBLANK(ChemData!T104),"",(ChemData!T104))</f>
        <v>1</v>
      </c>
      <c r="Q104" s="375">
        <f>IF(Start!$C$18="x",IF(OR(K104="NA",K104="",K104="--"),"NA",(K104*1000000/82.1/Data!$D$50)),"---")</f>
        <v>7.5831990884444631E-2</v>
      </c>
      <c r="R104" s="376">
        <f>IF(Start!$C$18="x",IF(OR(J104="NA",J104=0,J104=""),"NA",(0.32*(Data!$D$48+Data!$D$49)*(18/J104)^0.5)),"---")</f>
        <v>0.2883399354361913</v>
      </c>
      <c r="S104" s="376">
        <f>IF(Start!$C$18="x",IF(OR(J104="NA",J104= 0,J104=""),"NA",(0.0065*((Data!$D$49^0.969)/(Data!$D$51^0.673))*(32/J104)^0.5*EXP(0.526*Data!$D$48^-1.9))),"---")</f>
        <v>6.0774158820560886E-4</v>
      </c>
      <c r="T104" s="377">
        <f>IF(Start!$C$18="x",IF(OR(S104="NA",R104="NA",R104=0,Q104="NA",S104=0,Q104=0),"NA",(1/(1/S104+(1/(R104*Q104))))),"---")</f>
        <v>5.9130641474946751E-4</v>
      </c>
      <c r="U104" s="375" t="str">
        <f>IF(Start!$C$18="x",IF(OR(F104="NA",F104="",O104="",O104="NA"),"NA",(F104*$O104)),"---")</f>
        <v>NA</v>
      </c>
      <c r="V104" s="376" t="str">
        <f>IF(Start!$C$18="x",IF(OR(U104="NA",M104="NA",M104="",U104=""),"NA",U104/((Data!$D$18+((1-Data!$D$18)*Data!$D$14*M104))/((1-Data!$D$18)*Data!$D$14*1000))),"---")</f>
        <v>NA</v>
      </c>
      <c r="W104" s="376" t="str">
        <f>IF(Start!$C$18="x",IF(OR(G104="NA",U104="NA",G104="",U104=""),"NA",(U104 +($G104*(Data!$D$19-Data!$D$22)/(Data!$D$19*Data!$D$22)))),"---")</f>
        <v>NA</v>
      </c>
      <c r="X104" s="376" t="str">
        <f>IF(Start!$C$18="x",IF(OR(G104="NA",V104="NA",G104="",V104=""),"NA",(((Data!$D$22*Data!$D$18)*V104)+(Data!$D$19-Data!$D$22)*$G104)/((Data!$D$22*Data!$D$18)+Data!$D$19-Data!$D$22)),"---")</f>
        <v>NA</v>
      </c>
      <c r="Y104" s="376" t="str">
        <f>IF(Start!$C$18="x",IF(OR(W104="NA",W104="",M104="NA",M104=""),"NA",(W104/((Data!$D$23+((1-Data!$D$23)*Data!$D$14*M104)) /((1-Data!$D$23)*Data!$D$14*1000)))),"---")</f>
        <v>NA</v>
      </c>
      <c r="Z104" s="376" t="str">
        <f>IF(Start!$C$18="x",IF(OR(Y104="NA",X104="NA"),"NA",IF(Y104&gt;X104, Y104, X104)),"---")</f>
        <v>NA</v>
      </c>
      <c r="AA104" s="461" t="str">
        <f>IF(Start!$C$18="x",IF(OR(Z104="NA",T104="NA"),"NA",Z104*T104/(1000000000)),"---")</f>
        <v>NA</v>
      </c>
      <c r="AB104" s="1057" t="str">
        <f>IF(Start!$C$18="x",IF(AA104 = "NA", "NA", AA104*(Data!$D$52*Data!$D$53*10000)),"---")</f>
        <v>NA</v>
      </c>
      <c r="AC104" s="375" t="str">
        <f>IF(Start!$C$18="x",IF(AB104="NA", "NA", AB104*Data!$D$54),"---")</f>
        <v>NA</v>
      </c>
      <c r="AD104" s="498" t="str">
        <f>IF(Start!$C$18="x",IF(AC104="NA","NA",AC104*Data!$D$41),"---")</f>
        <v>NA</v>
      </c>
      <c r="AE104" s="376" t="str">
        <f>IF(Start!$C$18="x",IF(AB104 = "NA", "NA", AB104/(Data!$D$53*3*Data!$D$48)*1000),"---")</f>
        <v>NA</v>
      </c>
      <c r="AF104" s="498" t="str">
        <f>IF(Start!$C$18="x",IF(AE104="NA","NA",AE104*Data!$D$46),"---")</f>
        <v>NA</v>
      </c>
      <c r="AG104" s="375">
        <f>IF(Start!$C$18="x",IF(OR($L104="NA",L104=""),"NA",($L104*(Data!$D$55^3.33)/(Data!$D$18^2))),"---")</f>
        <v>7.0293706297302572E-4</v>
      </c>
      <c r="AH104" s="376" t="str">
        <f>IF(Start!$C$18="x",IF(OR(F104="NA",F104="",P104="NA",P104=""),"NA",IF(100/Data!$D$10&gt;Data!$D$13,(F104*$P104),(F104*$P104)*Data!$D$13)),"---")</f>
        <v>NA</v>
      </c>
      <c r="AI104" s="489">
        <f>IF(Start!$C$18="x",IF(OR($N104="NA",$Q104="NA",$Q104=0,Q104="",N104=""),"NA",(1000*$N104/$Q104)),"---")</f>
        <v>613131.96851303871</v>
      </c>
      <c r="AJ104" s="376">
        <f>IF(Start!$C$18="x",IF(OR(Q104 = "NA",Q104=0,N104 = "NA",N104="",Q104=""), "NA", IF($AG104="NA","NA",(3.1416*Data!$D$57*86400/($AG104*(Data!$D$55+(N104*Data!$D$19/(Q104*1000)))))^0.5)),"---")</f>
        <v>4715.5105666884283</v>
      </c>
      <c r="AK104" s="376" t="str">
        <f>IF(Start!$C$18="x",IF(OR(AH104 = "NA",AI104="NA",AI104=0,AI104="",AH104=""), "NA", AH104/AI104),"---")</f>
        <v>NA</v>
      </c>
      <c r="AL104" s="376" t="str">
        <f>IF(Start!$C$18="x",IF(OR(AK104 ="NA",AK104="",AJ104= "NA",R104="NA",R104=0),"NA",(2*AK104)/(1000*(1/$R104+AJ104))),"---")</f>
        <v>NA</v>
      </c>
      <c r="AM104" s="376" t="str">
        <f>IF(Start!$C$18="x",IF(AL104 = "NA", "NA", AL104*(Data!$D$52*Data!$D$53*10000)),"---")</f>
        <v>NA</v>
      </c>
      <c r="AN104" s="376" t="str">
        <f>IF(Start!$C$18="x",IF(AM104 = "NA", "NA", AM104*(Data!$D$54)),"---")</f>
        <v>NA</v>
      </c>
      <c r="AO104" s="498" t="str">
        <f>IF(Start!$C$18="x",IF(AN104="NA","NA",AN104*Data!$D$41),"---")</f>
        <v>NA</v>
      </c>
      <c r="AP104" s="376">
        <f>IF(Start!$C$18="x",IF(OR(Q104=0,N104="NA",N104="",AG104="NA",AG104="",AG104=0,Q104="",Q104="NA"),"NA", (3.1416*Data!$D$56*86400/($AG104*(Data!$D$55+(N104*Data!$D$19/(Q104*1000)))))^0.5),"---")</f>
        <v>4715.5105666884283</v>
      </c>
      <c r="AQ104" s="376" t="str">
        <f>IF(Start!$C$18="x",IF(OR(AH104="NA",AI104="NA",AI104="",AI104=0,AH104=""),"NA", AH104/AI104),"---")</f>
        <v>NA</v>
      </c>
      <c r="AR104" s="376" t="str">
        <f>IF(Start!$C$18="x",IF(OR(AQ104="NA",AP104="NA",$R104="NA",R104=0,R104=""),"NA",(2*AQ104)/(1000*(1/$R104+AP104))),"---")</f>
        <v>NA</v>
      </c>
      <c r="AS104" s="376" t="str">
        <f>IF(Start!$C$18="x",IF(AR104 = "NA", "NA", AR104*(Data!$D$52*Data!$D$53*10000)),"---")</f>
        <v>NA</v>
      </c>
      <c r="AT104" s="376" t="str">
        <f>IF(Start!$C$18="x",IF(AS104 = "NA", "NA", (AS104*1000)/(Data!$D$48*3*Data!$D$53)),"---")</f>
        <v>NA</v>
      </c>
      <c r="AU104" s="498" t="str">
        <f>IF(Start!$C$18="x",IF(AT104="NA","NA",AT104*Data!$D$47),"---")</f>
        <v>NA</v>
      </c>
      <c r="AV104" s="283" t="str">
        <f>IF(Start!$C$18="x",(IF(AND(F104="",G104= "",G104&lt;&gt;"NA"),"",IF(OR(AD104="NA",I104="NA",I104=0),"NA",(AD104/I104)))),"Not Req.")</f>
        <v/>
      </c>
      <c r="AW104" s="284" t="str">
        <f>IF(Start!$C$18="x",(IF(AND(F104="",G104= "",G104&lt;&gt;"NA"),"",IF(OR(AF104="NA",I104="NA",I104=0),"NA",(AF104/I104)))),"Not Req.")</f>
        <v/>
      </c>
      <c r="AX104" s="284" t="str">
        <f>IF(Start!$C$18="x",(IF(F104 ="","",IF(OR(AO104="NA",I104="NA",I104=0),"NA",(AO104/I104)))),"Not Req.")</f>
        <v/>
      </c>
      <c r="AY104" s="344" t="str">
        <f>IF(Start!$C$18="x",(IF(F104 ="","",IF(OR(AU104="NA",I104="NA",I104=0),"NA",(AU104/I104)))),"Not Req.")</f>
        <v/>
      </c>
      <c r="AZ104" s="208"/>
    </row>
    <row r="105" spans="1:52" s="183" customFormat="1" x14ac:dyDescent="0.25">
      <c r="A105" s="405" t="s">
        <v>423</v>
      </c>
      <c r="B105" s="347" t="str">
        <f>IF(Start!$C$18="x",IF(AND(OR(F105="",F105="NA"),OR(G105="",G105="NA")),"",IF(I105="NA","NA",IF(AND(I105="",K105="--"),"NA",IF(AD105="NA","Missing Data",IF(I105="","No Criteria",IF(AD105&gt;=I105,"Needed","No")))))),"---")</f>
        <v/>
      </c>
      <c r="C105" s="501" t="str">
        <f>IF(Start!$C$18="x",IF(AND(OR(F105="",F105="NA"),OR(G105="",G105="NA")),"",IF(I105="NA","NA",IF(AND(I105="",K105="--"),"NA",IF(AF105="NA","Missing Data",IF(I105="","No Criteria",IF(AF105&gt;=I105,"Needed","No")))))),"---")</f>
        <v/>
      </c>
      <c r="D105" s="347" t="str">
        <f>IF(Start!$C$18="x",IF(AND(OR(F105="",F105="NA"),OR(G105="",G105="NA")),"",IF(I105="NA","NA",IF(AND(I105="",K105="--"),"NA",IF(AO105="NA","Missing Data",IF(I105="","No Criteria",IF(AO105&gt;=I105,"Needed","No")))))),"---")</f>
        <v/>
      </c>
      <c r="E105" s="401" t="str">
        <f>IF(Start!$C$18="x",IF(AND(OR(F105="",F105="NA"),OR(G105="",G105="NA")),"",IF(I105="NA","NA",IF(AND(I105="",K105="--"),"NA",IF(AU105="NA","Missing Data",IF(I105="","No Criteria",IF(AU105&gt;=I105,"Needed","No")))))),"---")</f>
        <v/>
      </c>
      <c r="F105" s="431" t="str">
        <f>IF(TRUE=ISBLANK(ChemData!B105),"",(ChemData!B105))</f>
        <v/>
      </c>
      <c r="G105" s="432" t="str">
        <f>IF(TRUE=ISBLANK(ChemData!C105),"",(ChemData!C105))</f>
        <v/>
      </c>
      <c r="H105" s="433" t="str">
        <f>IF(TRUE=ISBLANK(ChemData!D105),"",(ChemData!D105))</f>
        <v/>
      </c>
      <c r="I105" s="919">
        <f>IF(TRUE=ISBLANK(ChemData!K105),"",(ChemData!K105))</f>
        <v>0.09</v>
      </c>
      <c r="J105" s="290">
        <f>IF(TRUE=ISBLANK(ChemData!M105),"",(ChemData!M105))</f>
        <v>147</v>
      </c>
      <c r="K105" s="290">
        <f>IF(TRUE=ISBLANK(ChemData!N105),"",(ChemData!N105))</f>
        <v>2.63E-3</v>
      </c>
      <c r="L105" s="290">
        <f>IF(TRUE=ISBLANK(ChemData!O105),"",(ChemData!O105))</f>
        <v>6.9000000000000006E-2</v>
      </c>
      <c r="M105" s="290">
        <f>IF(TRUE=ISBLANK(ChemData!Q105),"",(ChemData!Q105))</f>
        <v>46.495017847242345</v>
      </c>
      <c r="N105" s="290">
        <f>IF(TRUE=ISBLANK(ChemData!R105),"",(ChemData!R105))</f>
        <v>46.495017847242345</v>
      </c>
      <c r="O105" s="290">
        <f>IF(TRUE=ISBLANK(ChemData!S105),"",(ChemData!S105))</f>
        <v>1</v>
      </c>
      <c r="P105" s="291">
        <f>IF(TRUE=ISBLANK(ChemData!T105),"",(ChemData!T105))</f>
        <v>1</v>
      </c>
      <c r="Q105" s="375">
        <f>IF(Start!$C$18="x",IF(OR(K105="NA",K105="",K105="--"),"NA",(K105*1000000/82.1/Data!$D$50)),"---")</f>
        <v>0.10333582177517583</v>
      </c>
      <c r="R105" s="376">
        <f>IF(Start!$C$18="x",IF(OR(J105="NA",J105=0,J105=""),"NA",(0.32*(Data!$D$48+Data!$D$49)*(18/J105)^0.5)),"---")</f>
        <v>0.2883399354361913</v>
      </c>
      <c r="S105" s="376">
        <f>IF(Start!$C$18="x",IF(OR(J105="NA",J105= 0,J105=""),"NA",(0.0065*((Data!$D$49^0.969)/(Data!$D$51^0.673))*(32/J105)^0.5*EXP(0.526*Data!$D$48^-1.9))),"---")</f>
        <v>6.0774158820560886E-4</v>
      </c>
      <c r="T105" s="377">
        <f>IF(Start!$C$18="x",IF(OR(S105="NA",R105="NA",R105=0,Q105="NA",S105=0,Q105=0),"NA",(1/(1/S105+(1/(R105*Q105))))),"---")</f>
        <v>5.9559335539965193E-4</v>
      </c>
      <c r="U105" s="375" t="str">
        <f>IF(Start!$C$18="x",IF(OR(F105="NA",F105="",O105="",O105="NA"),"NA",(F105*$O105)),"---")</f>
        <v>NA</v>
      </c>
      <c r="V105" s="376" t="str">
        <f>IF(Start!$C$18="x",IF(OR(U105="NA",M105="NA",M105="",U105=""),"NA",U105/((Data!$D$18+((1-Data!$D$18)*Data!$D$14*M105))/((1-Data!$D$18)*Data!$D$14*1000))),"---")</f>
        <v>NA</v>
      </c>
      <c r="W105" s="376" t="str">
        <f>IF(Start!$C$18="x",IF(OR(G105="NA",U105="NA",G105="",U105=""),"NA",(U105 +($G105*(Data!$D$19-Data!$D$22)/(Data!$D$19*Data!$D$22)))),"---")</f>
        <v>NA</v>
      </c>
      <c r="X105" s="376" t="str">
        <f>IF(Start!$C$18="x",IF(OR(G105="NA",V105="NA",G105="",V105=""),"NA",(((Data!$D$22*Data!$D$18)*V105)+(Data!$D$19-Data!$D$22)*$G105)/((Data!$D$22*Data!$D$18)+Data!$D$19-Data!$D$22)),"---")</f>
        <v>NA</v>
      </c>
      <c r="Y105" s="376" t="str">
        <f>IF(Start!$C$18="x",IF(OR(W105="NA",W105="",M105="NA",M105=""),"NA",(W105/((Data!$D$23+((1-Data!$D$23)*Data!$D$14*M105)) /((1-Data!$D$23)*Data!$D$14*1000)))),"---")</f>
        <v>NA</v>
      </c>
      <c r="Z105" s="376" t="str">
        <f>IF(Start!$C$18="x",IF(OR(Y105="NA",X105="NA"),"NA",IF(Y105&gt;X105, Y105, X105)),"---")</f>
        <v>NA</v>
      </c>
      <c r="AA105" s="461" t="str">
        <f>IF(Start!$C$18="x",IF(OR(Z105="NA",T105="NA"),"NA",Z105*T105/(1000000000)),"---")</f>
        <v>NA</v>
      </c>
      <c r="AB105" s="1057" t="str">
        <f>IF(Start!$C$18="x",IF(AA105 = "NA", "NA", AA105*(Data!$D$52*Data!$D$53*10000)),"---")</f>
        <v>NA</v>
      </c>
      <c r="AC105" s="375" t="str">
        <f>IF(Start!$C$18="x",IF(AB105="NA", "NA", AB105*Data!$D$54),"---")</f>
        <v>NA</v>
      </c>
      <c r="AD105" s="498" t="str">
        <f>IF(Start!$C$18="x",IF(AC105="NA","NA",AC105*Data!$D$41),"---")</f>
        <v>NA</v>
      </c>
      <c r="AE105" s="376" t="str">
        <f>IF(Start!$C$18="x",IF(AB105 = "NA", "NA", AB105/(Data!$D$53*3*Data!$D$48)*1000),"---")</f>
        <v>NA</v>
      </c>
      <c r="AF105" s="498" t="str">
        <f>IF(Start!$C$18="x",IF(AE105="NA","NA",AE105*Data!$D$46),"---")</f>
        <v>NA</v>
      </c>
      <c r="AG105" s="375">
        <f>IF(Start!$C$18="x",IF(OR($L105="NA",L105=""),"NA",($L105*(Data!$D$55^3.33)/(Data!$D$18^2))),"---")</f>
        <v>7.0293706297302572E-4</v>
      </c>
      <c r="AH105" s="376" t="str">
        <f>IF(Start!$C$18="x",IF(OR(F105="NA",F105="",P105="NA",P105=""),"NA",IF(100/Data!$D$10&gt;Data!$D$13,(F105*$P105),(F105*$P105)*Data!$D$13)),"---")</f>
        <v>NA</v>
      </c>
      <c r="AI105" s="489">
        <f>IF(Start!$C$18="x",IF(OR($N105="NA",$Q105="NA",$Q105=0,Q105="",N105=""),"NA",(1000*$N105/$Q105)),"---")</f>
        <v>449940.95027762919</v>
      </c>
      <c r="AJ105" s="376">
        <f>IF(Start!$C$18="x",IF(OR(Q105 = "NA",Q105=0,N105 = "NA",N105="",Q105=""), "NA", IF($AG105="NA","NA",(3.1416*Data!$D$57*86400/($AG105*(Data!$D$55+(N105*Data!$D$19/(Q105*1000)))))^0.5)),"---")</f>
        <v>5504.2443970062477</v>
      </c>
      <c r="AK105" s="376" t="str">
        <f>IF(Start!$C$18="x",IF(OR(AH105 = "NA",AI105="NA",AI105=0,AI105="",AH105=""), "NA", AH105/AI105),"---")</f>
        <v>NA</v>
      </c>
      <c r="AL105" s="376" t="str">
        <f>IF(Start!$C$18="x",IF(OR(AK105 ="NA",AK105="",AJ105= "NA",R105="NA",R105=0),"NA",(2*AK105)/(1000*(1/$R105+AJ105))),"---")</f>
        <v>NA</v>
      </c>
      <c r="AM105" s="376" t="str">
        <f>IF(Start!$C$18="x",IF(AL105 = "NA", "NA", AL105*(Data!$D$52*Data!$D$53*10000)),"---")</f>
        <v>NA</v>
      </c>
      <c r="AN105" s="376" t="str">
        <f>IF(Start!$C$18="x",IF(AM105 = "NA", "NA", AM105*(Data!$D$54)),"---")</f>
        <v>NA</v>
      </c>
      <c r="AO105" s="498" t="str">
        <f>IF(Start!$C$18="x",IF(AN105="NA","NA",AN105*Data!$D$41),"---")</f>
        <v>NA</v>
      </c>
      <c r="AP105" s="376">
        <f>IF(Start!$C$18="x",IF(OR(Q105=0,N105="NA",N105="",AG105="NA",AG105="",AG105=0,Q105="",Q105="NA"),"NA", (3.1416*Data!$D$56*86400/($AG105*(Data!$D$55+(N105*Data!$D$19/(Q105*1000)))))^0.5),"---")</f>
        <v>5504.2443970062477</v>
      </c>
      <c r="AQ105" s="376" t="str">
        <f>IF(Start!$C$18="x",IF(OR(AH105="NA",AI105="NA",AI105="",AI105=0,AH105=""),"NA", AH105/AI105),"---")</f>
        <v>NA</v>
      </c>
      <c r="AR105" s="376" t="str">
        <f>IF(Start!$C$18="x",IF(OR(AQ105="NA",AP105="NA",$R105="NA",R105=0,R105=""),"NA",(2*AQ105)/(1000*(1/$R105+AP105))),"---")</f>
        <v>NA</v>
      </c>
      <c r="AS105" s="376" t="str">
        <f>IF(Start!$C$18="x",IF(AR105 = "NA", "NA", AR105*(Data!$D$52*Data!$D$53*10000)),"---")</f>
        <v>NA</v>
      </c>
      <c r="AT105" s="376" t="str">
        <f>IF(Start!$C$18="x",IF(AS105 = "NA", "NA", (AS105*1000)/(Data!$D$48*3*Data!$D$53)),"---")</f>
        <v>NA</v>
      </c>
      <c r="AU105" s="498" t="str">
        <f>IF(Start!$C$18="x",IF(AT105="NA","NA",AT105*Data!$D$47),"---")</f>
        <v>NA</v>
      </c>
      <c r="AV105" s="283" t="str">
        <f>IF(Start!$C$18="x",(IF(AND(F105="",G105= "",G105&lt;&gt;"NA"),"",IF(OR(AD105="NA",I105="NA",I105=0),"NA",(AD105/I105)))),"Not Req.")</f>
        <v/>
      </c>
      <c r="AW105" s="284" t="str">
        <f>IF(Start!$C$18="x",(IF(AND(F105="",G105= "",G105&lt;&gt;"NA"),"",IF(OR(AF105="NA",I105="NA",I105=0),"NA",(AF105/I105)))),"Not Req.")</f>
        <v/>
      </c>
      <c r="AX105" s="284" t="str">
        <f>IF(Start!$C$18="x",(IF(F105 ="","",IF(OR(AO105="NA",I105="NA",I105=0),"NA",(AO105/I105)))),"Not Req.")</f>
        <v/>
      </c>
      <c r="AY105" s="344" t="str">
        <f>IF(Start!$C$18="x",(IF(F105 ="","",IF(OR(AU105="NA",I105="NA",I105=0),"NA",(AU105/I105)))),"Not Req.")</f>
        <v/>
      </c>
      <c r="AZ105" s="208"/>
    </row>
    <row r="106" spans="1:52" s="183" customFormat="1" x14ac:dyDescent="0.25">
      <c r="A106" s="405" t="s">
        <v>424</v>
      </c>
      <c r="B106" s="347" t="str">
        <f>IF(Start!$C$18="x",IF(AND(OR(F106="",F106="NA"),OR(G106="",G106="NA")),"",IF(I106="NA","NA",IF(AND(I106="",K106="--"),"NA",IF(AD106="NA","Missing Data",IF(I106="","No Criteria",IF(AD106&gt;=I106,"Needed","No")))))),"---")</f>
        <v/>
      </c>
      <c r="C106" s="501" t="str">
        <f>IF(Start!$C$18="x",IF(AND(OR(F106="",F106="NA"),OR(G106="",G106="NA")),"",IF(I106="NA","NA",IF(AND(I106="",K106="--"),"NA",IF(AF106="NA","Missing Data",IF(I106="","No Criteria",IF(AF106&gt;=I106,"Needed","No")))))),"---")</f>
        <v/>
      </c>
      <c r="D106" s="347" t="str">
        <f>IF(Start!$C$18="x",IF(AND(OR(F106="",F106="NA"),OR(G106="",G106="NA")),"",IF(I106="NA","NA",IF(AND(I106="",K106="--"),"NA",IF(AO106="NA","Missing Data",IF(I106="","No Criteria",IF(AO106&gt;=I106,"Needed","No")))))),"---")</f>
        <v/>
      </c>
      <c r="E106" s="401" t="str">
        <f>IF(Start!$C$18="x",IF(AND(OR(F106="",F106="NA"),OR(G106="",G106="NA")),"",IF(I106="NA","NA",IF(AND(I106="",K106="--"),"NA",IF(AU106="NA","Missing Data",IF(I106="","No Criteria",IF(AU106&gt;=I106,"Needed","No")))))),"---")</f>
        <v/>
      </c>
      <c r="F106" s="431" t="str">
        <f>IF(TRUE=ISBLANK(ChemData!B106),"",(ChemData!B106))</f>
        <v/>
      </c>
      <c r="G106" s="432" t="str">
        <f>IF(TRUE=ISBLANK(ChemData!C106),"",(ChemData!C106))</f>
        <v/>
      </c>
      <c r="H106" s="433" t="str">
        <f>IF(TRUE=ISBLANK(ChemData!D106),"",(ChemData!D106))</f>
        <v/>
      </c>
      <c r="I106" s="919">
        <f>IF(TRUE=ISBLANK(ChemData!K106),"",(ChemData!K106))</f>
        <v>0.2</v>
      </c>
      <c r="J106" s="290">
        <f>IF(TRUE=ISBLANK(ChemData!M106),"",(ChemData!M106))</f>
        <v>147</v>
      </c>
      <c r="K106" s="290">
        <f>IF(TRUE=ISBLANK(ChemData!N106),"",(ChemData!N106))</f>
        <v>2.4299999999999999E-3</v>
      </c>
      <c r="L106" s="290">
        <f>IF(TRUE=ISBLANK(ChemData!O106),"",(ChemData!O106))</f>
        <v>6.9000000000000006E-2</v>
      </c>
      <c r="M106" s="290">
        <f>IF(TRUE=ISBLANK(ChemData!Q106),"",(ChemData!Q106))</f>
        <v>48.686260529983528</v>
      </c>
      <c r="N106" s="290">
        <f>IF(TRUE=ISBLANK(ChemData!R106),"",(ChemData!R106))</f>
        <v>48.686260529983528</v>
      </c>
      <c r="O106" s="290">
        <f>IF(TRUE=ISBLANK(ChemData!S106),"",(ChemData!S106))</f>
        <v>1</v>
      </c>
      <c r="P106" s="291">
        <f>IF(TRUE=ISBLANK(ChemData!T106),"",(ChemData!T106))</f>
        <v>1</v>
      </c>
      <c r="Q106" s="375">
        <f>IF(Start!$C$18="x",IF(OR(K106="NA",K106="",K106="--"),"NA",(K106*1000000/82.1/Data!$D$50)),"---")</f>
        <v>9.5477584377824054E-2</v>
      </c>
      <c r="R106" s="376">
        <f>IF(Start!$C$18="x",IF(OR(J106="NA",J106=0,J106=""),"NA",(0.32*(Data!$D$48+Data!$D$49)*(18/J106)^0.5)),"---")</f>
        <v>0.2883399354361913</v>
      </c>
      <c r="S106" s="376">
        <f>IF(Start!$C$18="x",IF(OR(J106="NA",J106= 0,J106=""),"NA",(0.0065*((Data!$D$49^0.969)/(Data!$D$51^0.673))*(32/J106)^0.5*EXP(0.526*Data!$D$48^-1.9))),"---")</f>
        <v>6.0774158820560886E-4</v>
      </c>
      <c r="T106" s="377">
        <f>IF(Start!$C$18="x",IF(OR(S106="NA",R106="NA",R106=0,Q106="NA",S106=0,Q106=0),"NA",(1/(1/S106+(1/(R106*Q106))))),"---")</f>
        <v>5.9461509651062615E-4</v>
      </c>
      <c r="U106" s="375" t="str">
        <f>IF(Start!$C$18="x",IF(OR(F106="NA",F106="",O106="",O106="NA"),"NA",(F106*$O106)),"---")</f>
        <v>NA</v>
      </c>
      <c r="V106" s="376" t="str">
        <f>IF(Start!$C$18="x",IF(OR(U106="NA",M106="NA",M106="",U106=""),"NA",U106/((Data!$D$18+((1-Data!$D$18)*Data!$D$14*M106))/((1-Data!$D$18)*Data!$D$14*1000))),"---")</f>
        <v>NA</v>
      </c>
      <c r="W106" s="376" t="str">
        <f>IF(Start!$C$18="x",IF(OR(G106="NA",U106="NA",G106="",U106=""),"NA",(U106 +($G106*(Data!$D$19-Data!$D$22)/(Data!$D$19*Data!$D$22)))),"---")</f>
        <v>NA</v>
      </c>
      <c r="X106" s="376" t="str">
        <f>IF(Start!$C$18="x",IF(OR(G106="NA",V106="NA",G106="",V106=""),"NA",(((Data!$D$22*Data!$D$18)*V106)+(Data!$D$19-Data!$D$22)*$G106)/((Data!$D$22*Data!$D$18)+Data!$D$19-Data!$D$22)),"---")</f>
        <v>NA</v>
      </c>
      <c r="Y106" s="376" t="str">
        <f>IF(Start!$C$18="x",IF(OR(W106="NA",W106="",M106="NA",M106=""),"NA",(W106/((Data!$D$23+((1-Data!$D$23)*Data!$D$14*M106)) /((1-Data!$D$23)*Data!$D$14*1000)))),"---")</f>
        <v>NA</v>
      </c>
      <c r="Z106" s="376" t="str">
        <f>IF(Start!$C$18="x",IF(OR(Y106="NA",X106="NA"),"NA",IF(Y106&gt;X106, Y106, X106)),"---")</f>
        <v>NA</v>
      </c>
      <c r="AA106" s="461" t="str">
        <f>IF(Start!$C$18="x",IF(OR(Z106="NA",T106="NA"),"NA",Z106*T106/(1000000000)),"---")</f>
        <v>NA</v>
      </c>
      <c r="AB106" s="1057" t="str">
        <f>IF(Start!$C$18="x",IF(AA106 = "NA", "NA", AA106*(Data!$D$52*Data!$D$53*10000)),"---")</f>
        <v>NA</v>
      </c>
      <c r="AC106" s="375" t="str">
        <f>IF(Start!$C$18="x",IF(AB106="NA", "NA", AB106*Data!$D$54),"---")</f>
        <v>NA</v>
      </c>
      <c r="AD106" s="498" t="str">
        <f>IF(Start!$C$18="x",IF(AC106="NA","NA",AC106*Data!$D$41),"---")</f>
        <v>NA</v>
      </c>
      <c r="AE106" s="376" t="str">
        <f>IF(Start!$C$18="x",IF(AB106 = "NA", "NA", AB106/(Data!$D$53*3*Data!$D$48)*1000),"---")</f>
        <v>NA</v>
      </c>
      <c r="AF106" s="498" t="str">
        <f>IF(Start!$C$18="x",IF(AE106="NA","NA",AE106*Data!$D$46),"---")</f>
        <v>NA</v>
      </c>
      <c r="AG106" s="375">
        <f>IF(Start!$C$18="x",IF(OR($L106="NA",L106=""),"NA",($L106*(Data!$D$55^3.33)/(Data!$D$18^2))),"---")</f>
        <v>7.0293706297302572E-4</v>
      </c>
      <c r="AH106" s="376" t="str">
        <f>IF(Start!$C$18="x",IF(OR(F106="NA",F106="",P106="NA",P106=""),"NA",IF(100/Data!$D$10&gt;Data!$D$13,(F106*$P106),(F106*$P106)*Data!$D$13)),"---")</f>
        <v>NA</v>
      </c>
      <c r="AI106" s="489">
        <f>IF(Start!$C$18="x",IF(OR($N106="NA",$Q106="NA",$Q106=0,Q106="",N106=""),"NA",(1000*$N106/$Q106)),"---")</f>
        <v>509923.46368255588</v>
      </c>
      <c r="AJ106" s="376">
        <f>IF(Start!$C$18="x",IF(OR(Q106 = "NA",Q106=0,N106 = "NA",N106="",Q106=""), "NA", IF($AG106="NA","NA",(3.1416*Data!$D$57*86400/($AG106*(Data!$D$55+(N106*Data!$D$19/(Q106*1000)))))^0.5)),"---")</f>
        <v>5170.54512484119</v>
      </c>
      <c r="AK106" s="376" t="str">
        <f>IF(Start!$C$18="x",IF(OR(AH106 = "NA",AI106="NA",AI106=0,AI106="",AH106=""), "NA", AH106/AI106),"---")</f>
        <v>NA</v>
      </c>
      <c r="AL106" s="376" t="str">
        <f>IF(Start!$C$18="x",IF(OR(AK106 ="NA",AK106="",AJ106= "NA",R106="NA",R106=0),"NA",(2*AK106)/(1000*(1/$R106+AJ106))),"---")</f>
        <v>NA</v>
      </c>
      <c r="AM106" s="376" t="str">
        <f>IF(Start!$C$18="x",IF(AL106 = "NA", "NA", AL106*(Data!$D$52*Data!$D$53*10000)),"---")</f>
        <v>NA</v>
      </c>
      <c r="AN106" s="376" t="str">
        <f>IF(Start!$C$18="x",IF(AM106 = "NA", "NA", AM106*(Data!$D$54)),"---")</f>
        <v>NA</v>
      </c>
      <c r="AO106" s="498" t="str">
        <f>IF(Start!$C$18="x",IF(AN106="NA","NA",AN106*Data!$D$41),"---")</f>
        <v>NA</v>
      </c>
      <c r="AP106" s="376">
        <f>IF(Start!$C$18="x",IF(OR(Q106=0,N106="NA",N106="",AG106="NA",AG106="",AG106=0,Q106="",Q106="NA"),"NA", (3.1416*Data!$D$56*86400/($AG106*(Data!$D$55+(N106*Data!$D$19/(Q106*1000)))))^0.5),"---")</f>
        <v>5170.54512484119</v>
      </c>
      <c r="AQ106" s="376" t="str">
        <f>IF(Start!$C$18="x",IF(OR(AH106="NA",AI106="NA",AI106="",AI106=0,AH106=""),"NA", AH106/AI106),"---")</f>
        <v>NA</v>
      </c>
      <c r="AR106" s="376" t="str">
        <f>IF(Start!$C$18="x",IF(OR(AQ106="NA",AP106="NA",$R106="NA",R106=0,R106=""),"NA",(2*AQ106)/(1000*(1/$R106+AP106))),"---")</f>
        <v>NA</v>
      </c>
      <c r="AS106" s="376" t="str">
        <f>IF(Start!$C$18="x",IF(AR106 = "NA", "NA", AR106*(Data!$D$52*Data!$D$53*10000)),"---")</f>
        <v>NA</v>
      </c>
      <c r="AT106" s="376" t="str">
        <f>IF(Start!$C$18="x",IF(AS106 = "NA", "NA", (AS106*1000)/(Data!$D$48*3*Data!$D$53)),"---")</f>
        <v>NA</v>
      </c>
      <c r="AU106" s="498" t="str">
        <f>IF(Start!$C$18="x",IF(AT106="NA","NA",AT106*Data!$D$47),"---")</f>
        <v>NA</v>
      </c>
      <c r="AV106" s="283" t="str">
        <f>IF(Start!$C$18="x",(IF(AND(F106="",G106= "",G106&lt;&gt;"NA"),"",IF(OR(AD106="NA",I106="NA",I106=0),"NA",(AD106/I106)))),"Not Req.")</f>
        <v/>
      </c>
      <c r="AW106" s="284" t="str">
        <f>IF(Start!$C$18="x",(IF(AND(F106="",G106= "",G106&lt;&gt;"NA"),"",IF(OR(AF106="NA",I106="NA",I106=0),"NA",(AF106/I106)))),"Not Req.")</f>
        <v/>
      </c>
      <c r="AX106" s="284" t="str">
        <f>IF(Start!$C$18="x",(IF(F106 ="","",IF(OR(AO106="NA",I106="NA",I106=0),"NA",(AO106/I106)))),"Not Req.")</f>
        <v/>
      </c>
      <c r="AY106" s="344" t="str">
        <f>IF(Start!$C$18="x",(IF(F106 ="","",IF(OR(AU106="NA",I106="NA",I106=0),"NA",(AU106/I106)))),"Not Req.")</f>
        <v/>
      </c>
      <c r="AZ106" s="208"/>
    </row>
    <row r="107" spans="1:52" s="183" customFormat="1" x14ac:dyDescent="0.25">
      <c r="A107" s="405" t="s">
        <v>425</v>
      </c>
      <c r="B107" s="347" t="str">
        <f>IF(Start!$C$18="x",IF(AND(OR(F107="",F107="NA"),OR(G107="",G107="NA")),"",IF(I107="NA","NA",IF(AND(I107="",K107="--"),"NA",IF(AD107="NA","Missing Data",IF(I107="","No Criteria",IF(AD107&gt;=I107,"Needed","No")))))),"---")</f>
        <v/>
      </c>
      <c r="C107" s="501" t="str">
        <f>IF(Start!$C$18="x",IF(AND(OR(F107="",F107="NA"),OR(G107="",G107="NA")),"",IF(I107="NA","NA",IF(AND(I107="",K107="--"),"NA",IF(AF107="NA","Missing Data",IF(I107="","No Criteria",IF(AF107&gt;=I107,"Needed","No")))))),"---")</f>
        <v/>
      </c>
      <c r="D107" s="347" t="str">
        <f>IF(Start!$C$18="x",IF(AND(OR(F107="",F107="NA"),OR(G107="",G107="NA")),"",IF(I107="NA","NA",IF(AND(I107="",K107="--"),"NA",IF(AO107="NA","Missing Data",IF(I107="","No Criteria",IF(AO107&gt;=I107,"Needed","No")))))),"---")</f>
        <v/>
      </c>
      <c r="E107" s="401" t="str">
        <f>IF(Start!$C$18="x",IF(AND(OR(F107="",F107="NA"),OR(G107="",G107="NA")),"",IF(I107="NA","NA",IF(AND(I107="",K107="--"),"NA",IF(AU107="NA","Missing Data",IF(I107="","No Criteria",IF(AU107&gt;=I107,"Needed","No")))))),"---")</f>
        <v/>
      </c>
      <c r="F107" s="431" t="str">
        <f>IF(TRUE=ISBLANK(ChemData!B107),"",(ChemData!B107))</f>
        <v/>
      </c>
      <c r="G107" s="432" t="str">
        <f>IF(TRUE=ISBLANK(ChemData!C107),"",(ChemData!C107))</f>
        <v/>
      </c>
      <c r="H107" s="433" t="str">
        <f>IF(TRUE=ISBLANK(ChemData!D107),"",(ChemData!D107))</f>
        <v/>
      </c>
      <c r="I107" s="919">
        <f>IF(TRUE=ISBLANK(ChemData!K107),"",(ChemData!K107))</f>
        <v>0.09</v>
      </c>
      <c r="J107" s="290">
        <f>IF(TRUE=ISBLANK(ChemData!M107),"",(ChemData!M107))</f>
        <v>253.1</v>
      </c>
      <c r="K107" s="290">
        <f>IF(TRUE=ISBLANK(ChemData!N107),"",(ChemData!N107))</f>
        <v>7.9999999999999996E-7</v>
      </c>
      <c r="L107" s="290">
        <f>IF(TRUE=ISBLANK(ChemData!O107),"",(ChemData!O107))</f>
        <v>1.9400000000000001E-2</v>
      </c>
      <c r="M107" s="290">
        <f>IF(TRUE=ISBLANK(ChemData!Q107),"",(ChemData!Q107))</f>
        <v>59.897185897674206</v>
      </c>
      <c r="N107" s="290">
        <f>IF(TRUE=ISBLANK(ChemData!R107),"",(ChemData!R107))</f>
        <v>59.897185897674206</v>
      </c>
      <c r="O107" s="290">
        <f>IF(TRUE=ISBLANK(ChemData!S107),"",(ChemData!S107))</f>
        <v>1</v>
      </c>
      <c r="P107" s="291">
        <f>IF(TRUE=ISBLANK(ChemData!T107),"",(ChemData!T107))</f>
        <v>1</v>
      </c>
      <c r="Q107" s="375">
        <f>IF(Start!$C$18="x",IF(OR(K107="NA",K107="",K107="--"),"NA",(K107*1000000/82.1/Data!$D$50)),"---")</f>
        <v>3.1432949589407093E-5</v>
      </c>
      <c r="R107" s="376">
        <f>IF(Start!$C$18="x",IF(OR(J107="NA",J107=0,J107=""),"NA",(0.32*(Data!$D$48+Data!$D$49)*(18/J107)^0.5)),"---")</f>
        <v>0.21974418516598601</v>
      </c>
      <c r="S107" s="376">
        <f>IF(Start!$C$18="x",IF(OR(J107="NA",J107= 0,J107=""),"NA",(0.0065*((Data!$D$49^0.969)/(Data!$D$51^0.673))*(32/J107)^0.5*EXP(0.526*Data!$D$48^-1.9))),"---")</f>
        <v>4.6316053962381992E-4</v>
      </c>
      <c r="T107" s="377">
        <f>IF(Start!$C$18="x",IF(OR(S107="NA",R107="NA",R107=0,Q107="NA",S107=0,Q107=0),"NA",(1/(1/S107+(1/(R107*Q107))))),"---")</f>
        <v>6.8057129058036738E-6</v>
      </c>
      <c r="U107" s="375" t="str">
        <f>IF(Start!$C$18="x",IF(OR(F107="NA",F107="",O107="",O107="NA"),"NA",(F107*$O107)),"---")</f>
        <v>NA</v>
      </c>
      <c r="V107" s="376" t="str">
        <f>IF(Start!$C$18="x",IF(OR(U107="NA",M107="NA",M107="",U107=""),"NA",U107/((Data!$D$18+((1-Data!$D$18)*Data!$D$14*M107))/((1-Data!$D$18)*Data!$D$14*1000))),"---")</f>
        <v>NA</v>
      </c>
      <c r="W107" s="376" t="str">
        <f>IF(Start!$C$18="x",IF(OR(G107="NA",U107="NA",G107="",U107=""),"NA",(U107 +($G107*(Data!$D$19-Data!$D$22)/(Data!$D$19*Data!$D$22)))),"---")</f>
        <v>NA</v>
      </c>
      <c r="X107" s="376" t="str">
        <f>IF(Start!$C$18="x",IF(OR(G107="NA",V107="NA",G107="",V107=""),"NA",(((Data!$D$22*Data!$D$18)*V107)+(Data!$D$19-Data!$D$22)*$G107)/((Data!$D$22*Data!$D$18)+Data!$D$19-Data!$D$22)),"---")</f>
        <v>NA</v>
      </c>
      <c r="Y107" s="376" t="str">
        <f>IF(Start!$C$18="x",IF(OR(W107="NA",W107="",M107="NA",M107=""),"NA",(W107/((Data!$D$23+((1-Data!$D$23)*Data!$D$14*M107)) /((1-Data!$D$23)*Data!$D$14*1000)))),"---")</f>
        <v>NA</v>
      </c>
      <c r="Z107" s="376" t="str">
        <f>IF(Start!$C$18="x",IF(OR(Y107="NA",X107="NA"),"NA",IF(Y107&gt;X107, Y107, X107)),"---")</f>
        <v>NA</v>
      </c>
      <c r="AA107" s="461" t="str">
        <f>IF(Start!$C$18="x",IF(OR(Z107="NA",T107="NA"),"NA",Z107*T107/(1000000000)),"---")</f>
        <v>NA</v>
      </c>
      <c r="AB107" s="1057" t="str">
        <f>IF(Start!$C$18="x",IF(AA107 = "NA", "NA", AA107*(Data!$D$52*Data!$D$53*10000)),"---")</f>
        <v>NA</v>
      </c>
      <c r="AC107" s="375" t="str">
        <f>IF(Start!$C$18="x",IF(AB107="NA", "NA", AB107*Data!$D$54),"---")</f>
        <v>NA</v>
      </c>
      <c r="AD107" s="498" t="str">
        <f>IF(Start!$C$18="x",IF(AC107="NA","NA",AC107*Data!$D$41),"---")</f>
        <v>NA</v>
      </c>
      <c r="AE107" s="376" t="str">
        <f>IF(Start!$C$18="x",IF(AB107 = "NA", "NA", AB107/(Data!$D$53*3*Data!$D$48)*1000),"---")</f>
        <v>NA</v>
      </c>
      <c r="AF107" s="498" t="str">
        <f>IF(Start!$C$18="x",IF(AE107="NA","NA",AE107*Data!$D$46),"---")</f>
        <v>NA</v>
      </c>
      <c r="AG107" s="375">
        <f>IF(Start!$C$18="x",IF(OR($L107="NA",L107=""),"NA",($L107*(Data!$D$55^3.33)/(Data!$D$18^2))),"---")</f>
        <v>1.9763737712574927E-4</v>
      </c>
      <c r="AH107" s="376" t="str">
        <f>IF(Start!$C$18="x",IF(OR(F107="NA",F107="",P107="NA",P107=""),"NA",IF(100/Data!$D$10&gt;Data!$D$13,(F107*$P107),(F107*$P107)*Data!$D$13)),"---")</f>
        <v>NA</v>
      </c>
      <c r="AI107" s="489">
        <f>IF(Start!$C$18="x",IF(OR($N107="NA",$Q107="NA",$Q107=0,Q107="",N107=""),"NA",(1000*$N107/$Q107)),"---")</f>
        <v>1905554097.852133</v>
      </c>
      <c r="AJ107" s="376">
        <f>IF(Start!$C$18="x",IF(OR(Q107 = "NA",Q107=0,N107 = "NA",N107="",Q107=""), "NA", IF($AG107="NA","NA",(3.1416*Data!$D$57*86400/($AG107*(Data!$D$55+(N107*Data!$D$19/(Q107*1000)))))^0.5)),"---")</f>
        <v>159.55194168097165</v>
      </c>
      <c r="AK107" s="376" t="str">
        <f>IF(Start!$C$18="x",IF(OR(AH107 = "NA",AI107="NA",AI107=0,AI107="",AH107=""), "NA", AH107/AI107),"---")</f>
        <v>NA</v>
      </c>
      <c r="AL107" s="376" t="str">
        <f>IF(Start!$C$18="x",IF(OR(AK107 ="NA",AK107="",AJ107= "NA",R107="NA",R107=0),"NA",(2*AK107)/(1000*(1/$R107+AJ107))),"---")</f>
        <v>NA</v>
      </c>
      <c r="AM107" s="376" t="str">
        <f>IF(Start!$C$18="x",IF(AL107 = "NA", "NA", AL107*(Data!$D$52*Data!$D$53*10000)),"---")</f>
        <v>NA</v>
      </c>
      <c r="AN107" s="376" t="str">
        <f>IF(Start!$C$18="x",IF(AM107 = "NA", "NA", AM107*(Data!$D$54)),"---")</f>
        <v>NA</v>
      </c>
      <c r="AO107" s="498" t="str">
        <f>IF(Start!$C$18="x",IF(AN107="NA","NA",AN107*Data!$D$41),"---")</f>
        <v>NA</v>
      </c>
      <c r="AP107" s="376">
        <f>IF(Start!$C$18="x",IF(OR(Q107=0,N107="NA",N107="",AG107="NA",AG107="",AG107=0,Q107="",Q107="NA"),"NA", (3.1416*Data!$D$56*86400/($AG107*(Data!$D$55+(N107*Data!$D$19/(Q107*1000)))))^0.5),"---")</f>
        <v>159.55194168097165</v>
      </c>
      <c r="AQ107" s="376" t="str">
        <f>IF(Start!$C$18="x",IF(OR(AH107="NA",AI107="NA",AI107="",AI107=0,AH107=""),"NA", AH107/AI107),"---")</f>
        <v>NA</v>
      </c>
      <c r="AR107" s="376" t="str">
        <f>IF(Start!$C$18="x",IF(OR(AQ107="NA",AP107="NA",$R107="NA",R107=0,R107=""),"NA",(2*AQ107)/(1000*(1/$R107+AP107))),"---")</f>
        <v>NA</v>
      </c>
      <c r="AS107" s="376" t="str">
        <f>IF(Start!$C$18="x",IF(AR107 = "NA", "NA", AR107*(Data!$D$52*Data!$D$53*10000)),"---")</f>
        <v>NA</v>
      </c>
      <c r="AT107" s="376" t="str">
        <f>IF(Start!$C$18="x",IF(AS107 = "NA", "NA", (AS107*1000)/(Data!$D$48*3*Data!$D$53)),"---")</f>
        <v>NA</v>
      </c>
      <c r="AU107" s="498" t="str">
        <f>IF(Start!$C$18="x",IF(AT107="NA","NA",AT107*Data!$D$47),"---")</f>
        <v>NA</v>
      </c>
      <c r="AV107" s="283" t="str">
        <f>IF(Start!$C$18="x",(IF(AND(F107="",G107= "",G107&lt;&gt;"NA"),"",IF(OR(AD107="NA",I107="NA",I107=0),"NA",(AD107/I107)))),"Not Req.")</f>
        <v/>
      </c>
      <c r="AW107" s="284" t="str">
        <f>IF(Start!$C$18="x",(IF(AND(F107="",G107= "",G107&lt;&gt;"NA"),"",IF(OR(AF107="NA",I107="NA",I107=0),"NA",(AF107/I107)))),"Not Req.")</f>
        <v/>
      </c>
      <c r="AX107" s="284" t="str">
        <f>IF(Start!$C$18="x",(IF(F107 ="","",IF(OR(AO107="NA",I107="NA",I107=0),"NA",(AO107/I107)))),"Not Req.")</f>
        <v/>
      </c>
      <c r="AY107" s="344" t="str">
        <f>IF(Start!$C$18="x",(IF(F107 ="","",IF(OR(AU107="NA",I107="NA",I107=0),"NA",(AU107/I107)))),"Not Req.")</f>
        <v/>
      </c>
      <c r="AZ107" s="208"/>
    </row>
    <row r="108" spans="1:52" s="183" customFormat="1" x14ac:dyDescent="0.25">
      <c r="A108" s="405" t="s">
        <v>426</v>
      </c>
      <c r="B108" s="347" t="str">
        <f>IF(Start!$C$18="x",IF(AND(OR(F108="",F108="NA"),OR(G108="",G108="NA")),"",IF(I108="NA","NA",IF(AND(I108="",K108="--"),"NA",IF(AD108="NA","Missing Data",IF(I108="","No Criteria",IF(AD108&gt;=I108,"Needed","No")))))),"---")</f>
        <v/>
      </c>
      <c r="C108" s="501" t="str">
        <f>IF(Start!$C$18="x",IF(AND(OR(F108="",F108="NA"),OR(G108="",G108="NA")),"",IF(I108="NA","NA",IF(AND(I108="",K108="--"),"NA",IF(AF108="NA","Missing Data",IF(I108="","No Criteria",IF(AF108&gt;=I108,"Needed","No")))))),"---")</f>
        <v/>
      </c>
      <c r="D108" s="347" t="str">
        <f>IF(Start!$C$18="x",IF(AND(OR(F108="",F108="NA"),OR(G108="",G108="NA")),"",IF(I108="NA","NA",IF(AND(I108="",K108="--"),"NA",IF(AO108="NA","Missing Data",IF(I108="","No Criteria",IF(AO108&gt;=I108,"Needed","No")))))),"---")</f>
        <v/>
      </c>
      <c r="E108" s="401" t="str">
        <f>IF(Start!$C$18="x",IF(AND(OR(F108="",F108="NA"),OR(G108="",G108="NA")),"",IF(I108="NA","NA",IF(AND(I108="",K108="--"),"NA",IF(AU108="NA","Missing Data",IF(I108="","No Criteria",IF(AU108&gt;=I108,"Needed","No")))))),"---")</f>
        <v/>
      </c>
      <c r="F108" s="431" t="str">
        <f>IF(TRUE=ISBLANK(ChemData!B108),"",(ChemData!B108))</f>
        <v/>
      </c>
      <c r="G108" s="432" t="str">
        <f>IF(TRUE=ISBLANK(ChemData!C108),"",(ChemData!C108))</f>
        <v/>
      </c>
      <c r="H108" s="433" t="str">
        <f>IF(TRUE=ISBLANK(ChemData!D108),"",(ChemData!D108))</f>
        <v/>
      </c>
      <c r="I108" s="919">
        <f>IF(TRUE=ISBLANK(ChemData!K108),"",(ChemData!K108))</f>
        <v>3.0000000000000001E-3</v>
      </c>
      <c r="J108" s="290">
        <f>IF(TRUE=ISBLANK(ChemData!M108),"",(ChemData!M108))</f>
        <v>163</v>
      </c>
      <c r="K108" s="290">
        <f>IF(TRUE=ISBLANK(ChemData!N108),"",(ChemData!N108))</f>
        <v>2.7999999999999999E-6</v>
      </c>
      <c r="L108" s="290">
        <f>IF(TRUE=ISBLANK(ChemData!O108),"",(ChemData!O108))</f>
        <v>3.4599999999999999E-2</v>
      </c>
      <c r="M108" s="290">
        <f>IF(TRUE=ISBLANK(ChemData!Q108),"",(ChemData!Q108))</f>
        <v>22.253914684768329</v>
      </c>
      <c r="N108" s="290">
        <f>IF(TRUE=ISBLANK(ChemData!R108),"",(ChemData!R108))</f>
        <v>22.253914684768329</v>
      </c>
      <c r="O108" s="290">
        <f>IF(TRUE=ISBLANK(ChemData!S108),"",(ChemData!S108))</f>
        <v>1</v>
      </c>
      <c r="P108" s="291">
        <f>IF(TRUE=ISBLANK(ChemData!T108),"",(ChemData!T108))</f>
        <v>1</v>
      </c>
      <c r="Q108" s="375">
        <f>IF(Start!$C$18="x",IF(OR(K108="NA",K108="",K108="--"),"NA",(K108*1000000/82.1/Data!$D$50)),"---")</f>
        <v>1.1001532356292484E-4</v>
      </c>
      <c r="R108" s="376">
        <f>IF(Start!$C$18="x",IF(OR(J108="NA",J108=0,J108=""),"NA",(0.32*(Data!$D$48+Data!$D$49)*(18/J108)^0.5)),"---")</f>
        <v>0.27382283466737412</v>
      </c>
      <c r="S108" s="376">
        <f>IF(Start!$C$18="x",IF(OR(J108="NA",J108= 0,J108=""),"NA",(0.0065*((Data!$D$49^0.969)/(Data!$D$51^0.673))*(32/J108)^0.5*EXP(0.526*Data!$D$48^-1.9))),"---")</f>
        <v>5.7714351699485135E-4</v>
      </c>
      <c r="T108" s="377">
        <f>IF(Start!$C$18="x",IF(OR(S108="NA",R108="NA",R108=0,Q108="NA",S108=0,Q108=0),"NA",(1/(1/S108+(1/(R108*Q108))))),"---")</f>
        <v>2.8630313712266886E-5</v>
      </c>
      <c r="U108" s="375" t="str">
        <f>IF(Start!$C$18="x",IF(OR(F108="NA",F108="",O108="",O108="NA"),"NA",(F108*$O108)),"---")</f>
        <v>NA</v>
      </c>
      <c r="V108" s="376" t="str">
        <f>IF(Start!$C$18="x",IF(OR(U108="NA",M108="NA",M108="",U108=""),"NA",U108/((Data!$D$18+((1-Data!$D$18)*Data!$D$14*M108))/((1-Data!$D$18)*Data!$D$14*1000))),"---")</f>
        <v>NA</v>
      </c>
      <c r="W108" s="376" t="str">
        <f>IF(Start!$C$18="x",IF(OR(G108="NA",U108="NA",G108="",U108=""),"NA",(U108 +($G108*(Data!$D$19-Data!$D$22)/(Data!$D$19*Data!$D$22)))),"---")</f>
        <v>NA</v>
      </c>
      <c r="X108" s="376" t="str">
        <f>IF(Start!$C$18="x",IF(OR(G108="NA",V108="NA",G108="",V108=""),"NA",(((Data!$D$22*Data!$D$18)*V108)+(Data!$D$19-Data!$D$22)*$G108)/((Data!$D$22*Data!$D$18)+Data!$D$19-Data!$D$22)),"---")</f>
        <v>NA</v>
      </c>
      <c r="Y108" s="376" t="str">
        <f>IF(Start!$C$18="x",IF(OR(W108="NA",W108="",M108="NA",M108=""),"NA",(W108/((Data!$D$23+((1-Data!$D$23)*Data!$D$14*M108)) /((1-Data!$D$23)*Data!$D$14*1000)))),"---")</f>
        <v>NA</v>
      </c>
      <c r="Z108" s="376" t="str">
        <f>IF(Start!$C$18="x",IF(OR(Y108="NA",X108="NA"),"NA",IF(Y108&gt;X108, Y108, X108)),"---")</f>
        <v>NA</v>
      </c>
      <c r="AA108" s="461" t="str">
        <f>IF(Start!$C$18="x",IF(OR(Z108="NA",T108="NA"),"NA",Z108*T108/(1000000000)),"---")</f>
        <v>NA</v>
      </c>
      <c r="AB108" s="1057" t="str">
        <f>IF(Start!$C$18="x",IF(AA108 = "NA", "NA", AA108*(Data!$D$52*Data!$D$53*10000)),"---")</f>
        <v>NA</v>
      </c>
      <c r="AC108" s="375" t="str">
        <f>IF(Start!$C$18="x",IF(AB108="NA", "NA", AB108*Data!$D$54),"---")</f>
        <v>NA</v>
      </c>
      <c r="AD108" s="498" t="str">
        <f>IF(Start!$C$18="x",IF(AC108="NA","NA",AC108*Data!$D$41),"---")</f>
        <v>NA</v>
      </c>
      <c r="AE108" s="376" t="str">
        <f>IF(Start!$C$18="x",IF(AB108 = "NA", "NA", AB108/(Data!$D$53*3*Data!$D$48)*1000),"---")</f>
        <v>NA</v>
      </c>
      <c r="AF108" s="498" t="str">
        <f>IF(Start!$C$18="x",IF(AE108="NA","NA",AE108*Data!$D$46),"---")</f>
        <v>NA</v>
      </c>
      <c r="AG108" s="375">
        <f>IF(Start!$C$18="x",IF(OR($L108="NA",L108=""),"NA",($L108*(Data!$D$55^3.33)/(Data!$D$18^2))),"---")</f>
        <v>3.5248728085314046E-4</v>
      </c>
      <c r="AH108" s="376" t="str">
        <f>IF(Start!$C$18="x",IF(OR(F108="NA",F108="",P108="NA",P108=""),"NA",IF(100/Data!$D$10&gt;Data!$D$13,(F108*$P108),(F108*$P108)*Data!$D$13)),"---")</f>
        <v>NA</v>
      </c>
      <c r="AI108" s="489">
        <f>IF(Start!$C$18="x",IF(OR($N108="NA",$Q108="NA",$Q108=0,Q108="",N108=""),"NA",(1000*$N108/$Q108)),"---")</f>
        <v>202280136.65787098</v>
      </c>
      <c r="AJ108" s="376">
        <f>IF(Start!$C$18="x",IF(OR(Q108 = "NA",Q108=0,N108 = "NA",N108="",Q108=""), "NA", IF($AG108="NA","NA",(3.1416*Data!$D$57*86400/($AG108*(Data!$D$55+(N108*Data!$D$19/(Q108*1000)))))^0.5)),"---")</f>
        <v>366.68969524882817</v>
      </c>
      <c r="AK108" s="376" t="str">
        <f>IF(Start!$C$18="x",IF(OR(AH108 = "NA",AI108="NA",AI108=0,AI108="",AH108=""), "NA", AH108/AI108),"---")</f>
        <v>NA</v>
      </c>
      <c r="AL108" s="376" t="str">
        <f>IF(Start!$C$18="x",IF(OR(AK108 ="NA",AK108="",AJ108= "NA",R108="NA",R108=0),"NA",(2*AK108)/(1000*(1/$R108+AJ108))),"---")</f>
        <v>NA</v>
      </c>
      <c r="AM108" s="376" t="str">
        <f>IF(Start!$C$18="x",IF(AL108 = "NA", "NA", AL108*(Data!$D$52*Data!$D$53*10000)),"---")</f>
        <v>NA</v>
      </c>
      <c r="AN108" s="376" t="str">
        <f>IF(Start!$C$18="x",IF(AM108 = "NA", "NA", AM108*(Data!$D$54)),"---")</f>
        <v>NA</v>
      </c>
      <c r="AO108" s="498" t="str">
        <f>IF(Start!$C$18="x",IF(AN108="NA","NA",AN108*Data!$D$41),"---")</f>
        <v>NA</v>
      </c>
      <c r="AP108" s="376">
        <f>IF(Start!$C$18="x",IF(OR(Q108=0,N108="NA",N108="",AG108="NA",AG108="",AG108=0,Q108="",Q108="NA"),"NA", (3.1416*Data!$D$56*86400/($AG108*(Data!$D$55+(N108*Data!$D$19/(Q108*1000)))))^0.5),"---")</f>
        <v>366.68969524882817</v>
      </c>
      <c r="AQ108" s="376" t="str">
        <f>IF(Start!$C$18="x",IF(OR(AH108="NA",AI108="NA",AI108="",AI108=0,AH108=""),"NA", AH108/AI108),"---")</f>
        <v>NA</v>
      </c>
      <c r="AR108" s="376" t="str">
        <f>IF(Start!$C$18="x",IF(OR(AQ108="NA",AP108="NA",$R108="NA",R108=0,R108=""),"NA",(2*AQ108)/(1000*(1/$R108+AP108))),"---")</f>
        <v>NA</v>
      </c>
      <c r="AS108" s="376" t="str">
        <f>IF(Start!$C$18="x",IF(AR108 = "NA", "NA", AR108*(Data!$D$52*Data!$D$53*10000)),"---")</f>
        <v>NA</v>
      </c>
      <c r="AT108" s="376" t="str">
        <f>IF(Start!$C$18="x",IF(AS108 = "NA", "NA", (AS108*1000)/(Data!$D$48*3*Data!$D$53)),"---")</f>
        <v>NA</v>
      </c>
      <c r="AU108" s="498" t="str">
        <f>IF(Start!$C$18="x",IF(AT108="NA","NA",AT108*Data!$D$47),"---")</f>
        <v>NA</v>
      </c>
      <c r="AV108" s="283" t="str">
        <f>IF(Start!$C$18="x",(IF(AND(F108="",G108= "",G108&lt;&gt;"NA"),"",IF(OR(AD108="NA",I108="NA",I108=0),"NA",(AD108/I108)))),"Not Req.")</f>
        <v/>
      </c>
      <c r="AW108" s="284" t="str">
        <f>IF(Start!$C$18="x",(IF(AND(F108="",G108= "",G108&lt;&gt;"NA"),"",IF(OR(AF108="NA",I108="NA",I108=0),"NA",(AF108/I108)))),"Not Req.")</f>
        <v/>
      </c>
      <c r="AX108" s="284" t="str">
        <f>IF(Start!$C$18="x",(IF(F108 ="","",IF(OR(AO108="NA",I108="NA",I108=0),"NA",(AO108/I108)))),"Not Req.")</f>
        <v/>
      </c>
      <c r="AY108" s="344" t="str">
        <f>IF(Start!$C$18="x",(IF(F108 ="","",IF(OR(AU108="NA",I108="NA",I108=0),"NA",(AU108/I108)))),"Not Req.")</f>
        <v/>
      </c>
      <c r="AZ108" s="208"/>
    </row>
    <row r="109" spans="1:52" s="183" customFormat="1" x14ac:dyDescent="0.25">
      <c r="A109" s="405" t="s">
        <v>427</v>
      </c>
      <c r="B109" s="347" t="str">
        <f>IF(Start!$C$18="x",IF(AND(OR(F109="",F109="NA"),OR(G109="",G109="NA")),"",IF(I109="NA","NA",IF(AND(I109="",K109="--"),"NA",IF(AD109="NA","Missing Data",IF(I109="","No Criteria",IF(AD109&gt;=I109,"Needed","No")))))),"---")</f>
        <v/>
      </c>
      <c r="C109" s="501" t="str">
        <f>IF(Start!$C$18="x",IF(AND(OR(F109="",F109="NA"),OR(G109="",G109="NA")),"",IF(I109="NA","NA",IF(AND(I109="",K109="--"),"NA",IF(AF109="NA","Missing Data",IF(I109="","No Criteria",IF(AF109&gt;=I109,"Needed","No")))))),"---")</f>
        <v/>
      </c>
      <c r="D109" s="347" t="str">
        <f>IF(Start!$C$18="x",IF(AND(OR(F109="",F109="NA"),OR(G109="",G109="NA")),"",IF(I109="NA","NA",IF(AND(I109="",K109="--"),"NA",IF(AO109="NA","Missing Data",IF(I109="","No Criteria",IF(AO109&gt;=I109,"Needed","No")))))),"---")</f>
        <v/>
      </c>
      <c r="E109" s="401" t="str">
        <f>IF(Start!$C$18="x",IF(AND(OR(F109="",F109="NA"),OR(G109="",G109="NA")),"",IF(I109="NA","NA",IF(AND(I109="",K109="--"),"NA",IF(AU109="NA","Missing Data",IF(I109="","No Criteria",IF(AU109&gt;=I109,"Needed","No")))))),"---")</f>
        <v/>
      </c>
      <c r="F109" s="431" t="str">
        <f>IF(TRUE=ISBLANK(ChemData!B109),"",(ChemData!B109))</f>
        <v/>
      </c>
      <c r="G109" s="432" t="str">
        <f>IF(TRUE=ISBLANK(ChemData!C109),"",(ChemData!C109))</f>
        <v/>
      </c>
      <c r="H109" s="433" t="str">
        <f>IF(TRUE=ISBLANK(ChemData!D109),"",(ChemData!D109))</f>
        <v/>
      </c>
      <c r="I109" s="919">
        <f>IF(TRUE=ISBLANK(ChemData!K109),"",(ChemData!K109))</f>
        <v>0.8</v>
      </c>
      <c r="J109" s="290">
        <f>IF(TRUE=ISBLANK(ChemData!M109),"",(ChemData!M109))</f>
        <v>222.2</v>
      </c>
      <c r="K109" s="290">
        <f>IF(TRUE=ISBLANK(ChemData!N109),"",(ChemData!N109))</f>
        <v>4.7E-7</v>
      </c>
      <c r="L109" s="290">
        <f>IF(TRUE=ISBLANK(ChemData!O109),"",(ChemData!O109))</f>
        <v>2.5600000000000001E-2</v>
      </c>
      <c r="M109" s="290">
        <f>IF(TRUE=ISBLANK(ChemData!Q109),"",(ChemData!Q109))</f>
        <v>5.4626882785594866</v>
      </c>
      <c r="N109" s="290">
        <f>IF(TRUE=ISBLANK(ChemData!R109),"",(ChemData!R109))</f>
        <v>5.4626882785594866</v>
      </c>
      <c r="O109" s="290">
        <f>IF(TRUE=ISBLANK(ChemData!S109),"",(ChemData!S109))</f>
        <v>1</v>
      </c>
      <c r="P109" s="291">
        <f>IF(TRUE=ISBLANK(ChemData!T109),"",(ChemData!T109))</f>
        <v>1</v>
      </c>
      <c r="Q109" s="375">
        <f>IF(Start!$C$18="x",IF(OR(K109="NA",K109="",K109="--"),"NA",(K109*1000000/82.1/Data!$D$50)),"---")</f>
        <v>1.8466857883776671E-5</v>
      </c>
      <c r="R109" s="376">
        <f>IF(Start!$C$18="x",IF(OR(J109="NA",J109=0,J109=""),"NA",(0.32*(Data!$D$48+Data!$D$49)*(18/J109)^0.5)),"---")</f>
        <v>0.23452623788315369</v>
      </c>
      <c r="S109" s="376">
        <f>IF(Start!$C$18="x",IF(OR(J109="NA",J109= 0,J109=""),"NA",(0.0065*((Data!$D$49^0.969)/(Data!$D$51^0.673))*(32/J109)^0.5*EXP(0.526*Data!$D$48^-1.9))),"---")</f>
        <v>4.9431705695354841E-4</v>
      </c>
      <c r="T109" s="377">
        <f>IF(Start!$C$18="x",IF(OR(S109="NA",R109="NA",R109=0,Q109="NA",S109=0,Q109=0),"NA",(1/(1/S109+(1/(R109*Q109))))),"---")</f>
        <v>4.2933465164056981E-6</v>
      </c>
      <c r="U109" s="375" t="str">
        <f>IF(Start!$C$18="x",IF(OR(F109="NA",F109="",O109="",O109="NA"),"NA",(F109*$O109)),"---")</f>
        <v>NA</v>
      </c>
      <c r="V109" s="376" t="str">
        <f>IF(Start!$C$18="x",IF(OR(U109="NA",M109="NA",M109="",U109=""),"NA",U109/((Data!$D$18+((1-Data!$D$18)*Data!$D$14*M109))/((1-Data!$D$18)*Data!$D$14*1000))),"---")</f>
        <v>NA</v>
      </c>
      <c r="W109" s="376" t="str">
        <f>IF(Start!$C$18="x",IF(OR(G109="NA",U109="NA",G109="",U109=""),"NA",(U109 +($G109*(Data!$D$19-Data!$D$22)/(Data!$D$19*Data!$D$22)))),"---")</f>
        <v>NA</v>
      </c>
      <c r="X109" s="376" t="str">
        <f>IF(Start!$C$18="x",IF(OR(G109="NA",V109="NA",G109="",V109=""),"NA",(((Data!$D$22*Data!$D$18)*V109)+(Data!$D$19-Data!$D$22)*$G109)/((Data!$D$22*Data!$D$18)+Data!$D$19-Data!$D$22)),"---")</f>
        <v>NA</v>
      </c>
      <c r="Y109" s="376" t="str">
        <f>IF(Start!$C$18="x",IF(OR(W109="NA",W109="",M109="NA",M109=""),"NA",(W109/((Data!$D$23+((1-Data!$D$23)*Data!$D$14*M109)) /((1-Data!$D$23)*Data!$D$14*1000)))),"---")</f>
        <v>NA</v>
      </c>
      <c r="Z109" s="376" t="str">
        <f>IF(Start!$C$18="x",IF(OR(Y109="NA",X109="NA"),"NA",IF(Y109&gt;X109, Y109, X109)),"---")</f>
        <v>NA</v>
      </c>
      <c r="AA109" s="461" t="str">
        <f>IF(Start!$C$18="x",IF(OR(Z109="NA",T109="NA"),"NA",Z109*T109/(1000000000)),"---")</f>
        <v>NA</v>
      </c>
      <c r="AB109" s="1057" t="str">
        <f>IF(Start!$C$18="x",IF(AA109 = "NA", "NA", AA109*(Data!$D$52*Data!$D$53*10000)),"---")</f>
        <v>NA</v>
      </c>
      <c r="AC109" s="375" t="str">
        <f>IF(Start!$C$18="x",IF(AB109="NA", "NA", AB109*Data!$D$54),"---")</f>
        <v>NA</v>
      </c>
      <c r="AD109" s="498" t="str">
        <f>IF(Start!$C$18="x",IF(AC109="NA","NA",AC109*Data!$D$41),"---")</f>
        <v>NA</v>
      </c>
      <c r="AE109" s="376" t="str">
        <f>IF(Start!$C$18="x",IF(AB109 = "NA", "NA", AB109/(Data!$D$53*3*Data!$D$48)*1000),"---")</f>
        <v>NA</v>
      </c>
      <c r="AF109" s="498" t="str">
        <f>IF(Start!$C$18="x",IF(AE109="NA","NA",AE109*Data!$D$46),"---")</f>
        <v>NA</v>
      </c>
      <c r="AG109" s="375">
        <f>IF(Start!$C$18="x",IF(OR($L109="NA",L109=""),"NA",($L109*(Data!$D$55^3.33)/(Data!$D$18^2))),"---")</f>
        <v>2.6079983785665882E-4</v>
      </c>
      <c r="AH109" s="376" t="str">
        <f>IF(Start!$C$18="x",IF(OR(F109="NA",F109="",P109="NA",P109=""),"NA",IF(100/Data!$D$10&gt;Data!$D$13,(F109*$P109),(F109*$P109)*Data!$D$13)),"---")</f>
        <v>NA</v>
      </c>
      <c r="AI109" s="489">
        <f>IF(Start!$C$18="x",IF(OR($N109="NA",$Q109="NA",$Q109=0,Q109="",N109=""),"NA",(1000*$N109/$Q109)),"---")</f>
        <v>295810381.65450525</v>
      </c>
      <c r="AJ109" s="376">
        <f>IF(Start!$C$18="x",IF(OR(Q109 = "NA",Q109=0,N109 = "NA",N109="",Q109=""), "NA", IF($AG109="NA","NA",(3.1416*Data!$D$57*86400/($AG109*(Data!$D$55+(N109*Data!$D$19/(Q109*1000)))))^0.5)),"---")</f>
        <v>352.52243842227978</v>
      </c>
      <c r="AK109" s="376" t="str">
        <f>IF(Start!$C$18="x",IF(OR(AH109 = "NA",AI109="NA",AI109=0,AI109="",AH109=""), "NA", AH109/AI109),"---")</f>
        <v>NA</v>
      </c>
      <c r="AL109" s="376" t="str">
        <f>IF(Start!$C$18="x",IF(OR(AK109 ="NA",AK109="",AJ109= "NA",R109="NA",R109=0),"NA",(2*AK109)/(1000*(1/$R109+AJ109))),"---")</f>
        <v>NA</v>
      </c>
      <c r="AM109" s="376" t="str">
        <f>IF(Start!$C$18="x",IF(AL109 = "NA", "NA", AL109*(Data!$D$52*Data!$D$53*10000)),"---")</f>
        <v>NA</v>
      </c>
      <c r="AN109" s="376" t="str">
        <f>IF(Start!$C$18="x",IF(AM109 = "NA", "NA", AM109*(Data!$D$54)),"---")</f>
        <v>NA</v>
      </c>
      <c r="AO109" s="498" t="str">
        <f>IF(Start!$C$18="x",IF(AN109="NA","NA",AN109*Data!$D$41),"---")</f>
        <v>NA</v>
      </c>
      <c r="AP109" s="376">
        <f>IF(Start!$C$18="x",IF(OR(Q109=0,N109="NA",N109="",AG109="NA",AG109="",AG109=0,Q109="",Q109="NA"),"NA", (3.1416*Data!$D$56*86400/($AG109*(Data!$D$55+(N109*Data!$D$19/(Q109*1000)))))^0.5),"---")</f>
        <v>352.52243842227978</v>
      </c>
      <c r="AQ109" s="376" t="str">
        <f>IF(Start!$C$18="x",IF(OR(AH109="NA",AI109="NA",AI109="",AI109=0,AH109=""),"NA", AH109/AI109),"---")</f>
        <v>NA</v>
      </c>
      <c r="AR109" s="376" t="str">
        <f>IF(Start!$C$18="x",IF(OR(AQ109="NA",AP109="NA",$R109="NA",R109=0,R109=""),"NA",(2*AQ109)/(1000*(1/$R109+AP109))),"---")</f>
        <v>NA</v>
      </c>
      <c r="AS109" s="376" t="str">
        <f>IF(Start!$C$18="x",IF(AR109 = "NA", "NA", AR109*(Data!$D$52*Data!$D$53*10000)),"---")</f>
        <v>NA</v>
      </c>
      <c r="AT109" s="376" t="str">
        <f>IF(Start!$C$18="x",IF(AS109 = "NA", "NA", (AS109*1000)/(Data!$D$48*3*Data!$D$53)),"---")</f>
        <v>NA</v>
      </c>
      <c r="AU109" s="498" t="str">
        <f>IF(Start!$C$18="x",IF(AT109="NA","NA",AT109*Data!$D$47),"---")</f>
        <v>NA</v>
      </c>
      <c r="AV109" s="283" t="str">
        <f>IF(Start!$C$18="x",(IF(AND(F109="",G109= "",G109&lt;&gt;"NA"),"",IF(OR(AD109="NA",I109="NA",I109=0),"NA",(AD109/I109)))),"Not Req.")</f>
        <v/>
      </c>
      <c r="AW109" s="284" t="str">
        <f>IF(Start!$C$18="x",(IF(AND(F109="",G109= "",G109&lt;&gt;"NA"),"",IF(OR(AF109="NA",I109="NA",I109=0),"NA",(AF109/I109)))),"Not Req.")</f>
        <v/>
      </c>
      <c r="AX109" s="284" t="str">
        <f>IF(Start!$C$18="x",(IF(F109 ="","",IF(OR(AO109="NA",I109="NA",I109=0),"NA",(AO109/I109)))),"Not Req.")</f>
        <v/>
      </c>
      <c r="AY109" s="344" t="str">
        <f>IF(Start!$C$18="x",(IF(F109 ="","",IF(OR(AU109="NA",I109="NA",I109=0),"NA",(AU109/I109)))),"Not Req.")</f>
        <v/>
      </c>
      <c r="AZ109" s="208"/>
    </row>
    <row r="110" spans="1:52" s="183" customFormat="1" x14ac:dyDescent="0.25">
      <c r="A110" s="405" t="s">
        <v>428</v>
      </c>
      <c r="B110" s="347" t="str">
        <f>IF(Start!$C$18="x",IF(AND(OR(F110="",F110="NA"),OR(G110="",G110="NA")),"",IF(I110="NA","NA",IF(AND(I110="",K110="--"),"NA",IF(AD110="NA","Missing Data",IF(I110="","No Criteria",IF(AD110&gt;=I110,"Needed","No")))))),"---")</f>
        <v/>
      </c>
      <c r="C110" s="501" t="str">
        <f>IF(Start!$C$18="x",IF(AND(OR(F110="",F110="NA"),OR(G110="",G110="NA")),"",IF(I110="NA","NA",IF(AND(I110="",K110="--"),"NA",IF(AF110="NA","Missing Data",IF(I110="","No Criteria",IF(AF110&gt;=I110,"Needed","No")))))),"---")</f>
        <v/>
      </c>
      <c r="D110" s="347" t="str">
        <f>IF(Start!$C$18="x",IF(AND(OR(F110="",F110="NA"),OR(G110="",G110="NA")),"",IF(I110="NA","NA",IF(AND(I110="",K110="--"),"NA",IF(AO110="NA","Missing Data",IF(I110="","No Criteria",IF(AO110&gt;=I110,"Needed","No")))))),"---")</f>
        <v/>
      </c>
      <c r="E110" s="401" t="str">
        <f>IF(Start!$C$18="x",IF(AND(OR(F110="",F110="NA"),OR(G110="",G110="NA")),"",IF(I110="NA","NA",IF(AND(I110="",K110="--"),"NA",IF(AU110="NA","Missing Data",IF(I110="","No Criteria",IF(AU110&gt;=I110,"Needed","No")))))),"---")</f>
        <v/>
      </c>
      <c r="F110" s="431" t="str">
        <f>IF(TRUE=ISBLANK(ChemData!B110),"",(ChemData!B110))</f>
        <v/>
      </c>
      <c r="G110" s="432" t="str">
        <f>IF(TRUE=ISBLANK(ChemData!C110),"",(ChemData!C110))</f>
        <v/>
      </c>
      <c r="H110" s="433" t="str">
        <f>IF(TRUE=ISBLANK(ChemData!D110),"",(ChemData!D110))</f>
        <v/>
      </c>
      <c r="I110" s="919">
        <f>IF(TRUE=ISBLANK(ChemData!K110),"",(ChemData!K110))</f>
        <v>10</v>
      </c>
      <c r="J110" s="290">
        <f>IF(TRUE=ISBLANK(ChemData!M110),"",(ChemData!M110))</f>
        <v>194.2</v>
      </c>
      <c r="K110" s="290">
        <f>IF(TRUE=ISBLANK(ChemData!N110),"",(ChemData!N110))</f>
        <v>2.0999999999999998E-6</v>
      </c>
      <c r="L110" s="290">
        <f>IF(TRUE=ISBLANK(ChemData!O110),"",(ChemData!O110))</f>
        <v>5.6800000000000003E-2</v>
      </c>
      <c r="M110" s="290">
        <f>IF(TRUE=ISBLANK(ChemData!Q110),"",(ChemData!Q110))</f>
        <v>0.67205747937945803</v>
      </c>
      <c r="N110" s="290">
        <f>IF(TRUE=ISBLANK(ChemData!R110),"",(ChemData!R110))</f>
        <v>0.67205747937945803</v>
      </c>
      <c r="O110" s="290">
        <f>IF(TRUE=ISBLANK(ChemData!S110),"",(ChemData!S110))</f>
        <v>1</v>
      </c>
      <c r="P110" s="291">
        <f>IF(TRUE=ISBLANK(ChemData!T110),"",(ChemData!T110))</f>
        <v>1</v>
      </c>
      <c r="Q110" s="375">
        <f>IF(Start!$C$18="x",IF(OR(K110="NA",K110="",K110="--"),"NA",(K110*1000000/82.1/Data!$D$50)),"---")</f>
        <v>8.251149267219362E-5</v>
      </c>
      <c r="R110" s="376">
        <f>IF(Start!$C$18="x",IF(OR(J110="NA",J110=0,J110=""),"NA",(0.32*(Data!$D$48+Data!$D$49)*(18/J110)^0.5)),"---")</f>
        <v>0.2508642938398965</v>
      </c>
      <c r="S110" s="376">
        <f>IF(Start!$C$18="x",IF(OR(J110="NA",J110= 0,J110=""),"NA",(0.0065*((Data!$D$49^0.969)/(Data!$D$51^0.673))*(32/J110)^0.5*EXP(0.526*Data!$D$48^-1.9))),"---")</f>
        <v>5.2875320281840148E-4</v>
      </c>
      <c r="T110" s="377">
        <f>IF(Start!$C$18="x",IF(OR(S110="NA",R110="NA",R110=0,Q110="NA",S110=0,Q110=0),"NA",(1/(1/S110+(1/(R110*Q110))))),"---")</f>
        <v>1.991939938613455E-5</v>
      </c>
      <c r="U110" s="375" t="str">
        <f>IF(Start!$C$18="x",IF(OR(F110="NA",F110="",O110="",O110="NA"),"NA",(F110*$O110)),"---")</f>
        <v>NA</v>
      </c>
      <c r="V110" s="376" t="str">
        <f>IF(Start!$C$18="x",IF(OR(U110="NA",M110="NA",M110="",U110=""),"NA",U110/((Data!$D$18+((1-Data!$D$18)*Data!$D$14*M110))/((1-Data!$D$18)*Data!$D$14*1000))),"---")</f>
        <v>NA</v>
      </c>
      <c r="W110" s="376" t="str">
        <f>IF(Start!$C$18="x",IF(OR(G110="NA",U110="NA",G110="",U110=""),"NA",(U110 +($G110*(Data!$D$19-Data!$D$22)/(Data!$D$19*Data!$D$22)))),"---")</f>
        <v>NA</v>
      </c>
      <c r="X110" s="376" t="str">
        <f>IF(Start!$C$18="x",IF(OR(G110="NA",V110="NA",G110="",V110=""),"NA",(((Data!$D$22*Data!$D$18)*V110)+(Data!$D$19-Data!$D$22)*$G110)/((Data!$D$22*Data!$D$18)+Data!$D$19-Data!$D$22)),"---")</f>
        <v>NA</v>
      </c>
      <c r="Y110" s="376" t="str">
        <f>IF(Start!$C$18="x",IF(OR(W110="NA",W110="",M110="NA",M110=""),"NA",(W110/((Data!$D$23+((1-Data!$D$23)*Data!$D$14*M110)) /((1-Data!$D$23)*Data!$D$14*1000)))),"---")</f>
        <v>NA</v>
      </c>
      <c r="Z110" s="376" t="str">
        <f>IF(Start!$C$18="x",IF(OR(Y110="NA",X110="NA"),"NA",IF(Y110&gt;X110, Y110, X110)),"---")</f>
        <v>NA</v>
      </c>
      <c r="AA110" s="461" t="str">
        <f>IF(Start!$C$18="x",IF(OR(Z110="NA",T110="NA"),"NA",Z110*T110/(1000000000)),"---")</f>
        <v>NA</v>
      </c>
      <c r="AB110" s="1057" t="str">
        <f>IF(Start!$C$18="x",IF(AA110 = "NA", "NA", AA110*(Data!$D$52*Data!$D$53*10000)),"---")</f>
        <v>NA</v>
      </c>
      <c r="AC110" s="375" t="str">
        <f>IF(Start!$C$18="x",IF(AB110="NA", "NA", AB110*Data!$D$54),"---")</f>
        <v>NA</v>
      </c>
      <c r="AD110" s="498" t="str">
        <f>IF(Start!$C$18="x",IF(AC110="NA","NA",AC110*Data!$D$41),"---")</f>
        <v>NA</v>
      </c>
      <c r="AE110" s="376" t="str">
        <f>IF(Start!$C$18="x",IF(AB110 = "NA", "NA", AB110/(Data!$D$53*3*Data!$D$48)*1000),"---")</f>
        <v>NA</v>
      </c>
      <c r="AF110" s="498" t="str">
        <f>IF(Start!$C$18="x",IF(AE110="NA","NA",AE110*Data!$D$46),"---")</f>
        <v>NA</v>
      </c>
      <c r="AG110" s="375">
        <f>IF(Start!$C$18="x",IF(OR($L110="NA",L110=""),"NA",($L110*(Data!$D$55^3.33)/(Data!$D$18^2))),"---")</f>
        <v>5.786496402444617E-4</v>
      </c>
      <c r="AH110" s="376" t="str">
        <f>IF(Start!$C$18="x",IF(OR(F110="NA",F110="",P110="NA",P110=""),"NA",IF(100/Data!$D$10&gt;Data!$D$13,(F110*$P110),(F110*$P110)*Data!$D$13)),"---")</f>
        <v>NA</v>
      </c>
      <c r="AI110" s="489">
        <f>IF(Start!$C$18="x",IF(OR($N110="NA",$Q110="NA",$Q110=0,Q110="",N110=""),"NA",(1000*$N110/$Q110)),"---")</f>
        <v>8145016.6227078997</v>
      </c>
      <c r="AJ110" s="376">
        <f>IF(Start!$C$18="x",IF(OR(Q110 = "NA",Q110=0,N110 = "NA",N110="",Q110=""), "NA", IF($AG110="NA","NA",(3.1416*Data!$D$57*86400/($AG110*(Data!$D$55+(N110*Data!$D$19/(Q110*1000)))))^0.5)),"---")</f>
        <v>1426.2222056662401</v>
      </c>
      <c r="AK110" s="376" t="str">
        <f>IF(Start!$C$18="x",IF(OR(AH110 = "NA",AI110="NA",AI110=0,AI110="",AH110=""), "NA", AH110/AI110),"---")</f>
        <v>NA</v>
      </c>
      <c r="AL110" s="376" t="str">
        <f>IF(Start!$C$18="x",IF(OR(AK110 ="NA",AK110="",AJ110= "NA",R110="NA",R110=0),"NA",(2*AK110)/(1000*(1/$R110+AJ110))),"---")</f>
        <v>NA</v>
      </c>
      <c r="AM110" s="376" t="str">
        <f>IF(Start!$C$18="x",IF(AL110 = "NA", "NA", AL110*(Data!$D$52*Data!$D$53*10000)),"---")</f>
        <v>NA</v>
      </c>
      <c r="AN110" s="376" t="str">
        <f>IF(Start!$C$18="x",IF(AM110 = "NA", "NA", AM110*(Data!$D$54)),"---")</f>
        <v>NA</v>
      </c>
      <c r="AO110" s="498" t="str">
        <f>IF(Start!$C$18="x",IF(AN110="NA","NA",AN110*Data!$D$41),"---")</f>
        <v>NA</v>
      </c>
      <c r="AP110" s="376">
        <f>IF(Start!$C$18="x",IF(OR(Q110=0,N110="NA",N110="",AG110="NA",AG110="",AG110=0,Q110="",Q110="NA"),"NA", (3.1416*Data!$D$56*86400/($AG110*(Data!$D$55+(N110*Data!$D$19/(Q110*1000)))))^0.5),"---")</f>
        <v>1426.2222056662401</v>
      </c>
      <c r="AQ110" s="376" t="str">
        <f>IF(Start!$C$18="x",IF(OR(AH110="NA",AI110="NA",AI110="",AI110=0,AH110=""),"NA", AH110/AI110),"---")</f>
        <v>NA</v>
      </c>
      <c r="AR110" s="376" t="str">
        <f>IF(Start!$C$18="x",IF(OR(AQ110="NA",AP110="NA",$R110="NA",R110=0,R110=""),"NA",(2*AQ110)/(1000*(1/$R110+AP110))),"---")</f>
        <v>NA</v>
      </c>
      <c r="AS110" s="376" t="str">
        <f>IF(Start!$C$18="x",IF(AR110 = "NA", "NA", AR110*(Data!$D$52*Data!$D$53*10000)),"---")</f>
        <v>NA</v>
      </c>
      <c r="AT110" s="376" t="str">
        <f>IF(Start!$C$18="x",IF(AS110 = "NA", "NA", (AS110*1000)/(Data!$D$48*3*Data!$D$53)),"---")</f>
        <v>NA</v>
      </c>
      <c r="AU110" s="498" t="str">
        <f>IF(Start!$C$18="x",IF(AT110="NA","NA",AT110*Data!$D$47),"---")</f>
        <v>NA</v>
      </c>
      <c r="AV110" s="283" t="str">
        <f>IF(Start!$C$18="x",(IF(AND(F110="",G110= "",G110&lt;&gt;"NA"),"",IF(OR(AD110="NA",I110="NA",I110=0),"NA",(AD110/I110)))),"Not Req.")</f>
        <v/>
      </c>
      <c r="AW110" s="284" t="str">
        <f>IF(Start!$C$18="x",(IF(AND(F110="",G110= "",G110&lt;&gt;"NA"),"",IF(OR(AF110="NA",I110="NA",I110=0),"NA",(AF110/I110)))),"Not Req.")</f>
        <v/>
      </c>
      <c r="AX110" s="284" t="str">
        <f>IF(Start!$C$18="x",(IF(F110 ="","",IF(OR(AO110="NA",I110="NA",I110=0),"NA",(AO110/I110)))),"Not Req.")</f>
        <v/>
      </c>
      <c r="AY110" s="344" t="str">
        <f>IF(Start!$C$18="x",(IF(F110 ="","",IF(OR(AU110="NA",I110="NA",I110=0),"NA",(AU110/I110)))),"Not Req.")</f>
        <v/>
      </c>
      <c r="AZ110" s="208"/>
    </row>
    <row r="111" spans="1:52" s="183" customFormat="1" x14ac:dyDescent="0.25">
      <c r="A111" s="405" t="s">
        <v>429</v>
      </c>
      <c r="B111" s="347" t="str">
        <f>IF(Start!$C$18="x",IF(AND(OR(F111="",F111="NA"),OR(G111="",G111="NA")),"",IF(I111="NA","NA",IF(AND(I111="",K111="--"),"NA",IF(AD111="NA","Missing Data",IF(I111="","No Criteria",IF(AD111&gt;=I111,"Needed","No")))))),"---")</f>
        <v/>
      </c>
      <c r="C111" s="501" t="str">
        <f>IF(Start!$C$18="x",IF(AND(OR(F111="",F111="NA"),OR(G111="",G111="NA")),"",IF(I111="NA","NA",IF(AND(I111="",K111="--"),"NA",IF(AF111="NA","Missing Data",IF(I111="","No Criteria",IF(AF111&gt;=I111,"Needed","No")))))),"---")</f>
        <v/>
      </c>
      <c r="D111" s="347" t="str">
        <f>IF(Start!$C$18="x",IF(AND(OR(F111="",F111="NA"),OR(G111="",G111="NA")),"",IF(I111="NA","NA",IF(AND(I111="",K111="--"),"NA",IF(AO111="NA","Missing Data",IF(I111="","No Criteria",IF(AO111&gt;=I111,"Needed","No")))))),"---")</f>
        <v/>
      </c>
      <c r="E111" s="401" t="str">
        <f>IF(Start!$C$18="x",IF(AND(OR(F111="",F111="NA"),OR(G111="",G111="NA")),"",IF(I111="NA","NA",IF(AND(I111="",K111="--"),"NA",IF(AU111="NA","Missing Data",IF(I111="","No Criteria",IF(AU111&gt;=I111,"Needed","No")))))),"---")</f>
        <v/>
      </c>
      <c r="F111" s="431" t="str">
        <f>IF(TRUE=ISBLANK(ChemData!B111),"",(ChemData!B111))</f>
        <v/>
      </c>
      <c r="G111" s="432" t="str">
        <f>IF(TRUE=ISBLANK(ChemData!C111),"",(ChemData!C111))</f>
        <v/>
      </c>
      <c r="H111" s="433" t="str">
        <f>IF(TRUE=ISBLANK(ChemData!D111),"",(ChemData!D111))</f>
        <v/>
      </c>
      <c r="I111" s="919">
        <f>IF(TRUE=ISBLANK(ChemData!K111),"",(ChemData!K111))</f>
        <v>0.02</v>
      </c>
      <c r="J111" s="290">
        <f>IF(TRUE=ISBLANK(ChemData!M111),"",(ChemData!M111))</f>
        <v>122.2</v>
      </c>
      <c r="K111" s="290">
        <f>IF(TRUE=ISBLANK(ChemData!N111),"",(ChemData!N111))</f>
        <v>1.7499999999999998E-5</v>
      </c>
      <c r="L111" s="290">
        <f>IF(TRUE=ISBLANK(ChemData!O111),"",(ChemData!O111))</f>
        <v>5.8400000000000001E-2</v>
      </c>
      <c r="M111" s="290">
        <f>IF(TRUE=ISBLANK(ChemData!Q111),"",(ChemData!Q111))</f>
        <v>4.1438728274899992</v>
      </c>
      <c r="N111" s="290">
        <f>IF(TRUE=ISBLANK(ChemData!R111),"",(ChemData!R111))</f>
        <v>4.1438728274899992</v>
      </c>
      <c r="O111" s="290">
        <f>IF(TRUE=ISBLANK(ChemData!S111),"",(ChemData!S111))</f>
        <v>1</v>
      </c>
      <c r="P111" s="291">
        <f>IF(TRUE=ISBLANK(ChemData!T111),"",(ChemData!T111))</f>
        <v>1</v>
      </c>
      <c r="Q111" s="375">
        <f>IF(Start!$C$18="x",IF(OR(K111="NA",K111="",K111="--"),"NA",(K111*1000000/82.1/Data!$D$50)),"---")</f>
        <v>6.875957722682803E-4</v>
      </c>
      <c r="R111" s="376">
        <f>IF(Start!$C$18="x",IF(OR(J111="NA",J111=0,J111=""),"NA",(0.32*(Data!$D$48+Data!$D$49)*(18/J111)^0.5)),"---")</f>
        <v>0.31624805362862751</v>
      </c>
      <c r="S111" s="376">
        <f>IF(Start!$C$18="x",IF(OR(J111="NA",J111= 0,J111=""),"NA",(0.0065*((Data!$D$49^0.969)/(Data!$D$51^0.673))*(32/J111)^0.5*EXP(0.526*Data!$D$48^-1.9))),"---")</f>
        <v>6.6656425544538308E-4</v>
      </c>
      <c r="T111" s="377">
        <f>IF(Start!$C$18="x",IF(OR(S111="NA",R111="NA",R111=0,Q111="NA",S111=0,Q111=0),"NA",(1/(1/S111+(1/(R111*Q111))))),"---")</f>
        <v>1.6396207519419812E-4</v>
      </c>
      <c r="U111" s="375" t="str">
        <f>IF(Start!$C$18="x",IF(OR(F111="NA",F111="",O111="",O111="NA"),"NA",(F111*$O111)),"---")</f>
        <v>NA</v>
      </c>
      <c r="V111" s="376" t="str">
        <f>IF(Start!$C$18="x",IF(OR(U111="NA",M111="NA",M111="",U111=""),"NA",U111/((Data!$D$18+((1-Data!$D$18)*Data!$D$14*M111))/((1-Data!$D$18)*Data!$D$14*1000))),"---")</f>
        <v>NA</v>
      </c>
      <c r="W111" s="376" t="str">
        <f>IF(Start!$C$18="x",IF(OR(G111="NA",U111="NA",G111="",U111=""),"NA",(U111 +($G111*(Data!$D$19-Data!$D$22)/(Data!$D$19*Data!$D$22)))),"---")</f>
        <v>NA</v>
      </c>
      <c r="X111" s="376" t="str">
        <f>IF(Start!$C$18="x",IF(OR(G111="NA",V111="NA",G111="",V111=""),"NA",(((Data!$D$22*Data!$D$18)*V111)+(Data!$D$19-Data!$D$22)*$G111)/((Data!$D$22*Data!$D$18)+Data!$D$19-Data!$D$22)),"---")</f>
        <v>NA</v>
      </c>
      <c r="Y111" s="376" t="str">
        <f>IF(Start!$C$18="x",IF(OR(W111="NA",W111="",M111="NA",M111=""),"NA",(W111/((Data!$D$23+((1-Data!$D$23)*Data!$D$14*M111)) /((1-Data!$D$23)*Data!$D$14*1000)))),"---")</f>
        <v>NA</v>
      </c>
      <c r="Z111" s="376" t="str">
        <f>IF(Start!$C$18="x",IF(OR(Y111="NA",X111="NA"),"NA",IF(Y111&gt;X111, Y111, X111)),"---")</f>
        <v>NA</v>
      </c>
      <c r="AA111" s="461" t="str">
        <f>IF(Start!$C$18="x",IF(OR(Z111="NA",T111="NA"),"NA",Z111*T111/(1000000000)),"---")</f>
        <v>NA</v>
      </c>
      <c r="AB111" s="1057" t="str">
        <f>IF(Start!$C$18="x",IF(AA111 = "NA", "NA", AA111*(Data!$D$52*Data!$D$53*10000)),"---")</f>
        <v>NA</v>
      </c>
      <c r="AC111" s="375" t="str">
        <f>IF(Start!$C$18="x",IF(AB111="NA", "NA", AB111*Data!$D$54),"---")</f>
        <v>NA</v>
      </c>
      <c r="AD111" s="498" t="str">
        <f>IF(Start!$C$18="x",IF(AC111="NA","NA",AC111*Data!$D$41),"---")</f>
        <v>NA</v>
      </c>
      <c r="AE111" s="376" t="str">
        <f>IF(Start!$C$18="x",IF(AB111 = "NA", "NA", AB111/(Data!$D$53*3*Data!$D$48)*1000),"---")</f>
        <v>NA</v>
      </c>
      <c r="AF111" s="498" t="str">
        <f>IF(Start!$C$18="x",IF(AE111="NA","NA",AE111*Data!$D$46),"---")</f>
        <v>NA</v>
      </c>
      <c r="AG111" s="375">
        <f>IF(Start!$C$18="x",IF(OR($L111="NA",L111=""),"NA",($L111*(Data!$D$55^3.33)/(Data!$D$18^2))),"---")</f>
        <v>5.9494963011050294E-4</v>
      </c>
      <c r="AH111" s="376" t="str">
        <f>IF(Start!$C$18="x",IF(OR(F111="NA",F111="",P111="NA",P111=""),"NA",IF(100/Data!$D$10&gt;Data!$D$13,(F111*$P111),(F111*$P111)*Data!$D$13)),"---")</f>
        <v>NA</v>
      </c>
      <c r="AI111" s="489">
        <f>IF(Start!$C$18="x",IF(OR($N111="NA",$Q111="NA",$Q111=0,Q111="",N111=""),"NA",(1000*$N111/$Q111)),"---")</f>
        <v>6026611.8475684552</v>
      </c>
      <c r="AJ111" s="376">
        <f>IF(Start!$C$18="x",IF(OR(Q111 = "NA",Q111=0,N111 = "NA",N111="",Q111=""), "NA", IF($AG111="NA","NA",(3.1416*Data!$D$57*86400/($AG111*(Data!$D$55+(N111*Data!$D$19/(Q111*1000)))))^0.5)),"---")</f>
        <v>1635.1669802886422</v>
      </c>
      <c r="AK111" s="376" t="str">
        <f>IF(Start!$C$18="x",IF(OR(AH111 = "NA",AI111="NA",AI111=0,AI111="",AH111=""), "NA", AH111/AI111),"---")</f>
        <v>NA</v>
      </c>
      <c r="AL111" s="376" t="str">
        <f>IF(Start!$C$18="x",IF(OR(AK111 ="NA",AK111="",AJ111= "NA",R111="NA",R111=0),"NA",(2*AK111)/(1000*(1/$R111+AJ111))),"---")</f>
        <v>NA</v>
      </c>
      <c r="AM111" s="376" t="str">
        <f>IF(Start!$C$18="x",IF(AL111 = "NA", "NA", AL111*(Data!$D$52*Data!$D$53*10000)),"---")</f>
        <v>NA</v>
      </c>
      <c r="AN111" s="376" t="str">
        <f>IF(Start!$C$18="x",IF(AM111 = "NA", "NA", AM111*(Data!$D$54)),"---")</f>
        <v>NA</v>
      </c>
      <c r="AO111" s="498" t="str">
        <f>IF(Start!$C$18="x",IF(AN111="NA","NA",AN111*Data!$D$41),"---")</f>
        <v>NA</v>
      </c>
      <c r="AP111" s="376">
        <f>IF(Start!$C$18="x",IF(OR(Q111=0,N111="NA",N111="",AG111="NA",AG111="",AG111=0,Q111="",Q111="NA"),"NA", (3.1416*Data!$D$56*86400/($AG111*(Data!$D$55+(N111*Data!$D$19/(Q111*1000)))))^0.5),"---")</f>
        <v>1635.1669802886422</v>
      </c>
      <c r="AQ111" s="376" t="str">
        <f>IF(Start!$C$18="x",IF(OR(AH111="NA",AI111="NA",AI111="",AI111=0,AH111=""),"NA", AH111/AI111),"---")</f>
        <v>NA</v>
      </c>
      <c r="AR111" s="376" t="str">
        <f>IF(Start!$C$18="x",IF(OR(AQ111="NA",AP111="NA",$R111="NA",R111=0,R111=""),"NA",(2*AQ111)/(1000*(1/$R111+AP111))),"---")</f>
        <v>NA</v>
      </c>
      <c r="AS111" s="376" t="str">
        <f>IF(Start!$C$18="x",IF(AR111 = "NA", "NA", AR111*(Data!$D$52*Data!$D$53*10000)),"---")</f>
        <v>NA</v>
      </c>
      <c r="AT111" s="376" t="str">
        <f>IF(Start!$C$18="x",IF(AS111 = "NA", "NA", (AS111*1000)/(Data!$D$48*3*Data!$D$53)),"---")</f>
        <v>NA</v>
      </c>
      <c r="AU111" s="498" t="str">
        <f>IF(Start!$C$18="x",IF(AT111="NA","NA",AT111*Data!$D$47),"---")</f>
        <v>NA</v>
      </c>
      <c r="AV111" s="283" t="str">
        <f>IF(Start!$C$18="x",(IF(AND(F111="",G111= "",G111&lt;&gt;"NA"),"",IF(OR(AD111="NA",I111="NA",I111=0),"NA",(AD111/I111)))),"Not Req.")</f>
        <v/>
      </c>
      <c r="AW111" s="284" t="str">
        <f>IF(Start!$C$18="x",(IF(AND(F111="",G111= "",G111&lt;&gt;"NA"),"",IF(OR(AF111="NA",I111="NA",I111=0),"NA",(AF111/I111)))),"Not Req.")</f>
        <v/>
      </c>
      <c r="AX111" s="284" t="str">
        <f>IF(Start!$C$18="x",(IF(F111 ="","",IF(OR(AO111="NA",I111="NA",I111=0),"NA",(AO111/I111)))),"Not Req.")</f>
        <v/>
      </c>
      <c r="AY111" s="344" t="str">
        <f>IF(Start!$C$18="x",(IF(F111 ="","",IF(OR(AU111="NA",I111="NA",I111=0),"NA",(AU111/I111)))),"Not Req.")</f>
        <v/>
      </c>
      <c r="AZ111" s="208"/>
    </row>
    <row r="112" spans="1:52" s="183" customFormat="1" x14ac:dyDescent="0.25">
      <c r="A112" s="405" t="s">
        <v>430</v>
      </c>
      <c r="B112" s="347" t="str">
        <f>IF(Start!$C$18="x",IF(AND(OR(F112="",F112="NA"),OR(G112="",G112="NA")),"",IF(I112="NA","NA",IF(AND(I112="",K112="--"),"NA",IF(AD112="NA","Missing Data",IF(I112="","No Criteria",IF(AD112&gt;=I112,"Needed","No")))))),"---")</f>
        <v/>
      </c>
      <c r="C112" s="501" t="str">
        <f>IF(Start!$C$18="x",IF(AND(OR(F112="",F112="NA"),OR(G112="",G112="NA")),"",IF(I112="NA","NA",IF(AND(I112="",K112="--"),"NA",IF(AF112="NA","Missing Data",IF(I112="","No Criteria",IF(AF112&gt;=I112,"Needed","No")))))),"---")</f>
        <v/>
      </c>
      <c r="D112" s="347" t="str">
        <f>IF(Start!$C$18="x",IF(AND(OR(F112="",F112="NA"),OR(G112="",G112="NA")),"",IF(I112="NA","NA",IF(AND(I112="",K112="--"),"NA",IF(AO112="NA","Missing Data",IF(I112="","No Criteria",IF(AO112&gt;=I112,"Needed","No")))))),"---")</f>
        <v/>
      </c>
      <c r="E112" s="401" t="str">
        <f>IF(Start!$C$18="x",IF(AND(OR(F112="",F112="NA"),OR(G112="",G112="NA")),"",IF(I112="NA","NA",IF(AND(I112="",K112="--"),"NA",IF(AU112="NA","Missing Data",IF(I112="","No Criteria",IF(AU112&gt;=I112,"Needed","No")))))),"---")</f>
        <v/>
      </c>
      <c r="F112" s="431" t="str">
        <f>IF(TRUE=ISBLANK(ChemData!B112),"",(ChemData!B112))</f>
        <v/>
      </c>
      <c r="G112" s="432" t="str">
        <f>IF(TRUE=ISBLANK(ChemData!C112),"",(ChemData!C112))</f>
        <v/>
      </c>
      <c r="H112" s="433" t="str">
        <f>IF(TRUE=ISBLANK(ChemData!D112),"",(ChemData!D112))</f>
        <v/>
      </c>
      <c r="I112" s="919" t="str">
        <f>IF(TRUE=ISBLANK(ChemData!K112),"",(ChemData!K112))</f>
        <v>NA</v>
      </c>
      <c r="J112" s="290">
        <f>IF(TRUE=ISBLANK(ChemData!M112),"",(ChemData!M112))</f>
        <v>198.1</v>
      </c>
      <c r="K112" s="290">
        <f>IF(TRUE=ISBLANK(ChemData!N112),"",(ChemData!N112))</f>
        <v>4.0000000000000003E-5</v>
      </c>
      <c r="L112" s="290">
        <f>IF(TRUE=ISBLANK(ChemData!O112),"",(ChemData!O112))</f>
        <v>2.93E-2</v>
      </c>
      <c r="M112" s="290">
        <f>IF(TRUE=ISBLANK(ChemData!Q112),"",(ChemData!Q112))</f>
        <v>9.2769756944408179</v>
      </c>
      <c r="N112" s="290">
        <f>IF(TRUE=ISBLANK(ChemData!R112),"",(ChemData!R112))</f>
        <v>9.2769756944408179</v>
      </c>
      <c r="O112" s="290">
        <f>IF(TRUE=ISBLANK(ChemData!S112),"",(ChemData!S112))</f>
        <v>1</v>
      </c>
      <c r="P112" s="291">
        <f>IF(TRUE=ISBLANK(ChemData!T112),"",(ChemData!T112))</f>
        <v>1</v>
      </c>
      <c r="Q112" s="375">
        <f>IF(Start!$C$18="x",IF(OR(K112="NA",K112="",K112="--"),"NA",(K112*1000000/82.1/Data!$D$50)),"---")</f>
        <v>1.5716474794703549E-3</v>
      </c>
      <c r="R112" s="376">
        <f>IF(Start!$C$18="x",IF(OR(J112="NA",J112=0,J112=""),"NA",(0.32*(Data!$D$48+Data!$D$49)*(18/J112)^0.5)),"---")</f>
        <v>0.24838263296252272</v>
      </c>
      <c r="S112" s="376">
        <f>IF(Start!$C$18="x",IF(OR(J112="NA",J112= 0,J112=""),"NA",(0.0065*((Data!$D$49^0.969)/(Data!$D$51^0.673))*(32/J112)^0.5*EXP(0.526*Data!$D$48^-1.9))),"---")</f>
        <v>5.2352254158265796E-4</v>
      </c>
      <c r="T112" s="377">
        <f>IF(Start!$C$18="x",IF(OR(S112="NA",R112="NA",R112=0,Q112="NA",S112=0,Q112=0),"NA",(1/(1/S112+(1/(R112*Q112))))),"---")</f>
        <v>2.2362309240620419E-4</v>
      </c>
      <c r="U112" s="375" t="str">
        <f>IF(Start!$C$18="x",IF(OR(F112="NA",F112="",O112="",O112="NA"),"NA",(F112*$O112)),"---")</f>
        <v>NA</v>
      </c>
      <c r="V112" s="376" t="str">
        <f>IF(Start!$C$18="x",IF(OR(U112="NA",M112="NA",M112="",U112=""),"NA",U112/((Data!$D$18+((1-Data!$D$18)*Data!$D$14*M112))/((1-Data!$D$18)*Data!$D$14*1000))),"---")</f>
        <v>NA</v>
      </c>
      <c r="W112" s="376" t="str">
        <f>IF(Start!$C$18="x",IF(OR(G112="NA",U112="NA",G112="",U112=""),"NA",(U112 +($G112*(Data!$D$19-Data!$D$22)/(Data!$D$19*Data!$D$22)))),"---")</f>
        <v>NA</v>
      </c>
      <c r="X112" s="376" t="str">
        <f>IF(Start!$C$18="x",IF(OR(G112="NA",V112="NA",G112="",V112=""),"NA",(((Data!$D$22*Data!$D$18)*V112)+(Data!$D$19-Data!$D$22)*$G112)/((Data!$D$22*Data!$D$18)+Data!$D$19-Data!$D$22)),"---")</f>
        <v>NA</v>
      </c>
      <c r="Y112" s="376" t="str">
        <f>IF(Start!$C$18="x",IF(OR(W112="NA",W112="",M112="NA",M112=""),"NA",(W112/((Data!$D$23+((1-Data!$D$23)*Data!$D$14*M112)) /((1-Data!$D$23)*Data!$D$14*1000)))),"---")</f>
        <v>NA</v>
      </c>
      <c r="Z112" s="376" t="str">
        <f>IF(Start!$C$18="x",IF(OR(Y112="NA",X112="NA"),"NA",IF(Y112&gt;X112, Y112, X112)),"---")</f>
        <v>NA</v>
      </c>
      <c r="AA112" s="461" t="str">
        <f>IF(Start!$C$18="x",IF(OR(Z112="NA",T112="NA"),"NA",Z112*T112/(1000000000)),"---")</f>
        <v>NA</v>
      </c>
      <c r="AB112" s="1057" t="str">
        <f>IF(Start!$C$18="x",IF(AA112 = "NA", "NA", AA112*(Data!$D$52*Data!$D$53*10000)),"---")</f>
        <v>NA</v>
      </c>
      <c r="AC112" s="375" t="str">
        <f>IF(Start!$C$18="x",IF(AB112="NA", "NA", AB112*Data!$D$54),"---")</f>
        <v>NA</v>
      </c>
      <c r="AD112" s="498" t="str">
        <f>IF(Start!$C$18="x",IF(AC112="NA","NA",AC112*Data!$D$41),"---")</f>
        <v>NA</v>
      </c>
      <c r="AE112" s="376" t="str">
        <f>IF(Start!$C$18="x",IF(AB112 = "NA", "NA", AB112/(Data!$D$53*3*Data!$D$48)*1000),"---")</f>
        <v>NA</v>
      </c>
      <c r="AF112" s="498" t="str">
        <f>IF(Start!$C$18="x",IF(AE112="NA","NA",AE112*Data!$D$46),"---")</f>
        <v>NA</v>
      </c>
      <c r="AG112" s="375">
        <f>IF(Start!$C$18="x",IF(OR($L112="NA",L112=""),"NA",($L112*(Data!$D$55^3.33)/(Data!$D$18^2))),"---")</f>
        <v>2.9849356442187907E-4</v>
      </c>
      <c r="AH112" s="376" t="str">
        <f>IF(Start!$C$18="x",IF(OR(F112="NA",F112="",P112="NA",P112=""),"NA",IF(100/Data!$D$10&gt;Data!$D$13,(F112*$P112),(F112*$P112)*Data!$D$13)),"---")</f>
        <v>NA</v>
      </c>
      <c r="AI112" s="489">
        <f>IF(Start!$C$18="x",IF(OR($N112="NA",$Q112="NA",$Q112=0,Q112="",N112=""),"NA",(1000*$N112/$Q112)),"---")</f>
        <v>5902707.7099803314</v>
      </c>
      <c r="AJ112" s="376">
        <f>IF(Start!$C$18="x",IF(OR(Q112 = "NA",Q112=0,N112 = "NA",N112="",Q112=""), "NA", IF($AG112="NA","NA",(3.1416*Data!$D$57*86400/($AG112*(Data!$D$55+(N112*Data!$D$19/(Q112*1000)))))^0.5)),"---")</f>
        <v>2332.6281654641666</v>
      </c>
      <c r="AK112" s="376" t="str">
        <f>IF(Start!$C$18="x",IF(OR(AH112 = "NA",AI112="NA",AI112=0,AI112="",AH112=""), "NA", AH112/AI112),"---")</f>
        <v>NA</v>
      </c>
      <c r="AL112" s="376" t="str">
        <f>IF(Start!$C$18="x",IF(OR(AK112 ="NA",AK112="",AJ112= "NA",R112="NA",R112=0),"NA",(2*AK112)/(1000*(1/$R112+AJ112))),"---")</f>
        <v>NA</v>
      </c>
      <c r="AM112" s="376" t="str">
        <f>IF(Start!$C$18="x",IF(AL112 = "NA", "NA", AL112*(Data!$D$52*Data!$D$53*10000)),"---")</f>
        <v>NA</v>
      </c>
      <c r="AN112" s="376" t="str">
        <f>IF(Start!$C$18="x",IF(AM112 = "NA", "NA", AM112*(Data!$D$54)),"---")</f>
        <v>NA</v>
      </c>
      <c r="AO112" s="498" t="str">
        <f>IF(Start!$C$18="x",IF(AN112="NA","NA",AN112*Data!$D$41),"---")</f>
        <v>NA</v>
      </c>
      <c r="AP112" s="376">
        <f>IF(Start!$C$18="x",IF(OR(Q112=0,N112="NA",N112="",AG112="NA",AG112="",AG112=0,Q112="",Q112="NA"),"NA", (3.1416*Data!$D$56*86400/($AG112*(Data!$D$55+(N112*Data!$D$19/(Q112*1000)))))^0.5),"---")</f>
        <v>2332.6281654641666</v>
      </c>
      <c r="AQ112" s="376" t="str">
        <f>IF(Start!$C$18="x",IF(OR(AH112="NA",AI112="NA",AI112="",AI112=0,AH112=""),"NA", AH112/AI112),"---")</f>
        <v>NA</v>
      </c>
      <c r="AR112" s="376" t="str">
        <f>IF(Start!$C$18="x",IF(OR(AQ112="NA",AP112="NA",$R112="NA",R112=0,R112=""),"NA",(2*AQ112)/(1000*(1/$R112+AP112))),"---")</f>
        <v>NA</v>
      </c>
      <c r="AS112" s="376" t="str">
        <f>IF(Start!$C$18="x",IF(AR112 = "NA", "NA", AR112*(Data!$D$52*Data!$D$53*10000)),"---")</f>
        <v>NA</v>
      </c>
      <c r="AT112" s="376" t="str">
        <f>IF(Start!$C$18="x",IF(AS112 = "NA", "NA", (AS112*1000)/(Data!$D$48*3*Data!$D$53)),"---")</f>
        <v>NA</v>
      </c>
      <c r="AU112" s="498" t="str">
        <f>IF(Start!$C$18="x",IF(AT112="NA","NA",AT112*Data!$D$47),"---")</f>
        <v>NA</v>
      </c>
      <c r="AV112" s="283" t="str">
        <f>IF(Start!$C$18="x",(IF(AND(F112="",G112= "",G112&lt;&gt;"NA"),"",IF(OR(AD112="NA",I112="NA",I112=0),"NA",(AD112/I112)))),"Not Req.")</f>
        <v/>
      </c>
      <c r="AW112" s="284" t="str">
        <f>IF(Start!$C$18="x",(IF(AND(F112="",G112= "",G112&lt;&gt;"NA"),"",IF(OR(AF112="NA",I112="NA",I112=0),"NA",(AF112/I112)))),"Not Req.")</f>
        <v/>
      </c>
      <c r="AX112" s="284" t="str">
        <f>IF(Start!$C$18="x",(IF(F112 ="","",IF(OR(AO112="NA",I112="NA",I112=0),"NA",(AO112/I112)))),"Not Req.")</f>
        <v/>
      </c>
      <c r="AY112" s="344" t="str">
        <f>IF(Start!$C$18="x",(IF(F112 ="","",IF(OR(AU112="NA",I112="NA",I112=0),"NA",(AU112/I112)))),"Not Req.")</f>
        <v/>
      </c>
      <c r="AZ112" s="208"/>
    </row>
    <row r="113" spans="1:52" s="183" customFormat="1" x14ac:dyDescent="0.25">
      <c r="A113" s="405" t="s">
        <v>431</v>
      </c>
      <c r="B113" s="347" t="str">
        <f>IF(Start!$C$18="x",IF(AND(OR(F113="",F113="NA"),OR(G113="",G113="NA")),"",IF(I113="NA","NA",IF(AND(I113="",K113="--"),"NA",IF(AD113="NA","Missing Data",IF(I113="","No Criteria",IF(AD113&gt;=I113,"Needed","No")))))),"---")</f>
        <v/>
      </c>
      <c r="C113" s="501" t="str">
        <f>IF(Start!$C$18="x",IF(AND(OR(F113="",F113="NA"),OR(G113="",G113="NA")),"",IF(I113="NA","NA",IF(AND(I113="",K113="--"),"NA",IF(AF113="NA","Missing Data",IF(I113="","No Criteria",IF(AF113&gt;=I113,"Needed","No")))))),"---")</f>
        <v/>
      </c>
      <c r="D113" s="347" t="str">
        <f>IF(Start!$C$18="x",IF(AND(OR(F113="",F113="NA"),OR(G113="",G113="NA")),"",IF(I113="NA","NA",IF(AND(I113="",K113="--"),"NA",IF(AO113="NA","Missing Data",IF(I113="","No Criteria",IF(AO113&gt;=I113,"Needed","No")))))),"---")</f>
        <v/>
      </c>
      <c r="E113" s="401" t="str">
        <f>IF(Start!$C$18="x",IF(AND(OR(F113="",F113="NA"),OR(G113="",G113="NA")),"",IF(I113="NA","NA",IF(AND(I113="",K113="--"),"NA",IF(AU113="NA","Missing Data",IF(I113="","No Criteria",IF(AU113&gt;=I113,"Needed","No")))))),"---")</f>
        <v/>
      </c>
      <c r="F113" s="431" t="str">
        <f>IF(TRUE=ISBLANK(ChemData!B113),"",(ChemData!B113))</f>
        <v/>
      </c>
      <c r="G113" s="432" t="str">
        <f>IF(TRUE=ISBLANK(ChemData!C113),"",(ChemData!C113))</f>
        <v/>
      </c>
      <c r="H113" s="433" t="str">
        <f>IF(TRUE=ISBLANK(ChemData!D113),"",(ChemData!D113))</f>
        <v/>
      </c>
      <c r="I113" s="919">
        <f>IF(TRUE=ISBLANK(ChemData!K113),"",(ChemData!K113))</f>
        <v>2E-3</v>
      </c>
      <c r="J113" s="290">
        <f>IF(TRUE=ISBLANK(ChemData!M113),"",(ChemData!M113))</f>
        <v>184.1</v>
      </c>
      <c r="K113" s="290">
        <f>IF(TRUE=ISBLANK(ChemData!N113),"",(ChemData!N113))</f>
        <v>6.5000000000000003E-10</v>
      </c>
      <c r="L113" s="290">
        <f>IF(TRUE=ISBLANK(ChemData!O113),"",(ChemData!O113))</f>
        <v>2.7300000000000001E-2</v>
      </c>
      <c r="M113" s="290">
        <f>IF(TRUE=ISBLANK(ChemData!Q113),"",(ChemData!Q113))</f>
        <v>0.65675958347134833</v>
      </c>
      <c r="N113" s="290">
        <f>IF(TRUE=ISBLANK(ChemData!R113),"",(ChemData!R113))</f>
        <v>0.65675958347134833</v>
      </c>
      <c r="O113" s="290">
        <f>IF(TRUE=ISBLANK(ChemData!S113),"",(ChemData!S113))</f>
        <v>1</v>
      </c>
      <c r="P113" s="291">
        <f>IF(TRUE=ISBLANK(ChemData!T113),"",(ChemData!T113))</f>
        <v>1</v>
      </c>
      <c r="Q113" s="375">
        <f>IF(Start!$C$18="x",IF(OR(K113="NA",K113="",K113="--"),"NA",(K113*1000000/82.1/Data!$D$50)),"---")</f>
        <v>2.5539271541393273E-8</v>
      </c>
      <c r="R113" s="376">
        <f>IF(Start!$C$18="x",IF(OR(J113="NA",J113=0,J113=""),"NA",(0.32*(Data!$D$48+Data!$D$49)*(18/J113)^0.5)),"---")</f>
        <v>0.25765381066235399</v>
      </c>
      <c r="S113" s="376">
        <f>IF(Start!$C$18="x",IF(OR(J113="NA",J113= 0,J113=""),"NA",(0.0065*((Data!$D$49^0.969)/(Data!$D$51^0.673))*(32/J113)^0.5*EXP(0.526*Data!$D$48^-1.9))),"---")</f>
        <v>5.4306364417501399E-4</v>
      </c>
      <c r="T113" s="377">
        <f>IF(Start!$C$18="x",IF(OR(S113="NA",R113="NA",R113=0,Q113="NA",S113=0,Q113=0),"NA",(1/(1/S113+(1/(R113*Q113))))),"---")</f>
        <v>6.5802109019049451E-9</v>
      </c>
      <c r="U113" s="375" t="str">
        <f>IF(Start!$C$18="x",IF(OR(F113="NA",F113="",O113="",O113="NA"),"NA",(F113*$O113)),"---")</f>
        <v>NA</v>
      </c>
      <c r="V113" s="376" t="str">
        <f>IF(Start!$C$18="x",IF(OR(U113="NA",M113="NA",M113="",U113=""),"NA",U113/((Data!$D$18+((1-Data!$D$18)*Data!$D$14*M113))/((1-Data!$D$18)*Data!$D$14*1000))),"---")</f>
        <v>NA</v>
      </c>
      <c r="W113" s="376" t="str">
        <f>IF(Start!$C$18="x",IF(OR(G113="NA",U113="NA",G113="",U113=""),"NA",(U113 +($G113*(Data!$D$19-Data!$D$22)/(Data!$D$19*Data!$D$22)))),"---")</f>
        <v>NA</v>
      </c>
      <c r="X113" s="376" t="str">
        <f>IF(Start!$C$18="x",IF(OR(G113="NA",V113="NA",G113="",V113=""),"NA",(((Data!$D$22*Data!$D$18)*V113)+(Data!$D$19-Data!$D$22)*$G113)/((Data!$D$22*Data!$D$18)+Data!$D$19-Data!$D$22)),"---")</f>
        <v>NA</v>
      </c>
      <c r="Y113" s="376" t="str">
        <f>IF(Start!$C$18="x",IF(OR(W113="NA",W113="",M113="NA",M113=""),"NA",(W113/((Data!$D$23+((1-Data!$D$23)*Data!$D$14*M113)) /((1-Data!$D$23)*Data!$D$14*1000)))),"---")</f>
        <v>NA</v>
      </c>
      <c r="Z113" s="376" t="str">
        <f>IF(Start!$C$18="x",IF(OR(Y113="NA",X113="NA"),"NA",IF(Y113&gt;X113, Y113, X113)),"---")</f>
        <v>NA</v>
      </c>
      <c r="AA113" s="461" t="str">
        <f>IF(Start!$C$18="x",IF(OR(Z113="NA",T113="NA"),"NA",Z113*T113/(1000000000)),"---")</f>
        <v>NA</v>
      </c>
      <c r="AB113" s="1057" t="str">
        <f>IF(Start!$C$18="x",IF(AA113 = "NA", "NA", AA113*(Data!$D$52*Data!$D$53*10000)),"---")</f>
        <v>NA</v>
      </c>
      <c r="AC113" s="375" t="str">
        <f>IF(Start!$C$18="x",IF(AB113="NA", "NA", AB113*Data!$D$54),"---")</f>
        <v>NA</v>
      </c>
      <c r="AD113" s="498" t="str">
        <f>IF(Start!$C$18="x",IF(AC113="NA","NA",AC113*Data!$D$41),"---")</f>
        <v>NA</v>
      </c>
      <c r="AE113" s="376" t="str">
        <f>IF(Start!$C$18="x",IF(AB113 = "NA", "NA", AB113/(Data!$D$53*3*Data!$D$48)*1000),"---")</f>
        <v>NA</v>
      </c>
      <c r="AF113" s="498" t="str">
        <f>IF(Start!$C$18="x",IF(AE113="NA","NA",AE113*Data!$D$46),"---")</f>
        <v>NA</v>
      </c>
      <c r="AG113" s="375">
        <f>IF(Start!$C$18="x",IF(OR($L113="NA",L113=""),"NA",($L113*(Data!$D$55^3.33)/(Data!$D$18^2))),"---")</f>
        <v>2.781185770893276E-4</v>
      </c>
      <c r="AH113" s="376" t="str">
        <f>IF(Start!$C$18="x",IF(OR(F113="NA",F113="",P113="NA",P113=""),"NA",IF(100/Data!$D$10&gt;Data!$D$13,(F113*$P113),(F113*$P113)*Data!$D$13)),"---")</f>
        <v>NA</v>
      </c>
      <c r="AI113" s="489">
        <f>IF(Start!$C$18="x",IF(OR($N113="NA",$Q113="NA",$Q113=0,Q113="",N113=""),"NA",(1000*$N113/$Q113)),"---")</f>
        <v>25715674090.660435</v>
      </c>
      <c r="AJ113" s="376">
        <f>IF(Start!$C$18="x",IF(OR(Q113 = "NA",Q113=0,N113 = "NA",N113="",Q113=""), "NA", IF($AG113="NA","NA",(3.1416*Data!$D$57*86400/($AG113*(Data!$D$55+(N113*Data!$D$19/(Q113*1000)))))^0.5)),"---")</f>
        <v>36.612833857370639</v>
      </c>
      <c r="AK113" s="376" t="str">
        <f>IF(Start!$C$18="x",IF(OR(AH113 = "NA",AI113="NA",AI113=0,AI113="",AH113=""), "NA", AH113/AI113),"---")</f>
        <v>NA</v>
      </c>
      <c r="AL113" s="376" t="str">
        <f>IF(Start!$C$18="x",IF(OR(AK113 ="NA",AK113="",AJ113= "NA",R113="NA",R113=0),"NA",(2*AK113)/(1000*(1/$R113+AJ113))),"---")</f>
        <v>NA</v>
      </c>
      <c r="AM113" s="376" t="str">
        <f>IF(Start!$C$18="x",IF(AL113 = "NA", "NA", AL113*(Data!$D$52*Data!$D$53*10000)),"---")</f>
        <v>NA</v>
      </c>
      <c r="AN113" s="376" t="str">
        <f>IF(Start!$C$18="x",IF(AM113 = "NA", "NA", AM113*(Data!$D$54)),"---")</f>
        <v>NA</v>
      </c>
      <c r="AO113" s="498" t="str">
        <f>IF(Start!$C$18="x",IF(AN113="NA","NA",AN113*Data!$D$41),"---")</f>
        <v>NA</v>
      </c>
      <c r="AP113" s="376">
        <f>IF(Start!$C$18="x",IF(OR(Q113=0,N113="NA",N113="",AG113="NA",AG113="",AG113=0,Q113="",Q113="NA"),"NA", (3.1416*Data!$D$56*86400/($AG113*(Data!$D$55+(N113*Data!$D$19/(Q113*1000)))))^0.5),"---")</f>
        <v>36.612833857370639</v>
      </c>
      <c r="AQ113" s="376" t="str">
        <f>IF(Start!$C$18="x",IF(OR(AH113="NA",AI113="NA",AI113="",AI113=0,AH113=""),"NA", AH113/AI113),"---")</f>
        <v>NA</v>
      </c>
      <c r="AR113" s="376" t="str">
        <f>IF(Start!$C$18="x",IF(OR(AQ113="NA",AP113="NA",$R113="NA",R113=0,R113=""),"NA",(2*AQ113)/(1000*(1/$R113+AP113))),"---")</f>
        <v>NA</v>
      </c>
      <c r="AS113" s="376" t="str">
        <f>IF(Start!$C$18="x",IF(AR113 = "NA", "NA", AR113*(Data!$D$52*Data!$D$53*10000)),"---")</f>
        <v>NA</v>
      </c>
      <c r="AT113" s="376" t="str">
        <f>IF(Start!$C$18="x",IF(AS113 = "NA", "NA", (AS113*1000)/(Data!$D$48*3*Data!$D$53)),"---")</f>
        <v>NA</v>
      </c>
      <c r="AU113" s="498" t="str">
        <f>IF(Start!$C$18="x",IF(AT113="NA","NA",AT113*Data!$D$47),"---")</f>
        <v>NA</v>
      </c>
      <c r="AV113" s="283" t="str">
        <f>IF(Start!$C$18="x",(IF(AND(F113="",G113= "",G113&lt;&gt;"NA"),"",IF(OR(AD113="NA",I113="NA",I113=0),"NA",(AD113/I113)))),"Not Req.")</f>
        <v/>
      </c>
      <c r="AW113" s="284" t="str">
        <f>IF(Start!$C$18="x",(IF(AND(F113="",G113= "",G113&lt;&gt;"NA"),"",IF(OR(AF113="NA",I113="NA",I113=0),"NA",(AF113/I113)))),"Not Req.")</f>
        <v/>
      </c>
      <c r="AX113" s="284" t="str">
        <f>IF(Start!$C$18="x",(IF(F113 ="","",IF(OR(AO113="NA",I113="NA",I113=0),"NA",(AO113/I113)))),"Not Req.")</f>
        <v/>
      </c>
      <c r="AY113" s="344" t="str">
        <f>IF(Start!$C$18="x",(IF(F113 ="","",IF(OR(AU113="NA",I113="NA",I113=0),"NA",(AU113/I113)))),"Not Req.")</f>
        <v/>
      </c>
      <c r="AZ113" s="208"/>
    </row>
    <row r="114" spans="1:52" s="183" customFormat="1" x14ac:dyDescent="0.25">
      <c r="A114" s="405" t="s">
        <v>432</v>
      </c>
      <c r="B114" s="347" t="str">
        <f>IF(Start!$C$18="x",IF(AND(OR(F114="",F114="NA"),OR(G114="",G114="NA")),"",IF(I114="NA","NA",IF(AND(I114="",K114="--"),"NA",IF(AD114="NA","Missing Data",IF(I114="","No Criteria",IF(AD114&gt;=I114,"Needed","No")))))),"---")</f>
        <v/>
      </c>
      <c r="C114" s="501" t="str">
        <f>IF(Start!$C$18="x",IF(AND(OR(F114="",F114="NA"),OR(G114="",G114="NA")),"",IF(I114="NA","NA",IF(AND(I114="",K114="--"),"NA",IF(AF114="NA","Missing Data",IF(I114="","No Criteria",IF(AF114&gt;=I114,"Needed","No")))))),"---")</f>
        <v/>
      </c>
      <c r="D114" s="347" t="str">
        <f>IF(Start!$C$18="x",IF(AND(OR(F114="",F114="NA"),OR(G114="",G114="NA")),"",IF(I114="NA","NA",IF(AND(I114="",K114="--"),"NA",IF(AO114="NA","Missing Data",IF(I114="","No Criteria",IF(AO114&gt;=I114,"Needed","No")))))),"---")</f>
        <v/>
      </c>
      <c r="E114" s="401" t="str">
        <f>IF(Start!$C$18="x",IF(AND(OR(F114="",F114="NA"),OR(G114="",G114="NA")),"",IF(I114="NA","NA",IF(AND(I114="",K114="--"),"NA",IF(AU114="NA","Missing Data",IF(I114="","No Criteria",IF(AU114&gt;=I114,"Needed","No")))))),"---")</f>
        <v/>
      </c>
      <c r="F114" s="431" t="str">
        <f>IF(TRUE=ISBLANK(ChemData!B114),"",(ChemData!B114))</f>
        <v/>
      </c>
      <c r="G114" s="432" t="str">
        <f>IF(TRUE=ISBLANK(ChemData!C114),"",(ChemData!C114))</f>
        <v/>
      </c>
      <c r="H114" s="433" t="str">
        <f>IF(TRUE=ISBLANK(ChemData!D114),"",(ChemData!D114))</f>
        <v/>
      </c>
      <c r="I114" s="919">
        <f>IF(TRUE=ISBLANK(ChemData!K114),"",(ChemData!K114))</f>
        <v>2E-3</v>
      </c>
      <c r="J114" s="290">
        <f>IF(TRUE=ISBLANK(ChemData!M114),"",(ChemData!M114))</f>
        <v>182.1</v>
      </c>
      <c r="K114" s="290">
        <f>IF(TRUE=ISBLANK(ChemData!N114),"",(ChemData!N114))</f>
        <v>4.5000000000000001E-6</v>
      </c>
      <c r="L114" s="290">
        <f>IF(TRUE=ISBLANK(ChemData!O114),"",(ChemData!O114))</f>
        <v>0.20300000000000001</v>
      </c>
      <c r="M114" s="290">
        <f>IF(TRUE=ISBLANK(ChemData!Q114),"",(ChemData!Q114))</f>
        <v>1.8941153287116765</v>
      </c>
      <c r="N114" s="290">
        <f>IF(TRUE=ISBLANK(ChemData!R114),"",(ChemData!R114))</f>
        <v>1.8941153287116765</v>
      </c>
      <c r="O114" s="290">
        <f>IF(TRUE=ISBLANK(ChemData!S114),"",(ChemData!S114))</f>
        <v>1</v>
      </c>
      <c r="P114" s="291">
        <f>IF(TRUE=ISBLANK(ChemData!T114),"",(ChemData!T114))</f>
        <v>1</v>
      </c>
      <c r="Q114" s="375">
        <f>IF(Start!$C$18="x",IF(OR(K114="NA",K114="",K114="--"),"NA",(K114*1000000/82.1/Data!$D$50)),"---")</f>
        <v>1.7681034144041493E-4</v>
      </c>
      <c r="R114" s="376">
        <f>IF(Start!$C$18="x",IF(OR(J114="NA",J114=0,J114=""),"NA",(0.32*(Data!$D$48+Data!$D$49)*(18/J114)^0.5)),"---")</f>
        <v>0.25906484974928151</v>
      </c>
      <c r="S114" s="376">
        <f>IF(Start!$C$18="x",IF(OR(J114="NA",J114= 0,J114=""),"NA",(0.0065*((Data!$D$49^0.969)/(Data!$D$51^0.673))*(32/J114)^0.5*EXP(0.526*Data!$D$48^-1.9))),"---")</f>
        <v>5.4603772799178478E-4</v>
      </c>
      <c r="T114" s="377">
        <f>IF(Start!$C$18="x",IF(OR(S114="NA",R114="NA",R114=0,Q114="NA",S114=0,Q114=0),"NA",(1/(1/S114+(1/(R114*Q114))))),"---")</f>
        <v>4.2260266991377275E-5</v>
      </c>
      <c r="U114" s="375" t="str">
        <f>IF(Start!$C$18="x",IF(OR(F114="NA",F114="",O114="",O114="NA"),"NA",(F114*$O114)),"---")</f>
        <v>NA</v>
      </c>
      <c r="V114" s="376" t="str">
        <f>IF(Start!$C$18="x",IF(OR(U114="NA",M114="NA",M114="",U114=""),"NA",U114/((Data!$D$18+((1-Data!$D$18)*Data!$D$14*M114))/((1-Data!$D$18)*Data!$D$14*1000))),"---")</f>
        <v>NA</v>
      </c>
      <c r="W114" s="376" t="str">
        <f>IF(Start!$C$18="x",IF(OR(G114="NA",U114="NA",G114="",U114=""),"NA",(U114 +($G114*(Data!$D$19-Data!$D$22)/(Data!$D$19*Data!$D$22)))),"---")</f>
        <v>NA</v>
      </c>
      <c r="X114" s="376" t="str">
        <f>IF(Start!$C$18="x",IF(OR(G114="NA",V114="NA",G114="",V114=""),"NA",(((Data!$D$22*Data!$D$18)*V114)+(Data!$D$19-Data!$D$22)*$G114)/((Data!$D$22*Data!$D$18)+Data!$D$19-Data!$D$22)),"---")</f>
        <v>NA</v>
      </c>
      <c r="Y114" s="376" t="str">
        <f>IF(Start!$C$18="x",IF(OR(W114="NA",W114="",M114="NA",M114=""),"NA",(W114/((Data!$D$23+((1-Data!$D$23)*Data!$D$14*M114)) /((1-Data!$D$23)*Data!$D$14*1000)))),"---")</f>
        <v>NA</v>
      </c>
      <c r="Z114" s="376" t="str">
        <f>IF(Start!$C$18="x",IF(OR(Y114="NA",X114="NA"),"NA",IF(Y114&gt;X114, Y114, X114)),"---")</f>
        <v>NA</v>
      </c>
      <c r="AA114" s="461" t="str">
        <f>IF(Start!$C$18="x",IF(OR(Z114="NA",T114="NA"),"NA",Z114*T114/(1000000000)),"---")</f>
        <v>NA</v>
      </c>
      <c r="AB114" s="1057" t="str">
        <f>IF(Start!$C$18="x",IF(AA114 = "NA", "NA", AA114*(Data!$D$52*Data!$D$53*10000)),"---")</f>
        <v>NA</v>
      </c>
      <c r="AC114" s="375" t="str">
        <f>IF(Start!$C$18="x",IF(AB114="NA", "NA", AB114*Data!$D$54),"---")</f>
        <v>NA</v>
      </c>
      <c r="AD114" s="498" t="str">
        <f>IF(Start!$C$18="x",IF(AC114="NA","NA",AC114*Data!$D$41),"---")</f>
        <v>NA</v>
      </c>
      <c r="AE114" s="376" t="str">
        <f>IF(Start!$C$18="x",IF(AB114 = "NA", "NA", AB114/(Data!$D$53*3*Data!$D$48)*1000),"---")</f>
        <v>NA</v>
      </c>
      <c r="AF114" s="498" t="str">
        <f>IF(Start!$C$18="x",IF(AE114="NA","NA",AE114*Data!$D$46),"---")</f>
        <v>NA</v>
      </c>
      <c r="AG114" s="375">
        <f>IF(Start!$C$18="x",IF(OR($L114="NA",L114=""),"NA",($L114*(Data!$D$55^3.33)/(Data!$D$18^2))),"---")</f>
        <v>2.0680612142539743E-3</v>
      </c>
      <c r="AH114" s="376" t="str">
        <f>IF(Start!$C$18="x",IF(OR(F114="NA",F114="",P114="NA",P114=""),"NA",IF(100/Data!$D$10&gt;Data!$D$13,(F114*$P114),(F114*$P114)*Data!$D$13)),"---")</f>
        <v>NA</v>
      </c>
      <c r="AI114" s="489">
        <f>IF(Start!$C$18="x",IF(OR($N114="NA",$Q114="NA",$Q114=0,Q114="",N114=""),"NA",(1000*$N114/$Q114)),"---")</f>
        <v>10712695.384675751</v>
      </c>
      <c r="AJ114" s="376">
        <f>IF(Start!$C$18="x",IF(OR(Q114 = "NA",Q114=0,N114 = "NA",N114="",Q114=""), "NA", IF($AG114="NA","NA",(3.1416*Data!$D$57*86400/($AG114*(Data!$D$55+(N114*Data!$D$19/(Q114*1000)))))^0.5)),"---")</f>
        <v>657.82663981404664</v>
      </c>
      <c r="AK114" s="376" t="str">
        <f>IF(Start!$C$18="x",IF(OR(AH114 = "NA",AI114="NA",AI114=0,AI114="",AH114=""), "NA", AH114/AI114),"---")</f>
        <v>NA</v>
      </c>
      <c r="AL114" s="376" t="str">
        <f>IF(Start!$C$18="x",IF(OR(AK114 ="NA",AK114="",AJ114= "NA",R114="NA",R114=0),"NA",(2*AK114)/(1000*(1/$R114+AJ114))),"---")</f>
        <v>NA</v>
      </c>
      <c r="AM114" s="376" t="str">
        <f>IF(Start!$C$18="x",IF(AL114 = "NA", "NA", AL114*(Data!$D$52*Data!$D$53*10000)),"---")</f>
        <v>NA</v>
      </c>
      <c r="AN114" s="376" t="str">
        <f>IF(Start!$C$18="x",IF(AM114 = "NA", "NA", AM114*(Data!$D$54)),"---")</f>
        <v>NA</v>
      </c>
      <c r="AO114" s="498" t="str">
        <f>IF(Start!$C$18="x",IF(AN114="NA","NA",AN114*Data!$D$41),"---")</f>
        <v>NA</v>
      </c>
      <c r="AP114" s="376">
        <f>IF(Start!$C$18="x",IF(OR(Q114=0,N114="NA",N114="",AG114="NA",AG114="",AG114=0,Q114="",Q114="NA"),"NA", (3.1416*Data!$D$56*86400/($AG114*(Data!$D$55+(N114*Data!$D$19/(Q114*1000)))))^0.5),"---")</f>
        <v>657.82663981404664</v>
      </c>
      <c r="AQ114" s="376" t="str">
        <f>IF(Start!$C$18="x",IF(OR(AH114="NA",AI114="NA",AI114="",AI114=0,AH114=""),"NA", AH114/AI114),"---")</f>
        <v>NA</v>
      </c>
      <c r="AR114" s="376" t="str">
        <f>IF(Start!$C$18="x",IF(OR(AQ114="NA",AP114="NA",$R114="NA",R114=0,R114=""),"NA",(2*AQ114)/(1000*(1/$R114+AP114))),"---")</f>
        <v>NA</v>
      </c>
      <c r="AS114" s="376" t="str">
        <f>IF(Start!$C$18="x",IF(AR114 = "NA", "NA", AR114*(Data!$D$52*Data!$D$53*10000)),"---")</f>
        <v>NA</v>
      </c>
      <c r="AT114" s="376" t="str">
        <f>IF(Start!$C$18="x",IF(AS114 = "NA", "NA", (AS114*1000)/(Data!$D$48*3*Data!$D$53)),"---")</f>
        <v>NA</v>
      </c>
      <c r="AU114" s="498" t="str">
        <f>IF(Start!$C$18="x",IF(AT114="NA","NA",AT114*Data!$D$47),"---")</f>
        <v>NA</v>
      </c>
      <c r="AV114" s="283" t="str">
        <f>IF(Start!$C$18="x",(IF(AND(F114="",G114= "",G114&lt;&gt;"NA"),"",IF(OR(AD114="NA",I114="NA",I114=0),"NA",(AD114/I114)))),"Not Req.")</f>
        <v/>
      </c>
      <c r="AW114" s="284" t="str">
        <f>IF(Start!$C$18="x",(IF(AND(F114="",G114= "",G114&lt;&gt;"NA"),"",IF(OR(AF114="NA",I114="NA",I114=0),"NA",(AF114/I114)))),"Not Req.")</f>
        <v/>
      </c>
      <c r="AX114" s="284" t="str">
        <f>IF(Start!$C$18="x",(IF(F114 ="","",IF(OR(AO114="NA",I114="NA",I114=0),"NA",(AO114/I114)))),"Not Req.")</f>
        <v/>
      </c>
      <c r="AY114" s="344" t="str">
        <f>IF(Start!$C$18="x",(IF(F114 ="","",IF(OR(AU114="NA",I114="NA",I114=0),"NA",(AU114/I114)))),"Not Req.")</f>
        <v/>
      </c>
      <c r="AZ114" s="208"/>
    </row>
    <row r="115" spans="1:52" s="183" customFormat="1" x14ac:dyDescent="0.25">
      <c r="A115" s="405" t="s">
        <v>433</v>
      </c>
      <c r="B115" s="347" t="str">
        <f>IF(Start!$C$18="x",IF(AND(OR(F115="",F115="NA"),OR(G115="",G115="NA")),"",IF(I115="NA","NA",IF(AND(I115="",K115="--"),"NA",IF(AD115="NA","Missing Data",IF(I115="","No Criteria",IF(AD115&gt;=I115,"Needed","No")))))),"---")</f>
        <v/>
      </c>
      <c r="C115" s="501" t="str">
        <f>IF(Start!$C$18="x",IF(AND(OR(F115="",F115="NA"),OR(G115="",G115="NA")),"",IF(I115="NA","NA",IF(AND(I115="",K115="--"),"NA",IF(AF115="NA","Missing Data",IF(I115="","No Criteria",IF(AF115&gt;=I115,"Needed","No")))))),"---")</f>
        <v/>
      </c>
      <c r="D115" s="347" t="str">
        <f>IF(Start!$C$18="x",IF(AND(OR(F115="",F115="NA"),OR(G115="",G115="NA")),"",IF(I115="NA","NA",IF(AND(I115="",K115="--"),"NA",IF(AO115="NA","Missing Data",IF(I115="","No Criteria",IF(AO115&gt;=I115,"Needed","No")))))),"---")</f>
        <v/>
      </c>
      <c r="E115" s="401" t="str">
        <f>IF(Start!$C$18="x",IF(AND(OR(F115="",F115="NA"),OR(G115="",G115="NA")),"",IF(I115="NA","NA",IF(AND(I115="",K115="--"),"NA",IF(AU115="NA","Missing Data",IF(I115="","No Criteria",IF(AU115&gt;=I115,"Needed","No")))))),"---")</f>
        <v/>
      </c>
      <c r="F115" s="431" t="str">
        <f>IF(TRUE=ISBLANK(ChemData!B115),"",(ChemData!B115))</f>
        <v/>
      </c>
      <c r="G115" s="432" t="str">
        <f>IF(TRUE=ISBLANK(ChemData!C115),"",(ChemData!C115))</f>
        <v/>
      </c>
      <c r="H115" s="433" t="str">
        <f>IF(TRUE=ISBLANK(ChemData!D115),"",(ChemData!D115))</f>
        <v/>
      </c>
      <c r="I115" s="919" t="str">
        <f>IF(TRUE=ISBLANK(ChemData!K115),"",(ChemData!K115))</f>
        <v>NA</v>
      </c>
      <c r="J115" s="290">
        <f>IF(TRUE=ISBLANK(ChemData!M115),"",(ChemData!M115))</f>
        <v>182.1</v>
      </c>
      <c r="K115" s="290">
        <f>IF(TRUE=ISBLANK(ChemData!N115),"",(ChemData!N115))</f>
        <v>2.17E-7</v>
      </c>
      <c r="L115" s="290">
        <f>IF(TRUE=ISBLANK(ChemData!O115),"",(ChemData!O115))</f>
        <v>3.27E-2</v>
      </c>
      <c r="M115" s="290">
        <f>IF(TRUE=ISBLANK(ChemData!Q115),"",(ChemData!Q115))</f>
        <v>3.5270077889499718</v>
      </c>
      <c r="N115" s="290">
        <f>IF(TRUE=ISBLANK(ChemData!R115),"",(ChemData!R115))</f>
        <v>3.5270077889499718</v>
      </c>
      <c r="O115" s="290">
        <f>IF(TRUE=ISBLANK(ChemData!S115),"",(ChemData!S115))</f>
        <v>1</v>
      </c>
      <c r="P115" s="291">
        <f>IF(TRUE=ISBLANK(ChemData!T115),"",(ChemData!T115))</f>
        <v>1</v>
      </c>
      <c r="Q115" s="375">
        <f>IF(Start!$C$18="x",IF(OR(K115="NA",K115="",K115="--"),"NA",(K115*1000000/82.1/Data!$D$50)),"---")</f>
        <v>8.5261875761266751E-6</v>
      </c>
      <c r="R115" s="376">
        <f>IF(Start!$C$18="x",IF(OR(J115="NA",J115=0,J115=""),"NA",(0.32*(Data!$D$48+Data!$D$49)*(18/J115)^0.5)),"---")</f>
        <v>0.25906484974928151</v>
      </c>
      <c r="S115" s="376">
        <f>IF(Start!$C$18="x",IF(OR(J115="NA",J115= 0,J115=""),"NA",(0.0065*((Data!$D$49^0.969)/(Data!$D$51^0.673))*(32/J115)^0.5*EXP(0.526*Data!$D$48^-1.9))),"---")</f>
        <v>5.4603772799178478E-4</v>
      </c>
      <c r="T115" s="377">
        <f>IF(Start!$C$18="x",IF(OR(S115="NA",R115="NA",R115=0,Q115="NA",S115=0,Q115=0),"NA",(1/(1/S115+(1/(R115*Q115))))),"---")</f>
        <v>2.1999363061469772E-6</v>
      </c>
      <c r="U115" s="375" t="str">
        <f>IF(Start!$C$18="x",IF(OR(F115="NA",F115="",O115="",O115="NA"),"NA",(F115*$O115)),"---")</f>
        <v>NA</v>
      </c>
      <c r="V115" s="376" t="str">
        <f>IF(Start!$C$18="x",IF(OR(U115="NA",M115="NA",M115="",U115=""),"NA",U115/((Data!$D$18+((1-Data!$D$18)*Data!$D$14*M115))/((1-Data!$D$18)*Data!$D$14*1000))),"---")</f>
        <v>NA</v>
      </c>
      <c r="W115" s="376" t="str">
        <f>IF(Start!$C$18="x",IF(OR(G115="NA",U115="NA",G115="",U115=""),"NA",(U115 +($G115*(Data!$D$19-Data!$D$22)/(Data!$D$19*Data!$D$22)))),"---")</f>
        <v>NA</v>
      </c>
      <c r="X115" s="376" t="str">
        <f>IF(Start!$C$18="x",IF(OR(G115="NA",V115="NA",G115="",V115=""),"NA",(((Data!$D$22*Data!$D$18)*V115)+(Data!$D$19-Data!$D$22)*$G115)/((Data!$D$22*Data!$D$18)+Data!$D$19-Data!$D$22)),"---")</f>
        <v>NA</v>
      </c>
      <c r="Y115" s="376" t="str">
        <f>IF(Start!$C$18="x",IF(OR(W115="NA",W115="",M115="NA",M115=""),"NA",(W115/((Data!$D$23+((1-Data!$D$23)*Data!$D$14*M115)) /((1-Data!$D$23)*Data!$D$14*1000)))),"---")</f>
        <v>NA</v>
      </c>
      <c r="Z115" s="376" t="str">
        <f>IF(Start!$C$18="x",IF(OR(Y115="NA",X115="NA"),"NA",IF(Y115&gt;X115, Y115, X115)),"---")</f>
        <v>NA</v>
      </c>
      <c r="AA115" s="461" t="str">
        <f>IF(Start!$C$18="x",IF(OR(Z115="NA",T115="NA"),"NA",Z115*T115/(1000000000)),"---")</f>
        <v>NA</v>
      </c>
      <c r="AB115" s="1057" t="str">
        <f>IF(Start!$C$18="x",IF(AA115 = "NA", "NA", AA115*(Data!$D$52*Data!$D$53*10000)),"---")</f>
        <v>NA</v>
      </c>
      <c r="AC115" s="375" t="str">
        <f>IF(Start!$C$18="x",IF(AB115="NA", "NA", AB115*Data!$D$54),"---")</f>
        <v>NA</v>
      </c>
      <c r="AD115" s="498" t="str">
        <f>IF(Start!$C$18="x",IF(AC115="NA","NA",AC115*Data!$D$41),"---")</f>
        <v>NA</v>
      </c>
      <c r="AE115" s="376" t="str">
        <f>IF(Start!$C$18="x",IF(AB115 = "NA", "NA", AB115/(Data!$D$53*3*Data!$D$48)*1000),"---")</f>
        <v>NA</v>
      </c>
      <c r="AF115" s="498" t="str">
        <f>IF(Start!$C$18="x",IF(AE115="NA","NA",AE115*Data!$D$46),"---")</f>
        <v>NA</v>
      </c>
      <c r="AG115" s="375">
        <f>IF(Start!$C$18="x",IF(OR($L115="NA",L115=""),"NA",($L115*(Data!$D$55^3.33)/(Data!$D$18^2))),"---")</f>
        <v>3.3313104288721653E-4</v>
      </c>
      <c r="AH115" s="376" t="str">
        <f>IF(Start!$C$18="x",IF(OR(F115="NA",F115="",P115="NA",P115=""),"NA",IF(100/Data!$D$10&gt;Data!$D$13,(F115*$P115),(F115*$P115)*Data!$D$13)),"---")</f>
        <v>NA</v>
      </c>
      <c r="AI115" s="489">
        <f>IF(Start!$C$18="x",IF(OR($N115="NA",$Q115="NA",$Q115=0,Q115="",N115=""),"NA",(1000*$N115/$Q115)),"---")</f>
        <v>413667627.81827521</v>
      </c>
      <c r="AJ115" s="376">
        <f>IF(Start!$C$18="x",IF(OR(Q115 = "NA",Q115=0,N115 = "NA",N115="",Q115=""), "NA", IF($AG115="NA","NA",(3.1416*Data!$D$57*86400/($AG115*(Data!$D$55+(N115*Data!$D$19/(Q115*1000)))))^0.5)),"---")</f>
        <v>263.76299105586327</v>
      </c>
      <c r="AK115" s="376" t="str">
        <f>IF(Start!$C$18="x",IF(OR(AH115 = "NA",AI115="NA",AI115=0,AI115="",AH115=""), "NA", AH115/AI115),"---")</f>
        <v>NA</v>
      </c>
      <c r="AL115" s="376" t="str">
        <f>IF(Start!$C$18="x",IF(OR(AK115 ="NA",AK115="",AJ115= "NA",R115="NA",R115=0),"NA",(2*AK115)/(1000*(1/$R115+AJ115))),"---")</f>
        <v>NA</v>
      </c>
      <c r="AM115" s="376" t="str">
        <f>IF(Start!$C$18="x",IF(AL115 = "NA", "NA", AL115*(Data!$D$52*Data!$D$53*10000)),"---")</f>
        <v>NA</v>
      </c>
      <c r="AN115" s="376" t="str">
        <f>IF(Start!$C$18="x",IF(AM115 = "NA", "NA", AM115*(Data!$D$54)),"---")</f>
        <v>NA</v>
      </c>
      <c r="AO115" s="498" t="str">
        <f>IF(Start!$C$18="x",IF(AN115="NA","NA",AN115*Data!$D$41),"---")</f>
        <v>NA</v>
      </c>
      <c r="AP115" s="376">
        <f>IF(Start!$C$18="x",IF(OR(Q115=0,N115="NA",N115="",AG115="NA",AG115="",AG115=0,Q115="",Q115="NA"),"NA", (3.1416*Data!$D$56*86400/($AG115*(Data!$D$55+(N115*Data!$D$19/(Q115*1000)))))^0.5),"---")</f>
        <v>263.76299105586327</v>
      </c>
      <c r="AQ115" s="376" t="str">
        <f>IF(Start!$C$18="x",IF(OR(AH115="NA",AI115="NA",AI115="",AI115=0,AH115=""),"NA", AH115/AI115),"---")</f>
        <v>NA</v>
      </c>
      <c r="AR115" s="376" t="str">
        <f>IF(Start!$C$18="x",IF(OR(AQ115="NA",AP115="NA",$R115="NA",R115=0,R115=""),"NA",(2*AQ115)/(1000*(1/$R115+AP115))),"---")</f>
        <v>NA</v>
      </c>
      <c r="AS115" s="376" t="str">
        <f>IF(Start!$C$18="x",IF(AR115 = "NA", "NA", AR115*(Data!$D$52*Data!$D$53*10000)),"---")</f>
        <v>NA</v>
      </c>
      <c r="AT115" s="376" t="str">
        <f>IF(Start!$C$18="x",IF(AS115 = "NA", "NA", (AS115*1000)/(Data!$D$48*3*Data!$D$53)),"---")</f>
        <v>NA</v>
      </c>
      <c r="AU115" s="498" t="str">
        <f>IF(Start!$C$18="x",IF(AT115="NA","NA",AT115*Data!$D$47),"---")</f>
        <v>NA</v>
      </c>
      <c r="AV115" s="283" t="str">
        <f>IF(Start!$C$18="x",(IF(AND(F115="",G115= "",G115&lt;&gt;"NA"),"",IF(OR(AD115="NA",I115="NA",I115=0),"NA",(AD115/I115)))),"Not Req.")</f>
        <v/>
      </c>
      <c r="AW115" s="284" t="str">
        <f>IF(Start!$C$18="x",(IF(AND(F115="",G115= "",G115&lt;&gt;"NA"),"",IF(OR(AF115="NA",I115="NA",I115=0),"NA",(AF115/I115)))),"Not Req.")</f>
        <v/>
      </c>
      <c r="AX115" s="284" t="str">
        <f>IF(Start!$C$18="x",(IF(F115 ="","",IF(OR(AO115="NA",I115="NA",I115=0),"NA",(AO115/I115)))),"Not Req.")</f>
        <v/>
      </c>
      <c r="AY115" s="344" t="str">
        <f>IF(Start!$C$18="x",(IF(F115 ="","",IF(OR(AU115="NA",I115="NA",I115=0),"NA",(AU115/I115)))),"Not Req.")</f>
        <v/>
      </c>
      <c r="AZ115" s="208"/>
    </row>
    <row r="116" spans="1:52" s="183" customFormat="1" x14ac:dyDescent="0.25">
      <c r="A116" s="405" t="s">
        <v>434</v>
      </c>
      <c r="B116" s="347" t="str">
        <f>IF(Start!$C$18="x",IF(AND(OR(F116="",F116="NA"),OR(G116="",G116="NA")),"",IF(I116="NA","NA",IF(AND(I116="",K116="--"),"NA",IF(AD116="NA","Missing Data",IF(I116="","No Criteria",IF(AD116&gt;=I116,"Needed","No")))))),"---")</f>
        <v/>
      </c>
      <c r="C116" s="501" t="str">
        <f>IF(Start!$C$18="x",IF(AND(OR(F116="",F116="NA"),OR(G116="",G116="NA")),"",IF(I116="NA","NA",IF(AND(I116="",K116="--"),"NA",IF(AF116="NA","Missing Data",IF(I116="","No Criteria",IF(AF116&gt;=I116,"Needed","No")))))),"---")</f>
        <v/>
      </c>
      <c r="D116" s="347" t="str">
        <f>IF(Start!$C$18="x",IF(AND(OR(F116="",F116="NA"),OR(G116="",G116="NA")),"",IF(I116="NA","NA",IF(AND(I116="",K116="--"),"NA",IF(AO116="NA","Missing Data",IF(I116="","No Criteria",IF(AO116&gt;=I116,"Needed","No")))))),"---")</f>
        <v/>
      </c>
      <c r="E116" s="401" t="str">
        <f>IF(Start!$C$18="x",IF(AND(OR(F116="",F116="NA"),OR(G116="",G116="NA")),"",IF(I116="NA","NA",IF(AND(I116="",K116="--"),"NA",IF(AU116="NA","Missing Data",IF(I116="","No Criteria",IF(AU116&gt;=I116,"Needed","No")))))),"---")</f>
        <v/>
      </c>
      <c r="F116" s="431" t="str">
        <f>IF(TRUE=ISBLANK(ChemData!B116),"",(ChemData!B116))</f>
        <v/>
      </c>
      <c r="G116" s="432" t="str">
        <f>IF(TRUE=ISBLANK(ChemData!C116),"",(ChemData!C116))</f>
        <v/>
      </c>
      <c r="H116" s="433" t="str">
        <f>IF(TRUE=ISBLANK(ChemData!D116),"",(ChemData!D116))</f>
        <v/>
      </c>
      <c r="I116" s="919" t="str">
        <f>IF(TRUE=ISBLANK(ChemData!K116),"",(ChemData!K116))</f>
        <v>NA</v>
      </c>
      <c r="J116" s="290">
        <f>IF(TRUE=ISBLANK(ChemData!M116),"",(ChemData!M116))</f>
        <v>184.2</v>
      </c>
      <c r="K116" s="290">
        <f>IF(TRUE=ISBLANK(ChemData!N116),"",(ChemData!N116))</f>
        <v>3.4200000000000002E-9</v>
      </c>
      <c r="L116" s="290">
        <f>IF(TRUE=ISBLANK(ChemData!O116),"",(ChemData!O116))</f>
        <v>3.1699999999999999E-2</v>
      </c>
      <c r="M116" s="290">
        <f>IF(TRUE=ISBLANK(ChemData!Q116),"",(ChemData!Q116))</f>
        <v>16.121536050087055</v>
      </c>
      <c r="N116" s="290">
        <f>IF(TRUE=ISBLANK(ChemData!R116),"",(ChemData!R116))</f>
        <v>16.121536050087055</v>
      </c>
      <c r="O116" s="290">
        <f>IF(TRUE=ISBLANK(ChemData!S116),"",(ChemData!S116))</f>
        <v>1</v>
      </c>
      <c r="P116" s="291">
        <f>IF(TRUE=ISBLANK(ChemData!T116),"",(ChemData!T116))</f>
        <v>1</v>
      </c>
      <c r="Q116" s="375">
        <f>IF(Start!$C$18="x",IF(OR(K116="NA",K116="",K116="--"),"NA",(K116*1000000/82.1/Data!$D$50)),"---")</f>
        <v>1.3437585949471534E-7</v>
      </c>
      <c r="R116" s="376">
        <f>IF(Start!$C$18="x",IF(OR(J116="NA",J116=0,J116=""),"NA",(0.32*(Data!$D$48+Data!$D$49)*(18/J116)^0.5)),"---")</f>
        <v>0.2575838625653239</v>
      </c>
      <c r="S116" s="376">
        <f>IF(Start!$C$18="x",IF(OR(J116="NA",J116= 0,J116=""),"NA",(0.0065*((Data!$D$49^0.969)/(Data!$D$51^0.673))*(32/J116)^0.5*EXP(0.526*Data!$D$48^-1.9))),"---")</f>
        <v>5.4291621274996094E-4</v>
      </c>
      <c r="T116" s="377">
        <f>IF(Start!$C$18="x",IF(OR(S116="NA",R116="NA",R116=0,Q116="NA",S116=0,Q116=0),"NA",(1/(1/S116+(1/(R116*Q116))))),"---")</f>
        <v>3.4610846346026672E-8</v>
      </c>
      <c r="U116" s="375" t="str">
        <f>IF(Start!$C$18="x",IF(OR(F116="NA",F116="",O116="",O116="NA"),"NA",(F116*$O116)),"---")</f>
        <v>NA</v>
      </c>
      <c r="V116" s="376" t="str">
        <f>IF(Start!$C$18="x",IF(OR(U116="NA",M116="NA",M116="",U116=""),"NA",U116/((Data!$D$18+((1-Data!$D$18)*Data!$D$14*M116))/((1-Data!$D$18)*Data!$D$14*1000))),"---")</f>
        <v>NA</v>
      </c>
      <c r="W116" s="376" t="str">
        <f>IF(Start!$C$18="x",IF(OR(G116="NA",U116="NA",G116="",U116=""),"NA",(U116 +($G116*(Data!$D$19-Data!$D$22)/(Data!$D$19*Data!$D$22)))),"---")</f>
        <v>NA</v>
      </c>
      <c r="X116" s="376" t="str">
        <f>IF(Start!$C$18="x",IF(OR(G116="NA",V116="NA",G116="",V116=""),"NA",(((Data!$D$22*Data!$D$18)*V116)+(Data!$D$19-Data!$D$22)*$G116)/((Data!$D$22*Data!$D$18)+Data!$D$19-Data!$D$22)),"---")</f>
        <v>NA</v>
      </c>
      <c r="Y116" s="376" t="str">
        <f>IF(Start!$C$18="x",IF(OR(W116="NA",W116="",M116="NA",M116=""),"NA",(W116/((Data!$D$23+((1-Data!$D$23)*Data!$D$14*M116)) /((1-Data!$D$23)*Data!$D$14*1000)))),"---")</f>
        <v>NA</v>
      </c>
      <c r="Z116" s="376" t="str">
        <f>IF(Start!$C$18="x",IF(OR(Y116="NA",X116="NA"),"NA",IF(Y116&gt;X116, Y116, X116)),"---")</f>
        <v>NA</v>
      </c>
      <c r="AA116" s="461" t="str">
        <f>IF(Start!$C$18="x",IF(OR(Z116="NA",T116="NA"),"NA",Z116*T116/(1000000000)),"---")</f>
        <v>NA</v>
      </c>
      <c r="AB116" s="1057" t="str">
        <f>IF(Start!$C$18="x",IF(AA116 = "NA", "NA", AA116*(Data!$D$52*Data!$D$53*10000)),"---")</f>
        <v>NA</v>
      </c>
      <c r="AC116" s="375" t="str">
        <f>IF(Start!$C$18="x",IF(AB116="NA", "NA", AB116*Data!$D$54),"---")</f>
        <v>NA</v>
      </c>
      <c r="AD116" s="498" t="str">
        <f>IF(Start!$C$18="x",IF(AC116="NA","NA",AC116*Data!$D$41),"---")</f>
        <v>NA</v>
      </c>
      <c r="AE116" s="376" t="str">
        <f>IF(Start!$C$18="x",IF(AB116 = "NA", "NA", AB116/(Data!$D$53*3*Data!$D$48)*1000),"---")</f>
        <v>NA</v>
      </c>
      <c r="AF116" s="498" t="str">
        <f>IF(Start!$C$18="x",IF(AE116="NA","NA",AE116*Data!$D$46),"---")</f>
        <v>NA</v>
      </c>
      <c r="AG116" s="375">
        <f>IF(Start!$C$18="x",IF(OR($L116="NA",L116=""),"NA",($L116*(Data!$D$55^3.33)/(Data!$D$18^2))),"---")</f>
        <v>3.2294354922094082E-4</v>
      </c>
      <c r="AH116" s="376" t="str">
        <f>IF(Start!$C$18="x",IF(OR(F116="NA",F116="",P116="NA",P116=""),"NA",IF(100/Data!$D$10&gt;Data!$D$13,(F116*$P116),(F116*$P116)*Data!$D$13)),"---")</f>
        <v>NA</v>
      </c>
      <c r="AI116" s="489">
        <f>IF(Start!$C$18="x",IF(OR($N116="NA",$Q116="NA",$Q116=0,Q116="",N116=""),"NA",(1000*$N116/$Q116)),"---")</f>
        <v>119973454389.11276</v>
      </c>
      <c r="AJ116" s="376">
        <f>IF(Start!$C$18="x",IF(OR(Q116 = "NA",Q116=0,N116 = "NA",N116="",Q116=""), "NA", IF($AG116="NA","NA",(3.1416*Data!$D$57*86400/($AG116*(Data!$D$55+(N116*Data!$D$19/(Q116*1000)))))^0.5)),"---")</f>
        <v>15.730459667476138</v>
      </c>
      <c r="AK116" s="376" t="str">
        <f>IF(Start!$C$18="x",IF(OR(AH116 = "NA",AI116="NA",AI116=0,AI116="",AH116=""), "NA", AH116/AI116),"---")</f>
        <v>NA</v>
      </c>
      <c r="AL116" s="376" t="str">
        <f>IF(Start!$C$18="x",IF(OR(AK116 ="NA",AK116="",AJ116= "NA",R116="NA",R116=0),"NA",(2*AK116)/(1000*(1/$R116+AJ116))),"---")</f>
        <v>NA</v>
      </c>
      <c r="AM116" s="376" t="str">
        <f>IF(Start!$C$18="x",IF(AL116 = "NA", "NA", AL116*(Data!$D$52*Data!$D$53*10000)),"---")</f>
        <v>NA</v>
      </c>
      <c r="AN116" s="376" t="str">
        <f>IF(Start!$C$18="x",IF(AM116 = "NA", "NA", AM116*(Data!$D$54)),"---")</f>
        <v>NA</v>
      </c>
      <c r="AO116" s="498" t="str">
        <f>IF(Start!$C$18="x",IF(AN116="NA","NA",AN116*Data!$D$41),"---")</f>
        <v>NA</v>
      </c>
      <c r="AP116" s="376">
        <f>IF(Start!$C$18="x",IF(OR(Q116=0,N116="NA",N116="",AG116="NA",AG116="",AG116=0,Q116="",Q116="NA"),"NA", (3.1416*Data!$D$56*86400/($AG116*(Data!$D$55+(N116*Data!$D$19/(Q116*1000)))))^0.5),"---")</f>
        <v>15.730459667476138</v>
      </c>
      <c r="AQ116" s="376" t="str">
        <f>IF(Start!$C$18="x",IF(OR(AH116="NA",AI116="NA",AI116="",AI116=0,AH116=""),"NA", AH116/AI116),"---")</f>
        <v>NA</v>
      </c>
      <c r="AR116" s="376" t="str">
        <f>IF(Start!$C$18="x",IF(OR(AQ116="NA",AP116="NA",$R116="NA",R116=0,R116=""),"NA",(2*AQ116)/(1000*(1/$R116+AP116))),"---")</f>
        <v>NA</v>
      </c>
      <c r="AS116" s="376" t="str">
        <f>IF(Start!$C$18="x",IF(AR116 = "NA", "NA", AR116*(Data!$D$52*Data!$D$53*10000)),"---")</f>
        <v>NA</v>
      </c>
      <c r="AT116" s="376" t="str">
        <f>IF(Start!$C$18="x",IF(AS116 = "NA", "NA", (AS116*1000)/(Data!$D$48*3*Data!$D$53)),"---")</f>
        <v>NA</v>
      </c>
      <c r="AU116" s="498" t="str">
        <f>IF(Start!$C$18="x",IF(AT116="NA","NA",AT116*Data!$D$47),"---")</f>
        <v>NA</v>
      </c>
      <c r="AV116" s="283" t="str">
        <f>IF(Start!$C$18="x",(IF(AND(F116="",G116= "",G116&lt;&gt;"NA"),"",IF(OR(AD116="NA",I116="NA",I116=0),"NA",(AD116/I116)))),"Not Req.")</f>
        <v/>
      </c>
      <c r="AW116" s="284" t="str">
        <f>IF(Start!$C$18="x",(IF(AND(F116="",G116= "",G116&lt;&gt;"NA"),"",IF(OR(AF116="NA",I116="NA",I116=0),"NA",(AF116/I116)))),"Not Req.")</f>
        <v/>
      </c>
      <c r="AX116" s="284" t="str">
        <f>IF(Start!$C$18="x",(IF(F116 ="","",IF(OR(AO116="NA",I116="NA",I116=0),"NA",(AO116/I116)))),"Not Req.")</f>
        <v/>
      </c>
      <c r="AY116" s="344" t="str">
        <f>IF(Start!$C$18="x",(IF(F116 ="","",IF(OR(AU116="NA",I116="NA",I116=0),"NA",(AU116/I116)))),"Not Req.")</f>
        <v/>
      </c>
      <c r="AZ116" s="208"/>
    </row>
    <row r="117" spans="1:52" s="183" customFormat="1" x14ac:dyDescent="0.25">
      <c r="A117" s="405" t="s">
        <v>435</v>
      </c>
      <c r="B117" s="347" t="str">
        <f>IF(Start!$C$18="x",IF(AND(OR(F117="",F117="NA"),OR(G117="",G117="NA")),"",IF(I117="NA","NA",IF(AND(I117="",K117="--"),"NA",IF(AD117="NA","Missing Data",IF(I117="","No Criteria",IF(AD117&gt;=I117,"Needed","No")))))),"---")</f>
        <v/>
      </c>
      <c r="C117" s="501" t="str">
        <f>IF(Start!$C$18="x",IF(AND(OR(F117="",F117="NA"),OR(G117="",G117="NA")),"",IF(I117="NA","NA",IF(AND(I117="",K117="--"),"NA",IF(AF117="NA","Missing Data",IF(I117="","No Criteria",IF(AF117&gt;=I117,"Needed","No")))))),"---")</f>
        <v/>
      </c>
      <c r="D117" s="347" t="str">
        <f>IF(Start!$C$18="x",IF(AND(OR(F117="",F117="NA"),OR(G117="",G117="NA")),"",IF(I117="NA","NA",IF(AND(I117="",K117="--"),"NA",IF(AO117="NA","Missing Data",IF(I117="","No Criteria",IF(AO117&gt;=I117,"Needed","No")))))),"---")</f>
        <v/>
      </c>
      <c r="E117" s="401" t="str">
        <f>IF(Start!$C$18="x",IF(AND(OR(F117="",F117="NA"),OR(G117="",G117="NA")),"",IF(I117="NA","NA",IF(AND(I117="",K117="--"),"NA",IF(AU117="NA","Missing Data",IF(I117="","No Criteria",IF(AU117&gt;=I117,"Needed","No")))))),"---")</f>
        <v/>
      </c>
      <c r="F117" s="431" t="str">
        <f>IF(TRUE=ISBLANK(ChemData!B117),"",(ChemData!B117))</f>
        <v/>
      </c>
      <c r="G117" s="432" t="str">
        <f>IF(TRUE=ISBLANK(ChemData!C117),"",(ChemData!C117))</f>
        <v/>
      </c>
      <c r="H117" s="433" t="str">
        <f>IF(TRUE=ISBLANK(ChemData!D117),"",(ChemData!D117))</f>
        <v/>
      </c>
      <c r="I117" s="919">
        <f>IF(TRUE=ISBLANK(ChemData!K117),"",(ChemData!K117))</f>
        <v>8.0000000000000004E-4</v>
      </c>
      <c r="J117" s="290">
        <f>IF(TRUE=ISBLANK(ChemData!M117),"",(ChemData!M117))</f>
        <v>284.8</v>
      </c>
      <c r="K117" s="290">
        <f>IF(TRUE=ISBLANK(ChemData!N117),"",(ChemData!N117))</f>
        <v>6.8099999999999996E-4</v>
      </c>
      <c r="L117" s="290">
        <f>IF(TRUE=ISBLANK(ChemData!O117),"",(ChemData!O117))</f>
        <v>5.4199999999999998E-2</v>
      </c>
      <c r="M117" s="290">
        <f>IF(TRUE=ISBLANK(ChemData!Q117),"",(ChemData!Q117))</f>
        <v>14368.334128797091</v>
      </c>
      <c r="N117" s="290">
        <f>IF(TRUE=ISBLANK(ChemData!R117),"",(ChemData!R117))</f>
        <v>14368.334128797091</v>
      </c>
      <c r="O117" s="290">
        <f>IF(TRUE=ISBLANK(ChemData!S117),"",(ChemData!S117))</f>
        <v>1</v>
      </c>
      <c r="P117" s="291">
        <f>IF(TRUE=ISBLANK(ChemData!T117),"",(ChemData!T117))</f>
        <v>1</v>
      </c>
      <c r="Q117" s="375">
        <f>IF(Start!$C$18="x",IF(OR(K117="NA",K117="",K117="--"),"NA",(K117*1000000/82.1/Data!$D$50)),"---")</f>
        <v>2.675729833798279E-2</v>
      </c>
      <c r="R117" s="376">
        <f>IF(Start!$C$18="x",IF(OR(J117="NA",J117=0,J117=""),"NA",(0.32*(Data!$D$48+Data!$D$49)*(18/J117)^0.5)),"---")</f>
        <v>0.20715407065458322</v>
      </c>
      <c r="S117" s="376">
        <f>IF(Start!$C$18="x",IF(OR(J117="NA",J117= 0,J117=""),"NA",(0.0065*((Data!$D$49^0.969)/(Data!$D$51^0.673))*(32/J117)^0.5*EXP(0.526*Data!$D$48^-1.9))),"---")</f>
        <v>4.366240275126015E-4</v>
      </c>
      <c r="T117" s="377">
        <f>IF(Start!$C$18="x",IF(OR(S117="NA",R117="NA",R117=0,Q117="NA",S117=0,Q117=0),"NA",(1/(1/S117+(1/(R117*Q117))))),"---")</f>
        <v>4.0474171147849479E-4</v>
      </c>
      <c r="U117" s="375" t="str">
        <f>IF(Start!$C$18="x",IF(OR(F117="NA",F117="",O117="",O117="NA"),"NA",(F117*$O117)),"---")</f>
        <v>NA</v>
      </c>
      <c r="V117" s="376" t="str">
        <f>IF(Start!$C$18="x",IF(OR(U117="NA",M117="NA",M117="",U117=""),"NA",U117/((Data!$D$18+((1-Data!$D$18)*Data!$D$14*M117))/((1-Data!$D$18)*Data!$D$14*1000))),"---")</f>
        <v>NA</v>
      </c>
      <c r="W117" s="376" t="str">
        <f>IF(Start!$C$18="x",IF(OR(G117="NA",U117="NA",G117="",U117=""),"NA",(U117 +($G117*(Data!$D$19-Data!$D$22)/(Data!$D$19*Data!$D$22)))),"---")</f>
        <v>NA</v>
      </c>
      <c r="X117" s="376" t="str">
        <f>IF(Start!$C$18="x",IF(OR(G117="NA",V117="NA",G117="",V117=""),"NA",(((Data!$D$22*Data!$D$18)*V117)+(Data!$D$19-Data!$D$22)*$G117)/((Data!$D$22*Data!$D$18)+Data!$D$19-Data!$D$22)),"---")</f>
        <v>NA</v>
      </c>
      <c r="Y117" s="376" t="str">
        <f>IF(Start!$C$18="x",IF(OR(W117="NA",W117="",M117="NA",M117=""),"NA",(W117/((Data!$D$23+((1-Data!$D$23)*Data!$D$14*M117)) /((1-Data!$D$23)*Data!$D$14*1000)))),"---")</f>
        <v>NA</v>
      </c>
      <c r="Z117" s="376" t="str">
        <f>IF(Start!$C$18="x",IF(OR(Y117="NA",X117="NA"),"NA",IF(Y117&gt;X117, Y117, X117)),"---")</f>
        <v>NA</v>
      </c>
      <c r="AA117" s="461" t="str">
        <f>IF(Start!$C$18="x",IF(OR(Z117="NA",T117="NA"),"NA",Z117*T117/(1000000000)),"---")</f>
        <v>NA</v>
      </c>
      <c r="AB117" s="1057" t="str">
        <f>IF(Start!$C$18="x",IF(AA117 = "NA", "NA", AA117*(Data!$D$52*Data!$D$53*10000)),"---")</f>
        <v>NA</v>
      </c>
      <c r="AC117" s="375" t="str">
        <f>IF(Start!$C$18="x",IF(AB117="NA", "NA", AB117*Data!$D$54),"---")</f>
        <v>NA</v>
      </c>
      <c r="AD117" s="498" t="str">
        <f>IF(Start!$C$18="x",IF(AC117="NA","NA",AC117*Data!$D$41),"---")</f>
        <v>NA</v>
      </c>
      <c r="AE117" s="376" t="str">
        <f>IF(Start!$C$18="x",IF(AB117 = "NA", "NA", AB117/(Data!$D$53*3*Data!$D$48)*1000),"---")</f>
        <v>NA</v>
      </c>
      <c r="AF117" s="498" t="str">
        <f>IF(Start!$C$18="x",IF(AE117="NA","NA",AE117*Data!$D$46),"---")</f>
        <v>NA</v>
      </c>
      <c r="AG117" s="375">
        <f>IF(Start!$C$18="x",IF(OR($L117="NA",L117=""),"NA",($L117*(Data!$D$55^3.33)/(Data!$D$18^2))),"---")</f>
        <v>5.5216215671214481E-4</v>
      </c>
      <c r="AH117" s="376" t="str">
        <f>IF(Start!$C$18="x",IF(OR(F117="NA",F117="",P117="NA",P117=""),"NA",IF(100/Data!$D$10&gt;Data!$D$13,(F117*$P117),(F117*$P117)*Data!$D$13)),"---")</f>
        <v>NA</v>
      </c>
      <c r="AI117" s="489">
        <f>IF(Start!$C$18="x",IF(OR($N117="NA",$Q117="NA",$Q117=0,Q117="",N117=""),"NA",(1000*$N117/$Q117)),"---")</f>
        <v>536987477.11015391</v>
      </c>
      <c r="AJ117" s="376">
        <f>IF(Start!$C$18="x",IF(OR(Q117 = "NA",Q117=0,N117 = "NA",N117="",Q117=""), "NA", IF($AG117="NA","NA",(3.1416*Data!$D$57*86400/($AG117*(Data!$D$55+(N117*Data!$D$19/(Q117*1000)))))^0.5)),"---")</f>
        <v>179.81743960458058</v>
      </c>
      <c r="AK117" s="376" t="str">
        <f>IF(Start!$C$18="x",IF(OR(AH117 = "NA",AI117="NA",AI117=0,AI117="",AH117=""), "NA", AH117/AI117),"---")</f>
        <v>NA</v>
      </c>
      <c r="AL117" s="376" t="str">
        <f>IF(Start!$C$18="x",IF(OR(AK117 ="NA",AK117="",AJ117= "NA",R117="NA",R117=0),"NA",(2*AK117)/(1000*(1/$R117+AJ117))),"---")</f>
        <v>NA</v>
      </c>
      <c r="AM117" s="376" t="str">
        <f>IF(Start!$C$18="x",IF(AL117 = "NA", "NA", AL117*(Data!$D$52*Data!$D$53*10000)),"---")</f>
        <v>NA</v>
      </c>
      <c r="AN117" s="376" t="str">
        <f>IF(Start!$C$18="x",IF(AM117 = "NA", "NA", AM117*(Data!$D$54)),"---")</f>
        <v>NA</v>
      </c>
      <c r="AO117" s="498" t="str">
        <f>IF(Start!$C$18="x",IF(AN117="NA","NA",AN117*Data!$D$41),"---")</f>
        <v>NA</v>
      </c>
      <c r="AP117" s="376">
        <f>IF(Start!$C$18="x",IF(OR(Q117=0,N117="NA",N117="",AG117="NA",AG117="",AG117=0,Q117="",Q117="NA"),"NA", (3.1416*Data!$D$56*86400/($AG117*(Data!$D$55+(N117*Data!$D$19/(Q117*1000)))))^0.5),"---")</f>
        <v>179.81743960458058</v>
      </c>
      <c r="AQ117" s="376" t="str">
        <f>IF(Start!$C$18="x",IF(OR(AH117="NA",AI117="NA",AI117="",AI117=0,AH117=""),"NA", AH117/AI117),"---")</f>
        <v>NA</v>
      </c>
      <c r="AR117" s="376" t="str">
        <f>IF(Start!$C$18="x",IF(OR(AQ117="NA",AP117="NA",$R117="NA",R117=0,R117=""),"NA",(2*AQ117)/(1000*(1/$R117+AP117))),"---")</f>
        <v>NA</v>
      </c>
      <c r="AS117" s="376" t="str">
        <f>IF(Start!$C$18="x",IF(AR117 = "NA", "NA", AR117*(Data!$D$52*Data!$D$53*10000)),"---")</f>
        <v>NA</v>
      </c>
      <c r="AT117" s="376" t="str">
        <f>IF(Start!$C$18="x",IF(AS117 = "NA", "NA", (AS117*1000)/(Data!$D$48*3*Data!$D$53)),"---")</f>
        <v>NA</v>
      </c>
      <c r="AU117" s="498" t="str">
        <f>IF(Start!$C$18="x",IF(AT117="NA","NA",AT117*Data!$D$47),"---")</f>
        <v>NA</v>
      </c>
      <c r="AV117" s="283" t="str">
        <f>IF(Start!$C$18="x",(IF(AND(F117="",G117= "",G117&lt;&gt;"NA"),"",IF(OR(AD117="NA",I117="NA",I117=0),"NA",(AD117/I117)))),"Not Req.")</f>
        <v/>
      </c>
      <c r="AW117" s="284" t="str">
        <f>IF(Start!$C$18="x",(IF(AND(F117="",G117= "",G117&lt;&gt;"NA"),"",IF(OR(AF117="NA",I117="NA",I117=0),"NA",(AF117/I117)))),"Not Req.")</f>
        <v/>
      </c>
      <c r="AX117" s="284" t="str">
        <f>IF(Start!$C$18="x",(IF(F117 ="","",IF(OR(AO117="NA",I117="NA",I117=0),"NA",(AO117/I117)))),"Not Req.")</f>
        <v/>
      </c>
      <c r="AY117" s="344" t="str">
        <f>IF(Start!$C$18="x",(IF(F117 ="","",IF(OR(AU117="NA",I117="NA",I117=0),"NA",(AU117/I117)))),"Not Req.")</f>
        <v/>
      </c>
      <c r="AZ117" s="208"/>
    </row>
    <row r="118" spans="1:52" s="183" customFormat="1" x14ac:dyDescent="0.25">
      <c r="A118" s="405" t="s">
        <v>436</v>
      </c>
      <c r="B118" s="347" t="str">
        <f>IF(Start!$C$18="x",IF(AND(OR(F118="",F118="NA"),OR(G118="",G118="NA")),"",IF(I118="NA","NA",IF(AND(I118="",K118="--"),"NA",IF(AD118="NA","Missing Data",IF(I118="","No Criteria",IF(AD118&gt;=I118,"Needed","No")))))),"---")</f>
        <v/>
      </c>
      <c r="C118" s="501" t="str">
        <f>IF(Start!$C$18="x",IF(AND(OR(F118="",F118="NA"),OR(G118="",G118="NA")),"",IF(I118="NA","NA",IF(AND(I118="",K118="--"),"NA",IF(AF118="NA","Missing Data",IF(I118="","No Criteria",IF(AF118&gt;=I118,"Needed","No")))))),"---")</f>
        <v/>
      </c>
      <c r="D118" s="347" t="str">
        <f>IF(Start!$C$18="x",IF(AND(OR(F118="",F118="NA"),OR(G118="",G118="NA")),"",IF(I118="NA","NA",IF(AND(I118="",K118="--"),"NA",IF(AO118="NA","Missing Data",IF(I118="","No Criteria",IF(AO118&gt;=I118,"Needed","No")))))),"---")</f>
        <v/>
      </c>
      <c r="E118" s="401" t="str">
        <f>IF(Start!$C$18="x",IF(AND(OR(F118="",F118="NA"),OR(G118="",G118="NA")),"",IF(I118="NA","NA",IF(AND(I118="",K118="--"),"NA",IF(AU118="NA","Missing Data",IF(I118="","No Criteria",IF(AU118&gt;=I118,"Needed","No")))))),"---")</f>
        <v/>
      </c>
      <c r="F118" s="431" t="str">
        <f>IF(TRUE=ISBLANK(ChemData!B118),"",(ChemData!B118))</f>
        <v/>
      </c>
      <c r="G118" s="432" t="str">
        <f>IF(TRUE=ISBLANK(ChemData!C118),"",(ChemData!C118))</f>
        <v/>
      </c>
      <c r="H118" s="433" t="str">
        <f>IF(TRUE=ISBLANK(ChemData!D118),"",(ChemData!D118))</f>
        <v/>
      </c>
      <c r="I118" s="919">
        <f>IF(TRUE=ISBLANK(ChemData!K118),"",(ChemData!K118))</f>
        <v>2E-3</v>
      </c>
      <c r="J118" s="290">
        <f>IF(TRUE=ISBLANK(ChemData!M118),"",(ChemData!M118))</f>
        <v>260.8</v>
      </c>
      <c r="K118" s="290">
        <f>IF(TRUE=ISBLANK(ChemData!N118),"",(ChemData!N118))</f>
        <v>0.01</v>
      </c>
      <c r="L118" s="290">
        <f>IF(TRUE=ISBLANK(ChemData!O118),"",(ChemData!O118))</f>
        <v>5.6099999999999997E-2</v>
      </c>
      <c r="M118" s="290">
        <f>IF(TRUE=ISBLANK(ChemData!Q118),"",(ChemData!Q118))</f>
        <v>1195.1059779431475</v>
      </c>
      <c r="N118" s="290">
        <f>IF(TRUE=ISBLANK(ChemData!R118),"",(ChemData!R118))</f>
        <v>1195.1059779431475</v>
      </c>
      <c r="O118" s="290">
        <f>IF(TRUE=ISBLANK(ChemData!S118),"",(ChemData!S118))</f>
        <v>1</v>
      </c>
      <c r="P118" s="291">
        <f>IF(TRUE=ISBLANK(ChemData!T118),"",(ChemData!T118))</f>
        <v>1</v>
      </c>
      <c r="Q118" s="375">
        <f>IF(Start!$C$18="x",IF(OR(K118="NA",K118="",K118="--"),"NA",(K118*1000000/82.1/Data!$D$50)),"---")</f>
        <v>0.39291186986758869</v>
      </c>
      <c r="R118" s="376">
        <f>IF(Start!$C$18="x",IF(OR(J118="NA",J118=0,J118=""),"NA",(0.32*(Data!$D$48+Data!$D$49)*(18/J118)^0.5)),"---")</f>
        <v>0.21647595822815419</v>
      </c>
      <c r="S118" s="376">
        <f>IF(Start!$C$18="x",IF(OR(J118="NA",J118= 0,J118=""),"NA",(0.0065*((Data!$D$49^0.969)/(Data!$D$51^0.673))*(32/J118)^0.5*EXP(0.526*Data!$D$48^-1.9))),"---")</f>
        <v>4.5627201262595695E-4</v>
      </c>
      <c r="T118" s="377">
        <f>IF(Start!$C$18="x",IF(OR(S118="NA",R118="NA",R118=0,Q118="NA",S118=0,Q118=0),"NA",(1/(1/S118+(1/(R118*Q118))))),"---")</f>
        <v>4.5383745897592E-4</v>
      </c>
      <c r="U118" s="375" t="str">
        <f>IF(Start!$C$18="x",IF(OR(F118="NA",F118="",O118="",O118="NA"),"NA",(F118*$O118)),"---")</f>
        <v>NA</v>
      </c>
      <c r="V118" s="376" t="str">
        <f>IF(Start!$C$18="x",IF(OR(U118="NA",M118="NA",M118="",U118=""),"NA",U118/((Data!$D$18+((1-Data!$D$18)*Data!$D$14*M118))/((1-Data!$D$18)*Data!$D$14*1000))),"---")</f>
        <v>NA</v>
      </c>
      <c r="W118" s="376" t="str">
        <f>IF(Start!$C$18="x",IF(OR(G118="NA",U118="NA",G118="",U118=""),"NA",(U118 +($G118*(Data!$D$19-Data!$D$22)/(Data!$D$19*Data!$D$22)))),"---")</f>
        <v>NA</v>
      </c>
      <c r="X118" s="376" t="str">
        <f>IF(Start!$C$18="x",IF(OR(G118="NA",V118="NA",G118="",V118=""),"NA",(((Data!$D$22*Data!$D$18)*V118)+(Data!$D$19-Data!$D$22)*$G118)/((Data!$D$22*Data!$D$18)+Data!$D$19-Data!$D$22)),"---")</f>
        <v>NA</v>
      </c>
      <c r="Y118" s="376" t="str">
        <f>IF(Start!$C$18="x",IF(OR(W118="NA",W118="",M118="NA",M118=""),"NA",(W118/((Data!$D$23+((1-Data!$D$23)*Data!$D$14*M118)) /((1-Data!$D$23)*Data!$D$14*1000)))),"---")</f>
        <v>NA</v>
      </c>
      <c r="Z118" s="376" t="str">
        <f>IF(Start!$C$18="x",IF(OR(Y118="NA",X118="NA"),"NA",IF(Y118&gt;X118, Y118, X118)),"---")</f>
        <v>NA</v>
      </c>
      <c r="AA118" s="461" t="str">
        <f>IF(Start!$C$18="x",IF(OR(Z118="NA",T118="NA"),"NA",Z118*T118/(1000000000)),"---")</f>
        <v>NA</v>
      </c>
      <c r="AB118" s="1057" t="str">
        <f>IF(Start!$C$18="x",IF(AA118 = "NA", "NA", AA118*(Data!$D$52*Data!$D$53*10000)),"---")</f>
        <v>NA</v>
      </c>
      <c r="AC118" s="375" t="str">
        <f>IF(Start!$C$18="x",IF(AB118="NA", "NA", AB118*Data!$D$54),"---")</f>
        <v>NA</v>
      </c>
      <c r="AD118" s="498" t="str">
        <f>IF(Start!$C$18="x",IF(AC118="NA","NA",AC118*Data!$D$41),"---")</f>
        <v>NA</v>
      </c>
      <c r="AE118" s="376" t="str">
        <f>IF(Start!$C$18="x",IF(AB118 = "NA", "NA", AB118/(Data!$D$53*3*Data!$D$48)*1000),"---")</f>
        <v>NA</v>
      </c>
      <c r="AF118" s="498" t="str">
        <f>IF(Start!$C$18="x",IF(AE118="NA","NA",AE118*Data!$D$46),"---")</f>
        <v>NA</v>
      </c>
      <c r="AG118" s="375">
        <f>IF(Start!$C$18="x",IF(OR($L118="NA",L118=""),"NA",($L118*(Data!$D$55^3.33)/(Data!$D$18^2))),"---")</f>
        <v>5.7151839467806879E-4</v>
      </c>
      <c r="AH118" s="376" t="str">
        <f>IF(Start!$C$18="x",IF(OR(F118="NA",F118="",P118="NA",P118=""),"NA",IF(100/Data!$D$10&gt;Data!$D$13,(F118*$P118),(F118*$P118)*Data!$D$13)),"---")</f>
        <v>NA</v>
      </c>
      <c r="AI118" s="489">
        <f>IF(Start!$C$18="x",IF(OR($N118="NA",$Q118="NA",$Q118=0,Q118="",N118=""),"NA",(1000*$N118/$Q118)),"---")</f>
        <v>3041664.2244631047</v>
      </c>
      <c r="AJ118" s="376">
        <f>IF(Start!$C$18="x",IF(OR(Q118 = "NA",Q118=0,N118 = "NA",N118="",Q118=""), "NA", IF($AG118="NA","NA",(3.1416*Data!$D$57*86400/($AG118*(Data!$D$55+(N118*Data!$D$19/(Q118*1000)))))^0.5)),"---")</f>
        <v>2348.3333809216278</v>
      </c>
      <c r="AK118" s="376" t="str">
        <f>IF(Start!$C$18="x",IF(OR(AH118 = "NA",AI118="NA",AI118=0,AI118="",AH118=""), "NA", AH118/AI118),"---")</f>
        <v>NA</v>
      </c>
      <c r="AL118" s="376" t="str">
        <f>IF(Start!$C$18="x",IF(OR(AK118 ="NA",AK118="",AJ118= "NA",R118="NA",R118=0),"NA",(2*AK118)/(1000*(1/$R118+AJ118))),"---")</f>
        <v>NA</v>
      </c>
      <c r="AM118" s="376" t="str">
        <f>IF(Start!$C$18="x",IF(AL118 = "NA", "NA", AL118*(Data!$D$52*Data!$D$53*10000)),"---")</f>
        <v>NA</v>
      </c>
      <c r="AN118" s="376" t="str">
        <f>IF(Start!$C$18="x",IF(AM118 = "NA", "NA", AM118*(Data!$D$54)),"---")</f>
        <v>NA</v>
      </c>
      <c r="AO118" s="498" t="str">
        <f>IF(Start!$C$18="x",IF(AN118="NA","NA",AN118*Data!$D$41),"---")</f>
        <v>NA</v>
      </c>
      <c r="AP118" s="376">
        <f>IF(Start!$C$18="x",IF(OR(Q118=0,N118="NA",N118="",AG118="NA",AG118="",AG118=0,Q118="",Q118="NA"),"NA", (3.1416*Data!$D$56*86400/($AG118*(Data!$D$55+(N118*Data!$D$19/(Q118*1000)))))^0.5),"---")</f>
        <v>2348.3333809216278</v>
      </c>
      <c r="AQ118" s="376" t="str">
        <f>IF(Start!$C$18="x",IF(OR(AH118="NA",AI118="NA",AI118="",AI118=0,AH118=""),"NA", AH118/AI118),"---")</f>
        <v>NA</v>
      </c>
      <c r="AR118" s="376" t="str">
        <f>IF(Start!$C$18="x",IF(OR(AQ118="NA",AP118="NA",$R118="NA",R118=0,R118=""),"NA",(2*AQ118)/(1000*(1/$R118+AP118))),"---")</f>
        <v>NA</v>
      </c>
      <c r="AS118" s="376" t="str">
        <f>IF(Start!$C$18="x",IF(AR118 = "NA", "NA", AR118*(Data!$D$52*Data!$D$53*10000)),"---")</f>
        <v>NA</v>
      </c>
      <c r="AT118" s="376" t="str">
        <f>IF(Start!$C$18="x",IF(AS118 = "NA", "NA", (AS118*1000)/(Data!$D$48*3*Data!$D$53)),"---")</f>
        <v>NA</v>
      </c>
      <c r="AU118" s="498" t="str">
        <f>IF(Start!$C$18="x",IF(AT118="NA","NA",AT118*Data!$D$47),"---")</f>
        <v>NA</v>
      </c>
      <c r="AV118" s="283" t="str">
        <f>IF(Start!$C$18="x",(IF(AND(F118="",G118= "",G118&lt;&gt;"NA"),"",IF(OR(AD118="NA",I118="NA",I118=0),"NA",(AD118/I118)))),"Not Req.")</f>
        <v/>
      </c>
      <c r="AW118" s="284" t="str">
        <f>IF(Start!$C$18="x",(IF(AND(F118="",G118= "",G118&lt;&gt;"NA"),"",IF(OR(AF118="NA",I118="NA",I118=0),"NA",(AF118/I118)))),"Not Req.")</f>
        <v/>
      </c>
      <c r="AX118" s="284" t="str">
        <f>IF(Start!$C$18="x",(IF(F118 ="","",IF(OR(AO118="NA",I118="NA",I118=0),"NA",(AO118/I118)))),"Not Req.")</f>
        <v/>
      </c>
      <c r="AY118" s="344" t="str">
        <f>IF(Start!$C$18="x",(IF(F118 ="","",IF(OR(AU118="NA",I118="NA",I118=0),"NA",(AU118/I118)))),"Not Req.")</f>
        <v/>
      </c>
      <c r="AZ118" s="208"/>
    </row>
    <row r="119" spans="1:52" s="183" customFormat="1" x14ac:dyDescent="0.25">
      <c r="A119" s="405" t="s">
        <v>437</v>
      </c>
      <c r="B119" s="347" t="str">
        <f>IF(Start!$C$18="x",IF(AND(OR(F119="",F119="NA"),OR(G119="",G119="NA")),"",IF(I119="NA","NA",IF(AND(I119="",K119="--"),"NA",IF(AD119="NA","Missing Data",IF(I119="","No Criteria",IF(AD119&gt;=I119,"Needed","No")))))),"---")</f>
        <v/>
      </c>
      <c r="C119" s="501" t="str">
        <f>IF(Start!$C$18="x",IF(AND(OR(F119="",F119="NA"),OR(G119="",G119="NA")),"",IF(I119="NA","NA",IF(AND(I119="",K119="--"),"NA",IF(AF119="NA","Missing Data",IF(I119="","No Criteria",IF(AF119&gt;=I119,"Needed","No")))))),"---")</f>
        <v/>
      </c>
      <c r="D119" s="347" t="str">
        <f>IF(Start!$C$18="x",IF(AND(OR(F119="",F119="NA"),OR(G119="",G119="NA")),"",IF(I119="NA","NA",IF(AND(I119="",K119="--"),"NA",IF(AO119="NA","Missing Data",IF(I119="","No Criteria",IF(AO119&gt;=I119,"Needed","No")))))),"---")</f>
        <v/>
      </c>
      <c r="E119" s="401" t="str">
        <f>IF(Start!$C$18="x",IF(AND(OR(F119="",F119="NA"),OR(G119="",G119="NA")),"",IF(I119="NA","NA",IF(AND(I119="",K119="--"),"NA",IF(AU119="NA","Missing Data",IF(I119="","No Criteria",IF(AU119&gt;=I119,"Needed","No")))))),"---")</f>
        <v/>
      </c>
      <c r="F119" s="431" t="str">
        <f>IF(TRUE=ISBLANK(ChemData!B119),"",(ChemData!B119))</f>
        <v/>
      </c>
      <c r="G119" s="432" t="str">
        <f>IF(TRUE=ISBLANK(ChemData!C119),"",(ChemData!C119))</f>
        <v/>
      </c>
      <c r="H119" s="433" t="str">
        <f>IF(TRUE=ISBLANK(ChemData!D119),"",(ChemData!D119))</f>
        <v/>
      </c>
      <c r="I119" s="919">
        <f>IF(TRUE=ISBLANK(ChemData!K119),"",(ChemData!K119))</f>
        <v>2.0000000000000002E-5</v>
      </c>
      <c r="J119" s="290">
        <f>IF(TRUE=ISBLANK(ChemData!M119),"",(ChemData!M119))</f>
        <v>272.8</v>
      </c>
      <c r="K119" s="290">
        <f>IF(TRUE=ISBLANK(ChemData!N119),"",(ChemData!N119))</f>
        <v>2.75E-2</v>
      </c>
      <c r="L119" s="290">
        <f>IF(TRUE=ISBLANK(ChemData!O119),"",(ChemData!O119))</f>
        <v>1.61E-2</v>
      </c>
      <c r="M119" s="290">
        <f>IF(TRUE=ISBLANK(ChemData!Q119),"",(ChemData!Q119))</f>
        <v>1851</v>
      </c>
      <c r="N119" s="290">
        <f>IF(TRUE=ISBLANK(ChemData!R119),"",(ChemData!R119))</f>
        <v>1851</v>
      </c>
      <c r="O119" s="290">
        <f>IF(TRUE=ISBLANK(ChemData!S119),"",(ChemData!S119))</f>
        <v>1</v>
      </c>
      <c r="P119" s="291">
        <f>IF(TRUE=ISBLANK(ChemData!T119),"",(ChemData!T119))</f>
        <v>1</v>
      </c>
      <c r="Q119" s="375">
        <f>IF(Start!$C$18="x",IF(OR(K119="NA",K119="",K119="--"),"NA",(K119*1000000/82.1/Data!$D$50)),"---")</f>
        <v>1.080507642135869</v>
      </c>
      <c r="R119" s="376">
        <f>IF(Start!$C$18="x",IF(OR(J119="NA",J119=0,J119=""),"NA",(0.32*(Data!$D$48+Data!$D$49)*(18/J119)^0.5)),"---")</f>
        <v>0.21166121328247922</v>
      </c>
      <c r="S119" s="376">
        <f>IF(Start!$C$18="x",IF(OR(J119="NA",J119= 0,J119=""),"NA",(0.0065*((Data!$D$49^0.969)/(Data!$D$51^0.673))*(32/J119)^0.5*EXP(0.526*Data!$D$48^-1.9))),"---")</f>
        <v>4.4612384936281786E-4</v>
      </c>
      <c r="T119" s="377">
        <f>IF(Start!$C$18="x",IF(OR(S119="NA",R119="NA",R119=0,Q119="NA",S119=0,Q119=0),"NA",(1/(1/S119+(1/(R119*Q119))))),"---")</f>
        <v>4.4525529818685263E-4</v>
      </c>
      <c r="U119" s="375" t="str">
        <f>IF(Start!$C$18="x",IF(OR(F119="NA",F119="",O119="",O119="NA"),"NA",(F119*$O119)),"---")</f>
        <v>NA</v>
      </c>
      <c r="V119" s="376" t="str">
        <f>IF(Start!$C$18="x",IF(OR(U119="NA",M119="NA",M119="",U119=""),"NA",U119/((Data!$D$18+((1-Data!$D$18)*Data!$D$14*M119))/((1-Data!$D$18)*Data!$D$14*1000))),"---")</f>
        <v>NA</v>
      </c>
      <c r="W119" s="376" t="str">
        <f>IF(Start!$C$18="x",IF(OR(G119="NA",U119="NA",G119="",U119=""),"NA",(U119 +($G119*(Data!$D$19-Data!$D$22)/(Data!$D$19*Data!$D$22)))),"---")</f>
        <v>NA</v>
      </c>
      <c r="X119" s="376" t="str">
        <f>IF(Start!$C$18="x",IF(OR(G119="NA",V119="NA",G119="",V119=""),"NA",(((Data!$D$22*Data!$D$18)*V119)+(Data!$D$19-Data!$D$22)*$G119)/((Data!$D$22*Data!$D$18)+Data!$D$19-Data!$D$22)),"---")</f>
        <v>NA</v>
      </c>
      <c r="Y119" s="376" t="str">
        <f>IF(Start!$C$18="x",IF(OR(W119="NA",W119="",M119="NA",M119=""),"NA",(W119/((Data!$D$23+((1-Data!$D$23)*Data!$D$14*M119)) /((1-Data!$D$23)*Data!$D$14*1000)))),"---")</f>
        <v>NA</v>
      </c>
      <c r="Z119" s="376" t="str">
        <f>IF(Start!$C$18="x",IF(OR(Y119="NA",X119="NA"),"NA",IF(Y119&gt;X119, Y119, X119)),"---")</f>
        <v>NA</v>
      </c>
      <c r="AA119" s="461" t="str">
        <f>IF(Start!$C$18="x",IF(OR(Z119="NA",T119="NA"),"NA",Z119*T119/(1000000000)),"---")</f>
        <v>NA</v>
      </c>
      <c r="AB119" s="1057" t="str">
        <f>IF(Start!$C$18="x",IF(AA119 = "NA", "NA", AA119*(Data!$D$52*Data!$D$53*10000)),"---")</f>
        <v>NA</v>
      </c>
      <c r="AC119" s="375" t="str">
        <f>IF(Start!$C$18="x",IF(AB119="NA", "NA", AB119*Data!$D$54),"---")</f>
        <v>NA</v>
      </c>
      <c r="AD119" s="498" t="str">
        <f>IF(Start!$C$18="x",IF(AC119="NA","NA",AC119*Data!$D$41),"---")</f>
        <v>NA</v>
      </c>
      <c r="AE119" s="376" t="str">
        <f>IF(Start!$C$18="x",IF(AB119 = "NA", "NA", AB119/(Data!$D$53*3*Data!$D$48)*1000),"---")</f>
        <v>NA</v>
      </c>
      <c r="AF119" s="498" t="str">
        <f>IF(Start!$C$18="x",IF(AE119="NA","NA",AE119*Data!$D$46),"---")</f>
        <v>NA</v>
      </c>
      <c r="AG119" s="375">
        <f>IF(Start!$C$18="x",IF(OR($L119="NA",L119=""),"NA",($L119*(Data!$D$55^3.33)/(Data!$D$18^2))),"---")</f>
        <v>1.6401864802703935E-4</v>
      </c>
      <c r="AH119" s="376" t="str">
        <f>IF(Start!$C$18="x",IF(OR(F119="NA",F119="",P119="NA",P119=""),"NA",IF(100/Data!$D$10&gt;Data!$D$13,(F119*$P119),(F119*$P119)*Data!$D$13)),"---")</f>
        <v>NA</v>
      </c>
      <c r="AI119" s="489">
        <f>IF(Start!$C$18="x",IF(OR($N119="NA",$Q119="NA",$Q119=0,Q119="",N119=""),"NA",(1000*$N119/$Q119)),"---")</f>
        <v>1713083.6727272726</v>
      </c>
      <c r="AJ119" s="376">
        <f>IF(Start!$C$18="x",IF(OR(Q119 = "NA",Q119=0,N119 = "NA",N119="",Q119=""), "NA", IF($AG119="NA","NA",(3.1416*Data!$D$57*86400/($AG119*(Data!$D$55+(N119*Data!$D$19/(Q119*1000)))))^0.5)),"---")</f>
        <v>5840.9239954104678</v>
      </c>
      <c r="AK119" s="376" t="str">
        <f>IF(Start!$C$18="x",IF(OR(AH119 = "NA",AI119="NA",AI119=0,AI119="",AH119=""), "NA", AH119/AI119),"---")</f>
        <v>NA</v>
      </c>
      <c r="AL119" s="376" t="str">
        <f>IF(Start!$C$18="x",IF(OR(AK119 ="NA",AK119="",AJ119= "NA",R119="NA",R119=0),"NA",(2*AK119)/(1000*(1/$R119+AJ119))),"---")</f>
        <v>NA</v>
      </c>
      <c r="AM119" s="376" t="str">
        <f>IF(Start!$C$18="x",IF(AL119 = "NA", "NA", AL119*(Data!$D$52*Data!$D$53*10000)),"---")</f>
        <v>NA</v>
      </c>
      <c r="AN119" s="376" t="str">
        <f>IF(Start!$C$18="x",IF(AM119 = "NA", "NA", AM119*(Data!$D$54)),"---")</f>
        <v>NA</v>
      </c>
      <c r="AO119" s="498" t="str">
        <f>IF(Start!$C$18="x",IF(AN119="NA","NA",AN119*Data!$D$41),"---")</f>
        <v>NA</v>
      </c>
      <c r="AP119" s="376">
        <f>IF(Start!$C$18="x",IF(OR(Q119=0,N119="NA",N119="",AG119="NA",AG119="",AG119=0,Q119="",Q119="NA"),"NA", (3.1416*Data!$D$56*86400/($AG119*(Data!$D$55+(N119*Data!$D$19/(Q119*1000)))))^0.5),"---")</f>
        <v>5840.9239954104678</v>
      </c>
      <c r="AQ119" s="376" t="str">
        <f>IF(Start!$C$18="x",IF(OR(AH119="NA",AI119="NA",AI119="",AI119=0,AH119=""),"NA", AH119/AI119),"---")</f>
        <v>NA</v>
      </c>
      <c r="AR119" s="376" t="str">
        <f>IF(Start!$C$18="x",IF(OR(AQ119="NA",AP119="NA",$R119="NA",R119=0,R119=""),"NA",(2*AQ119)/(1000*(1/$R119+AP119))),"---")</f>
        <v>NA</v>
      </c>
      <c r="AS119" s="376" t="str">
        <f>IF(Start!$C$18="x",IF(AR119 = "NA", "NA", AR119*(Data!$D$52*Data!$D$53*10000)),"---")</f>
        <v>NA</v>
      </c>
      <c r="AT119" s="376" t="str">
        <f>IF(Start!$C$18="x",IF(AS119 = "NA", "NA", (AS119*1000)/(Data!$D$48*3*Data!$D$53)),"---")</f>
        <v>NA</v>
      </c>
      <c r="AU119" s="498" t="str">
        <f>IF(Start!$C$18="x",IF(AT119="NA","NA",AT119*Data!$D$47),"---")</f>
        <v>NA</v>
      </c>
      <c r="AV119" s="283" t="str">
        <f>IF(Start!$C$18="x",(IF(AND(F119="",G119= "",G119&lt;&gt;"NA"),"",IF(OR(AD119="NA",I119="NA",I119=0),"NA",(AD119/I119)))),"Not Req.")</f>
        <v/>
      </c>
      <c r="AW119" s="284" t="str">
        <f>IF(Start!$C$18="x",(IF(AND(F119="",G119= "",G119&lt;&gt;"NA"),"",IF(OR(AF119="NA",I119="NA",I119=0),"NA",(AF119/I119)))),"Not Req.")</f>
        <v/>
      </c>
      <c r="AX119" s="284" t="str">
        <f>IF(Start!$C$18="x",(IF(F119 ="","",IF(OR(AO119="NA",I119="NA",I119=0),"NA",(AO119/I119)))),"Not Req.")</f>
        <v/>
      </c>
      <c r="AY119" s="344" t="str">
        <f>IF(Start!$C$18="x",(IF(F119 ="","",IF(OR(AU119="NA",I119="NA",I119=0),"NA",(AU119/I119)))),"Not Req.")</f>
        <v/>
      </c>
      <c r="AZ119" s="208"/>
    </row>
    <row r="120" spans="1:52" s="183" customFormat="1" x14ac:dyDescent="0.25">
      <c r="A120" s="405" t="s">
        <v>438</v>
      </c>
      <c r="B120" s="347" t="str">
        <f>IF(Start!$C$18="x",IF(AND(OR(F120="",F120="NA"),OR(G120="",G120="NA")),"",IF(I120="NA","NA",IF(AND(I120="",K120="--"),"NA",IF(AD120="NA","Missing Data",IF(I120="","No Criteria",IF(AD120&gt;=I120,"Needed","No")))))),"---")</f>
        <v/>
      </c>
      <c r="C120" s="501" t="str">
        <f>IF(Start!$C$18="x",IF(AND(OR(F120="",F120="NA"),OR(G120="",G120="NA")),"",IF(I120="NA","NA",IF(AND(I120="",K120="--"),"NA",IF(AF120="NA","Missing Data",IF(I120="","No Criteria",IF(AF120&gt;=I120,"Needed","No")))))),"---")</f>
        <v/>
      </c>
      <c r="D120" s="347" t="str">
        <f>IF(Start!$C$18="x",IF(AND(OR(F120="",F120="NA"),OR(G120="",G120="NA")),"",IF(I120="NA","NA",IF(AND(I120="",K120="--"),"NA",IF(AO120="NA","Missing Data",IF(I120="","No Criteria",IF(AO120&gt;=I120,"Needed","No")))))),"---")</f>
        <v/>
      </c>
      <c r="E120" s="401" t="str">
        <f>IF(Start!$C$18="x",IF(AND(OR(F120="",F120="NA"),OR(G120="",G120="NA")),"",IF(I120="NA","NA",IF(AND(I120="",K120="--"),"NA",IF(AU120="NA","Missing Data",IF(I120="","No Criteria",IF(AU120&gt;=I120,"Needed","No")))))),"---")</f>
        <v/>
      </c>
      <c r="F120" s="431" t="str">
        <f>IF(TRUE=ISBLANK(ChemData!B120),"",(ChemData!B120))</f>
        <v/>
      </c>
      <c r="G120" s="432" t="str">
        <f>IF(TRUE=ISBLANK(ChemData!C120),"",(ChemData!C120))</f>
        <v/>
      </c>
      <c r="H120" s="433" t="str">
        <f>IF(TRUE=ISBLANK(ChemData!D120),"",(ChemData!D120))</f>
        <v/>
      </c>
      <c r="I120" s="919" t="str">
        <f>IF(TRUE=ISBLANK(ChemData!K120),"",(ChemData!K120))</f>
        <v>NA</v>
      </c>
      <c r="J120" s="290">
        <f>IF(TRUE=ISBLANK(ChemData!M120),"",(ChemData!M120))</f>
        <v>236.7</v>
      </c>
      <c r="K120" s="290">
        <f>IF(TRUE=ISBLANK(ChemData!N120),"",(ChemData!N120))</f>
        <v>3.8999999999999998E-3</v>
      </c>
      <c r="L120" s="290">
        <f>IF(TRUE=ISBLANK(ChemData!O120),"",(ChemData!O120))</f>
        <v>2.5000000000000001E-3</v>
      </c>
      <c r="M120" s="290">
        <f>IF(TRUE=ISBLANK(ChemData!Q120),"",(ChemData!Q120))</f>
        <v>185.1</v>
      </c>
      <c r="N120" s="290">
        <f>IF(TRUE=ISBLANK(ChemData!R120),"",(ChemData!R120))</f>
        <v>185.1</v>
      </c>
      <c r="O120" s="290">
        <f>IF(TRUE=ISBLANK(ChemData!S120),"",(ChemData!S120))</f>
        <v>1</v>
      </c>
      <c r="P120" s="291">
        <f>IF(TRUE=ISBLANK(ChemData!T120),"",(ChemData!T120))</f>
        <v>1</v>
      </c>
      <c r="Q120" s="375">
        <f>IF(Start!$C$18="x",IF(OR(K120="NA",K120="",K120="--"),"NA",(K120*1000000/82.1/Data!$D$50)),"---")</f>
        <v>0.15323562924835959</v>
      </c>
      <c r="R120" s="376">
        <f>IF(Start!$C$18="x",IF(OR(J120="NA",J120=0,J120=""),"NA",(0.32*(Data!$D$48+Data!$D$49)*(18/J120)^0.5)),"---")</f>
        <v>0.22722930245357031</v>
      </c>
      <c r="S120" s="376">
        <f>IF(Start!$C$18="x",IF(OR(J120="NA",J120= 0,J120=""),"NA",(0.0065*((Data!$D$49^0.969)/(Data!$D$51^0.673))*(32/J120)^0.5*EXP(0.526*Data!$D$48^-1.9))),"---")</f>
        <v>4.7893711618918585E-4</v>
      </c>
      <c r="T120" s="377">
        <f>IF(Start!$C$18="x",IF(OR(S120="NA",R120="NA",R120=0,Q120="NA",S120=0,Q120=0),"NA",(1/(1/S120+(1/(R120*Q120))))),"---")</f>
        <v>4.7243881295616961E-4</v>
      </c>
      <c r="U120" s="375" t="str">
        <f>IF(Start!$C$18="x",IF(OR(F120="NA",F120="",O120="",O120="NA"),"NA",(F120*$O120)),"---")</f>
        <v>NA</v>
      </c>
      <c r="V120" s="376" t="str">
        <f>IF(Start!$C$18="x",IF(OR(U120="NA",M120="NA",M120="",U120=""),"NA",U120/((Data!$D$18+((1-Data!$D$18)*Data!$D$14*M120))/((1-Data!$D$18)*Data!$D$14*1000))),"---")</f>
        <v>NA</v>
      </c>
      <c r="W120" s="376" t="str">
        <f>IF(Start!$C$18="x",IF(OR(G120="NA",U120="NA",G120="",U120=""),"NA",(U120 +($G120*(Data!$D$19-Data!$D$22)/(Data!$D$19*Data!$D$22)))),"---")</f>
        <v>NA</v>
      </c>
      <c r="X120" s="376" t="str">
        <f>IF(Start!$C$18="x",IF(OR(G120="NA",V120="NA",G120="",V120=""),"NA",(((Data!$D$22*Data!$D$18)*V120)+(Data!$D$19-Data!$D$22)*$G120)/((Data!$D$22*Data!$D$18)+Data!$D$19-Data!$D$22)),"---")</f>
        <v>NA</v>
      </c>
      <c r="Y120" s="376" t="str">
        <f>IF(Start!$C$18="x",IF(OR(W120="NA",W120="",M120="NA",M120=""),"NA",(W120/((Data!$D$23+((1-Data!$D$23)*Data!$D$14*M120)) /((1-Data!$D$23)*Data!$D$14*1000)))),"---")</f>
        <v>NA</v>
      </c>
      <c r="Z120" s="376" t="str">
        <f>IF(Start!$C$18="x",IF(OR(Y120="NA",X120="NA"),"NA",IF(Y120&gt;X120, Y120, X120)),"---")</f>
        <v>NA</v>
      </c>
      <c r="AA120" s="461" t="str">
        <f>IF(Start!$C$18="x",IF(OR(Z120="NA",T120="NA"),"NA",Z120*T120/(1000000000)),"---")</f>
        <v>NA</v>
      </c>
      <c r="AB120" s="1057" t="str">
        <f>IF(Start!$C$18="x",IF(AA120 = "NA", "NA", AA120*(Data!$D$52*Data!$D$53*10000)),"---")</f>
        <v>NA</v>
      </c>
      <c r="AC120" s="375" t="str">
        <f>IF(Start!$C$18="x",IF(AB120="NA", "NA", AB120*Data!$D$54),"---")</f>
        <v>NA</v>
      </c>
      <c r="AD120" s="498" t="str">
        <f>IF(Start!$C$18="x",IF(AC120="NA","NA",AC120*Data!$D$41),"---")</f>
        <v>NA</v>
      </c>
      <c r="AE120" s="376" t="str">
        <f>IF(Start!$C$18="x",IF(AB120 = "NA", "NA", AB120/(Data!$D$53*3*Data!$D$48)*1000),"---")</f>
        <v>NA</v>
      </c>
      <c r="AF120" s="498" t="str">
        <f>IF(Start!$C$18="x",IF(AE120="NA","NA",AE120*Data!$D$46),"---")</f>
        <v>NA</v>
      </c>
      <c r="AG120" s="375">
        <f>IF(Start!$C$18="x",IF(OR($L120="NA",L120=""),"NA",($L120*(Data!$D$55^3.33)/(Data!$D$18^2))),"---")</f>
        <v>2.546873416568934E-5</v>
      </c>
      <c r="AH120" s="376" t="str">
        <f>IF(Start!$C$18="x",IF(OR(F120="NA",F120="",P120="NA",P120=""),"NA",IF(100/Data!$D$10&gt;Data!$D$13,(F120*$P120),(F120*$P120)*Data!$D$13)),"---")</f>
        <v>NA</v>
      </c>
      <c r="AI120" s="489">
        <f>IF(Start!$C$18="x",IF(OR($N120="NA",$Q120="NA",$Q120=0,Q120="",N120=""),"NA",(1000*$N120/$Q120)),"---")</f>
        <v>1207943.6153846153</v>
      </c>
      <c r="AJ120" s="376">
        <f>IF(Start!$C$18="x",IF(OR(Q120 = "NA",Q120=0,N120 = "NA",N120="",Q120=""), "NA", IF($AG120="NA","NA",(3.1416*Data!$D$57*86400/($AG120*(Data!$D$55+(N120*Data!$D$19/(Q120*1000)))))^0.5)),"---")</f>
        <v>17651.351588777856</v>
      </c>
      <c r="AK120" s="376" t="str">
        <f>IF(Start!$C$18="x",IF(OR(AH120 = "NA",AI120="NA",AI120=0,AI120="",AH120=""), "NA", AH120/AI120),"---")</f>
        <v>NA</v>
      </c>
      <c r="AL120" s="376" t="str">
        <f>IF(Start!$C$18="x",IF(OR(AK120 ="NA",AK120="",AJ120= "NA",R120="NA",R120=0),"NA",(2*AK120)/(1000*(1/$R120+AJ120))),"---")</f>
        <v>NA</v>
      </c>
      <c r="AM120" s="376" t="str">
        <f>IF(Start!$C$18="x",IF(AL120 = "NA", "NA", AL120*(Data!$D$52*Data!$D$53*10000)),"---")</f>
        <v>NA</v>
      </c>
      <c r="AN120" s="376" t="str">
        <f>IF(Start!$C$18="x",IF(AM120 = "NA", "NA", AM120*(Data!$D$54)),"---")</f>
        <v>NA</v>
      </c>
      <c r="AO120" s="498" t="str">
        <f>IF(Start!$C$18="x",IF(AN120="NA","NA",AN120*Data!$D$41),"---")</f>
        <v>NA</v>
      </c>
      <c r="AP120" s="376">
        <f>IF(Start!$C$18="x",IF(OR(Q120=0,N120="NA",N120="",AG120="NA",AG120="",AG120=0,Q120="",Q120="NA"),"NA", (3.1416*Data!$D$56*86400/($AG120*(Data!$D$55+(N120*Data!$D$19/(Q120*1000)))))^0.5),"---")</f>
        <v>17651.351588777856</v>
      </c>
      <c r="AQ120" s="376" t="str">
        <f>IF(Start!$C$18="x",IF(OR(AH120="NA",AI120="NA",AI120="",AI120=0,AH120=""),"NA", AH120/AI120),"---")</f>
        <v>NA</v>
      </c>
      <c r="AR120" s="376" t="str">
        <f>IF(Start!$C$18="x",IF(OR(AQ120="NA",AP120="NA",$R120="NA",R120=0,R120=""),"NA",(2*AQ120)/(1000*(1/$R120+AP120))),"---")</f>
        <v>NA</v>
      </c>
      <c r="AS120" s="376" t="str">
        <f>IF(Start!$C$18="x",IF(AR120 = "NA", "NA", AR120*(Data!$D$52*Data!$D$53*10000)),"---")</f>
        <v>NA</v>
      </c>
      <c r="AT120" s="376" t="str">
        <f>IF(Start!$C$18="x",IF(AS120 = "NA", "NA", (AS120*1000)/(Data!$D$48*3*Data!$D$53)),"---")</f>
        <v>NA</v>
      </c>
      <c r="AU120" s="498" t="str">
        <f>IF(Start!$C$18="x",IF(AT120="NA","NA",AT120*Data!$D$47),"---")</f>
        <v>NA</v>
      </c>
      <c r="AV120" s="283" t="str">
        <f>IF(Start!$C$18="x",(IF(AND(F120="",G120= "",G120&lt;&gt;"NA"),"",IF(OR(AD120="NA",I120="NA",I120=0),"NA",(AD120/I120)))),"Not Req.")</f>
        <v/>
      </c>
      <c r="AW120" s="284" t="str">
        <f>IF(Start!$C$18="x",(IF(AND(F120="",G120= "",G120&lt;&gt;"NA"),"",IF(OR(AF120="NA",I120="NA",I120=0),"NA",(AF120/I120)))),"Not Req.")</f>
        <v/>
      </c>
      <c r="AX120" s="284" t="str">
        <f>IF(Start!$C$18="x",(IF(F120 ="","",IF(OR(AO120="NA",I120="NA",I120=0),"NA",(AO120/I120)))),"Not Req.")</f>
        <v/>
      </c>
      <c r="AY120" s="344" t="str">
        <f>IF(Start!$C$18="x",(IF(F120 ="","",IF(OR(AU120="NA",I120="NA",I120=0),"NA",(AU120/I120)))),"Not Req.")</f>
        <v/>
      </c>
      <c r="AZ120" s="208"/>
    </row>
    <row r="121" spans="1:52" s="183" customFormat="1" x14ac:dyDescent="0.25">
      <c r="A121" s="405" t="s">
        <v>439</v>
      </c>
      <c r="B121" s="347" t="str">
        <f>IF(Start!$C$18="x",IF(AND(OR(F121="",F121="NA"),OR(G121="",G121="NA")),"",IF(I121="NA","NA",IF(AND(I121="",K121="--"),"NA",IF(AD121="NA","Missing Data",IF(I121="","No Criteria",IF(AD121&gt;=I121,"Needed","No")))))),"---")</f>
        <v/>
      </c>
      <c r="C121" s="501" t="str">
        <f>IF(Start!$C$18="x",IF(AND(OR(F121="",F121="NA"),OR(G121="",G121="NA")),"",IF(I121="NA","NA",IF(AND(I121="",K121="--"),"NA",IF(AF121="NA","Missing Data",IF(I121="","No Criteria",IF(AF121&gt;=I121,"Needed","No")))))),"---")</f>
        <v/>
      </c>
      <c r="D121" s="347" t="str">
        <f>IF(Start!$C$18="x",IF(AND(OR(F121="",F121="NA"),OR(G121="",G121="NA")),"",IF(I121="NA","NA",IF(AND(I121="",K121="--"),"NA",IF(AO121="NA","Missing Data",IF(I121="","No Criteria",IF(AO121&gt;=I121,"Needed","No")))))),"---")</f>
        <v/>
      </c>
      <c r="E121" s="401" t="str">
        <f>IF(Start!$C$18="x",IF(AND(OR(F121="",F121="NA"),OR(G121="",G121="NA")),"",IF(I121="NA","NA",IF(AND(I121="",K121="--"),"NA",IF(AU121="NA","Missing Data",IF(I121="","No Criteria",IF(AU121&gt;=I121,"Needed","No")))))),"---")</f>
        <v/>
      </c>
      <c r="F121" s="431" t="str">
        <f>IF(TRUE=ISBLANK(ChemData!B121),"",(ChemData!B121))</f>
        <v/>
      </c>
      <c r="G121" s="432" t="str">
        <f>IF(TRUE=ISBLANK(ChemData!C121),"",(ChemData!C121))</f>
        <v/>
      </c>
      <c r="H121" s="433" t="str">
        <f>IF(TRUE=ISBLANK(ChemData!D121),"",(ChemData!D121))</f>
        <v/>
      </c>
      <c r="I121" s="919">
        <f>IF(TRUE=ISBLANK(ChemData!K121),"",(ChemData!K121))</f>
        <v>0.2</v>
      </c>
      <c r="J121" s="290">
        <f>IF(TRUE=ISBLANK(ChemData!M121),"",(ChemData!M121))</f>
        <v>138.19999999999999</v>
      </c>
      <c r="K121" s="290">
        <f>IF(TRUE=ISBLANK(ChemData!N121),"",(ChemData!N121))</f>
        <v>5.75E-6</v>
      </c>
      <c r="L121" s="290">
        <f>IF(TRUE=ISBLANK(ChemData!O121),"",(ChemData!O121))</f>
        <v>6.2300000000000001E-2</v>
      </c>
      <c r="M121" s="290">
        <f>IF(TRUE=ISBLANK(ChemData!Q121),"",(ChemData!Q121))</f>
        <v>0.9276975694440811</v>
      </c>
      <c r="N121" s="290">
        <f>IF(TRUE=ISBLANK(ChemData!R121),"",(ChemData!R121))</f>
        <v>0.9276975694440811</v>
      </c>
      <c r="O121" s="290">
        <f>IF(TRUE=ISBLANK(ChemData!S121),"",(ChemData!S121))</f>
        <v>1</v>
      </c>
      <c r="P121" s="291">
        <f>IF(TRUE=ISBLANK(ChemData!T121),"",(ChemData!T121))</f>
        <v>1</v>
      </c>
      <c r="Q121" s="375">
        <f>IF(Start!$C$18="x",IF(OR(K121="NA",K121="",K121="--"),"NA",(K121*1000000/82.1/Data!$D$50)),"---")</f>
        <v>2.2592432517386352E-4</v>
      </c>
      <c r="R121" s="376">
        <f>IF(Start!$C$18="x",IF(OR(J121="NA",J121=0,J121=""),"NA",(0.32*(Data!$D$48+Data!$D$49)*(18/J121)^0.5)),"---")</f>
        <v>0.29737841524291547</v>
      </c>
      <c r="S121" s="376">
        <f>IF(Start!$C$18="x",IF(OR(J121="NA",J121= 0,J121=""),"NA",(0.0065*((Data!$D$49^0.969)/(Data!$D$51^0.673))*(32/J121)^0.5*EXP(0.526*Data!$D$48^-1.9))),"---")</f>
        <v>6.2679222739089261E-4</v>
      </c>
      <c r="T121" s="377">
        <f>IF(Start!$C$18="x",IF(OR(S121="NA",R121="NA",R121=0,Q121="NA",S121=0,Q121=0),"NA",(1/(1/S121+(1/(R121*Q121))))),"---")</f>
        <v>6.0680731590990142E-5</v>
      </c>
      <c r="U121" s="375" t="str">
        <f>IF(Start!$C$18="x",IF(OR(F121="NA",F121="",O121="",O121="NA"),"NA",(F121*$O121)),"---")</f>
        <v>NA</v>
      </c>
      <c r="V121" s="376" t="str">
        <f>IF(Start!$C$18="x",IF(OR(U121="NA",M121="NA",M121="",U121=""),"NA",U121/((Data!$D$18+((1-Data!$D$18)*Data!$D$14*M121))/((1-Data!$D$18)*Data!$D$14*1000))),"---")</f>
        <v>NA</v>
      </c>
      <c r="W121" s="376" t="str">
        <f>IF(Start!$C$18="x",IF(OR(G121="NA",U121="NA",G121="",U121=""),"NA",(U121 +($G121*(Data!$D$19-Data!$D$22)/(Data!$D$19*Data!$D$22)))),"---")</f>
        <v>NA</v>
      </c>
      <c r="X121" s="376" t="str">
        <f>IF(Start!$C$18="x",IF(OR(G121="NA",V121="NA",G121="",V121=""),"NA",(((Data!$D$22*Data!$D$18)*V121)+(Data!$D$19-Data!$D$22)*$G121)/((Data!$D$22*Data!$D$18)+Data!$D$19-Data!$D$22)),"---")</f>
        <v>NA</v>
      </c>
      <c r="Y121" s="376" t="str">
        <f>IF(Start!$C$18="x",IF(OR(W121="NA",W121="",M121="NA",M121=""),"NA",(W121/((Data!$D$23+((1-Data!$D$23)*Data!$D$14*M121)) /((1-Data!$D$23)*Data!$D$14*1000)))),"---")</f>
        <v>NA</v>
      </c>
      <c r="Z121" s="376" t="str">
        <f>IF(Start!$C$18="x",IF(OR(Y121="NA",X121="NA"),"NA",IF(Y121&gt;X121, Y121, X121)),"---")</f>
        <v>NA</v>
      </c>
      <c r="AA121" s="461" t="str">
        <f>IF(Start!$C$18="x",IF(OR(Z121="NA",T121="NA"),"NA",Z121*T121/(1000000000)),"---")</f>
        <v>NA</v>
      </c>
      <c r="AB121" s="1057" t="str">
        <f>IF(Start!$C$18="x",IF(AA121 = "NA", "NA", AA121*(Data!$D$52*Data!$D$53*10000)),"---")</f>
        <v>NA</v>
      </c>
      <c r="AC121" s="375" t="str">
        <f>IF(Start!$C$18="x",IF(AB121="NA", "NA", AB121*Data!$D$54),"---")</f>
        <v>NA</v>
      </c>
      <c r="AD121" s="498" t="str">
        <f>IF(Start!$C$18="x",IF(AC121="NA","NA",AC121*Data!$D$41),"---")</f>
        <v>NA</v>
      </c>
      <c r="AE121" s="376" t="str">
        <f>IF(Start!$C$18="x",IF(AB121 = "NA", "NA", AB121/(Data!$D$53*3*Data!$D$48)*1000),"---")</f>
        <v>NA</v>
      </c>
      <c r="AF121" s="498" t="str">
        <f>IF(Start!$C$18="x",IF(AE121="NA","NA",AE121*Data!$D$46),"---")</f>
        <v>NA</v>
      </c>
      <c r="AG121" s="375">
        <f>IF(Start!$C$18="x",IF(OR($L121="NA",L121=""),"NA",($L121*(Data!$D$55^3.33)/(Data!$D$18^2))),"---")</f>
        <v>6.3468085540897823E-4</v>
      </c>
      <c r="AH121" s="376" t="str">
        <f>IF(Start!$C$18="x",IF(OR(F121="NA",F121="",P121="NA",P121=""),"NA",IF(100/Data!$D$10&gt;Data!$D$13,(F121*$P121),(F121*$P121)*Data!$D$13)),"---")</f>
        <v>NA</v>
      </c>
      <c r="AI121" s="489">
        <f>IF(Start!$C$18="x",IF(OR($N121="NA",$Q121="NA",$Q121=0,Q121="",N121=""),"NA",(1000*$N121/$Q121)),"---")</f>
        <v>4106231.4504210968</v>
      </c>
      <c r="AJ121" s="376">
        <f>IF(Start!$C$18="x",IF(OR(Q121 = "NA",Q121=0,N121 = "NA",N121="",Q121=""), "NA", IF($AG121="NA","NA",(3.1416*Data!$D$57*86400/($AG121*(Data!$D$55+(N121*Data!$D$19/(Q121*1000)))))^0.5)),"---")</f>
        <v>1917.9418651978867</v>
      </c>
      <c r="AK121" s="376" t="str">
        <f>IF(Start!$C$18="x",IF(OR(AH121 = "NA",AI121="NA",AI121=0,AI121="",AH121=""), "NA", AH121/AI121),"---")</f>
        <v>NA</v>
      </c>
      <c r="AL121" s="376" t="str">
        <f>IF(Start!$C$18="x",IF(OR(AK121 ="NA",AK121="",AJ121= "NA",R121="NA",R121=0),"NA",(2*AK121)/(1000*(1/$R121+AJ121))),"---")</f>
        <v>NA</v>
      </c>
      <c r="AM121" s="376" t="str">
        <f>IF(Start!$C$18="x",IF(AL121 = "NA", "NA", AL121*(Data!$D$52*Data!$D$53*10000)),"---")</f>
        <v>NA</v>
      </c>
      <c r="AN121" s="376" t="str">
        <f>IF(Start!$C$18="x",IF(AM121 = "NA", "NA", AM121*(Data!$D$54)),"---")</f>
        <v>NA</v>
      </c>
      <c r="AO121" s="498" t="str">
        <f>IF(Start!$C$18="x",IF(AN121="NA","NA",AN121*Data!$D$41),"---")</f>
        <v>NA</v>
      </c>
      <c r="AP121" s="376">
        <f>IF(Start!$C$18="x",IF(OR(Q121=0,N121="NA",N121="",AG121="NA",AG121="",AG121=0,Q121="",Q121="NA"),"NA", (3.1416*Data!$D$56*86400/($AG121*(Data!$D$55+(N121*Data!$D$19/(Q121*1000)))))^0.5),"---")</f>
        <v>1917.9418651978867</v>
      </c>
      <c r="AQ121" s="376" t="str">
        <f>IF(Start!$C$18="x",IF(OR(AH121="NA",AI121="NA",AI121="",AI121=0,AH121=""),"NA", AH121/AI121),"---")</f>
        <v>NA</v>
      </c>
      <c r="AR121" s="376" t="str">
        <f>IF(Start!$C$18="x",IF(OR(AQ121="NA",AP121="NA",$R121="NA",R121=0,R121=""),"NA",(2*AQ121)/(1000*(1/$R121+AP121))),"---")</f>
        <v>NA</v>
      </c>
      <c r="AS121" s="376" t="str">
        <f>IF(Start!$C$18="x",IF(AR121 = "NA", "NA", AR121*(Data!$D$52*Data!$D$53*10000)),"---")</f>
        <v>NA</v>
      </c>
      <c r="AT121" s="376" t="str">
        <f>IF(Start!$C$18="x",IF(AS121 = "NA", "NA", (AS121*1000)/(Data!$D$48*3*Data!$D$53)),"---")</f>
        <v>NA</v>
      </c>
      <c r="AU121" s="498" t="str">
        <f>IF(Start!$C$18="x",IF(AT121="NA","NA",AT121*Data!$D$47),"---")</f>
        <v>NA</v>
      </c>
      <c r="AV121" s="283" t="str">
        <f>IF(Start!$C$18="x",(IF(AND(F121="",G121= "",G121&lt;&gt;"NA"),"",IF(OR(AD121="NA",I121="NA",I121=0),"NA",(AD121/I121)))),"Not Req.")</f>
        <v/>
      </c>
      <c r="AW121" s="284" t="str">
        <f>IF(Start!$C$18="x",(IF(AND(F121="",G121= "",G121&lt;&gt;"NA"),"",IF(OR(AF121="NA",I121="NA",I121=0),"NA",(AF121/I121)))),"Not Req.")</f>
        <v/>
      </c>
      <c r="AX121" s="284" t="str">
        <f>IF(Start!$C$18="x",(IF(F121 ="","",IF(OR(AO121="NA",I121="NA",I121=0),"NA",(AO121/I121)))),"Not Req.")</f>
        <v/>
      </c>
      <c r="AY121" s="344" t="str">
        <f>IF(Start!$C$18="x",(IF(F121 ="","",IF(OR(AU121="NA",I121="NA",I121=0),"NA",(AU121/I121)))),"Not Req.")</f>
        <v/>
      </c>
      <c r="AZ121" s="208"/>
    </row>
    <row r="122" spans="1:52" s="183" customFormat="1" x14ac:dyDescent="0.25">
      <c r="A122" s="405" t="s">
        <v>440</v>
      </c>
      <c r="B122" s="347" t="str">
        <f>IF(Start!$C$18="x",IF(AND(OR(F122="",F122="NA"),OR(G122="",G122="NA")),"",IF(I122="NA","NA",IF(AND(I122="",K122="--"),"NA",IF(AD122="NA","Missing Data",IF(I122="","No Criteria",IF(AD122&gt;=I122,"Needed","No")))))),"---")</f>
        <v/>
      </c>
      <c r="C122" s="501" t="str">
        <f>IF(Start!$C$18="x",IF(AND(OR(F122="",F122="NA"),OR(G122="",G122="NA")),"",IF(I122="NA","NA",IF(AND(I122="",K122="--"),"NA",IF(AF122="NA","Missing Data",IF(I122="","No Criteria",IF(AF122&gt;=I122,"Needed","No")))))),"---")</f>
        <v/>
      </c>
      <c r="D122" s="347" t="str">
        <f>IF(Start!$C$18="x",IF(AND(OR(F122="",F122="NA"),OR(G122="",G122="NA")),"",IF(I122="NA","NA",IF(AND(I122="",K122="--"),"NA",IF(AO122="NA","Missing Data",IF(I122="","No Criteria",IF(AO122&gt;=I122,"Needed","No")))))),"---")</f>
        <v/>
      </c>
      <c r="E122" s="401" t="str">
        <f>IF(Start!$C$18="x",IF(AND(OR(F122="",F122="NA"),OR(G122="",G122="NA")),"",IF(I122="NA","NA",IF(AND(I122="",K122="--"),"NA",IF(AU122="NA","Missing Data",IF(I122="","No Criteria",IF(AU122&gt;=I122,"Needed","No")))))),"---")</f>
        <v/>
      </c>
      <c r="F122" s="431" t="str">
        <f>IF(TRUE=ISBLANK(ChemData!B122),"",(ChemData!B122))</f>
        <v/>
      </c>
      <c r="G122" s="432" t="str">
        <f>IF(TRUE=ISBLANK(ChemData!C122),"",(ChemData!C122))</f>
        <v/>
      </c>
      <c r="H122" s="433" t="str">
        <f>IF(TRUE=ISBLANK(ChemData!D122),"",(ChemData!D122))</f>
        <v/>
      </c>
      <c r="I122" s="919" t="str">
        <f>IF(TRUE=ISBLANK(ChemData!K122),"",(ChemData!K122))</f>
        <v>NA</v>
      </c>
      <c r="J122" s="290">
        <f>IF(TRUE=ISBLANK(ChemData!M122),"",(ChemData!M122))</f>
        <v>98.19</v>
      </c>
      <c r="K122" s="290">
        <f>IF(TRUE=ISBLANK(ChemData!N122),"",(ChemData!N122))</f>
        <v>0.42699999999999999</v>
      </c>
      <c r="L122" s="290">
        <f>IF(TRUE=ISBLANK(ChemData!O122),"",(ChemData!O122))</f>
        <v>9.8599999999999993E-2</v>
      </c>
      <c r="M122" s="290">
        <f>IF(TRUE=ISBLANK(ChemData!Q122),"",(ChemData!Q122))</f>
        <v>140.41270913790194</v>
      </c>
      <c r="N122" s="290">
        <f>IF(TRUE=ISBLANK(ChemData!R122),"",(ChemData!R122))</f>
        <v>140.41270913790194</v>
      </c>
      <c r="O122" s="290">
        <f>IF(TRUE=ISBLANK(ChemData!S122),"",(ChemData!S122))</f>
        <v>1</v>
      </c>
      <c r="P122" s="291">
        <f>IF(TRUE=ISBLANK(ChemData!T122),"",(ChemData!T122))</f>
        <v>1</v>
      </c>
      <c r="Q122" s="375">
        <f>IF(Start!$C$18="x",IF(OR(K122="NA",K122="",K122="--"),"NA",(K122*1000000/82.1/Data!$D$50)),"---")</f>
        <v>16.777336843346038</v>
      </c>
      <c r="R122" s="376">
        <f>IF(Start!$C$18="x",IF(OR(J122="NA",J122=0,J122=""),"NA",(0.32*(Data!$D$48+Data!$D$49)*(18/J122)^0.5)),"---")</f>
        <v>0.35280102175766714</v>
      </c>
      <c r="S122" s="376">
        <f>IF(Start!$C$18="x",IF(OR(J122="NA",J122= 0,J122=""),"NA",(0.0065*((Data!$D$49^0.969)/(Data!$D$51^0.673))*(32/J122)^0.5*EXP(0.526*Data!$D$48^-1.9))),"---")</f>
        <v>7.4360789794591204E-4</v>
      </c>
      <c r="T122" s="377">
        <f>IF(Start!$C$18="x",IF(OR(S122="NA",R122="NA",R122=0,Q122="NA",S122=0,Q122=0),"NA",(1/(1/S122+(1/(R122*Q122))))),"---")</f>
        <v>7.4351449069883716E-4</v>
      </c>
      <c r="U122" s="375" t="str">
        <f>IF(Start!$C$18="x",IF(OR(F122="NA",F122="",O122="",O122="NA"),"NA",(F122*$O122)),"---")</f>
        <v>NA</v>
      </c>
      <c r="V122" s="376" t="str">
        <f>IF(Start!$C$18="x",IF(OR(U122="NA",M122="NA",M122="",U122=""),"NA",U122/((Data!$D$18+((1-Data!$D$18)*Data!$D$14*M122))/((1-Data!$D$18)*Data!$D$14*1000))),"---")</f>
        <v>NA</v>
      </c>
      <c r="W122" s="376" t="str">
        <f>IF(Start!$C$18="x",IF(OR(G122="NA",U122="NA",G122="",U122=""),"NA",(U122 +($G122*(Data!$D$19-Data!$D$22)/(Data!$D$19*Data!$D$22)))),"---")</f>
        <v>NA</v>
      </c>
      <c r="X122" s="376" t="str">
        <f>IF(Start!$C$18="x",IF(OR(G122="NA",V122="NA",G122="",V122=""),"NA",(((Data!$D$22*Data!$D$18)*V122)+(Data!$D$19-Data!$D$22)*$G122)/((Data!$D$22*Data!$D$18)+Data!$D$19-Data!$D$22)),"---")</f>
        <v>NA</v>
      </c>
      <c r="Y122" s="376" t="str">
        <f>IF(Start!$C$18="x",IF(OR(W122="NA",W122="",M122="NA",M122=""),"NA",(W122/((Data!$D$23+((1-Data!$D$23)*Data!$D$14*M122)) /((1-Data!$D$23)*Data!$D$14*1000)))),"---")</f>
        <v>NA</v>
      </c>
      <c r="Z122" s="376" t="str">
        <f>IF(Start!$C$18="x",IF(OR(Y122="NA",X122="NA"),"NA",IF(Y122&gt;X122, Y122, X122)),"---")</f>
        <v>NA</v>
      </c>
      <c r="AA122" s="461" t="str">
        <f>IF(Start!$C$18="x",IF(OR(Z122="NA",T122="NA"),"NA",Z122*T122/(1000000000)),"---")</f>
        <v>NA</v>
      </c>
      <c r="AB122" s="1057" t="str">
        <f>IF(Start!$C$18="x",IF(AA122 = "NA", "NA", AA122*(Data!$D$52*Data!$D$53*10000)),"---")</f>
        <v>NA</v>
      </c>
      <c r="AC122" s="375" t="str">
        <f>IF(Start!$C$18="x",IF(AB122="NA", "NA", AB122*Data!$D$54),"---")</f>
        <v>NA</v>
      </c>
      <c r="AD122" s="498" t="str">
        <f>IF(Start!$C$18="x",IF(AC122="NA","NA",AC122*Data!$D$41),"---")</f>
        <v>NA</v>
      </c>
      <c r="AE122" s="376" t="str">
        <f>IF(Start!$C$18="x",IF(AB122 = "NA", "NA", AB122/(Data!$D$53*3*Data!$D$48)*1000),"---")</f>
        <v>NA</v>
      </c>
      <c r="AF122" s="498" t="str">
        <f>IF(Start!$C$18="x",IF(AE122="NA","NA",AE122*Data!$D$46),"---")</f>
        <v>NA</v>
      </c>
      <c r="AG122" s="375">
        <f>IF(Start!$C$18="x",IF(OR($L122="NA",L122=""),"NA",($L122*(Data!$D$55^3.33)/(Data!$D$18^2))),"---")</f>
        <v>1.0044868754947873E-3</v>
      </c>
      <c r="AH122" s="376" t="str">
        <f>IF(Start!$C$18="x",IF(OR(F122="NA",F122="",P122="NA",P122=""),"NA",IF(100/Data!$D$10&gt;Data!$D$13,(F122*$P122),(F122*$P122)*Data!$D$13)),"---")</f>
        <v>NA</v>
      </c>
      <c r="AI122" s="489">
        <f>IF(Start!$C$18="x",IF(OR($N122="NA",$Q122="NA",$Q122=0,Q122="",N122=""),"NA",(1000*$N122/$Q122)),"---")</f>
        <v>8369.1893683108719</v>
      </c>
      <c r="AJ122" s="376">
        <f>IF(Start!$C$18="x",IF(OR(Q122 = "NA",Q122=0,N122 = "NA",N122="",Q122=""), "NA", IF($AG122="NA","NA",(3.1416*Data!$D$57*86400/($AG122*(Data!$D$55+(N122*Data!$D$19/(Q122*1000)))))^0.5)),"---")</f>
        <v>33304.911599688006</v>
      </c>
      <c r="AK122" s="376" t="str">
        <f>IF(Start!$C$18="x",IF(OR(AH122 = "NA",AI122="NA",AI122=0,AI122="",AH122=""), "NA", AH122/AI122),"---")</f>
        <v>NA</v>
      </c>
      <c r="AL122" s="376" t="str">
        <f>IF(Start!$C$18="x",IF(OR(AK122 ="NA",AK122="",AJ122= "NA",R122="NA",R122=0),"NA",(2*AK122)/(1000*(1/$R122+AJ122))),"---")</f>
        <v>NA</v>
      </c>
      <c r="AM122" s="376" t="str">
        <f>IF(Start!$C$18="x",IF(AL122 = "NA", "NA", AL122*(Data!$D$52*Data!$D$53*10000)),"---")</f>
        <v>NA</v>
      </c>
      <c r="AN122" s="376" t="str">
        <f>IF(Start!$C$18="x",IF(AM122 = "NA", "NA", AM122*(Data!$D$54)),"---")</f>
        <v>NA</v>
      </c>
      <c r="AO122" s="498" t="str">
        <f>IF(Start!$C$18="x",IF(AN122="NA","NA",AN122*Data!$D$41),"---")</f>
        <v>NA</v>
      </c>
      <c r="AP122" s="376">
        <f>IF(Start!$C$18="x",IF(OR(Q122=0,N122="NA",N122="",AG122="NA",AG122="",AG122=0,Q122="",Q122="NA"),"NA", (3.1416*Data!$D$56*86400/($AG122*(Data!$D$55+(N122*Data!$D$19/(Q122*1000)))))^0.5),"---")</f>
        <v>33304.911599688006</v>
      </c>
      <c r="AQ122" s="376" t="str">
        <f>IF(Start!$C$18="x",IF(OR(AH122="NA",AI122="NA",AI122="",AI122=0,AH122=""),"NA", AH122/AI122),"---")</f>
        <v>NA</v>
      </c>
      <c r="AR122" s="376" t="str">
        <f>IF(Start!$C$18="x",IF(OR(AQ122="NA",AP122="NA",$R122="NA",R122=0,R122=""),"NA",(2*AQ122)/(1000*(1/$R122+AP122))),"---")</f>
        <v>NA</v>
      </c>
      <c r="AS122" s="376" t="str">
        <f>IF(Start!$C$18="x",IF(AR122 = "NA", "NA", AR122*(Data!$D$52*Data!$D$53*10000)),"---")</f>
        <v>NA</v>
      </c>
      <c r="AT122" s="376" t="str">
        <f>IF(Start!$C$18="x",IF(AS122 = "NA", "NA", (AS122*1000)/(Data!$D$48*3*Data!$D$53)),"---")</f>
        <v>NA</v>
      </c>
      <c r="AU122" s="498" t="str">
        <f>IF(Start!$C$18="x",IF(AT122="NA","NA",AT122*Data!$D$47),"---")</f>
        <v>NA</v>
      </c>
      <c r="AV122" s="283" t="str">
        <f>IF(Start!$C$18="x",(IF(AND(F122="",G122= "",G122&lt;&gt;"NA"),"",IF(OR(AD122="NA",I122="NA",I122=0),"NA",(AD122/I122)))),"Not Req.")</f>
        <v/>
      </c>
      <c r="AW122" s="284" t="str">
        <f>IF(Start!$C$18="x",(IF(AND(F122="",G122= "",G122&lt;&gt;"NA"),"",IF(OR(AF122="NA",I122="NA",I122=0),"NA",(AF122/I122)))),"Not Req.")</f>
        <v/>
      </c>
      <c r="AX122" s="284" t="str">
        <f>IF(Start!$C$18="x",(IF(F122 ="","",IF(OR(AO122="NA",I122="NA",I122=0),"NA",(AO122/I122)))),"Not Req.")</f>
        <v/>
      </c>
      <c r="AY122" s="344" t="str">
        <f>IF(Start!$C$18="x",(IF(F122 ="","",IF(OR(AU122="NA",I122="NA",I122=0),"NA",(AU122/I122)))),"Not Req.")</f>
        <v/>
      </c>
      <c r="AZ122" s="208"/>
    </row>
    <row r="123" spans="1:52" s="183" customFormat="1" x14ac:dyDescent="0.25">
      <c r="A123" s="405" t="s">
        <v>441</v>
      </c>
      <c r="B123" s="347" t="str">
        <f>IF(Start!$C$18="x",IF(AND(OR(F123="",F123="NA"),OR(G123="",G123="NA")),"",IF(I123="NA","NA",IF(AND(I123="",K123="--"),"NA",IF(AD123="NA","Missing Data",IF(I123="","No Criteria",IF(AD123&gt;=I123,"Needed","No")))))),"---")</f>
        <v/>
      </c>
      <c r="C123" s="501" t="str">
        <f>IF(Start!$C$18="x",IF(AND(OR(F123="",F123="NA"),OR(G123="",G123="NA")),"",IF(I123="NA","NA",IF(AND(I123="",K123="--"),"NA",IF(AF123="NA","Missing Data",IF(I123="","No Criteria",IF(AF123&gt;=I123,"Needed","No")))))),"---")</f>
        <v/>
      </c>
      <c r="D123" s="347" t="str">
        <f>IF(Start!$C$18="x",IF(AND(OR(F123="",F123="NA"),OR(G123="",G123="NA")),"",IF(I123="NA","NA",IF(AND(I123="",K123="--"),"NA",IF(AO123="NA","Missing Data",IF(I123="","No Criteria",IF(AO123&gt;=I123,"Needed","No")))))),"---")</f>
        <v/>
      </c>
      <c r="E123" s="401" t="str">
        <f>IF(Start!$C$18="x",IF(AND(OR(F123="",F123="NA"),OR(G123="",G123="NA")),"",IF(I123="NA","NA",IF(AND(I123="",K123="--"),"NA",IF(AU123="NA","Missing Data",IF(I123="","No Criteria",IF(AU123&gt;=I123,"Needed","No")))))),"---")</f>
        <v/>
      </c>
      <c r="F123" s="431" t="str">
        <f>IF(TRUE=ISBLANK(ChemData!B123),"",(ChemData!B123))</f>
        <v/>
      </c>
      <c r="G123" s="432" t="str">
        <f>IF(TRUE=ISBLANK(ChemData!C123),"",(ChemData!C123))</f>
        <v/>
      </c>
      <c r="H123" s="433" t="str">
        <f>IF(TRUE=ISBLANK(ChemData!D123),"",(ChemData!D123))</f>
        <v/>
      </c>
      <c r="I123" s="919" t="str">
        <f>IF(TRUE=ISBLANK(ChemData!K123),"",(ChemData!K123))</f>
        <v>NA</v>
      </c>
      <c r="J123" s="290">
        <f>IF(TRUE=ISBLANK(ChemData!M123),"",(ChemData!M123))</f>
        <v>198.13</v>
      </c>
      <c r="K123" s="290">
        <f>IF(TRUE=ISBLANK(ChemData!N123),"",(ChemData!N123))</f>
        <v>4.27E-7</v>
      </c>
      <c r="L123" s="290">
        <f>IF(TRUE=ISBLANK(ChemData!O123),"",(ChemData!O123))</f>
        <v>2.93E-2</v>
      </c>
      <c r="M123" s="290">
        <f>IF(TRUE=ISBLANK(ChemData!Q123),"",(ChemData!Q123))</f>
        <v>2.4400932230679122</v>
      </c>
      <c r="N123" s="290">
        <f>IF(TRUE=ISBLANK(ChemData!R123),"",(ChemData!R123))</f>
        <v>2.4400932230679122</v>
      </c>
      <c r="O123" s="290">
        <f>IF(TRUE=ISBLANK(ChemData!S123),"",(ChemData!S123))</f>
        <v>1</v>
      </c>
      <c r="P123" s="291">
        <f>IF(TRUE=ISBLANK(ChemData!T123),"",(ChemData!T123))</f>
        <v>1</v>
      </c>
      <c r="Q123" s="375">
        <f>IF(Start!$C$18="x",IF(OR(K123="NA",K123="",K123="--"),"NA",(K123*1000000/82.1/Data!$D$50)),"---")</f>
        <v>1.6777336843346038E-5</v>
      </c>
      <c r="R123" s="376">
        <f>IF(Start!$C$18="x",IF(OR(J123="NA",J123=0,J123=""),"NA",(0.32*(Data!$D$48+Data!$D$49)*(18/J123)^0.5)),"---")</f>
        <v>0.24836382773091203</v>
      </c>
      <c r="S123" s="376">
        <f>IF(Start!$C$18="x",IF(OR(J123="NA",J123= 0,J123=""),"NA",(0.0065*((Data!$D$49^0.969)/(Data!$D$51^0.673))*(32/J123)^0.5*EXP(0.526*Data!$D$48^-1.9))),"---")</f>
        <v>5.2348290530644008E-4</v>
      </c>
      <c r="T123" s="377">
        <f>IF(Start!$C$18="x",IF(OR(S123="NA",R123="NA",R123=0,Q123="NA",S123=0,Q123=0),"NA",(1/(1/S123+(1/(R123*Q123))))),"---")</f>
        <v>4.1339774554769259E-6</v>
      </c>
      <c r="U123" s="375" t="str">
        <f>IF(Start!$C$18="x",IF(OR(F123="NA",F123="",O123="",O123="NA"),"NA",(F123*$O123)),"---")</f>
        <v>NA</v>
      </c>
      <c r="V123" s="376" t="str">
        <f>IF(Start!$C$18="x",IF(OR(U123="NA",M123="NA",M123="",U123=""),"NA",U123/((Data!$D$18+((1-Data!$D$18)*Data!$D$14*M123))/((1-Data!$D$18)*Data!$D$14*1000))),"---")</f>
        <v>NA</v>
      </c>
      <c r="W123" s="376" t="str">
        <f>IF(Start!$C$18="x",IF(OR(G123="NA",U123="NA",G123="",U123=""),"NA",(U123 +($G123*(Data!$D$19-Data!$D$22)/(Data!$D$19*Data!$D$22)))),"---")</f>
        <v>NA</v>
      </c>
      <c r="X123" s="376" t="str">
        <f>IF(Start!$C$18="x",IF(OR(G123="NA",V123="NA",G123="",V123=""),"NA",(((Data!$D$22*Data!$D$18)*V123)+(Data!$D$19-Data!$D$22)*$G123)/((Data!$D$22*Data!$D$18)+Data!$D$19-Data!$D$22)),"---")</f>
        <v>NA</v>
      </c>
      <c r="Y123" s="376" t="str">
        <f>IF(Start!$C$18="x",IF(OR(W123="NA",W123="",M123="NA",M123=""),"NA",(W123/((Data!$D$23+((1-Data!$D$23)*Data!$D$14*M123)) /((1-Data!$D$23)*Data!$D$14*1000)))),"---")</f>
        <v>NA</v>
      </c>
      <c r="Z123" s="376" t="str">
        <f>IF(Start!$C$18="x",IF(OR(Y123="NA",X123="NA"),"NA",IF(Y123&gt;X123, Y123, X123)),"---")</f>
        <v>NA</v>
      </c>
      <c r="AA123" s="461" t="str">
        <f>IF(Start!$C$18="x",IF(OR(Z123="NA",T123="NA"),"NA",Z123*T123/(1000000000)),"---")</f>
        <v>NA</v>
      </c>
      <c r="AB123" s="1057" t="str">
        <f>IF(Start!$C$18="x",IF(AA123 = "NA", "NA", AA123*(Data!$D$52*Data!$D$53*10000)),"---")</f>
        <v>NA</v>
      </c>
      <c r="AC123" s="375" t="str">
        <f>IF(Start!$C$18="x",IF(AB123="NA", "NA", AB123*Data!$D$54),"---")</f>
        <v>NA</v>
      </c>
      <c r="AD123" s="498" t="str">
        <f>IF(Start!$C$18="x",IF(AC123="NA","NA",AC123*Data!$D$41),"---")</f>
        <v>NA</v>
      </c>
      <c r="AE123" s="376" t="str">
        <f>IF(Start!$C$18="x",IF(AB123 = "NA", "NA", AB123/(Data!$D$53*3*Data!$D$48)*1000),"---")</f>
        <v>NA</v>
      </c>
      <c r="AF123" s="498" t="str">
        <f>IF(Start!$C$18="x",IF(AE123="NA","NA",AE123*Data!$D$46),"---")</f>
        <v>NA</v>
      </c>
      <c r="AG123" s="375">
        <f>IF(Start!$C$18="x",IF(OR($L123="NA",L123=""),"NA",($L123*(Data!$D$55^3.33)/(Data!$D$18^2))),"---")</f>
        <v>2.9849356442187907E-4</v>
      </c>
      <c r="AH123" s="376" t="str">
        <f>IF(Start!$C$18="x",IF(OR(F123="NA",F123="",P123="NA",P123=""),"NA",IF(100/Data!$D$10&gt;Data!$D$13,(F123*$P123),(F123*$P123)*Data!$D$13)),"---")</f>
        <v>NA</v>
      </c>
      <c r="AI123" s="489">
        <f>IF(Start!$C$18="x",IF(OR($N123="NA",$Q123="NA",$Q123=0,Q123="",N123=""),"NA",(1000*$N123/$Q123)),"---")</f>
        <v>145439842.2021111</v>
      </c>
      <c r="AJ123" s="376">
        <f>IF(Start!$C$18="x",IF(OR(Q123 = "NA",Q123=0,N123 = "NA",N123="",Q123=""), "NA", IF($AG123="NA","NA",(3.1416*Data!$D$57*86400/($AG123*(Data!$D$55+(N123*Data!$D$19/(Q123*1000)))))^0.5)),"---")</f>
        <v>469.93497406933642</v>
      </c>
      <c r="AK123" s="376" t="str">
        <f>IF(Start!$C$18="x",IF(OR(AH123 = "NA",AI123="NA",AI123=0,AI123="",AH123=""), "NA", AH123/AI123),"---")</f>
        <v>NA</v>
      </c>
      <c r="AL123" s="376" t="str">
        <f>IF(Start!$C$18="x",IF(OR(AK123 ="NA",AK123="",AJ123= "NA",R123="NA",R123=0),"NA",(2*AK123)/(1000*(1/$R123+AJ123))),"---")</f>
        <v>NA</v>
      </c>
      <c r="AM123" s="376" t="str">
        <f>IF(Start!$C$18="x",IF(AL123 = "NA", "NA", AL123*(Data!$D$52*Data!$D$53*10000)),"---")</f>
        <v>NA</v>
      </c>
      <c r="AN123" s="376" t="str">
        <f>IF(Start!$C$18="x",IF(AM123 = "NA", "NA", AM123*(Data!$D$54)),"---")</f>
        <v>NA</v>
      </c>
      <c r="AO123" s="498" t="str">
        <f>IF(Start!$C$18="x",IF(AN123="NA","NA",AN123*Data!$D$41),"---")</f>
        <v>NA</v>
      </c>
      <c r="AP123" s="376">
        <f>IF(Start!$C$18="x",IF(OR(Q123=0,N123="NA",N123="",AG123="NA",AG123="",AG123=0,Q123="",Q123="NA"),"NA", (3.1416*Data!$D$56*86400/($AG123*(Data!$D$55+(N123*Data!$D$19/(Q123*1000)))))^0.5),"---")</f>
        <v>469.93497406933642</v>
      </c>
      <c r="AQ123" s="376" t="str">
        <f>IF(Start!$C$18="x",IF(OR(AH123="NA",AI123="NA",AI123="",AI123=0,AH123=""),"NA", AH123/AI123),"---")</f>
        <v>NA</v>
      </c>
      <c r="AR123" s="376" t="str">
        <f>IF(Start!$C$18="x",IF(OR(AQ123="NA",AP123="NA",$R123="NA",R123=0,R123=""),"NA",(2*AQ123)/(1000*(1/$R123+AP123))),"---")</f>
        <v>NA</v>
      </c>
      <c r="AS123" s="376" t="str">
        <f>IF(Start!$C$18="x",IF(AR123 = "NA", "NA", AR123*(Data!$D$52*Data!$D$53*10000)),"---")</f>
        <v>NA</v>
      </c>
      <c r="AT123" s="376" t="str">
        <f>IF(Start!$C$18="x",IF(AS123 = "NA", "NA", (AS123*1000)/(Data!$D$48*3*Data!$D$53)),"---")</f>
        <v>NA</v>
      </c>
      <c r="AU123" s="498" t="str">
        <f>IF(Start!$C$18="x",IF(AT123="NA","NA",AT123*Data!$D$47),"---")</f>
        <v>NA</v>
      </c>
      <c r="AV123" s="283" t="str">
        <f>IF(Start!$C$18="x",(IF(AND(F123="",G123= "",G123&lt;&gt;"NA"),"",IF(OR(AD123="NA",I123="NA",I123=0),"NA",(AD123/I123)))),"Not Req.")</f>
        <v/>
      </c>
      <c r="AW123" s="284" t="str">
        <f>IF(Start!$C$18="x",(IF(AND(F123="",G123= "",G123&lt;&gt;"NA"),"",IF(OR(AF123="NA",I123="NA",I123=0),"NA",(AF123/I123)))),"Not Req.")</f>
        <v/>
      </c>
      <c r="AX123" s="284" t="str">
        <f>IF(Start!$C$18="x",(IF(F123 ="","",IF(OR(AO123="NA",I123="NA",I123=0),"NA",(AO123/I123)))),"Not Req.")</f>
        <v/>
      </c>
      <c r="AY123" s="344" t="str">
        <f>IF(Start!$C$18="x",(IF(F123 ="","",IF(OR(AU123="NA",I123="NA",I123=0),"NA",(AU123/I123)))),"Not Req.")</f>
        <v/>
      </c>
      <c r="AZ123" s="208"/>
    </row>
    <row r="124" spans="1:52" s="183" customFormat="1" x14ac:dyDescent="0.25">
      <c r="A124" s="405" t="s">
        <v>667</v>
      </c>
      <c r="B124" s="347" t="str">
        <f>IF(Start!$C$18="x",IF(AND(OR(F124="",F124="NA"),OR(G124="",G124="NA")),"",IF(I124="NA","NA",IF(AND(I124="",K124="--"),"NA",IF(AD124="NA","Missing Data",IF(I124="","No Criteria",IF(AD124&gt;=I124,"Needed","No")))))),"---")</f>
        <v/>
      </c>
      <c r="C124" s="501" t="str">
        <f>IF(Start!$C$18="x",IF(AND(OR(F124="",F124="NA"),OR(G124="",G124="NA")),"",IF(I124="NA","NA",IF(AND(I124="",K124="--"),"NA",IF(AF124="NA","Missing Data",IF(I124="","No Criteria",IF(AF124&gt;=I124,"Needed","No")))))),"---")</f>
        <v/>
      </c>
      <c r="D124" s="347" t="str">
        <f>IF(Start!$C$18="x",IF(AND(OR(F124="",F124="NA"),OR(G124="",G124="NA")),"",IF(I124="NA","NA",IF(AND(I124="",K124="--"),"NA",IF(AO124="NA","Missing Data",IF(I124="","No Criteria",IF(AO124&gt;=I124,"Needed","No")))))),"---")</f>
        <v/>
      </c>
      <c r="E124" s="401" t="str">
        <f>IF(Start!$C$18="x",IF(AND(OR(F124="",F124="NA"),OR(G124="",G124="NA")),"",IF(I124="NA","NA",IF(AND(I124="",K124="--"),"NA",IF(AU124="NA","Missing Data",IF(I124="","No Criteria",IF(AU124&gt;=I124,"Needed","No")))))),"---")</f>
        <v/>
      </c>
      <c r="F124" s="431" t="str">
        <f>IF(TRUE=ISBLANK(ChemData!B124),"",(ChemData!B124))</f>
        <v/>
      </c>
      <c r="G124" s="432" t="str">
        <f>IF(TRUE=ISBLANK(ChemData!C124),"",(ChemData!C124))</f>
        <v/>
      </c>
      <c r="H124" s="433" t="str">
        <f>IF(TRUE=ISBLANK(ChemData!D124),"",(ChemData!D124))</f>
        <v/>
      </c>
      <c r="I124" s="919">
        <f>IF(TRUE=ISBLANK(ChemData!K124),"",(ChemData!K124))</f>
        <v>0.1</v>
      </c>
      <c r="J124" s="290">
        <f>IF(TRUE=ISBLANK(ChemData!M124),"",(ChemData!M124))</f>
        <v>108.2</v>
      </c>
      <c r="K124" s="290">
        <f>IF(TRUE=ISBLANK(ChemData!N124),"",(ChemData!N124))</f>
        <v>1.1999999999999999E-6</v>
      </c>
      <c r="L124" s="290">
        <f>IF(TRUE=ISBLANK(ChemData!O124),"",(ChemData!O124))</f>
        <v>7.3999999999999996E-2</v>
      </c>
      <c r="M124" s="290">
        <f>IF(TRUE=ISBLANK(ChemData!Q124),"",(ChemData!Q124))</f>
        <v>1.7676912767256789</v>
      </c>
      <c r="N124" s="290">
        <f>IF(TRUE=ISBLANK(ChemData!R124),"",(ChemData!R124))</f>
        <v>1.7676912767256789</v>
      </c>
      <c r="O124" s="290">
        <f>IF(TRUE=ISBLANK(ChemData!S124),"",(ChemData!S124))</f>
        <v>1</v>
      </c>
      <c r="P124" s="291">
        <f>IF(TRUE=ISBLANK(ChemData!T124),"",(ChemData!T124))</f>
        <v>1</v>
      </c>
      <c r="Q124" s="375">
        <f>IF(Start!$C$18="x",IF(OR(K124="NA",K124="",K124="--"),"NA",(K124*1000000/82.1/Data!$D$50)),"---")</f>
        <v>4.714942438411065E-5</v>
      </c>
      <c r="R124" s="376">
        <f>IF(Start!$C$18="x",IF(OR(J124="NA",J124=0,J124=""),"NA",(0.32*(Data!$D$48+Data!$D$49)*(18/J124)^0.5)),"---")</f>
        <v>0.33608554495916526</v>
      </c>
      <c r="S124" s="376">
        <f>IF(Start!$C$18="x",IF(OR(J124="NA",J124= 0,J124=""),"NA",(0.0065*((Data!$D$49^0.969)/(Data!$D$51^0.673))*(32/J124)^0.5*EXP(0.526*Data!$D$48^-1.9))),"---")</f>
        <v>7.0837625234757408E-4</v>
      </c>
      <c r="T124" s="377">
        <f>IF(Start!$C$18="x",IF(OR(S124="NA",R124="NA",R124=0,Q124="NA",S124=0,Q124=0),"NA",(1/(1/S124+(1/(R124*Q124))))),"---")</f>
        <v>1.5499518746989183E-5</v>
      </c>
      <c r="U124" s="375" t="str">
        <f>IF(Start!$C$18="x",IF(OR(F124="NA",F124="",O124="",O124="NA"),"NA",(F124*$O124)),"---")</f>
        <v>NA</v>
      </c>
      <c r="V124" s="376" t="str">
        <f>IF(Start!$C$18="x",IF(OR(U124="NA",M124="NA",M124="",U124=""),"NA",U124/((Data!$D$18+((1-Data!$D$18)*Data!$D$14*M124))/((1-Data!$D$18)*Data!$D$14*1000))),"---")</f>
        <v>NA</v>
      </c>
      <c r="W124" s="376" t="str">
        <f>IF(Start!$C$18="x",IF(OR(G124="NA",U124="NA",G124="",U124=""),"NA",(U124 +($G124*(Data!$D$19-Data!$D$22)/(Data!$D$19*Data!$D$22)))),"---")</f>
        <v>NA</v>
      </c>
      <c r="X124" s="376" t="str">
        <f>IF(Start!$C$18="x",IF(OR(G124="NA",V124="NA",G124="",V124=""),"NA",(((Data!$D$22*Data!$D$18)*V124)+(Data!$D$19-Data!$D$22)*$G124)/((Data!$D$22*Data!$D$18)+Data!$D$19-Data!$D$22)),"---")</f>
        <v>NA</v>
      </c>
      <c r="Y124" s="376" t="str">
        <f>IF(Start!$C$18="x",IF(OR(W124="NA",W124="",M124="NA",M124=""),"NA",(W124/((Data!$D$23+((1-Data!$D$23)*Data!$D$14*M124)) /((1-Data!$D$23)*Data!$D$14*1000)))),"---")</f>
        <v>NA</v>
      </c>
      <c r="Z124" s="376" t="str">
        <f>IF(Start!$C$18="x",IF(OR(Y124="NA",X124="NA"),"NA",IF(Y124&gt;X124, Y124, X124)),"---")</f>
        <v>NA</v>
      </c>
      <c r="AA124" s="461" t="str">
        <f>IF(Start!$C$18="x",IF(OR(Z124="NA",T124="NA"),"NA",Z124*T124/(1000000000)),"---")</f>
        <v>NA</v>
      </c>
      <c r="AB124" s="1057" t="str">
        <f>IF(Start!$C$18="x",IF(AA124 = "NA", "NA", AA124*(Data!$D$52*Data!$D$53*10000)),"---")</f>
        <v>NA</v>
      </c>
      <c r="AC124" s="375" t="str">
        <f>IF(Start!$C$18="x",IF(AB124="NA", "NA", AB124*Data!$D$54),"---")</f>
        <v>NA</v>
      </c>
      <c r="AD124" s="498" t="str">
        <f>IF(Start!$C$18="x",IF(AC124="NA","NA",AC124*Data!$D$41),"---")</f>
        <v>NA</v>
      </c>
      <c r="AE124" s="376" t="str">
        <f>IF(Start!$C$18="x",IF(AB124 = "NA", "NA", AB124/(Data!$D$53*3*Data!$D$48)*1000),"---")</f>
        <v>NA</v>
      </c>
      <c r="AF124" s="498" t="str">
        <f>IF(Start!$C$18="x",IF(AE124="NA","NA",AE124*Data!$D$46),"---")</f>
        <v>NA</v>
      </c>
      <c r="AG124" s="375">
        <f>IF(Start!$C$18="x",IF(OR($L124="NA",L124=""),"NA",($L124*(Data!$D$55^3.33)/(Data!$D$18^2))),"---")</f>
        <v>7.5387453130440442E-4</v>
      </c>
      <c r="AH124" s="376" t="str">
        <f>IF(Start!$C$18="x",IF(OR(F124="NA",F124="",P124="NA",P124=""),"NA",IF(100/Data!$D$10&gt;Data!$D$13,(F124*$P124),(F124*$P124)*Data!$D$13)),"---")</f>
        <v>NA</v>
      </c>
      <c r="AI124" s="489">
        <f>IF(Start!$C$18="x",IF(OR($N124="NA",$Q124="NA",$Q124=0,Q124="",N124=""),"NA",(1000*$N124/$Q124)),"---")</f>
        <v>37491258.903287709</v>
      </c>
      <c r="AJ124" s="376">
        <f>IF(Start!$C$18="x",IF(OR(Q124 = "NA",Q124=0,N124 = "NA",N124="",Q124=""), "NA", IF($AG124="NA","NA",(3.1416*Data!$D$57*86400/($AG124*(Data!$D$55+(N124*Data!$D$19/(Q124*1000)))))^0.5)),"---")</f>
        <v>582.41344402580773</v>
      </c>
      <c r="AK124" s="376" t="str">
        <f>IF(Start!$C$18="x",IF(OR(AH124 = "NA",AI124="NA",AI124=0,AI124="",AH124=""), "NA", AH124/AI124),"---")</f>
        <v>NA</v>
      </c>
      <c r="AL124" s="376" t="str">
        <f>IF(Start!$C$18="x",IF(OR(AK124 ="NA",AK124="",AJ124= "NA",R124="NA",R124=0),"NA",(2*AK124)/(1000*(1/$R124+AJ124))),"---")</f>
        <v>NA</v>
      </c>
      <c r="AM124" s="376" t="str">
        <f>IF(Start!$C$18="x",IF(AL124 = "NA", "NA", AL124*(Data!$D$52*Data!$D$53*10000)),"---")</f>
        <v>NA</v>
      </c>
      <c r="AN124" s="376" t="str">
        <f>IF(Start!$C$18="x",IF(AM124 = "NA", "NA", AM124*(Data!$D$54)),"---")</f>
        <v>NA</v>
      </c>
      <c r="AO124" s="498" t="str">
        <f>IF(Start!$C$18="x",IF(AN124="NA","NA",AN124*Data!$D$41),"---")</f>
        <v>NA</v>
      </c>
      <c r="AP124" s="376">
        <f>IF(Start!$C$18="x",IF(OR(Q124=0,N124="NA",N124="",AG124="NA",AG124="",AG124=0,Q124="",Q124="NA"),"NA", (3.1416*Data!$D$56*86400/($AG124*(Data!$D$55+(N124*Data!$D$19/(Q124*1000)))))^0.5),"---")</f>
        <v>582.41344402580773</v>
      </c>
      <c r="AQ124" s="376" t="str">
        <f>IF(Start!$C$18="x",IF(OR(AH124="NA",AI124="NA",AI124="",AI124=0,AH124=""),"NA", AH124/AI124),"---")</f>
        <v>NA</v>
      </c>
      <c r="AR124" s="376" t="str">
        <f>IF(Start!$C$18="x",IF(OR(AQ124="NA",AP124="NA",$R124="NA",R124=0,R124=""),"NA",(2*AQ124)/(1000*(1/$R124+AP124))),"---")</f>
        <v>NA</v>
      </c>
      <c r="AS124" s="376" t="str">
        <f>IF(Start!$C$18="x",IF(AR124 = "NA", "NA", AR124*(Data!$D$52*Data!$D$53*10000)),"---")</f>
        <v>NA</v>
      </c>
      <c r="AT124" s="376" t="str">
        <f>IF(Start!$C$18="x",IF(AS124 = "NA", "NA", (AS124*1000)/(Data!$D$48*3*Data!$D$53)),"---")</f>
        <v>NA</v>
      </c>
      <c r="AU124" s="498" t="str">
        <f>IF(Start!$C$18="x",IF(AT124="NA","NA",AT124*Data!$D$47),"---")</f>
        <v>NA</v>
      </c>
      <c r="AV124" s="283" t="str">
        <f>IF(Start!$C$18="x",(IF(AND(F124="",G124= "",G124&lt;&gt;"NA"),"",IF(OR(AD124="NA",I124="NA",I124=0),"NA",(AD124/I124)))),"Not Req.")</f>
        <v/>
      </c>
      <c r="AW124" s="284" t="str">
        <f>IF(Start!$C$18="x",(IF(AND(F124="",G124= "",G124&lt;&gt;"NA"),"",IF(OR(AF124="NA",I124="NA",I124=0),"NA",(AF124/I124)))),"Not Req.")</f>
        <v/>
      </c>
      <c r="AX124" s="284" t="str">
        <f>IF(Start!$C$18="x",(IF(F124 ="","",IF(OR(AO124="NA",I124="NA",I124=0),"NA",(AO124/I124)))),"Not Req.")</f>
        <v/>
      </c>
      <c r="AY124" s="344" t="str">
        <f>IF(Start!$C$18="x",(IF(F124 ="","",IF(OR(AU124="NA",I124="NA",I124=0),"NA",(AU124/I124)))),"Not Req.")</f>
        <v/>
      </c>
      <c r="AZ124" s="208"/>
    </row>
    <row r="125" spans="1:52" s="183" customFormat="1" x14ac:dyDescent="0.25">
      <c r="A125" s="405" t="s">
        <v>668</v>
      </c>
      <c r="B125" s="347" t="str">
        <f>IF(Start!$C$18="x",IF(AND(OR(F125="",F125="NA"),OR(G125="",G125="NA")),"",IF(I125="NA","NA",IF(AND(I125="",K125="--"),"NA",IF(AD125="NA","Missing Data",IF(I125="","No Criteria",IF(AD125&gt;=I125,"Needed","No")))))),"---")</f>
        <v/>
      </c>
      <c r="C125" s="501" t="str">
        <f>IF(Start!$C$18="x",IF(AND(OR(F125="",F125="NA"),OR(G125="",G125="NA")),"",IF(I125="NA","NA",IF(AND(I125="",K125="--"),"NA",IF(AF125="NA","Missing Data",IF(I125="","No Criteria",IF(AF125&gt;=I125,"Needed","No")))))),"---")</f>
        <v/>
      </c>
      <c r="D125" s="347" t="str">
        <f>IF(Start!$C$18="x",IF(AND(OR(F125="",F125="NA"),OR(G125="",G125="NA")),"",IF(I125="NA","NA",IF(AND(I125="",K125="--"),"NA",IF(AO125="NA","Missing Data",IF(I125="","No Criteria",IF(AO125&gt;=I125,"Needed","No")))))),"---")</f>
        <v/>
      </c>
      <c r="E125" s="401" t="str">
        <f>IF(Start!$C$18="x",IF(AND(OR(F125="",F125="NA"),OR(G125="",G125="NA")),"",IF(I125="NA","NA",IF(AND(I125="",K125="--"),"NA",IF(AU125="NA","Missing Data",IF(I125="","No Criteria",IF(AU125&gt;=I125,"Needed","No")))))),"---")</f>
        <v/>
      </c>
      <c r="F125" s="431" t="str">
        <f>IF(TRUE=ISBLANK(ChemData!B125),"",(ChemData!B125))</f>
        <v/>
      </c>
      <c r="G125" s="432" t="str">
        <f>IF(TRUE=ISBLANK(ChemData!C125),"",(ChemData!C125))</f>
        <v/>
      </c>
      <c r="H125" s="433" t="str">
        <f>IF(TRUE=ISBLANK(ChemData!D125),"",(ChemData!D125))</f>
        <v/>
      </c>
      <c r="I125" s="919">
        <f>IF(TRUE=ISBLANK(ChemData!K125),"",(ChemData!K125))</f>
        <v>0.1</v>
      </c>
      <c r="J125" s="290">
        <f>IF(TRUE=ISBLANK(ChemData!M125),"",(ChemData!M125))</f>
        <v>108.2</v>
      </c>
      <c r="K125" s="290">
        <f>IF(TRUE=ISBLANK(ChemData!N125),"",(ChemData!N125))</f>
        <v>7.8999999999999995E-7</v>
      </c>
      <c r="L125" s="290">
        <f>IF(TRUE=ISBLANK(ChemData!O125),"",(ChemData!O125))</f>
        <v>7.3999999999999996E-2</v>
      </c>
      <c r="M125" s="290">
        <f>IF(TRUE=ISBLANK(ChemData!Q125),"",(ChemData!Q125))</f>
        <v>1.7274537107752317</v>
      </c>
      <c r="N125" s="290">
        <f>IF(TRUE=ISBLANK(ChemData!R125),"",(ChemData!R125))</f>
        <v>1.7274537107752317</v>
      </c>
      <c r="O125" s="290">
        <f>IF(TRUE=ISBLANK(ChemData!S125),"",(ChemData!S125))</f>
        <v>1</v>
      </c>
      <c r="P125" s="291">
        <f>IF(TRUE=ISBLANK(ChemData!T125),"",(ChemData!T125))</f>
        <v>1</v>
      </c>
      <c r="Q125" s="375">
        <f>IF(Start!$C$18="x",IF(OR(K125="NA",K125="",K125="--"),"NA",(K125*1000000/82.1/Data!$D$50)),"---")</f>
        <v>3.1040037719539509E-5</v>
      </c>
      <c r="R125" s="376">
        <f>IF(Start!$C$18="x",IF(OR(J125="NA",J125=0,J125=""),"NA",(0.32*(Data!$D$48+Data!$D$49)*(18/J125)^0.5)),"---")</f>
        <v>0.33608554495916526</v>
      </c>
      <c r="S125" s="376">
        <f>IF(Start!$C$18="x",IF(OR(J125="NA",J125= 0,J125=""),"NA",(0.0065*((Data!$D$49^0.969)/(Data!$D$51^0.673))*(32/J125)^0.5*EXP(0.526*Data!$D$48^-1.9))),"---")</f>
        <v>7.0837625234757408E-4</v>
      </c>
      <c r="T125" s="377">
        <f>IF(Start!$C$18="x",IF(OR(S125="NA",R125="NA",R125=0,Q125="NA",S125=0,Q125=0),"NA",(1/(1/S125+(1/(R125*Q125))))),"---")</f>
        <v>1.0280706195922949E-5</v>
      </c>
      <c r="U125" s="375" t="str">
        <f>IF(Start!$C$18="x",IF(OR(F125="NA",F125="",O125="",O125="NA"),"NA",(F125*$O125)),"---")</f>
        <v>NA</v>
      </c>
      <c r="V125" s="376" t="str">
        <f>IF(Start!$C$18="x",IF(OR(U125="NA",M125="NA",M125="",U125=""),"NA",U125/((Data!$D$18+((1-Data!$D$18)*Data!$D$14*M125))/((1-Data!$D$18)*Data!$D$14*1000))),"---")</f>
        <v>NA</v>
      </c>
      <c r="W125" s="376" t="str">
        <f>IF(Start!$C$18="x",IF(OR(G125="NA",U125="NA",G125="",U125=""),"NA",(U125 +($G125*(Data!$D$19-Data!$D$22)/(Data!$D$19*Data!$D$22)))),"---")</f>
        <v>NA</v>
      </c>
      <c r="X125" s="376" t="str">
        <f>IF(Start!$C$18="x",IF(OR(G125="NA",V125="NA",G125="",V125=""),"NA",(((Data!$D$22*Data!$D$18)*V125)+(Data!$D$19-Data!$D$22)*$G125)/((Data!$D$22*Data!$D$18)+Data!$D$19-Data!$D$22)),"---")</f>
        <v>NA</v>
      </c>
      <c r="Y125" s="376" t="str">
        <f>IF(Start!$C$18="x",IF(OR(W125="NA",W125="",M125="NA",M125=""),"NA",(W125/((Data!$D$23+((1-Data!$D$23)*Data!$D$14*M125)) /((1-Data!$D$23)*Data!$D$14*1000)))),"---")</f>
        <v>NA</v>
      </c>
      <c r="Z125" s="376" t="str">
        <f>IF(Start!$C$18="x",IF(OR(Y125="NA",X125="NA"),"NA",IF(Y125&gt;X125, Y125, X125)),"---")</f>
        <v>NA</v>
      </c>
      <c r="AA125" s="461" t="str">
        <f>IF(Start!$C$18="x",IF(OR(Z125="NA",T125="NA"),"NA",Z125*T125/(1000000000)),"---")</f>
        <v>NA</v>
      </c>
      <c r="AB125" s="1057" t="str">
        <f>IF(Start!$C$18="x",IF(AA125 = "NA", "NA", AA125*(Data!$D$52*Data!$D$53*10000)),"---")</f>
        <v>NA</v>
      </c>
      <c r="AC125" s="375" t="str">
        <f>IF(Start!$C$18="x",IF(AB125="NA", "NA", AB125*Data!$D$54),"---")</f>
        <v>NA</v>
      </c>
      <c r="AD125" s="498" t="str">
        <f>IF(Start!$C$18="x",IF(AC125="NA","NA",AC125*Data!$D$41),"---")</f>
        <v>NA</v>
      </c>
      <c r="AE125" s="376" t="str">
        <f>IF(Start!$C$18="x",IF(AB125 = "NA", "NA", AB125/(Data!$D$53*3*Data!$D$48)*1000),"---")</f>
        <v>NA</v>
      </c>
      <c r="AF125" s="498" t="str">
        <f>IF(Start!$C$18="x",IF(AE125="NA","NA",AE125*Data!$D$46),"---")</f>
        <v>NA</v>
      </c>
      <c r="AG125" s="375">
        <f>IF(Start!$C$18="x",IF(OR($L125="NA",L125=""),"NA",($L125*(Data!$D$55^3.33)/(Data!$D$18^2))),"---")</f>
        <v>7.5387453130440442E-4</v>
      </c>
      <c r="AH125" s="376" t="str">
        <f>IF(Start!$C$18="x",IF(OR(F125="NA",F125="",P125="NA",P125=""),"NA",IF(100/Data!$D$10&gt;Data!$D$13,(F125*$P125),(F125*$P125)*Data!$D$13)),"---")</f>
        <v>NA</v>
      </c>
      <c r="AI125" s="489">
        <f>IF(Start!$C$18="x",IF(OR($N125="NA",$Q125="NA",$Q125=0,Q125="",N125=""),"NA",(1000*$N125/$Q125)),"---")</f>
        <v>55652435.940430909</v>
      </c>
      <c r="AJ125" s="376">
        <f>IF(Start!$C$18="x",IF(OR(Q125 = "NA",Q125=0,N125 = "NA",N125="",Q125=""), "NA", IF($AG125="NA","NA",(3.1416*Data!$D$57*86400/($AG125*(Data!$D$55+(N125*Data!$D$19/(Q125*1000)))))^0.5)),"---")</f>
        <v>478.02956667742581</v>
      </c>
      <c r="AK125" s="376" t="str">
        <f>IF(Start!$C$18="x",IF(OR(AH125 = "NA",AI125="NA",AI125=0,AI125="",AH125=""), "NA", AH125/AI125),"---")</f>
        <v>NA</v>
      </c>
      <c r="AL125" s="376" t="str">
        <f>IF(Start!$C$18="x",IF(OR(AK125 ="NA",AK125="",AJ125= "NA",R125="NA",R125=0),"NA",(2*AK125)/(1000*(1/$R125+AJ125))),"---")</f>
        <v>NA</v>
      </c>
      <c r="AM125" s="376" t="str">
        <f>IF(Start!$C$18="x",IF(AL125 = "NA", "NA", AL125*(Data!$D$52*Data!$D$53*10000)),"---")</f>
        <v>NA</v>
      </c>
      <c r="AN125" s="376" t="str">
        <f>IF(Start!$C$18="x",IF(AM125 = "NA", "NA", AM125*(Data!$D$54)),"---")</f>
        <v>NA</v>
      </c>
      <c r="AO125" s="498" t="str">
        <f>IF(Start!$C$18="x",IF(AN125="NA","NA",AN125*Data!$D$41),"---")</f>
        <v>NA</v>
      </c>
      <c r="AP125" s="376">
        <f>IF(Start!$C$18="x",IF(OR(Q125=0,N125="NA",N125="",AG125="NA",AG125="",AG125=0,Q125="",Q125="NA"),"NA", (3.1416*Data!$D$56*86400/($AG125*(Data!$D$55+(N125*Data!$D$19/(Q125*1000)))))^0.5),"---")</f>
        <v>478.02956667742581</v>
      </c>
      <c r="AQ125" s="376" t="str">
        <f>IF(Start!$C$18="x",IF(OR(AH125="NA",AI125="NA",AI125="",AI125=0,AH125=""),"NA", AH125/AI125),"---")</f>
        <v>NA</v>
      </c>
      <c r="AR125" s="376" t="str">
        <f>IF(Start!$C$18="x",IF(OR(AQ125="NA",AP125="NA",$R125="NA",R125=0,R125=""),"NA",(2*AQ125)/(1000*(1/$R125+AP125))),"---")</f>
        <v>NA</v>
      </c>
      <c r="AS125" s="376" t="str">
        <f>IF(Start!$C$18="x",IF(AR125 = "NA", "NA", AR125*(Data!$D$52*Data!$D$53*10000)),"---")</f>
        <v>NA</v>
      </c>
      <c r="AT125" s="376" t="str">
        <f>IF(Start!$C$18="x",IF(AS125 = "NA", "NA", (AS125*1000)/(Data!$D$48*3*Data!$D$53)),"---")</f>
        <v>NA</v>
      </c>
      <c r="AU125" s="498" t="str">
        <f>IF(Start!$C$18="x",IF(AT125="NA","NA",AT125*Data!$D$47),"---")</f>
        <v>NA</v>
      </c>
      <c r="AV125" s="283" t="str">
        <f>IF(Start!$C$18="x",(IF(AND(F125="",G125= "",G125&lt;&gt;"NA"),"",IF(OR(AD125="NA",I125="NA",I125=0),"NA",(AD125/I125)))),"Not Req.")</f>
        <v/>
      </c>
      <c r="AW125" s="284" t="str">
        <f>IF(Start!$C$18="x",(IF(AND(F125="",G125= "",G125&lt;&gt;"NA"),"",IF(OR(AF125="NA",I125="NA",I125=0),"NA",(AF125/I125)))),"Not Req.")</f>
        <v/>
      </c>
      <c r="AX125" s="284" t="str">
        <f>IF(Start!$C$18="x",(IF(F125 ="","",IF(OR(AO125="NA",I125="NA",I125=0),"NA",(AO125/I125)))),"Not Req.")</f>
        <v/>
      </c>
      <c r="AY125" s="344" t="str">
        <f>IF(Start!$C$18="x",(IF(F125 ="","",IF(OR(AU125="NA",I125="NA",I125=0),"NA",(AU125/I125)))),"Not Req.")</f>
        <v/>
      </c>
      <c r="AZ125" s="208"/>
    </row>
    <row r="126" spans="1:52" s="183" customFormat="1" x14ac:dyDescent="0.25">
      <c r="A126" s="405" t="s">
        <v>444</v>
      </c>
      <c r="B126" s="347" t="str">
        <f>IF(Start!$C$18="x",IF(AND(OR(F126="",F126="NA"),OR(G126="",G126="NA")),"",IF(I126="NA","NA",IF(AND(I126="",K126="--"),"NA",IF(AD126="NA","Missing Data",IF(I126="","No Criteria",IF(AD126&gt;=I126,"Needed","No")))))),"---")</f>
        <v/>
      </c>
      <c r="C126" s="501" t="str">
        <f>IF(Start!$C$18="x",IF(AND(OR(F126="",F126="NA"),OR(G126="",G126="NA")),"",IF(I126="NA","NA",IF(AND(I126="",K126="--"),"NA",IF(AF126="NA","Missing Data",IF(I126="","No Criteria",IF(AF126&gt;=I126,"Needed","No")))))),"---")</f>
        <v/>
      </c>
      <c r="D126" s="347" t="str">
        <f>IF(Start!$C$18="x",IF(AND(OR(F126="",F126="NA"),OR(G126="",G126="NA")),"",IF(I126="NA","NA",IF(AND(I126="",K126="--"),"NA",IF(AO126="NA","Missing Data",IF(I126="","No Criteria",IF(AO126&gt;=I126,"Needed","No")))))),"---")</f>
        <v/>
      </c>
      <c r="E126" s="401" t="str">
        <f>IF(Start!$C$18="x",IF(AND(OR(F126="",F126="NA"),OR(G126="",G126="NA")),"",IF(I126="NA","NA",IF(AND(I126="",K126="--"),"NA",IF(AU126="NA","Missing Data",IF(I126="","No Criteria",IF(AU126&gt;=I126,"Needed","No")))))),"---")</f>
        <v/>
      </c>
      <c r="F126" s="431" t="str">
        <f>IF(TRUE=ISBLANK(ChemData!B126),"",(ChemData!B126))</f>
        <v/>
      </c>
      <c r="G126" s="432" t="str">
        <f>IF(TRUE=ISBLANK(ChemData!C126),"",(ChemData!C126))</f>
        <v/>
      </c>
      <c r="H126" s="433" t="str">
        <f>IF(TRUE=ISBLANK(ChemData!D126),"",(ChemData!D126))</f>
        <v/>
      </c>
      <c r="I126" s="919" t="str">
        <f>IF(TRUE=ISBLANK(ChemData!K126),"",(ChemData!K126))</f>
        <v>NA</v>
      </c>
      <c r="J126" s="290">
        <f>IF(TRUE=ISBLANK(ChemData!M126),"",(ChemData!M126))</f>
        <v>138.13</v>
      </c>
      <c r="K126" s="290">
        <f>IF(TRUE=ISBLANK(ChemData!N126),"",(ChemData!N126))</f>
        <v>1.09E-7</v>
      </c>
      <c r="L126" s="290">
        <f>IF(TRUE=ISBLANK(ChemData!O126),"",(ChemData!O126))</f>
        <v>4.7300000000000002E-2</v>
      </c>
      <c r="M126" s="290">
        <f>IF(TRUE=ISBLANK(ChemData!Q126),"",(ChemData!Q126))</f>
        <v>1.1153377938236371</v>
      </c>
      <c r="N126" s="290">
        <f>IF(TRUE=ISBLANK(ChemData!R126),"",(ChemData!R126))</f>
        <v>1.1153377938236371</v>
      </c>
      <c r="O126" s="290">
        <f>IF(TRUE=ISBLANK(ChemData!S126),"",(ChemData!S126))</f>
        <v>1</v>
      </c>
      <c r="P126" s="291">
        <f>IF(TRUE=ISBLANK(ChemData!T126),"",(ChemData!T126))</f>
        <v>1</v>
      </c>
      <c r="Q126" s="375">
        <f>IF(Start!$C$18="x",IF(OR(K126="NA",K126="",K126="--"),"NA",(K126*1000000/82.1/Data!$D$50)),"---")</f>
        <v>4.2827393815567176E-6</v>
      </c>
      <c r="R126" s="376">
        <f>IF(Start!$C$18="x",IF(OR(J126="NA",J126=0,J126=""),"NA",(0.32*(Data!$D$48+Data!$D$49)*(18/J126)^0.5)),"---")</f>
        <v>0.29745375677787267</v>
      </c>
      <c r="S126" s="376">
        <f>IF(Start!$C$18="x",IF(OR(J126="NA",J126= 0,J126=""),"NA",(0.0065*((Data!$D$49^0.969)/(Data!$D$51^0.673))*(32/J126)^0.5*EXP(0.526*Data!$D$48^-1.9))),"---")</f>
        <v>6.2695102670547078E-4</v>
      </c>
      <c r="T126" s="377">
        <f>IF(Start!$C$18="x",IF(OR(S126="NA",R126="NA",R126=0,Q126="NA",S126=0,Q126=0),"NA",(1/(1/S126+(1/(R126*Q126))))),"---")</f>
        <v>1.271333664796133E-6</v>
      </c>
      <c r="U126" s="375" t="str">
        <f>IF(Start!$C$18="x",IF(OR(F126="NA",F126="",O126="",O126="NA"),"NA",(F126*$O126)),"---")</f>
        <v>NA</v>
      </c>
      <c r="V126" s="376" t="str">
        <f>IF(Start!$C$18="x",IF(OR(U126="NA",M126="NA",M126="",U126=""),"NA",U126/((Data!$D$18+((1-Data!$D$18)*Data!$D$14*M126))/((1-Data!$D$18)*Data!$D$14*1000))),"---")</f>
        <v>NA</v>
      </c>
      <c r="W126" s="376" t="str">
        <f>IF(Start!$C$18="x",IF(OR(G126="NA",U126="NA",G126="",U126=""),"NA",(U126 +($G126*(Data!$D$19-Data!$D$22)/(Data!$D$19*Data!$D$22)))),"---")</f>
        <v>NA</v>
      </c>
      <c r="X126" s="376" t="str">
        <f>IF(Start!$C$18="x",IF(OR(G126="NA",V126="NA",G126="",V126=""),"NA",(((Data!$D$22*Data!$D$18)*V126)+(Data!$D$19-Data!$D$22)*$G126)/((Data!$D$22*Data!$D$18)+Data!$D$19-Data!$D$22)),"---")</f>
        <v>NA</v>
      </c>
      <c r="Y126" s="376" t="str">
        <f>IF(Start!$C$18="x",IF(OR(W126="NA",W126="",M126="NA",M126=""),"NA",(W126/((Data!$D$23+((1-Data!$D$23)*Data!$D$14*M126)) /((1-Data!$D$23)*Data!$D$14*1000)))),"---")</f>
        <v>NA</v>
      </c>
      <c r="Z126" s="376" t="str">
        <f>IF(Start!$C$18="x",IF(OR(Y126="NA",X126="NA"),"NA",IF(Y126&gt;X126, Y126, X126)),"---")</f>
        <v>NA</v>
      </c>
      <c r="AA126" s="461" t="str">
        <f>IF(Start!$C$18="x",IF(OR(Z126="NA",T126="NA"),"NA",Z126*T126/(1000000000)),"---")</f>
        <v>NA</v>
      </c>
      <c r="AB126" s="1057" t="str">
        <f>IF(Start!$C$18="x",IF(AA126 = "NA", "NA", AA126*(Data!$D$52*Data!$D$53*10000)),"---")</f>
        <v>NA</v>
      </c>
      <c r="AC126" s="375" t="str">
        <f>IF(Start!$C$18="x",IF(AB126="NA", "NA", AB126*Data!$D$54),"---")</f>
        <v>NA</v>
      </c>
      <c r="AD126" s="498" t="str">
        <f>IF(Start!$C$18="x",IF(AC126="NA","NA",AC126*Data!$D$41),"---")</f>
        <v>NA</v>
      </c>
      <c r="AE126" s="376" t="str">
        <f>IF(Start!$C$18="x",IF(AB126 = "NA", "NA", AB126/(Data!$D$53*3*Data!$D$48)*1000),"---")</f>
        <v>NA</v>
      </c>
      <c r="AF126" s="498" t="str">
        <f>IF(Start!$C$18="x",IF(AE126="NA","NA",AE126*Data!$D$46),"---")</f>
        <v>NA</v>
      </c>
      <c r="AG126" s="375">
        <f>IF(Start!$C$18="x",IF(OR($L126="NA",L126=""),"NA",($L126*(Data!$D$55^3.33)/(Data!$D$18^2))),"---")</f>
        <v>4.8186845041484229E-4</v>
      </c>
      <c r="AH126" s="376" t="str">
        <f>IF(Start!$C$18="x",IF(OR(F126="NA",F126="",P126="NA",P126=""),"NA",IF(100/Data!$D$10&gt;Data!$D$13,(F126*$P126),(F126*$P126)*Data!$D$13)),"---")</f>
        <v>NA</v>
      </c>
      <c r="AI126" s="489">
        <f>IF(Start!$C$18="x",IF(OR($N126="NA",$Q126="NA",$Q126=0,Q126="",N126=""),"NA",(1000*$N126/$Q126)),"---")</f>
        <v>260426258.62940714</v>
      </c>
      <c r="AJ126" s="376">
        <f>IF(Start!$C$18="x",IF(OR(Q126 = "NA",Q126=0,N126 = "NA",N126="",Q126=""), "NA", IF($AG126="NA","NA",(3.1416*Data!$D$57*86400/($AG126*(Data!$D$55+(N126*Data!$D$19/(Q126*1000)))))^0.5)),"---")</f>
        <v>276.40155010892124</v>
      </c>
      <c r="AK126" s="376" t="str">
        <f>IF(Start!$C$18="x",IF(OR(AH126 = "NA",AI126="NA",AI126=0,AI126="",AH126=""), "NA", AH126/AI126),"---")</f>
        <v>NA</v>
      </c>
      <c r="AL126" s="376" t="str">
        <f>IF(Start!$C$18="x",IF(OR(AK126 ="NA",AK126="",AJ126= "NA",R126="NA",R126=0),"NA",(2*AK126)/(1000*(1/$R126+AJ126))),"---")</f>
        <v>NA</v>
      </c>
      <c r="AM126" s="376" t="str">
        <f>IF(Start!$C$18="x",IF(AL126 = "NA", "NA", AL126*(Data!$D$52*Data!$D$53*10000)),"---")</f>
        <v>NA</v>
      </c>
      <c r="AN126" s="376" t="str">
        <f>IF(Start!$C$18="x",IF(AM126 = "NA", "NA", AM126*(Data!$D$54)),"---")</f>
        <v>NA</v>
      </c>
      <c r="AO126" s="498" t="str">
        <f>IF(Start!$C$18="x",IF(AN126="NA","NA",AN126*Data!$D$41),"---")</f>
        <v>NA</v>
      </c>
      <c r="AP126" s="376">
        <f>IF(Start!$C$18="x",IF(OR(Q126=0,N126="NA",N126="",AG126="NA",AG126="",AG126=0,Q126="",Q126="NA"),"NA", (3.1416*Data!$D$56*86400/($AG126*(Data!$D$55+(N126*Data!$D$19/(Q126*1000)))))^0.5),"---")</f>
        <v>276.40155010892124</v>
      </c>
      <c r="AQ126" s="376" t="str">
        <f>IF(Start!$C$18="x",IF(OR(AH126="NA",AI126="NA",AI126="",AI126=0,AH126=""),"NA", AH126/AI126),"---")</f>
        <v>NA</v>
      </c>
      <c r="AR126" s="376" t="str">
        <f>IF(Start!$C$18="x",IF(OR(AQ126="NA",AP126="NA",$R126="NA",R126=0,R126=""),"NA",(2*AQ126)/(1000*(1/$R126+AP126))),"---")</f>
        <v>NA</v>
      </c>
      <c r="AS126" s="376" t="str">
        <f>IF(Start!$C$18="x",IF(AR126 = "NA", "NA", AR126*(Data!$D$52*Data!$D$53*10000)),"---")</f>
        <v>NA</v>
      </c>
      <c r="AT126" s="376" t="str">
        <f>IF(Start!$C$18="x",IF(AS126 = "NA", "NA", (AS126*1000)/(Data!$D$48*3*Data!$D$53)),"---")</f>
        <v>NA</v>
      </c>
      <c r="AU126" s="498" t="str">
        <f>IF(Start!$C$18="x",IF(AT126="NA","NA",AT126*Data!$D$47),"---")</f>
        <v>NA</v>
      </c>
      <c r="AV126" s="283" t="str">
        <f>IF(Start!$C$18="x",(IF(AND(F126="",G126= "",G126&lt;&gt;"NA"),"",IF(OR(AD126="NA",I126="NA",I126=0),"NA",(AD126/I126)))),"Not Req.")</f>
        <v/>
      </c>
      <c r="AW126" s="284" t="str">
        <f>IF(Start!$C$18="x",(IF(AND(F126="",G126= "",G126&lt;&gt;"NA"),"",IF(OR(AF126="NA",I126="NA",I126=0),"NA",(AF126/I126)))),"Not Req.")</f>
        <v/>
      </c>
      <c r="AX126" s="284" t="str">
        <f>IF(Start!$C$18="x",(IF(F126 ="","",IF(OR(AO126="NA",I126="NA",I126=0),"NA",(AO126/I126)))),"Not Req.")</f>
        <v/>
      </c>
      <c r="AY126" s="344" t="str">
        <f>IF(Start!$C$18="x",(IF(F126 ="","",IF(OR(AU126="NA",I126="NA",I126=0),"NA",(AU126/I126)))),"Not Req.")</f>
        <v/>
      </c>
      <c r="AZ126" s="208"/>
    </row>
    <row r="127" spans="1:52" s="183" customFormat="1" x14ac:dyDescent="0.25">
      <c r="A127" s="405" t="s">
        <v>445</v>
      </c>
      <c r="B127" s="347" t="str">
        <f>IF(Start!$C$18="x",IF(AND(OR(F127="",F127="NA"),OR(G127="",G127="NA")),"",IF(I127="NA","NA",IF(AND(I127="",K127="--"),"NA",IF(AD127="NA","Missing Data",IF(I127="","No Criteria",IF(AD127&gt;=I127,"Needed","No")))))),"---")</f>
        <v/>
      </c>
      <c r="C127" s="501" t="str">
        <f>IF(Start!$C$18="x",IF(AND(OR(F127="",F127="NA"),OR(G127="",G127="NA")),"",IF(I127="NA","NA",IF(AND(I127="",K127="--"),"NA",IF(AF127="NA","Missing Data",IF(I127="","No Criteria",IF(AF127&gt;=I127,"Needed","No")))))),"---")</f>
        <v/>
      </c>
      <c r="D127" s="347" t="str">
        <f>IF(Start!$C$18="x",IF(AND(OR(F127="",F127="NA"),OR(G127="",G127="NA")),"",IF(I127="NA","NA",IF(AND(I127="",K127="--"),"NA",IF(AO127="NA","Missing Data",IF(I127="","No Criteria",IF(AO127&gt;=I127,"Needed","No")))))),"---")</f>
        <v/>
      </c>
      <c r="E127" s="401" t="str">
        <f>IF(Start!$C$18="x",IF(AND(OR(F127="",F127="NA"),OR(G127="",G127="NA")),"",IF(I127="NA","NA",IF(AND(I127="",K127="--"),"NA",IF(AU127="NA","Missing Data",IF(I127="","No Criteria",IF(AU127&gt;=I127,"Needed","No")))))),"---")</f>
        <v/>
      </c>
      <c r="F127" s="431" t="str">
        <f>IF(TRUE=ISBLANK(ChemData!B127),"",(ChemData!B127))</f>
        <v/>
      </c>
      <c r="G127" s="432" t="str">
        <f>IF(TRUE=ISBLANK(ChemData!C127),"",(ChemData!C127))</f>
        <v/>
      </c>
      <c r="H127" s="433" t="str">
        <f>IF(TRUE=ISBLANK(ChemData!D127),"",(ChemData!D127))</f>
        <v/>
      </c>
      <c r="I127" s="919" t="str">
        <f>IF(TRUE=ISBLANK(ChemData!K127),"",(ChemData!K127))</f>
        <v>NA</v>
      </c>
      <c r="J127" s="290">
        <f>IF(TRUE=ISBLANK(ChemData!M127),"",(ChemData!M127))</f>
        <v>138.13</v>
      </c>
      <c r="K127" s="290">
        <f>IF(TRUE=ISBLANK(ChemData!N127),"",(ChemData!N127))</f>
        <v>1.4399999999999999E-7</v>
      </c>
      <c r="L127" s="290">
        <f>IF(TRUE=ISBLANK(ChemData!O127),"",(ChemData!O127))</f>
        <v>0.15826889590720225</v>
      </c>
      <c r="M127" s="290">
        <f>IF(TRUE=ISBLANK(ChemData!Q127),"",(ChemData!Q127))</f>
        <v>0.43391675371571786</v>
      </c>
      <c r="N127" s="290">
        <f>IF(TRUE=ISBLANK(ChemData!R127),"",(ChemData!R127))</f>
        <v>0.43391675371571786</v>
      </c>
      <c r="O127" s="290">
        <f>IF(TRUE=ISBLANK(ChemData!S127),"",(ChemData!S127))</f>
        <v>1</v>
      </c>
      <c r="P127" s="291">
        <f>IF(TRUE=ISBLANK(ChemData!T127),"",(ChemData!T127))</f>
        <v>1</v>
      </c>
      <c r="Q127" s="375">
        <f>IF(Start!$C$18="x",IF(OR(K127="NA",K127="",K127="--"),"NA",(K127*1000000/82.1/Data!$D$50)),"---")</f>
        <v>5.6579309260932772E-6</v>
      </c>
      <c r="R127" s="376">
        <f>IF(Start!$C$18="x",IF(OR(J127="NA",J127=0,J127=""),"NA",(0.32*(Data!$D$48+Data!$D$49)*(18/J127)^0.5)),"---")</f>
        <v>0.29745375677787267</v>
      </c>
      <c r="S127" s="376">
        <f>IF(Start!$C$18="x",IF(OR(J127="NA",J127= 0,J127=""),"NA",(0.0065*((Data!$D$49^0.969)/(Data!$D$51^0.673))*(32/J127)^0.5*EXP(0.526*Data!$D$48^-1.9))),"---")</f>
        <v>6.2695102670547078E-4</v>
      </c>
      <c r="T127" s="377">
        <f>IF(Start!$C$18="x",IF(OR(S127="NA",R127="NA",R127=0,Q127="NA",S127=0,Q127=0),"NA",(1/(1/S127+(1/(R127*Q127))))),"---")</f>
        <v>1.6784671711721488E-6</v>
      </c>
      <c r="U127" s="375" t="str">
        <f>IF(Start!$C$18="x",IF(OR(F127="NA",F127="",O127="",O127="NA"),"NA",(F127*$O127)),"---")</f>
        <v>NA</v>
      </c>
      <c r="V127" s="376" t="str">
        <f>IF(Start!$C$18="x",IF(OR(U127="NA",M127="NA",M127="",U127=""),"NA",U127/((Data!$D$18+((1-Data!$D$18)*Data!$D$14*M127))/((1-Data!$D$18)*Data!$D$14*1000))),"---")</f>
        <v>NA</v>
      </c>
      <c r="W127" s="376" t="str">
        <f>IF(Start!$C$18="x",IF(OR(G127="NA",U127="NA",G127="",U127=""),"NA",(U127 +($G127*(Data!$D$19-Data!$D$22)/(Data!$D$19*Data!$D$22)))),"---")</f>
        <v>NA</v>
      </c>
      <c r="X127" s="376" t="str">
        <f>IF(Start!$C$18="x",IF(OR(G127="NA",V127="NA",G127="",V127=""),"NA",(((Data!$D$22*Data!$D$18)*V127)+(Data!$D$19-Data!$D$22)*$G127)/((Data!$D$22*Data!$D$18)+Data!$D$19-Data!$D$22)),"---")</f>
        <v>NA</v>
      </c>
      <c r="Y127" s="376" t="str">
        <f>IF(Start!$C$18="x",IF(OR(W127="NA",W127="",M127="NA",M127=""),"NA",(W127/((Data!$D$23+((1-Data!$D$23)*Data!$D$14*M127)) /((1-Data!$D$23)*Data!$D$14*1000)))),"---")</f>
        <v>NA</v>
      </c>
      <c r="Z127" s="376" t="str">
        <f>IF(Start!$C$18="x",IF(OR(Y127="NA",X127="NA"),"NA",IF(Y127&gt;X127, Y127, X127)),"---")</f>
        <v>NA</v>
      </c>
      <c r="AA127" s="461" t="str">
        <f>IF(Start!$C$18="x",IF(OR(Z127="NA",T127="NA"),"NA",Z127*T127/(1000000000)),"---")</f>
        <v>NA</v>
      </c>
      <c r="AB127" s="1057" t="str">
        <f>IF(Start!$C$18="x",IF(AA127 = "NA", "NA", AA127*(Data!$D$52*Data!$D$53*10000)),"---")</f>
        <v>NA</v>
      </c>
      <c r="AC127" s="375" t="str">
        <f>IF(Start!$C$18="x",IF(AB127="NA", "NA", AB127*Data!$D$54),"---")</f>
        <v>NA</v>
      </c>
      <c r="AD127" s="498" t="str">
        <f>IF(Start!$C$18="x",IF(AC127="NA","NA",AC127*Data!$D$41),"---")</f>
        <v>NA</v>
      </c>
      <c r="AE127" s="376" t="str">
        <f>IF(Start!$C$18="x",IF(AB127 = "NA", "NA", AB127/(Data!$D$53*3*Data!$D$48)*1000),"---")</f>
        <v>NA</v>
      </c>
      <c r="AF127" s="498" t="str">
        <f>IF(Start!$C$18="x",IF(AE127="NA","NA",AE127*Data!$D$46),"---")</f>
        <v>NA</v>
      </c>
      <c r="AG127" s="375">
        <f>IF(Start!$C$18="x",IF(OR($L127="NA",L127=""),"NA",($L127*(Data!$D$55^3.33)/(Data!$D$18^2))),"---")</f>
        <v>1.6123633746230766E-3</v>
      </c>
      <c r="AH127" s="376" t="str">
        <f>IF(Start!$C$18="x",IF(OR(F127="NA",F127="",P127="NA",P127=""),"NA",IF(100/Data!$D$10&gt;Data!$D$13,(F127*$P127),(F127*$P127)*Data!$D$13)),"---")</f>
        <v>NA</v>
      </c>
      <c r="AI127" s="489">
        <f>IF(Start!$C$18="x",IF(OR($N127="NA",$Q127="NA",$Q127=0,Q127="",N127=""),"NA",(1000*$N127/$Q127)),"---")</f>
        <v>76691772.908463433</v>
      </c>
      <c r="AJ127" s="376">
        <f>IF(Start!$C$18="x",IF(OR(Q127 = "NA",Q127=0,N127 = "NA",N127="",Q127=""), "NA", IF($AG127="NA","NA",(3.1416*Data!$D$57*86400/($AG127*(Data!$D$55+(N127*Data!$D$19/(Q127*1000)))))^0.5)),"---")</f>
        <v>278.445872786103</v>
      </c>
      <c r="AK127" s="376" t="str">
        <f>IF(Start!$C$18="x",IF(OR(AH127 = "NA",AI127="NA",AI127=0,AI127="",AH127=""), "NA", AH127/AI127),"---")</f>
        <v>NA</v>
      </c>
      <c r="AL127" s="376" t="str">
        <f>IF(Start!$C$18="x",IF(OR(AK127 ="NA",AK127="",AJ127= "NA",R127="NA",R127=0),"NA",(2*AK127)/(1000*(1/$R127+AJ127))),"---")</f>
        <v>NA</v>
      </c>
      <c r="AM127" s="376" t="str">
        <f>IF(Start!$C$18="x",IF(AL127 = "NA", "NA", AL127*(Data!$D$52*Data!$D$53*10000)),"---")</f>
        <v>NA</v>
      </c>
      <c r="AN127" s="376" t="str">
        <f>IF(Start!$C$18="x",IF(AM127 = "NA", "NA", AM127*(Data!$D$54)),"---")</f>
        <v>NA</v>
      </c>
      <c r="AO127" s="498" t="str">
        <f>IF(Start!$C$18="x",IF(AN127="NA","NA",AN127*Data!$D$41),"---")</f>
        <v>NA</v>
      </c>
      <c r="AP127" s="376">
        <f>IF(Start!$C$18="x",IF(OR(Q127=0,N127="NA",N127="",AG127="NA",AG127="",AG127=0,Q127="",Q127="NA"),"NA", (3.1416*Data!$D$56*86400/($AG127*(Data!$D$55+(N127*Data!$D$19/(Q127*1000)))))^0.5),"---")</f>
        <v>278.445872786103</v>
      </c>
      <c r="AQ127" s="376" t="str">
        <f>IF(Start!$C$18="x",IF(OR(AH127="NA",AI127="NA",AI127="",AI127=0,AH127=""),"NA", AH127/AI127),"---")</f>
        <v>NA</v>
      </c>
      <c r="AR127" s="376" t="str">
        <f>IF(Start!$C$18="x",IF(OR(AQ127="NA",AP127="NA",$R127="NA",R127=0,R127=""),"NA",(2*AQ127)/(1000*(1/$R127+AP127))),"---")</f>
        <v>NA</v>
      </c>
      <c r="AS127" s="376" t="str">
        <f>IF(Start!$C$18="x",IF(AR127 = "NA", "NA", AR127*(Data!$D$52*Data!$D$53*10000)),"---")</f>
        <v>NA</v>
      </c>
      <c r="AT127" s="376" t="str">
        <f>IF(Start!$C$18="x",IF(AS127 = "NA", "NA", (AS127*1000)/(Data!$D$48*3*Data!$D$53)),"---")</f>
        <v>NA</v>
      </c>
      <c r="AU127" s="498" t="str">
        <f>IF(Start!$C$18="x",IF(AT127="NA","NA",AT127*Data!$D$47),"---")</f>
        <v>NA</v>
      </c>
      <c r="AV127" s="283" t="str">
        <f>IF(Start!$C$18="x",(IF(AND(F127="",G127= "",G127&lt;&gt;"NA"),"",IF(OR(AD127="NA",I127="NA",I127=0),"NA",(AD127/I127)))),"Not Req.")</f>
        <v/>
      </c>
      <c r="AW127" s="284" t="str">
        <f>IF(Start!$C$18="x",(IF(AND(F127="",G127= "",G127&lt;&gt;"NA"),"",IF(OR(AF127="NA",I127="NA",I127=0),"NA",(AF127/I127)))),"Not Req.")</f>
        <v/>
      </c>
      <c r="AX127" s="284" t="str">
        <f>IF(Start!$C$18="x",(IF(F127 ="","",IF(OR(AO127="NA",I127="NA",I127=0),"NA",(AO127/I127)))),"Not Req.")</f>
        <v/>
      </c>
      <c r="AY127" s="344" t="str">
        <f>IF(Start!$C$18="x",(IF(F127 ="","",IF(OR(AU127="NA",I127="NA",I127=0),"NA",(AU127/I127)))),"Not Req.")</f>
        <v/>
      </c>
      <c r="AZ127" s="208"/>
    </row>
    <row r="128" spans="1:52" s="183" customFormat="1" x14ac:dyDescent="0.25">
      <c r="A128" s="405" t="s">
        <v>446</v>
      </c>
      <c r="B128" s="347" t="str">
        <f>IF(Start!$C$18="x",IF(AND(OR(F128="",F128="NA"),OR(G128="",G128="NA")),"",IF(I128="NA","NA",IF(AND(I128="",K128="--"),"NA",IF(AD128="NA","Missing Data",IF(I128="","No Criteria",IF(AD128&gt;=I128,"Needed","No")))))),"---")</f>
        <v/>
      </c>
      <c r="C128" s="501" t="str">
        <f>IF(Start!$C$18="x",IF(AND(OR(F128="",F128="NA"),OR(G128="",G128="NA")),"",IF(I128="NA","NA",IF(AND(I128="",K128="--"),"NA",IF(AF128="NA","Missing Data",IF(I128="","No Criteria",IF(AF128&gt;=I128,"Needed","No")))))),"---")</f>
        <v/>
      </c>
      <c r="D128" s="347" t="str">
        <f>IF(Start!$C$18="x",IF(AND(OR(F128="",F128="NA"),OR(G128="",G128="NA")),"",IF(I128="NA","NA",IF(AND(I128="",K128="--"),"NA",IF(AO128="NA","Missing Data",IF(I128="","No Criteria",IF(AO128&gt;=I128,"Needed","No")))))),"---")</f>
        <v/>
      </c>
      <c r="E128" s="401" t="str">
        <f>IF(Start!$C$18="x",IF(AND(OR(F128="",F128="NA"),OR(G128="",G128="NA")),"",IF(I128="NA","NA",IF(AND(I128="",K128="--"),"NA",IF(AU128="NA","Missing Data",IF(I128="","No Criteria",IF(AU128&gt;=I128,"Needed","No")))))),"---")</f>
        <v/>
      </c>
      <c r="F128" s="431" t="str">
        <f>IF(TRUE=ISBLANK(ChemData!B128),"",(ChemData!B128))</f>
        <v/>
      </c>
      <c r="G128" s="432" t="str">
        <f>IF(TRUE=ISBLANK(ChemData!C128),"",(ChemData!C128))</f>
        <v/>
      </c>
      <c r="H128" s="433" t="str">
        <f>IF(TRUE=ISBLANK(ChemData!D128),"",(ChemData!D128))</f>
        <v/>
      </c>
      <c r="I128" s="919" t="str">
        <f>IF(TRUE=ISBLANK(ChemData!K128),"",(ChemData!K128))</f>
        <v>NA</v>
      </c>
      <c r="J128" s="290">
        <f>IF(TRUE=ISBLANK(ChemData!M128),"",(ChemData!M128))</f>
        <v>138.13</v>
      </c>
      <c r="K128" s="290">
        <f>IF(TRUE=ISBLANK(ChemData!N128),"",(ChemData!N128))</f>
        <v>2.0700000000000001E-9</v>
      </c>
      <c r="L128" s="290">
        <f>IF(TRUE=ISBLANK(ChemData!O128),"",(ChemData!O128))</f>
        <v>4.7300000000000002E-2</v>
      </c>
      <c r="M128" s="290">
        <f>IF(TRUE=ISBLANK(ChemData!Q128),"",(ChemData!Q128))</f>
        <v>0.45436662029329916</v>
      </c>
      <c r="N128" s="290">
        <f>IF(TRUE=ISBLANK(ChemData!R128),"",(ChemData!R128))</f>
        <v>0.45436662029329916</v>
      </c>
      <c r="O128" s="290">
        <f>IF(TRUE=ISBLANK(ChemData!S128),"",(ChemData!S128))</f>
        <v>1</v>
      </c>
      <c r="P128" s="291">
        <f>IF(TRUE=ISBLANK(ChemData!T128),"",(ChemData!T128))</f>
        <v>1</v>
      </c>
      <c r="Q128" s="375">
        <f>IF(Start!$C$18="x",IF(OR(K128="NA",K128="",K128="--"),"NA",(K128*1000000/82.1/Data!$D$50)),"---")</f>
        <v>8.1332757062590874E-8</v>
      </c>
      <c r="R128" s="376">
        <f>IF(Start!$C$18="x",IF(OR(J128="NA",J128=0,J128=""),"NA",(0.32*(Data!$D$48+Data!$D$49)*(18/J128)^0.5)),"---")</f>
        <v>0.29745375677787267</v>
      </c>
      <c r="S128" s="376">
        <f>IF(Start!$C$18="x",IF(OR(J128="NA",J128= 0,J128=""),"NA",(0.0065*((Data!$D$49^0.969)/(Data!$D$51^0.673))*(32/J128)^0.5*EXP(0.526*Data!$D$48^-1.9))),"---")</f>
        <v>6.2695102670547078E-4</v>
      </c>
      <c r="T128" s="377">
        <f>IF(Start!$C$18="x",IF(OR(S128="NA",R128="NA",R128=0,Q128="NA",S128=0,Q128=0),"NA",(1/(1/S128+(1/(R128*Q128))))),"---")</f>
        <v>2.4191800626176771E-8</v>
      </c>
      <c r="U128" s="375" t="str">
        <f>IF(Start!$C$18="x",IF(OR(F128="NA",F128="",O128="",O128="NA"),"NA",(F128*$O128)),"---")</f>
        <v>NA</v>
      </c>
      <c r="V128" s="376" t="str">
        <f>IF(Start!$C$18="x",IF(OR(U128="NA",M128="NA",M128="",U128=""),"NA",U128/((Data!$D$18+((1-Data!$D$18)*Data!$D$14*M128))/((1-Data!$D$18)*Data!$D$14*1000))),"---")</f>
        <v>NA</v>
      </c>
      <c r="W128" s="376" t="str">
        <f>IF(Start!$C$18="x",IF(OR(G128="NA",U128="NA",G128="",U128=""),"NA",(U128 +($G128*(Data!$D$19-Data!$D$22)/(Data!$D$19*Data!$D$22)))),"---")</f>
        <v>NA</v>
      </c>
      <c r="X128" s="376" t="str">
        <f>IF(Start!$C$18="x",IF(OR(G128="NA",V128="NA",G128="",V128=""),"NA",(((Data!$D$22*Data!$D$18)*V128)+(Data!$D$19-Data!$D$22)*$G128)/((Data!$D$22*Data!$D$18)+Data!$D$19-Data!$D$22)),"---")</f>
        <v>NA</v>
      </c>
      <c r="Y128" s="376" t="str">
        <f>IF(Start!$C$18="x",IF(OR(W128="NA",W128="",M128="NA",M128=""),"NA",(W128/((Data!$D$23+((1-Data!$D$23)*Data!$D$14*M128)) /((1-Data!$D$23)*Data!$D$14*1000)))),"---")</f>
        <v>NA</v>
      </c>
      <c r="Z128" s="376" t="str">
        <f>IF(Start!$C$18="x",IF(OR(Y128="NA",X128="NA"),"NA",IF(Y128&gt;X128, Y128, X128)),"---")</f>
        <v>NA</v>
      </c>
      <c r="AA128" s="461" t="str">
        <f>IF(Start!$C$18="x",IF(OR(Z128="NA",T128="NA"),"NA",Z128*T128/(1000000000)),"---")</f>
        <v>NA</v>
      </c>
      <c r="AB128" s="1057" t="str">
        <f>IF(Start!$C$18="x",IF(AA128 = "NA", "NA", AA128*(Data!$D$52*Data!$D$53*10000)),"---")</f>
        <v>NA</v>
      </c>
      <c r="AC128" s="375" t="str">
        <f>IF(Start!$C$18="x",IF(AB128="NA", "NA", AB128*Data!$D$54),"---")</f>
        <v>NA</v>
      </c>
      <c r="AD128" s="498" t="str">
        <f>IF(Start!$C$18="x",IF(AC128="NA","NA",AC128*Data!$D$41),"---")</f>
        <v>NA</v>
      </c>
      <c r="AE128" s="376" t="str">
        <f>IF(Start!$C$18="x",IF(AB128 = "NA", "NA", AB128/(Data!$D$53*3*Data!$D$48)*1000),"---")</f>
        <v>NA</v>
      </c>
      <c r="AF128" s="498" t="str">
        <f>IF(Start!$C$18="x",IF(AE128="NA","NA",AE128*Data!$D$46),"---")</f>
        <v>NA</v>
      </c>
      <c r="AG128" s="375">
        <f>IF(Start!$C$18="x",IF(OR($L128="NA",L128=""),"NA",($L128*(Data!$D$55^3.33)/(Data!$D$18^2))),"---")</f>
        <v>4.8186845041484229E-4</v>
      </c>
      <c r="AH128" s="376" t="str">
        <f>IF(Start!$C$18="x",IF(OR(F128="NA",F128="",P128="NA",P128=""),"NA",IF(100/Data!$D$10&gt;Data!$D$13,(F128*$P128),(F128*$P128)*Data!$D$13)),"---")</f>
        <v>NA</v>
      </c>
      <c r="AI128" s="489">
        <f>IF(Start!$C$18="x",IF(OR($N128="NA",$Q128="NA",$Q128=0,Q128="",N128=""),"NA",(1000*$N128/$Q128)),"---")</f>
        <v>5586514421.7800751</v>
      </c>
      <c r="AJ128" s="376">
        <f>IF(Start!$C$18="x",IF(OR(Q128 = "NA",Q128=0,N128 = "NA",N128="",Q128=""), "NA", IF($AG128="NA","NA",(3.1416*Data!$D$57*86400/($AG128*(Data!$D$55+(N128*Data!$D$19/(Q128*1000)))))^0.5)),"---")</f>
        <v>59.677769851562502</v>
      </c>
      <c r="AK128" s="376" t="str">
        <f>IF(Start!$C$18="x",IF(OR(AH128 = "NA",AI128="NA",AI128=0,AI128="",AH128=""), "NA", AH128/AI128),"---")</f>
        <v>NA</v>
      </c>
      <c r="AL128" s="376" t="str">
        <f>IF(Start!$C$18="x",IF(OR(AK128 ="NA",AK128="",AJ128= "NA",R128="NA",R128=0),"NA",(2*AK128)/(1000*(1/$R128+AJ128))),"---")</f>
        <v>NA</v>
      </c>
      <c r="AM128" s="376" t="str">
        <f>IF(Start!$C$18="x",IF(AL128 = "NA", "NA", AL128*(Data!$D$52*Data!$D$53*10000)),"---")</f>
        <v>NA</v>
      </c>
      <c r="AN128" s="376" t="str">
        <f>IF(Start!$C$18="x",IF(AM128 = "NA", "NA", AM128*(Data!$D$54)),"---")</f>
        <v>NA</v>
      </c>
      <c r="AO128" s="498" t="str">
        <f>IF(Start!$C$18="x",IF(AN128="NA","NA",AN128*Data!$D$41),"---")</f>
        <v>NA</v>
      </c>
      <c r="AP128" s="376">
        <f>IF(Start!$C$18="x",IF(OR(Q128=0,N128="NA",N128="",AG128="NA",AG128="",AG128=0,Q128="",Q128="NA"),"NA", (3.1416*Data!$D$56*86400/($AG128*(Data!$D$55+(N128*Data!$D$19/(Q128*1000)))))^0.5),"---")</f>
        <v>59.677769851562502</v>
      </c>
      <c r="AQ128" s="376" t="str">
        <f>IF(Start!$C$18="x",IF(OR(AH128="NA",AI128="NA",AI128="",AI128=0,AH128=""),"NA", AH128/AI128),"---")</f>
        <v>NA</v>
      </c>
      <c r="AR128" s="376" t="str">
        <f>IF(Start!$C$18="x",IF(OR(AQ128="NA",AP128="NA",$R128="NA",R128=0,R128=""),"NA",(2*AQ128)/(1000*(1/$R128+AP128))),"---")</f>
        <v>NA</v>
      </c>
      <c r="AS128" s="376" t="str">
        <f>IF(Start!$C$18="x",IF(AR128 = "NA", "NA", AR128*(Data!$D$52*Data!$D$53*10000)),"---")</f>
        <v>NA</v>
      </c>
      <c r="AT128" s="376" t="str">
        <f>IF(Start!$C$18="x",IF(AS128 = "NA", "NA", (AS128*1000)/(Data!$D$48*3*Data!$D$53)),"---")</f>
        <v>NA</v>
      </c>
      <c r="AU128" s="498" t="str">
        <f>IF(Start!$C$18="x",IF(AT128="NA","NA",AT128*Data!$D$47),"---")</f>
        <v>NA</v>
      </c>
      <c r="AV128" s="283" t="str">
        <f>IF(Start!$C$18="x",(IF(AND(F128="",G128= "",G128&lt;&gt;"NA"),"",IF(OR(AD128="NA",I128="NA",I128=0),"NA",(AD128/I128)))),"Not Req.")</f>
        <v/>
      </c>
      <c r="AW128" s="284" t="str">
        <f>IF(Start!$C$18="x",(IF(AND(F128="",G128= "",G128&lt;&gt;"NA"),"",IF(OR(AF128="NA",I128="NA",I128=0),"NA",(AF128/I128)))),"Not Req.")</f>
        <v/>
      </c>
      <c r="AX128" s="284" t="str">
        <f>IF(Start!$C$18="x",(IF(F128 ="","",IF(OR(AO128="NA",I128="NA",I128=0),"NA",(AO128/I128)))),"Not Req.")</f>
        <v/>
      </c>
      <c r="AY128" s="344" t="str">
        <f>IF(Start!$C$18="x",(IF(F128 ="","",IF(OR(AU128="NA",I128="NA",I128=0),"NA",(AU128/I128)))),"Not Req.")</f>
        <v/>
      </c>
      <c r="AZ128" s="208"/>
    </row>
    <row r="129" spans="1:52" s="183" customFormat="1" x14ac:dyDescent="0.25">
      <c r="A129" s="405" t="s">
        <v>447</v>
      </c>
      <c r="B129" s="347" t="str">
        <f>IF(Start!$C$18="x",IF(AND(OR(F129="",F129="NA"),OR(G129="",G129="NA")),"",IF(I129="NA","NA",IF(AND(I129="",K129="--"),"NA",IF(AD129="NA","Missing Data",IF(I129="","No Criteria",IF(AD129&gt;=I129,"Needed","No")))))),"---")</f>
        <v/>
      </c>
      <c r="C129" s="501" t="str">
        <f>IF(Start!$C$18="x",IF(AND(OR(F129="",F129="NA"),OR(G129="",G129="NA")),"",IF(I129="NA","NA",IF(AND(I129="",K129="--"),"NA",IF(AF129="NA","Missing Data",IF(I129="","No Criteria",IF(AF129&gt;=I129,"Needed","No")))))),"---")</f>
        <v/>
      </c>
      <c r="D129" s="347" t="str">
        <f>IF(Start!$C$18="x",IF(AND(OR(F129="",F129="NA"),OR(G129="",G129="NA")),"",IF(I129="NA","NA",IF(AND(I129="",K129="--"),"NA",IF(AO129="NA","Missing Data",IF(I129="","No Criteria",IF(AO129&gt;=I129,"Needed","No")))))),"---")</f>
        <v/>
      </c>
      <c r="E129" s="401" t="str">
        <f>IF(Start!$C$18="x",IF(AND(OR(F129="",F129="NA"),OR(G129="",G129="NA")),"",IF(I129="NA","NA",IF(AND(I129="",K129="--"),"NA",IF(AU129="NA","Missing Data",IF(I129="","No Criteria",IF(AU129&gt;=I129,"Needed","No")))))),"---")</f>
        <v/>
      </c>
      <c r="F129" s="431" t="str">
        <f>IF(TRUE=ISBLANK(ChemData!B129),"",(ChemData!B129))</f>
        <v/>
      </c>
      <c r="G129" s="432" t="str">
        <f>IF(TRUE=ISBLANK(ChemData!C129),"",(ChemData!C129))</f>
        <v/>
      </c>
      <c r="H129" s="433" t="str">
        <f>IF(TRUE=ISBLANK(ChemData!D129),"",(ChemData!D129))</f>
        <v/>
      </c>
      <c r="I129" s="919" t="str">
        <f>IF(TRUE=ISBLANK(ChemData!K129),"",(ChemData!K129))</f>
        <v>NA</v>
      </c>
      <c r="J129" s="290">
        <f>IF(TRUE=ISBLANK(ChemData!M129),"",(ChemData!M129))</f>
        <v>139.1</v>
      </c>
      <c r="K129" s="290">
        <f>IF(TRUE=ISBLANK(ChemData!N129),"",(ChemData!N129))</f>
        <v>7.5599999999999996E-6</v>
      </c>
      <c r="L129" s="290">
        <f>IF(TRUE=ISBLANK(ChemData!O129),"",(ChemData!O129))</f>
        <v>4.6899999999999997E-2</v>
      </c>
      <c r="M129" s="290">
        <f>IF(TRUE=ISBLANK(ChemData!Q129),"",(ChemData!Q129))</f>
        <v>1.1679020446328385</v>
      </c>
      <c r="N129" s="290">
        <f>IF(TRUE=ISBLANK(ChemData!R129),"",(ChemData!R129))</f>
        <v>1.1679020446328385</v>
      </c>
      <c r="O129" s="290">
        <f>IF(TRUE=ISBLANK(ChemData!S129),"",(ChemData!S129))</f>
        <v>1</v>
      </c>
      <c r="P129" s="291">
        <f>IF(TRUE=ISBLANK(ChemData!T129),"",(ChemData!T129))</f>
        <v>1</v>
      </c>
      <c r="Q129" s="375">
        <f>IF(Start!$C$18="x",IF(OR(K129="NA",K129="",K129="--"),"NA",(K129*1000000/82.1/Data!$D$50)),"---")</f>
        <v>2.9704137361989707E-4</v>
      </c>
      <c r="R129" s="376">
        <f>IF(Start!$C$18="x",IF(OR(J129="NA",J129=0,J129=""),"NA",(0.32*(Data!$D$48+Data!$D$49)*(18/J129)^0.5)),"---")</f>
        <v>0.2964148102837838</v>
      </c>
      <c r="S129" s="376">
        <f>IF(Start!$C$18="x",IF(OR(J129="NA",J129= 0,J129=""),"NA",(0.0065*((Data!$D$49^0.969)/(Data!$D$51^0.673))*(32/J129)^0.5*EXP(0.526*Data!$D$48^-1.9))),"---")</f>
        <v>6.2476121213322618E-4</v>
      </c>
      <c r="T129" s="377">
        <f>IF(Start!$C$18="x",IF(OR(S129="NA",R129="NA",R129=0,Q129="NA",S129=0,Q129=0),"NA",(1/(1/S129+(1/(R129*Q129))))),"---")</f>
        <v>7.7171674958456595E-5</v>
      </c>
      <c r="U129" s="375" t="str">
        <f>IF(Start!$C$18="x",IF(OR(F129="NA",F129="",O129="",O129="NA"),"NA",(F129*$O129)),"---")</f>
        <v>NA</v>
      </c>
      <c r="V129" s="376" t="str">
        <f>IF(Start!$C$18="x",IF(OR(U129="NA",M129="NA",M129="",U129=""),"NA",U129/((Data!$D$18+((1-Data!$D$18)*Data!$D$14*M129))/((1-Data!$D$18)*Data!$D$14*1000))),"---")</f>
        <v>NA</v>
      </c>
      <c r="W129" s="376" t="str">
        <f>IF(Start!$C$18="x",IF(OR(G129="NA",U129="NA",G129="",U129=""),"NA",(U129 +($G129*(Data!$D$19-Data!$D$22)/(Data!$D$19*Data!$D$22)))),"---")</f>
        <v>NA</v>
      </c>
      <c r="X129" s="376" t="str">
        <f>IF(Start!$C$18="x",IF(OR(G129="NA",V129="NA",G129="",V129=""),"NA",(((Data!$D$22*Data!$D$18)*V129)+(Data!$D$19-Data!$D$22)*$G129)/((Data!$D$22*Data!$D$18)+Data!$D$19-Data!$D$22)),"---")</f>
        <v>NA</v>
      </c>
      <c r="Y129" s="376" t="str">
        <f>IF(Start!$C$18="x",IF(OR(W129="NA",W129="",M129="NA",M129=""),"NA",(W129/((Data!$D$23+((1-Data!$D$23)*Data!$D$14*M129)) /((1-Data!$D$23)*Data!$D$14*1000)))),"---")</f>
        <v>NA</v>
      </c>
      <c r="Z129" s="376" t="str">
        <f>IF(Start!$C$18="x",IF(OR(Y129="NA",X129="NA"),"NA",IF(Y129&gt;X129, Y129, X129)),"---")</f>
        <v>NA</v>
      </c>
      <c r="AA129" s="461" t="str">
        <f>IF(Start!$C$18="x",IF(OR(Z129="NA",T129="NA"),"NA",Z129*T129/(1000000000)),"---")</f>
        <v>NA</v>
      </c>
      <c r="AB129" s="1057" t="str">
        <f>IF(Start!$C$18="x",IF(AA129 = "NA", "NA", AA129*(Data!$D$52*Data!$D$53*10000)),"---")</f>
        <v>NA</v>
      </c>
      <c r="AC129" s="375" t="str">
        <f>IF(Start!$C$18="x",IF(AB129="NA", "NA", AB129*Data!$D$54),"---")</f>
        <v>NA</v>
      </c>
      <c r="AD129" s="498" t="str">
        <f>IF(Start!$C$18="x",IF(AC129="NA","NA",AC129*Data!$D$41),"---")</f>
        <v>NA</v>
      </c>
      <c r="AE129" s="376" t="str">
        <f>IF(Start!$C$18="x",IF(AB129 = "NA", "NA", AB129/(Data!$D$53*3*Data!$D$48)*1000),"---")</f>
        <v>NA</v>
      </c>
      <c r="AF129" s="498" t="str">
        <f>IF(Start!$C$18="x",IF(AE129="NA","NA",AE129*Data!$D$46),"---")</f>
        <v>NA</v>
      </c>
      <c r="AG129" s="375">
        <f>IF(Start!$C$18="x",IF(OR($L129="NA",L129=""),"NA",($L129*(Data!$D$55^3.33)/(Data!$D$18^2))),"---")</f>
        <v>4.7779345294833196E-4</v>
      </c>
      <c r="AH129" s="376" t="str">
        <f>IF(Start!$C$18="x",IF(OR(F129="NA",F129="",P129="NA",P129=""),"NA",IF(100/Data!$D$10&gt;Data!$D$13,(F129*$P129),(F129*$P129)*Data!$D$13)),"---")</f>
        <v>NA</v>
      </c>
      <c r="AI129" s="489">
        <f>IF(Start!$C$18="x",IF(OR($N129="NA",$Q129="NA",$Q129=0,Q129="",N129=""),"NA",(1000*$N129/$Q129)),"---")</f>
        <v>3931782.3991997852</v>
      </c>
      <c r="AJ129" s="376">
        <f>IF(Start!$C$18="x",IF(OR(Q129 = "NA",Q129=0,N129 = "NA",N129="",Q129=""), "NA", IF($AG129="NA","NA",(3.1416*Data!$D$57*86400/($AG129*(Data!$D$55+(N129*Data!$D$19/(Q129*1000)))))^0.5)),"---")</f>
        <v>2259.0168172306981</v>
      </c>
      <c r="AK129" s="376" t="str">
        <f>IF(Start!$C$18="x",IF(OR(AH129 = "NA",AI129="NA",AI129=0,AI129="",AH129=""), "NA", AH129/AI129),"---")</f>
        <v>NA</v>
      </c>
      <c r="AL129" s="376" t="str">
        <f>IF(Start!$C$18="x",IF(OR(AK129 ="NA",AK129="",AJ129= "NA",R129="NA",R129=0),"NA",(2*AK129)/(1000*(1/$R129+AJ129))),"---")</f>
        <v>NA</v>
      </c>
      <c r="AM129" s="376" t="str">
        <f>IF(Start!$C$18="x",IF(AL129 = "NA", "NA", AL129*(Data!$D$52*Data!$D$53*10000)),"---")</f>
        <v>NA</v>
      </c>
      <c r="AN129" s="376" t="str">
        <f>IF(Start!$C$18="x",IF(AM129 = "NA", "NA", AM129*(Data!$D$54)),"---")</f>
        <v>NA</v>
      </c>
      <c r="AO129" s="498" t="str">
        <f>IF(Start!$C$18="x",IF(AN129="NA","NA",AN129*Data!$D$41),"---")</f>
        <v>NA</v>
      </c>
      <c r="AP129" s="376">
        <f>IF(Start!$C$18="x",IF(OR(Q129=0,N129="NA",N129="",AG129="NA",AG129="",AG129=0,Q129="",Q129="NA"),"NA", (3.1416*Data!$D$56*86400/($AG129*(Data!$D$55+(N129*Data!$D$19/(Q129*1000)))))^0.5),"---")</f>
        <v>2259.0168172306981</v>
      </c>
      <c r="AQ129" s="376" t="str">
        <f>IF(Start!$C$18="x",IF(OR(AH129="NA",AI129="NA",AI129="",AI129=0,AH129=""),"NA", AH129/AI129),"---")</f>
        <v>NA</v>
      </c>
      <c r="AR129" s="376" t="str">
        <f>IF(Start!$C$18="x",IF(OR(AQ129="NA",AP129="NA",$R129="NA",R129=0,R129=""),"NA",(2*AQ129)/(1000*(1/$R129+AP129))),"---")</f>
        <v>NA</v>
      </c>
      <c r="AS129" s="376" t="str">
        <f>IF(Start!$C$18="x",IF(AR129 = "NA", "NA", AR129*(Data!$D$52*Data!$D$53*10000)),"---")</f>
        <v>NA</v>
      </c>
      <c r="AT129" s="376" t="str">
        <f>IF(Start!$C$18="x",IF(AS129 = "NA", "NA", (AS129*1000)/(Data!$D$48*3*Data!$D$53)),"---")</f>
        <v>NA</v>
      </c>
      <c r="AU129" s="498" t="str">
        <f>IF(Start!$C$18="x",IF(AT129="NA","NA",AT129*Data!$D$47),"---")</f>
        <v>NA</v>
      </c>
      <c r="AV129" s="283" t="str">
        <f>IF(Start!$C$18="x",(IF(AND(F129="",G129= "",G129&lt;&gt;"NA"),"",IF(OR(AD129="NA",I129="NA",I129=0),"NA",(AD129/I129)))),"Not Req.")</f>
        <v/>
      </c>
      <c r="AW129" s="284" t="str">
        <f>IF(Start!$C$18="x",(IF(AND(F129="",G129= "",G129&lt;&gt;"NA"),"",IF(OR(AF129="NA",I129="NA",I129=0),"NA",(AF129/I129)))),"Not Req.")</f>
        <v/>
      </c>
      <c r="AX129" s="284" t="str">
        <f>IF(Start!$C$18="x",(IF(F129 ="","",IF(OR(AO129="NA",I129="NA",I129=0),"NA",(AO129/I129)))),"Not Req.")</f>
        <v/>
      </c>
      <c r="AY129" s="344" t="str">
        <f>IF(Start!$C$18="x",(IF(F129 ="","",IF(OR(AU129="NA",I129="NA",I129=0),"NA",(AU129/I129)))),"Not Req.")</f>
        <v/>
      </c>
      <c r="AZ129" s="208"/>
    </row>
    <row r="130" spans="1:52" s="183" customFormat="1" x14ac:dyDescent="0.25">
      <c r="A130" s="405" t="s">
        <v>448</v>
      </c>
      <c r="B130" s="347" t="str">
        <f>IF(Start!$C$18="x",IF(AND(OR(F130="",F130="NA"),OR(G130="",G130="NA")),"",IF(I130="NA","NA",IF(AND(I130="",K130="--"),"NA",IF(AD130="NA","Missing Data",IF(I130="","No Criteria",IF(AD130&gt;=I130,"Needed","No")))))),"---")</f>
        <v/>
      </c>
      <c r="C130" s="501" t="str">
        <f>IF(Start!$C$18="x",IF(AND(OR(F130="",F130="NA"),OR(G130="",G130="NA")),"",IF(I130="NA","NA",IF(AND(I130="",K130="--"),"NA",IF(AF130="NA","Missing Data",IF(I130="","No Criteria",IF(AF130&gt;=I130,"Needed","No")))))),"---")</f>
        <v/>
      </c>
      <c r="D130" s="347" t="str">
        <f>IF(Start!$C$18="x",IF(AND(OR(F130="",F130="NA"),OR(G130="",G130="NA")),"",IF(I130="NA","NA",IF(AND(I130="",K130="--"),"NA",IF(AO130="NA","Missing Data",IF(I130="","No Criteria",IF(AO130&gt;=I130,"Needed","No")))))),"---")</f>
        <v/>
      </c>
      <c r="E130" s="401" t="str">
        <f>IF(Start!$C$18="x",IF(AND(OR(F130="",F130="NA"),OR(G130="",G130="NA")),"",IF(I130="NA","NA",IF(AND(I130="",K130="--"),"NA",IF(AU130="NA","Missing Data",IF(I130="","No Criteria",IF(AU130&gt;=I130,"Needed","No")))))),"---")</f>
        <v/>
      </c>
      <c r="F130" s="431" t="str">
        <f>IF(TRUE=ISBLANK(ChemData!B130),"",(ChemData!B130))</f>
        <v/>
      </c>
      <c r="G130" s="432" t="str">
        <f>IF(TRUE=ISBLANK(ChemData!C130),"",(ChemData!C130))</f>
        <v/>
      </c>
      <c r="H130" s="433" t="str">
        <f>IF(TRUE=ISBLANK(ChemData!D130),"",(ChemData!D130))</f>
        <v/>
      </c>
      <c r="I130" s="919">
        <f>IF(TRUE=ISBLANK(ChemData!K130),"",(ChemData!K130))</f>
        <v>7.4999999999999997E-2</v>
      </c>
      <c r="J130" s="290">
        <f>IF(TRUE=ISBLANK(ChemData!M130),"",(ChemData!M130))</f>
        <v>139.1</v>
      </c>
      <c r="K130" s="290">
        <f>IF(TRUE=ISBLANK(ChemData!N130),"",(ChemData!N130))</f>
        <v>4.1500000000000001E-10</v>
      </c>
      <c r="L130" s="290">
        <f>IF(TRUE=ISBLANK(ChemData!O130),"",(ChemData!O130))</f>
        <v>4.2999999999999997E-2</v>
      </c>
      <c r="M130" s="290">
        <f>IF(TRUE=ISBLANK(ChemData!Q130),"",(ChemData!Q130))</f>
        <v>1.7274537107752317</v>
      </c>
      <c r="N130" s="290">
        <f>IF(TRUE=ISBLANK(ChemData!R130),"",(ChemData!R130))</f>
        <v>1.7274537107752317</v>
      </c>
      <c r="O130" s="290">
        <f>IF(TRUE=ISBLANK(ChemData!S130),"",(ChemData!S130))</f>
        <v>1</v>
      </c>
      <c r="P130" s="291">
        <f>IF(TRUE=ISBLANK(ChemData!T130),"",(ChemData!T130))</f>
        <v>1</v>
      </c>
      <c r="Q130" s="375">
        <f>IF(Start!$C$18="x",IF(OR(K130="NA",K130="",K130="--"),"NA",(K130*1000000/82.1/Data!$D$50)),"---")</f>
        <v>1.6305842599504932E-8</v>
      </c>
      <c r="R130" s="376">
        <f>IF(Start!$C$18="x",IF(OR(J130="NA",J130=0,J130=""),"NA",(0.32*(Data!$D$48+Data!$D$49)*(18/J130)^0.5)),"---")</f>
        <v>0.2964148102837838</v>
      </c>
      <c r="S130" s="376">
        <f>IF(Start!$C$18="x",IF(OR(J130="NA",J130= 0,J130=""),"NA",(0.0065*((Data!$D$49^0.969)/(Data!$D$51^0.673))*(32/J130)^0.5*EXP(0.526*Data!$D$48^-1.9))),"---")</f>
        <v>6.2476121213322618E-4</v>
      </c>
      <c r="T130" s="377">
        <f>IF(Start!$C$18="x",IF(OR(S130="NA",R130="NA",R130=0,Q130="NA",S130=0,Q130=0),"NA",(1/(1/S130+(1/(R130*Q130))))),"---")</f>
        <v>4.833255849495284E-9</v>
      </c>
      <c r="U130" s="375" t="str">
        <f>IF(Start!$C$18="x",IF(OR(F130="NA",F130="",O130="",O130="NA"),"NA",(F130*$O130)),"---")</f>
        <v>NA</v>
      </c>
      <c r="V130" s="376" t="str">
        <f>IF(Start!$C$18="x",IF(OR(U130="NA",M130="NA",M130="",U130=""),"NA",U130/((Data!$D$18+((1-Data!$D$18)*Data!$D$14*M130))/((1-Data!$D$18)*Data!$D$14*1000))),"---")</f>
        <v>NA</v>
      </c>
      <c r="W130" s="376" t="str">
        <f>IF(Start!$C$18="x",IF(OR(G130="NA",U130="NA",G130="",U130=""),"NA",(U130 +($G130*(Data!$D$19-Data!$D$22)/(Data!$D$19*Data!$D$22)))),"---")</f>
        <v>NA</v>
      </c>
      <c r="X130" s="376" t="str">
        <f>IF(Start!$C$18="x",IF(OR(G130="NA",V130="NA",G130="",V130=""),"NA",(((Data!$D$22*Data!$D$18)*V130)+(Data!$D$19-Data!$D$22)*$G130)/((Data!$D$22*Data!$D$18)+Data!$D$19-Data!$D$22)),"---")</f>
        <v>NA</v>
      </c>
      <c r="Y130" s="376" t="str">
        <f>IF(Start!$C$18="x",IF(OR(W130="NA",W130="",M130="NA",M130=""),"NA",(W130/((Data!$D$23+((1-Data!$D$23)*Data!$D$14*M130)) /((1-Data!$D$23)*Data!$D$14*1000)))),"---")</f>
        <v>NA</v>
      </c>
      <c r="Z130" s="376" t="str">
        <f>IF(Start!$C$18="x",IF(OR(Y130="NA",X130="NA"),"NA",IF(Y130&gt;X130, Y130, X130)),"---")</f>
        <v>NA</v>
      </c>
      <c r="AA130" s="461" t="str">
        <f>IF(Start!$C$18="x",IF(OR(Z130="NA",T130="NA"),"NA",Z130*T130/(1000000000)),"---")</f>
        <v>NA</v>
      </c>
      <c r="AB130" s="1057" t="str">
        <f>IF(Start!$C$18="x",IF(AA130 = "NA", "NA", AA130*(Data!$D$52*Data!$D$53*10000)),"---")</f>
        <v>NA</v>
      </c>
      <c r="AC130" s="375" t="str">
        <f>IF(Start!$C$18="x",IF(AB130="NA", "NA", AB130*Data!$D$54),"---")</f>
        <v>NA</v>
      </c>
      <c r="AD130" s="498" t="str">
        <f>IF(Start!$C$18="x",IF(AC130="NA","NA",AC130*Data!$D$41),"---")</f>
        <v>NA</v>
      </c>
      <c r="AE130" s="376" t="str">
        <f>IF(Start!$C$18="x",IF(AB130 = "NA", "NA", AB130/(Data!$D$53*3*Data!$D$48)*1000),"---")</f>
        <v>NA</v>
      </c>
      <c r="AF130" s="498" t="str">
        <f>IF(Start!$C$18="x",IF(AE130="NA","NA",AE130*Data!$D$46),"---")</f>
        <v>NA</v>
      </c>
      <c r="AG130" s="375">
        <f>IF(Start!$C$18="x",IF(OR($L130="NA",L130=""),"NA",($L130*(Data!$D$55^3.33)/(Data!$D$18^2))),"---")</f>
        <v>4.3806222764985656E-4</v>
      </c>
      <c r="AH130" s="376" t="str">
        <f>IF(Start!$C$18="x",IF(OR(F130="NA",F130="",P130="NA",P130=""),"NA",IF(100/Data!$D$10&gt;Data!$D$13,(F130*$P130),(F130*$P130)*Data!$D$13)),"---")</f>
        <v>NA</v>
      </c>
      <c r="AI130" s="489">
        <f>IF(Start!$C$18="x",IF(OR($N130="NA",$Q130="NA",$Q130=0,Q130="",N130=""),"NA",(1000*$N130/$Q130)),"---")</f>
        <v>105940781669.73595</v>
      </c>
      <c r="AJ130" s="376">
        <f>IF(Start!$C$18="x",IF(OR(Q130 = "NA",Q130=0,N130 = "NA",N130="",Q130=""), "NA", IF($AG130="NA","NA",(3.1416*Data!$D$57*86400/($AG130*(Data!$D$55+(N130*Data!$D$19/(Q130*1000)))))^0.5)),"---")</f>
        <v>14.373012793016747</v>
      </c>
      <c r="AK130" s="376" t="str">
        <f>IF(Start!$C$18="x",IF(OR(AH130 = "NA",AI130="NA",AI130=0,AI130="",AH130=""), "NA", AH130/AI130),"---")</f>
        <v>NA</v>
      </c>
      <c r="AL130" s="376" t="str">
        <f>IF(Start!$C$18="x",IF(OR(AK130 ="NA",AK130="",AJ130= "NA",R130="NA",R130=0),"NA",(2*AK130)/(1000*(1/$R130+AJ130))),"---")</f>
        <v>NA</v>
      </c>
      <c r="AM130" s="376" t="str">
        <f>IF(Start!$C$18="x",IF(AL130 = "NA", "NA", AL130*(Data!$D$52*Data!$D$53*10000)),"---")</f>
        <v>NA</v>
      </c>
      <c r="AN130" s="376" t="str">
        <f>IF(Start!$C$18="x",IF(AM130 = "NA", "NA", AM130*(Data!$D$54)),"---")</f>
        <v>NA</v>
      </c>
      <c r="AO130" s="498" t="str">
        <f>IF(Start!$C$18="x",IF(AN130="NA","NA",AN130*Data!$D$41),"---")</f>
        <v>NA</v>
      </c>
      <c r="AP130" s="376">
        <f>IF(Start!$C$18="x",IF(OR(Q130=0,N130="NA",N130="",AG130="NA",AG130="",AG130=0,Q130="",Q130="NA"),"NA", (3.1416*Data!$D$56*86400/($AG130*(Data!$D$55+(N130*Data!$D$19/(Q130*1000)))))^0.5),"---")</f>
        <v>14.373012793016747</v>
      </c>
      <c r="AQ130" s="376" t="str">
        <f>IF(Start!$C$18="x",IF(OR(AH130="NA",AI130="NA",AI130="",AI130=0,AH130=""),"NA", AH130/AI130),"---")</f>
        <v>NA</v>
      </c>
      <c r="AR130" s="376" t="str">
        <f>IF(Start!$C$18="x",IF(OR(AQ130="NA",AP130="NA",$R130="NA",R130=0,R130=""),"NA",(2*AQ130)/(1000*(1/$R130+AP130))),"---")</f>
        <v>NA</v>
      </c>
      <c r="AS130" s="376" t="str">
        <f>IF(Start!$C$18="x",IF(AR130 = "NA", "NA", AR130*(Data!$D$52*Data!$D$53*10000)),"---")</f>
        <v>NA</v>
      </c>
      <c r="AT130" s="376" t="str">
        <f>IF(Start!$C$18="x",IF(AS130 = "NA", "NA", (AS130*1000)/(Data!$D$48*3*Data!$D$53)),"---")</f>
        <v>NA</v>
      </c>
      <c r="AU130" s="498" t="str">
        <f>IF(Start!$C$18="x",IF(AT130="NA","NA",AT130*Data!$D$47),"---")</f>
        <v>NA</v>
      </c>
      <c r="AV130" s="283" t="str">
        <f>IF(Start!$C$18="x",(IF(AND(F130="",G130= "",G130&lt;&gt;"NA"),"",IF(OR(AD130="NA",I130="NA",I130=0),"NA",(AD130/I130)))),"Not Req.")</f>
        <v/>
      </c>
      <c r="AW130" s="284" t="str">
        <f>IF(Start!$C$18="x",(IF(AND(F130="",G130= "",G130&lt;&gt;"NA"),"",IF(OR(AF130="NA",I130="NA",I130=0),"NA",(AF130/I130)))),"Not Req.")</f>
        <v/>
      </c>
      <c r="AX130" s="284" t="str">
        <f>IF(Start!$C$18="x",(IF(F130 ="","",IF(OR(AO130="NA",I130="NA",I130=0),"NA",(AO130/I130)))),"Not Req.")</f>
        <v/>
      </c>
      <c r="AY130" s="344" t="str">
        <f>IF(Start!$C$18="x",(IF(F130 ="","",IF(OR(AU130="NA",I130="NA",I130=0),"NA",(AU130/I130)))),"Not Req.")</f>
        <v/>
      </c>
      <c r="AZ130" s="208"/>
    </row>
    <row r="131" spans="1:52" s="183" customFormat="1" x14ac:dyDescent="0.25">
      <c r="A131" s="405" t="s">
        <v>449</v>
      </c>
      <c r="B131" s="347" t="str">
        <f>IF(Start!$C$18="x",IF(AND(OR(F131="",F131="NA"),OR(G131="",G131="NA")),"",IF(I131="NA","NA",IF(AND(I131="",K131="--"),"NA",IF(AD131="NA","Missing Data",IF(I131="","No Criteria",IF(AD131&gt;=I131,"Needed","No")))))),"---")</f>
        <v/>
      </c>
      <c r="C131" s="501" t="str">
        <f>IF(Start!$C$18="x",IF(AND(OR(F131="",F131="NA"),OR(G131="",G131="NA")),"",IF(I131="NA","NA",IF(AND(I131="",K131="--"),"NA",IF(AF131="NA","Missing Data",IF(I131="","No Criteria",IF(AF131&gt;=I131,"Needed","No")))))),"---")</f>
        <v/>
      </c>
      <c r="D131" s="347" t="str">
        <f>IF(Start!$C$18="x",IF(AND(OR(F131="",F131="NA"),OR(G131="",G131="NA")),"",IF(I131="NA","NA",IF(AND(I131="",K131="--"),"NA",IF(AO131="NA","Missing Data",IF(I131="","No Criteria",IF(AO131&gt;=I131,"Needed","No")))))),"---")</f>
        <v/>
      </c>
      <c r="E131" s="401" t="str">
        <f>IF(Start!$C$18="x",IF(AND(OR(F131="",F131="NA"),OR(G131="",G131="NA")),"",IF(I131="NA","NA",IF(AND(I131="",K131="--"),"NA",IF(AU131="NA","Missing Data",IF(I131="","No Criteria",IF(AU131&gt;=I131,"Needed","No")))))),"---")</f>
        <v/>
      </c>
      <c r="F131" s="431" t="str">
        <f>IF(TRUE=ISBLANK(ChemData!B131),"",(ChemData!B131))</f>
        <v/>
      </c>
      <c r="G131" s="432" t="str">
        <f>IF(TRUE=ISBLANK(ChemData!C131),"",(ChemData!C131))</f>
        <v/>
      </c>
      <c r="H131" s="433" t="str">
        <f>IF(TRUE=ISBLANK(ChemData!D131),"",(ChemData!D131))</f>
        <v/>
      </c>
      <c r="I131" s="919" t="str">
        <f>IF(TRUE=ISBLANK(ChemData!K131),"",(ChemData!K131))</f>
        <v>NA</v>
      </c>
      <c r="J131" s="290">
        <f>IF(TRUE=ISBLANK(ChemData!M131),"",(ChemData!M131))</f>
        <v>130.19999999999999</v>
      </c>
      <c r="K131" s="290">
        <f>IF(TRUE=ISBLANK(ChemData!N131),"",(ChemData!N131))</f>
        <v>2.2500000000000001E-6</v>
      </c>
      <c r="L131" s="290">
        <f>IF(TRUE=ISBLANK(ChemData!O131),"",(ChemData!O131))</f>
        <v>5.45E-2</v>
      </c>
      <c r="M131" s="290">
        <f>IF(TRUE=ISBLANK(ChemData!Q131),"",(ChemData!Q131))</f>
        <v>0.46495017847242326</v>
      </c>
      <c r="N131" s="290">
        <f>IF(TRUE=ISBLANK(ChemData!R131),"",(ChemData!R131))</f>
        <v>0.46495017847242326</v>
      </c>
      <c r="O131" s="290">
        <f>IF(TRUE=ISBLANK(ChemData!S131),"",(ChemData!S131))</f>
        <v>1</v>
      </c>
      <c r="P131" s="291">
        <f>IF(TRUE=ISBLANK(ChemData!T131),"",(ChemData!T131))</f>
        <v>1</v>
      </c>
      <c r="Q131" s="375">
        <f>IF(Start!$C$18="x",IF(OR(K131="NA",K131="",K131="--"),"NA",(K131*1000000/82.1/Data!$D$50)),"---")</f>
        <v>8.8405170720207466E-5</v>
      </c>
      <c r="R131" s="376">
        <f>IF(Start!$C$18="x",IF(OR(J131="NA",J131=0,J131=""),"NA",(0.32*(Data!$D$48+Data!$D$49)*(18/J131)^0.5)),"---")</f>
        <v>0.30637827888018643</v>
      </c>
      <c r="S131" s="376">
        <f>IF(Start!$C$18="x",IF(OR(J131="NA",J131= 0,J131=""),"NA",(0.0065*((Data!$D$49^0.969)/(Data!$D$51^0.673))*(32/J131)^0.5*EXP(0.526*Data!$D$48^-1.9))),"---")</f>
        <v>6.4576147427053388E-4</v>
      </c>
      <c r="T131" s="377">
        <f>IF(Start!$C$18="x",IF(OR(S131="NA",R131="NA",R131=0,Q131="NA",S131=0,Q131=0),"NA",(1/(1/S131+(1/(R131*Q131))))),"---")</f>
        <v>2.5995101425057715E-5</v>
      </c>
      <c r="U131" s="375" t="str">
        <f>IF(Start!$C$18="x",IF(OR(F131="NA",F131="",O131="",O131="NA"),"NA",(F131*$O131)),"---")</f>
        <v>NA</v>
      </c>
      <c r="V131" s="376" t="str">
        <f>IF(Start!$C$18="x",IF(OR(U131="NA",M131="NA",M131="",U131=""),"NA",U131/((Data!$D$18+((1-Data!$D$18)*Data!$D$14*M131))/((1-Data!$D$18)*Data!$D$14*1000))),"---")</f>
        <v>NA</v>
      </c>
      <c r="W131" s="376" t="str">
        <f>IF(Start!$C$18="x",IF(OR(G131="NA",U131="NA",G131="",U131=""),"NA",(U131 +($G131*(Data!$D$19-Data!$D$22)/(Data!$D$19*Data!$D$22)))),"---")</f>
        <v>NA</v>
      </c>
      <c r="X131" s="376" t="str">
        <f>IF(Start!$C$18="x",IF(OR(G131="NA",V131="NA",G131="",V131=""),"NA",(((Data!$D$22*Data!$D$18)*V131)+(Data!$D$19-Data!$D$22)*$G131)/((Data!$D$22*Data!$D$18)+Data!$D$19-Data!$D$22)),"---")</f>
        <v>NA</v>
      </c>
      <c r="Y131" s="376" t="str">
        <f>IF(Start!$C$18="x",IF(OR(W131="NA",W131="",M131="NA",M131=""),"NA",(W131/((Data!$D$23+((1-Data!$D$23)*Data!$D$14*M131)) /((1-Data!$D$23)*Data!$D$14*1000)))),"---")</f>
        <v>NA</v>
      </c>
      <c r="Z131" s="376" t="str">
        <f>IF(Start!$C$18="x",IF(OR(Y131="NA",X131="NA"),"NA",IF(Y131&gt;X131, Y131, X131)),"---")</f>
        <v>NA</v>
      </c>
      <c r="AA131" s="461" t="str">
        <f>IF(Start!$C$18="x",IF(OR(Z131="NA",T131="NA"),"NA",Z131*T131/(1000000000)),"---")</f>
        <v>NA</v>
      </c>
      <c r="AB131" s="1057" t="str">
        <f>IF(Start!$C$18="x",IF(AA131 = "NA", "NA", AA131*(Data!$D$52*Data!$D$53*10000)),"---")</f>
        <v>NA</v>
      </c>
      <c r="AC131" s="375" t="str">
        <f>IF(Start!$C$18="x",IF(AB131="NA", "NA", AB131*Data!$D$54),"---")</f>
        <v>NA</v>
      </c>
      <c r="AD131" s="498" t="str">
        <f>IF(Start!$C$18="x",IF(AC131="NA","NA",AC131*Data!$D$41),"---")</f>
        <v>NA</v>
      </c>
      <c r="AE131" s="376" t="str">
        <f>IF(Start!$C$18="x",IF(AB131 = "NA", "NA", AB131/(Data!$D$53*3*Data!$D$48)*1000),"---")</f>
        <v>NA</v>
      </c>
      <c r="AF131" s="498" t="str">
        <f>IF(Start!$C$18="x",IF(AE131="NA","NA",AE131*Data!$D$46),"---")</f>
        <v>NA</v>
      </c>
      <c r="AG131" s="375">
        <f>IF(Start!$C$18="x",IF(OR($L131="NA",L131=""),"NA",($L131*(Data!$D$55^3.33)/(Data!$D$18^2))),"---")</f>
        <v>5.5521840481202755E-4</v>
      </c>
      <c r="AH131" s="376" t="str">
        <f>IF(Start!$C$18="x",IF(OR(F131="NA",F131="",P131="NA",P131=""),"NA",IF(100/Data!$D$10&gt;Data!$D$13,(F131*$P131),(F131*$P131)*Data!$D$13)),"---")</f>
        <v>NA</v>
      </c>
      <c r="AI131" s="489">
        <f>IF(Start!$C$18="x",IF(OR($N131="NA",$Q131="NA",$Q131=0,Q131="",N131=""),"NA",(1000*$N131/$Q131)),"---")</f>
        <v>5259309.774356286</v>
      </c>
      <c r="AJ131" s="376">
        <f>IF(Start!$C$18="x",IF(OR(Q131 = "NA",Q131=0,N131 = "NA",N131="",Q131=""), "NA", IF($AG131="NA","NA",(3.1416*Data!$D$57*86400/($AG131*(Data!$D$55+(N131*Data!$D$19/(Q131*1000)))))^0.5)),"---")</f>
        <v>1811.9294257187953</v>
      </c>
      <c r="AK131" s="376" t="str">
        <f>IF(Start!$C$18="x",IF(OR(AH131 = "NA",AI131="NA",AI131=0,AI131="",AH131=""), "NA", AH131/AI131),"---")</f>
        <v>NA</v>
      </c>
      <c r="AL131" s="376" t="str">
        <f>IF(Start!$C$18="x",IF(OR(AK131 ="NA",AK131="",AJ131= "NA",R131="NA",R131=0),"NA",(2*AK131)/(1000*(1/$R131+AJ131))),"---")</f>
        <v>NA</v>
      </c>
      <c r="AM131" s="376" t="str">
        <f>IF(Start!$C$18="x",IF(AL131 = "NA", "NA", AL131*(Data!$D$52*Data!$D$53*10000)),"---")</f>
        <v>NA</v>
      </c>
      <c r="AN131" s="376" t="str">
        <f>IF(Start!$C$18="x",IF(AM131 = "NA", "NA", AM131*(Data!$D$54)),"---")</f>
        <v>NA</v>
      </c>
      <c r="AO131" s="498" t="str">
        <f>IF(Start!$C$18="x",IF(AN131="NA","NA",AN131*Data!$D$41),"---")</f>
        <v>NA</v>
      </c>
      <c r="AP131" s="376">
        <f>IF(Start!$C$18="x",IF(OR(Q131=0,N131="NA",N131="",AG131="NA",AG131="",AG131=0,Q131="",Q131="NA"),"NA", (3.1416*Data!$D$56*86400/($AG131*(Data!$D$55+(N131*Data!$D$19/(Q131*1000)))))^0.5),"---")</f>
        <v>1811.9294257187953</v>
      </c>
      <c r="AQ131" s="376" t="str">
        <f>IF(Start!$C$18="x",IF(OR(AH131="NA",AI131="NA",AI131="",AI131=0,AH131=""),"NA", AH131/AI131),"---")</f>
        <v>NA</v>
      </c>
      <c r="AR131" s="376" t="str">
        <f>IF(Start!$C$18="x",IF(OR(AQ131="NA",AP131="NA",$R131="NA",R131=0,R131=""),"NA",(2*AQ131)/(1000*(1/$R131+AP131))),"---")</f>
        <v>NA</v>
      </c>
      <c r="AS131" s="376" t="str">
        <f>IF(Start!$C$18="x",IF(AR131 = "NA", "NA", AR131*(Data!$D$52*Data!$D$53*10000)),"---")</f>
        <v>NA</v>
      </c>
      <c r="AT131" s="376" t="str">
        <f>IF(Start!$C$18="x",IF(AS131 = "NA", "NA", (AS131*1000)/(Data!$D$48*3*Data!$D$53)),"---")</f>
        <v>NA</v>
      </c>
      <c r="AU131" s="498" t="str">
        <f>IF(Start!$C$18="x",IF(AT131="NA","NA",AT131*Data!$D$47),"---")</f>
        <v>NA</v>
      </c>
      <c r="AV131" s="283" t="str">
        <f>IF(Start!$C$18="x",(IF(AND(F131="",G131= "",G131&lt;&gt;"NA"),"",IF(OR(AD131="NA",I131="NA",I131=0),"NA",(AD131/I131)))),"Not Req.")</f>
        <v/>
      </c>
      <c r="AW131" s="284" t="str">
        <f>IF(Start!$C$18="x",(IF(AND(F131="",G131= "",G131&lt;&gt;"NA"),"",IF(OR(AF131="NA",I131="NA",I131=0),"NA",(AF131/I131)))),"Not Req.")</f>
        <v/>
      </c>
      <c r="AX131" s="284" t="str">
        <f>IF(Start!$C$18="x",(IF(F131 ="","",IF(OR(AO131="NA",I131="NA",I131=0),"NA",(AO131/I131)))),"Not Req.")</f>
        <v/>
      </c>
      <c r="AY131" s="344" t="str">
        <f>IF(Start!$C$18="x",(IF(F131 ="","",IF(OR(AU131="NA",I131="NA",I131=0),"NA",(AU131/I131)))),"Not Req.")</f>
        <v/>
      </c>
      <c r="AZ131" s="208"/>
    </row>
    <row r="132" spans="1:52" s="183" customFormat="1" x14ac:dyDescent="0.25">
      <c r="A132" s="405" t="s">
        <v>450</v>
      </c>
      <c r="B132" s="347" t="str">
        <f>IF(Start!$C$18="x",IF(AND(OR(F132="",F132="NA"),OR(G132="",G132="NA")),"",IF(I132="NA","NA",IF(AND(I132="",K132="--"),"NA",IF(AD132="NA","Missing Data",IF(I132="","No Criteria",IF(AD132&gt;=I132,"Needed","No")))))),"---")</f>
        <v/>
      </c>
      <c r="C132" s="501" t="str">
        <f>IF(Start!$C$18="x",IF(AND(OR(F132="",F132="NA"),OR(G132="",G132="NA")),"",IF(I132="NA","NA",IF(AND(I132="",K132="--"),"NA",IF(AF132="NA","Missing Data",IF(I132="","No Criteria",IF(AF132&gt;=I132,"Needed","No")))))),"---")</f>
        <v/>
      </c>
      <c r="D132" s="347" t="str">
        <f>IF(Start!$C$18="x",IF(AND(OR(F132="",F132="NA"),OR(G132="",G132="NA")),"",IF(I132="NA","NA",IF(AND(I132="",K132="--"),"NA",IF(AO132="NA","Missing Data",IF(I132="","No Criteria",IF(AO132&gt;=I132,"Needed","No")))))),"---")</f>
        <v/>
      </c>
      <c r="E132" s="401" t="str">
        <f>IF(Start!$C$18="x",IF(AND(OR(F132="",F132="NA"),OR(G132="",G132="NA")),"",IF(I132="NA","NA",IF(AND(I132="",K132="--"),"NA",IF(AU132="NA","Missing Data",IF(I132="","No Criteria",IF(AU132&gt;=I132,"Needed","No")))))),"---")</f>
        <v/>
      </c>
      <c r="F132" s="431" t="str">
        <f>IF(TRUE=ISBLANK(ChemData!B132),"",(ChemData!B132))</f>
        <v/>
      </c>
      <c r="G132" s="432" t="str">
        <f>IF(TRUE=ISBLANK(ChemData!C132),"",(ChemData!C132))</f>
        <v/>
      </c>
      <c r="H132" s="433" t="str">
        <f>IF(TRUE=ISBLANK(ChemData!D132),"",(ChemData!D132))</f>
        <v/>
      </c>
      <c r="I132" s="919" t="str">
        <f>IF(TRUE=ISBLANK(ChemData!K132),"",(ChemData!K132))</f>
        <v>NA</v>
      </c>
      <c r="J132" s="290">
        <f>IF(TRUE=ISBLANK(ChemData!M132),"",(ChemData!M132))</f>
        <v>74.08</v>
      </c>
      <c r="K132" s="290">
        <f>IF(TRUE=ISBLANK(ChemData!N132),"",(ChemData!N132))</f>
        <v>3.3000000000000003E-5</v>
      </c>
      <c r="L132" s="290">
        <f>IF(TRUE=ISBLANK(ChemData!O132),"",(ChemData!O132))</f>
        <v>0.11260000000000001</v>
      </c>
      <c r="M132" s="290">
        <f>IF(TRUE=ISBLANK(ChemData!Q132),"",(ChemData!Q132))</f>
        <v>2.12523235339073E-2</v>
      </c>
      <c r="N132" s="290">
        <f>IF(TRUE=ISBLANK(ChemData!R132),"",(ChemData!R132))</f>
        <v>2.12523235339073E-2</v>
      </c>
      <c r="O132" s="290">
        <f>IF(TRUE=ISBLANK(ChemData!S132),"",(ChemData!S132))</f>
        <v>1</v>
      </c>
      <c r="P132" s="291">
        <f>IF(TRUE=ISBLANK(ChemData!T132),"",(ChemData!T132))</f>
        <v>1</v>
      </c>
      <c r="Q132" s="375">
        <f>IF(Start!$C$18="x",IF(OR(K132="NA",K132="",K132="--"),"NA",(K132*1000000/82.1/Data!$D$50)),"---")</f>
        <v>1.2966091705630426E-3</v>
      </c>
      <c r="R132" s="376">
        <f>IF(Start!$C$18="x",IF(OR(J132="NA",J132=0,J132=""),"NA",(0.32*(Data!$D$48+Data!$D$49)*(18/J132)^0.5)),"---")</f>
        <v>0.40617480197867895</v>
      </c>
      <c r="S132" s="376">
        <f>IF(Start!$C$18="x",IF(OR(J132="NA",J132= 0,J132=""),"NA",(0.0065*((Data!$D$49^0.969)/(Data!$D$51^0.673))*(32/J132)^0.5*EXP(0.526*Data!$D$48^-1.9))),"---")</f>
        <v>8.5610520398499569E-4</v>
      </c>
      <c r="T132" s="377">
        <f>IF(Start!$C$18="x",IF(OR(S132="NA",R132="NA",R132=0,Q132="NA",S132=0,Q132=0),"NA",(1/(1/S132+(1/(R132*Q132))))),"---")</f>
        <v>3.2606479449128162E-4</v>
      </c>
      <c r="U132" s="375" t="str">
        <f>IF(Start!$C$18="x",IF(OR(F132="NA",F132="",O132="",O132="NA"),"NA",(F132*$O132)),"---")</f>
        <v>NA</v>
      </c>
      <c r="V132" s="376" t="str">
        <f>IF(Start!$C$18="x",IF(OR(U132="NA",M132="NA",M132="",U132=""),"NA",U132/((Data!$D$18+((1-Data!$D$18)*Data!$D$14*M132))/((1-Data!$D$18)*Data!$D$14*1000))),"---")</f>
        <v>NA</v>
      </c>
      <c r="W132" s="376" t="str">
        <f>IF(Start!$C$18="x",IF(OR(G132="NA",U132="NA",G132="",U132=""),"NA",(U132 +($G132*(Data!$D$19-Data!$D$22)/(Data!$D$19*Data!$D$22)))),"---")</f>
        <v>NA</v>
      </c>
      <c r="X132" s="376" t="str">
        <f>IF(Start!$C$18="x",IF(OR(G132="NA",V132="NA",G132="",V132=""),"NA",(((Data!$D$22*Data!$D$18)*V132)+(Data!$D$19-Data!$D$22)*$G132)/((Data!$D$22*Data!$D$18)+Data!$D$19-Data!$D$22)),"---")</f>
        <v>NA</v>
      </c>
      <c r="Y132" s="376" t="str">
        <f>IF(Start!$C$18="x",IF(OR(W132="NA",W132="",M132="NA",M132=""),"NA",(W132/((Data!$D$23+((1-Data!$D$23)*Data!$D$14*M132)) /((1-Data!$D$23)*Data!$D$14*1000)))),"---")</f>
        <v>NA</v>
      </c>
      <c r="Z132" s="376" t="str">
        <f>IF(Start!$C$18="x",IF(OR(Y132="NA",X132="NA"),"NA",IF(Y132&gt;X132, Y132, X132)),"---")</f>
        <v>NA</v>
      </c>
      <c r="AA132" s="461" t="str">
        <f>IF(Start!$C$18="x",IF(OR(Z132="NA",T132="NA"),"NA",Z132*T132/(1000000000)),"---")</f>
        <v>NA</v>
      </c>
      <c r="AB132" s="1057" t="str">
        <f>IF(Start!$C$18="x",IF(AA132 = "NA", "NA", AA132*(Data!$D$52*Data!$D$53*10000)),"---")</f>
        <v>NA</v>
      </c>
      <c r="AC132" s="375" t="str">
        <f>IF(Start!$C$18="x",IF(AB132="NA", "NA", AB132*Data!$D$54),"---")</f>
        <v>NA</v>
      </c>
      <c r="AD132" s="498" t="str">
        <f>IF(Start!$C$18="x",IF(AC132="NA","NA",AC132*Data!$D$41),"---")</f>
        <v>NA</v>
      </c>
      <c r="AE132" s="376" t="str">
        <f>IF(Start!$C$18="x",IF(AB132 = "NA", "NA", AB132/(Data!$D$53*3*Data!$D$48)*1000),"---")</f>
        <v>NA</v>
      </c>
      <c r="AF132" s="498" t="str">
        <f>IF(Start!$C$18="x",IF(AE132="NA","NA",AE132*Data!$D$46),"---")</f>
        <v>NA</v>
      </c>
      <c r="AG132" s="375">
        <f>IF(Start!$C$18="x",IF(OR($L132="NA",L132=""),"NA",($L132*(Data!$D$55^3.33)/(Data!$D$18^2))),"---")</f>
        <v>1.1471117868226478E-3</v>
      </c>
      <c r="AH132" s="376" t="str">
        <f>IF(Start!$C$18="x",IF(OR(F132="NA",F132="",P132="NA",P132=""),"NA",IF(100/Data!$D$10&gt;Data!$D$13,(F132*$P132),(F132*$P132)*Data!$D$13)),"---")</f>
        <v>NA</v>
      </c>
      <c r="AI132" s="489">
        <f>IF(Start!$C$18="x",IF(OR($N132="NA",$Q132="NA",$Q132=0,Q132="",N132=""),"NA",(1000*$N132/$Q132)),"---")</f>
        <v>16390.693523074991</v>
      </c>
      <c r="AJ132" s="376">
        <f>IF(Start!$C$18="x",IF(OR(Q132 = "NA",Q132=0,N132 = "NA",N132="",Q132=""), "NA", IF($AG132="NA","NA",(3.1416*Data!$D$57*86400/($AG132*(Data!$D$55+(N132*Data!$D$19/(Q132*1000)))))^0.5)),"---")</f>
        <v>22420.659630044971</v>
      </c>
      <c r="AK132" s="376" t="str">
        <f>IF(Start!$C$18="x",IF(OR(AH132 = "NA",AI132="NA",AI132=0,AI132="",AH132=""), "NA", AH132/AI132),"---")</f>
        <v>NA</v>
      </c>
      <c r="AL132" s="376" t="str">
        <f>IF(Start!$C$18="x",IF(OR(AK132 ="NA",AK132="",AJ132= "NA",R132="NA",R132=0),"NA",(2*AK132)/(1000*(1/$R132+AJ132))),"---")</f>
        <v>NA</v>
      </c>
      <c r="AM132" s="376" t="str">
        <f>IF(Start!$C$18="x",IF(AL132 = "NA", "NA", AL132*(Data!$D$52*Data!$D$53*10000)),"---")</f>
        <v>NA</v>
      </c>
      <c r="AN132" s="376" t="str">
        <f>IF(Start!$C$18="x",IF(AM132 = "NA", "NA", AM132*(Data!$D$54)),"---")</f>
        <v>NA</v>
      </c>
      <c r="AO132" s="498" t="str">
        <f>IF(Start!$C$18="x",IF(AN132="NA","NA",AN132*Data!$D$41),"---")</f>
        <v>NA</v>
      </c>
      <c r="AP132" s="376">
        <f>IF(Start!$C$18="x",IF(OR(Q132=0,N132="NA",N132="",AG132="NA",AG132="",AG132=0,Q132="",Q132="NA"),"NA", (3.1416*Data!$D$56*86400/($AG132*(Data!$D$55+(N132*Data!$D$19/(Q132*1000)))))^0.5),"---")</f>
        <v>22420.659630044971</v>
      </c>
      <c r="AQ132" s="376" t="str">
        <f>IF(Start!$C$18="x",IF(OR(AH132="NA",AI132="NA",AI132="",AI132=0,AH132=""),"NA", AH132/AI132),"---")</f>
        <v>NA</v>
      </c>
      <c r="AR132" s="376" t="str">
        <f>IF(Start!$C$18="x",IF(OR(AQ132="NA",AP132="NA",$R132="NA",R132=0,R132=""),"NA",(2*AQ132)/(1000*(1/$R132+AP132))),"---")</f>
        <v>NA</v>
      </c>
      <c r="AS132" s="376" t="str">
        <f>IF(Start!$C$18="x",IF(AR132 = "NA", "NA", AR132*(Data!$D$52*Data!$D$53*10000)),"---")</f>
        <v>NA</v>
      </c>
      <c r="AT132" s="376" t="str">
        <f>IF(Start!$C$18="x",IF(AS132 = "NA", "NA", (AS132*1000)/(Data!$D$48*3*Data!$D$53)),"---")</f>
        <v>NA</v>
      </c>
      <c r="AU132" s="498" t="str">
        <f>IF(Start!$C$18="x",IF(AT132="NA","NA",AT132*Data!$D$47),"---")</f>
        <v>NA</v>
      </c>
      <c r="AV132" s="283" t="str">
        <f>IF(Start!$C$18="x",(IF(AND(F132="",G132= "",G132&lt;&gt;"NA"),"",IF(OR(AD132="NA",I132="NA",I132=0),"NA",(AD132/I132)))),"Not Req.")</f>
        <v/>
      </c>
      <c r="AW132" s="284" t="str">
        <f>IF(Start!$C$18="x",(IF(AND(F132="",G132= "",G132&lt;&gt;"NA"),"",IF(OR(AF132="NA",I132="NA",I132=0),"NA",(AF132/I132)))),"Not Req.")</f>
        <v/>
      </c>
      <c r="AX132" s="284" t="str">
        <f>IF(Start!$C$18="x",(IF(F132 ="","",IF(OR(AO132="NA",I132="NA",I132=0),"NA",(AO132/I132)))),"Not Req.")</f>
        <v/>
      </c>
      <c r="AY132" s="344" t="str">
        <f>IF(Start!$C$18="x",(IF(F132 ="","",IF(OR(AU132="NA",I132="NA",I132=0),"NA",(AU132/I132)))),"Not Req.")</f>
        <v/>
      </c>
      <c r="AZ132" s="208"/>
    </row>
    <row r="133" spans="1:52" s="183" customFormat="1" x14ac:dyDescent="0.25">
      <c r="A133" s="405" t="s">
        <v>451</v>
      </c>
      <c r="B133" s="347" t="str">
        <f>IF(Start!$C$18="x",IF(AND(OR(F133="",F133="NA"),OR(G133="",G133="NA")),"",IF(I133="NA","NA",IF(AND(I133="",K133="--"),"NA",IF(AD133="NA","Missing Data",IF(I133="","No Criteria",IF(AD133&gt;=I133,"Needed","No")))))),"---")</f>
        <v/>
      </c>
      <c r="C133" s="501" t="str">
        <f>IF(Start!$C$18="x",IF(AND(OR(F133="",F133="NA"),OR(G133="",G133="NA")),"",IF(I133="NA","NA",IF(AND(I133="",K133="--"),"NA",IF(AF133="NA","Missing Data",IF(I133="","No Criteria",IF(AF133&gt;=I133,"Needed","No")))))),"---")</f>
        <v/>
      </c>
      <c r="D133" s="347" t="str">
        <f>IF(Start!$C$18="x",IF(AND(OR(F133="",F133="NA"),OR(G133="",G133="NA")),"",IF(I133="NA","NA",IF(AND(I133="",K133="--"),"NA",IF(AO133="NA","Missing Data",IF(I133="","No Criteria",IF(AO133&gt;=I133,"Needed","No")))))),"---")</f>
        <v/>
      </c>
      <c r="E133" s="401" t="str">
        <f>IF(Start!$C$18="x",IF(AND(OR(F133="",F133="NA"),OR(G133="",G133="NA")),"",IF(I133="NA","NA",IF(AND(I133="",K133="--"),"NA",IF(AU133="NA","Missing Data",IF(I133="","No Criteria",IF(AU133&gt;=I133,"Needed","No")))))),"---")</f>
        <v/>
      </c>
      <c r="F133" s="431" t="str">
        <f>IF(TRUE=ISBLANK(ChemData!B133),"",(ChemData!B133))</f>
        <v/>
      </c>
      <c r="G133" s="432" t="str">
        <f>IF(TRUE=ISBLANK(ChemData!C133),"",(ChemData!C133))</f>
        <v/>
      </c>
      <c r="H133" s="433" t="str">
        <f>IF(TRUE=ISBLANK(ChemData!D133),"",(ChemData!D133))</f>
        <v/>
      </c>
      <c r="I133" s="919" t="str">
        <f>IF(TRUE=ISBLANK(ChemData!K133),"",(ChemData!K133))</f>
        <v>NA</v>
      </c>
      <c r="J133" s="290">
        <f>IF(TRUE=ISBLANK(ChemData!M133),"",(ChemData!M133))</f>
        <v>198.2</v>
      </c>
      <c r="K133" s="290">
        <f>IF(TRUE=ISBLANK(ChemData!N133),"",(ChemData!N133))</f>
        <v>6.6E-4</v>
      </c>
      <c r="L133" s="290">
        <f>IF(TRUE=ISBLANK(ChemData!O133),"",(ChemData!O133))</f>
        <v>3.1199999999999999E-2</v>
      </c>
      <c r="M133" s="290">
        <f>IF(TRUE=ISBLANK(ChemData!Q133),"",(ChemData!Q133))</f>
        <v>24.969302956771518</v>
      </c>
      <c r="N133" s="290">
        <f>IF(TRUE=ISBLANK(ChemData!R133),"",(ChemData!R133))</f>
        <v>24.969302956771518</v>
      </c>
      <c r="O133" s="290">
        <f>IF(TRUE=ISBLANK(ChemData!S133),"",(ChemData!S133))</f>
        <v>1</v>
      </c>
      <c r="P133" s="291">
        <f>IF(TRUE=ISBLANK(ChemData!T133),"",(ChemData!T133))</f>
        <v>1</v>
      </c>
      <c r="Q133" s="375">
        <f>IF(Start!$C$18="x",IF(OR(K133="NA",K133="",K133="--"),"NA",(K133*1000000/82.1/Data!$D$50)),"---")</f>
        <v>2.5932183411260856E-2</v>
      </c>
      <c r="R133" s="376">
        <f>IF(Start!$C$18="x",IF(OR(J133="NA",J133=0,J133=""),"NA",(0.32*(Data!$D$48+Data!$D$49)*(18/J133)^0.5)),"---")</f>
        <v>0.24831996546235474</v>
      </c>
      <c r="S133" s="376">
        <f>IF(Start!$C$18="x",IF(OR(J133="NA",J133= 0,J133=""),"NA",(0.0065*((Data!$D$49^0.969)/(Data!$D$51^0.673))*(32/J133)^0.5*EXP(0.526*Data!$D$48^-1.9))),"---")</f>
        <v>5.2339045566114541E-4</v>
      </c>
      <c r="T133" s="377">
        <f>IF(Start!$C$18="x",IF(OR(S133="NA",R133="NA",R133=0,Q133="NA",S133=0,Q133=0),"NA",(1/(1/S133+(1/(R133*Q133))))),"---")</f>
        <v>4.8404782900603692E-4</v>
      </c>
      <c r="U133" s="375" t="str">
        <f>IF(Start!$C$18="x",IF(OR(F133="NA",F133="",O133="",O133="NA"),"NA",(F133*$O133)),"---")</f>
        <v>NA</v>
      </c>
      <c r="V133" s="376" t="str">
        <f>IF(Start!$C$18="x",IF(OR(U133="NA",M133="NA",M133="",U133=""),"NA",U133/((Data!$D$18+((1-Data!$D$18)*Data!$D$14*M133))/((1-Data!$D$18)*Data!$D$14*1000))),"---")</f>
        <v>NA</v>
      </c>
      <c r="W133" s="376" t="str">
        <f>IF(Start!$C$18="x",IF(OR(G133="NA",U133="NA",G133="",U133=""),"NA",(U133 +($G133*(Data!$D$19-Data!$D$22)/(Data!$D$19*Data!$D$22)))),"---")</f>
        <v>NA</v>
      </c>
      <c r="X133" s="376" t="str">
        <f>IF(Start!$C$18="x",IF(OR(G133="NA",V133="NA",G133="",V133=""),"NA",(((Data!$D$22*Data!$D$18)*V133)+(Data!$D$19-Data!$D$22)*$G133)/((Data!$D$22*Data!$D$18)+Data!$D$19-Data!$D$22)),"---")</f>
        <v>NA</v>
      </c>
      <c r="Y133" s="376" t="str">
        <f>IF(Start!$C$18="x",IF(OR(W133="NA",W133="",M133="NA",M133=""),"NA",(W133/((Data!$D$23+((1-Data!$D$23)*Data!$D$14*M133)) /((1-Data!$D$23)*Data!$D$14*1000)))),"---")</f>
        <v>NA</v>
      </c>
      <c r="Z133" s="376" t="str">
        <f>IF(Start!$C$18="x",IF(OR(Y133="NA",X133="NA"),"NA",IF(Y133&gt;X133, Y133, X133)),"---")</f>
        <v>NA</v>
      </c>
      <c r="AA133" s="461" t="str">
        <f>IF(Start!$C$18="x",IF(OR(Z133="NA",T133="NA"),"NA",Z133*T133/(1000000000)),"---")</f>
        <v>NA</v>
      </c>
      <c r="AB133" s="1057" t="str">
        <f>IF(Start!$C$18="x",IF(AA133 = "NA", "NA", AA133*(Data!$D$52*Data!$D$53*10000)),"---")</f>
        <v>NA</v>
      </c>
      <c r="AC133" s="375" t="str">
        <f>IF(Start!$C$18="x",IF(AB133="NA", "NA", AB133*Data!$D$54),"---")</f>
        <v>NA</v>
      </c>
      <c r="AD133" s="498" t="str">
        <f>IF(Start!$C$18="x",IF(AC133="NA","NA",AC133*Data!$D$41),"---")</f>
        <v>NA</v>
      </c>
      <c r="AE133" s="376" t="str">
        <f>IF(Start!$C$18="x",IF(AB133 = "NA", "NA", AB133/(Data!$D$53*3*Data!$D$48)*1000),"---")</f>
        <v>NA</v>
      </c>
      <c r="AF133" s="498" t="str">
        <f>IF(Start!$C$18="x",IF(AE133="NA","NA",AE133*Data!$D$46),"---")</f>
        <v>NA</v>
      </c>
      <c r="AG133" s="375">
        <f>IF(Start!$C$18="x",IF(OR($L133="NA",L133=""),"NA",($L133*(Data!$D$55^3.33)/(Data!$D$18^2))),"---")</f>
        <v>3.1784980238780294E-4</v>
      </c>
      <c r="AH133" s="376" t="str">
        <f>IF(Start!$C$18="x",IF(OR(F133="NA",F133="",P133="NA",P133=""),"NA",IF(100/Data!$D$10&gt;Data!$D$13,(F133*$P133),(F133*$P133)*Data!$D$13)),"---")</f>
        <v>NA</v>
      </c>
      <c r="AI133" s="489">
        <f>IF(Start!$C$18="x",IF(OR($N133="NA",$Q133="NA",$Q133=0,Q133="",N133=""),"NA",(1000*$N133/$Q133)),"---")</f>
        <v>962869.28720119968</v>
      </c>
      <c r="AJ133" s="376">
        <f>IF(Start!$C$18="x",IF(OR(Q133 = "NA",Q133=0,N133 = "NA",N133="",Q133=""), "NA", IF($AG133="NA","NA",(3.1416*Data!$D$57*86400/($AG133*(Data!$D$55+(N133*Data!$D$19/(Q133*1000)))))^0.5)),"---")</f>
        <v>5596.2816747550978</v>
      </c>
      <c r="AK133" s="376" t="str">
        <f>IF(Start!$C$18="x",IF(OR(AH133 = "NA",AI133="NA",AI133=0,AI133="",AH133=""), "NA", AH133/AI133),"---")</f>
        <v>NA</v>
      </c>
      <c r="AL133" s="376" t="str">
        <f>IF(Start!$C$18="x",IF(OR(AK133 ="NA",AK133="",AJ133= "NA",R133="NA",R133=0),"NA",(2*AK133)/(1000*(1/$R133+AJ133))),"---")</f>
        <v>NA</v>
      </c>
      <c r="AM133" s="376" t="str">
        <f>IF(Start!$C$18="x",IF(AL133 = "NA", "NA", AL133*(Data!$D$52*Data!$D$53*10000)),"---")</f>
        <v>NA</v>
      </c>
      <c r="AN133" s="376" t="str">
        <f>IF(Start!$C$18="x",IF(AM133 = "NA", "NA", AM133*(Data!$D$54)),"---")</f>
        <v>NA</v>
      </c>
      <c r="AO133" s="498" t="str">
        <f>IF(Start!$C$18="x",IF(AN133="NA","NA",AN133*Data!$D$41),"---")</f>
        <v>NA</v>
      </c>
      <c r="AP133" s="376">
        <f>IF(Start!$C$18="x",IF(OR(Q133=0,N133="NA",N133="",AG133="NA",AG133="",AG133=0,Q133="",Q133="NA"),"NA", (3.1416*Data!$D$56*86400/($AG133*(Data!$D$55+(N133*Data!$D$19/(Q133*1000)))))^0.5),"---")</f>
        <v>5596.2816747550978</v>
      </c>
      <c r="AQ133" s="376" t="str">
        <f>IF(Start!$C$18="x",IF(OR(AH133="NA",AI133="NA",AI133="",AI133=0,AH133=""),"NA", AH133/AI133),"---")</f>
        <v>NA</v>
      </c>
      <c r="AR133" s="376" t="str">
        <f>IF(Start!$C$18="x",IF(OR(AQ133="NA",AP133="NA",$R133="NA",R133=0,R133=""),"NA",(2*AQ133)/(1000*(1/$R133+AP133))),"---")</f>
        <v>NA</v>
      </c>
      <c r="AS133" s="376" t="str">
        <f>IF(Start!$C$18="x",IF(AR133 = "NA", "NA", AR133*(Data!$D$52*Data!$D$53*10000)),"---")</f>
        <v>NA</v>
      </c>
      <c r="AT133" s="376" t="str">
        <f>IF(Start!$C$18="x",IF(AS133 = "NA", "NA", (AS133*1000)/(Data!$D$48*3*Data!$D$53)),"---")</f>
        <v>NA</v>
      </c>
      <c r="AU133" s="498" t="str">
        <f>IF(Start!$C$18="x",IF(AT133="NA","NA",AT133*Data!$D$47),"---")</f>
        <v>NA</v>
      </c>
      <c r="AV133" s="283" t="str">
        <f>IF(Start!$C$18="x",(IF(AND(F133="",G133= "",G133&lt;&gt;"NA"),"",IF(OR(AD133="NA",I133="NA",I133=0),"NA",(AD133/I133)))),"Not Req.")</f>
        <v/>
      </c>
      <c r="AW133" s="284" t="str">
        <f>IF(Start!$C$18="x",(IF(AND(F133="",G133= "",G133&lt;&gt;"NA"),"",IF(OR(AF133="NA",I133="NA",I133=0),"NA",(AF133/I133)))),"Not Req.")</f>
        <v/>
      </c>
      <c r="AX133" s="284" t="str">
        <f>IF(Start!$C$18="x",(IF(F133 ="","",IF(OR(AO133="NA",I133="NA",I133=0),"NA",(AO133/I133)))),"Not Req.")</f>
        <v/>
      </c>
      <c r="AY133" s="344" t="str">
        <f>IF(Start!$C$18="x",(IF(F133 ="","",IF(OR(AU133="NA",I133="NA",I133=0),"NA",(AU133/I133)))),"Not Req.")</f>
        <v/>
      </c>
      <c r="AZ133" s="208"/>
    </row>
    <row r="134" spans="1:52" s="183" customFormat="1" x14ac:dyDescent="0.25">
      <c r="A134" s="405" t="s">
        <v>452</v>
      </c>
      <c r="B134" s="347" t="str">
        <f>IF(Start!$C$18="x",IF(AND(OR(F134="",F134="NA"),OR(G134="",G134="NA")),"",IF(I134="NA","NA",IF(AND(I134="",K134="--"),"NA",IF(AD134="NA","Missing Data",IF(I134="","No Criteria",IF(AD134&gt;=I134,"Needed","No")))))),"---")</f>
        <v/>
      </c>
      <c r="C134" s="501" t="str">
        <f>IF(Start!$C$18="x",IF(AND(OR(F134="",F134="NA"),OR(G134="",G134="NA")),"",IF(I134="NA","NA",IF(AND(I134="",K134="--"),"NA",IF(AF134="NA","Missing Data",IF(I134="","No Criteria",IF(AF134&gt;=I134,"Needed","No")))))),"---")</f>
        <v/>
      </c>
      <c r="D134" s="347" t="str">
        <f>IF(Start!$C$18="x",IF(AND(OR(F134="",F134="NA"),OR(G134="",G134="NA")),"",IF(I134="NA","NA",IF(AND(I134="",K134="--"),"NA",IF(AO134="NA","Missing Data",IF(I134="","No Criteria",IF(AO134&gt;=I134,"Needed","No")))))),"---")</f>
        <v/>
      </c>
      <c r="E134" s="401" t="str">
        <f>IF(Start!$C$18="x",IF(AND(OR(F134="",F134="NA"),OR(G134="",G134="NA")),"",IF(I134="NA","NA",IF(AND(I134="",K134="--"),"NA",IF(AU134="NA","Missing Data",IF(I134="","No Criteria",IF(AU134&gt;=I134,"Needed","No")))))),"---")</f>
        <v/>
      </c>
      <c r="F134" s="431" t="str">
        <f>IF(TRUE=ISBLANK(ChemData!B134),"",(ChemData!B134))</f>
        <v/>
      </c>
      <c r="G134" s="432" t="str">
        <f>IF(TRUE=ISBLANK(ChemData!C134),"",(ChemData!C134))</f>
        <v/>
      </c>
      <c r="H134" s="433" t="str">
        <f>IF(TRUE=ISBLANK(ChemData!D134),"",(ChemData!D134))</f>
        <v/>
      </c>
      <c r="I134" s="919">
        <f>IF(TRUE=ISBLANK(ChemData!K134),"",(ChemData!K134))</f>
        <v>4.7600000000000002E-4</v>
      </c>
      <c r="J134" s="290">
        <f>IF(TRUE=ISBLANK(ChemData!M134),"",(ChemData!M134))</f>
        <v>123.1</v>
      </c>
      <c r="K134" s="290">
        <f>IF(TRUE=ISBLANK(ChemData!N134),"",(ChemData!N134))</f>
        <v>2.4000000000000001E-5</v>
      </c>
      <c r="L134" s="290">
        <f>IF(TRUE=ISBLANK(ChemData!O134),"",(ChemData!O134))</f>
        <v>7.5999999999999998E-2</v>
      </c>
      <c r="M134" s="290">
        <f>IF(TRUE=ISBLANK(ChemData!Q134),"",(ChemData!Q134))</f>
        <v>1.3104076468950407</v>
      </c>
      <c r="N134" s="290">
        <f>IF(TRUE=ISBLANK(ChemData!R134),"",(ChemData!R134))</f>
        <v>1.3104076468950407</v>
      </c>
      <c r="O134" s="290">
        <f>IF(TRUE=ISBLANK(ChemData!S134),"",(ChemData!S134))</f>
        <v>1</v>
      </c>
      <c r="P134" s="291">
        <f>IF(TRUE=ISBLANK(ChemData!T134),"",(ChemData!T134))</f>
        <v>1</v>
      </c>
      <c r="Q134" s="375">
        <f>IF(Start!$C$18="x",IF(OR(K134="NA",K134="",K134="--"),"NA",(K134*1000000/82.1/Data!$D$50)),"---")</f>
        <v>9.4298848768221283E-4</v>
      </c>
      <c r="R134" s="376">
        <f>IF(Start!$C$18="x",IF(OR(J134="NA",J134=0,J134=""),"NA",(0.32*(Data!$D$48+Data!$D$49)*(18/J134)^0.5)),"---")</f>
        <v>0.31508986764948443</v>
      </c>
      <c r="S134" s="376">
        <f>IF(Start!$C$18="x",IF(OR(J134="NA",J134= 0,J134=""),"NA",(0.0065*((Data!$D$49^0.969)/(Data!$D$51^0.673))*(32/J134)^0.5*EXP(0.526*Data!$D$48^-1.9))),"---")</f>
        <v>6.6412311670635592E-4</v>
      </c>
      <c r="T134" s="377">
        <f>IF(Start!$C$18="x",IF(OR(S134="NA",R134="NA",R134=0,Q134="NA",S134=0,Q134=0),"NA",(1/(1/S134+(1/(R134*Q134))))),"---")</f>
        <v>2.0528320472452106E-4</v>
      </c>
      <c r="U134" s="375" t="str">
        <f>IF(Start!$C$18="x",IF(OR(F134="NA",F134="",O134="",O134="NA"),"NA",(F134*$O134)),"---")</f>
        <v>NA</v>
      </c>
      <c r="V134" s="376" t="str">
        <f>IF(Start!$C$18="x",IF(OR(U134="NA",M134="NA",M134="",U134=""),"NA",U134/((Data!$D$18+((1-Data!$D$18)*Data!$D$14*M134))/((1-Data!$D$18)*Data!$D$14*1000))),"---")</f>
        <v>NA</v>
      </c>
      <c r="W134" s="376" t="str">
        <f>IF(Start!$C$18="x",IF(OR(G134="NA",U134="NA",G134="",U134=""),"NA",(U134 +($G134*(Data!$D$19-Data!$D$22)/(Data!$D$19*Data!$D$22)))),"---")</f>
        <v>NA</v>
      </c>
      <c r="X134" s="376" t="str">
        <f>IF(Start!$C$18="x",IF(OR(G134="NA",V134="NA",G134="",V134=""),"NA",(((Data!$D$22*Data!$D$18)*V134)+(Data!$D$19-Data!$D$22)*$G134)/((Data!$D$22*Data!$D$18)+Data!$D$19-Data!$D$22)),"---")</f>
        <v>NA</v>
      </c>
      <c r="Y134" s="376" t="str">
        <f>IF(Start!$C$18="x",IF(OR(W134="NA",W134="",M134="NA",M134=""),"NA",(W134/((Data!$D$23+((1-Data!$D$23)*Data!$D$14*M134)) /((1-Data!$D$23)*Data!$D$14*1000)))),"---")</f>
        <v>NA</v>
      </c>
      <c r="Z134" s="376" t="str">
        <f>IF(Start!$C$18="x",IF(OR(Y134="NA",X134="NA"),"NA",IF(Y134&gt;X134, Y134, X134)),"---")</f>
        <v>NA</v>
      </c>
      <c r="AA134" s="461" t="str">
        <f>IF(Start!$C$18="x",IF(OR(Z134="NA",T134="NA"),"NA",Z134*T134/(1000000000)),"---")</f>
        <v>NA</v>
      </c>
      <c r="AB134" s="1057" t="str">
        <f>IF(Start!$C$18="x",IF(AA134 = "NA", "NA", AA134*(Data!$D$52*Data!$D$53*10000)),"---")</f>
        <v>NA</v>
      </c>
      <c r="AC134" s="375" t="str">
        <f>IF(Start!$C$18="x",IF(AB134="NA", "NA", AB134*Data!$D$54),"---")</f>
        <v>NA</v>
      </c>
      <c r="AD134" s="498" t="str">
        <f>IF(Start!$C$18="x",IF(AC134="NA","NA",AC134*Data!$D$41),"---")</f>
        <v>NA</v>
      </c>
      <c r="AE134" s="376" t="str">
        <f>IF(Start!$C$18="x",IF(AB134 = "NA", "NA", AB134/(Data!$D$53*3*Data!$D$48)*1000),"---")</f>
        <v>NA</v>
      </c>
      <c r="AF134" s="498" t="str">
        <f>IF(Start!$C$18="x",IF(AE134="NA","NA",AE134*Data!$D$46),"---")</f>
        <v>NA</v>
      </c>
      <c r="AG134" s="375">
        <f>IF(Start!$C$18="x",IF(OR($L134="NA",L134=""),"NA",($L134*(Data!$D$55^3.33)/(Data!$D$18^2))),"---")</f>
        <v>7.7424951863695583E-4</v>
      </c>
      <c r="AH134" s="376" t="str">
        <f>IF(Start!$C$18="x",IF(OR(F134="NA",F134="",P134="NA",P134=""),"NA",IF(100/Data!$D$10&gt;Data!$D$13,(F134*$P134),(F134*$P134)*Data!$D$13)),"---")</f>
        <v>NA</v>
      </c>
      <c r="AI134" s="489">
        <f>IF(Start!$C$18="x",IF(OR($N134="NA",$Q134="NA",$Q134=0,Q134="",N134=""),"NA",(1000*$N134/$Q134)),"---")</f>
        <v>1389632.70921357</v>
      </c>
      <c r="AJ134" s="376">
        <f>IF(Start!$C$18="x",IF(OR(Q134 = "NA",Q134=0,N134 = "NA",N134="",Q134=""), "NA", IF($AG134="NA","NA",(3.1416*Data!$D$57*86400/($AG134*(Data!$D$55+(N134*Data!$D$19/(Q134*1000)))))^0.5)),"---")</f>
        <v>2984.8329103183701</v>
      </c>
      <c r="AK134" s="376" t="str">
        <f>IF(Start!$C$18="x",IF(OR(AH134 = "NA",AI134="NA",AI134=0,AI134="",AH134=""), "NA", AH134/AI134),"---")</f>
        <v>NA</v>
      </c>
      <c r="AL134" s="376" t="str">
        <f>IF(Start!$C$18="x",IF(OR(AK134 ="NA",AK134="",AJ134= "NA",R134="NA",R134=0),"NA",(2*AK134)/(1000*(1/$R134+AJ134))),"---")</f>
        <v>NA</v>
      </c>
      <c r="AM134" s="376" t="str">
        <f>IF(Start!$C$18="x",IF(AL134 = "NA", "NA", AL134*(Data!$D$52*Data!$D$53*10000)),"---")</f>
        <v>NA</v>
      </c>
      <c r="AN134" s="376" t="str">
        <f>IF(Start!$C$18="x",IF(AM134 = "NA", "NA", AM134*(Data!$D$54)),"---")</f>
        <v>NA</v>
      </c>
      <c r="AO134" s="498" t="str">
        <f>IF(Start!$C$18="x",IF(AN134="NA","NA",AN134*Data!$D$41),"---")</f>
        <v>NA</v>
      </c>
      <c r="AP134" s="376">
        <f>IF(Start!$C$18="x",IF(OR(Q134=0,N134="NA",N134="",AG134="NA",AG134="",AG134=0,Q134="",Q134="NA"),"NA", (3.1416*Data!$D$56*86400/($AG134*(Data!$D$55+(N134*Data!$D$19/(Q134*1000)))))^0.5),"---")</f>
        <v>2984.8329103183701</v>
      </c>
      <c r="AQ134" s="376" t="str">
        <f>IF(Start!$C$18="x",IF(OR(AH134="NA",AI134="NA",AI134="",AI134=0,AH134=""),"NA", AH134/AI134),"---")</f>
        <v>NA</v>
      </c>
      <c r="AR134" s="376" t="str">
        <f>IF(Start!$C$18="x",IF(OR(AQ134="NA",AP134="NA",$R134="NA",R134=0,R134=""),"NA",(2*AQ134)/(1000*(1/$R134+AP134))),"---")</f>
        <v>NA</v>
      </c>
      <c r="AS134" s="376" t="str">
        <f>IF(Start!$C$18="x",IF(AR134 = "NA", "NA", AR134*(Data!$D$52*Data!$D$53*10000)),"---")</f>
        <v>NA</v>
      </c>
      <c r="AT134" s="376" t="str">
        <f>IF(Start!$C$18="x",IF(AS134 = "NA", "NA", (AS134*1000)/(Data!$D$48*3*Data!$D$53)),"---")</f>
        <v>NA</v>
      </c>
      <c r="AU134" s="498" t="str">
        <f>IF(Start!$C$18="x",IF(AT134="NA","NA",AT134*Data!$D$47),"---")</f>
        <v>NA</v>
      </c>
      <c r="AV134" s="283" t="str">
        <f>IF(Start!$C$18="x",(IF(AND(F134="",G134= "",G134&lt;&gt;"NA"),"",IF(OR(AD134="NA",I134="NA",I134=0),"NA",(AD134/I134)))),"Not Req.")</f>
        <v/>
      </c>
      <c r="AW134" s="284" t="str">
        <f>IF(Start!$C$18="x",(IF(AND(F134="",G134= "",G134&lt;&gt;"NA"),"",IF(OR(AF134="NA",I134="NA",I134=0),"NA",(AF134/I134)))),"Not Req.")</f>
        <v/>
      </c>
      <c r="AX134" s="284" t="str">
        <f>IF(Start!$C$18="x",(IF(F134 ="","",IF(OR(AO134="NA",I134="NA",I134=0),"NA",(AO134/I134)))),"Not Req.")</f>
        <v/>
      </c>
      <c r="AY134" s="344" t="str">
        <f>IF(Start!$C$18="x",(IF(F134 ="","",IF(OR(AU134="NA",I134="NA",I134=0),"NA",(AU134/I134)))),"Not Req.")</f>
        <v/>
      </c>
      <c r="AZ134" s="208"/>
    </row>
    <row r="135" spans="1:52" s="183" customFormat="1" x14ac:dyDescent="0.25">
      <c r="A135" s="405" t="s">
        <v>453</v>
      </c>
      <c r="B135" s="347" t="str">
        <f>IF(Start!$C$18="x",IF(AND(OR(F135="",F135="NA"),OR(G135="",G135="NA")),"",IF(I135="NA","NA",IF(AND(I135="",K135="--"),"NA",IF(AD135="NA","Missing Data",IF(I135="","No Criteria",IF(AD135&gt;=I135,"Needed","No")))))),"---")</f>
        <v/>
      </c>
      <c r="C135" s="501" t="str">
        <f>IF(Start!$C$18="x",IF(AND(OR(F135="",F135="NA"),OR(G135="",G135="NA")),"",IF(I135="NA","NA",IF(AND(I135="",K135="--"),"NA",IF(AF135="NA","Missing Data",IF(I135="","No Criteria",IF(AF135&gt;=I135,"Needed","No")))))),"---")</f>
        <v/>
      </c>
      <c r="D135" s="347" t="str">
        <f>IF(Start!$C$18="x",IF(AND(OR(F135="",F135="NA"),OR(G135="",G135="NA")),"",IF(I135="NA","NA",IF(AND(I135="",K135="--"),"NA",IF(AO135="NA","Missing Data",IF(I135="","No Criteria",IF(AO135&gt;=I135,"Needed","No")))))),"---")</f>
        <v/>
      </c>
      <c r="E135" s="401" t="str">
        <f>IF(Start!$C$18="x",IF(AND(OR(F135="",F135="NA"),OR(G135="",G135="NA")),"",IF(I135="NA","NA",IF(AND(I135="",K135="--"),"NA",IF(AU135="NA","Missing Data",IF(I135="","No Criteria",IF(AU135&gt;=I135,"Needed","No")))))),"---")</f>
        <v/>
      </c>
      <c r="F135" s="431" t="str">
        <f>IF(TRUE=ISBLANK(ChemData!B135),"",(ChemData!B135))</f>
        <v/>
      </c>
      <c r="G135" s="432" t="str">
        <f>IF(TRUE=ISBLANK(ChemData!C135),"",(ChemData!C135))</f>
        <v/>
      </c>
      <c r="H135" s="433" t="str">
        <f>IF(TRUE=ISBLANK(ChemData!D135),"",(ChemData!D135))</f>
        <v/>
      </c>
      <c r="I135" s="919" t="str">
        <f>IF(TRUE=ISBLANK(ChemData!K135),"",(ChemData!K135))</f>
        <v>NA</v>
      </c>
      <c r="J135" s="290">
        <f>IF(TRUE=ISBLANK(ChemData!M135),"",(ChemData!M135))</f>
        <v>250.3</v>
      </c>
      <c r="K135" s="290">
        <f>IF(TRUE=ISBLANK(ChemData!N135),"",(ChemData!N135))</f>
        <v>1.2999999999999999E-3</v>
      </c>
      <c r="L135" s="290">
        <f>IF(TRUE=ISBLANK(ChemData!O135),"",(ChemData!O135))</f>
        <v>5.7000000000000002E-2</v>
      </c>
      <c r="M135" s="290">
        <f>IF(TRUE=ISBLANK(ChemData!Q135),"",(ChemData!Q135))</f>
        <v>9384.398010164783</v>
      </c>
      <c r="N135" s="290">
        <f>IF(TRUE=ISBLANK(ChemData!R135),"",(ChemData!R135))</f>
        <v>9384.398010164783</v>
      </c>
      <c r="O135" s="290">
        <f>IF(TRUE=ISBLANK(ChemData!S135),"",(ChemData!S135))</f>
        <v>1</v>
      </c>
      <c r="P135" s="291">
        <f>IF(TRUE=ISBLANK(ChemData!T135),"",(ChemData!T135))</f>
        <v>1</v>
      </c>
      <c r="Q135" s="375">
        <f>IF(Start!$C$18="x",IF(OR(K135="NA",K135="",K135="--"),"NA",(K135*1000000/82.1/Data!$D$50)),"---")</f>
        <v>5.1078543082786532E-2</v>
      </c>
      <c r="R135" s="376">
        <f>IF(Start!$C$18="x",IF(OR(J135="NA",J135=0,J135=""),"NA",(0.32*(Data!$D$48+Data!$D$49)*(18/J135)^0.5)),"---")</f>
        <v>0.22096985945023692</v>
      </c>
      <c r="S135" s="376">
        <f>IF(Start!$C$18="x",IF(OR(J135="NA",J135= 0,J135=""),"NA",(0.0065*((Data!$D$49^0.969)/(Data!$D$51^0.673))*(32/J135)^0.5*EXP(0.526*Data!$D$48^-1.9))),"---")</f>
        <v>4.6574392522043023E-4</v>
      </c>
      <c r="T135" s="377">
        <f>IF(Start!$C$18="x",IF(OR(S135="NA",R135="NA",R135=0,Q135="NA",S135=0,Q135=0),"NA",(1/(1/S135+(1/(R135*Q135))))),"---")</f>
        <v>4.4728689463499811E-4</v>
      </c>
      <c r="U135" s="375" t="str">
        <f>IF(Start!$C$18="x",IF(OR(F135="NA",F135="",O135="",O135="NA"),"NA",(F135*$O135)),"---")</f>
        <v>NA</v>
      </c>
      <c r="V135" s="376" t="str">
        <f>IF(Start!$C$18="x",IF(OR(U135="NA",M135="NA",M135="",U135=""),"NA",U135/((Data!$D$18+((1-Data!$D$18)*Data!$D$14*M135))/((1-Data!$D$18)*Data!$D$14*1000))),"---")</f>
        <v>NA</v>
      </c>
      <c r="W135" s="376" t="str">
        <f>IF(Start!$C$18="x",IF(OR(G135="NA",U135="NA",G135="",U135=""),"NA",(U135 +($G135*(Data!$D$19-Data!$D$22)/(Data!$D$19*Data!$D$22)))),"---")</f>
        <v>NA</v>
      </c>
      <c r="X135" s="376" t="str">
        <f>IF(Start!$C$18="x",IF(OR(G135="NA",V135="NA",G135="",V135=""),"NA",(((Data!$D$22*Data!$D$18)*V135)+(Data!$D$19-Data!$D$22)*$G135)/((Data!$D$22*Data!$D$18)+Data!$D$19-Data!$D$22)),"---")</f>
        <v>NA</v>
      </c>
      <c r="Y135" s="376" t="str">
        <f>IF(Start!$C$18="x",IF(OR(W135="NA",W135="",M135="NA",M135=""),"NA",(W135/((Data!$D$23+((1-Data!$D$23)*Data!$D$14*M135)) /((1-Data!$D$23)*Data!$D$14*1000)))),"---")</f>
        <v>NA</v>
      </c>
      <c r="Z135" s="376" t="str">
        <f>IF(Start!$C$18="x",IF(OR(Y135="NA",X135="NA"),"NA",IF(Y135&gt;X135, Y135, X135)),"---")</f>
        <v>NA</v>
      </c>
      <c r="AA135" s="461" t="str">
        <f>IF(Start!$C$18="x",IF(OR(Z135="NA",T135="NA"),"NA",Z135*T135/(1000000000)),"---")</f>
        <v>NA</v>
      </c>
      <c r="AB135" s="1057" t="str">
        <f>IF(Start!$C$18="x",IF(AA135 = "NA", "NA", AA135*(Data!$D$52*Data!$D$53*10000)),"---")</f>
        <v>NA</v>
      </c>
      <c r="AC135" s="375" t="str">
        <f>IF(Start!$C$18="x",IF(AB135="NA", "NA", AB135*Data!$D$54),"---")</f>
        <v>NA</v>
      </c>
      <c r="AD135" s="498" t="str">
        <f>IF(Start!$C$18="x",IF(AC135="NA","NA",AC135*Data!$D$41),"---")</f>
        <v>NA</v>
      </c>
      <c r="AE135" s="376" t="str">
        <f>IF(Start!$C$18="x",IF(AB135 = "NA", "NA", AB135/(Data!$D$53*3*Data!$D$48)*1000),"---")</f>
        <v>NA</v>
      </c>
      <c r="AF135" s="498" t="str">
        <f>IF(Start!$C$18="x",IF(AE135="NA","NA",AE135*Data!$D$46),"---")</f>
        <v>NA</v>
      </c>
      <c r="AG135" s="375">
        <f>IF(Start!$C$18="x",IF(OR($L135="NA",L135=""),"NA",($L135*(Data!$D$55^3.33)/(Data!$D$18^2))),"---")</f>
        <v>5.806871389777169E-4</v>
      </c>
      <c r="AH135" s="376" t="str">
        <f>IF(Start!$C$18="x",IF(OR(F135="NA",F135="",P135="NA",P135=""),"NA",IF(100/Data!$D$10&gt;Data!$D$13,(F135*$P135),(F135*$P135)*Data!$D$13)),"---")</f>
        <v>NA</v>
      </c>
      <c r="AI135" s="489">
        <f>IF(Start!$C$18="x",IF(OR($N135="NA",$Q135="NA",$Q135=0,Q135="",N135=""),"NA",(1000*$N135/$Q135)),"---")</f>
        <v>183724856.73592606</v>
      </c>
      <c r="AJ135" s="376">
        <f>IF(Start!$C$18="x",IF(OR(Q135 = "NA",Q135=0,N135 = "NA",N135="",Q135=""), "NA", IF($AG135="NA","NA",(3.1416*Data!$D$57*86400/($AG135*(Data!$D$55+(N135*Data!$D$19/(Q135*1000)))))^0.5)),"---")</f>
        <v>299.77261890127869</v>
      </c>
      <c r="AK135" s="376" t="str">
        <f>IF(Start!$C$18="x",IF(OR(AH135 = "NA",AI135="NA",AI135=0,AI135="",AH135=""), "NA", AH135/AI135),"---")</f>
        <v>NA</v>
      </c>
      <c r="AL135" s="376" t="str">
        <f>IF(Start!$C$18="x",IF(OR(AK135 ="NA",AK135="",AJ135= "NA",R135="NA",R135=0),"NA",(2*AK135)/(1000*(1/$R135+AJ135))),"---")</f>
        <v>NA</v>
      </c>
      <c r="AM135" s="376" t="str">
        <f>IF(Start!$C$18="x",IF(AL135 = "NA", "NA", AL135*(Data!$D$52*Data!$D$53*10000)),"---")</f>
        <v>NA</v>
      </c>
      <c r="AN135" s="376" t="str">
        <f>IF(Start!$C$18="x",IF(AM135 = "NA", "NA", AM135*(Data!$D$54)),"---")</f>
        <v>NA</v>
      </c>
      <c r="AO135" s="498" t="str">
        <f>IF(Start!$C$18="x",IF(AN135="NA","NA",AN135*Data!$D$41),"---")</f>
        <v>NA</v>
      </c>
      <c r="AP135" s="376">
        <f>IF(Start!$C$18="x",IF(OR(Q135=0,N135="NA",N135="",AG135="NA",AG135="",AG135=0,Q135="",Q135="NA"),"NA", (3.1416*Data!$D$56*86400/($AG135*(Data!$D$55+(N135*Data!$D$19/(Q135*1000)))))^0.5),"---")</f>
        <v>299.77261890127869</v>
      </c>
      <c r="AQ135" s="376" t="str">
        <f>IF(Start!$C$18="x",IF(OR(AH135="NA",AI135="NA",AI135="",AI135=0,AH135=""),"NA", AH135/AI135),"---")</f>
        <v>NA</v>
      </c>
      <c r="AR135" s="376" t="str">
        <f>IF(Start!$C$18="x",IF(OR(AQ135="NA",AP135="NA",$R135="NA",R135=0,R135=""),"NA",(2*AQ135)/(1000*(1/$R135+AP135))),"---")</f>
        <v>NA</v>
      </c>
      <c r="AS135" s="376" t="str">
        <f>IF(Start!$C$18="x",IF(AR135 = "NA", "NA", AR135*(Data!$D$52*Data!$D$53*10000)),"---")</f>
        <v>NA</v>
      </c>
      <c r="AT135" s="376" t="str">
        <f>IF(Start!$C$18="x",IF(AS135 = "NA", "NA", (AS135*1000)/(Data!$D$48*3*Data!$D$53)),"---")</f>
        <v>NA</v>
      </c>
      <c r="AU135" s="498" t="str">
        <f>IF(Start!$C$18="x",IF(AT135="NA","NA",AT135*Data!$D$47),"---")</f>
        <v>NA</v>
      </c>
      <c r="AV135" s="283" t="str">
        <f>IF(Start!$C$18="x",(IF(AND(F135="",G135= "",G135&lt;&gt;"NA"),"",IF(OR(AD135="NA",I135="NA",I135=0),"NA",(AD135/I135)))),"Not Req.")</f>
        <v/>
      </c>
      <c r="AW135" s="284" t="str">
        <f>IF(Start!$C$18="x",(IF(AND(F135="",G135= "",G135&lt;&gt;"NA"),"",IF(OR(AF135="NA",I135="NA",I135=0),"NA",(AF135/I135)))),"Not Req.")</f>
        <v/>
      </c>
      <c r="AX135" s="284" t="str">
        <f>IF(Start!$C$18="x",(IF(F135 ="","",IF(OR(AO135="NA",I135="NA",I135=0),"NA",(AO135/I135)))),"Not Req.")</f>
        <v/>
      </c>
      <c r="AY135" s="344" t="str">
        <f>IF(Start!$C$18="x",(IF(F135 ="","",IF(OR(AU135="NA",I135="NA",I135=0),"NA",(AU135/I135)))),"Not Req.")</f>
        <v/>
      </c>
      <c r="AZ135" s="208"/>
    </row>
    <row r="136" spans="1:52" s="183" customFormat="1" x14ac:dyDescent="0.25">
      <c r="A136" s="405" t="s">
        <v>454</v>
      </c>
      <c r="B136" s="347" t="str">
        <f>IF(Start!$C$18="x",IF(AND(OR(F136="",F136="NA"),OR(G136="",G136="NA")),"",IF(I136="NA","NA",IF(AND(I136="",K136="--"),"NA",IF(AD136="NA","Missing Data",IF(I136="","No Criteria",IF(AD136&gt;=I136,"Needed","No")))))),"---")</f>
        <v/>
      </c>
      <c r="C136" s="501" t="str">
        <f>IF(Start!$C$18="x",IF(AND(OR(F136="",F136="NA"),OR(G136="",G136="NA")),"",IF(I136="NA","NA",IF(AND(I136="",K136="--"),"NA",IF(AF136="NA","Missing Data",IF(I136="","No Criteria",IF(AF136&gt;=I136,"Needed","No")))))),"---")</f>
        <v/>
      </c>
      <c r="D136" s="347" t="str">
        <f>IF(Start!$C$18="x",IF(AND(OR(F136="",F136="NA"),OR(G136="",G136="NA")),"",IF(I136="NA","NA",IF(AND(I136="",K136="--"),"NA",IF(AO136="NA","Missing Data",IF(I136="","No Criteria",IF(AO136&gt;=I136,"Needed","No")))))),"---")</f>
        <v/>
      </c>
      <c r="E136" s="401" t="str">
        <f>IF(Start!$C$18="x",IF(AND(OR(F136="",F136="NA"),OR(G136="",G136="NA")),"",IF(I136="NA","NA",IF(AND(I136="",K136="--"),"NA",IF(AU136="NA","Missing Data",IF(I136="","No Criteria",IF(AU136&gt;=I136,"Needed","No")))))),"---")</f>
        <v/>
      </c>
      <c r="F136" s="431" t="str">
        <f>IF(TRUE=ISBLANK(ChemData!B136),"",(ChemData!B136))</f>
        <v/>
      </c>
      <c r="G136" s="432" t="str">
        <f>IF(TRUE=ISBLANK(ChemData!C136),"",(ChemData!C136))</f>
        <v/>
      </c>
      <c r="H136" s="433" t="str">
        <f>IF(TRUE=ISBLANK(ChemData!D136),"",(ChemData!D136))</f>
        <v/>
      </c>
      <c r="I136" s="919">
        <f>IF(TRUE=ISBLANK(ChemData!K136),"",(ChemData!K136))</f>
        <v>0.03</v>
      </c>
      <c r="J136" s="290">
        <f>IF(TRUE=ISBLANK(ChemData!M136),"",(ChemData!M136))</f>
        <v>266</v>
      </c>
      <c r="K136" s="290">
        <f>IF(TRUE=ISBLANK(ChemData!N136),"",(ChemData!N136))</f>
        <v>2.7499999999999999E-6</v>
      </c>
      <c r="L136" s="290">
        <f>IF(TRUE=ISBLANK(ChemData!O136),"",(ChemData!O136))</f>
        <v>5.6000000000000001E-2</v>
      </c>
      <c r="M136" s="290">
        <f>IF(TRUE=ISBLANK(ChemData!Q136),"",(ChemData!Q136))</f>
        <v>2174.7353741930724</v>
      </c>
      <c r="N136" s="290">
        <f>IF(TRUE=ISBLANK(ChemData!R136),"",(ChemData!R136))</f>
        <v>2174.7353741930724</v>
      </c>
      <c r="O136" s="290">
        <f>IF(TRUE=ISBLANK(ChemData!S136),"",(ChemData!S136))</f>
        <v>1</v>
      </c>
      <c r="P136" s="291">
        <f>IF(TRUE=ISBLANK(ChemData!T136),"",(ChemData!T136))</f>
        <v>1</v>
      </c>
      <c r="Q136" s="375">
        <f>IF(Start!$C$18="x",IF(OR(K136="NA",K136="",K136="--"),"NA",(K136*1000000/82.1/Data!$D$50)),"---")</f>
        <v>1.080507642135869E-4</v>
      </c>
      <c r="R136" s="376">
        <f>IF(Start!$C$18="x",IF(OR(J136="NA",J136=0,J136=""),"NA",(0.32*(Data!$D$48+Data!$D$49)*(18/J136)^0.5)),"---")</f>
        <v>0.21434958446636249</v>
      </c>
      <c r="S136" s="376">
        <f>IF(Start!$C$18="x",IF(OR(J136="NA",J136= 0,J136=""),"NA",(0.0065*((Data!$D$49^0.969)/(Data!$D$51^0.673))*(32/J136)^0.5*EXP(0.526*Data!$D$48^-1.9))),"---")</f>
        <v>4.5179019929283298E-4</v>
      </c>
      <c r="T136" s="377">
        <f>IF(Start!$C$18="x",IF(OR(S136="NA",R136="NA",R136=0,Q136="NA",S136=0,Q136=0),"NA",(1/(1/S136+(1/(R136*Q136))))),"---")</f>
        <v>2.2031224609035848E-5</v>
      </c>
      <c r="U136" s="375" t="str">
        <f>IF(Start!$C$18="x",IF(OR(F136="NA",F136="",O136="",O136="NA"),"NA",(F136*$O136)),"---")</f>
        <v>NA</v>
      </c>
      <c r="V136" s="376" t="str">
        <f>IF(Start!$C$18="x",IF(OR(U136="NA",M136="NA",M136="",U136=""),"NA",U136/((Data!$D$18+((1-Data!$D$18)*Data!$D$14*M136))/((1-Data!$D$18)*Data!$D$14*1000))),"---")</f>
        <v>NA</v>
      </c>
      <c r="W136" s="376" t="str">
        <f>IF(Start!$C$18="x",IF(OR(G136="NA",U136="NA",G136="",U136=""),"NA",(U136 +($G136*(Data!$D$19-Data!$D$22)/(Data!$D$19*Data!$D$22)))),"---")</f>
        <v>NA</v>
      </c>
      <c r="X136" s="376" t="str">
        <f>IF(Start!$C$18="x",IF(OR(G136="NA",V136="NA",G136="",V136=""),"NA",(((Data!$D$22*Data!$D$18)*V136)+(Data!$D$19-Data!$D$22)*$G136)/((Data!$D$22*Data!$D$18)+Data!$D$19-Data!$D$22)),"---")</f>
        <v>NA</v>
      </c>
      <c r="Y136" s="376" t="str">
        <f>IF(Start!$C$18="x",IF(OR(W136="NA",W136="",M136="NA",M136=""),"NA",(W136/((Data!$D$23+((1-Data!$D$23)*Data!$D$14*M136)) /((1-Data!$D$23)*Data!$D$14*1000)))),"---")</f>
        <v>NA</v>
      </c>
      <c r="Z136" s="376" t="str">
        <f>IF(Start!$C$18="x",IF(OR(Y136="NA",X136="NA"),"NA",IF(Y136&gt;X136, Y136, X136)),"---")</f>
        <v>NA</v>
      </c>
      <c r="AA136" s="461" t="str">
        <f>IF(Start!$C$18="x",IF(OR(Z136="NA",T136="NA"),"NA",Z136*T136/(1000000000)),"---")</f>
        <v>NA</v>
      </c>
      <c r="AB136" s="1057" t="str">
        <f>IF(Start!$C$18="x",IF(AA136 = "NA", "NA", AA136*(Data!$D$52*Data!$D$53*10000)),"---")</f>
        <v>NA</v>
      </c>
      <c r="AC136" s="375" t="str">
        <f>IF(Start!$C$18="x",IF(AB136="NA", "NA", AB136*Data!$D$54),"---")</f>
        <v>NA</v>
      </c>
      <c r="AD136" s="498" t="str">
        <f>IF(Start!$C$18="x",IF(AC136="NA","NA",AC136*Data!$D$41),"---")</f>
        <v>NA</v>
      </c>
      <c r="AE136" s="376" t="str">
        <f>IF(Start!$C$18="x",IF(AB136 = "NA", "NA", AB136/(Data!$D$53*3*Data!$D$48)*1000),"---")</f>
        <v>NA</v>
      </c>
      <c r="AF136" s="498" t="str">
        <f>IF(Start!$C$18="x",IF(AE136="NA","NA",AE136*Data!$D$46),"---")</f>
        <v>NA</v>
      </c>
      <c r="AG136" s="375">
        <f>IF(Start!$C$18="x",IF(OR($L136="NA",L136=""),"NA",($L136*(Data!$D$55^3.33)/(Data!$D$18^2))),"---")</f>
        <v>5.7049964531144114E-4</v>
      </c>
      <c r="AH136" s="376" t="str">
        <f>IF(Start!$C$18="x",IF(OR(F136="NA",F136="",P136="NA",P136=""),"NA",IF(100/Data!$D$10&gt;Data!$D$13,(F136*$P136),(F136*$P136)*Data!$D$13)),"---")</f>
        <v>NA</v>
      </c>
      <c r="AI136" s="489">
        <f>IF(Start!$C$18="x",IF(OR($N136="NA",$Q136="NA",$Q136=0,Q136="",N136=""),"NA",(1000*$N136/$Q136)),"---")</f>
        <v>20126978184.941048</v>
      </c>
      <c r="AJ136" s="376">
        <f>IF(Start!$C$18="x",IF(OR(Q136 = "NA",Q136=0,N136 = "NA",N136="",Q136=""), "NA", IF($AG136="NA","NA",(3.1416*Data!$D$57*86400/($AG136*(Data!$D$55+(N136*Data!$D$19/(Q136*1000)))))^0.5)),"---")</f>
        <v>28.89550726131883</v>
      </c>
      <c r="AK136" s="376" t="str">
        <f>IF(Start!$C$18="x",IF(OR(AH136 = "NA",AI136="NA",AI136=0,AI136="",AH136=""), "NA", AH136/AI136),"---")</f>
        <v>NA</v>
      </c>
      <c r="AL136" s="376" t="str">
        <f>IF(Start!$C$18="x",IF(OR(AK136 ="NA",AK136="",AJ136= "NA",R136="NA",R136=0),"NA",(2*AK136)/(1000*(1/$R136+AJ136))),"---")</f>
        <v>NA</v>
      </c>
      <c r="AM136" s="376" t="str">
        <f>IF(Start!$C$18="x",IF(AL136 = "NA", "NA", AL136*(Data!$D$52*Data!$D$53*10000)),"---")</f>
        <v>NA</v>
      </c>
      <c r="AN136" s="376" t="str">
        <f>IF(Start!$C$18="x",IF(AM136 = "NA", "NA", AM136*(Data!$D$54)),"---")</f>
        <v>NA</v>
      </c>
      <c r="AO136" s="498" t="str">
        <f>IF(Start!$C$18="x",IF(AN136="NA","NA",AN136*Data!$D$41),"---")</f>
        <v>NA</v>
      </c>
      <c r="AP136" s="376">
        <f>IF(Start!$C$18="x",IF(OR(Q136=0,N136="NA",N136="",AG136="NA",AG136="",AG136=0,Q136="",Q136="NA"),"NA", (3.1416*Data!$D$56*86400/($AG136*(Data!$D$55+(N136*Data!$D$19/(Q136*1000)))))^0.5),"---")</f>
        <v>28.89550726131883</v>
      </c>
      <c r="AQ136" s="376" t="str">
        <f>IF(Start!$C$18="x",IF(OR(AH136="NA",AI136="NA",AI136="",AI136=0,AH136=""),"NA", AH136/AI136),"---")</f>
        <v>NA</v>
      </c>
      <c r="AR136" s="376" t="str">
        <f>IF(Start!$C$18="x",IF(OR(AQ136="NA",AP136="NA",$R136="NA",R136=0,R136=""),"NA",(2*AQ136)/(1000*(1/$R136+AP136))),"---")</f>
        <v>NA</v>
      </c>
      <c r="AS136" s="376" t="str">
        <f>IF(Start!$C$18="x",IF(AR136 = "NA", "NA", AR136*(Data!$D$52*Data!$D$53*10000)),"---")</f>
        <v>NA</v>
      </c>
      <c r="AT136" s="376" t="str">
        <f>IF(Start!$C$18="x",IF(AS136 = "NA", "NA", (AS136*1000)/(Data!$D$48*3*Data!$D$53)),"---")</f>
        <v>NA</v>
      </c>
      <c r="AU136" s="498" t="str">
        <f>IF(Start!$C$18="x",IF(AT136="NA","NA",AT136*Data!$D$47),"---")</f>
        <v>NA</v>
      </c>
      <c r="AV136" s="283" t="str">
        <f>IF(Start!$C$18="x",(IF(AND(F136="",G136= "",G136&lt;&gt;"NA"),"",IF(OR(AD136="NA",I136="NA",I136=0),"NA",(AD136/I136)))),"Not Req.")</f>
        <v/>
      </c>
      <c r="AW136" s="284" t="str">
        <f>IF(Start!$C$18="x",(IF(AND(F136="",G136= "",G136&lt;&gt;"NA"),"",IF(OR(AF136="NA",I136="NA",I136=0),"NA",(AF136/I136)))),"Not Req.")</f>
        <v/>
      </c>
      <c r="AX136" s="284" t="str">
        <f>IF(Start!$C$18="x",(IF(F136 ="","",IF(OR(AO136="NA",I136="NA",I136=0),"NA",(AO136/I136)))),"Not Req.")</f>
        <v/>
      </c>
      <c r="AY136" s="344" t="str">
        <f>IF(Start!$C$18="x",(IF(F136 ="","",IF(OR(AU136="NA",I136="NA",I136=0),"NA",(AU136/I136)))),"Not Req.")</f>
        <v/>
      </c>
      <c r="AZ136" s="208"/>
    </row>
    <row r="137" spans="1:52" s="10" customFormat="1" x14ac:dyDescent="0.25">
      <c r="A137" s="405" t="s">
        <v>455</v>
      </c>
      <c r="B137" s="347" t="str">
        <f>IF(Start!$C$18="x",IF(AND(OR(F137="",F137="NA"),OR(G137="",G137="NA")),"",IF(I137="NA","NA",IF(AND(I137="",K137="--"),"NA",IF(AD137="NA","Missing Data",IF(I137="","No Criteria",IF(AD137&gt;=I137,"Needed","No")))))),"---")</f>
        <v/>
      </c>
      <c r="C137" s="501" t="str">
        <f>IF(Start!$C$18="x",IF(AND(OR(F137="",F137="NA"),OR(G137="",G137="NA")),"",IF(I137="NA","NA",IF(AND(I137="",K137="--"),"NA",IF(AF137="NA","Missing Data",IF(I137="","No Criteria",IF(AF137&gt;=I137,"Needed","No")))))),"---")</f>
        <v/>
      </c>
      <c r="D137" s="347" t="str">
        <f>IF(Start!$C$18="x",IF(AND(OR(F137="",F137="NA"),OR(G137="",G137="NA")),"",IF(I137="NA","NA",IF(AND(I137="",K137="--"),"NA",IF(AO137="NA","Missing Data",IF(I137="","No Criteria",IF(AO137&gt;=I137,"Needed","No")))))),"---")</f>
        <v/>
      </c>
      <c r="E137" s="401" t="str">
        <f>IF(Start!$C$18="x",IF(AND(OR(F137="",F137="NA"),OR(G137="",G137="NA")),"",IF(I137="NA","NA",IF(AND(I137="",K137="--"),"NA",IF(AU137="NA","Missing Data",IF(I137="","No Criteria",IF(AU137&gt;=I137,"Needed","No")))))),"---")</f>
        <v/>
      </c>
      <c r="F137" s="431" t="str">
        <f>IF(TRUE=ISBLANK(ChemData!B137),"",(ChemData!B137))</f>
        <v/>
      </c>
      <c r="G137" s="432" t="str">
        <f>IF(TRUE=ISBLANK(ChemData!C137),"",(ChemData!C137))</f>
        <v/>
      </c>
      <c r="H137" s="433" t="str">
        <f>IF(TRUE=ISBLANK(ChemData!D137),"",(ChemData!D137))</f>
        <v/>
      </c>
      <c r="I137" s="919">
        <f>IF(TRUE=ISBLANK(ChemData!K137),"",(ChemData!K137))</f>
        <v>0.6</v>
      </c>
      <c r="J137" s="290">
        <f>IF(TRUE=ISBLANK(ChemData!M137),"",(ChemData!M137))</f>
        <v>94.11</v>
      </c>
      <c r="K137" s="290">
        <f>IF(TRUE=ISBLANK(ChemData!N137),"",(ChemData!N137))</f>
        <v>1.3E-6</v>
      </c>
      <c r="L137" s="290">
        <f>IF(TRUE=ISBLANK(ChemData!O137),"",(ChemData!O137))</f>
        <v>8.2000000000000003E-2</v>
      </c>
      <c r="M137" s="290">
        <f>IF(TRUE=ISBLANK(ChemData!Q137),"",(ChemData!Q137))</f>
        <v>0.53383423122873486</v>
      </c>
      <c r="N137" s="290">
        <f>IF(TRUE=ISBLANK(ChemData!R137),"",(ChemData!R137))</f>
        <v>0.53383423122873486</v>
      </c>
      <c r="O137" s="290">
        <f>IF(TRUE=ISBLANK(ChemData!S137),"",(ChemData!S137))</f>
        <v>1</v>
      </c>
      <c r="P137" s="291">
        <f>IF(TRUE=ISBLANK(ChemData!T137),"",(ChemData!T137))</f>
        <v>1</v>
      </c>
      <c r="Q137" s="375">
        <f>IF(Start!$C$18="x",IF(OR(K137="NA",K137="",K137="--"),"NA",(K137*1000000/82.1/Data!$D$50)),"---")</f>
        <v>5.1078543082786534E-5</v>
      </c>
      <c r="R137" s="376">
        <f>IF(Start!$C$18="x",IF(OR(J137="NA",J137=0,J137=""),"NA",(0.32*(Data!$D$48+Data!$D$49)*(18/J137)^0.5)),"---")</f>
        <v>0.36036746732718539</v>
      </c>
      <c r="S137" s="376">
        <f>IF(Start!$C$18="x",IF(OR(J137="NA",J137= 0,J137=""),"NA",(0.0065*((Data!$D$49^0.969)/(Data!$D$51^0.673))*(32/J137)^0.5*EXP(0.526*Data!$D$48^-1.9))),"---")</f>
        <v>7.5955589224831058E-4</v>
      </c>
      <c r="T137" s="377">
        <f>IF(Start!$C$18="x",IF(OR(S137="NA",R137="NA",R137=0,Q137="NA",S137=0,Q137=0),"NA",(1/(1/S137+(1/(R137*Q137))))),"---")</f>
        <v>1.7971524055480229E-5</v>
      </c>
      <c r="U137" s="375" t="str">
        <f>IF(Start!$C$18="x",IF(OR(F137="NA",F137="",O137="",O137="NA"),"NA",(F137*$O137)),"---")</f>
        <v>NA</v>
      </c>
      <c r="V137" s="376" t="str">
        <f>IF(Start!$C$18="x",IF(OR(U137="NA",M137="NA",M137="",U137=""),"NA",U137/((Data!$D$18+((1-Data!$D$18)*Data!$D$14*M137))/((1-Data!$D$18)*Data!$D$14*1000))),"---")</f>
        <v>NA</v>
      </c>
      <c r="W137" s="376" t="str">
        <f>IF(Start!$C$18="x",IF(OR(G137="NA",U137="NA",G137="",U137=""),"NA",(U137 +($G137*(Data!$D$19-Data!$D$22)/(Data!$D$19*Data!$D$22)))),"---")</f>
        <v>NA</v>
      </c>
      <c r="X137" s="376" t="str">
        <f>IF(Start!$C$18="x",IF(OR(G137="NA",V137="NA",G137="",V137=""),"NA",(((Data!$D$22*Data!$D$18)*V137)+(Data!$D$19-Data!$D$22)*$G137)/((Data!$D$22*Data!$D$18)+Data!$D$19-Data!$D$22)),"---")</f>
        <v>NA</v>
      </c>
      <c r="Y137" s="376" t="str">
        <f>IF(Start!$C$18="x",IF(OR(W137="NA",W137="",M137="NA",M137=""),"NA",(W137/((Data!$D$23+((1-Data!$D$23)*Data!$D$14*M137)) /((1-Data!$D$23)*Data!$D$14*1000)))),"---")</f>
        <v>NA</v>
      </c>
      <c r="Z137" s="376" t="str">
        <f>IF(Start!$C$18="x",IF(OR(Y137="NA",X137="NA"),"NA",IF(Y137&gt;X137, Y137, X137)),"---")</f>
        <v>NA</v>
      </c>
      <c r="AA137" s="461" t="str">
        <f>IF(Start!$C$18="x",IF(OR(Z137="NA",T137="NA"),"NA",Z137*T137/(1000000000)),"---")</f>
        <v>NA</v>
      </c>
      <c r="AB137" s="1057" t="str">
        <f>IF(Start!$C$18="x",IF(AA137 = "NA", "NA", AA137*(Data!$D$52*Data!$D$53*10000)),"---")</f>
        <v>NA</v>
      </c>
      <c r="AC137" s="375" t="str">
        <f>IF(Start!$C$18="x",IF(AB137="NA", "NA", AB137*Data!$D$54),"---")</f>
        <v>NA</v>
      </c>
      <c r="AD137" s="498" t="str">
        <f>IF(Start!$C$18="x",IF(AC137="NA","NA",AC137*Data!$D$41),"---")</f>
        <v>NA</v>
      </c>
      <c r="AE137" s="376" t="str">
        <f>IF(Start!$C$18="x",IF(AB137 = "NA", "NA", AB137/(Data!$D$53*3*Data!$D$48)*1000),"---")</f>
        <v>NA</v>
      </c>
      <c r="AF137" s="498" t="str">
        <f>IF(Start!$C$18="x",IF(AE137="NA","NA",AE137*Data!$D$46),"---")</f>
        <v>NA</v>
      </c>
      <c r="AG137" s="375">
        <f>IF(Start!$C$18="x",IF(OR($L137="NA",L137=""),"NA",($L137*(Data!$D$55^3.33)/(Data!$D$18^2))),"---")</f>
        <v>8.3537448063461029E-4</v>
      </c>
      <c r="AH137" s="376" t="str">
        <f>IF(Start!$C$18="x",IF(OR(F137="NA",F137="",P137="NA",P137=""),"NA",IF(100/Data!$D$10&gt;Data!$D$13,(F137*$P137),(F137*$P137)*Data!$D$13)),"---")</f>
        <v>NA</v>
      </c>
      <c r="AI137" s="489">
        <f>IF(Start!$C$18="x",IF(OR($N137="NA",$Q137="NA",$Q137=0,Q137="",N137=""),"NA",(1000*$N137/$Q137)),"---")</f>
        <v>10451242.322309639</v>
      </c>
      <c r="AJ137" s="376">
        <f>IF(Start!$C$18="x",IF(OR(Q137 = "NA",Q137=0,N137 = "NA",N137="",Q137=""), "NA", IF($AG137="NA","NA",(3.1416*Data!$D$57*86400/($AG137*(Data!$D$55+(N137*Data!$D$19/(Q137*1000)))))^0.5)),"---")</f>
        <v>1047.8951966243071</v>
      </c>
      <c r="AK137" s="376" t="str">
        <f>IF(Start!$C$18="x",IF(OR(AH137 = "NA",AI137="NA",AI137=0,AI137="",AH137=""), "NA", AH137/AI137),"---")</f>
        <v>NA</v>
      </c>
      <c r="AL137" s="376" t="str">
        <f>IF(Start!$C$18="x",IF(OR(AK137 ="NA",AK137="",AJ137= "NA",R137="NA",R137=0),"NA",(2*AK137)/(1000*(1/$R137+AJ137))),"---")</f>
        <v>NA</v>
      </c>
      <c r="AM137" s="376" t="str">
        <f>IF(Start!$C$18="x",IF(AL137 = "NA", "NA", AL137*(Data!$D$52*Data!$D$53*10000)),"---")</f>
        <v>NA</v>
      </c>
      <c r="AN137" s="376" t="str">
        <f>IF(Start!$C$18="x",IF(AM137 = "NA", "NA", AM137*(Data!$D$54)),"---")</f>
        <v>NA</v>
      </c>
      <c r="AO137" s="498" t="str">
        <f>IF(Start!$C$18="x",IF(AN137="NA","NA",AN137*Data!$D$41),"---")</f>
        <v>NA</v>
      </c>
      <c r="AP137" s="376">
        <f>IF(Start!$C$18="x",IF(OR(Q137=0,N137="NA",N137="",AG137="NA",AG137="",AG137=0,Q137="",Q137="NA"),"NA", (3.1416*Data!$D$56*86400/($AG137*(Data!$D$55+(N137*Data!$D$19/(Q137*1000)))))^0.5),"---")</f>
        <v>1047.8951966243071</v>
      </c>
      <c r="AQ137" s="376" t="str">
        <f>IF(Start!$C$18="x",IF(OR(AH137="NA",AI137="NA",AI137="",AI137=0,AH137=""),"NA", AH137/AI137),"---")</f>
        <v>NA</v>
      </c>
      <c r="AR137" s="376" t="str">
        <f>IF(Start!$C$18="x",IF(OR(AQ137="NA",AP137="NA",$R137="NA",R137=0,R137=""),"NA",(2*AQ137)/(1000*(1/$R137+AP137))),"---")</f>
        <v>NA</v>
      </c>
      <c r="AS137" s="376" t="str">
        <f>IF(Start!$C$18="x",IF(AR137 = "NA", "NA", AR137*(Data!$D$52*Data!$D$53*10000)),"---")</f>
        <v>NA</v>
      </c>
      <c r="AT137" s="376" t="str">
        <f>IF(Start!$C$18="x",IF(AS137 = "NA", "NA", (AS137*1000)/(Data!$D$48*3*Data!$D$53)),"---")</f>
        <v>NA</v>
      </c>
      <c r="AU137" s="498" t="str">
        <f>IF(Start!$C$18="x",IF(AT137="NA","NA",AT137*Data!$D$47),"---")</f>
        <v>NA</v>
      </c>
      <c r="AV137" s="283" t="str">
        <f>IF(Start!$C$18="x",(IF(AND(F137="",G137= "",G137&lt;&gt;"NA"),"",IF(OR(AD137="NA",I137="NA",I137=0),"NA",(AD137/I137)))),"Not Req.")</f>
        <v/>
      </c>
      <c r="AW137" s="284" t="str">
        <f>IF(Start!$C$18="x",(IF(AND(F137="",G137= "",G137&lt;&gt;"NA"),"",IF(OR(AF137="NA",I137="NA",I137=0),"NA",(AF137/I137)))),"Not Req.")</f>
        <v/>
      </c>
      <c r="AX137" s="284" t="str">
        <f>IF(Start!$C$18="x",(IF(F137 ="","",IF(OR(AO137="NA",I137="NA",I137=0),"NA",(AO137/I137)))),"Not Req.")</f>
        <v/>
      </c>
      <c r="AY137" s="344" t="str">
        <f>IF(Start!$C$18="x",(IF(F137 ="","",IF(OR(AU137="NA",I137="NA",I137=0),"NA",(AU137/I137)))),"Not Req.")</f>
        <v/>
      </c>
      <c r="AZ137" s="208"/>
    </row>
    <row r="138" spans="1:52" s="10" customFormat="1" x14ac:dyDescent="0.25">
      <c r="A138" s="407" t="s">
        <v>456</v>
      </c>
      <c r="B138" s="347" t="str">
        <f>IF(Start!$C$18="x",IF(AND(OR(F138="",F138="NA"),OR(G138="",G138="NA")),"",IF(I138="NA","NA",IF(AND(I138="",K138="--"),"NA",IF(AD138="NA","Missing Data",IF(I138="","No Criteria",IF(AD138&gt;=I138,"Needed","No")))))),"---")</f>
        <v/>
      </c>
      <c r="C138" s="501" t="str">
        <f>IF(Start!$C$18="x",IF(AND(OR(F138="",F138="NA"),OR(G138="",G138="NA")),"",IF(I138="NA","NA",IF(AND(I138="",K138="--"),"NA",IF(AF138="NA","Missing Data",IF(I138="","No Criteria",IF(AF138&gt;=I138,"Needed","No")))))),"---")</f>
        <v/>
      </c>
      <c r="D138" s="347" t="str">
        <f>IF(Start!$C$18="x",IF(AND(OR(F138="",F138="NA"),OR(G138="",G138="NA")),"",IF(I138="NA","NA",IF(AND(I138="",K138="--"),"NA",IF(AO138="NA","Missing Data",IF(I138="","No Criteria",IF(AO138&gt;=I138,"Needed","No")))))),"---")</f>
        <v/>
      </c>
      <c r="E138" s="401" t="str">
        <f>IF(Start!$C$18="x",IF(AND(OR(F138="",F138="NA"),OR(G138="",G138="NA")),"",IF(I138="NA","NA",IF(AND(I138="",K138="--"),"NA",IF(AU138="NA","Missing Data",IF(I138="","No Criteria",IF(AU138&gt;=I138,"Needed","No")))))),"---")</f>
        <v/>
      </c>
      <c r="F138" s="431" t="str">
        <f>IF(TRUE=ISBLANK(ChemData!B138),"",(ChemData!B138))</f>
        <v/>
      </c>
      <c r="G138" s="432" t="str">
        <f>IF(TRUE=ISBLANK(ChemData!C138),"",(ChemData!C138))</f>
        <v/>
      </c>
      <c r="H138" s="433" t="str">
        <f>IF(TRUE=ISBLANK(ChemData!D138),"",(ChemData!D138))</f>
        <v/>
      </c>
      <c r="I138" s="919">
        <f>IF(TRUE=ISBLANK(ChemData!K138),"",(ChemData!K138))</f>
        <v>0.01</v>
      </c>
      <c r="J138" s="290">
        <f>IF(TRUE=ISBLANK(ChemData!M138),"",(ChemData!M138))</f>
        <v>181.4</v>
      </c>
      <c r="K138" s="290">
        <f>IF(TRUE=ISBLANK(ChemData!N138),"",(ChemData!N138))</f>
        <v>2.31E-3</v>
      </c>
      <c r="L138" s="290">
        <f>IF(TRUE=ISBLANK(ChemData!O138),"",(ChemData!O138))</f>
        <v>0.03</v>
      </c>
      <c r="M138" s="290">
        <f>IF(TRUE=ISBLANK(ChemData!Q138),"",(ChemData!Q138))</f>
        <v>189.41153287116774</v>
      </c>
      <c r="N138" s="290">
        <f>IF(TRUE=ISBLANK(ChemData!R138),"",(ChemData!R138))</f>
        <v>189.41153287116774</v>
      </c>
      <c r="O138" s="290">
        <f>IF(TRUE=ISBLANK(ChemData!S138),"",(ChemData!S138))</f>
        <v>1</v>
      </c>
      <c r="P138" s="291">
        <f>IF(TRUE=ISBLANK(ChemData!T138),"",(ChemData!T138))</f>
        <v>1</v>
      </c>
      <c r="Q138" s="375">
        <f>IF(Start!$C$18="x",IF(OR(K138="NA",K138="",K138="--"),"NA",(K138*1000000/82.1/Data!$D$50)),"---")</f>
        <v>9.0762641939412997E-2</v>
      </c>
      <c r="R138" s="376">
        <f>IF(Start!$C$18="x",IF(OR(J138="NA",J138=0,J138=""),"NA",(0.32*(Data!$D$48+Data!$D$49)*(18/J138)^0.5)),"---")</f>
        <v>0.25956421795281287</v>
      </c>
      <c r="S138" s="376">
        <f>IF(Start!$C$18="x",IF(OR(J138="NA",J138= 0,J138=""),"NA",(0.0065*((Data!$D$49^0.969)/(Data!$D$51^0.673))*(32/J138)^0.5*EXP(0.526*Data!$D$48^-1.9))),"---")</f>
        <v>5.4709025935430471E-4</v>
      </c>
      <c r="T138" s="377">
        <f>IF(Start!$C$18="x",IF(OR(S138="NA",R138="NA",R138=0,Q138="NA",S138=0,Q138=0),"NA",(1/(1/S138+(1/(R138*Q138))))),"---")</f>
        <v>5.3467385133209818E-4</v>
      </c>
      <c r="U138" s="375" t="str">
        <f>IF(Start!$C$18="x",IF(OR(F138="NA",F138="",O138="",O138="NA"),"NA",(F138*$O138)),"---")</f>
        <v>NA</v>
      </c>
      <c r="V138" s="376" t="str">
        <f>IF(Start!$C$18="x",IF(OR(U138="NA",M138="NA",M138="",U138=""),"NA",U138/((Data!$D$18+((1-Data!$D$18)*Data!$D$14*M138))/((1-Data!$D$18)*Data!$D$14*1000))),"---")</f>
        <v>NA</v>
      </c>
      <c r="W138" s="376" t="str">
        <f>IF(Start!$C$18="x",IF(OR(G138="NA",U138="NA",G138="",U138=""),"NA",(U138 +($G138*(Data!$D$19-Data!$D$22)/(Data!$D$19*Data!$D$22)))),"---")</f>
        <v>NA</v>
      </c>
      <c r="X138" s="376" t="str">
        <f>IF(Start!$C$18="x",IF(OR(G138="NA",V138="NA",G138="",V138=""),"NA",(((Data!$D$22*Data!$D$18)*V138)+(Data!$D$19-Data!$D$22)*$G138)/((Data!$D$22*Data!$D$18)+Data!$D$19-Data!$D$22)),"---")</f>
        <v>NA</v>
      </c>
      <c r="Y138" s="376" t="str">
        <f>IF(Start!$C$18="x",IF(OR(W138="NA",W138="",M138="NA",M138=""),"NA",(W138/((Data!$D$23+((1-Data!$D$23)*Data!$D$14*M138)) /((1-Data!$D$23)*Data!$D$14*1000)))),"---")</f>
        <v>NA</v>
      </c>
      <c r="Z138" s="376" t="str">
        <f>IF(Start!$C$18="x",IF(OR(Y138="NA",X138="NA"),"NA",IF(Y138&gt;X138, Y138, X138)),"---")</f>
        <v>NA</v>
      </c>
      <c r="AA138" s="461" t="str">
        <f>IF(Start!$C$18="x",IF(OR(Z138="NA",T138="NA"),"NA",Z138*T138/(1000000000)),"---")</f>
        <v>NA</v>
      </c>
      <c r="AB138" s="1057" t="str">
        <f>IF(Start!$C$18="x",IF(AA138 = "NA", "NA", AA138*(Data!$D$52*Data!$D$53*10000)),"---")</f>
        <v>NA</v>
      </c>
      <c r="AC138" s="375" t="str">
        <f>IF(Start!$C$18="x",IF(AB138="NA", "NA", AB138*Data!$D$54),"---")</f>
        <v>NA</v>
      </c>
      <c r="AD138" s="498" t="str">
        <f>IF(Start!$C$18="x",IF(AC138="NA","NA",AC138*Data!$D$41),"---")</f>
        <v>NA</v>
      </c>
      <c r="AE138" s="376" t="str">
        <f>IF(Start!$C$18="x",IF(AB138 = "NA", "NA", AB138/(Data!$D$53*3*Data!$D$48)*1000),"---")</f>
        <v>NA</v>
      </c>
      <c r="AF138" s="498" t="str">
        <f>IF(Start!$C$18="x",IF(AE138="NA","NA",AE138*Data!$D$46),"---")</f>
        <v>NA</v>
      </c>
      <c r="AG138" s="375">
        <f>IF(Start!$C$18="x",IF(OR($L138="NA",L138=""),"NA",($L138*(Data!$D$55^3.33)/(Data!$D$18^2))),"---")</f>
        <v>3.0562480998827204E-4</v>
      </c>
      <c r="AH138" s="376" t="str">
        <f>IF(Start!$C$18="x",IF(OR(F138="NA",F138="",P138="NA",P138=""),"NA",IF(100/Data!$D$10&gt;Data!$D$13,(F138*$P138),(F138*$P138)*Data!$D$13)),"---")</f>
        <v>NA</v>
      </c>
      <c r="AI138" s="489">
        <f>IF(Start!$C$18="x",IF(OR($N138="NA",$Q138="NA",$Q138=0,Q138="",N138=""),"NA",(1000*$N138/$Q138)),"---")</f>
        <v>2086888.7113004716</v>
      </c>
      <c r="AJ138" s="376">
        <f>IF(Start!$C$18="x",IF(OR(Q138 = "NA",Q138=0,N138 = "NA",N138="",Q138=""), "NA", IF($AG138="NA","NA",(3.1416*Data!$D$57*86400/($AG138*(Data!$D$55+(N138*Data!$D$19/(Q138*1000)))))^0.5)),"---")</f>
        <v>3876.8487190137016</v>
      </c>
      <c r="AK138" s="376" t="str">
        <f>IF(Start!$C$18="x",IF(OR(AH138 = "NA",AI138="NA",AI138=0,AI138="",AH138=""), "NA", AH138/AI138),"---")</f>
        <v>NA</v>
      </c>
      <c r="AL138" s="376" t="str">
        <f>IF(Start!$C$18="x",IF(OR(AK138 ="NA",AK138="",AJ138= "NA",R138="NA",R138=0),"NA",(2*AK138)/(1000*(1/$R138+AJ138))),"---")</f>
        <v>NA</v>
      </c>
      <c r="AM138" s="376" t="str">
        <f>IF(Start!$C$18="x",IF(AL138 = "NA", "NA", AL138*(Data!$D$52*Data!$D$53*10000)),"---")</f>
        <v>NA</v>
      </c>
      <c r="AN138" s="376" t="str">
        <f>IF(Start!$C$18="x",IF(AM138 = "NA", "NA", AM138*(Data!$D$54)),"---")</f>
        <v>NA</v>
      </c>
      <c r="AO138" s="498" t="str">
        <f>IF(Start!$C$18="x",IF(AN138="NA","NA",AN138*Data!$D$41),"---")</f>
        <v>NA</v>
      </c>
      <c r="AP138" s="376">
        <f>IF(Start!$C$18="x",IF(OR(Q138=0,N138="NA",N138="",AG138="NA",AG138="",AG138=0,Q138="",Q138="NA"),"NA", (3.1416*Data!$D$56*86400/($AG138*(Data!$D$55+(N138*Data!$D$19/(Q138*1000)))))^0.5),"---")</f>
        <v>3876.8487190137016</v>
      </c>
      <c r="AQ138" s="376" t="str">
        <f>IF(Start!$C$18="x",IF(OR(AH138="NA",AI138="NA",AI138="",AI138=0,AH138=""),"NA", AH138/AI138),"---")</f>
        <v>NA</v>
      </c>
      <c r="AR138" s="376" t="str">
        <f>IF(Start!$C$18="x",IF(OR(AQ138="NA",AP138="NA",$R138="NA",R138=0,R138=""),"NA",(2*AQ138)/(1000*(1/$R138+AP138))),"---")</f>
        <v>NA</v>
      </c>
      <c r="AS138" s="376" t="str">
        <f>IF(Start!$C$18="x",IF(AR138 = "NA", "NA", AR138*(Data!$D$52*Data!$D$53*10000)),"---")</f>
        <v>NA</v>
      </c>
      <c r="AT138" s="376" t="str">
        <f>IF(Start!$C$18="x",IF(AS138 = "NA", "NA", (AS138*1000)/(Data!$D$48*3*Data!$D$53)),"---")</f>
        <v>NA</v>
      </c>
      <c r="AU138" s="498" t="str">
        <f>IF(Start!$C$18="x",IF(AT138="NA","NA",AT138*Data!$D$47),"---")</f>
        <v>NA</v>
      </c>
      <c r="AV138" s="283" t="str">
        <f>IF(Start!$C$18="x",(IF(AND(F138="",G138= "",G138&lt;&gt;"NA"),"",IF(OR(AD138="NA",I138="NA",I138=0),"NA",(AD138/I138)))),"Not Req.")</f>
        <v/>
      </c>
      <c r="AW138" s="284" t="str">
        <f>IF(Start!$C$18="x",(IF(AND(F138="",G138= "",G138&lt;&gt;"NA"),"",IF(OR(AF138="NA",I138="NA",I138=0),"NA",(AF138/I138)))),"Not Req.")</f>
        <v/>
      </c>
      <c r="AX138" s="284" t="str">
        <f>IF(Start!$C$18="x",(IF(F138 ="","",IF(OR(AO138="NA",I138="NA",I138=0),"NA",(AO138/I138)))),"Not Req.")</f>
        <v/>
      </c>
      <c r="AY138" s="344" t="str">
        <f>IF(Start!$C$18="x",(IF(F138 ="","",IF(OR(AU138="NA",I138="NA",I138=0),"NA",(AU138/I138)))),"Not Req.")</f>
        <v/>
      </c>
      <c r="AZ138" s="208"/>
    </row>
    <row r="139" spans="1:52" s="10" customFormat="1" x14ac:dyDescent="0.25">
      <c r="A139" s="407" t="s">
        <v>457</v>
      </c>
      <c r="B139" s="347" t="str">
        <f>IF(Start!$C$18="x",IF(AND(OR(F139="",F139="NA"),OR(G139="",G139="NA")),"",IF(I139="NA","NA",IF(AND(I139="",K139="--"),"NA",IF(AD139="NA","Missing Data",IF(I139="","No Criteria",IF(AD139&gt;=I139,"Needed","No")))))),"---")</f>
        <v/>
      </c>
      <c r="C139" s="501" t="str">
        <f>IF(Start!$C$18="x",IF(AND(OR(F139="",F139="NA"),OR(G139="",G139="NA")),"",IF(I139="NA","NA",IF(AND(I139="",K139="--"),"NA",IF(AF139="NA","Missing Data",IF(I139="","No Criteria",IF(AF139&gt;=I139,"Needed","No")))))),"---")</f>
        <v/>
      </c>
      <c r="D139" s="347" t="str">
        <f>IF(Start!$C$18="x",IF(AND(OR(F139="",F139="NA"),OR(G139="",G139="NA")),"",IF(I139="NA","NA",IF(AND(I139="",K139="--"),"NA",IF(AO139="NA","Missing Data",IF(I139="","No Criteria",IF(AO139&gt;=I139,"Needed","No")))))),"---")</f>
        <v/>
      </c>
      <c r="E139" s="401" t="str">
        <f>IF(Start!$C$18="x",IF(AND(OR(F139="",F139="NA"),OR(G139="",G139="NA")),"",IF(I139="NA","NA",IF(AND(I139="",K139="--"),"NA",IF(AU139="NA","Missing Data",IF(I139="","No Criteria",IF(AU139&gt;=I139,"Needed","No")))))),"---")</f>
        <v/>
      </c>
      <c r="F139" s="431" t="str">
        <f>IF(TRUE=ISBLANK(ChemData!B139),"",(ChemData!B139))</f>
        <v/>
      </c>
      <c r="G139" s="432" t="str">
        <f>IF(TRUE=ISBLANK(ChemData!C139),"",(ChemData!C139))</f>
        <v/>
      </c>
      <c r="H139" s="433" t="str">
        <f>IF(TRUE=ISBLANK(ChemData!D139),"",(ChemData!D139))</f>
        <v/>
      </c>
      <c r="I139" s="919" t="str">
        <f>IF(TRUE=ISBLANK(ChemData!K139),"",(ChemData!K139))</f>
        <v>NA</v>
      </c>
      <c r="J139" s="290">
        <f>IF(TRUE=ISBLANK(ChemData!M139),"",(ChemData!M139))</f>
        <v>197.45</v>
      </c>
      <c r="K139" s="290">
        <f>IF(TRUE=ISBLANK(ChemData!N139),"",(ChemData!N139))</f>
        <v>4.33E-6</v>
      </c>
      <c r="L139" s="290">
        <f>IF(TRUE=ISBLANK(ChemData!O139),"",(ChemData!O139))</f>
        <v>2.9100000000000001E-2</v>
      </c>
      <c r="M139" s="290">
        <f>IF(TRUE=ISBLANK(ChemData!Q139),"",(ChemData!Q139))</f>
        <v>147.0301562474645</v>
      </c>
      <c r="N139" s="290">
        <f>IF(TRUE=ISBLANK(ChemData!R139),"",(ChemData!R139))</f>
        <v>147.0301562474645</v>
      </c>
      <c r="O139" s="290">
        <f>IF(TRUE=ISBLANK(ChemData!S139),"",(ChemData!S139))</f>
        <v>1</v>
      </c>
      <c r="P139" s="291">
        <f>IF(TRUE=ISBLANK(ChemData!T139),"",(ChemData!T139))</f>
        <v>1</v>
      </c>
      <c r="Q139" s="375">
        <f>IF(Start!$C$18="x",IF(OR(K139="NA",K139="",K139="--"),"NA",(K139*1000000/82.1/Data!$D$50)),"---")</f>
        <v>1.7013083965266592E-4</v>
      </c>
      <c r="R139" s="376">
        <f>IF(Start!$C$18="x",IF(OR(J139="NA",J139=0,J139=""),"NA",(0.32*(Data!$D$48+Data!$D$49)*(18/J139)^0.5)),"---")</f>
        <v>0.248791131464663</v>
      </c>
      <c r="S139" s="376">
        <f>IF(Start!$C$18="x",IF(OR(J139="NA",J139= 0,J139=""),"NA",(0.0065*((Data!$D$49^0.969)/(Data!$D$51^0.673))*(32/J139)^0.5*EXP(0.526*Data!$D$48^-1.9))),"---")</f>
        <v>5.2438354450996588E-4</v>
      </c>
      <c r="T139" s="377">
        <f>IF(Start!$C$18="x",IF(OR(S139="NA",R139="NA",R139=0,Q139="NA",S139=0,Q139=0),"NA",(1/(1/S139+(1/(R139*Q139))))),"---")</f>
        <v>3.9165679726268512E-5</v>
      </c>
      <c r="U139" s="375" t="str">
        <f>IF(Start!$C$18="x",IF(OR(F139="NA",F139="",O139="",O139="NA"),"NA",(F139*$O139)),"---")</f>
        <v>NA</v>
      </c>
      <c r="V139" s="376" t="str">
        <f>IF(Start!$C$18="x",IF(OR(U139="NA",M139="NA",M139="",U139=""),"NA",U139/((Data!$D$18+((1-Data!$D$18)*Data!$D$14*M139))/((1-Data!$D$18)*Data!$D$14*1000))),"---")</f>
        <v>NA</v>
      </c>
      <c r="W139" s="376" t="str">
        <f>IF(Start!$C$18="x",IF(OR(G139="NA",U139="NA",G139="",U139=""),"NA",(U139 +($G139*(Data!$D$19-Data!$D$22)/(Data!$D$19*Data!$D$22)))),"---")</f>
        <v>NA</v>
      </c>
      <c r="X139" s="376" t="str">
        <f>IF(Start!$C$18="x",IF(OR(G139="NA",V139="NA",G139="",V139=""),"NA",(((Data!$D$22*Data!$D$18)*V139)+(Data!$D$19-Data!$D$22)*$G139)/((Data!$D$22*Data!$D$18)+Data!$D$19-Data!$D$22)),"---")</f>
        <v>NA</v>
      </c>
      <c r="Y139" s="376" t="str">
        <f>IF(Start!$C$18="x",IF(OR(W139="NA",W139="",M139="NA",M139=""),"NA",(W139/((Data!$D$23+((1-Data!$D$23)*Data!$D$14*M139)) /((1-Data!$D$23)*Data!$D$14*1000)))),"---")</f>
        <v>NA</v>
      </c>
      <c r="Z139" s="376" t="str">
        <f>IF(Start!$C$18="x",IF(OR(Y139="NA",X139="NA"),"NA",IF(Y139&gt;X139, Y139, X139)),"---")</f>
        <v>NA</v>
      </c>
      <c r="AA139" s="461" t="str">
        <f>IF(Start!$C$18="x",IF(OR(Z139="NA",T139="NA"),"NA",Z139*T139/(1000000000)),"---")</f>
        <v>NA</v>
      </c>
      <c r="AB139" s="1057" t="str">
        <f>IF(Start!$C$18="x",IF(AA139 = "NA", "NA", AA139*(Data!$D$52*Data!$D$53*10000)),"---")</f>
        <v>NA</v>
      </c>
      <c r="AC139" s="375" t="str">
        <f>IF(Start!$C$18="x",IF(AB139="NA", "NA", AB139*Data!$D$54),"---")</f>
        <v>NA</v>
      </c>
      <c r="AD139" s="498" t="str">
        <f>IF(Start!$C$18="x",IF(AC139="NA","NA",AC139*Data!$D$41),"---")</f>
        <v>NA</v>
      </c>
      <c r="AE139" s="376" t="str">
        <f>IF(Start!$C$18="x",IF(AB139 = "NA", "NA", AB139/(Data!$D$53*3*Data!$D$48)*1000),"---")</f>
        <v>NA</v>
      </c>
      <c r="AF139" s="498" t="str">
        <f>IF(Start!$C$18="x",IF(AE139="NA","NA",AE139*Data!$D$46),"---")</f>
        <v>NA</v>
      </c>
      <c r="AG139" s="375">
        <f>IF(Start!$C$18="x",IF(OR($L139="NA",L139=""),"NA",($L139*(Data!$D$55^3.33)/(Data!$D$18^2))),"---")</f>
        <v>2.9645606568862387E-4</v>
      </c>
      <c r="AH139" s="376" t="str">
        <f>IF(Start!$C$18="x",IF(OR(F139="NA",F139="",P139="NA",P139=""),"NA",IF(100/Data!$D$10&gt;Data!$D$13,(F139*$P139),(F139*$P139)*Data!$D$13)),"---")</f>
        <v>NA</v>
      </c>
      <c r="AI139" s="489">
        <f>IF(Start!$C$18="x",IF(OR($N139="NA",$Q139="NA",$Q139=0,Q139="",N139=""),"NA",(1000*$N139/$Q139)),"---")</f>
        <v>864218130.86702514</v>
      </c>
      <c r="AJ139" s="376">
        <f>IF(Start!$C$18="x",IF(OR(Q139 = "NA",Q139=0,N139 = "NA",N139="",Q139=""), "NA", IF($AG139="NA","NA",(3.1416*Data!$D$57*86400/($AG139*(Data!$D$55+(N139*Data!$D$19/(Q139*1000)))))^0.5)),"---")</f>
        <v>193.44405465036496</v>
      </c>
      <c r="AK139" s="376" t="str">
        <f>IF(Start!$C$18="x",IF(OR(AH139 = "NA",AI139="NA",AI139=0,AI139="",AH139=""), "NA", AH139/AI139),"---")</f>
        <v>NA</v>
      </c>
      <c r="AL139" s="376" t="str">
        <f>IF(Start!$C$18="x",IF(OR(AK139 ="NA",AK139="",AJ139= "NA",R139="NA",R139=0),"NA",(2*AK139)/(1000*(1/$R139+AJ139))),"---")</f>
        <v>NA</v>
      </c>
      <c r="AM139" s="376" t="str">
        <f>IF(Start!$C$18="x",IF(AL139 = "NA", "NA", AL139*(Data!$D$52*Data!$D$53*10000)),"---")</f>
        <v>NA</v>
      </c>
      <c r="AN139" s="376" t="str">
        <f>IF(Start!$C$18="x",IF(AM139 = "NA", "NA", AM139*(Data!$D$54)),"---")</f>
        <v>NA</v>
      </c>
      <c r="AO139" s="498" t="str">
        <f>IF(Start!$C$18="x",IF(AN139="NA","NA",AN139*Data!$D$41),"---")</f>
        <v>NA</v>
      </c>
      <c r="AP139" s="376">
        <f>IF(Start!$C$18="x",IF(OR(Q139=0,N139="NA",N139="",AG139="NA",AG139="",AG139=0,Q139="",Q139="NA"),"NA", (3.1416*Data!$D$56*86400/($AG139*(Data!$D$55+(N139*Data!$D$19/(Q139*1000)))))^0.5),"---")</f>
        <v>193.44405465036496</v>
      </c>
      <c r="AQ139" s="376" t="str">
        <f>IF(Start!$C$18="x",IF(OR(AH139="NA",AI139="NA",AI139="",AI139=0,AH139=""),"NA", AH139/AI139),"---")</f>
        <v>NA</v>
      </c>
      <c r="AR139" s="376" t="str">
        <f>IF(Start!$C$18="x",IF(OR(AQ139="NA",AP139="NA",$R139="NA",R139=0,R139=""),"NA",(2*AQ139)/(1000*(1/$R139+AP139))),"---")</f>
        <v>NA</v>
      </c>
      <c r="AS139" s="376" t="str">
        <f>IF(Start!$C$18="x",IF(AR139 = "NA", "NA", AR139*(Data!$D$52*Data!$D$53*10000)),"---")</f>
        <v>NA</v>
      </c>
      <c r="AT139" s="376" t="str">
        <f>IF(Start!$C$18="x",IF(AS139 = "NA", "NA", (AS139*1000)/(Data!$D$48*3*Data!$D$53)),"---")</f>
        <v>NA</v>
      </c>
      <c r="AU139" s="498" t="str">
        <f>IF(Start!$C$18="x",IF(AT139="NA","NA",AT139*Data!$D$47),"---")</f>
        <v>NA</v>
      </c>
      <c r="AV139" s="283" t="str">
        <f>IF(Start!$C$18="x",(IF(AND(F139="",G139= "",G139&lt;&gt;"NA"),"",IF(OR(AD139="NA",I139="NA",I139=0),"NA",(AD139/I139)))),"Not Req.")</f>
        <v/>
      </c>
      <c r="AW139" s="284" t="str">
        <f>IF(Start!$C$18="x",(IF(AND(F139="",G139= "",G139&lt;&gt;"NA"),"",IF(OR(AF139="NA",I139="NA",I139=0),"NA",(AF139/I139)))),"Not Req.")</f>
        <v/>
      </c>
      <c r="AX139" s="284" t="str">
        <f>IF(Start!$C$18="x",(IF(F139 ="","",IF(OR(AO139="NA",I139="NA",I139=0),"NA",(AO139/I139)))),"Not Req.")</f>
        <v/>
      </c>
      <c r="AY139" s="344" t="str">
        <f>IF(Start!$C$18="x",(IF(F139 ="","",IF(OR(AU139="NA",I139="NA",I139=0),"NA",(AU139/I139)))),"Not Req.")</f>
        <v/>
      </c>
      <c r="AZ139" s="208"/>
    </row>
    <row r="140" spans="1:52" s="183" customFormat="1" ht="13.8" thickBot="1" x14ac:dyDescent="0.3">
      <c r="A140" s="405" t="s">
        <v>458</v>
      </c>
      <c r="B140" s="347" t="str">
        <f>IF(Start!$C$18="x",IF(AND(OR(F140="",F140="NA"),OR(G140="",G140="NA")),"",IF(I140="NA","NA",IF(AND(I140="",K140="--"),"NA",IF(AD140="NA","Missing Data",IF(I140="","No Criteria",IF(AD140&gt;=I140,"Needed","No")))))),"---")</f>
        <v/>
      </c>
      <c r="C140" s="501" t="str">
        <f>IF(Start!$C$18="x",IF(AND(OR(F140="",F140="NA"),OR(G140="",G140="NA")),"",IF(I140="NA","NA",IF(AND(I140="",K140="--"),"NA",IF(AF140="NA","Missing Data",IF(I140="","No Criteria",IF(AF140&gt;=I140,"Needed","No")))))),"---")</f>
        <v/>
      </c>
      <c r="D140" s="347" t="str">
        <f>IF(Start!$C$18="x",IF(AND(OR(F140="",F140="NA"),OR(G140="",G140="NA")),"",IF(I140="NA","NA",IF(AND(I140="",K140="--"),"NA",IF(AO140="NA","Missing Data",IF(I140="","No Criteria",IF(AO140&gt;=I140,"Needed","No")))))),"---")</f>
        <v/>
      </c>
      <c r="E140" s="401" t="str">
        <f>IF(Start!$C$18="x",IF(AND(OR(F140="",F140="NA"),OR(G140="",G140="NA")),"",IF(I140="NA","NA",IF(AND(I140="",K140="--"),"NA",IF(AU140="NA","Missing Data",IF(I140="","No Criteria",IF(AU140&gt;=I140,"Needed","No")))))),"---")</f>
        <v/>
      </c>
      <c r="F140" s="431" t="str">
        <f>IF(TRUE=ISBLANK(ChemData!B140),"",(ChemData!B140))</f>
        <v/>
      </c>
      <c r="G140" s="432" t="str">
        <f>IF(TRUE=ISBLANK(ChemData!C140),"",(ChemData!C140))</f>
        <v/>
      </c>
      <c r="H140" s="433" t="str">
        <f>IF(TRUE=ISBLANK(ChemData!D140),"",(ChemData!D140))</f>
        <v/>
      </c>
      <c r="I140" s="919" t="str">
        <f>IF(TRUE=ISBLANK(ChemData!K140),"",(ChemData!K140))</f>
        <v>NA</v>
      </c>
      <c r="J140" s="290">
        <f>IF(TRUE=ISBLANK(ChemData!M140),"",(ChemData!M140))</f>
        <v>197.4</v>
      </c>
      <c r="K140" s="290">
        <f>IF(TRUE=ISBLANK(ChemData!N140),"",(ChemData!N140))</f>
        <v>3.9999999999999998E-6</v>
      </c>
      <c r="L140" s="290">
        <f>IF(TRUE=ISBLANK(ChemData!O140),"",(ChemData!O140))</f>
        <v>3.1800000000000002E-2</v>
      </c>
      <c r="M140" s="290">
        <f>IF(TRUE=ISBLANK(ChemData!Q140),"",(ChemData!Q140))</f>
        <v>73.689637269452419</v>
      </c>
      <c r="N140" s="290">
        <f>IF(TRUE=ISBLANK(ChemData!R140),"",(ChemData!R140))</f>
        <v>73.689637269452419</v>
      </c>
      <c r="O140" s="290">
        <f>IF(TRUE=ISBLANK(ChemData!S140),"",(ChemData!S140))</f>
        <v>1</v>
      </c>
      <c r="P140" s="291">
        <f>IF(TRUE=ISBLANK(ChemData!T140),"",(ChemData!T140))</f>
        <v>1</v>
      </c>
      <c r="Q140" s="375">
        <f>IF(Start!$C$18="x",IF(OR(K140="NA",K140="",K140="--"),"NA",(K140*1000000/82.1/Data!$D$50)),"---")</f>
        <v>1.571647479470355E-4</v>
      </c>
      <c r="R140" s="376">
        <f>IF(Start!$C$18="x",IF(OR(J140="NA",J140=0,J140=""),"NA",(0.32*(Data!$D$48+Data!$D$49)*(18/J140)^0.5)),"---")</f>
        <v>0.24882263797165494</v>
      </c>
      <c r="S140" s="376">
        <f>IF(Start!$C$18="x",IF(OR(J140="NA",J140= 0,J140=""),"NA",(0.0065*((Data!$D$49^0.969)/(Data!$D$51^0.673))*(32/J140)^0.5*EXP(0.526*Data!$D$48^-1.9))),"---")</f>
        <v>5.244499515949546E-4</v>
      </c>
      <c r="T140" s="377">
        <f>IF(Start!$C$18="x",IF(OR(S140="NA",R140="NA",R140=0,Q140="NA",S140=0,Q140=0),"NA",(1/(1/S140+(1/(R140*Q140))))),"---")</f>
        <v>3.6392502965295707E-5</v>
      </c>
      <c r="U140" s="375" t="str">
        <f>IF(Start!$C$18="x",IF(OR(F140="NA",F140="",O140="",O140="NA"),"NA",(F140*$O140)),"---")</f>
        <v>NA</v>
      </c>
      <c r="V140" s="376" t="str">
        <f>IF(Start!$C$18="x",IF(OR(U140="NA",M140="NA",M140="",U140=""),"NA",U140/((Data!$D$18+((1-Data!$D$18)*Data!$D$14*M140))/((1-Data!$D$18)*Data!$D$14*1000))),"---")</f>
        <v>NA</v>
      </c>
      <c r="W140" s="376" t="str">
        <f>IF(Start!$C$18="x",IF(OR(G140="NA",U140="NA",G140="",U140=""),"NA",(U140 +($G140*(Data!$D$19-Data!$D$22)/(Data!$D$19*Data!$D$22)))),"---")</f>
        <v>NA</v>
      </c>
      <c r="X140" s="376" t="str">
        <f>IF(Start!$C$18="x",IF(OR(G140="NA",V140="NA",G140="",V140=""),"NA",(((Data!$D$22*Data!$D$18)*V140)+(Data!$D$19-Data!$D$22)*$G140)/((Data!$D$22*Data!$D$18)+Data!$D$19-Data!$D$22)),"---")</f>
        <v>NA</v>
      </c>
      <c r="Y140" s="376" t="str">
        <f>IF(Start!$C$18="x",IF(OR(W140="NA",W140="",M140="NA",M140=""),"NA",(W140/((Data!$D$23+((1-Data!$D$23)*Data!$D$14*M140)) /((1-Data!$D$23)*Data!$D$14*1000)))),"---")</f>
        <v>NA</v>
      </c>
      <c r="Z140" s="376" t="str">
        <f>IF(Start!$C$18="x",IF(OR(Y140="NA",X140="NA"),"NA",IF(Y140&gt;X140, Y140, X140)),"---")</f>
        <v>NA</v>
      </c>
      <c r="AA140" s="461" t="str">
        <f>IF(Start!$C$18="x",IF(OR(Z140="NA",T140="NA"),"NA",Z140*T140/(1000000000)),"---")</f>
        <v>NA</v>
      </c>
      <c r="AB140" s="1057" t="str">
        <f>IF(Start!$C$18="x",IF(AA140 = "NA", "NA", AA140*(Data!$D$52*Data!$D$53*10000)),"---")</f>
        <v>NA</v>
      </c>
      <c r="AC140" s="375" t="str">
        <f>IF(Start!$C$18="x",IF(AB140="NA", "NA", AB140*Data!$D$54),"---")</f>
        <v>NA</v>
      </c>
      <c r="AD140" s="498" t="str">
        <f>IF(Start!$C$18="x",IF(AC140="NA","NA",AC140*Data!$D$41),"---")</f>
        <v>NA</v>
      </c>
      <c r="AE140" s="376" t="str">
        <f>IF(Start!$C$18="x",IF(AB140 = "NA", "NA", AB140/(Data!$D$53*3*Data!$D$48)*1000),"---")</f>
        <v>NA</v>
      </c>
      <c r="AF140" s="498" t="str">
        <f>IF(Start!$C$18="x",IF(AE140="NA","NA",AE140*Data!$D$46),"---")</f>
        <v>NA</v>
      </c>
      <c r="AG140" s="375">
        <f>IF(Start!$C$18="x",IF(OR($L140="NA",L140=""),"NA",($L140*(Data!$D$55^3.33)/(Data!$D$18^2))),"---")</f>
        <v>3.2396229858756842E-4</v>
      </c>
      <c r="AH140" s="376" t="str">
        <f>IF(Start!$C$18="x",IF(OR(F140="NA",F140="",P140="NA",P140=""),"NA",IF(100/Data!$D$10&gt;Data!$D$13,(F140*$P140),(F140*$P140)*Data!$D$13)),"---")</f>
        <v>NA</v>
      </c>
      <c r="AI140" s="489">
        <f>IF(Start!$C$18="x",IF(OR($N140="NA",$Q140="NA",$Q140=0,Q140="",N140=""),"NA",(1000*$N140/$Q140)),"---")</f>
        <v>468868739.53620833</v>
      </c>
      <c r="AJ140" s="376">
        <f>IF(Start!$C$18="x",IF(OR(Q140 = "NA",Q140=0,N140 = "NA",N140="",Q140=""), "NA", IF($AG140="NA","NA",(3.1416*Data!$D$57*86400/($AG140*(Data!$D$55+(N140*Data!$D$19/(Q140*1000)))))^0.5)),"---")</f>
        <v>251.23163149849333</v>
      </c>
      <c r="AK140" s="376" t="str">
        <f>IF(Start!$C$18="x",IF(OR(AH140 = "NA",AI140="NA",AI140=0,AI140="",AH140=""), "NA", AH140/AI140),"---")</f>
        <v>NA</v>
      </c>
      <c r="AL140" s="376" t="str">
        <f>IF(Start!$C$18="x",IF(OR(AK140 ="NA",AK140="",AJ140= "NA",R140="NA",R140=0),"NA",(2*AK140)/(1000*(1/$R140+AJ140))),"---")</f>
        <v>NA</v>
      </c>
      <c r="AM140" s="376" t="str">
        <f>IF(Start!$C$18="x",IF(AL140 = "NA", "NA", AL140*(Data!$D$52*Data!$D$53*10000)),"---")</f>
        <v>NA</v>
      </c>
      <c r="AN140" s="376" t="str">
        <f>IF(Start!$C$18="x",IF(AM140 = "NA", "NA", AM140*(Data!$D$54)),"---")</f>
        <v>NA</v>
      </c>
      <c r="AO140" s="498" t="str">
        <f>IF(Start!$C$18="x",IF(AN140="NA","NA",AN140*Data!$D$41),"---")</f>
        <v>NA</v>
      </c>
      <c r="AP140" s="376">
        <f>IF(Start!$C$18="x",IF(OR(Q140=0,N140="NA",N140="",AG140="NA",AG140="",AG140=0,Q140="",Q140="NA"),"NA", (3.1416*Data!$D$56*86400/($AG140*(Data!$D$55+(N140*Data!$D$19/(Q140*1000)))))^0.5),"---")</f>
        <v>251.23163149849333</v>
      </c>
      <c r="AQ140" s="376" t="str">
        <f>IF(Start!$C$18="x",IF(OR(AH140="NA",AI140="NA",AI140="",AI140=0,AH140=""),"NA", AH140/AI140),"---")</f>
        <v>NA</v>
      </c>
      <c r="AR140" s="376" t="str">
        <f>IF(Start!$C$18="x",IF(OR(AQ140="NA",AP140="NA",$R140="NA",R140=0,R140=""),"NA",(2*AQ140)/(1000*(1/$R140+AP140))),"---")</f>
        <v>NA</v>
      </c>
      <c r="AS140" s="376" t="str">
        <f>IF(Start!$C$18="x",IF(AR140 = "NA", "NA", AR140*(Data!$D$52*Data!$D$53*10000)),"---")</f>
        <v>NA</v>
      </c>
      <c r="AT140" s="376" t="str">
        <f>IF(Start!$C$18="x",IF(AS140 = "NA", "NA", (AS140*1000)/(Data!$D$48*3*Data!$D$53)),"---")</f>
        <v>NA</v>
      </c>
      <c r="AU140" s="498" t="str">
        <f>IF(Start!$C$18="x",IF(AT140="NA","NA",AT140*Data!$D$47),"---")</f>
        <v>NA</v>
      </c>
      <c r="AV140" s="283" t="str">
        <f>IF(Start!$C$18="x",(IF(AND(F140="",G140= "",G140&lt;&gt;"NA"),"",IF(OR(AD140="NA",I140="NA",I140=0),"NA",(AD140/I140)))),"Not Req.")</f>
        <v/>
      </c>
      <c r="AW140" s="284" t="str">
        <f>IF(Start!$C$18="x",(IF(AND(F140="",G140= "",G140&lt;&gt;"NA"),"",IF(OR(AF140="NA",I140="NA",I140=0),"NA",(AF140/I140)))),"Not Req.")</f>
        <v/>
      </c>
      <c r="AX140" s="284" t="str">
        <f>IF(Start!$C$18="x",(IF(F140 ="","",IF(OR(AO140="NA",I140="NA",I140=0),"NA",(AO140/I140)))),"Not Req.")</f>
        <v/>
      </c>
      <c r="AY140" s="344" t="str">
        <f>IF(Start!$C$18="x",(IF(F140 ="","",IF(OR(AU140="NA",I140="NA",I140=0),"NA",(AU140/I140)))),"Not Req.")</f>
        <v/>
      </c>
      <c r="AZ140" s="208"/>
    </row>
    <row r="141" spans="1:52" s="10" customFormat="1" x14ac:dyDescent="0.25">
      <c r="A141" s="505" t="s">
        <v>459</v>
      </c>
      <c r="B141" s="530"/>
      <c r="C141" s="531"/>
      <c r="D141" s="530"/>
      <c r="E141" s="526"/>
      <c r="F141" s="508"/>
      <c r="G141" s="509"/>
      <c r="H141" s="510"/>
      <c r="I141" s="800"/>
      <c r="J141" s="512"/>
      <c r="K141" s="512"/>
      <c r="L141" s="512"/>
      <c r="M141" s="512"/>
      <c r="N141" s="512"/>
      <c r="O141" s="512"/>
      <c r="P141" s="513"/>
      <c r="Q141" s="511"/>
      <c r="R141" s="512"/>
      <c r="S141" s="512"/>
      <c r="T141" s="513"/>
      <c r="U141" s="511"/>
      <c r="V141" s="512"/>
      <c r="W141" s="512"/>
      <c r="X141" s="512"/>
      <c r="Y141" s="512"/>
      <c r="Z141" s="512"/>
      <c r="AA141" s="512"/>
      <c r="AB141" s="512"/>
      <c r="AC141" s="511"/>
      <c r="AD141" s="533"/>
      <c r="AE141" s="512"/>
      <c r="AF141" s="533"/>
      <c r="AG141" s="511"/>
      <c r="AH141" s="512"/>
      <c r="AI141" s="534"/>
      <c r="AJ141" s="512"/>
      <c r="AK141" s="512"/>
      <c r="AL141" s="512"/>
      <c r="AM141" s="512"/>
      <c r="AN141" s="512"/>
      <c r="AO141" s="533"/>
      <c r="AP141" s="512"/>
      <c r="AQ141" s="512"/>
      <c r="AR141" s="512"/>
      <c r="AS141" s="512"/>
      <c r="AT141" s="512"/>
      <c r="AU141" s="533"/>
      <c r="AV141" s="511"/>
      <c r="AW141" s="512"/>
      <c r="AX141" s="512"/>
      <c r="AY141" s="513"/>
      <c r="AZ141" s="208"/>
    </row>
    <row r="142" spans="1:52" s="183" customFormat="1" x14ac:dyDescent="0.25">
      <c r="A142" s="405" t="s">
        <v>460</v>
      </c>
      <c r="B142" s="347" t="str">
        <f>IF(Start!$C$18="x",IF(AND(OR(F142="",F142="NA"),OR(G142="",G142="NA")),"",IF(I142="NA","NA",IF(AND(I142="",K142="--"),"NA",IF(AD142="NA","Missing Data",IF(I142="","No Criteria",IF(AD142&gt;=I142,"Needed","No")))))),"---")</f>
        <v/>
      </c>
      <c r="C142" s="501" t="str">
        <f>IF(Start!$C$18="x",IF(AND(OR(F142="",F142="NA"),OR(G142="",G142="NA")),"",IF(I142="NA","NA",IF(AND(I142="",K142="--"),"NA",IF(AF142="NA","Missing Data",IF(I142="","No Criteria",IF(AF142&gt;=I142,"Needed","No")))))),"---")</f>
        <v/>
      </c>
      <c r="D142" s="347" t="str">
        <f>IF(Start!$C$18="x",IF(AND(OR(F142="",F142="NA"),OR(G142="",G142="NA")),"",IF(I142="NA","NA",IF(AND(I142="",K142="--"),"NA",IF(AO142="NA","Missing Data",IF(I142="","No Criteria",IF(AO142&gt;=I142,"Needed","No")))))),"---")</f>
        <v/>
      </c>
      <c r="E142" s="401" t="str">
        <f>IF(Start!$C$18="x",IF(AND(OR(F142="",F142="NA"),OR(G142="",G142="NA")),"",IF(I142="NA","NA",IF(AND(I142="",K142="--"),"NA",IF(AU142="NA","Missing Data",IF(I142="","No Criteria",IF(AU142&gt;=I142,"Needed","No")))))),"---")</f>
        <v/>
      </c>
      <c r="F142" s="431" t="str">
        <f>IF(TRUE=ISBLANK(ChemData!B142),"",(ChemData!B142))</f>
        <v/>
      </c>
      <c r="G142" s="432" t="str">
        <f>IF(TRUE=ISBLANK(ChemData!C142),"",(ChemData!C142))</f>
        <v/>
      </c>
      <c r="H142" s="433" t="str">
        <f>IF(TRUE=ISBLANK(ChemData!D142),"",(ChemData!D142))</f>
        <v/>
      </c>
      <c r="I142" s="919" t="str">
        <f>IF(TRUE=ISBLANK(ChemData!K142),"",(ChemData!K142))</f>
        <v>NA</v>
      </c>
      <c r="J142" s="290">
        <f>IF(TRUE=ISBLANK(ChemData!M142),"",(ChemData!M142))</f>
        <v>58.08</v>
      </c>
      <c r="K142" s="290">
        <f>IF(TRUE=ISBLANK(ChemData!N142),"",(ChemData!N142))</f>
        <v>3.8800000000000001E-5</v>
      </c>
      <c r="L142" s="290">
        <f>IF(TRUE=ISBLANK(ChemData!O142),"",(ChemData!O142))</f>
        <v>0.124</v>
      </c>
      <c r="M142" s="290">
        <f>IF(TRUE=ISBLANK(ChemData!Q142),"",(ChemData!Q142))</f>
        <v>1.0651393240110774E-2</v>
      </c>
      <c r="N142" s="290">
        <f>IF(TRUE=ISBLANK(ChemData!R142),"",(ChemData!R142))</f>
        <v>1.0651393240110774E-2</v>
      </c>
      <c r="O142" s="290">
        <f>IF(TRUE=ISBLANK(ChemData!S142),"",(ChemData!S142))</f>
        <v>1</v>
      </c>
      <c r="P142" s="291">
        <f>IF(TRUE=ISBLANK(ChemData!T142),"",(ChemData!T142))</f>
        <v>1</v>
      </c>
      <c r="Q142" s="375">
        <f>IF(Start!$C$18="x",IF(OR(K142="NA",K142="",K142="--"),"NA",(K142*1000000/82.1/Data!$D$50)),"---")</f>
        <v>1.5244980550862444E-3</v>
      </c>
      <c r="R142" s="376">
        <f>IF(Start!$C$18="x",IF(OR(J142="NA",J142=0,J142=""),"NA",(0.32*(Data!$D$48+Data!$D$49)*(18/J142)^0.5)),"---")</f>
        <v>0.45872262455757701</v>
      </c>
      <c r="S142" s="376">
        <f>IF(Start!$C$18="x",IF(OR(J142="NA",J142= 0,J142=""),"NA",(0.0065*((Data!$D$49^0.969)/(Data!$D$51^0.673))*(32/J142)^0.5*EXP(0.526*Data!$D$48^-1.9))),"---")</f>
        <v>9.6686161759983234E-4</v>
      </c>
      <c r="T142" s="377">
        <f>IF(Start!$C$18="x",IF(OR(S142="NA",R142="NA",R142=0,Q142="NA",S142=0,Q142=0),"NA",(1/(1/S142+(1/(R142*Q142))))),"---")</f>
        <v>4.0580609013005542E-4</v>
      </c>
      <c r="U142" s="375" t="str">
        <f>IF(Start!$C$18="x",IF(OR(F142="NA",F142="",O142="",O142="NA"),"NA",(F142*$O142)),"---")</f>
        <v>NA</v>
      </c>
      <c r="V142" s="376" t="str">
        <f>IF(Start!$C$18="x",IF(OR(U142="NA",M142="NA",M142="",U142=""),"NA",U142/((Data!$D$18+((1-Data!$D$18)*Data!$D$14*M142))/((1-Data!$D$18)*Data!$D$14*1000))),"---")</f>
        <v>NA</v>
      </c>
      <c r="W142" s="376" t="str">
        <f>IF(Start!$C$18="x",IF(OR(G142="NA",U142="NA",G142="",U142=""),"NA",(U142 +($G142*(Data!$D$19-Data!$D$22)/(Data!$D$19*Data!$D$22)))),"---")</f>
        <v>NA</v>
      </c>
      <c r="X142" s="376" t="str">
        <f>IF(Start!$C$18="x",IF(OR(G142="NA",V142="NA",G142="",V142=""),"NA",(((Data!$D$22*Data!$D$18)*V142)+(Data!$D$19-Data!$D$22)*$G142)/((Data!$D$22*Data!$D$18)+Data!$D$19-Data!$D$22)),"---")</f>
        <v>NA</v>
      </c>
      <c r="Y142" s="376" t="str">
        <f>IF(Start!$C$18="x",IF(OR(W142="NA",W142="",M142="NA",M142=""),"NA",(W142/((Data!$D$23+((1-Data!$D$23)*Data!$D$14*M142)) /((1-Data!$D$23)*Data!$D$14*1000)))),"---")</f>
        <v>NA</v>
      </c>
      <c r="Z142" s="376" t="str">
        <f>IF(Start!$C$18="x",IF(OR(Y142="NA",X142="NA"),"NA",IF(Y142&gt;X142, Y142, X142)),"---")</f>
        <v>NA</v>
      </c>
      <c r="AA142" s="461" t="str">
        <f>IF(Start!$C$18="x",IF(OR(Z142="NA",T142="NA"),"NA",Z142*T142/(1000000000)),"---")</f>
        <v>NA</v>
      </c>
      <c r="AB142" s="1057" t="str">
        <f>IF(Start!$C$18="x",IF(AA142 = "NA", "NA", AA142*(Data!$D$52*Data!$D$53*10000)),"---")</f>
        <v>NA</v>
      </c>
      <c r="AC142" s="375" t="str">
        <f>IF(Start!$C$18="x",IF(AB142="NA", "NA", AB142*Data!$D$54),"---")</f>
        <v>NA</v>
      </c>
      <c r="AD142" s="498" t="str">
        <f>IF(Start!$C$18="x",IF(AC142="NA","NA",AC142*Data!$D$41),"---")</f>
        <v>NA</v>
      </c>
      <c r="AE142" s="376" t="str">
        <f>IF(Start!$C$18="x",IF(AB142 = "NA", "NA", AB142/(Data!$D$53*3*Data!$D$48)*1000),"---")</f>
        <v>NA</v>
      </c>
      <c r="AF142" s="498" t="str">
        <f>IF(Start!$C$18="x",IF(AE142="NA","NA",AE142*Data!$D$46),"---")</f>
        <v>NA</v>
      </c>
      <c r="AG142" s="375">
        <f>IF(Start!$C$18="x",IF(OR($L142="NA",L142=""),"NA",($L142*(Data!$D$55^3.33)/(Data!$D$18^2))),"---")</f>
        <v>1.2632492146181912E-3</v>
      </c>
      <c r="AH142" s="376" t="str">
        <f>IF(Start!$C$18="x",IF(OR(F142="NA",F142="",P142="NA",P142=""),"NA",IF(100/Data!$D$10&gt;Data!$D$13,(F142*$P142),(F142*$P142)*Data!$D$13)),"---")</f>
        <v>NA</v>
      </c>
      <c r="AI142" s="489">
        <f>IF(Start!$C$18="x",IF(OR($N142="NA",$Q142="NA",$Q142=0,Q142="",N142=""),"NA",(1000*$N142/$Q142)),"---")</f>
        <v>6986.819828712868</v>
      </c>
      <c r="AJ142" s="376">
        <f>IF(Start!$C$18="x",IF(OR(Q142 = "NA",Q142=0,N142 = "NA",N142="",Q142=""), "NA", IF($AG142="NA","NA",(3.1416*Data!$D$57*86400/($AG142*(Data!$D$55+(N142*Data!$D$19/(Q142*1000)))))^0.5)),"---")</f>
        <v>32416.43689662934</v>
      </c>
      <c r="AK142" s="376" t="str">
        <f>IF(Start!$C$18="x",IF(OR(AH142 = "NA",AI142="NA",AI142=0,AI142="",AH142=""), "NA", AH142/AI142),"---")</f>
        <v>NA</v>
      </c>
      <c r="AL142" s="376" t="str">
        <f>IF(Start!$C$18="x",IF(OR(AK142 ="NA",AK142="",AJ142= "NA",R142="NA",R142=0),"NA",(2*AK142)/(1000*(1/$R142+AJ142))),"---")</f>
        <v>NA</v>
      </c>
      <c r="AM142" s="376" t="str">
        <f>IF(Start!$C$18="x",IF(AL142 = "NA", "NA", AL142*(Data!$D$52*Data!$D$53*10000)),"---")</f>
        <v>NA</v>
      </c>
      <c r="AN142" s="376" t="str">
        <f>IF(Start!$C$18="x",IF(AM142 = "NA", "NA", AM142*(Data!$D$54)),"---")</f>
        <v>NA</v>
      </c>
      <c r="AO142" s="498" t="str">
        <f>IF(Start!$C$18="x",IF(AN142="NA","NA",AN142*Data!$D$41),"---")</f>
        <v>NA</v>
      </c>
      <c r="AP142" s="376">
        <f>IF(Start!$C$18="x",IF(OR(Q142=0,N142="NA",N142="",AG142="NA",AG142="",AG142=0,Q142="",Q142="NA"),"NA", (3.1416*Data!$D$56*86400/($AG142*(Data!$D$55+(N142*Data!$D$19/(Q142*1000)))))^0.5),"---")</f>
        <v>32416.43689662934</v>
      </c>
      <c r="AQ142" s="376" t="str">
        <f>IF(Start!$C$18="x",IF(OR(AH142="NA",AI142="NA",AI142="",AI142=0,AH142=""),"NA", AH142/AI142),"---")</f>
        <v>NA</v>
      </c>
      <c r="AR142" s="376" t="str">
        <f>IF(Start!$C$18="x",IF(OR(AQ142="NA",AP142="NA",$R142="NA",R142=0,R142=""),"NA",(2*AQ142)/(1000*(1/$R142+AP142))),"---")</f>
        <v>NA</v>
      </c>
      <c r="AS142" s="376" t="str">
        <f>IF(Start!$C$18="x",IF(AR142 = "NA", "NA", AR142*(Data!$D$52*Data!$D$53*10000)),"---")</f>
        <v>NA</v>
      </c>
      <c r="AT142" s="376" t="str">
        <f>IF(Start!$C$18="x",IF(AS142 = "NA", "NA", (AS142*1000)/(Data!$D$48*3*Data!$D$53)),"---")</f>
        <v>NA</v>
      </c>
      <c r="AU142" s="498" t="str">
        <f>IF(Start!$C$18="x",IF(AT142="NA","NA",AT142*Data!$D$47),"---")</f>
        <v>NA</v>
      </c>
      <c r="AV142" s="283" t="str">
        <f>IF(Start!$C$18="x",(IF(AND(F142="",G142= "",G142&lt;&gt;"NA"),"",IF(OR(AD142="NA",I142="NA",I142=0),"NA",(AD142/I142)))),"Not Req.")</f>
        <v/>
      </c>
      <c r="AW142" s="284" t="str">
        <f>IF(Start!$C$18="x",(IF(AND(F142="",G142= "",G142&lt;&gt;"NA"),"",IF(OR(AF142="NA",I142="NA",I142=0),"NA",(AF142/I142)))),"Not Req.")</f>
        <v/>
      </c>
      <c r="AX142" s="284" t="str">
        <f>IF(Start!$C$18="x",(IF(F142 ="","",IF(OR(AO142="NA",I142="NA",I142=0),"NA",(AO142/I142)))),"Not Req.")</f>
        <v/>
      </c>
      <c r="AY142" s="344" t="str">
        <f>IF(Start!$C$18="x",(IF(F142 ="","",IF(OR(AU142="NA",I142="NA",I142=0),"NA",(AU142/I142)))),"Not Req.")</f>
        <v/>
      </c>
      <c r="AZ142" s="208"/>
    </row>
    <row r="143" spans="1:52" s="183" customFormat="1" x14ac:dyDescent="0.25">
      <c r="A143" s="405" t="s">
        <v>461</v>
      </c>
      <c r="B143" s="347" t="str">
        <f>IF(Start!$C$18="x",IF(AND(OR(F143="",F143="NA"),OR(G143="",G143="NA")),"",IF(I143="NA","NA",IF(AND(I143="",K143="--"),"NA",IF(AD143="NA","Missing Data",IF(I143="","No Criteria",IF(AD143&gt;=I143,"Needed","No")))))),"---")</f>
        <v/>
      </c>
      <c r="C143" s="501" t="str">
        <f>IF(Start!$C$18="x",IF(AND(OR(F143="",F143="NA"),OR(G143="",G143="NA")),"",IF(I143="NA","NA",IF(AND(I143="",K143="--"),"NA",IF(AF143="NA","Missing Data",IF(I143="","No Criteria",IF(AF143&gt;=I143,"Needed","No")))))),"---")</f>
        <v/>
      </c>
      <c r="D143" s="347" t="str">
        <f>IF(Start!$C$18="x",IF(AND(OR(F143="",F143="NA"),OR(G143="",G143="NA")),"",IF(I143="NA","NA",IF(AND(I143="",K143="--"),"NA",IF(AO143="NA","Missing Data",IF(I143="","No Criteria",IF(AO143&gt;=I143,"Needed","No")))))),"---")</f>
        <v/>
      </c>
      <c r="E143" s="401" t="str">
        <f>IF(Start!$C$18="x",IF(AND(OR(F143="",F143="NA"),OR(G143="",G143="NA")),"",IF(I143="NA","NA",IF(AND(I143="",K143="--"),"NA",IF(AU143="NA","Missing Data",IF(I143="","No Criteria",IF(AU143&gt;=I143,"Needed","No")))))),"---")</f>
        <v/>
      </c>
      <c r="F143" s="431" t="str">
        <f>IF(TRUE=ISBLANK(ChemData!B143),"",(ChemData!B143))</f>
        <v/>
      </c>
      <c r="G143" s="432" t="str">
        <f>IF(TRUE=ISBLANK(ChemData!C143),"",(ChemData!C143))</f>
        <v/>
      </c>
      <c r="H143" s="433" t="str">
        <f>IF(TRUE=ISBLANK(ChemData!D143),"",(ChemData!D143))</f>
        <v/>
      </c>
      <c r="I143" s="919" t="str">
        <f>IF(TRUE=ISBLANK(ChemData!K143),"",(ChemData!K143))</f>
        <v>NA</v>
      </c>
      <c r="J143" s="290">
        <f>IF(TRUE=ISBLANK(ChemData!M143),"",(ChemData!M143))</f>
        <v>56.1</v>
      </c>
      <c r="K143" s="290">
        <f>IF(TRUE=ISBLANK(ChemData!N143),"",(ChemData!N143))</f>
        <v>1.22E-4</v>
      </c>
      <c r="L143" s="290">
        <f>IF(TRUE=ISBLANK(ChemData!O143),"",(ChemData!O143))</f>
        <v>0.11</v>
      </c>
      <c r="M143" s="290">
        <f>IF(TRUE=ISBLANK(ChemData!Q143),"",(ChemData!Q143))</f>
        <v>1.808427E-2</v>
      </c>
      <c r="N143" s="290">
        <f>IF(TRUE=ISBLANK(ChemData!R143),"",(ChemData!R143))</f>
        <v>1.808427E-2</v>
      </c>
      <c r="O143" s="290">
        <f>IF(TRUE=ISBLANK(ChemData!S143),"",(ChemData!S143))</f>
        <v>1</v>
      </c>
      <c r="P143" s="291">
        <f>IF(TRUE=ISBLANK(ChemData!T143),"",(ChemData!T143))</f>
        <v>1</v>
      </c>
      <c r="Q143" s="375">
        <f>IF(Start!$C$18="x",IF(OR(K143="NA",K143="",K143="--"),"NA",(K143*1000000/82.1/Data!$D$50)),"---")</f>
        <v>4.7935248123845827E-3</v>
      </c>
      <c r="R143" s="376">
        <f>IF(Start!$C$18="x",IF(OR(J143="NA",J143=0,J143=""),"NA",(0.32*(Data!$D$48+Data!$D$49)*(18/J143)^0.5)),"---")</f>
        <v>0.46674753564650517</v>
      </c>
      <c r="S143" s="376">
        <f>IF(Start!$C$18="x",IF(OR(J143="NA",J143= 0,J143=""),"NA",(0.0065*((Data!$D$49^0.969)/(Data!$D$51^0.673))*(32/J143)^0.5*EXP(0.526*Data!$D$48^-1.9))),"---")</f>
        <v>9.8377593161261766E-4</v>
      </c>
      <c r="T143" s="377">
        <f>IF(Start!$C$18="x",IF(OR(S143="NA",R143="NA",R143=0,Q143="NA",S143=0,Q143=0),"NA",(1/(1/S143+(1/(R143*Q143))))),"---")</f>
        <v>6.8331878435108986E-4</v>
      </c>
      <c r="U143" s="375" t="str">
        <f>IF(Start!$C$18="x",IF(OR(F143="NA",F143="",O143="",O143="NA"),"NA",(F143*$O143)),"---")</f>
        <v>NA</v>
      </c>
      <c r="V143" s="376" t="str">
        <f>IF(Start!$C$18="x",IF(OR(U143="NA",M143="NA",M143="",U143=""),"NA",U143/((Data!$D$18+((1-Data!$D$18)*Data!$D$14*M143))/((1-Data!$D$18)*Data!$D$14*1000))),"---")</f>
        <v>NA</v>
      </c>
      <c r="W143" s="376" t="str">
        <f>IF(Start!$C$18="x",IF(OR(G143="NA",U143="NA",G143="",U143=""),"NA",(U143 +($G143*(Data!$D$19-Data!$D$22)/(Data!$D$19*Data!$D$22)))),"---")</f>
        <v>NA</v>
      </c>
      <c r="X143" s="376" t="str">
        <f>IF(Start!$C$18="x",IF(OR(G143="NA",V143="NA",G143="",V143=""),"NA",(((Data!$D$22*Data!$D$18)*V143)+(Data!$D$19-Data!$D$22)*$G143)/((Data!$D$22*Data!$D$18)+Data!$D$19-Data!$D$22)),"---")</f>
        <v>NA</v>
      </c>
      <c r="Y143" s="376" t="str">
        <f>IF(Start!$C$18="x",IF(OR(W143="NA",W143="",M143="NA",M143=""),"NA",(W143/((Data!$D$23+((1-Data!$D$23)*Data!$D$14*M143)) /((1-Data!$D$23)*Data!$D$14*1000)))),"---")</f>
        <v>NA</v>
      </c>
      <c r="Z143" s="376" t="str">
        <f>IF(Start!$C$18="x",IF(OR(Y143="NA",X143="NA"),"NA",IF(Y143&gt;X143, Y143, X143)),"---")</f>
        <v>NA</v>
      </c>
      <c r="AA143" s="461" t="str">
        <f>IF(Start!$C$18="x",IF(OR(Z143="NA",T143="NA"),"NA",Z143*T143/(1000000000)),"---")</f>
        <v>NA</v>
      </c>
      <c r="AB143" s="1057" t="str">
        <f>IF(Start!$C$18="x",IF(AA143 = "NA", "NA", AA143*(Data!$D$52*Data!$D$53*10000)),"---")</f>
        <v>NA</v>
      </c>
      <c r="AC143" s="375" t="str">
        <f>IF(Start!$C$18="x",IF(AB143="NA", "NA", AB143*Data!$D$54),"---")</f>
        <v>NA</v>
      </c>
      <c r="AD143" s="498" t="str">
        <f>IF(Start!$C$18="x",IF(AC143="NA","NA",AC143*Data!$D$41),"---")</f>
        <v>NA</v>
      </c>
      <c r="AE143" s="376" t="str">
        <f>IF(Start!$C$18="x",IF(AB143 = "NA", "NA", AB143/(Data!$D$53*3*Data!$D$48)*1000),"---")</f>
        <v>NA</v>
      </c>
      <c r="AF143" s="498" t="str">
        <f>IF(Start!$C$18="x",IF(AE143="NA","NA",AE143*Data!$D$46),"---")</f>
        <v>NA</v>
      </c>
      <c r="AG143" s="375">
        <f>IF(Start!$C$18="x",IF(OR($L143="NA",L143=""),"NA",($L143*(Data!$D$55^3.33)/(Data!$D$18^2))),"---")</f>
        <v>1.1206243032903308E-3</v>
      </c>
      <c r="AH143" s="376" t="str">
        <f>IF(Start!$C$18="x",IF(OR(F143="NA",F143="",P143="NA",P143=""),"NA",IF(100/Data!$D$10&gt;Data!$D$13,(F143*$P143),(F143*$P143)*Data!$D$13)),"---")</f>
        <v>NA</v>
      </c>
      <c r="AI143" s="489">
        <f>IF(Start!$C$18="x",IF(OR($N143="NA",$Q143="NA",$Q143=0,Q143="",N143=""),"NA",(1000*$N143/$Q143)),"---")</f>
        <v>3772.6455390983601</v>
      </c>
      <c r="AJ143" s="376">
        <f>IF(Start!$C$18="x",IF(OR(Q143 = "NA",Q143=0,N143 = "NA",N143="",Q143=""), "NA", IF($AG143="NA","NA",(3.1416*Data!$D$57*86400/($AG143*(Data!$D$55+(N143*Data!$D$19/(Q143*1000)))))^0.5)),"---")</f>
        <v>46200.542612573219</v>
      </c>
      <c r="AK143" s="376" t="str">
        <f>IF(Start!$C$18="x",IF(OR(AH143 = "NA",AI143="NA",AI143=0,AI143="",AH143=""), "NA", AH143/AI143),"---")</f>
        <v>NA</v>
      </c>
      <c r="AL143" s="376" t="str">
        <f>IF(Start!$C$18="x",IF(OR(AK143 ="NA",AK143="",AJ143= "NA",R143="NA",R143=0),"NA",(2*AK143)/(1000*(1/$R143+AJ143))),"---")</f>
        <v>NA</v>
      </c>
      <c r="AM143" s="376" t="str">
        <f>IF(Start!$C$18="x",IF(AL143 = "NA", "NA", AL143*(Data!$D$52*Data!$D$53*10000)),"---")</f>
        <v>NA</v>
      </c>
      <c r="AN143" s="376" t="str">
        <f>IF(Start!$C$18="x",IF(AM143 = "NA", "NA", AM143*(Data!$D$54)),"---")</f>
        <v>NA</v>
      </c>
      <c r="AO143" s="498" t="str">
        <f>IF(Start!$C$18="x",IF(AN143="NA","NA",AN143*Data!$D$41),"---")</f>
        <v>NA</v>
      </c>
      <c r="AP143" s="376">
        <f>IF(Start!$C$18="x",IF(OR(Q143=0,N143="NA",N143="",AG143="NA",AG143="",AG143=0,Q143="",Q143="NA"),"NA", (3.1416*Data!$D$56*86400/($AG143*(Data!$D$55+(N143*Data!$D$19/(Q143*1000)))))^0.5),"---")</f>
        <v>46200.542612573219</v>
      </c>
      <c r="AQ143" s="376" t="str">
        <f>IF(Start!$C$18="x",IF(OR(AH143="NA",AI143="NA",AI143="",AI143=0,AH143=""),"NA", AH143/AI143),"---")</f>
        <v>NA</v>
      </c>
      <c r="AR143" s="376" t="str">
        <f>IF(Start!$C$18="x",IF(OR(AQ143="NA",AP143="NA",$R143="NA",R143=0,R143=""),"NA",(2*AQ143)/(1000*(1/$R143+AP143))),"---")</f>
        <v>NA</v>
      </c>
      <c r="AS143" s="376" t="str">
        <f>IF(Start!$C$18="x",IF(AR143 = "NA", "NA", AR143*(Data!$D$52*Data!$D$53*10000)),"---")</f>
        <v>NA</v>
      </c>
      <c r="AT143" s="376" t="str">
        <f>IF(Start!$C$18="x",IF(AS143 = "NA", "NA", (AS143*1000)/(Data!$D$48*3*Data!$D$53)),"---")</f>
        <v>NA</v>
      </c>
      <c r="AU143" s="498" t="str">
        <f>IF(Start!$C$18="x",IF(AT143="NA","NA",AT143*Data!$D$47),"---")</f>
        <v>NA</v>
      </c>
      <c r="AV143" s="283" t="str">
        <f>IF(Start!$C$18="x",(IF(AND(F143="",G143= "",G143&lt;&gt;"NA"),"",IF(OR(AD143="NA",I143="NA",I143=0),"NA",(AD143/I143)))),"Not Req.")</f>
        <v/>
      </c>
      <c r="AW143" s="284" t="str">
        <f>IF(Start!$C$18="x",(IF(AND(F143="",G143= "",G143&lt;&gt;"NA"),"",IF(OR(AF143="NA",I143="NA",I143=0),"NA",(AF143/I143)))),"Not Req.")</f>
        <v/>
      </c>
      <c r="AX143" s="284" t="str">
        <f>IF(Start!$C$18="x",(IF(F143 ="","",IF(OR(AO143="NA",I143="NA",I143=0),"NA",(AO143/I143)))),"Not Req.")</f>
        <v/>
      </c>
      <c r="AY143" s="344" t="str">
        <f>IF(Start!$C$18="x",(IF(F143 ="","",IF(OR(AU143="NA",I143="NA",I143=0),"NA",(AU143/I143)))),"Not Req.")</f>
        <v/>
      </c>
      <c r="AZ143" s="208"/>
    </row>
    <row r="144" spans="1:52" s="183" customFormat="1" x14ac:dyDescent="0.25">
      <c r="A144" s="405" t="s">
        <v>462</v>
      </c>
      <c r="B144" s="347" t="str">
        <f>IF(Start!$C$18="x",IF(AND(OR(F144="",F144="NA"),OR(G144="",G144="NA")),"",IF(I144="NA","NA",IF(AND(I144="",K144="--"),"NA",IF(AD144="NA","Missing Data",IF(I144="","No Criteria",IF(AD144&gt;=I144,"Needed","No")))))),"---")</f>
        <v/>
      </c>
      <c r="C144" s="501" t="str">
        <f>IF(Start!$C$18="x",IF(AND(OR(F144="",F144="NA"),OR(G144="",G144="NA")),"",IF(I144="NA","NA",IF(AND(I144="",K144="--"),"NA",IF(AF144="NA","Missing Data",IF(I144="","No Criteria",IF(AF144&gt;=I144,"Needed","No")))))),"---")</f>
        <v/>
      </c>
      <c r="D144" s="347" t="str">
        <f>IF(Start!$C$18="x",IF(AND(OR(F144="",F144="NA"),OR(G144="",G144="NA")),"",IF(I144="NA","NA",IF(AND(I144="",K144="--"),"NA",IF(AO144="NA","Missing Data",IF(I144="","No Criteria",IF(AO144&gt;=I144,"Needed","No")))))),"---")</f>
        <v/>
      </c>
      <c r="E144" s="401" t="str">
        <f>IF(Start!$C$18="x",IF(AND(OR(F144="",F144="NA"),OR(G144="",G144="NA")),"",IF(I144="NA","NA",IF(AND(I144="",K144="--"),"NA",IF(AU144="NA","Missing Data",IF(I144="","No Criteria",IF(AU144&gt;=I144,"Needed","No")))))),"---")</f>
        <v/>
      </c>
      <c r="F144" s="431" t="str">
        <f>IF(TRUE=ISBLANK(ChemData!B144),"",(ChemData!B144))</f>
        <v/>
      </c>
      <c r="G144" s="432" t="str">
        <f>IF(TRUE=ISBLANK(ChemData!C144),"",(ChemData!C144))</f>
        <v/>
      </c>
      <c r="H144" s="433" t="str">
        <f>IF(TRUE=ISBLANK(ChemData!D144),"",(ChemData!D144))</f>
        <v/>
      </c>
      <c r="I144" s="919" t="str">
        <f>IF(TRUE=ISBLANK(ChemData!K144),"",(ChemData!K144))</f>
        <v>NA</v>
      </c>
      <c r="J144" s="290">
        <f>IF(TRUE=ISBLANK(ChemData!M144),"",(ChemData!M144))</f>
        <v>53.1</v>
      </c>
      <c r="K144" s="290">
        <f>IF(TRUE=ISBLANK(ChemData!N144),"",(ChemData!N144))</f>
        <v>1.1E-4</v>
      </c>
      <c r="L144" s="290">
        <f>IF(TRUE=ISBLANK(ChemData!O144),"",(ChemData!O144))</f>
        <v>0.122</v>
      </c>
      <c r="M144" s="290">
        <f>IF(TRUE=ISBLANK(ChemData!Q144),"",(ChemData!Q144))</f>
        <v>3.2910780000000001E-2</v>
      </c>
      <c r="N144" s="290">
        <f>IF(TRUE=ISBLANK(ChemData!R144),"",(ChemData!R144))</f>
        <v>3.2910780000000001E-2</v>
      </c>
      <c r="O144" s="290">
        <f>IF(TRUE=ISBLANK(ChemData!S144),"",(ChemData!S144))</f>
        <v>1</v>
      </c>
      <c r="P144" s="291">
        <f>IF(TRUE=ISBLANK(ChemData!T144),"",(ChemData!T144))</f>
        <v>1</v>
      </c>
      <c r="Q144" s="375">
        <f>IF(Start!$C$18="x",IF(OR(K144="NA",K144="",K144="--"),"NA",(K144*1000000/82.1/Data!$D$50)),"---")</f>
        <v>4.3220305685434755E-3</v>
      </c>
      <c r="R144" s="376">
        <f>IF(Start!$C$18="x",IF(OR(J144="NA",J144=0,J144=""),"NA",(0.32*(Data!$D$48+Data!$D$49)*(18/J144)^0.5)),"---")</f>
        <v>0.47975134802541564</v>
      </c>
      <c r="S144" s="376">
        <f>IF(Start!$C$18="x",IF(OR(J144="NA",J144= 0,J144=""),"NA",(0.0065*((Data!$D$49^0.969)/(Data!$D$51^0.673))*(32/J144)^0.5*EXP(0.526*Data!$D$48^-1.9))),"---")</f>
        <v>1.0111844054888825E-3</v>
      </c>
      <c r="T144" s="377">
        <f>IF(Start!$C$18="x",IF(OR(S144="NA",R144="NA",R144=0,Q144="NA",S144=0,Q144=0),"NA",(1/(1/S144+(1/(R144*Q144))))),"---")</f>
        <v>6.7971000800648386E-4</v>
      </c>
      <c r="U144" s="375" t="str">
        <f>IF(Start!$C$18="x",IF(OR(F144="NA",F144="",O144="",O144="NA"),"NA",(F144*$O144)),"---")</f>
        <v>NA</v>
      </c>
      <c r="V144" s="376" t="str">
        <f>IF(Start!$C$18="x",IF(OR(U144="NA",M144="NA",M144="",U144=""),"NA",U144/((Data!$D$18+((1-Data!$D$18)*Data!$D$14*M144))/((1-Data!$D$18)*Data!$D$14*1000))),"---")</f>
        <v>NA</v>
      </c>
      <c r="W144" s="376" t="str">
        <f>IF(Start!$C$18="x",IF(OR(G144="NA",U144="NA",G144="",U144=""),"NA",(U144 +($G144*(Data!$D$19-Data!$D$22)/(Data!$D$19*Data!$D$22)))),"---")</f>
        <v>NA</v>
      </c>
      <c r="X144" s="376" t="str">
        <f>IF(Start!$C$18="x",IF(OR(G144="NA",V144="NA",G144="",V144=""),"NA",(((Data!$D$22*Data!$D$18)*V144)+(Data!$D$19-Data!$D$22)*$G144)/((Data!$D$22*Data!$D$18)+Data!$D$19-Data!$D$22)),"---")</f>
        <v>NA</v>
      </c>
      <c r="Y144" s="376" t="str">
        <f>IF(Start!$C$18="x",IF(OR(W144="NA",W144="",M144="NA",M144=""),"NA",(W144/((Data!$D$23+((1-Data!$D$23)*Data!$D$14*M144)) /((1-Data!$D$23)*Data!$D$14*1000)))),"---")</f>
        <v>NA</v>
      </c>
      <c r="Z144" s="376" t="str">
        <f>IF(Start!$C$18="x",IF(OR(Y144="NA",X144="NA"),"NA",IF(Y144&gt;X144, Y144, X144)),"---")</f>
        <v>NA</v>
      </c>
      <c r="AA144" s="461" t="str">
        <f>IF(Start!$C$18="x",IF(OR(Z144="NA",T144="NA"),"NA",Z144*T144/(1000000000)),"---")</f>
        <v>NA</v>
      </c>
      <c r="AB144" s="1057" t="str">
        <f>IF(Start!$C$18="x",IF(AA144 = "NA", "NA", AA144*(Data!$D$52*Data!$D$53*10000)),"---")</f>
        <v>NA</v>
      </c>
      <c r="AC144" s="375" t="str">
        <f>IF(Start!$C$18="x",IF(AB144="NA", "NA", AB144*Data!$D$54),"---")</f>
        <v>NA</v>
      </c>
      <c r="AD144" s="498" t="str">
        <f>IF(Start!$C$18="x",IF(AC144="NA","NA",AC144*Data!$D$41),"---")</f>
        <v>NA</v>
      </c>
      <c r="AE144" s="376" t="str">
        <f>IF(Start!$C$18="x",IF(AB144 = "NA", "NA", AB144/(Data!$D$53*3*Data!$D$48)*1000),"---")</f>
        <v>NA</v>
      </c>
      <c r="AF144" s="498" t="str">
        <f>IF(Start!$C$18="x",IF(AE144="NA","NA",AE144*Data!$D$46),"---")</f>
        <v>NA</v>
      </c>
      <c r="AG144" s="375">
        <f>IF(Start!$C$18="x",IF(OR($L144="NA",L144=""),"NA",($L144*(Data!$D$55^3.33)/(Data!$D$18^2))),"---")</f>
        <v>1.2428742272856397E-3</v>
      </c>
      <c r="AH144" s="376" t="str">
        <f>IF(Start!$C$18="x",IF(OR(F144="NA",F144="",P144="NA",P144=""),"NA",IF(100/Data!$D$10&gt;Data!$D$13,(F144*$P144),(F144*$P144)*Data!$D$13)),"---")</f>
        <v>NA</v>
      </c>
      <c r="AI144" s="489">
        <f>IF(Start!$C$18="x",IF(OR($N144="NA",$Q144="NA",$Q144=0,Q144="",N144=""),"NA",(1000*$N144/$Q144)),"---")</f>
        <v>7614.6569252727286</v>
      </c>
      <c r="AJ144" s="376">
        <f>IF(Start!$C$18="x",IF(OR(Q144 = "NA",Q144=0,N144 = "NA",N144="",Q144=""), "NA", IF($AG144="NA","NA",(3.1416*Data!$D$57*86400/($AG144*(Data!$D$55+(N144*Data!$D$19/(Q144*1000)))))^0.5)),"---")</f>
        <v>31346.952458070744</v>
      </c>
      <c r="AK144" s="376" t="str">
        <f>IF(Start!$C$18="x",IF(OR(AH144 = "NA",AI144="NA",AI144=0,AI144="",AH144=""), "NA", AH144/AI144),"---")</f>
        <v>NA</v>
      </c>
      <c r="AL144" s="376" t="str">
        <f>IF(Start!$C$18="x",IF(OR(AK144 ="NA",AK144="",AJ144= "NA",R144="NA",R144=0),"NA",(2*AK144)/(1000*(1/$R144+AJ144))),"---")</f>
        <v>NA</v>
      </c>
      <c r="AM144" s="376" t="str">
        <f>IF(Start!$C$18="x",IF(AL144 = "NA", "NA", AL144*(Data!$D$52*Data!$D$53*10000)),"---")</f>
        <v>NA</v>
      </c>
      <c r="AN144" s="376" t="str">
        <f>IF(Start!$C$18="x",IF(AM144 = "NA", "NA", AM144*(Data!$D$54)),"---")</f>
        <v>NA</v>
      </c>
      <c r="AO144" s="498" t="str">
        <f>IF(Start!$C$18="x",IF(AN144="NA","NA",AN144*Data!$D$41),"---")</f>
        <v>NA</v>
      </c>
      <c r="AP144" s="376">
        <f>IF(Start!$C$18="x",IF(OR(Q144=0,N144="NA",N144="",AG144="NA",AG144="",AG144=0,Q144="",Q144="NA"),"NA", (3.1416*Data!$D$56*86400/($AG144*(Data!$D$55+(N144*Data!$D$19/(Q144*1000)))))^0.5),"---")</f>
        <v>31346.952458070744</v>
      </c>
      <c r="AQ144" s="376" t="str">
        <f>IF(Start!$C$18="x",IF(OR(AH144="NA",AI144="NA",AI144="",AI144=0,AH144=""),"NA", AH144/AI144),"---")</f>
        <v>NA</v>
      </c>
      <c r="AR144" s="376" t="str">
        <f>IF(Start!$C$18="x",IF(OR(AQ144="NA",AP144="NA",$R144="NA",R144=0,R144=""),"NA",(2*AQ144)/(1000*(1/$R144+AP144))),"---")</f>
        <v>NA</v>
      </c>
      <c r="AS144" s="376" t="str">
        <f>IF(Start!$C$18="x",IF(AR144 = "NA", "NA", AR144*(Data!$D$52*Data!$D$53*10000)),"---")</f>
        <v>NA</v>
      </c>
      <c r="AT144" s="376" t="str">
        <f>IF(Start!$C$18="x",IF(AS144 = "NA", "NA", (AS144*1000)/(Data!$D$48*3*Data!$D$53)),"---")</f>
        <v>NA</v>
      </c>
      <c r="AU144" s="498" t="str">
        <f>IF(Start!$C$18="x",IF(AT144="NA","NA",AT144*Data!$D$47),"---")</f>
        <v>NA</v>
      </c>
      <c r="AV144" s="283" t="str">
        <f>IF(Start!$C$18="x",(IF(AND(F144="",G144= "",G144&lt;&gt;"NA"),"",IF(OR(AD144="NA",I144="NA",I144=0),"NA",(AD144/I144)))),"Not Req.")</f>
        <v/>
      </c>
      <c r="AW144" s="284" t="str">
        <f>IF(Start!$C$18="x",(IF(AND(F144="",G144= "",G144&lt;&gt;"NA"),"",IF(OR(AF144="NA",I144="NA",I144=0),"NA",(AF144/I144)))),"Not Req.")</f>
        <v/>
      </c>
      <c r="AX144" s="284" t="str">
        <f>IF(Start!$C$18="x",(IF(F144 ="","",IF(OR(AO144="NA",I144="NA",I144=0),"NA",(AO144/I144)))),"Not Req.")</f>
        <v/>
      </c>
      <c r="AY144" s="344" t="str">
        <f>IF(Start!$C$18="x",(IF(F144 ="","",IF(OR(AU144="NA",I144="NA",I144=0),"NA",(AU144/I144)))),"Not Req.")</f>
        <v/>
      </c>
      <c r="AZ144" s="208"/>
    </row>
    <row r="145" spans="1:52" s="183" customFormat="1" x14ac:dyDescent="0.25">
      <c r="A145" s="405" t="s">
        <v>463</v>
      </c>
      <c r="B145" s="347" t="str">
        <f>IF(Start!$C$18="x",IF(AND(OR(F145="",F145="NA"),OR(G145="",G145="NA")),"",IF(I145="NA","NA",IF(AND(I145="",K145="--"),"NA",IF(AD145="NA","Missing Data",IF(I145="","No Criteria",IF(AD145&gt;=I145,"Needed","No")))))),"---")</f>
        <v/>
      </c>
      <c r="C145" s="501" t="str">
        <f>IF(Start!$C$18="x",IF(AND(OR(F145="",F145="NA"),OR(G145="",G145="NA")),"",IF(I145="NA","NA",IF(AND(I145="",K145="--"),"NA",IF(AF145="NA","Missing Data",IF(I145="","No Criteria",IF(AF145&gt;=I145,"Needed","No")))))),"---")</f>
        <v/>
      </c>
      <c r="D145" s="347" t="str">
        <f>IF(Start!$C$18="x",IF(AND(OR(F145="",F145="NA"),OR(G145="",G145="NA")),"",IF(I145="NA","NA",IF(AND(I145="",K145="--"),"NA",IF(AO145="NA","Missing Data",IF(I145="","No Criteria",IF(AO145&gt;=I145,"Needed","No")))))),"---")</f>
        <v/>
      </c>
      <c r="E145" s="401" t="str">
        <f>IF(Start!$C$18="x",IF(AND(OR(F145="",F145="NA"),OR(G145="",G145="NA")),"",IF(I145="NA","NA",IF(AND(I145="",K145="--"),"NA",IF(AU145="NA","Missing Data",IF(I145="","No Criteria",IF(AU145&gt;=I145,"Needed","No")))))),"---")</f>
        <v/>
      </c>
      <c r="F145" s="431" t="str">
        <f>IF(TRUE=ISBLANK(ChemData!B145),"",(ChemData!B145))</f>
        <v/>
      </c>
      <c r="G145" s="432" t="str">
        <f>IF(TRUE=ISBLANK(ChemData!C145),"",(ChemData!C145))</f>
        <v/>
      </c>
      <c r="H145" s="433" t="str">
        <f>IF(TRUE=ISBLANK(ChemData!D145),"",(ChemData!D145))</f>
        <v/>
      </c>
      <c r="I145" s="919" t="str">
        <f>IF(TRUE=ISBLANK(ChemData!K145),"",(ChemData!K145))</f>
        <v>NA</v>
      </c>
      <c r="J145" s="290">
        <f>IF(TRUE=ISBLANK(ChemData!M145),"",(ChemData!M145))</f>
        <v>78.11</v>
      </c>
      <c r="K145" s="290">
        <f>IF(TRUE=ISBLANK(ChemData!N145),"",(ChemData!N145))</f>
        <v>5.4999999999999997E-3</v>
      </c>
      <c r="L145" s="290">
        <f>IF(TRUE=ISBLANK(ChemData!O145),"",(ChemData!O145))</f>
        <v>8.7999999999999995E-2</v>
      </c>
      <c r="M145" s="290">
        <f>IF(TRUE=ISBLANK(ChemData!Q145),"",(ChemData!Q145))</f>
        <v>2.4969302956771511</v>
      </c>
      <c r="N145" s="290">
        <f>IF(TRUE=ISBLANK(ChemData!R145),"",(ChemData!R145))</f>
        <v>2.4969302956771511</v>
      </c>
      <c r="O145" s="290">
        <f>IF(TRUE=ISBLANK(ChemData!S145),"",(ChemData!S145))</f>
        <v>1</v>
      </c>
      <c r="P145" s="291">
        <f>IF(TRUE=ISBLANK(ChemData!T145),"",(ChemData!T145))</f>
        <v>1</v>
      </c>
      <c r="Q145" s="375">
        <f>IF(Start!$C$18="x",IF(OR(K145="NA",K145="",K145="--"),"NA",(K145*1000000/82.1/Data!$D$50)),"---")</f>
        <v>0.21610152842717378</v>
      </c>
      <c r="R145" s="376">
        <f>IF(Start!$C$18="x",IF(OR(J145="NA",J145=0,J145=""),"NA",(0.32*(Data!$D$48+Data!$D$49)*(18/J145)^0.5)),"---")</f>
        <v>0.39555797538854348</v>
      </c>
      <c r="S145" s="376">
        <f>IF(Start!$C$18="x",IF(OR(J145="NA",J145= 0,J145=""),"NA",(0.0065*((Data!$D$49^0.969)/(Data!$D$51^0.673))*(32/J145)^0.5*EXP(0.526*Data!$D$48^-1.9))),"---")</f>
        <v>8.3372784219557991E-4</v>
      </c>
      <c r="T145" s="377">
        <f>IF(Start!$C$18="x",IF(OR(S145="NA",R145="NA",R145=0,Q145="NA",S145=0,Q145=0),"NA",(1/(1/S145+(1/(R145*Q145))))),"---")</f>
        <v>8.2567470127088087E-4</v>
      </c>
      <c r="U145" s="375" t="str">
        <f>IF(Start!$C$18="x",IF(OR(F145="NA",F145="",O145="",O145="NA"),"NA",(F145*$O145)),"---")</f>
        <v>NA</v>
      </c>
      <c r="V145" s="376" t="str">
        <f>IF(Start!$C$18="x",IF(OR(U145="NA",M145="NA",M145="",U145=""),"NA",U145/((Data!$D$18+((1-Data!$D$18)*Data!$D$14*M145))/((1-Data!$D$18)*Data!$D$14*1000))),"---")</f>
        <v>NA</v>
      </c>
      <c r="W145" s="376" t="str">
        <f>IF(Start!$C$18="x",IF(OR(G145="NA",U145="NA",G145="",U145=""),"NA",(U145 +($G145*(Data!$D$19-Data!$D$22)/(Data!$D$19*Data!$D$22)))),"---")</f>
        <v>NA</v>
      </c>
      <c r="X145" s="376" t="str">
        <f>IF(Start!$C$18="x",IF(OR(G145="NA",V145="NA",G145="",V145=""),"NA",(((Data!$D$22*Data!$D$18)*V145)+(Data!$D$19-Data!$D$22)*$G145)/((Data!$D$22*Data!$D$18)+Data!$D$19-Data!$D$22)),"---")</f>
        <v>NA</v>
      </c>
      <c r="Y145" s="376" t="str">
        <f>IF(Start!$C$18="x",IF(OR(W145="NA",W145="",M145="NA",M145=""),"NA",(W145/((Data!$D$23+((1-Data!$D$23)*Data!$D$14*M145)) /((1-Data!$D$23)*Data!$D$14*1000)))),"---")</f>
        <v>NA</v>
      </c>
      <c r="Z145" s="376" t="str">
        <f>IF(Start!$C$18="x",IF(OR(Y145="NA",X145="NA"),"NA",IF(Y145&gt;X145, Y145, X145)),"---")</f>
        <v>NA</v>
      </c>
      <c r="AA145" s="461" t="str">
        <f>IF(Start!$C$18="x",IF(OR(Z145="NA",T145="NA"),"NA",Z145*T145/(1000000000)),"---")</f>
        <v>NA</v>
      </c>
      <c r="AB145" s="1057" t="str">
        <f>IF(Start!$C$18="x",IF(AA145 = "NA", "NA", AA145*(Data!$D$52*Data!$D$53*10000)),"---")</f>
        <v>NA</v>
      </c>
      <c r="AC145" s="375" t="str">
        <f>IF(Start!$C$18="x",IF(AB145="NA", "NA", AB145*Data!$D$54),"---")</f>
        <v>NA</v>
      </c>
      <c r="AD145" s="498" t="str">
        <f>IF(Start!$C$18="x",IF(AC145="NA","NA",AC145*Data!$D$41),"---")</f>
        <v>NA</v>
      </c>
      <c r="AE145" s="376" t="str">
        <f>IF(Start!$C$18="x",IF(AB145 = "NA", "NA", AB145/(Data!$D$53*3*Data!$D$48)*1000),"---")</f>
        <v>NA</v>
      </c>
      <c r="AF145" s="498" t="str">
        <f>IF(Start!$C$18="x",IF(AE145="NA","NA",AE145*Data!$D$46),"---")</f>
        <v>NA</v>
      </c>
      <c r="AG145" s="375">
        <f>IF(Start!$C$18="x",IF(OR($L145="NA",L145=""),"NA",($L145*(Data!$D$55^3.33)/(Data!$D$18^2))),"---")</f>
        <v>8.9649944263226465E-4</v>
      </c>
      <c r="AH145" s="376" t="str">
        <f>IF(Start!$C$18="x",IF(OR(F145="NA",F145="",P145="NA",P145=""),"NA",IF(100/Data!$D$10&gt;Data!$D$13,(F145*$P145),(F145*$P145)*Data!$D$13)),"---")</f>
        <v>NA</v>
      </c>
      <c r="AI145" s="489">
        <f>IF(Start!$C$18="x",IF(OR($N145="NA",$Q145="NA",$Q145=0,Q145="",N145=""),"NA",(1000*$N145/$Q145)),"---")</f>
        <v>11554.431446414395</v>
      </c>
      <c r="AJ145" s="376">
        <f>IF(Start!$C$18="x",IF(OR(Q145 = "NA",Q145=0,N145 = "NA",N145="",Q145=""), "NA", IF($AG145="NA","NA",(3.1416*Data!$D$57*86400/($AG145*(Data!$D$55+(N145*Data!$D$19/(Q145*1000)))))^0.5)),"---")</f>
        <v>30117.378859361404</v>
      </c>
      <c r="AK145" s="376" t="str">
        <f>IF(Start!$C$18="x",IF(OR(AH145 = "NA",AI145="NA",AI145=0,AI145="",AH145=""), "NA", AH145/AI145),"---")</f>
        <v>NA</v>
      </c>
      <c r="AL145" s="376" t="str">
        <f>IF(Start!$C$18="x",IF(OR(AK145 ="NA",AK145="",AJ145= "NA",R145="NA",R145=0),"NA",(2*AK145)/(1000*(1/$R145+AJ145))),"---")</f>
        <v>NA</v>
      </c>
      <c r="AM145" s="376" t="str">
        <f>IF(Start!$C$18="x",IF(AL145 = "NA", "NA", AL145*(Data!$D$52*Data!$D$53*10000)),"---")</f>
        <v>NA</v>
      </c>
      <c r="AN145" s="376" t="str">
        <f>IF(Start!$C$18="x",IF(AM145 = "NA", "NA", AM145*(Data!$D$54)),"---")</f>
        <v>NA</v>
      </c>
      <c r="AO145" s="498" t="str">
        <f>IF(Start!$C$18="x",IF(AN145="NA","NA",AN145*Data!$D$41),"---")</f>
        <v>NA</v>
      </c>
      <c r="AP145" s="376">
        <f>IF(Start!$C$18="x",IF(OR(Q145=0,N145="NA",N145="",AG145="NA",AG145="",AG145=0,Q145="",Q145="NA"),"NA", (3.1416*Data!$D$56*86400/($AG145*(Data!$D$55+(N145*Data!$D$19/(Q145*1000)))))^0.5),"---")</f>
        <v>30117.378859361404</v>
      </c>
      <c r="AQ145" s="376" t="str">
        <f>IF(Start!$C$18="x",IF(OR(AH145="NA",AI145="NA",AI145="",AI145=0,AH145=""),"NA", AH145/AI145),"---")</f>
        <v>NA</v>
      </c>
      <c r="AR145" s="376" t="str">
        <f>IF(Start!$C$18="x",IF(OR(AQ145="NA",AP145="NA",$R145="NA",R145=0,R145=""),"NA",(2*AQ145)/(1000*(1/$R145+AP145))),"---")</f>
        <v>NA</v>
      </c>
      <c r="AS145" s="376" t="str">
        <f>IF(Start!$C$18="x",IF(AR145 = "NA", "NA", AR145*(Data!$D$52*Data!$D$53*10000)),"---")</f>
        <v>NA</v>
      </c>
      <c r="AT145" s="376" t="str">
        <f>IF(Start!$C$18="x",IF(AS145 = "NA", "NA", (AS145*1000)/(Data!$D$48*3*Data!$D$53)),"---")</f>
        <v>NA</v>
      </c>
      <c r="AU145" s="498" t="str">
        <f>IF(Start!$C$18="x",IF(AT145="NA","NA",AT145*Data!$D$47),"---")</f>
        <v>NA</v>
      </c>
      <c r="AV145" s="283" t="str">
        <f>IF(Start!$C$18="x",(IF(AND(F145="",G145= "",G145&lt;&gt;"NA"),"",IF(OR(AD145="NA",I145="NA",I145=0),"NA",(AD145/I145)))),"Not Req.")</f>
        <v/>
      </c>
      <c r="AW145" s="284" t="str">
        <f>IF(Start!$C$18="x",(IF(AND(F145="",G145= "",G145&lt;&gt;"NA"),"",IF(OR(AF145="NA",I145="NA",I145=0),"NA",(AF145/I145)))),"Not Req.")</f>
        <v/>
      </c>
      <c r="AX145" s="284" t="str">
        <f>IF(Start!$C$18="x",(IF(F145 ="","",IF(OR(AO145="NA",I145="NA",I145=0),"NA",(AO145/I145)))),"Not Req.")</f>
        <v/>
      </c>
      <c r="AY145" s="344" t="str">
        <f>IF(Start!$C$18="x",(IF(F145 ="","",IF(OR(AU145="NA",I145="NA",I145=0),"NA",(AU145/I145)))),"Not Req.")</f>
        <v/>
      </c>
      <c r="AZ145" s="208"/>
    </row>
    <row r="146" spans="1:52" s="183" customFormat="1" x14ac:dyDescent="0.25">
      <c r="A146" s="405" t="s">
        <v>464</v>
      </c>
      <c r="B146" s="347" t="str">
        <f>IF(Start!$C$18="x",IF(AND(OR(F146="",F146="NA"),OR(G146="",G146="NA")),"",IF(I146="NA","NA",IF(AND(I146="",K146="--"),"NA",IF(AD146="NA","Missing Data",IF(I146="","No Criteria",IF(AD146&gt;=I146,"Needed","No")))))),"---")</f>
        <v/>
      </c>
      <c r="C146" s="501" t="str">
        <f>IF(Start!$C$18="x",IF(AND(OR(F146="",F146="NA"),OR(G146="",G146="NA")),"",IF(I146="NA","NA",IF(AND(I146="",K146="--"),"NA",IF(AF146="NA","Missing Data",IF(I146="","No Criteria",IF(AF146&gt;=I146,"Needed","No")))))),"---")</f>
        <v/>
      </c>
      <c r="D146" s="347" t="str">
        <f>IF(Start!$C$18="x",IF(AND(OR(F146="",F146="NA"),OR(G146="",G146="NA")),"",IF(I146="NA","NA",IF(AND(I146="",K146="--"),"NA",IF(AO146="NA","Missing Data",IF(I146="","No Criteria",IF(AO146&gt;=I146,"Needed","No")))))),"---")</f>
        <v/>
      </c>
      <c r="E146" s="401" t="str">
        <f>IF(Start!$C$18="x",IF(AND(OR(F146="",F146="NA"),OR(G146="",G146="NA")),"",IF(I146="NA","NA",IF(AND(I146="",K146="--"),"NA",IF(AU146="NA","Missing Data",IF(I146="","No Criteria",IF(AU146&gt;=I146,"Needed","No")))))),"---")</f>
        <v/>
      </c>
      <c r="F146" s="431" t="str">
        <f>IF(TRUE=ISBLANK(ChemData!B146),"",(ChemData!B146))</f>
        <v/>
      </c>
      <c r="G146" s="432" t="str">
        <f>IF(TRUE=ISBLANK(ChemData!C146),"",(ChemData!C146))</f>
        <v/>
      </c>
      <c r="H146" s="433" t="str">
        <f>IF(TRUE=ISBLANK(ChemData!D146),"",(ChemData!D146))</f>
        <v/>
      </c>
      <c r="I146" s="919" t="str">
        <f>IF(TRUE=ISBLANK(ChemData!K146),"",(ChemData!K146))</f>
        <v>NA</v>
      </c>
      <c r="J146" s="290">
        <f>IF(TRUE=ISBLANK(ChemData!M146),"",(ChemData!M146))</f>
        <v>163.83000000000001</v>
      </c>
      <c r="K146" s="290">
        <f>IF(TRUE=ISBLANK(ChemData!N146),"",(ChemData!N146))</f>
        <v>2.4099999999999998E-3</v>
      </c>
      <c r="L146" s="290">
        <f>IF(TRUE=ISBLANK(ChemData!O146),"",(ChemData!O146))</f>
        <v>2.98E-2</v>
      </c>
      <c r="M146" s="290">
        <f>IF(TRUE=ISBLANK(ChemData!Q146),"",(ChemData!Q146))</f>
        <v>2.3302709372310044</v>
      </c>
      <c r="N146" s="290">
        <f>IF(TRUE=ISBLANK(ChemData!R146),"",(ChemData!R146))</f>
        <v>2.3302709372310044</v>
      </c>
      <c r="O146" s="290">
        <f>IF(TRUE=ISBLANK(ChemData!S146),"",(ChemData!S146))</f>
        <v>1</v>
      </c>
      <c r="P146" s="291">
        <f>IF(TRUE=ISBLANK(ChemData!T146),"",(ChemData!T146))</f>
        <v>1</v>
      </c>
      <c r="Q146" s="375">
        <f>IF(Start!$C$18="x",IF(OR(K146="NA",K146="",K146="--"),"NA",(K146*1000000/82.1/Data!$D$50)),"---")</f>
        <v>9.4691760638088887E-2</v>
      </c>
      <c r="R146" s="376">
        <f>IF(Start!$C$18="x",IF(OR(J146="NA",J146=0,J146=""),"NA",(0.32*(Data!$D$48+Data!$D$49)*(18/J146)^0.5)),"---")</f>
        <v>0.27312832957562916</v>
      </c>
      <c r="S146" s="376">
        <f>IF(Start!$C$18="x",IF(OR(J146="NA",J146= 0,J146=""),"NA",(0.0065*((Data!$D$49^0.969)/(Data!$D$51^0.673))*(32/J146)^0.5*EXP(0.526*Data!$D$48^-1.9))),"---")</f>
        <v>5.756796905330904E-4</v>
      </c>
      <c r="T146" s="377">
        <f>IF(Start!$C$18="x",IF(OR(S146="NA",R146="NA",R146=0,Q146="NA",S146=0,Q146=0),"NA",(1/(1/S146+(1/(R146*Q146))))),"---")</f>
        <v>5.6314475763206777E-4</v>
      </c>
      <c r="U146" s="375" t="str">
        <f>IF(Start!$C$18="x",IF(OR(F146="NA",F146="",O146="",O146="NA"),"NA",(F146*$O146)),"---")</f>
        <v>NA</v>
      </c>
      <c r="V146" s="376" t="str">
        <f>IF(Start!$C$18="x",IF(OR(U146="NA",M146="NA",M146="",U146=""),"NA",U146/((Data!$D$18+((1-Data!$D$18)*Data!$D$14*M146))/((1-Data!$D$18)*Data!$D$14*1000))),"---")</f>
        <v>NA</v>
      </c>
      <c r="W146" s="376" t="str">
        <f>IF(Start!$C$18="x",IF(OR(G146="NA",U146="NA",G146="",U146=""),"NA",(U146 +($G146*(Data!$D$19-Data!$D$22)/(Data!$D$19*Data!$D$22)))),"---")</f>
        <v>NA</v>
      </c>
      <c r="X146" s="376" t="str">
        <f>IF(Start!$C$18="x",IF(OR(G146="NA",V146="NA",G146="",V146=""),"NA",(((Data!$D$22*Data!$D$18)*V146)+(Data!$D$19-Data!$D$22)*$G146)/((Data!$D$22*Data!$D$18)+Data!$D$19-Data!$D$22)),"---")</f>
        <v>NA</v>
      </c>
      <c r="Y146" s="376" t="str">
        <f>IF(Start!$C$18="x",IF(OR(W146="NA",W146="",M146="NA",M146=""),"NA",(W146/((Data!$D$23+((1-Data!$D$23)*Data!$D$14*M146)) /((1-Data!$D$23)*Data!$D$14*1000)))),"---")</f>
        <v>NA</v>
      </c>
      <c r="Z146" s="376" t="str">
        <f>IF(Start!$C$18="x",IF(OR(Y146="NA",X146="NA"),"NA",IF(Y146&gt;X146, Y146, X146)),"---")</f>
        <v>NA</v>
      </c>
      <c r="AA146" s="461" t="str">
        <f>IF(Start!$C$18="x",IF(OR(Z146="NA",T146="NA"),"NA",Z146*T146/(1000000000)),"---")</f>
        <v>NA</v>
      </c>
      <c r="AB146" s="1057" t="str">
        <f>IF(Start!$C$18="x",IF(AA146 = "NA", "NA", AA146*(Data!$D$52*Data!$D$53*10000)),"---")</f>
        <v>NA</v>
      </c>
      <c r="AC146" s="375" t="str">
        <f>IF(Start!$C$18="x",IF(AB146="NA", "NA", AB146*Data!$D$54),"---")</f>
        <v>NA</v>
      </c>
      <c r="AD146" s="498" t="str">
        <f>IF(Start!$C$18="x",IF(AC146="NA","NA",AC146*Data!$D$41),"---")</f>
        <v>NA</v>
      </c>
      <c r="AE146" s="376" t="str">
        <f>IF(Start!$C$18="x",IF(AB146 = "NA", "NA", AB146/(Data!$D$53*3*Data!$D$48)*1000),"---")</f>
        <v>NA</v>
      </c>
      <c r="AF146" s="498" t="str">
        <f>IF(Start!$C$18="x",IF(AE146="NA","NA",AE146*Data!$D$46),"---")</f>
        <v>NA</v>
      </c>
      <c r="AG146" s="375">
        <f>IF(Start!$C$18="x",IF(OR($L146="NA",L146=""),"NA",($L146*(Data!$D$55^3.33)/(Data!$D$18^2))),"---")</f>
        <v>3.0358731125501695E-4</v>
      </c>
      <c r="AH146" s="376" t="str">
        <f>IF(Start!$C$18="x",IF(OR(F146="NA",F146="",P146="NA",P146=""),"NA",IF(100/Data!$D$10&gt;Data!$D$13,(F146*$P146),(F146*$P146)*Data!$D$13)),"---")</f>
        <v>NA</v>
      </c>
      <c r="AI146" s="489">
        <f>IF(Start!$C$18="x",IF(OR($N146="NA",$Q146="NA",$Q146=0,Q146="",N146=""),"NA",(1000*$N146/$Q146)),"---")</f>
        <v>24609.014781521284</v>
      </c>
      <c r="AJ146" s="376">
        <f>IF(Start!$C$18="x",IF(OR(Q146 = "NA",Q146=0,N146 = "NA",N146="",Q146=""), "NA", IF($AG146="NA","NA",(3.1416*Data!$D$57*86400/($AG146*(Data!$D$55+(N146*Data!$D$19/(Q146*1000)))))^0.5)),"---")</f>
        <v>35652.54055581642</v>
      </c>
      <c r="AK146" s="376" t="str">
        <f>IF(Start!$C$18="x",IF(OR(AH146 = "NA",AI146="NA",AI146=0,AI146="",AH146=""), "NA", AH146/AI146),"---")</f>
        <v>NA</v>
      </c>
      <c r="AL146" s="376" t="str">
        <f>IF(Start!$C$18="x",IF(OR(AK146 ="NA",AK146="",AJ146= "NA",R146="NA",R146=0),"NA",(2*AK146)/(1000*(1/$R146+AJ146))),"---")</f>
        <v>NA</v>
      </c>
      <c r="AM146" s="376" t="str">
        <f>IF(Start!$C$18="x",IF(AL146 = "NA", "NA", AL146*(Data!$D$52*Data!$D$53*10000)),"---")</f>
        <v>NA</v>
      </c>
      <c r="AN146" s="376" t="str">
        <f>IF(Start!$C$18="x",IF(AM146 = "NA", "NA", AM146*(Data!$D$54)),"---")</f>
        <v>NA</v>
      </c>
      <c r="AO146" s="498" t="str">
        <f>IF(Start!$C$18="x",IF(AN146="NA","NA",AN146*Data!$D$41),"---")</f>
        <v>NA</v>
      </c>
      <c r="AP146" s="376">
        <f>IF(Start!$C$18="x",IF(OR(Q146=0,N146="NA",N146="",AG146="NA",AG146="",AG146=0,Q146="",Q146="NA"),"NA", (3.1416*Data!$D$56*86400/($AG146*(Data!$D$55+(N146*Data!$D$19/(Q146*1000)))))^0.5),"---")</f>
        <v>35652.54055581642</v>
      </c>
      <c r="AQ146" s="376" t="str">
        <f>IF(Start!$C$18="x",IF(OR(AH146="NA",AI146="NA",AI146="",AI146=0,AH146=""),"NA", AH146/AI146),"---")</f>
        <v>NA</v>
      </c>
      <c r="AR146" s="376" t="str">
        <f>IF(Start!$C$18="x",IF(OR(AQ146="NA",AP146="NA",$R146="NA",R146=0,R146=""),"NA",(2*AQ146)/(1000*(1/$R146+AP146))),"---")</f>
        <v>NA</v>
      </c>
      <c r="AS146" s="376" t="str">
        <f>IF(Start!$C$18="x",IF(AR146 = "NA", "NA", AR146*(Data!$D$52*Data!$D$53*10000)),"---")</f>
        <v>NA</v>
      </c>
      <c r="AT146" s="376" t="str">
        <f>IF(Start!$C$18="x",IF(AS146 = "NA", "NA", (AS146*1000)/(Data!$D$48*3*Data!$D$53)),"---")</f>
        <v>NA</v>
      </c>
      <c r="AU146" s="498" t="str">
        <f>IF(Start!$C$18="x",IF(AT146="NA","NA",AT146*Data!$D$47),"---")</f>
        <v>NA</v>
      </c>
      <c r="AV146" s="283" t="str">
        <f>IF(Start!$C$18="x",(IF(AND(F146="",G146= "",G146&lt;&gt;"NA"),"",IF(OR(AD146="NA",I146="NA",I146=0),"NA",(AD146/I146)))),"Not Req.")</f>
        <v/>
      </c>
      <c r="AW146" s="284" t="str">
        <f>IF(Start!$C$18="x",(IF(AND(F146="",G146= "",G146&lt;&gt;"NA"),"",IF(OR(AF146="NA",I146="NA",I146=0),"NA",(AF146/I146)))),"Not Req.")</f>
        <v/>
      </c>
      <c r="AX146" s="284" t="str">
        <f>IF(Start!$C$18="x",(IF(F146 ="","",IF(OR(AO146="NA",I146="NA",I146=0),"NA",(AO146/I146)))),"Not Req.")</f>
        <v/>
      </c>
      <c r="AY146" s="344" t="str">
        <f>IF(Start!$C$18="x",(IF(F146 ="","",IF(OR(AU146="NA",I146="NA",I146=0),"NA",(AU146/I146)))),"Not Req.")</f>
        <v/>
      </c>
      <c r="AZ146" s="208"/>
    </row>
    <row r="147" spans="1:52" s="183" customFormat="1" x14ac:dyDescent="0.25">
      <c r="A147" s="405" t="s">
        <v>465</v>
      </c>
      <c r="B147" s="347" t="str">
        <f>IF(Start!$C$18="x",IF(AND(OR(F147="",F147="NA"),OR(G147="",G147="NA")),"",IF(I147="NA","NA",IF(AND(I147="",K147="--"),"NA",IF(AD147="NA","Missing Data",IF(I147="","No Criteria",IF(AD147&gt;=I147,"Needed","No")))))),"---")</f>
        <v/>
      </c>
      <c r="C147" s="501" t="str">
        <f>IF(Start!$C$18="x",IF(AND(OR(F147="",F147="NA"),OR(G147="",G147="NA")),"",IF(I147="NA","NA",IF(AND(I147="",K147="--"),"NA",IF(AF147="NA","Missing Data",IF(I147="","No Criteria",IF(AF147&gt;=I147,"Needed","No")))))),"---")</f>
        <v/>
      </c>
      <c r="D147" s="347" t="str">
        <f>IF(Start!$C$18="x",IF(AND(OR(F147="",F147="NA"),OR(G147="",G147="NA")),"",IF(I147="NA","NA",IF(AND(I147="",K147="--"),"NA",IF(AO147="NA","Missing Data",IF(I147="","No Criteria",IF(AO147&gt;=I147,"Needed","No")))))),"---")</f>
        <v/>
      </c>
      <c r="E147" s="401" t="str">
        <f>IF(Start!$C$18="x",IF(AND(OR(F147="",F147="NA"),OR(G147="",G147="NA")),"",IF(I147="NA","NA",IF(AND(I147="",K147="--"),"NA",IF(AU147="NA","Missing Data",IF(I147="","No Criteria",IF(AU147&gt;=I147,"Needed","No")))))),"---")</f>
        <v/>
      </c>
      <c r="F147" s="431" t="str">
        <f>IF(TRUE=ISBLANK(ChemData!B147),"",(ChemData!B147))</f>
        <v/>
      </c>
      <c r="G147" s="432" t="str">
        <f>IF(TRUE=ISBLANK(ChemData!C147),"",(ChemData!C147))</f>
        <v/>
      </c>
      <c r="H147" s="433" t="str">
        <f>IF(TRUE=ISBLANK(ChemData!D147),"",(ChemData!D147))</f>
        <v/>
      </c>
      <c r="I147" s="919" t="str">
        <f>IF(TRUE=ISBLANK(ChemData!K147),"",(ChemData!K147))</f>
        <v>NA</v>
      </c>
      <c r="J147" s="290">
        <f>IF(TRUE=ISBLANK(ChemData!M147),"",(ChemData!M147))</f>
        <v>252.75</v>
      </c>
      <c r="K147" s="290">
        <f>IF(TRUE=ISBLANK(ChemData!N147),"",(ChemData!N147))</f>
        <v>5.3499999999999999E-4</v>
      </c>
      <c r="L147" s="290">
        <f>IF(TRUE=ISBLANK(ChemData!O147),"",(ChemData!O147))</f>
        <v>1.49E-2</v>
      </c>
      <c r="M147" s="290">
        <f>IF(TRUE=ISBLANK(ChemData!Q147),"",(ChemData!Q147))</f>
        <v>4.440239733105078</v>
      </c>
      <c r="N147" s="290">
        <f>IF(TRUE=ISBLANK(ChemData!R147),"",(ChemData!R147))</f>
        <v>4.440239733105078</v>
      </c>
      <c r="O147" s="290">
        <f>IF(TRUE=ISBLANK(ChemData!S147),"",(ChemData!S147))</f>
        <v>1</v>
      </c>
      <c r="P147" s="291">
        <f>IF(TRUE=ISBLANK(ChemData!T147),"",(ChemData!T147))</f>
        <v>1</v>
      </c>
      <c r="Q147" s="375">
        <f>IF(Start!$C$18="x",IF(OR(K147="NA",K147="",K147="--"),"NA",(K147*1000000/82.1/Data!$D$50)),"---")</f>
        <v>2.1020785037915997E-2</v>
      </c>
      <c r="R147" s="376">
        <f>IF(Start!$C$18="x",IF(OR(J147="NA",J147=0,J147=""),"NA",(0.32*(Data!$D$48+Data!$D$49)*(18/J147)^0.5)),"---")</f>
        <v>0.21989627983947424</v>
      </c>
      <c r="S147" s="376">
        <f>IF(Start!$C$18="x",IF(OR(J147="NA",J147= 0,J147=""),"NA",(0.0065*((Data!$D$49^0.969)/(Data!$D$51^0.673))*(32/J147)^0.5*EXP(0.526*Data!$D$48^-1.9))),"---")</f>
        <v>4.6348111352657645E-4</v>
      </c>
      <c r="T147" s="377">
        <f>IF(Start!$C$18="x",IF(OR(S147="NA",R147="NA",R147=0,Q147="NA",S147=0,Q147=0),"NA",(1/(1/S147+(1/(R147*Q147))))),"---")</f>
        <v>4.2124358229549542E-4</v>
      </c>
      <c r="U147" s="375" t="str">
        <f>IF(Start!$C$18="x",IF(OR(F147="NA",F147="",O147="",O147="NA"),"NA",(F147*$O147)),"---")</f>
        <v>NA</v>
      </c>
      <c r="V147" s="376" t="str">
        <f>IF(Start!$C$18="x",IF(OR(U147="NA",M147="NA",M147="",U147=""),"NA",U147/((Data!$D$18+((1-Data!$D$18)*Data!$D$14*M147))/((1-Data!$D$18)*Data!$D$14*1000))),"---")</f>
        <v>NA</v>
      </c>
      <c r="W147" s="376" t="str">
        <f>IF(Start!$C$18="x",IF(OR(G147="NA",U147="NA",G147="",U147=""),"NA",(U147 +($G147*(Data!$D$19-Data!$D$22)/(Data!$D$19*Data!$D$22)))),"---")</f>
        <v>NA</v>
      </c>
      <c r="X147" s="376" t="str">
        <f>IF(Start!$C$18="x",IF(OR(G147="NA",V147="NA",G147="",V147=""),"NA",(((Data!$D$22*Data!$D$18)*V147)+(Data!$D$19-Data!$D$22)*$G147)/((Data!$D$22*Data!$D$18)+Data!$D$19-Data!$D$22)),"---")</f>
        <v>NA</v>
      </c>
      <c r="Y147" s="376" t="str">
        <f>IF(Start!$C$18="x",IF(OR(W147="NA",W147="",M147="NA",M147=""),"NA",(W147/((Data!$D$23+((1-Data!$D$23)*Data!$D$14*M147)) /((1-Data!$D$23)*Data!$D$14*1000)))),"---")</f>
        <v>NA</v>
      </c>
      <c r="Z147" s="376" t="str">
        <f>IF(Start!$C$18="x",IF(OR(Y147="NA",X147="NA"),"NA",IF(Y147&gt;X147, Y147, X147)),"---")</f>
        <v>NA</v>
      </c>
      <c r="AA147" s="461" t="str">
        <f>IF(Start!$C$18="x",IF(OR(Z147="NA",T147="NA"),"NA",Z147*T147/(1000000000)),"---")</f>
        <v>NA</v>
      </c>
      <c r="AB147" s="1057" t="str">
        <f>IF(Start!$C$18="x",IF(AA147 = "NA", "NA", AA147*(Data!$D$52*Data!$D$53*10000)),"---")</f>
        <v>NA</v>
      </c>
      <c r="AC147" s="375" t="str">
        <f>IF(Start!$C$18="x",IF(AB147="NA", "NA", AB147*Data!$D$54),"---")</f>
        <v>NA</v>
      </c>
      <c r="AD147" s="498" t="str">
        <f>IF(Start!$C$18="x",IF(AC147="NA","NA",AC147*Data!$D$41),"---")</f>
        <v>NA</v>
      </c>
      <c r="AE147" s="376" t="str">
        <f>IF(Start!$C$18="x",IF(AB147 = "NA", "NA", AB147/(Data!$D$53*3*Data!$D$48)*1000),"---")</f>
        <v>NA</v>
      </c>
      <c r="AF147" s="498" t="str">
        <f>IF(Start!$C$18="x",IF(AE147="NA","NA",AE147*Data!$D$46),"---")</f>
        <v>NA</v>
      </c>
      <c r="AG147" s="375">
        <f>IF(Start!$C$18="x",IF(OR($L147="NA",L147=""),"NA",($L147*(Data!$D$55^3.33)/(Data!$D$18^2))),"---")</f>
        <v>1.5179365562750848E-4</v>
      </c>
      <c r="AH147" s="376" t="str">
        <f>IF(Start!$C$18="x",IF(OR(F147="NA",F147="",P147="NA",P147=""),"NA",IF(100/Data!$D$10&gt;Data!$D$13,(F147*$P147),(F147*$P147)*Data!$D$13)),"---")</f>
        <v>NA</v>
      </c>
      <c r="AI147" s="489">
        <f>IF(Start!$C$18="x",IF(OR($N147="NA",$Q147="NA",$Q147=0,Q147="",N147=""),"NA",(1000*$N147/$Q147)),"---")</f>
        <v>211230.91859300435</v>
      </c>
      <c r="AJ147" s="376">
        <f>IF(Start!$C$18="x",IF(OR(Q147 = "NA",Q147=0,N147 = "NA",N147="",Q147=""), "NA", IF($AG147="NA","NA",(3.1416*Data!$D$57*86400/($AG147*(Data!$D$55+(N147*Data!$D$19/(Q147*1000)))))^0.5)),"---")</f>
        <v>17282.231435287689</v>
      </c>
      <c r="AK147" s="376" t="str">
        <f>IF(Start!$C$18="x",IF(OR(AH147 = "NA",AI147="NA",AI147=0,AI147="",AH147=""), "NA", AH147/AI147),"---")</f>
        <v>NA</v>
      </c>
      <c r="AL147" s="376" t="str">
        <f>IF(Start!$C$18="x",IF(OR(AK147 ="NA",AK147="",AJ147= "NA",R147="NA",R147=0),"NA",(2*AK147)/(1000*(1/$R147+AJ147))),"---")</f>
        <v>NA</v>
      </c>
      <c r="AM147" s="376" t="str">
        <f>IF(Start!$C$18="x",IF(AL147 = "NA", "NA", AL147*(Data!$D$52*Data!$D$53*10000)),"---")</f>
        <v>NA</v>
      </c>
      <c r="AN147" s="376" t="str">
        <f>IF(Start!$C$18="x",IF(AM147 = "NA", "NA", AM147*(Data!$D$54)),"---")</f>
        <v>NA</v>
      </c>
      <c r="AO147" s="498" t="str">
        <f>IF(Start!$C$18="x",IF(AN147="NA","NA",AN147*Data!$D$41),"---")</f>
        <v>NA</v>
      </c>
      <c r="AP147" s="376">
        <f>IF(Start!$C$18="x",IF(OR(Q147=0,N147="NA",N147="",AG147="NA",AG147="",AG147=0,Q147="",Q147="NA"),"NA", (3.1416*Data!$D$56*86400/($AG147*(Data!$D$55+(N147*Data!$D$19/(Q147*1000)))))^0.5),"---")</f>
        <v>17282.231435287689</v>
      </c>
      <c r="AQ147" s="376" t="str">
        <f>IF(Start!$C$18="x",IF(OR(AH147="NA",AI147="NA",AI147="",AI147=0,AH147=""),"NA", AH147/AI147),"---")</f>
        <v>NA</v>
      </c>
      <c r="AR147" s="376" t="str">
        <f>IF(Start!$C$18="x",IF(OR(AQ147="NA",AP147="NA",$R147="NA",R147=0,R147=""),"NA",(2*AQ147)/(1000*(1/$R147+AP147))),"---")</f>
        <v>NA</v>
      </c>
      <c r="AS147" s="376" t="str">
        <f>IF(Start!$C$18="x",IF(AR147 = "NA", "NA", AR147*(Data!$D$52*Data!$D$53*10000)),"---")</f>
        <v>NA</v>
      </c>
      <c r="AT147" s="376" t="str">
        <f>IF(Start!$C$18="x",IF(AS147 = "NA", "NA", (AS147*1000)/(Data!$D$48*3*Data!$D$53)),"---")</f>
        <v>NA</v>
      </c>
      <c r="AU147" s="498" t="str">
        <f>IF(Start!$C$18="x",IF(AT147="NA","NA",AT147*Data!$D$47),"---")</f>
        <v>NA</v>
      </c>
      <c r="AV147" s="283" t="str">
        <f>IF(Start!$C$18="x",(IF(AND(F147="",G147= "",G147&lt;&gt;"NA"),"",IF(OR(AD147="NA",I147="NA",I147=0),"NA",(AD147/I147)))),"Not Req.")</f>
        <v/>
      </c>
      <c r="AW147" s="284" t="str">
        <f>IF(Start!$C$18="x",(IF(AND(F147="",G147= "",G147&lt;&gt;"NA"),"",IF(OR(AF147="NA",I147="NA",I147=0),"NA",(AF147/I147)))),"Not Req.")</f>
        <v/>
      </c>
      <c r="AX147" s="284" t="str">
        <f>IF(Start!$C$18="x",(IF(F147 ="","",IF(OR(AO147="NA",I147="NA",I147=0),"NA",(AO147/I147)))),"Not Req.")</f>
        <v/>
      </c>
      <c r="AY147" s="344" t="str">
        <f>IF(Start!$C$18="x",(IF(F147 ="","",IF(OR(AU147="NA",I147="NA",I147=0),"NA",(AU147/I147)))),"Not Req.")</f>
        <v/>
      </c>
      <c r="AZ147" s="208"/>
    </row>
    <row r="148" spans="1:52" s="183" customFormat="1" x14ac:dyDescent="0.25">
      <c r="A148" s="405" t="s">
        <v>466</v>
      </c>
      <c r="B148" s="347" t="str">
        <f>IF(Start!$C$18="x",IF(AND(OR(F148="",F148="NA"),OR(G148="",G148="NA")),"",IF(I148="NA","NA",IF(AND(I148="",K148="--"),"NA",IF(AD148="NA","Missing Data",IF(I148="","No Criteria",IF(AD148&gt;=I148,"Needed","No")))))),"---")</f>
        <v/>
      </c>
      <c r="C148" s="501" t="str">
        <f>IF(Start!$C$18="x",IF(AND(OR(F148="",F148="NA"),OR(G148="",G148="NA")),"",IF(I148="NA","NA",IF(AND(I148="",K148="--"),"NA",IF(AF148="NA","Missing Data",IF(I148="","No Criteria",IF(AF148&gt;=I148,"Needed","No")))))),"---")</f>
        <v/>
      </c>
      <c r="D148" s="347" t="str">
        <f>IF(Start!$C$18="x",IF(AND(OR(F148="",F148="NA"),OR(G148="",G148="NA")),"",IF(I148="NA","NA",IF(AND(I148="",K148="--"),"NA",IF(AO148="NA","Missing Data",IF(I148="","No Criteria",IF(AO148&gt;=I148,"Needed","No")))))),"---")</f>
        <v/>
      </c>
      <c r="E148" s="401" t="str">
        <f>IF(Start!$C$18="x",IF(AND(OR(F148="",F148="NA"),OR(G148="",G148="NA")),"",IF(I148="NA","NA",IF(AND(I148="",K148="--"),"NA",IF(AU148="NA","Missing Data",IF(I148="","No Criteria",IF(AU148&gt;=I148,"Needed","No")))))),"---")</f>
        <v/>
      </c>
      <c r="F148" s="431" t="str">
        <f>IF(TRUE=ISBLANK(ChemData!B148),"",(ChemData!B148))</f>
        <v/>
      </c>
      <c r="G148" s="432" t="str">
        <f>IF(TRUE=ISBLANK(ChemData!C148),"",(ChemData!C148))</f>
        <v/>
      </c>
      <c r="H148" s="433" t="str">
        <f>IF(TRUE=ISBLANK(ChemData!D148),"",(ChemData!D148))</f>
        <v/>
      </c>
      <c r="I148" s="919" t="str">
        <f>IF(TRUE=ISBLANK(ChemData!K148),"",(ChemData!K148))</f>
        <v>NA</v>
      </c>
      <c r="J148" s="290">
        <f>IF(TRUE=ISBLANK(ChemData!M148),"",(ChemData!M148))</f>
        <v>94.94</v>
      </c>
      <c r="K148" s="290">
        <f>IF(TRUE=ISBLANK(ChemData!N148),"",(ChemData!N148))</f>
        <v>6.2399999999999999E-3</v>
      </c>
      <c r="L148" s="290">
        <f>IF(TRUE=ISBLANK(ChemData!O148),"",(ChemData!O148))</f>
        <v>7.2800000000000004E-2</v>
      </c>
      <c r="M148" s="290">
        <f>IF(TRUE=ISBLANK(ChemData!Q148),"",(ChemData!Q148))</f>
        <v>0.28668595616070036</v>
      </c>
      <c r="N148" s="290">
        <f>IF(TRUE=ISBLANK(ChemData!R148),"",(ChemData!R148))</f>
        <v>0.28668595616070036</v>
      </c>
      <c r="O148" s="290">
        <f>IF(TRUE=ISBLANK(ChemData!S148),"",(ChemData!S148))</f>
        <v>1</v>
      </c>
      <c r="P148" s="291">
        <f>IF(TRUE=ISBLANK(ChemData!T148),"",(ChemData!T148))</f>
        <v>1</v>
      </c>
      <c r="Q148" s="375">
        <f>IF(Start!$C$18="x",IF(OR(K148="NA",K148="",K148="--"),"NA",(K148*1000000/82.1/Data!$D$50)),"---")</f>
        <v>0.24517700679737534</v>
      </c>
      <c r="R148" s="376">
        <f>IF(Start!$C$18="x",IF(OR(J148="NA",J148=0,J148=""),"NA",(0.32*(Data!$D$48+Data!$D$49)*(18/J148)^0.5)),"---")</f>
        <v>0.35878877766905048</v>
      </c>
      <c r="S148" s="376">
        <f>IF(Start!$C$18="x",IF(OR(J148="NA",J148= 0,J148=""),"NA",(0.0065*((Data!$D$49^0.969)/(Data!$D$51^0.673))*(32/J148)^0.5*EXP(0.526*Data!$D$48^-1.9))),"---")</f>
        <v>7.5622844695819741E-4</v>
      </c>
      <c r="T148" s="377">
        <f>IF(Start!$C$18="x",IF(OR(S148="NA",R148="NA",R148=0,Q148="NA",S148=0,Q148=0),"NA",(1/(1/S148+(1/(R148*Q148))))),"---")</f>
        <v>7.4978275026624437E-4</v>
      </c>
      <c r="U148" s="375" t="str">
        <f>IF(Start!$C$18="x",IF(OR(F148="NA",F148="",O148="",O148="NA"),"NA",(F148*$O148)),"---")</f>
        <v>NA</v>
      </c>
      <c r="V148" s="376" t="str">
        <f>IF(Start!$C$18="x",IF(OR(U148="NA",M148="NA",M148="",U148=""),"NA",U148/((Data!$D$18+((1-Data!$D$18)*Data!$D$14*M148))/((1-Data!$D$18)*Data!$D$14*1000))),"---")</f>
        <v>NA</v>
      </c>
      <c r="W148" s="376" t="str">
        <f>IF(Start!$C$18="x",IF(OR(G148="NA",U148="NA",G148="",U148=""),"NA",(U148 +($G148*(Data!$D$19-Data!$D$22)/(Data!$D$19*Data!$D$22)))),"---")</f>
        <v>NA</v>
      </c>
      <c r="X148" s="376" t="str">
        <f>IF(Start!$C$18="x",IF(OR(G148="NA",V148="NA",G148="",V148=""),"NA",(((Data!$D$22*Data!$D$18)*V148)+(Data!$D$19-Data!$D$22)*$G148)/((Data!$D$22*Data!$D$18)+Data!$D$19-Data!$D$22)),"---")</f>
        <v>NA</v>
      </c>
      <c r="Y148" s="376" t="str">
        <f>IF(Start!$C$18="x",IF(OR(W148="NA",W148="",M148="NA",M148=""),"NA",(W148/((Data!$D$23+((1-Data!$D$23)*Data!$D$14*M148)) /((1-Data!$D$23)*Data!$D$14*1000)))),"---")</f>
        <v>NA</v>
      </c>
      <c r="Z148" s="376" t="str">
        <f>IF(Start!$C$18="x",IF(OR(Y148="NA",X148="NA"),"NA",IF(Y148&gt;X148, Y148, X148)),"---")</f>
        <v>NA</v>
      </c>
      <c r="AA148" s="461" t="str">
        <f>IF(Start!$C$18="x",IF(OR(Z148="NA",T148="NA"),"NA",Z148*T148/(1000000000)),"---")</f>
        <v>NA</v>
      </c>
      <c r="AB148" s="1057" t="str">
        <f>IF(Start!$C$18="x",IF(AA148 = "NA", "NA", AA148*(Data!$D$52*Data!$D$53*10000)),"---")</f>
        <v>NA</v>
      </c>
      <c r="AC148" s="375" t="str">
        <f>IF(Start!$C$18="x",IF(AB148="NA", "NA", AB148*Data!$D$54),"---")</f>
        <v>NA</v>
      </c>
      <c r="AD148" s="498" t="str">
        <f>IF(Start!$C$18="x",IF(AC148="NA","NA",AC148*Data!$D$41),"---")</f>
        <v>NA</v>
      </c>
      <c r="AE148" s="376" t="str">
        <f>IF(Start!$C$18="x",IF(AB148 = "NA", "NA", AB148/(Data!$D$53*3*Data!$D$48)*1000),"---")</f>
        <v>NA</v>
      </c>
      <c r="AF148" s="498" t="str">
        <f>IF(Start!$C$18="x",IF(AE148="NA","NA",AE148*Data!$D$46),"---")</f>
        <v>NA</v>
      </c>
      <c r="AG148" s="375">
        <f>IF(Start!$C$18="x",IF(OR($L148="NA",L148=""),"NA",($L148*(Data!$D$55^3.33)/(Data!$D$18^2))),"---")</f>
        <v>7.4164953890487357E-4</v>
      </c>
      <c r="AH148" s="376" t="str">
        <f>IF(Start!$C$18="x",IF(OR(F148="NA",F148="",P148="NA",P148=""),"NA",IF(100/Data!$D$10&gt;Data!$D$13,(F148*$P148),(F148*$P148)*Data!$D$13)),"---")</f>
        <v>NA</v>
      </c>
      <c r="AI148" s="489">
        <f>IF(Start!$C$18="x",IF(OR($N148="NA",$Q148="NA",$Q148=0,Q148="",N148=""),"NA",(1000*$N148/$Q148)),"---")</f>
        <v>1169.3019663855746</v>
      </c>
      <c r="AJ148" s="376">
        <f>IF(Start!$C$18="x",IF(OR(Q148 = "NA",Q148=0,N148 = "NA",N148="",Q148=""), "NA", IF($AG148="NA","NA",(3.1416*Data!$D$57*86400/($AG148*(Data!$D$55+(N148*Data!$D$19/(Q148*1000)))))^0.5)),"---")</f>
        <v>95927.860589155767</v>
      </c>
      <c r="AK148" s="376" t="str">
        <f>IF(Start!$C$18="x",IF(OR(AH148 = "NA",AI148="NA",AI148=0,AI148="",AH148=""), "NA", AH148/AI148),"---")</f>
        <v>NA</v>
      </c>
      <c r="AL148" s="376" t="str">
        <f>IF(Start!$C$18="x",IF(OR(AK148 ="NA",AK148="",AJ148= "NA",R148="NA",R148=0),"NA",(2*AK148)/(1000*(1/$R148+AJ148))),"---")</f>
        <v>NA</v>
      </c>
      <c r="AM148" s="376" t="str">
        <f>IF(Start!$C$18="x",IF(AL148 = "NA", "NA", AL148*(Data!$D$52*Data!$D$53*10000)),"---")</f>
        <v>NA</v>
      </c>
      <c r="AN148" s="376" t="str">
        <f>IF(Start!$C$18="x",IF(AM148 = "NA", "NA", AM148*(Data!$D$54)),"---")</f>
        <v>NA</v>
      </c>
      <c r="AO148" s="498" t="str">
        <f>IF(Start!$C$18="x",IF(AN148="NA","NA",AN148*Data!$D$41),"---")</f>
        <v>NA</v>
      </c>
      <c r="AP148" s="376">
        <f>IF(Start!$C$18="x",IF(OR(Q148=0,N148="NA",N148="",AG148="NA",AG148="",AG148=0,Q148="",Q148="NA"),"NA", (3.1416*Data!$D$56*86400/($AG148*(Data!$D$55+(N148*Data!$D$19/(Q148*1000)))))^0.5),"---")</f>
        <v>95927.860589155767</v>
      </c>
      <c r="AQ148" s="376" t="str">
        <f>IF(Start!$C$18="x",IF(OR(AH148="NA",AI148="NA",AI148="",AI148=0,AH148=""),"NA", AH148/AI148),"---")</f>
        <v>NA</v>
      </c>
      <c r="AR148" s="376" t="str">
        <f>IF(Start!$C$18="x",IF(OR(AQ148="NA",AP148="NA",$R148="NA",R148=0,R148=""),"NA",(2*AQ148)/(1000*(1/$R148+AP148))),"---")</f>
        <v>NA</v>
      </c>
      <c r="AS148" s="376" t="str">
        <f>IF(Start!$C$18="x",IF(AR148 = "NA", "NA", AR148*(Data!$D$52*Data!$D$53*10000)),"---")</f>
        <v>NA</v>
      </c>
      <c r="AT148" s="376" t="str">
        <f>IF(Start!$C$18="x",IF(AS148 = "NA", "NA", (AS148*1000)/(Data!$D$48*3*Data!$D$53)),"---")</f>
        <v>NA</v>
      </c>
      <c r="AU148" s="498" t="str">
        <f>IF(Start!$C$18="x",IF(AT148="NA","NA",AT148*Data!$D$47),"---")</f>
        <v>NA</v>
      </c>
      <c r="AV148" s="283" t="str">
        <f>IF(Start!$C$18="x",(IF(AND(F148="",G148= "",G148&lt;&gt;"NA"),"",IF(OR(AD148="NA",I148="NA",I148=0),"NA",(AD148/I148)))),"Not Req.")</f>
        <v/>
      </c>
      <c r="AW148" s="284" t="str">
        <f>IF(Start!$C$18="x",(IF(AND(F148="",G148= "",G148&lt;&gt;"NA"),"",IF(OR(AF148="NA",I148="NA",I148=0),"NA",(AF148/I148)))),"Not Req.")</f>
        <v/>
      </c>
      <c r="AX148" s="284" t="str">
        <f>IF(Start!$C$18="x",(IF(F148 ="","",IF(OR(AO148="NA",I148="NA",I148=0),"NA",(AO148/I148)))),"Not Req.")</f>
        <v/>
      </c>
      <c r="AY148" s="344" t="str">
        <f>IF(Start!$C$18="x",(IF(F148 ="","",IF(OR(AU148="NA",I148="NA",I148=0),"NA",(AU148/I148)))),"Not Req.")</f>
        <v/>
      </c>
      <c r="AZ148" s="208"/>
    </row>
    <row r="149" spans="1:52" s="183" customFormat="1" x14ac:dyDescent="0.25">
      <c r="A149" s="405" t="s">
        <v>670</v>
      </c>
      <c r="B149" s="347" t="str">
        <f>IF(Start!$C$18="x",IF(AND(OR(F149="",F149="NA"),OR(G149="",G149="NA")),"",IF(I149="NA","NA",IF(AND(I149="",K149="--"),"NA",IF(AD149="NA","Missing Data",IF(I149="","No Criteria",IF(AD149&gt;=I149,"Needed","No")))))),"---")</f>
        <v/>
      </c>
      <c r="C149" s="501" t="str">
        <f>IF(Start!$C$18="x",IF(AND(OR(F149="",F149="NA"),OR(G149="",G149="NA")),"",IF(I149="NA","NA",IF(AND(I149="",K149="--"),"NA",IF(AF149="NA","Missing Data",IF(I149="","No Criteria",IF(AF149&gt;=I149,"Needed","No")))))),"---")</f>
        <v/>
      </c>
      <c r="D149" s="347" t="str">
        <f>IF(Start!$C$18="x",IF(AND(OR(F149="",F149="NA"),OR(G149="",G149="NA")),"",IF(I149="NA","NA",IF(AND(I149="",K149="--"),"NA",IF(AO149="NA","Missing Data",IF(I149="","No Criteria",IF(AO149&gt;=I149,"Needed","No")))))),"---")</f>
        <v/>
      </c>
      <c r="E149" s="401" t="str">
        <f>IF(Start!$C$18="x",IF(AND(OR(F149="",F149="NA"),OR(G149="",G149="NA")),"",IF(I149="NA","NA",IF(AND(I149="",K149="--"),"NA",IF(AU149="NA","Missing Data",IF(I149="","No Criteria",IF(AU149&gt;=I149,"Needed","No")))))),"---")</f>
        <v/>
      </c>
      <c r="F149" s="431" t="str">
        <f>IF(TRUE=ISBLANK(ChemData!B149),"",(ChemData!B149))</f>
        <v/>
      </c>
      <c r="G149" s="432" t="str">
        <f>IF(TRUE=ISBLANK(ChemData!C149),"",(ChemData!C149))</f>
        <v/>
      </c>
      <c r="H149" s="433" t="str">
        <f>IF(TRUE=ISBLANK(ChemData!D149),"",(ChemData!D149))</f>
        <v/>
      </c>
      <c r="I149" s="919" t="str">
        <f>IF(TRUE=ISBLANK(ChemData!K149),"",(ChemData!K149))</f>
        <v>NA</v>
      </c>
      <c r="J149" s="290">
        <f>IF(TRUE=ISBLANK(ChemData!M149),"",(ChemData!M149))</f>
        <v>72.11</v>
      </c>
      <c r="K149" s="290">
        <f>IF(TRUE=ISBLANK(ChemData!N149),"",(ChemData!N149))</f>
        <v>5.1400000000000003E-5</v>
      </c>
      <c r="L149" s="290">
        <f>IF(TRUE=ISBLANK(ChemData!O149),"",(ChemData!O149))</f>
        <v>8.0799999999999997E-2</v>
      </c>
      <c r="M149" s="290">
        <f>IF(TRUE=ISBLANK(ChemData!Q149),"",(ChemData!Q149))</f>
        <v>3.6091623541521421E-2</v>
      </c>
      <c r="N149" s="290">
        <f>IF(TRUE=ISBLANK(ChemData!R149),"",(ChemData!R149))</f>
        <v>3.6091623541521421E-2</v>
      </c>
      <c r="O149" s="290">
        <f>IF(TRUE=ISBLANK(ChemData!S149),"",(ChemData!S149))</f>
        <v>1</v>
      </c>
      <c r="P149" s="291">
        <f>IF(TRUE=ISBLANK(ChemData!T149),"",(ChemData!T149))</f>
        <v>1</v>
      </c>
      <c r="Q149" s="375">
        <f>IF(Start!$C$18="x",IF(OR(K149="NA",K149="",K149="--"),"NA",(K149*1000000/82.1/Data!$D$50)),"---")</f>
        <v>2.0195670111194065E-3</v>
      </c>
      <c r="R149" s="376">
        <f>IF(Start!$C$18="x",IF(OR(J149="NA",J149=0,J149=""),"NA",(0.32*(Data!$D$48+Data!$D$49)*(18/J149)^0.5)),"---")</f>
        <v>0.41168563793848201</v>
      </c>
      <c r="S149" s="376">
        <f>IF(Start!$C$18="x",IF(OR(J149="NA",J149= 0,J149=""),"NA",(0.0065*((Data!$D$49^0.969)/(Data!$D$51^0.673))*(32/J149)^0.5*EXP(0.526*Data!$D$48^-1.9))),"---")</f>
        <v>8.6772053639978873E-4</v>
      </c>
      <c r="T149" s="377">
        <f>IF(Start!$C$18="x",IF(OR(S149="NA",R149="NA",R149=0,Q149="NA",S149=0,Q149=0),"NA",(1/(1/S149+(1/(R149*Q149))))),"---")</f>
        <v>4.2459300843177591E-4</v>
      </c>
      <c r="U149" s="375" t="str">
        <f>IF(Start!$C$18="x",IF(OR(F149="NA",F149="",O149="",O149="NA"),"NA",(F149*$O149)),"---")</f>
        <v>NA</v>
      </c>
      <c r="V149" s="376" t="str">
        <f>IF(Start!$C$18="x",IF(OR(U149="NA",M149="NA",M149="",U149=""),"NA",U149/((Data!$D$18+((1-Data!$D$18)*Data!$D$14*M149))/((1-Data!$D$18)*Data!$D$14*1000))),"---")</f>
        <v>NA</v>
      </c>
      <c r="W149" s="376" t="str">
        <f>IF(Start!$C$18="x",IF(OR(G149="NA",U149="NA",G149="",U149=""),"NA",(U149 +($G149*(Data!$D$19-Data!$D$22)/(Data!$D$19*Data!$D$22)))),"---")</f>
        <v>NA</v>
      </c>
      <c r="X149" s="376" t="str">
        <f>IF(Start!$C$18="x",IF(OR(G149="NA",V149="NA",G149="",V149=""),"NA",(((Data!$D$22*Data!$D$18)*V149)+(Data!$D$19-Data!$D$22)*$G149)/((Data!$D$22*Data!$D$18)+Data!$D$19-Data!$D$22)),"---")</f>
        <v>NA</v>
      </c>
      <c r="Y149" s="376" t="str">
        <f>IF(Start!$C$18="x",IF(OR(W149="NA",W149="",M149="NA",M149=""),"NA",(W149/((Data!$D$23+((1-Data!$D$23)*Data!$D$14*M149)) /((1-Data!$D$23)*Data!$D$14*1000)))),"---")</f>
        <v>NA</v>
      </c>
      <c r="Z149" s="376" t="str">
        <f>IF(Start!$C$18="x",IF(OR(Y149="NA",X149="NA"),"NA",IF(Y149&gt;X149, Y149, X149)),"---")</f>
        <v>NA</v>
      </c>
      <c r="AA149" s="461" t="str">
        <f>IF(Start!$C$18="x",IF(OR(Z149="NA",T149="NA"),"NA",Z149*T149/(1000000000)),"---")</f>
        <v>NA</v>
      </c>
      <c r="AB149" s="1057" t="str">
        <f>IF(Start!$C$18="x",IF(AA149 = "NA", "NA", AA149*(Data!$D$52*Data!$D$53*10000)),"---")</f>
        <v>NA</v>
      </c>
      <c r="AC149" s="375" t="str">
        <f>IF(Start!$C$18="x",IF(AB149="NA", "NA", AB149*Data!$D$54),"---")</f>
        <v>NA</v>
      </c>
      <c r="AD149" s="498" t="str">
        <f>IF(Start!$C$18="x",IF(AC149="NA","NA",AC149*Data!$D$41),"---")</f>
        <v>NA</v>
      </c>
      <c r="AE149" s="376" t="str">
        <f>IF(Start!$C$18="x",IF(AB149 = "NA", "NA", AB149/(Data!$D$53*3*Data!$D$48)*1000),"---")</f>
        <v>NA</v>
      </c>
      <c r="AF149" s="498" t="str">
        <f>IF(Start!$C$18="x",IF(AE149="NA","NA",AE149*Data!$D$46),"---")</f>
        <v>NA</v>
      </c>
      <c r="AG149" s="375">
        <f>IF(Start!$C$18="x",IF(OR($L149="NA",L149=""),"NA",($L149*(Data!$D$55^3.33)/(Data!$D$18^2))),"---")</f>
        <v>8.2314948823507933E-4</v>
      </c>
      <c r="AH149" s="376" t="str">
        <f>IF(Start!$C$18="x",IF(OR(F149="NA",F149="",P149="NA",P149=""),"NA",IF(100/Data!$D$10&gt;Data!$D$13,(F149*$P149),(F149*$P149)*Data!$D$13)),"---")</f>
        <v>NA</v>
      </c>
      <c r="AI149" s="489">
        <f>IF(Start!$C$18="x",IF(OR($N149="NA",$Q149="NA",$Q149=0,Q149="",N149=""),"NA",(1000*$N149/$Q149)),"---")</f>
        <v>17870.971026366955</v>
      </c>
      <c r="AJ149" s="376">
        <f>IF(Start!$C$18="x",IF(OR(Q149 = "NA",Q149=0,N149 = "NA",N149="",Q149=""), "NA", IF($AG149="NA","NA",(3.1416*Data!$D$57*86400/($AG149*(Data!$D$55+(N149*Data!$D$19/(Q149*1000)))))^0.5)),"---")</f>
        <v>25362.460222906753</v>
      </c>
      <c r="AK149" s="376" t="str">
        <f>IF(Start!$C$18="x",IF(OR(AH149 = "NA",AI149="NA",AI149=0,AI149="",AH149=""), "NA", AH149/AI149),"---")</f>
        <v>NA</v>
      </c>
      <c r="AL149" s="376" t="str">
        <f>IF(Start!$C$18="x",IF(OR(AK149 ="NA",AK149="",AJ149= "NA",R149="NA",R149=0),"NA",(2*AK149)/(1000*(1/$R149+AJ149))),"---")</f>
        <v>NA</v>
      </c>
      <c r="AM149" s="376" t="str">
        <f>IF(Start!$C$18="x",IF(AL149 = "NA", "NA", AL149*(Data!$D$52*Data!$D$53*10000)),"---")</f>
        <v>NA</v>
      </c>
      <c r="AN149" s="376" t="str">
        <f>IF(Start!$C$18="x",IF(AM149 = "NA", "NA", AM149*(Data!$D$54)),"---")</f>
        <v>NA</v>
      </c>
      <c r="AO149" s="498" t="str">
        <f>IF(Start!$C$18="x",IF(AN149="NA","NA",AN149*Data!$D$41),"---")</f>
        <v>NA</v>
      </c>
      <c r="AP149" s="376">
        <f>IF(Start!$C$18="x",IF(OR(Q149=0,N149="NA",N149="",AG149="NA",AG149="",AG149=0,Q149="",Q149="NA"),"NA", (3.1416*Data!$D$56*86400/($AG149*(Data!$D$55+(N149*Data!$D$19/(Q149*1000)))))^0.5),"---")</f>
        <v>25362.460222906753</v>
      </c>
      <c r="AQ149" s="376" t="str">
        <f>IF(Start!$C$18="x",IF(OR(AH149="NA",AI149="NA",AI149="",AI149=0,AH149=""),"NA", AH149/AI149),"---")</f>
        <v>NA</v>
      </c>
      <c r="AR149" s="376" t="str">
        <f>IF(Start!$C$18="x",IF(OR(AQ149="NA",AP149="NA",$R149="NA",R149=0,R149=""),"NA",(2*AQ149)/(1000*(1/$R149+AP149))),"---")</f>
        <v>NA</v>
      </c>
      <c r="AS149" s="376" t="str">
        <f>IF(Start!$C$18="x",IF(AR149 = "NA", "NA", AR149*(Data!$D$52*Data!$D$53*10000)),"---")</f>
        <v>NA</v>
      </c>
      <c r="AT149" s="376" t="str">
        <f>IF(Start!$C$18="x",IF(AS149 = "NA", "NA", (AS149*1000)/(Data!$D$48*3*Data!$D$53)),"---")</f>
        <v>NA</v>
      </c>
      <c r="AU149" s="498" t="str">
        <f>IF(Start!$C$18="x",IF(AT149="NA","NA",AT149*Data!$D$47),"---")</f>
        <v>NA</v>
      </c>
      <c r="AV149" s="283" t="str">
        <f>IF(Start!$C$18="x",(IF(AND(F149="",G149= "",G149&lt;&gt;"NA"),"",IF(OR(AD149="NA",I149="NA",I149=0),"NA",(AD149/I149)))),"Not Req.")</f>
        <v/>
      </c>
      <c r="AW149" s="284" t="str">
        <f>IF(Start!$C$18="x",(IF(AND(F149="",G149= "",G149&lt;&gt;"NA"),"",IF(OR(AF149="NA",I149="NA",I149=0),"NA",(AF149/I149)))),"Not Req.")</f>
        <v/>
      </c>
      <c r="AX149" s="284" t="str">
        <f>IF(Start!$C$18="x",(IF(F149 ="","",IF(OR(AO149="NA",I149="NA",I149=0),"NA",(AO149/I149)))),"Not Req.")</f>
        <v/>
      </c>
      <c r="AY149" s="344" t="str">
        <f>IF(Start!$C$18="x",(IF(F149 ="","",IF(OR(AU149="NA",I149="NA",I149=0),"NA",(AU149/I149)))),"Not Req.")</f>
        <v/>
      </c>
      <c r="AZ149" s="208"/>
    </row>
    <row r="150" spans="1:52" s="183" customFormat="1" x14ac:dyDescent="0.25">
      <c r="A150" s="405" t="s">
        <v>468</v>
      </c>
      <c r="B150" s="347" t="str">
        <f>IF(Start!$C$18="x",IF(AND(OR(F150="",F150="NA"),OR(G150="",G150="NA")),"",IF(I150="NA","NA",IF(AND(I150="",K150="--"),"NA",IF(AD150="NA","Missing Data",IF(I150="","No Criteria",IF(AD150&gt;=I150,"Needed","No")))))),"---")</f>
        <v/>
      </c>
      <c r="C150" s="501" t="str">
        <f>IF(Start!$C$18="x",IF(AND(OR(F150="",F150="NA"),OR(G150="",G150="NA")),"",IF(I150="NA","NA",IF(AND(I150="",K150="--"),"NA",IF(AF150="NA","Missing Data",IF(I150="","No Criteria",IF(AF150&gt;=I150,"Needed","No")))))),"---")</f>
        <v/>
      </c>
      <c r="D150" s="347" t="str">
        <f>IF(Start!$C$18="x",IF(AND(OR(F150="",F150="NA"),OR(G150="",G150="NA")),"",IF(I150="NA","NA",IF(AND(I150="",K150="--"),"NA",IF(AO150="NA","Missing Data",IF(I150="","No Criteria",IF(AO150&gt;=I150,"Needed","No")))))),"---")</f>
        <v/>
      </c>
      <c r="E150" s="401" t="str">
        <f>IF(Start!$C$18="x",IF(AND(OR(F150="",F150="NA"),OR(G150="",G150="NA")),"",IF(I150="NA","NA",IF(AND(I150="",K150="--"),"NA",IF(AU150="NA","Missing Data",IF(I150="","No Criteria",IF(AU150&gt;=I150,"Needed","No")))))),"---")</f>
        <v/>
      </c>
      <c r="F150" s="431" t="str">
        <f>IF(TRUE=ISBLANK(ChemData!B150),"",(ChemData!B150))</f>
        <v/>
      </c>
      <c r="G150" s="432" t="str">
        <f>IF(TRUE=ISBLANK(ChemData!C150),"",(ChemData!C150))</f>
        <v/>
      </c>
      <c r="H150" s="433" t="str">
        <f>IF(TRUE=ISBLANK(ChemData!D150),"",(ChemData!D150))</f>
        <v/>
      </c>
      <c r="I150" s="919" t="str">
        <f>IF(TRUE=ISBLANK(ChemData!K150),"",(ChemData!K150))</f>
        <v>NA</v>
      </c>
      <c r="J150" s="290">
        <f>IF(TRUE=ISBLANK(ChemData!M150),"",(ChemData!M150))</f>
        <v>76.14</v>
      </c>
      <c r="K150" s="290">
        <f>IF(TRUE=ISBLANK(ChemData!N150),"",(ChemData!N150))</f>
        <v>3.0300000000000001E-2</v>
      </c>
      <c r="L150" s="290">
        <f>IF(TRUE=ISBLANK(ChemData!O150),"",(ChemData!O150))</f>
        <v>0.104</v>
      </c>
      <c r="M150" s="290">
        <f>IF(TRUE=ISBLANK(ChemData!Q150),"",(ChemData!Q150))</f>
        <v>1.6121536050087053</v>
      </c>
      <c r="N150" s="290">
        <f>IF(TRUE=ISBLANK(ChemData!R150),"",(ChemData!R150))</f>
        <v>1.6121536050087053</v>
      </c>
      <c r="O150" s="290">
        <f>IF(TRUE=ISBLANK(ChemData!S150),"",(ChemData!S150))</f>
        <v>1</v>
      </c>
      <c r="P150" s="291">
        <f>IF(TRUE=ISBLANK(ChemData!T150),"",(ChemData!T150))</f>
        <v>1</v>
      </c>
      <c r="Q150" s="375">
        <f>IF(Start!$C$18="x",IF(OR(K150="NA",K150="",K150="--"),"NA",(K150*1000000/82.1/Data!$D$50)),"---")</f>
        <v>1.1905229656987937</v>
      </c>
      <c r="R150" s="376">
        <f>IF(Start!$C$18="x",IF(OR(J150="NA",J150=0,J150=""),"NA",(0.32*(Data!$D$48+Data!$D$49)*(18/J150)^0.5)),"---")</f>
        <v>0.40064250998088374</v>
      </c>
      <c r="S150" s="376">
        <f>IF(Start!$C$18="x",IF(OR(J150="NA",J150= 0,J150=""),"NA",(0.0065*((Data!$D$49^0.969)/(Data!$D$51^0.673))*(32/J150)^0.5*EXP(0.526*Data!$D$48^-1.9))),"---")</f>
        <v>8.444446481203668E-4</v>
      </c>
      <c r="T150" s="377">
        <f>IF(Start!$C$18="x",IF(OR(S150="NA",R150="NA",R150=0,Q150="NA",S150=0,Q150=0),"NA",(1/(1/S150+(1/(R150*Q150))))),"---")</f>
        <v>8.4295226830789424E-4</v>
      </c>
      <c r="U150" s="375" t="str">
        <f>IF(Start!$C$18="x",IF(OR(F150="NA",F150="",O150="",O150="NA"),"NA",(F150*$O150)),"---")</f>
        <v>NA</v>
      </c>
      <c r="V150" s="376" t="str">
        <f>IF(Start!$C$18="x",IF(OR(U150="NA",M150="NA",M150="",U150=""),"NA",U150/((Data!$D$18+((1-Data!$D$18)*Data!$D$14*M150))/((1-Data!$D$18)*Data!$D$14*1000))),"---")</f>
        <v>NA</v>
      </c>
      <c r="W150" s="376" t="str">
        <f>IF(Start!$C$18="x",IF(OR(G150="NA",U150="NA",G150="",U150=""),"NA",(U150 +($G150*(Data!$D$19-Data!$D$22)/(Data!$D$19*Data!$D$22)))),"---")</f>
        <v>NA</v>
      </c>
      <c r="X150" s="376" t="str">
        <f>IF(Start!$C$18="x",IF(OR(G150="NA",V150="NA",G150="",V150=""),"NA",(((Data!$D$22*Data!$D$18)*V150)+(Data!$D$19-Data!$D$22)*$G150)/((Data!$D$22*Data!$D$18)+Data!$D$19-Data!$D$22)),"---")</f>
        <v>NA</v>
      </c>
      <c r="Y150" s="376" t="str">
        <f>IF(Start!$C$18="x",IF(OR(W150="NA",W150="",M150="NA",M150=""),"NA",(W150/((Data!$D$23+((1-Data!$D$23)*Data!$D$14*M150)) /((1-Data!$D$23)*Data!$D$14*1000)))),"---")</f>
        <v>NA</v>
      </c>
      <c r="Z150" s="376" t="str">
        <f>IF(Start!$C$18="x",IF(OR(Y150="NA",X150="NA"),"NA",IF(Y150&gt;X150, Y150, X150)),"---")</f>
        <v>NA</v>
      </c>
      <c r="AA150" s="461" t="str">
        <f>IF(Start!$C$18="x",IF(OR(Z150="NA",T150="NA"),"NA",Z150*T150/(1000000000)),"---")</f>
        <v>NA</v>
      </c>
      <c r="AB150" s="1057" t="str">
        <f>IF(Start!$C$18="x",IF(AA150 = "NA", "NA", AA150*(Data!$D$52*Data!$D$53*10000)),"---")</f>
        <v>NA</v>
      </c>
      <c r="AC150" s="375" t="str">
        <f>IF(Start!$C$18="x",IF(AB150="NA", "NA", AB150*Data!$D$54),"---")</f>
        <v>NA</v>
      </c>
      <c r="AD150" s="498" t="str">
        <f>IF(Start!$C$18="x",IF(AC150="NA","NA",AC150*Data!$D$41),"---")</f>
        <v>NA</v>
      </c>
      <c r="AE150" s="376" t="str">
        <f>IF(Start!$C$18="x",IF(AB150 = "NA", "NA", AB150/(Data!$D$53*3*Data!$D$48)*1000),"---")</f>
        <v>NA</v>
      </c>
      <c r="AF150" s="498" t="str">
        <f>IF(Start!$C$18="x",IF(AE150="NA","NA",AE150*Data!$D$46),"---")</f>
        <v>NA</v>
      </c>
      <c r="AG150" s="375">
        <f>IF(Start!$C$18="x",IF(OR($L150="NA",L150=""),"NA",($L150*(Data!$D$55^3.33)/(Data!$D$18^2))),"---")</f>
        <v>1.0594993412926764E-3</v>
      </c>
      <c r="AH150" s="376" t="str">
        <f>IF(Start!$C$18="x",IF(OR(F150="NA",F150="",P150="NA",P150=""),"NA",IF(100/Data!$D$10&gt;Data!$D$13,(F150*$P150),(F150*$P150)*Data!$D$13)),"---")</f>
        <v>NA</v>
      </c>
      <c r="AI150" s="489">
        <f>IF(Start!$C$18="x",IF(OR($N150="NA",$Q150="NA",$Q150=0,Q150="",N150=""),"NA",(1000*$N150/$Q150)),"---")</f>
        <v>1354.1558218177081</v>
      </c>
      <c r="AJ150" s="376">
        <f>IF(Start!$C$18="x",IF(OR(Q150 = "NA",Q150=0,N150 = "NA",N150="",Q150=""), "NA", IF($AG150="NA","NA",(3.1416*Data!$D$57*86400/($AG150*(Data!$D$55+(N150*Data!$D$19/(Q150*1000)))))^0.5)),"---")</f>
        <v>75448.267368929839</v>
      </c>
      <c r="AK150" s="376" t="str">
        <f>IF(Start!$C$18="x",IF(OR(AH150 = "NA",AI150="NA",AI150=0,AI150="",AH150=""), "NA", AH150/AI150),"---")</f>
        <v>NA</v>
      </c>
      <c r="AL150" s="376" t="str">
        <f>IF(Start!$C$18="x",IF(OR(AK150 ="NA",AK150="",AJ150= "NA",R150="NA",R150=0),"NA",(2*AK150)/(1000*(1/$R150+AJ150))),"---")</f>
        <v>NA</v>
      </c>
      <c r="AM150" s="376" t="str">
        <f>IF(Start!$C$18="x",IF(AL150 = "NA", "NA", AL150*(Data!$D$52*Data!$D$53*10000)),"---")</f>
        <v>NA</v>
      </c>
      <c r="AN150" s="376" t="str">
        <f>IF(Start!$C$18="x",IF(AM150 = "NA", "NA", AM150*(Data!$D$54)),"---")</f>
        <v>NA</v>
      </c>
      <c r="AO150" s="498" t="str">
        <f>IF(Start!$C$18="x",IF(AN150="NA","NA",AN150*Data!$D$41),"---")</f>
        <v>NA</v>
      </c>
      <c r="AP150" s="376">
        <f>IF(Start!$C$18="x",IF(OR(Q150=0,N150="NA",N150="",AG150="NA",AG150="",AG150=0,Q150="",Q150="NA"),"NA", (3.1416*Data!$D$56*86400/($AG150*(Data!$D$55+(N150*Data!$D$19/(Q150*1000)))))^0.5),"---")</f>
        <v>75448.267368929839</v>
      </c>
      <c r="AQ150" s="376" t="str">
        <f>IF(Start!$C$18="x",IF(OR(AH150="NA",AI150="NA",AI150="",AI150=0,AH150=""),"NA", AH150/AI150),"---")</f>
        <v>NA</v>
      </c>
      <c r="AR150" s="376" t="str">
        <f>IF(Start!$C$18="x",IF(OR(AQ150="NA",AP150="NA",$R150="NA",R150=0,R150=""),"NA",(2*AQ150)/(1000*(1/$R150+AP150))),"---")</f>
        <v>NA</v>
      </c>
      <c r="AS150" s="376" t="str">
        <f>IF(Start!$C$18="x",IF(AR150 = "NA", "NA", AR150*(Data!$D$52*Data!$D$53*10000)),"---")</f>
        <v>NA</v>
      </c>
      <c r="AT150" s="376" t="str">
        <f>IF(Start!$C$18="x",IF(AS150 = "NA", "NA", (AS150*1000)/(Data!$D$48*3*Data!$D$53)),"---")</f>
        <v>NA</v>
      </c>
      <c r="AU150" s="498" t="str">
        <f>IF(Start!$C$18="x",IF(AT150="NA","NA",AT150*Data!$D$47),"---")</f>
        <v>NA</v>
      </c>
      <c r="AV150" s="283" t="str">
        <f>IF(Start!$C$18="x",(IF(AND(F150="",G150= "",G150&lt;&gt;"NA"),"",IF(OR(AD150="NA",I150="NA",I150=0),"NA",(AD150/I150)))),"Not Req.")</f>
        <v/>
      </c>
      <c r="AW150" s="284" t="str">
        <f>IF(Start!$C$18="x",(IF(AND(F150="",G150= "",G150&lt;&gt;"NA"),"",IF(OR(AF150="NA",I150="NA",I150=0),"NA",(AF150/I150)))),"Not Req.")</f>
        <v/>
      </c>
      <c r="AX150" s="284" t="str">
        <f>IF(Start!$C$18="x",(IF(F150 ="","",IF(OR(AO150="NA",I150="NA",I150=0),"NA",(AO150/I150)))),"Not Req.")</f>
        <v/>
      </c>
      <c r="AY150" s="344" t="str">
        <f>IF(Start!$C$18="x",(IF(F150 ="","",IF(OR(AU150="NA",I150="NA",I150=0),"NA",(AU150/I150)))),"Not Req.")</f>
        <v/>
      </c>
      <c r="AZ150" s="208"/>
    </row>
    <row r="151" spans="1:52" s="183" customFormat="1" x14ac:dyDescent="0.25">
      <c r="A151" s="405" t="s">
        <v>469</v>
      </c>
      <c r="B151" s="347" t="str">
        <f>IF(Start!$C$18="x",IF(AND(OR(F151="",F151="NA"),OR(G151="",G151="NA")),"",IF(I151="NA","NA",IF(AND(I151="",K151="--"),"NA",IF(AD151="NA","Missing Data",IF(I151="","No Criteria",IF(AD151&gt;=I151,"Needed","No")))))),"---")</f>
        <v/>
      </c>
      <c r="C151" s="501" t="str">
        <f>IF(Start!$C$18="x",IF(AND(OR(F151="",F151="NA"),OR(G151="",G151="NA")),"",IF(I151="NA","NA",IF(AND(I151="",K151="--"),"NA",IF(AF151="NA","Missing Data",IF(I151="","No Criteria",IF(AF151&gt;=I151,"Needed","No")))))),"---")</f>
        <v/>
      </c>
      <c r="D151" s="347" t="str">
        <f>IF(Start!$C$18="x",IF(AND(OR(F151="",F151="NA"),OR(G151="",G151="NA")),"",IF(I151="NA","NA",IF(AND(I151="",K151="--"),"NA",IF(AO151="NA","Missing Data",IF(I151="","No Criteria",IF(AO151&gt;=I151,"Needed","No")))))),"---")</f>
        <v/>
      </c>
      <c r="E151" s="401" t="str">
        <f>IF(Start!$C$18="x",IF(AND(OR(F151="",F151="NA"),OR(G151="",G151="NA")),"",IF(I151="NA","NA",IF(AND(I151="",K151="--"),"NA",IF(AU151="NA","Missing Data",IF(I151="","No Criteria",IF(AU151&gt;=I151,"Needed","No")))))),"---")</f>
        <v/>
      </c>
      <c r="F151" s="431" t="str">
        <f>IF(TRUE=ISBLANK(ChemData!B151),"",(ChemData!B151))</f>
        <v/>
      </c>
      <c r="G151" s="432" t="str">
        <f>IF(TRUE=ISBLANK(ChemData!C151),"",(ChemData!C151))</f>
        <v/>
      </c>
      <c r="H151" s="433" t="str">
        <f>IF(TRUE=ISBLANK(ChemData!D151),"",(ChemData!D151))</f>
        <v/>
      </c>
      <c r="I151" s="919" t="str">
        <f>IF(TRUE=ISBLANK(ChemData!K151),"",(ChemData!K151))</f>
        <v>NA</v>
      </c>
      <c r="J151" s="290">
        <f>IF(TRUE=ISBLANK(ChemData!M151),"",(ChemData!M151))</f>
        <v>153.82</v>
      </c>
      <c r="K151" s="290">
        <f>IF(TRUE=ISBLANK(ChemData!N151),"",(ChemData!N151))</f>
        <v>3.04E-2</v>
      </c>
      <c r="L151" s="290">
        <f>IF(TRUE=ISBLANK(ChemData!O151),"",(ChemData!O151))</f>
        <v>7.8E-2</v>
      </c>
      <c r="M151" s="290">
        <f>IF(TRUE=ISBLANK(ChemData!Q151),"",(ChemData!Q151))</f>
        <v>16.881320636477891</v>
      </c>
      <c r="N151" s="290">
        <f>IF(TRUE=ISBLANK(ChemData!R151),"",(ChemData!R151))</f>
        <v>16.881320636477891</v>
      </c>
      <c r="O151" s="290">
        <f>IF(TRUE=ISBLANK(ChemData!S151),"",(ChemData!S151))</f>
        <v>1</v>
      </c>
      <c r="P151" s="291">
        <f>IF(TRUE=ISBLANK(ChemData!T151),"",(ChemData!T151))</f>
        <v>1</v>
      </c>
      <c r="Q151" s="375">
        <f>IF(Start!$C$18="x",IF(OR(K151="NA",K151="",K151="--"),"NA",(K151*1000000/82.1/Data!$D$50)),"---")</f>
        <v>1.1944520843974697</v>
      </c>
      <c r="R151" s="376">
        <f>IF(Start!$C$18="x",IF(OR(J151="NA",J151=0,J151=""),"NA",(0.32*(Data!$D$48+Data!$D$49)*(18/J151)^0.5)),"---")</f>
        <v>0.28187532550553612</v>
      </c>
      <c r="S151" s="376">
        <f>IF(Start!$C$18="x",IF(OR(J151="NA",J151= 0,J151=""),"NA",(0.0065*((Data!$D$49^0.969)/(Data!$D$51^0.673))*(32/J151)^0.5*EXP(0.526*Data!$D$48^-1.9))),"---")</f>
        <v>5.9411596156307416E-4</v>
      </c>
      <c r="T151" s="377">
        <f>IF(Start!$C$18="x",IF(OR(S151="NA",R151="NA",R151=0,Q151="NA",S151=0,Q151=0),"NA",(1/(1/S151+(1/(R151*Q151))))),"---")</f>
        <v>5.9306943328445898E-4</v>
      </c>
      <c r="U151" s="375" t="str">
        <f>IF(Start!$C$18="x",IF(OR(F151="NA",F151="",O151="",O151="NA"),"NA",(F151*$O151)),"---")</f>
        <v>NA</v>
      </c>
      <c r="V151" s="376" t="str">
        <f>IF(Start!$C$18="x",IF(OR(U151="NA",M151="NA",M151="",U151=""),"NA",U151/((Data!$D$18+((1-Data!$D$18)*Data!$D$14*M151))/((1-Data!$D$18)*Data!$D$14*1000))),"---")</f>
        <v>NA</v>
      </c>
      <c r="W151" s="376" t="str">
        <f>IF(Start!$C$18="x",IF(OR(G151="NA",U151="NA",G151="",U151=""),"NA",(U151 +($G151*(Data!$D$19-Data!$D$22)/(Data!$D$19*Data!$D$22)))),"---")</f>
        <v>NA</v>
      </c>
      <c r="X151" s="376" t="str">
        <f>IF(Start!$C$18="x",IF(OR(G151="NA",V151="NA",G151="",V151=""),"NA",(((Data!$D$22*Data!$D$18)*V151)+(Data!$D$19-Data!$D$22)*$G151)/((Data!$D$22*Data!$D$18)+Data!$D$19-Data!$D$22)),"---")</f>
        <v>NA</v>
      </c>
      <c r="Y151" s="376" t="str">
        <f>IF(Start!$C$18="x",IF(OR(W151="NA",W151="",M151="NA",M151=""),"NA",(W151/((Data!$D$23+((1-Data!$D$23)*Data!$D$14*M151)) /((1-Data!$D$23)*Data!$D$14*1000)))),"---")</f>
        <v>NA</v>
      </c>
      <c r="Z151" s="376" t="str">
        <f>IF(Start!$C$18="x",IF(OR(Y151="NA",X151="NA"),"NA",IF(Y151&gt;X151, Y151, X151)),"---")</f>
        <v>NA</v>
      </c>
      <c r="AA151" s="461" t="str">
        <f>IF(Start!$C$18="x",IF(OR(Z151="NA",T151="NA"),"NA",Z151*T151/(1000000000)),"---")</f>
        <v>NA</v>
      </c>
      <c r="AB151" s="1057" t="str">
        <f>IF(Start!$C$18="x",IF(AA151 = "NA", "NA", AA151*(Data!$D$52*Data!$D$53*10000)),"---")</f>
        <v>NA</v>
      </c>
      <c r="AC151" s="375" t="str">
        <f>IF(Start!$C$18="x",IF(AB151="NA", "NA", AB151*Data!$D$54),"---")</f>
        <v>NA</v>
      </c>
      <c r="AD151" s="498" t="str">
        <f>IF(Start!$C$18="x",IF(AC151="NA","NA",AC151*Data!$D$41),"---")</f>
        <v>NA</v>
      </c>
      <c r="AE151" s="376" t="str">
        <f>IF(Start!$C$18="x",IF(AB151 = "NA", "NA", AB151/(Data!$D$53*3*Data!$D$48)*1000),"---")</f>
        <v>NA</v>
      </c>
      <c r="AF151" s="498" t="str">
        <f>IF(Start!$C$18="x",IF(AE151="NA","NA",AE151*Data!$D$46),"---")</f>
        <v>NA</v>
      </c>
      <c r="AG151" s="375">
        <f>IF(Start!$C$18="x",IF(OR($L151="NA",L151=""),"NA",($L151*(Data!$D$55^3.33)/(Data!$D$18^2))),"---")</f>
        <v>7.9462450596950735E-4</v>
      </c>
      <c r="AH151" s="376" t="str">
        <f>IF(Start!$C$18="x",IF(OR(F151="NA",F151="",P151="NA",P151=""),"NA",IF(100/Data!$D$10&gt;Data!$D$13,(F151*$P151),(F151*$P151)*Data!$D$13)),"---")</f>
        <v>NA</v>
      </c>
      <c r="AI151" s="489">
        <f>IF(Start!$C$18="x",IF(OR($N151="NA",$Q151="NA",$Q151=0,Q151="",N151=""),"NA",(1000*$N151/$Q151)),"---")</f>
        <v>14133.108273651276</v>
      </c>
      <c r="AJ151" s="376">
        <f>IF(Start!$C$18="x",IF(OR(Q151 = "NA",Q151=0,N151 = "NA",N151="",Q151=""), "NA", IF($AG151="NA","NA",(3.1416*Data!$D$57*86400/($AG151*(Data!$D$55+(N151*Data!$D$19/(Q151*1000)))))^0.5)),"---")</f>
        <v>28977.39900190011</v>
      </c>
      <c r="AK151" s="376" t="str">
        <f>IF(Start!$C$18="x",IF(OR(AH151 = "NA",AI151="NA",AI151=0,AI151="",AH151=""), "NA", AH151/AI151),"---")</f>
        <v>NA</v>
      </c>
      <c r="AL151" s="376" t="str">
        <f>IF(Start!$C$18="x",IF(OR(AK151 ="NA",AK151="",AJ151= "NA",R151="NA",R151=0),"NA",(2*AK151)/(1000*(1/$R151+AJ151))),"---")</f>
        <v>NA</v>
      </c>
      <c r="AM151" s="376" t="str">
        <f>IF(Start!$C$18="x",IF(AL151 = "NA", "NA", AL151*(Data!$D$52*Data!$D$53*10000)),"---")</f>
        <v>NA</v>
      </c>
      <c r="AN151" s="376" t="str">
        <f>IF(Start!$C$18="x",IF(AM151 = "NA", "NA", AM151*(Data!$D$54)),"---")</f>
        <v>NA</v>
      </c>
      <c r="AO151" s="498" t="str">
        <f>IF(Start!$C$18="x",IF(AN151="NA","NA",AN151*Data!$D$41),"---")</f>
        <v>NA</v>
      </c>
      <c r="AP151" s="376">
        <f>IF(Start!$C$18="x",IF(OR(Q151=0,N151="NA",N151="",AG151="NA",AG151="",AG151=0,Q151="",Q151="NA"),"NA", (3.1416*Data!$D$56*86400/($AG151*(Data!$D$55+(N151*Data!$D$19/(Q151*1000)))))^0.5),"---")</f>
        <v>28977.39900190011</v>
      </c>
      <c r="AQ151" s="376" t="str">
        <f>IF(Start!$C$18="x",IF(OR(AH151="NA",AI151="NA",AI151="",AI151=0,AH151=""),"NA", AH151/AI151),"---")</f>
        <v>NA</v>
      </c>
      <c r="AR151" s="376" t="str">
        <f>IF(Start!$C$18="x",IF(OR(AQ151="NA",AP151="NA",$R151="NA",R151=0,R151=""),"NA",(2*AQ151)/(1000*(1/$R151+AP151))),"---")</f>
        <v>NA</v>
      </c>
      <c r="AS151" s="376" t="str">
        <f>IF(Start!$C$18="x",IF(AR151 = "NA", "NA", AR151*(Data!$D$52*Data!$D$53*10000)),"---")</f>
        <v>NA</v>
      </c>
      <c r="AT151" s="376" t="str">
        <f>IF(Start!$C$18="x",IF(AS151 = "NA", "NA", (AS151*1000)/(Data!$D$48*3*Data!$D$53)),"---")</f>
        <v>NA</v>
      </c>
      <c r="AU151" s="498" t="str">
        <f>IF(Start!$C$18="x",IF(AT151="NA","NA",AT151*Data!$D$47),"---")</f>
        <v>NA</v>
      </c>
      <c r="AV151" s="283" t="str">
        <f>IF(Start!$C$18="x",(IF(AND(F151="",G151= "",G151&lt;&gt;"NA"),"",IF(OR(AD151="NA",I151="NA",I151=0),"NA",(AD151/I151)))),"Not Req.")</f>
        <v/>
      </c>
      <c r="AW151" s="284" t="str">
        <f>IF(Start!$C$18="x",(IF(AND(F151="",G151= "",G151&lt;&gt;"NA"),"",IF(OR(AF151="NA",I151="NA",I151=0),"NA",(AF151/I151)))),"Not Req.")</f>
        <v/>
      </c>
      <c r="AX151" s="284" t="str">
        <f>IF(Start!$C$18="x",(IF(F151 ="","",IF(OR(AO151="NA",I151="NA",I151=0),"NA",(AO151/I151)))),"Not Req.")</f>
        <v/>
      </c>
      <c r="AY151" s="344" t="str">
        <f>IF(Start!$C$18="x",(IF(F151 ="","",IF(OR(AU151="NA",I151="NA",I151=0),"NA",(AU151/I151)))),"Not Req.")</f>
        <v/>
      </c>
      <c r="AZ151" s="208"/>
    </row>
    <row r="152" spans="1:52" s="183" customFormat="1" x14ac:dyDescent="0.25">
      <c r="A152" s="405" t="s">
        <v>470</v>
      </c>
      <c r="B152" s="347" t="str">
        <f>IF(Start!$C$18="x",IF(AND(OR(F152="",F152="NA"),OR(G152="",G152="NA")),"",IF(I152="NA","NA",IF(AND(I152="",K152="--"),"NA",IF(AD152="NA","Missing Data",IF(I152="","No Criteria",IF(AD152&gt;=I152,"Needed","No")))))),"---")</f>
        <v/>
      </c>
      <c r="C152" s="501" t="str">
        <f>IF(Start!$C$18="x",IF(AND(OR(F152="",F152="NA"),OR(G152="",G152="NA")),"",IF(I152="NA","NA",IF(AND(I152="",K152="--"),"NA",IF(AF152="NA","Missing Data",IF(I152="","No Criteria",IF(AF152&gt;=I152,"Needed","No")))))),"---")</f>
        <v/>
      </c>
      <c r="D152" s="347" t="str">
        <f>IF(Start!$C$18="x",IF(AND(OR(F152="",F152="NA"),OR(G152="",G152="NA")),"",IF(I152="NA","NA",IF(AND(I152="",K152="--"),"NA",IF(AO152="NA","Missing Data",IF(I152="","No Criteria",IF(AO152&gt;=I152,"Needed","No")))))),"---")</f>
        <v/>
      </c>
      <c r="E152" s="401" t="str">
        <f>IF(Start!$C$18="x",IF(AND(OR(F152="",F152="NA"),OR(G152="",G152="NA")),"",IF(I152="NA","NA",IF(AND(I152="",K152="--"),"NA",IF(AU152="NA","Missing Data",IF(I152="","No Criteria",IF(AU152&gt;=I152,"Needed","No")))))),"---")</f>
        <v/>
      </c>
      <c r="F152" s="431" t="str">
        <f>IF(TRUE=ISBLANK(ChemData!B152),"",(ChemData!B152))</f>
        <v/>
      </c>
      <c r="G152" s="432" t="str">
        <f>IF(TRUE=ISBLANK(ChemData!C152),"",(ChemData!C152))</f>
        <v/>
      </c>
      <c r="H152" s="433" t="str">
        <f>IF(TRUE=ISBLANK(ChemData!D152),"",(ChemData!D152))</f>
        <v/>
      </c>
      <c r="I152" s="919" t="str">
        <f>IF(TRUE=ISBLANK(ChemData!K152),"",(ChemData!K152))</f>
        <v>NA</v>
      </c>
      <c r="J152" s="290">
        <f>IF(TRUE=ISBLANK(ChemData!M152),"",(ChemData!M152))</f>
        <v>112.56</v>
      </c>
      <c r="K152" s="290">
        <f>IF(TRUE=ISBLANK(ChemData!N152),"",(ChemData!N152))</f>
        <v>3.5799999999999998E-3</v>
      </c>
      <c r="L152" s="290">
        <f>IF(TRUE=ISBLANK(ChemData!O152),"",(ChemData!O152))</f>
        <v>7.2999999999999995E-2</v>
      </c>
      <c r="M152" s="290">
        <f>IF(TRUE=ISBLANK(ChemData!Q152),"",(ChemData!Q152))</f>
        <v>12.805791271709518</v>
      </c>
      <c r="N152" s="290">
        <f>IF(TRUE=ISBLANK(ChemData!R152),"",(ChemData!R152))</f>
        <v>12.805791271709518</v>
      </c>
      <c r="O152" s="290">
        <f>IF(TRUE=ISBLANK(ChemData!S152),"",(ChemData!S152))</f>
        <v>1</v>
      </c>
      <c r="P152" s="291">
        <f>IF(TRUE=ISBLANK(ChemData!T152),"",(ChemData!T152))</f>
        <v>1</v>
      </c>
      <c r="Q152" s="375">
        <f>IF(Start!$C$18="x",IF(OR(K152="NA",K152="",K152="--"),"NA",(K152*1000000/82.1/Data!$D$50)),"---")</f>
        <v>0.14066244941259676</v>
      </c>
      <c r="R152" s="376">
        <f>IF(Start!$C$18="x",IF(OR(J152="NA",J152=0,J152=""),"NA",(0.32*(Data!$D$48+Data!$D$49)*(18/J152)^0.5)),"---")</f>
        <v>0.32951214180838184</v>
      </c>
      <c r="S152" s="376">
        <f>IF(Start!$C$18="x",IF(OR(J152="NA",J152= 0,J152=""),"NA",(0.0065*((Data!$D$49^0.969)/(Data!$D$51^0.673))*(32/J152)^0.5*EXP(0.526*Data!$D$48^-1.9))),"---")</f>
        <v>6.9452131940278626E-4</v>
      </c>
      <c r="T152" s="377">
        <f>IF(Start!$C$18="x",IF(OR(S152="NA",R152="NA",R152=0,Q152="NA",S152=0,Q152=0),"NA",(1/(1/S152+(1/(R152*Q152))))),"---")</f>
        <v>6.8426805284587798E-4</v>
      </c>
      <c r="U152" s="375" t="str">
        <f>IF(Start!$C$18="x",IF(OR(F152="NA",F152="",O152="",O152="NA"),"NA",(F152*$O152)),"---")</f>
        <v>NA</v>
      </c>
      <c r="V152" s="376" t="str">
        <f>IF(Start!$C$18="x",IF(OR(U152="NA",M152="NA",M152="",U152=""),"NA",U152/((Data!$D$18+((1-Data!$D$18)*Data!$D$14*M152))/((1-Data!$D$18)*Data!$D$14*1000))),"---")</f>
        <v>NA</v>
      </c>
      <c r="W152" s="376" t="str">
        <f>IF(Start!$C$18="x",IF(OR(G152="NA",U152="NA",G152="",U152=""),"NA",(U152 +($G152*(Data!$D$19-Data!$D$22)/(Data!$D$19*Data!$D$22)))),"---")</f>
        <v>NA</v>
      </c>
      <c r="X152" s="376" t="str">
        <f>IF(Start!$C$18="x",IF(OR(G152="NA",V152="NA",G152="",V152=""),"NA",(((Data!$D$22*Data!$D$18)*V152)+(Data!$D$19-Data!$D$22)*$G152)/((Data!$D$22*Data!$D$18)+Data!$D$19-Data!$D$22)),"---")</f>
        <v>NA</v>
      </c>
      <c r="Y152" s="376" t="str">
        <f>IF(Start!$C$18="x",IF(OR(W152="NA",W152="",M152="NA",M152=""),"NA",(W152/((Data!$D$23+((1-Data!$D$23)*Data!$D$14*M152)) /((1-Data!$D$23)*Data!$D$14*1000)))),"---")</f>
        <v>NA</v>
      </c>
      <c r="Z152" s="376" t="str">
        <f>IF(Start!$C$18="x",IF(OR(Y152="NA",X152="NA"),"NA",IF(Y152&gt;X152, Y152, X152)),"---")</f>
        <v>NA</v>
      </c>
      <c r="AA152" s="461" t="str">
        <f>IF(Start!$C$18="x",IF(OR(Z152="NA",T152="NA"),"NA",Z152*T152/(1000000000)),"---")</f>
        <v>NA</v>
      </c>
      <c r="AB152" s="1057" t="str">
        <f>IF(Start!$C$18="x",IF(AA152 = "NA", "NA", AA152*(Data!$D$52*Data!$D$53*10000)),"---")</f>
        <v>NA</v>
      </c>
      <c r="AC152" s="375" t="str">
        <f>IF(Start!$C$18="x",IF(AB152="NA", "NA", AB152*Data!$D$54),"---")</f>
        <v>NA</v>
      </c>
      <c r="AD152" s="498" t="str">
        <f>IF(Start!$C$18="x",IF(AC152="NA","NA",AC152*Data!$D$41),"---")</f>
        <v>NA</v>
      </c>
      <c r="AE152" s="376" t="str">
        <f>IF(Start!$C$18="x",IF(AB152 = "NA", "NA", AB152/(Data!$D$53*3*Data!$D$48)*1000),"---")</f>
        <v>NA</v>
      </c>
      <c r="AF152" s="498" t="str">
        <f>IF(Start!$C$18="x",IF(AE152="NA","NA",AE152*Data!$D$46),"---")</f>
        <v>NA</v>
      </c>
      <c r="AG152" s="375">
        <f>IF(Start!$C$18="x",IF(OR($L152="NA",L152=""),"NA",($L152*(Data!$D$55^3.33)/(Data!$D$18^2))),"---")</f>
        <v>7.4368703763812865E-4</v>
      </c>
      <c r="AH152" s="376" t="str">
        <f>IF(Start!$C$18="x",IF(OR(F152="NA",F152="",P152="NA",P152=""),"NA",IF(100/Data!$D$10&gt;Data!$D$13,(F152*$P152),(F152*$P152)*Data!$D$13)),"---")</f>
        <v>NA</v>
      </c>
      <c r="AI152" s="489">
        <f>IF(Start!$C$18="x",IF(OR($N152="NA",$Q152="NA",$Q152=0,Q152="",N152=""),"NA",(1000*$N152/$Q152)),"---")</f>
        <v>91039.160239184072</v>
      </c>
      <c r="AJ152" s="376">
        <f>IF(Start!$C$18="x",IF(OR(Q152 = "NA",Q152=0,N152 = "NA",N152="",Q152=""), "NA", IF($AG152="NA","NA",(3.1416*Data!$D$57*86400/($AG152*(Data!$D$55+(N152*Data!$D$19/(Q152*1000)))))^0.5)),"---")</f>
        <v>11884.397017107696</v>
      </c>
      <c r="AK152" s="376" t="str">
        <f>IF(Start!$C$18="x",IF(OR(AH152 = "NA",AI152="NA",AI152=0,AI152="",AH152=""), "NA", AH152/AI152),"---")</f>
        <v>NA</v>
      </c>
      <c r="AL152" s="376" t="str">
        <f>IF(Start!$C$18="x",IF(OR(AK152 ="NA",AK152="",AJ152= "NA",R152="NA",R152=0),"NA",(2*AK152)/(1000*(1/$R152+AJ152))),"---")</f>
        <v>NA</v>
      </c>
      <c r="AM152" s="376" t="str">
        <f>IF(Start!$C$18="x",IF(AL152 = "NA", "NA", AL152*(Data!$D$52*Data!$D$53*10000)),"---")</f>
        <v>NA</v>
      </c>
      <c r="AN152" s="376" t="str">
        <f>IF(Start!$C$18="x",IF(AM152 = "NA", "NA", AM152*(Data!$D$54)),"---")</f>
        <v>NA</v>
      </c>
      <c r="AO152" s="498" t="str">
        <f>IF(Start!$C$18="x",IF(AN152="NA","NA",AN152*Data!$D$41),"---")</f>
        <v>NA</v>
      </c>
      <c r="AP152" s="376">
        <f>IF(Start!$C$18="x",IF(OR(Q152=0,N152="NA",N152="",AG152="NA",AG152="",AG152=0,Q152="",Q152="NA"),"NA", (3.1416*Data!$D$56*86400/($AG152*(Data!$D$55+(N152*Data!$D$19/(Q152*1000)))))^0.5),"---")</f>
        <v>11884.397017107696</v>
      </c>
      <c r="AQ152" s="376" t="str">
        <f>IF(Start!$C$18="x",IF(OR(AH152="NA",AI152="NA",AI152="",AI152=0,AH152=""),"NA", AH152/AI152),"---")</f>
        <v>NA</v>
      </c>
      <c r="AR152" s="376" t="str">
        <f>IF(Start!$C$18="x",IF(OR(AQ152="NA",AP152="NA",$R152="NA",R152=0,R152=""),"NA",(2*AQ152)/(1000*(1/$R152+AP152))),"---")</f>
        <v>NA</v>
      </c>
      <c r="AS152" s="376" t="str">
        <f>IF(Start!$C$18="x",IF(AR152 = "NA", "NA", AR152*(Data!$D$52*Data!$D$53*10000)),"---")</f>
        <v>NA</v>
      </c>
      <c r="AT152" s="376" t="str">
        <f>IF(Start!$C$18="x",IF(AS152 = "NA", "NA", (AS152*1000)/(Data!$D$48*3*Data!$D$53)),"---")</f>
        <v>NA</v>
      </c>
      <c r="AU152" s="498" t="str">
        <f>IF(Start!$C$18="x",IF(AT152="NA","NA",AT152*Data!$D$47),"---")</f>
        <v>NA</v>
      </c>
      <c r="AV152" s="283" t="str">
        <f>IF(Start!$C$18="x",(IF(AND(F152="",G152= "",G152&lt;&gt;"NA"),"",IF(OR(AD152="NA",I152="NA",I152=0),"NA",(AD152/I152)))),"Not Req.")</f>
        <v/>
      </c>
      <c r="AW152" s="284" t="str">
        <f>IF(Start!$C$18="x",(IF(AND(F152="",G152= "",G152&lt;&gt;"NA"),"",IF(OR(AF152="NA",I152="NA",I152=0),"NA",(AF152/I152)))),"Not Req.")</f>
        <v/>
      </c>
      <c r="AX152" s="284" t="str">
        <f>IF(Start!$C$18="x",(IF(F152 ="","",IF(OR(AO152="NA",I152="NA",I152=0),"NA",(AO152/I152)))),"Not Req.")</f>
        <v/>
      </c>
      <c r="AY152" s="344" t="str">
        <f>IF(Start!$C$18="x",(IF(F152 ="","",IF(OR(AU152="NA",I152="NA",I152=0),"NA",(AU152/I152)))),"Not Req.")</f>
        <v/>
      </c>
      <c r="AZ152" s="208"/>
    </row>
    <row r="153" spans="1:52" s="183" customFormat="1" x14ac:dyDescent="0.25">
      <c r="A153" s="405" t="s">
        <v>471</v>
      </c>
      <c r="B153" s="347" t="str">
        <f>IF(Start!$C$18="x",IF(AND(OR(F153="",F153="NA"),OR(G153="",G153="NA")),"",IF(I153="NA","NA",IF(AND(I153="",K153="--"),"NA",IF(AD153="NA","Missing Data",IF(I153="","No Criteria",IF(AD153&gt;=I153,"Needed","No")))))),"---")</f>
        <v/>
      </c>
      <c r="C153" s="501" t="str">
        <f>IF(Start!$C$18="x",IF(AND(OR(F153="",F153="NA"),OR(G153="",G153="NA")),"",IF(I153="NA","NA",IF(AND(I153="",K153="--"),"NA",IF(AF153="NA","Missing Data",IF(I153="","No Criteria",IF(AF153&gt;=I153,"Needed","No")))))),"---")</f>
        <v/>
      </c>
      <c r="D153" s="347" t="str">
        <f>IF(Start!$C$18="x",IF(AND(OR(F153="",F153="NA"),OR(G153="",G153="NA")),"",IF(I153="NA","NA",IF(AND(I153="",K153="--"),"NA",IF(AO153="NA","Missing Data",IF(I153="","No Criteria",IF(AO153&gt;=I153,"Needed","No")))))),"---")</f>
        <v/>
      </c>
      <c r="E153" s="401" t="str">
        <f>IF(Start!$C$18="x",IF(AND(OR(F153="",F153="NA"),OR(G153="",G153="NA")),"",IF(I153="NA","NA",IF(AND(I153="",K153="--"),"NA",IF(AU153="NA","Missing Data",IF(I153="","No Criteria",IF(AU153&gt;=I153,"Needed","No")))))),"---")</f>
        <v/>
      </c>
      <c r="F153" s="431" t="str">
        <f>IF(TRUE=ISBLANK(ChemData!B153),"",(ChemData!B153))</f>
        <v/>
      </c>
      <c r="G153" s="432" t="str">
        <f>IF(TRUE=ISBLANK(ChemData!C153),"",(ChemData!C153))</f>
        <v/>
      </c>
      <c r="H153" s="433" t="str">
        <f>IF(TRUE=ISBLANK(ChemData!D153),"",(ChemData!D153))</f>
        <v/>
      </c>
      <c r="I153" s="919" t="str">
        <f>IF(TRUE=ISBLANK(ChemData!K153),"",(ChemData!K153))</f>
        <v>NA</v>
      </c>
      <c r="J153" s="290">
        <f>IF(TRUE=ISBLANK(ChemData!M153),"",(ChemData!M153))</f>
        <v>64.52</v>
      </c>
      <c r="K153" s="290">
        <f>IF(TRUE=ISBLANK(ChemData!N153),"",(ChemData!N153))</f>
        <v>0.14799999999999999</v>
      </c>
      <c r="L153" s="290">
        <f>IF(TRUE=ISBLANK(ChemData!O153),"",(ChemData!O153))</f>
        <v>0.27410000000000001</v>
      </c>
      <c r="M153" s="290">
        <f>IF(TRUE=ISBLANK(ChemData!Q153),"",(ChemData!Q153))</f>
        <v>0.49820309220687214</v>
      </c>
      <c r="N153" s="290">
        <f>IF(TRUE=ISBLANK(ChemData!R153),"",(ChemData!R153))</f>
        <v>0.49820309220687214</v>
      </c>
      <c r="O153" s="290">
        <f>IF(TRUE=ISBLANK(ChemData!S153),"",(ChemData!S153))</f>
        <v>1</v>
      </c>
      <c r="P153" s="291">
        <f>IF(TRUE=ISBLANK(ChemData!T153),"",(ChemData!T153))</f>
        <v>1</v>
      </c>
      <c r="Q153" s="375">
        <f>IF(Start!$C$18="x",IF(OR(K153="NA",K153="",K153="--"),"NA",(K153*1000000/82.1/Data!$D$50)),"---")</f>
        <v>5.8150956740403128</v>
      </c>
      <c r="R153" s="376">
        <f>IF(Start!$C$18="x",IF(OR(J153="NA",J153=0,J153=""),"NA",(0.32*(Data!$D$48+Data!$D$49)*(18/J153)^0.5)),"---")</f>
        <v>0.43522745619237146</v>
      </c>
      <c r="S153" s="376">
        <f>IF(Start!$C$18="x",IF(OR(J153="NA",J153= 0,J153=""),"NA",(0.0065*((Data!$D$49^0.969)/(Data!$D$51^0.673))*(32/J153)^0.5*EXP(0.526*Data!$D$48^-1.9))),"---")</f>
        <v>9.1734023959221293E-4</v>
      </c>
      <c r="T153" s="377">
        <f>IF(Start!$C$18="x",IF(OR(S153="NA",R153="NA",R153=0,Q153="NA",S153=0,Q153=0),"NA",(1/(1/S153+(1/(R153*Q153))))),"---")</f>
        <v>9.1700786305817762E-4</v>
      </c>
      <c r="U153" s="375" t="str">
        <f>IF(Start!$C$18="x",IF(OR(F153="NA",F153="",O153="",O153="NA"),"NA",(F153*$O153)),"---")</f>
        <v>NA</v>
      </c>
      <c r="V153" s="376" t="str">
        <f>IF(Start!$C$18="x",IF(OR(U153="NA",M153="NA",M153="",U153=""),"NA",U153/((Data!$D$18+((1-Data!$D$18)*Data!$D$14*M153))/((1-Data!$D$18)*Data!$D$14*1000))),"---")</f>
        <v>NA</v>
      </c>
      <c r="W153" s="376" t="str">
        <f>IF(Start!$C$18="x",IF(OR(G153="NA",U153="NA",G153="",U153=""),"NA",(U153 +($G153*(Data!$D$19-Data!$D$22)/(Data!$D$19*Data!$D$22)))),"---")</f>
        <v>NA</v>
      </c>
      <c r="X153" s="376" t="str">
        <f>IF(Start!$C$18="x",IF(OR(G153="NA",V153="NA",G153="",V153=""),"NA",(((Data!$D$22*Data!$D$18)*V153)+(Data!$D$19-Data!$D$22)*$G153)/((Data!$D$22*Data!$D$18)+Data!$D$19-Data!$D$22)),"---")</f>
        <v>NA</v>
      </c>
      <c r="Y153" s="376" t="str">
        <f>IF(Start!$C$18="x",IF(OR(W153="NA",W153="",M153="NA",M153=""),"NA",(W153/((Data!$D$23+((1-Data!$D$23)*Data!$D$14*M153)) /((1-Data!$D$23)*Data!$D$14*1000)))),"---")</f>
        <v>NA</v>
      </c>
      <c r="Z153" s="376" t="str">
        <f>IF(Start!$C$18="x",IF(OR(Y153="NA",X153="NA"),"NA",IF(Y153&gt;X153, Y153, X153)),"---")</f>
        <v>NA</v>
      </c>
      <c r="AA153" s="461" t="str">
        <f>IF(Start!$C$18="x",IF(OR(Z153="NA",T153="NA"),"NA",Z153*T153/(1000000000)),"---")</f>
        <v>NA</v>
      </c>
      <c r="AB153" s="1057" t="str">
        <f>IF(Start!$C$18="x",IF(AA153 = "NA", "NA", AA153*(Data!$D$52*Data!$D$53*10000)),"---")</f>
        <v>NA</v>
      </c>
      <c r="AC153" s="375" t="str">
        <f>IF(Start!$C$18="x",IF(AB153="NA", "NA", AB153*Data!$D$54),"---")</f>
        <v>NA</v>
      </c>
      <c r="AD153" s="498" t="str">
        <f>IF(Start!$C$18="x",IF(AC153="NA","NA",AC153*Data!$D$41),"---")</f>
        <v>NA</v>
      </c>
      <c r="AE153" s="376" t="str">
        <f>IF(Start!$C$18="x",IF(AB153 = "NA", "NA", AB153/(Data!$D$53*3*Data!$D$48)*1000),"---")</f>
        <v>NA</v>
      </c>
      <c r="AF153" s="498" t="str">
        <f>IF(Start!$C$18="x",IF(AE153="NA","NA",AE153*Data!$D$46),"---")</f>
        <v>NA</v>
      </c>
      <c r="AG153" s="375">
        <f>IF(Start!$C$18="x",IF(OR($L153="NA",L153=""),"NA",($L153*(Data!$D$55^3.33)/(Data!$D$18^2))),"---")</f>
        <v>2.7923920139261791E-3</v>
      </c>
      <c r="AH153" s="376" t="str">
        <f>IF(Start!$C$18="x",IF(OR(F153="NA",F153="",P153="NA",P153=""),"NA",IF(100/Data!$D$10&gt;Data!$D$13,(F153*$P153),(F153*$P153)*Data!$D$13)),"---")</f>
        <v>NA</v>
      </c>
      <c r="AI153" s="489">
        <f>IF(Start!$C$18="x",IF(OR($N153="NA",$Q153="NA",$Q153=0,Q153="",N153=""),"NA",(1000*$N153/$Q153)),"---")</f>
        <v>85.674100674034477</v>
      </c>
      <c r="AJ153" s="376">
        <f>IF(Start!$C$18="x",IF(OR(Q153 = "NA",Q153=0,N153 = "NA",N153="",Q153=""), "NA", IF($AG153="NA","NA",(3.1416*Data!$D$57*86400/($AG153*(Data!$D$55+(N153*Data!$D$19/(Q153*1000)))))^0.5)),"---")</f>
        <v>103397.01154492426</v>
      </c>
      <c r="AK153" s="376" t="str">
        <f>IF(Start!$C$18="x",IF(OR(AH153 = "NA",AI153="NA",AI153=0,AI153="",AH153=""), "NA", AH153/AI153),"---")</f>
        <v>NA</v>
      </c>
      <c r="AL153" s="376" t="str">
        <f>IF(Start!$C$18="x",IF(OR(AK153 ="NA",AK153="",AJ153= "NA",R153="NA",R153=0),"NA",(2*AK153)/(1000*(1/$R153+AJ153))),"---")</f>
        <v>NA</v>
      </c>
      <c r="AM153" s="376" t="str">
        <f>IF(Start!$C$18="x",IF(AL153 = "NA", "NA", AL153*(Data!$D$52*Data!$D$53*10000)),"---")</f>
        <v>NA</v>
      </c>
      <c r="AN153" s="376" t="str">
        <f>IF(Start!$C$18="x",IF(AM153 = "NA", "NA", AM153*(Data!$D$54)),"---")</f>
        <v>NA</v>
      </c>
      <c r="AO153" s="498" t="str">
        <f>IF(Start!$C$18="x",IF(AN153="NA","NA",AN153*Data!$D$41),"---")</f>
        <v>NA</v>
      </c>
      <c r="AP153" s="376">
        <f>IF(Start!$C$18="x",IF(OR(Q153=0,N153="NA",N153="",AG153="NA",AG153="",AG153=0,Q153="",Q153="NA"),"NA", (3.1416*Data!$D$56*86400/($AG153*(Data!$D$55+(N153*Data!$D$19/(Q153*1000)))))^0.5),"---")</f>
        <v>103397.01154492426</v>
      </c>
      <c r="AQ153" s="376" t="str">
        <f>IF(Start!$C$18="x",IF(OR(AH153="NA",AI153="NA",AI153="",AI153=0,AH153=""),"NA", AH153/AI153),"---")</f>
        <v>NA</v>
      </c>
      <c r="AR153" s="376" t="str">
        <f>IF(Start!$C$18="x",IF(OR(AQ153="NA",AP153="NA",$R153="NA",R153=0,R153=""),"NA",(2*AQ153)/(1000*(1/$R153+AP153))),"---")</f>
        <v>NA</v>
      </c>
      <c r="AS153" s="376" t="str">
        <f>IF(Start!$C$18="x",IF(AR153 = "NA", "NA", AR153*(Data!$D$52*Data!$D$53*10000)),"---")</f>
        <v>NA</v>
      </c>
      <c r="AT153" s="376" t="str">
        <f>IF(Start!$C$18="x",IF(AS153 = "NA", "NA", (AS153*1000)/(Data!$D$48*3*Data!$D$53)),"---")</f>
        <v>NA</v>
      </c>
      <c r="AU153" s="498" t="str">
        <f>IF(Start!$C$18="x",IF(AT153="NA","NA",AT153*Data!$D$47),"---")</f>
        <v>NA</v>
      </c>
      <c r="AV153" s="283" t="str">
        <f>IF(Start!$C$18="x",(IF(AND(F153="",G153= "",G153&lt;&gt;"NA"),"",IF(OR(AD153="NA",I153="NA",I153=0),"NA",(AD153/I153)))),"Not Req.")</f>
        <v/>
      </c>
      <c r="AW153" s="284" t="str">
        <f>IF(Start!$C$18="x",(IF(AND(F153="",G153= "",G153&lt;&gt;"NA"),"",IF(OR(AF153="NA",I153="NA",I153=0),"NA",(AF153/I153)))),"Not Req.")</f>
        <v/>
      </c>
      <c r="AX153" s="284" t="str">
        <f>IF(Start!$C$18="x",(IF(F153 ="","",IF(OR(AO153="NA",I153="NA",I153=0),"NA",(AO153/I153)))),"Not Req.")</f>
        <v/>
      </c>
      <c r="AY153" s="344" t="str">
        <f>IF(Start!$C$18="x",(IF(F153 ="","",IF(OR(AU153="NA",I153="NA",I153=0),"NA",(AU153/I153)))),"Not Req.")</f>
        <v/>
      </c>
      <c r="AZ153" s="208"/>
    </row>
    <row r="154" spans="1:52" s="183" customFormat="1" x14ac:dyDescent="0.25">
      <c r="A154" s="405" t="s">
        <v>472</v>
      </c>
      <c r="B154" s="347" t="str">
        <f>IF(Start!$C$18="x",IF(AND(OR(F154="",F154="NA"),OR(G154="",G154="NA")),"",IF(I154="NA","NA",IF(AND(I154="",K154="--"),"NA",IF(AD154="NA","Missing Data",IF(I154="","No Criteria",IF(AD154&gt;=I154,"Needed","No")))))),"---")</f>
        <v/>
      </c>
      <c r="C154" s="501" t="str">
        <f>IF(Start!$C$18="x",IF(AND(OR(F154="",F154="NA"),OR(G154="",G154="NA")),"",IF(I154="NA","NA",IF(AND(I154="",K154="--"),"NA",IF(AF154="NA","Missing Data",IF(I154="","No Criteria",IF(AF154&gt;=I154,"Needed","No")))))),"---")</f>
        <v/>
      </c>
      <c r="D154" s="347" t="str">
        <f>IF(Start!$C$18="x",IF(AND(OR(F154="",F154="NA"),OR(G154="",G154="NA")),"",IF(I154="NA","NA",IF(AND(I154="",K154="--"),"NA",IF(AO154="NA","Missing Data",IF(I154="","No Criteria",IF(AO154&gt;=I154,"Needed","No")))))),"---")</f>
        <v/>
      </c>
      <c r="E154" s="401" t="str">
        <f>IF(Start!$C$18="x",IF(AND(OR(F154="",F154="NA"),OR(G154="",G154="NA")),"",IF(I154="NA","NA",IF(AND(I154="",K154="--"),"NA",IF(AU154="NA","Missing Data",IF(I154="","No Criteria",IF(AU154&gt;=I154,"Needed","No")))))),"---")</f>
        <v/>
      </c>
      <c r="F154" s="431" t="str">
        <f>IF(TRUE=ISBLANK(ChemData!B154),"",(ChemData!B154))</f>
        <v/>
      </c>
      <c r="G154" s="432" t="str">
        <f>IF(TRUE=ISBLANK(ChemData!C154),"",(ChemData!C154))</f>
        <v/>
      </c>
      <c r="H154" s="433" t="str">
        <f>IF(TRUE=ISBLANK(ChemData!D154),"",(ChemData!D154))</f>
        <v/>
      </c>
      <c r="I154" s="919" t="str">
        <f>IF(TRUE=ISBLANK(ChemData!K154),"",(ChemData!K154))</f>
        <v>NA</v>
      </c>
      <c r="J154" s="290">
        <f>IF(TRUE=ISBLANK(ChemData!M154),"",(ChemData!M154))</f>
        <v>119.38</v>
      </c>
      <c r="K154" s="290">
        <f>IF(TRUE=ISBLANK(ChemData!N154),"",(ChemData!N154))</f>
        <v>2.8800000000000002E-3</v>
      </c>
      <c r="L154" s="290">
        <f>IF(TRUE=ISBLANK(ChemData!O154),"",(ChemData!O154))</f>
        <v>0.104</v>
      </c>
      <c r="M154" s="290">
        <f>IF(TRUE=ISBLANK(ChemData!Q154),"",(ChemData!Q154))</f>
        <v>1.5395947403110444</v>
      </c>
      <c r="N154" s="290">
        <f>IF(TRUE=ISBLANK(ChemData!R154),"",(ChemData!R154))</f>
        <v>1.5395947403110444</v>
      </c>
      <c r="O154" s="290">
        <f>IF(TRUE=ISBLANK(ChemData!S154),"",(ChemData!S154))</f>
        <v>1</v>
      </c>
      <c r="P154" s="291">
        <f>IF(TRUE=ISBLANK(ChemData!T154),"",(ChemData!T154))</f>
        <v>1</v>
      </c>
      <c r="Q154" s="375">
        <f>IF(Start!$C$18="x",IF(OR(K154="NA",K154="",K154="--"),"NA",(K154*1000000/82.1/Data!$D$50)),"---")</f>
        <v>0.11315861852186557</v>
      </c>
      <c r="R154" s="376">
        <f>IF(Start!$C$18="x",IF(OR(J154="NA",J154=0,J154=""),"NA",(0.32*(Data!$D$48+Data!$D$49)*(18/J154)^0.5)),"---")</f>
        <v>0.31996146526231278</v>
      </c>
      <c r="S154" s="376">
        <f>IF(Start!$C$18="x",IF(OR(J154="NA",J154= 0,J154=""),"NA",(0.0065*((Data!$D$49^0.969)/(Data!$D$51^0.673))*(32/J154)^0.5*EXP(0.526*Data!$D$48^-1.9))),"---")</f>
        <v>6.7439110981608633E-4</v>
      </c>
      <c r="T154" s="377">
        <f>IF(Start!$C$18="x",IF(OR(S154="NA",R154="NA",R154=0,Q154="NA",S154=0,Q154=0),"NA",(1/(1/S154+(1/(R154*Q154))))),"---")</f>
        <v>6.6205939491769999E-4</v>
      </c>
      <c r="U154" s="375" t="str">
        <f>IF(Start!$C$18="x",IF(OR(F154="NA",F154="",O154="",O154="NA"),"NA",(F154*$O154)),"---")</f>
        <v>NA</v>
      </c>
      <c r="V154" s="376" t="str">
        <f>IF(Start!$C$18="x",IF(OR(U154="NA",M154="NA",M154="",U154=""),"NA",U154/((Data!$D$18+((1-Data!$D$18)*Data!$D$14*M154))/((1-Data!$D$18)*Data!$D$14*1000))),"---")</f>
        <v>NA</v>
      </c>
      <c r="W154" s="376" t="str">
        <f>IF(Start!$C$18="x",IF(OR(G154="NA",U154="NA",G154="",U154=""),"NA",(U154 +($G154*(Data!$D$19-Data!$D$22)/(Data!$D$19*Data!$D$22)))),"---")</f>
        <v>NA</v>
      </c>
      <c r="X154" s="376" t="str">
        <f>IF(Start!$C$18="x",IF(OR(G154="NA",V154="NA",G154="",V154=""),"NA",(((Data!$D$22*Data!$D$18)*V154)+(Data!$D$19-Data!$D$22)*$G154)/((Data!$D$22*Data!$D$18)+Data!$D$19-Data!$D$22)),"---")</f>
        <v>NA</v>
      </c>
      <c r="Y154" s="376" t="str">
        <f>IF(Start!$C$18="x",IF(OR(W154="NA",W154="",M154="NA",M154=""),"NA",(W154/((Data!$D$23+((1-Data!$D$23)*Data!$D$14*M154)) /((1-Data!$D$23)*Data!$D$14*1000)))),"---")</f>
        <v>NA</v>
      </c>
      <c r="Z154" s="376" t="str">
        <f>IF(Start!$C$18="x",IF(OR(Y154="NA",X154="NA"),"NA",IF(Y154&gt;X154, Y154, X154)),"---")</f>
        <v>NA</v>
      </c>
      <c r="AA154" s="461" t="str">
        <f>IF(Start!$C$18="x",IF(OR(Z154="NA",T154="NA"),"NA",Z154*T154/(1000000000)),"---")</f>
        <v>NA</v>
      </c>
      <c r="AB154" s="1057" t="str">
        <f>IF(Start!$C$18="x",IF(AA154 = "NA", "NA", AA154*(Data!$D$52*Data!$D$53*10000)),"---")</f>
        <v>NA</v>
      </c>
      <c r="AC154" s="375" t="str">
        <f>IF(Start!$C$18="x",IF(AB154="NA", "NA", AB154*Data!$D$54),"---")</f>
        <v>NA</v>
      </c>
      <c r="AD154" s="498" t="str">
        <f>IF(Start!$C$18="x",IF(AC154="NA","NA",AC154*Data!$D$41),"---")</f>
        <v>NA</v>
      </c>
      <c r="AE154" s="376" t="str">
        <f>IF(Start!$C$18="x",IF(AB154 = "NA", "NA", AB154/(Data!$D$53*3*Data!$D$48)*1000),"---")</f>
        <v>NA</v>
      </c>
      <c r="AF154" s="498" t="str">
        <f>IF(Start!$C$18="x",IF(AE154="NA","NA",AE154*Data!$D$46),"---")</f>
        <v>NA</v>
      </c>
      <c r="AG154" s="375">
        <f>IF(Start!$C$18="x",IF(OR($L154="NA",L154=""),"NA",($L154*(Data!$D$55^3.33)/(Data!$D$18^2))),"---")</f>
        <v>1.0594993412926764E-3</v>
      </c>
      <c r="AH154" s="376" t="str">
        <f>IF(Start!$C$18="x",IF(OR(F154="NA",F154="",P154="NA",P154=""),"NA",IF(100/Data!$D$10&gt;Data!$D$13,(F154*$P154),(F154*$P154)*Data!$D$13)),"---")</f>
        <v>NA</v>
      </c>
      <c r="AI154" s="489">
        <f>IF(Start!$C$18="x",IF(OR($N154="NA",$Q154="NA",$Q154=0,Q154="",N154=""),"NA",(1000*$N154/$Q154)),"---")</f>
        <v>13605.6339359918</v>
      </c>
      <c r="AJ154" s="376">
        <f>IF(Start!$C$18="x",IF(OR(Q154 = "NA",Q154=0,N154 = "NA",N154="",Q154=""), "NA", IF($AG154="NA","NA",(3.1416*Data!$D$57*86400/($AG154*(Data!$D$55+(N154*Data!$D$19/(Q154*1000)))))^0.5)),"---")</f>
        <v>25568.871801110872</v>
      </c>
      <c r="AK154" s="376" t="str">
        <f>IF(Start!$C$18="x",IF(OR(AH154 = "NA",AI154="NA",AI154=0,AI154="",AH154=""), "NA", AH154/AI154),"---")</f>
        <v>NA</v>
      </c>
      <c r="AL154" s="376" t="str">
        <f>IF(Start!$C$18="x",IF(OR(AK154 ="NA",AK154="",AJ154= "NA",R154="NA",R154=0),"NA",(2*AK154)/(1000*(1/$R154+AJ154))),"---")</f>
        <v>NA</v>
      </c>
      <c r="AM154" s="376" t="str">
        <f>IF(Start!$C$18="x",IF(AL154 = "NA", "NA", AL154*(Data!$D$52*Data!$D$53*10000)),"---")</f>
        <v>NA</v>
      </c>
      <c r="AN154" s="376" t="str">
        <f>IF(Start!$C$18="x",IF(AM154 = "NA", "NA", AM154*(Data!$D$54)),"---")</f>
        <v>NA</v>
      </c>
      <c r="AO154" s="498" t="str">
        <f>IF(Start!$C$18="x",IF(AN154="NA","NA",AN154*Data!$D$41),"---")</f>
        <v>NA</v>
      </c>
      <c r="AP154" s="376">
        <f>IF(Start!$C$18="x",IF(OR(Q154=0,N154="NA",N154="",AG154="NA",AG154="",AG154=0,Q154="",Q154="NA"),"NA", (3.1416*Data!$D$56*86400/($AG154*(Data!$D$55+(N154*Data!$D$19/(Q154*1000)))))^0.5),"---")</f>
        <v>25568.871801110872</v>
      </c>
      <c r="AQ154" s="376" t="str">
        <f>IF(Start!$C$18="x",IF(OR(AH154="NA",AI154="NA",AI154="",AI154=0,AH154=""),"NA", AH154/AI154),"---")</f>
        <v>NA</v>
      </c>
      <c r="AR154" s="376" t="str">
        <f>IF(Start!$C$18="x",IF(OR(AQ154="NA",AP154="NA",$R154="NA",R154=0,R154=""),"NA",(2*AQ154)/(1000*(1/$R154+AP154))),"---")</f>
        <v>NA</v>
      </c>
      <c r="AS154" s="376" t="str">
        <f>IF(Start!$C$18="x",IF(AR154 = "NA", "NA", AR154*(Data!$D$52*Data!$D$53*10000)),"---")</f>
        <v>NA</v>
      </c>
      <c r="AT154" s="376" t="str">
        <f>IF(Start!$C$18="x",IF(AS154 = "NA", "NA", (AS154*1000)/(Data!$D$48*3*Data!$D$53)),"---")</f>
        <v>NA</v>
      </c>
      <c r="AU154" s="498" t="str">
        <f>IF(Start!$C$18="x",IF(AT154="NA","NA",AT154*Data!$D$47),"---")</f>
        <v>NA</v>
      </c>
      <c r="AV154" s="283" t="str">
        <f>IF(Start!$C$18="x",(IF(AND(F154="",G154= "",G154&lt;&gt;"NA"),"",IF(OR(AD154="NA",I154="NA",I154=0),"NA",(AD154/I154)))),"Not Req.")</f>
        <v/>
      </c>
      <c r="AW154" s="284" t="str">
        <f>IF(Start!$C$18="x",(IF(AND(F154="",G154= "",G154&lt;&gt;"NA"),"",IF(OR(AF154="NA",I154="NA",I154=0),"NA",(AF154/I154)))),"Not Req.")</f>
        <v/>
      </c>
      <c r="AX154" s="284" t="str">
        <f>IF(Start!$C$18="x",(IF(F154 ="","",IF(OR(AO154="NA",I154="NA",I154=0),"NA",(AO154/I154)))),"Not Req.")</f>
        <v/>
      </c>
      <c r="AY154" s="344" t="str">
        <f>IF(Start!$C$18="x",(IF(F154 ="","",IF(OR(AU154="NA",I154="NA",I154=0),"NA",(AU154/I154)))),"Not Req.")</f>
        <v/>
      </c>
      <c r="AZ154" s="208"/>
    </row>
    <row r="155" spans="1:52" s="183" customFormat="1" x14ac:dyDescent="0.25">
      <c r="A155" s="405" t="s">
        <v>671</v>
      </c>
      <c r="B155" s="347" t="str">
        <f>IF(Start!$C$18="x",IF(AND(OR(F155="",F155="NA"),OR(G155="",G155="NA")),"",IF(I155="NA","NA",IF(AND(I155="",K155="--"),"NA",IF(AD155="NA","Missing Data",IF(I155="","No Criteria",IF(AD155&gt;=I155,"Needed","No")))))),"---")</f>
        <v/>
      </c>
      <c r="C155" s="501" t="str">
        <f>IF(Start!$C$18="x",IF(AND(OR(F155="",F155="NA"),OR(G155="",G155="NA")),"",IF(I155="NA","NA",IF(AND(I155="",K155="--"),"NA",IF(AF155="NA","Missing Data",IF(I155="","No Criteria",IF(AF155&gt;=I155,"Needed","No")))))),"---")</f>
        <v/>
      </c>
      <c r="D155" s="347" t="str">
        <f>IF(Start!$C$18="x",IF(AND(OR(F155="",F155="NA"),OR(G155="",G155="NA")),"",IF(I155="NA","NA",IF(AND(I155="",K155="--"),"NA",IF(AO155="NA","Missing Data",IF(I155="","No Criteria",IF(AO155&gt;=I155,"Needed","No")))))),"---")</f>
        <v/>
      </c>
      <c r="E155" s="401" t="str">
        <f>IF(Start!$C$18="x",IF(AND(OR(F155="",F155="NA"),OR(G155="",G155="NA")),"",IF(I155="NA","NA",IF(AND(I155="",K155="--"),"NA",IF(AU155="NA","Missing Data",IF(I155="","No Criteria",IF(AU155&gt;=I155,"Needed","No")))))),"---")</f>
        <v/>
      </c>
      <c r="F155" s="431" t="str">
        <f>IF(TRUE=ISBLANK(ChemData!B155),"",(ChemData!B155))</f>
        <v/>
      </c>
      <c r="G155" s="432" t="str">
        <f>IF(TRUE=ISBLANK(ChemData!C155),"",(ChemData!C155))</f>
        <v/>
      </c>
      <c r="H155" s="433" t="str">
        <f>IF(TRUE=ISBLANK(ChemData!D155),"",(ChemData!D155))</f>
        <v/>
      </c>
      <c r="I155" s="919" t="str">
        <f>IF(TRUE=ISBLANK(ChemData!K155),"",(ChemData!K155))</f>
        <v>NA</v>
      </c>
      <c r="J155" s="290">
        <f>IF(TRUE=ISBLANK(ChemData!M155),"",(ChemData!M155))</f>
        <v>50.49</v>
      </c>
      <c r="K155" s="290">
        <f>IF(TRUE=ISBLANK(ChemData!N155),"",(ChemData!N155))</f>
        <v>8.8199999999999997E-3</v>
      </c>
      <c r="L155" s="290">
        <f>IF(TRUE=ISBLANK(ChemData!O155),"",(ChemData!O155))</f>
        <v>0.1085</v>
      </c>
      <c r="M155" s="290">
        <f>IF(TRUE=ISBLANK(ChemData!Q155),"",(ChemData!Q155))</f>
        <v>0.15045492854197479</v>
      </c>
      <c r="N155" s="290">
        <f>IF(TRUE=ISBLANK(ChemData!R155),"",(ChemData!R155))</f>
        <v>0.15045492854197479</v>
      </c>
      <c r="O155" s="290">
        <f>IF(TRUE=ISBLANK(ChemData!S155),"",(ChemData!S155))</f>
        <v>1</v>
      </c>
      <c r="P155" s="291">
        <f>IF(TRUE=ISBLANK(ChemData!T155),"",(ChemData!T155))</f>
        <v>1</v>
      </c>
      <c r="Q155" s="375">
        <f>IF(Start!$C$18="x",IF(OR(K155="NA",K155="",K155="--"),"NA",(K155*1000000/82.1/Data!$D$50)),"---")</f>
        <v>0.3465482692232133</v>
      </c>
      <c r="R155" s="376">
        <f>IF(Start!$C$18="x",IF(OR(J155="NA",J155=0,J155=""),"NA",(0.32*(Data!$D$48+Data!$D$49)*(18/J155)^0.5)),"---")</f>
        <v>0.49199510163786253</v>
      </c>
      <c r="S155" s="376">
        <f>IF(Start!$C$18="x",IF(OR(J155="NA",J155= 0,J155=""),"NA",(0.0065*((Data!$D$49^0.969)/(Data!$D$51^0.673))*(32/J155)^0.5*EXP(0.526*Data!$D$48^-1.9))),"---")</f>
        <v>1.0369908837166387E-3</v>
      </c>
      <c r="T155" s="377">
        <f>IF(Start!$C$18="x",IF(OR(S155="NA",R155="NA",R155=0,Q155="NA",S155=0,Q155=0),"NA",(1/(1/S155+(1/(R155*Q155))))),"---")</f>
        <v>1.0307219747889482E-3</v>
      </c>
      <c r="U155" s="375" t="str">
        <f>IF(Start!$C$18="x",IF(OR(F155="NA",F155="",O155="",O155="NA"),"NA",(F155*$O155)),"---")</f>
        <v>NA</v>
      </c>
      <c r="V155" s="376" t="str">
        <f>IF(Start!$C$18="x",IF(OR(U155="NA",M155="NA",M155="",U155=""),"NA",U155/((Data!$D$18+((1-Data!$D$18)*Data!$D$14*M155))/((1-Data!$D$18)*Data!$D$14*1000))),"---")</f>
        <v>NA</v>
      </c>
      <c r="W155" s="376" t="str">
        <f>IF(Start!$C$18="x",IF(OR(G155="NA",U155="NA",G155="",U155=""),"NA",(U155 +($G155*(Data!$D$19-Data!$D$22)/(Data!$D$19*Data!$D$22)))),"---")</f>
        <v>NA</v>
      </c>
      <c r="X155" s="376" t="str">
        <f>IF(Start!$C$18="x",IF(OR(G155="NA",V155="NA",G155="",V155=""),"NA",(((Data!$D$22*Data!$D$18)*V155)+(Data!$D$19-Data!$D$22)*$G155)/((Data!$D$22*Data!$D$18)+Data!$D$19-Data!$D$22)),"---")</f>
        <v>NA</v>
      </c>
      <c r="Y155" s="376" t="str">
        <f>IF(Start!$C$18="x",IF(OR(W155="NA",W155="",M155="NA",M155=""),"NA",(W155/((Data!$D$23+((1-Data!$D$23)*Data!$D$14*M155)) /((1-Data!$D$23)*Data!$D$14*1000)))),"---")</f>
        <v>NA</v>
      </c>
      <c r="Z155" s="376" t="str">
        <f>IF(Start!$C$18="x",IF(OR(Y155="NA",X155="NA"),"NA",IF(Y155&gt;X155, Y155, X155)),"---")</f>
        <v>NA</v>
      </c>
      <c r="AA155" s="461" t="str">
        <f>IF(Start!$C$18="x",IF(OR(Z155="NA",T155="NA"),"NA",Z155*T155/(1000000000)),"---")</f>
        <v>NA</v>
      </c>
      <c r="AB155" s="1057" t="str">
        <f>IF(Start!$C$18="x",IF(AA155 = "NA", "NA", AA155*(Data!$D$52*Data!$D$53*10000)),"---")</f>
        <v>NA</v>
      </c>
      <c r="AC155" s="375" t="str">
        <f>IF(Start!$C$18="x",IF(AB155="NA", "NA", AB155*Data!$D$54),"---")</f>
        <v>NA</v>
      </c>
      <c r="AD155" s="498" t="str">
        <f>IF(Start!$C$18="x",IF(AC155="NA","NA",AC155*Data!$D$41),"---")</f>
        <v>NA</v>
      </c>
      <c r="AE155" s="376" t="str">
        <f>IF(Start!$C$18="x",IF(AB155 = "NA", "NA", AB155/(Data!$D$53*3*Data!$D$48)*1000),"---")</f>
        <v>NA</v>
      </c>
      <c r="AF155" s="498" t="str">
        <f>IF(Start!$C$18="x",IF(AE155="NA","NA",AE155*Data!$D$46),"---")</f>
        <v>NA</v>
      </c>
      <c r="AG155" s="375">
        <f>IF(Start!$C$18="x",IF(OR($L155="NA",L155=""),"NA",($L155*(Data!$D$55^3.33)/(Data!$D$18^2))),"---")</f>
        <v>1.1053430627909172E-3</v>
      </c>
      <c r="AH155" s="376" t="str">
        <f>IF(Start!$C$18="x",IF(OR(F155="NA",F155="",P155="NA",P155=""),"NA",IF(100/Data!$D$10&gt;Data!$D$13,(F155*$P155),(F155*$P155)*Data!$D$13)),"---")</f>
        <v>NA</v>
      </c>
      <c r="AI155" s="489">
        <f>IF(Start!$C$18="x",IF(OR($N155="NA",$Q155="NA",$Q155=0,Q155="",N155=""),"NA",(1000*$N155/$Q155)),"---")</f>
        <v>434.15287826777774</v>
      </c>
      <c r="AJ155" s="376">
        <f>IF(Start!$C$18="x",IF(OR(Q155 = "NA",Q155=0,N155 = "NA",N155="",Q155=""), "NA", IF($AG155="NA","NA",(3.1416*Data!$D$57*86400/($AG155*(Data!$D$55+(N155*Data!$D$19/(Q155*1000)))))^0.5)),"---")</f>
        <v>113810.69239608767</v>
      </c>
      <c r="AK155" s="376" t="str">
        <f>IF(Start!$C$18="x",IF(OR(AH155 = "NA",AI155="NA",AI155=0,AI155="",AH155=""), "NA", AH155/AI155),"---")</f>
        <v>NA</v>
      </c>
      <c r="AL155" s="376" t="str">
        <f>IF(Start!$C$18="x",IF(OR(AK155 ="NA",AK155="",AJ155= "NA",R155="NA",R155=0),"NA",(2*AK155)/(1000*(1/$R155+AJ155))),"---")</f>
        <v>NA</v>
      </c>
      <c r="AM155" s="376" t="str">
        <f>IF(Start!$C$18="x",IF(AL155 = "NA", "NA", AL155*(Data!$D$52*Data!$D$53*10000)),"---")</f>
        <v>NA</v>
      </c>
      <c r="AN155" s="376" t="str">
        <f>IF(Start!$C$18="x",IF(AM155 = "NA", "NA", AM155*(Data!$D$54)),"---")</f>
        <v>NA</v>
      </c>
      <c r="AO155" s="498" t="str">
        <f>IF(Start!$C$18="x",IF(AN155="NA","NA",AN155*Data!$D$41),"---")</f>
        <v>NA</v>
      </c>
      <c r="AP155" s="376">
        <f>IF(Start!$C$18="x",IF(OR(Q155=0,N155="NA",N155="",AG155="NA",AG155="",AG155=0,Q155="",Q155="NA"),"NA", (3.1416*Data!$D$56*86400/($AG155*(Data!$D$55+(N155*Data!$D$19/(Q155*1000)))))^0.5),"---")</f>
        <v>113810.69239608767</v>
      </c>
      <c r="AQ155" s="376" t="str">
        <f>IF(Start!$C$18="x",IF(OR(AH155="NA",AI155="NA",AI155="",AI155=0,AH155=""),"NA", AH155/AI155),"---")</f>
        <v>NA</v>
      </c>
      <c r="AR155" s="376" t="str">
        <f>IF(Start!$C$18="x",IF(OR(AQ155="NA",AP155="NA",$R155="NA",R155=0,R155=""),"NA",(2*AQ155)/(1000*(1/$R155+AP155))),"---")</f>
        <v>NA</v>
      </c>
      <c r="AS155" s="376" t="str">
        <f>IF(Start!$C$18="x",IF(AR155 = "NA", "NA", AR155*(Data!$D$52*Data!$D$53*10000)),"---")</f>
        <v>NA</v>
      </c>
      <c r="AT155" s="376" t="str">
        <f>IF(Start!$C$18="x",IF(AS155 = "NA", "NA", (AS155*1000)/(Data!$D$48*3*Data!$D$53)),"---")</f>
        <v>NA</v>
      </c>
      <c r="AU155" s="498" t="str">
        <f>IF(Start!$C$18="x",IF(AT155="NA","NA",AT155*Data!$D$47),"---")</f>
        <v>NA</v>
      </c>
      <c r="AV155" s="283" t="str">
        <f>IF(Start!$C$18="x",(IF(AND(F155="",G155= "",G155&lt;&gt;"NA"),"",IF(OR(AD155="NA",I155="NA",I155=0),"NA",(AD155/I155)))),"Not Req.")</f>
        <v/>
      </c>
      <c r="AW155" s="284" t="str">
        <f>IF(Start!$C$18="x",(IF(AND(F155="",G155= "",G155&lt;&gt;"NA"),"",IF(OR(AF155="NA",I155="NA",I155=0),"NA",(AF155/I155)))),"Not Req.")</f>
        <v/>
      </c>
      <c r="AX155" s="284" t="str">
        <f>IF(Start!$C$18="x",(IF(F155 ="","",IF(OR(AO155="NA",I155="NA",I155=0),"NA",(AO155/I155)))),"Not Req.")</f>
        <v/>
      </c>
      <c r="AY155" s="344" t="str">
        <f>IF(Start!$C$18="x",(IF(F155 ="","",IF(OR(AU155="NA",I155="NA",I155=0),"NA",(AU155/I155)))),"Not Req.")</f>
        <v/>
      </c>
      <c r="AZ155" s="208"/>
    </row>
    <row r="156" spans="1:52" s="183" customFormat="1" x14ac:dyDescent="0.25">
      <c r="A156" s="405" t="s">
        <v>474</v>
      </c>
      <c r="B156" s="347" t="str">
        <f>IF(Start!$C$18="x",IF(AND(OR(F156="",F156="NA"),OR(G156="",G156="NA")),"",IF(I156="NA","NA",IF(AND(I156="",K156="--"),"NA",IF(AD156="NA","Missing Data",IF(I156="","No Criteria",IF(AD156&gt;=I156,"Needed","No")))))),"---")</f>
        <v/>
      </c>
      <c r="C156" s="501" t="str">
        <f>IF(Start!$C$18="x",IF(AND(OR(F156="",F156="NA"),OR(G156="",G156="NA")),"",IF(I156="NA","NA",IF(AND(I156="",K156="--"),"NA",IF(AF156="NA","Missing Data",IF(I156="","No Criteria",IF(AF156&gt;=I156,"Needed","No")))))),"---")</f>
        <v/>
      </c>
      <c r="D156" s="347" t="str">
        <f>IF(Start!$C$18="x",IF(AND(OR(F156="",F156="NA"),OR(G156="",G156="NA")),"",IF(I156="NA","NA",IF(AND(I156="",K156="--"),"NA",IF(AO156="NA","Missing Data",IF(I156="","No Criteria",IF(AO156&gt;=I156,"Needed","No")))))),"---")</f>
        <v/>
      </c>
      <c r="E156" s="401" t="str">
        <f>IF(Start!$C$18="x",IF(AND(OR(F156="",F156="NA"),OR(G156="",G156="NA")),"",IF(I156="NA","NA",IF(AND(I156="",K156="--"),"NA",IF(AU156="NA","Missing Data",IF(I156="","No Criteria",IF(AU156&gt;=I156,"Needed","No")))))),"---")</f>
        <v/>
      </c>
      <c r="F156" s="431" t="str">
        <f>IF(TRUE=ISBLANK(ChemData!B156),"",(ChemData!B156))</f>
        <v/>
      </c>
      <c r="G156" s="432" t="str">
        <f>IF(TRUE=ISBLANK(ChemData!C156),"",(ChemData!C156))</f>
        <v/>
      </c>
      <c r="H156" s="433" t="str">
        <f>IF(TRUE=ISBLANK(ChemData!D156),"",(ChemData!D156))</f>
        <v/>
      </c>
      <c r="I156" s="919" t="str">
        <f>IF(TRUE=ISBLANK(ChemData!K156),"",(ChemData!K156))</f>
        <v>NA</v>
      </c>
      <c r="J156" s="290">
        <f>IF(TRUE=ISBLANK(ChemData!M156),"",(ChemData!M156))</f>
        <v>142.29</v>
      </c>
      <c r="K156" s="290">
        <f>IF(TRUE=ISBLANK(ChemData!N156),"",(ChemData!N156))</f>
        <v>4.726</v>
      </c>
      <c r="L156" s="290">
        <f>IF(TRUE=ISBLANK(ChemData!O156),"",(ChemData!O156))</f>
        <v>0.05</v>
      </c>
      <c r="M156" s="290">
        <f>IF(TRUE=ISBLANK(ChemData!Q156),"",(ChemData!Q156))</f>
        <v>32915.951879820481</v>
      </c>
      <c r="N156" s="290">
        <f>IF(TRUE=ISBLANK(ChemData!R156),"",(ChemData!R156))</f>
        <v>32915.951879820481</v>
      </c>
      <c r="O156" s="290">
        <f>IF(TRUE=ISBLANK(ChemData!S156),"",(ChemData!S156))</f>
        <v>1</v>
      </c>
      <c r="P156" s="291">
        <f>IF(TRUE=ISBLANK(ChemData!T156),"",(ChemData!T156))</f>
        <v>1</v>
      </c>
      <c r="Q156" s="375">
        <f>IF(Start!$C$18="x",IF(OR(K156="NA",K156="",K156="--"),"NA",(K156*1000000/82.1/Data!$D$50)),"---")</f>
        <v>185.69014969942245</v>
      </c>
      <c r="R156" s="376">
        <f>IF(Start!$C$18="x",IF(OR(J156="NA",J156=0,J156=""),"NA",(0.32*(Data!$D$48+Data!$D$49)*(18/J156)^0.5)),"---")</f>
        <v>0.29307331354018645</v>
      </c>
      <c r="S156" s="376">
        <f>IF(Start!$C$18="x",IF(OR(J156="NA",J156= 0,J156=""),"NA",(0.0065*((Data!$D$49^0.969)/(Data!$D$51^0.673))*(32/J156)^0.5*EXP(0.526*Data!$D$48^-1.9))),"---")</f>
        <v>6.1771825245833523E-4</v>
      </c>
      <c r="T156" s="377">
        <f>IF(Start!$C$18="x",IF(OR(S156="NA",R156="NA",R156=0,Q156="NA",S156=0,Q156=0),"NA",(1/(1/S156+(1/(R156*Q156))))),"---")</f>
        <v>6.1771124096060407E-4</v>
      </c>
      <c r="U156" s="375" t="str">
        <f>IF(Start!$C$18="x",IF(OR(F156="NA",F156="",O156="",O156="NA"),"NA",(F156*$O156)),"---")</f>
        <v>NA</v>
      </c>
      <c r="V156" s="376" t="str">
        <f>IF(Start!$C$18="x",IF(OR(U156="NA",M156="NA",M156="",U156=""),"NA",U156/((Data!$D$18+((1-Data!$D$18)*Data!$D$14*M156))/((1-Data!$D$18)*Data!$D$14*1000))),"---")</f>
        <v>NA</v>
      </c>
      <c r="W156" s="376" t="str">
        <f>IF(Start!$C$18="x",IF(OR(G156="NA",U156="NA",G156="",U156=""),"NA",(U156 +($G156*(Data!$D$19-Data!$D$22)/(Data!$D$19*Data!$D$22)))),"---")</f>
        <v>NA</v>
      </c>
      <c r="X156" s="376" t="str">
        <f>IF(Start!$C$18="x",IF(OR(G156="NA",V156="NA",G156="",V156=""),"NA",(((Data!$D$22*Data!$D$18)*V156)+(Data!$D$19-Data!$D$22)*$G156)/((Data!$D$22*Data!$D$18)+Data!$D$19-Data!$D$22)),"---")</f>
        <v>NA</v>
      </c>
      <c r="Y156" s="376" t="str">
        <f>IF(Start!$C$18="x",IF(OR(W156="NA",W156="",M156="NA",M156=""),"NA",(W156/((Data!$D$23+((1-Data!$D$23)*Data!$D$14*M156)) /((1-Data!$D$23)*Data!$D$14*1000)))),"---")</f>
        <v>NA</v>
      </c>
      <c r="Z156" s="376" t="str">
        <f>IF(Start!$C$18="x",IF(OR(Y156="NA",X156="NA"),"NA",IF(Y156&gt;X156, Y156, X156)),"---")</f>
        <v>NA</v>
      </c>
      <c r="AA156" s="461" t="str">
        <f>IF(Start!$C$18="x",IF(OR(Z156="NA",T156="NA"),"NA",Z156*T156/(1000000000)),"---")</f>
        <v>NA</v>
      </c>
      <c r="AB156" s="1057" t="str">
        <f>IF(Start!$C$18="x",IF(AA156 = "NA", "NA", AA156*(Data!$D$52*Data!$D$53*10000)),"---")</f>
        <v>NA</v>
      </c>
      <c r="AC156" s="375" t="str">
        <f>IF(Start!$C$18="x",IF(AB156="NA", "NA", AB156*Data!$D$54),"---")</f>
        <v>NA</v>
      </c>
      <c r="AD156" s="498" t="str">
        <f>IF(Start!$C$18="x",IF(AC156="NA","NA",AC156*Data!$D$41),"---")</f>
        <v>NA</v>
      </c>
      <c r="AE156" s="376" t="str">
        <f>IF(Start!$C$18="x",IF(AB156 = "NA", "NA", AB156/(Data!$D$53*3*Data!$D$48)*1000),"---")</f>
        <v>NA</v>
      </c>
      <c r="AF156" s="498" t="str">
        <f>IF(Start!$C$18="x",IF(AE156="NA","NA",AE156*Data!$D$46),"---")</f>
        <v>NA</v>
      </c>
      <c r="AG156" s="375">
        <f>IF(Start!$C$18="x",IF(OR($L156="NA",L156=""),"NA",($L156*(Data!$D$55^3.33)/(Data!$D$18^2))),"---")</f>
        <v>5.0937468331378678E-4</v>
      </c>
      <c r="AH156" s="376" t="str">
        <f>IF(Start!$C$18="x",IF(OR(F156="NA",F156="",P156="NA",P156=""),"NA",IF(100/Data!$D$10&gt;Data!$D$13,(F156*$P156),(F156*$P156)*Data!$D$13)),"---")</f>
        <v>NA</v>
      </c>
      <c r="AI156" s="489">
        <f>IF(Start!$C$18="x",IF(OR($N156="NA",$Q156="NA",$Q156=0,Q156="",N156=""),"NA",(1000*$N156/$Q156)),"---")</f>
        <v>177262.77852164852</v>
      </c>
      <c r="AJ156" s="376">
        <f>IF(Start!$C$18="x",IF(OR(Q156 = "NA",Q156=0,N156 = "NA",N156="",Q156=""), "NA", IF($AG156="NA","NA",(3.1416*Data!$D$57*86400/($AG156*(Data!$D$55+(N156*Data!$D$19/(Q156*1000)))))^0.5)),"---")</f>
        <v>10297.494926800473</v>
      </c>
      <c r="AK156" s="376" t="str">
        <f>IF(Start!$C$18="x",IF(OR(AH156 = "NA",AI156="NA",AI156=0,AI156="",AH156=""), "NA", AH156/AI156),"---")</f>
        <v>NA</v>
      </c>
      <c r="AL156" s="376" t="str">
        <f>IF(Start!$C$18="x",IF(OR(AK156 ="NA",AK156="",AJ156= "NA",R156="NA",R156=0),"NA",(2*AK156)/(1000*(1/$R156+AJ156))),"---")</f>
        <v>NA</v>
      </c>
      <c r="AM156" s="376" t="str">
        <f>IF(Start!$C$18="x",IF(AL156 = "NA", "NA", AL156*(Data!$D$52*Data!$D$53*10000)),"---")</f>
        <v>NA</v>
      </c>
      <c r="AN156" s="376" t="str">
        <f>IF(Start!$C$18="x",IF(AM156 = "NA", "NA", AM156*(Data!$D$54)),"---")</f>
        <v>NA</v>
      </c>
      <c r="AO156" s="498" t="str">
        <f>IF(Start!$C$18="x",IF(AN156="NA","NA",AN156*Data!$D$41),"---")</f>
        <v>NA</v>
      </c>
      <c r="AP156" s="376">
        <f>IF(Start!$C$18="x",IF(OR(Q156=0,N156="NA",N156="",AG156="NA",AG156="",AG156=0,Q156="",Q156="NA"),"NA", (3.1416*Data!$D$56*86400/($AG156*(Data!$D$55+(N156*Data!$D$19/(Q156*1000)))))^0.5),"---")</f>
        <v>10297.494926800473</v>
      </c>
      <c r="AQ156" s="376" t="str">
        <f>IF(Start!$C$18="x",IF(OR(AH156="NA",AI156="NA",AI156="",AI156=0,AH156=""),"NA", AH156/AI156),"---")</f>
        <v>NA</v>
      </c>
      <c r="AR156" s="376" t="str">
        <f>IF(Start!$C$18="x",IF(OR(AQ156="NA",AP156="NA",$R156="NA",R156=0,R156=""),"NA",(2*AQ156)/(1000*(1/$R156+AP156))),"---")</f>
        <v>NA</v>
      </c>
      <c r="AS156" s="376" t="str">
        <f>IF(Start!$C$18="x",IF(AR156 = "NA", "NA", AR156*(Data!$D$52*Data!$D$53*10000)),"---")</f>
        <v>NA</v>
      </c>
      <c r="AT156" s="376" t="str">
        <f>IF(Start!$C$18="x",IF(AS156 = "NA", "NA", (AS156*1000)/(Data!$D$48*3*Data!$D$53)),"---")</f>
        <v>NA</v>
      </c>
      <c r="AU156" s="498" t="str">
        <f>IF(Start!$C$18="x",IF(AT156="NA","NA",AT156*Data!$D$47),"---")</f>
        <v>NA</v>
      </c>
      <c r="AV156" s="283" t="str">
        <f>IF(Start!$C$18="x",(IF(AND(F156="",G156= "",G156&lt;&gt;"NA"),"",IF(OR(AD156="NA",I156="NA",I156=0),"NA",(AD156/I156)))),"Not Req.")</f>
        <v/>
      </c>
      <c r="AW156" s="284" t="str">
        <f>IF(Start!$C$18="x",(IF(AND(F156="",G156= "",G156&lt;&gt;"NA"),"",IF(OR(AF156="NA",I156="NA",I156=0),"NA",(AF156/I156)))),"Not Req.")</f>
        <v/>
      </c>
      <c r="AX156" s="284" t="str">
        <f>IF(Start!$C$18="x",(IF(F156 ="","",IF(OR(AO156="NA",I156="NA",I156=0),"NA",(AO156/I156)))),"Not Req.")</f>
        <v/>
      </c>
      <c r="AY156" s="344" t="str">
        <f>IF(Start!$C$18="x",(IF(F156 ="","",IF(OR(AU156="NA",I156="NA",I156=0),"NA",(AU156/I156)))),"Not Req.")</f>
        <v/>
      </c>
      <c r="AZ156" s="208"/>
    </row>
    <row r="157" spans="1:52" s="183" customFormat="1" x14ac:dyDescent="0.25">
      <c r="A157" s="405" t="s">
        <v>475</v>
      </c>
      <c r="B157" s="347" t="str">
        <f>IF(Start!$C$18="x",IF(AND(OR(F157="",F157="NA"),OR(G157="",G157="NA")),"",IF(I157="NA","NA",IF(AND(I157="",K157="--"),"NA",IF(AD157="NA","Missing Data",IF(I157="","No Criteria",IF(AD157&gt;=I157,"Needed","No")))))),"---")</f>
        <v/>
      </c>
      <c r="C157" s="501" t="str">
        <f>IF(Start!$C$18="x",IF(AND(OR(F157="",F157="NA"),OR(G157="",G157="NA")),"",IF(I157="NA","NA",IF(AND(I157="",K157="--"),"NA",IF(AF157="NA","Missing Data",IF(I157="","No Criteria",IF(AF157&gt;=I157,"Needed","No")))))),"---")</f>
        <v/>
      </c>
      <c r="D157" s="347" t="str">
        <f>IF(Start!$C$18="x",IF(AND(OR(F157="",F157="NA"),OR(G157="",G157="NA")),"",IF(I157="NA","NA",IF(AND(I157="",K157="--"),"NA",IF(AO157="NA","Missing Data",IF(I157="","No Criteria",IF(AO157&gt;=I157,"Needed","No")))))),"---")</f>
        <v/>
      </c>
      <c r="E157" s="401" t="str">
        <f>IF(Start!$C$18="x",IF(AND(OR(F157="",F157="NA"),OR(G157="",G157="NA")),"",IF(I157="NA","NA",IF(AND(I157="",K157="--"),"NA",IF(AU157="NA","Missing Data",IF(I157="","No Criteria",IF(AU157&gt;=I157,"Needed","No")))))),"---")</f>
        <v/>
      </c>
      <c r="F157" s="431" t="str">
        <f>IF(TRUE=ISBLANK(ChemData!B157),"",(ChemData!B157))</f>
        <v/>
      </c>
      <c r="G157" s="432" t="str">
        <f>IF(TRUE=ISBLANK(ChemData!C157),"",(ChemData!C157))</f>
        <v/>
      </c>
      <c r="H157" s="433" t="str">
        <f>IF(TRUE=ISBLANK(ChemData!D157),"",(ChemData!D157))</f>
        <v/>
      </c>
      <c r="I157" s="919" t="str">
        <f>IF(TRUE=ISBLANK(ChemData!K157),"",(ChemData!K157))</f>
        <v>NA</v>
      </c>
      <c r="J157" s="290">
        <f>IF(TRUE=ISBLANK(ChemData!M157),"",(ChemData!M157))</f>
        <v>208.28</v>
      </c>
      <c r="K157" s="290">
        <f>IF(TRUE=ISBLANK(ChemData!N157),"",(ChemData!N157))</f>
        <v>8.4999999999999995E-4</v>
      </c>
      <c r="L157" s="290">
        <f>IF(TRUE=ISBLANK(ChemData!O157),"",(ChemData!O157))</f>
        <v>1.9599999999999999E-2</v>
      </c>
      <c r="M157" s="290">
        <f>IF(TRUE=ISBLANK(ChemData!Q157),"",(ChemData!Q157))</f>
        <v>3.2166693340150965</v>
      </c>
      <c r="N157" s="290">
        <f>IF(TRUE=ISBLANK(ChemData!R157),"",(ChemData!R157))</f>
        <v>3.2166693340150965</v>
      </c>
      <c r="O157" s="290">
        <f>IF(TRUE=ISBLANK(ChemData!S157),"",(ChemData!S157))</f>
        <v>1</v>
      </c>
      <c r="P157" s="291">
        <f>IF(TRUE=ISBLANK(ChemData!T157),"",(ChemData!T157))</f>
        <v>1</v>
      </c>
      <c r="Q157" s="375">
        <f>IF(Start!$C$18="x",IF(OR(K157="NA",K157="",K157="--"),"NA",(K157*1000000/82.1/Data!$D$50)),"---")</f>
        <v>3.3397508938745039E-2</v>
      </c>
      <c r="R157" s="376">
        <f>IF(Start!$C$18="x",IF(OR(J157="NA",J157=0,J157=""),"NA",(0.32*(Data!$D$48+Data!$D$49)*(18/J157)^0.5)),"---")</f>
        <v>0.24223655402997238</v>
      </c>
      <c r="S157" s="376">
        <f>IF(Start!$C$18="x",IF(OR(J157="NA",J157= 0,J157=""),"NA",(0.0065*((Data!$D$49^0.969)/(Data!$D$51^0.673))*(32/J157)^0.5*EXP(0.526*Data!$D$48^-1.9))),"---")</f>
        <v>5.1056829101707262E-4</v>
      </c>
      <c r="T157" s="377">
        <f>IF(Start!$C$18="x",IF(OR(S157="NA",R157="NA",R157=0,Q157="NA",S157=0,Q157=0),"NA",(1/(1/S157+(1/(R157*Q157))))),"---")</f>
        <v>4.8025901185454504E-4</v>
      </c>
      <c r="U157" s="375" t="str">
        <f>IF(Start!$C$18="x",IF(OR(F157="NA",F157="",O157="",O157="NA"),"NA",(F157*$O157)),"---")</f>
        <v>NA</v>
      </c>
      <c r="V157" s="376" t="str">
        <f>IF(Start!$C$18="x",IF(OR(U157="NA",M157="NA",M157="",U157=""),"NA",U157/((Data!$D$18+((1-Data!$D$18)*Data!$D$14*M157))/((1-Data!$D$18)*Data!$D$14*1000))),"---")</f>
        <v>NA</v>
      </c>
      <c r="W157" s="376" t="str">
        <f>IF(Start!$C$18="x",IF(OR(G157="NA",U157="NA",G157="",U157=""),"NA",(U157 +($G157*(Data!$D$19-Data!$D$22)/(Data!$D$19*Data!$D$22)))),"---")</f>
        <v>NA</v>
      </c>
      <c r="X157" s="376" t="str">
        <f>IF(Start!$C$18="x",IF(OR(G157="NA",V157="NA",G157="",V157=""),"NA",(((Data!$D$22*Data!$D$18)*V157)+(Data!$D$19-Data!$D$22)*$G157)/((Data!$D$22*Data!$D$18)+Data!$D$19-Data!$D$22)),"---")</f>
        <v>NA</v>
      </c>
      <c r="Y157" s="376" t="str">
        <f>IF(Start!$C$18="x",IF(OR(W157="NA",W157="",M157="NA",M157=""),"NA",(W157/((Data!$D$23+((1-Data!$D$23)*Data!$D$14*M157)) /((1-Data!$D$23)*Data!$D$14*1000)))),"---")</f>
        <v>NA</v>
      </c>
      <c r="Z157" s="376" t="str">
        <f>IF(Start!$C$18="x",IF(OR(Y157="NA",X157="NA"),"NA",IF(Y157&gt;X157, Y157, X157)),"---")</f>
        <v>NA</v>
      </c>
      <c r="AA157" s="461" t="str">
        <f>IF(Start!$C$18="x",IF(OR(Z157="NA",T157="NA"),"NA",Z157*T157/(1000000000)),"---")</f>
        <v>NA</v>
      </c>
      <c r="AB157" s="1057" t="str">
        <f>IF(Start!$C$18="x",IF(AA157 = "NA", "NA", AA157*(Data!$D$52*Data!$D$53*10000)),"---")</f>
        <v>NA</v>
      </c>
      <c r="AC157" s="375" t="str">
        <f>IF(Start!$C$18="x",IF(AB157="NA", "NA", AB157*Data!$D$54),"---")</f>
        <v>NA</v>
      </c>
      <c r="AD157" s="498" t="str">
        <f>IF(Start!$C$18="x",IF(AC157="NA","NA",AC157*Data!$D$41),"---")</f>
        <v>NA</v>
      </c>
      <c r="AE157" s="376" t="str">
        <f>IF(Start!$C$18="x",IF(AB157 = "NA", "NA", AB157/(Data!$D$53*3*Data!$D$48)*1000),"---")</f>
        <v>NA</v>
      </c>
      <c r="AF157" s="498" t="str">
        <f>IF(Start!$C$18="x",IF(AE157="NA","NA",AE157*Data!$D$46),"---")</f>
        <v>NA</v>
      </c>
      <c r="AG157" s="375">
        <f>IF(Start!$C$18="x",IF(OR($L157="NA",L157=""),"NA",($L157*(Data!$D$55^3.33)/(Data!$D$18^2))),"---")</f>
        <v>1.9967487585900438E-4</v>
      </c>
      <c r="AH157" s="376" t="str">
        <f>IF(Start!$C$18="x",IF(OR(F157="NA",F157="",P157="NA",P157=""),"NA",IF(100/Data!$D$10&gt;Data!$D$13,(F157*$P157),(F157*$P157)*Data!$D$13)),"---")</f>
        <v>NA</v>
      </c>
      <c r="AI157" s="489">
        <f>IF(Start!$C$18="x",IF(OR($N157="NA",$Q157="NA",$Q157=0,Q157="",N157=""),"NA",(1000*$N157/$Q157)),"---")</f>
        <v>96314.648494139081</v>
      </c>
      <c r="AJ157" s="376">
        <f>IF(Start!$C$18="x",IF(OR(Q157 = "NA",Q157=0,N157 = "NA",N157="",Q157=""), "NA", IF($AG157="NA","NA",(3.1416*Data!$D$57*86400/($AG157*(Data!$D$55+(N157*Data!$D$19/(Q157*1000)))))^0.5)),"---")</f>
        <v>22300.221761164434</v>
      </c>
      <c r="AK157" s="376" t="str">
        <f>IF(Start!$C$18="x",IF(OR(AH157 = "NA",AI157="NA",AI157=0,AI157="",AH157=""), "NA", AH157/AI157),"---")</f>
        <v>NA</v>
      </c>
      <c r="AL157" s="376" t="str">
        <f>IF(Start!$C$18="x",IF(OR(AK157 ="NA",AK157="",AJ157= "NA",R157="NA",R157=0),"NA",(2*AK157)/(1000*(1/$R157+AJ157))),"---")</f>
        <v>NA</v>
      </c>
      <c r="AM157" s="376" t="str">
        <f>IF(Start!$C$18="x",IF(AL157 = "NA", "NA", AL157*(Data!$D$52*Data!$D$53*10000)),"---")</f>
        <v>NA</v>
      </c>
      <c r="AN157" s="376" t="str">
        <f>IF(Start!$C$18="x",IF(AM157 = "NA", "NA", AM157*(Data!$D$54)),"---")</f>
        <v>NA</v>
      </c>
      <c r="AO157" s="498" t="str">
        <f>IF(Start!$C$18="x",IF(AN157="NA","NA",AN157*Data!$D$41),"---")</f>
        <v>NA</v>
      </c>
      <c r="AP157" s="376">
        <f>IF(Start!$C$18="x",IF(OR(Q157=0,N157="NA",N157="",AG157="NA",AG157="",AG157=0,Q157="",Q157="NA"),"NA", (3.1416*Data!$D$56*86400/($AG157*(Data!$D$55+(N157*Data!$D$19/(Q157*1000)))))^0.5),"---")</f>
        <v>22300.221761164434</v>
      </c>
      <c r="AQ157" s="376" t="str">
        <f>IF(Start!$C$18="x",IF(OR(AH157="NA",AI157="NA",AI157="",AI157=0,AH157=""),"NA", AH157/AI157),"---")</f>
        <v>NA</v>
      </c>
      <c r="AR157" s="376" t="str">
        <f>IF(Start!$C$18="x",IF(OR(AQ157="NA",AP157="NA",$R157="NA",R157=0,R157=""),"NA",(2*AQ157)/(1000*(1/$R157+AP157))),"---")</f>
        <v>NA</v>
      </c>
      <c r="AS157" s="376" t="str">
        <f>IF(Start!$C$18="x",IF(AR157 = "NA", "NA", AR157*(Data!$D$52*Data!$D$53*10000)),"---")</f>
        <v>NA</v>
      </c>
      <c r="AT157" s="376" t="str">
        <f>IF(Start!$C$18="x",IF(AS157 = "NA", "NA", (AS157*1000)/(Data!$D$48*3*Data!$D$53)),"---")</f>
        <v>NA</v>
      </c>
      <c r="AU157" s="498" t="str">
        <f>IF(Start!$C$18="x",IF(AT157="NA","NA",AT157*Data!$D$47),"---")</f>
        <v>NA</v>
      </c>
      <c r="AV157" s="283" t="str">
        <f>IF(Start!$C$18="x",(IF(AND(F157="",G157= "",G157&lt;&gt;"NA"),"",IF(OR(AD157="NA",I157="NA",I157=0),"NA",(AD157/I157)))),"Not Req.")</f>
        <v/>
      </c>
      <c r="AW157" s="284" t="str">
        <f>IF(Start!$C$18="x",(IF(AND(F157="",G157= "",G157&lt;&gt;"NA"),"",IF(OR(AF157="NA",I157="NA",I157=0),"NA",(AF157/I157)))),"Not Req.")</f>
        <v/>
      </c>
      <c r="AX157" s="284" t="str">
        <f>IF(Start!$C$18="x",(IF(F157 ="","",IF(OR(AO157="NA",I157="NA",I157=0),"NA",(AO157/I157)))),"Not Req.")</f>
        <v/>
      </c>
      <c r="AY157" s="344" t="str">
        <f>IF(Start!$C$18="x",(IF(F157 ="","",IF(OR(AU157="NA",I157="NA",I157=0),"NA",(AU157/I157)))),"Not Req.")</f>
        <v/>
      </c>
      <c r="AZ157" s="208"/>
    </row>
    <row r="158" spans="1:52" s="183" customFormat="1" x14ac:dyDescent="0.25">
      <c r="A158" s="405" t="s">
        <v>476</v>
      </c>
      <c r="B158" s="347" t="str">
        <f>IF(Start!$C$18="x",IF(AND(OR(F158="",F158="NA"),OR(G158="",G158="NA")),"",IF(I158="NA","NA",IF(AND(I158="",K158="--"),"NA",IF(AD158="NA","Missing Data",IF(I158="","No Criteria",IF(AD158&gt;=I158,"Needed","No")))))),"---")</f>
        <v/>
      </c>
      <c r="C158" s="501" t="str">
        <f>IF(Start!$C$18="x",IF(AND(OR(F158="",F158="NA"),OR(G158="",G158="NA")),"",IF(I158="NA","NA",IF(AND(I158="",K158="--"),"NA",IF(AF158="NA","Missing Data",IF(I158="","No Criteria",IF(AF158&gt;=I158,"Needed","No")))))),"---")</f>
        <v/>
      </c>
      <c r="D158" s="347" t="str">
        <f>IF(Start!$C$18="x",IF(AND(OR(F158="",F158="NA"),OR(G158="",G158="NA")),"",IF(I158="NA","NA",IF(AND(I158="",K158="--"),"NA",IF(AO158="NA","Missing Data",IF(I158="","No Criteria",IF(AO158&gt;=I158,"Needed","No")))))),"---")</f>
        <v/>
      </c>
      <c r="E158" s="401" t="str">
        <f>IF(Start!$C$18="x",IF(AND(OR(F158="",F158="NA"),OR(G158="",G158="NA")),"",IF(I158="NA","NA",IF(AND(I158="",K158="--"),"NA",IF(AU158="NA","Missing Data",IF(I158="","No Criteria",IF(AU158&gt;=I158,"Needed","No")))))),"---")</f>
        <v/>
      </c>
      <c r="F158" s="431" t="str">
        <f>IF(TRUE=ISBLANK(ChemData!B158),"",(ChemData!B158))</f>
        <v/>
      </c>
      <c r="G158" s="432" t="str">
        <f>IF(TRUE=ISBLANK(ChemData!C158),"",(ChemData!C158))</f>
        <v/>
      </c>
      <c r="H158" s="433" t="str">
        <f>IF(TRUE=ISBLANK(ChemData!D158),"",(ChemData!D158))</f>
        <v/>
      </c>
      <c r="I158" s="919" t="str">
        <f>IF(TRUE=ISBLANK(ChemData!K158),"",(ChemData!K158))</f>
        <v>NA</v>
      </c>
      <c r="J158" s="290">
        <f>IF(TRUE=ISBLANK(ChemData!M158),"",(ChemData!M158))</f>
        <v>236.36</v>
      </c>
      <c r="K158" s="290">
        <f>IF(TRUE=ISBLANK(ChemData!N158),"",(ChemData!N158))</f>
        <v>1.47E-4</v>
      </c>
      <c r="L158" s="290">
        <f>IF(TRUE=ISBLANK(ChemData!O158),"",(ChemData!O158))</f>
        <v>2.12E-2</v>
      </c>
      <c r="M158" s="290">
        <f>IF(TRUE=ISBLANK(ChemData!Q158),"",(ChemData!Q158))</f>
        <v>3.3682662892870785</v>
      </c>
      <c r="N158" s="290">
        <f>IF(TRUE=ISBLANK(ChemData!R158),"",(ChemData!R158))</f>
        <v>3.3682662892870785</v>
      </c>
      <c r="O158" s="290">
        <f>IF(TRUE=ISBLANK(ChemData!S158),"",(ChemData!S158))</f>
        <v>1</v>
      </c>
      <c r="P158" s="291">
        <f>IF(TRUE=ISBLANK(ChemData!T158),"",(ChemData!T158))</f>
        <v>1</v>
      </c>
      <c r="Q158" s="375">
        <f>IF(Start!$C$18="x",IF(OR(K158="NA",K158="",K158="--"),"NA",(K158*1000000/82.1/Data!$D$50)),"---")</f>
        <v>5.7758044870535544E-3</v>
      </c>
      <c r="R158" s="376">
        <f>IF(Start!$C$18="x",IF(OR(J158="NA",J158=0,J158=""),"NA",(0.32*(Data!$D$48+Data!$D$49)*(18/J158)^0.5)),"---")</f>
        <v>0.22739267654229073</v>
      </c>
      <c r="S158" s="376">
        <f>IF(Start!$C$18="x",IF(OR(J158="NA",J158= 0,J158=""),"NA",(0.0065*((Data!$D$49^0.969)/(Data!$D$51^0.673))*(32/J158)^0.5*EXP(0.526*Data!$D$48^-1.9))),"---")</f>
        <v>4.7928146400906166E-4</v>
      </c>
      <c r="T158" s="377">
        <f>IF(Start!$C$18="x",IF(OR(S158="NA",R158="NA",R158=0,Q158="NA",S158=0,Q158=0),"NA",(1/(1/S158+(1/(R158*Q158))))),"---")</f>
        <v>3.5114166469259357E-4</v>
      </c>
      <c r="U158" s="375" t="str">
        <f>IF(Start!$C$18="x",IF(OR(F158="NA",F158="",O158="",O158="NA"),"NA",(F158*$O158)),"---")</f>
        <v>NA</v>
      </c>
      <c r="V158" s="376" t="str">
        <f>IF(Start!$C$18="x",IF(OR(U158="NA",M158="NA",M158="",U158=""),"NA",U158/((Data!$D$18+((1-Data!$D$18)*Data!$D$14*M158))/((1-Data!$D$18)*Data!$D$14*1000))),"---")</f>
        <v>NA</v>
      </c>
      <c r="W158" s="376" t="str">
        <f>IF(Start!$C$18="x",IF(OR(G158="NA",U158="NA",G158="",U158=""),"NA",(U158 +($G158*(Data!$D$19-Data!$D$22)/(Data!$D$19*Data!$D$22)))),"---")</f>
        <v>NA</v>
      </c>
      <c r="X158" s="376" t="str">
        <f>IF(Start!$C$18="x",IF(OR(G158="NA",V158="NA",G158="",V158=""),"NA",(((Data!$D$22*Data!$D$18)*V158)+(Data!$D$19-Data!$D$22)*$G158)/((Data!$D$22*Data!$D$18)+Data!$D$19-Data!$D$22)),"---")</f>
        <v>NA</v>
      </c>
      <c r="Y158" s="376" t="str">
        <f>IF(Start!$C$18="x",IF(OR(W158="NA",W158="",M158="NA",M158=""),"NA",(W158/((Data!$D$23+((1-Data!$D$23)*Data!$D$14*M158)) /((1-Data!$D$23)*Data!$D$14*1000)))),"---")</f>
        <v>NA</v>
      </c>
      <c r="Z158" s="376" t="str">
        <f>IF(Start!$C$18="x",IF(OR(Y158="NA",X158="NA"),"NA",IF(Y158&gt;X158, Y158, X158)),"---")</f>
        <v>NA</v>
      </c>
      <c r="AA158" s="461" t="str">
        <f>IF(Start!$C$18="x",IF(OR(Z158="NA",T158="NA"),"NA",Z158*T158/(1000000000)),"---")</f>
        <v>NA</v>
      </c>
      <c r="AB158" s="1057" t="str">
        <f>IF(Start!$C$18="x",IF(AA158 = "NA", "NA", AA158*(Data!$D$52*Data!$D$53*10000)),"---")</f>
        <v>NA</v>
      </c>
      <c r="AC158" s="375" t="str">
        <f>IF(Start!$C$18="x",IF(AB158="NA", "NA", AB158*Data!$D$54),"---")</f>
        <v>NA</v>
      </c>
      <c r="AD158" s="498" t="str">
        <f>IF(Start!$C$18="x",IF(AC158="NA","NA",AC158*Data!$D$41),"---")</f>
        <v>NA</v>
      </c>
      <c r="AE158" s="376" t="str">
        <f>IF(Start!$C$18="x",IF(AB158 = "NA", "NA", AB158/(Data!$D$53*3*Data!$D$48)*1000),"---")</f>
        <v>NA</v>
      </c>
      <c r="AF158" s="498" t="str">
        <f>IF(Start!$C$18="x",IF(AE158="NA","NA",AE158*Data!$D$46),"---")</f>
        <v>NA</v>
      </c>
      <c r="AG158" s="375">
        <f>IF(Start!$C$18="x",IF(OR($L158="NA",L158=""),"NA",($L158*(Data!$D$55^3.33)/(Data!$D$18^2))),"---")</f>
        <v>2.159748657250456E-4</v>
      </c>
      <c r="AH158" s="376" t="str">
        <f>IF(Start!$C$18="x",IF(OR(F158="NA",F158="",P158="NA",P158=""),"NA",IF(100/Data!$D$10&gt;Data!$D$13,(F158*$P158),(F158*$P158)*Data!$D$13)),"---")</f>
        <v>NA</v>
      </c>
      <c r="AI158" s="489">
        <f>IF(Start!$C$18="x",IF(OR($N158="NA",$Q158="NA",$Q158=0,Q158="",N158=""),"NA",(1000*$N158/$Q158)),"---")</f>
        <v>583168.33556901652</v>
      </c>
      <c r="AJ158" s="376">
        <f>IF(Start!$C$18="x",IF(OR(Q158 = "NA",Q158=0,N158 = "NA",N158="",Q158=""), "NA", IF($AG158="NA","NA",(3.1416*Data!$D$57*86400/($AG158*(Data!$D$55+(N158*Data!$D$19/(Q158*1000)))))^0.5)),"---")</f>
        <v>8722.903479306553</v>
      </c>
      <c r="AK158" s="376" t="str">
        <f>IF(Start!$C$18="x",IF(OR(AH158 = "NA",AI158="NA",AI158=0,AI158="",AH158=""), "NA", AH158/AI158),"---")</f>
        <v>NA</v>
      </c>
      <c r="AL158" s="376" t="str">
        <f>IF(Start!$C$18="x",IF(OR(AK158 ="NA",AK158="",AJ158= "NA",R158="NA",R158=0),"NA",(2*AK158)/(1000*(1/$R158+AJ158))),"---")</f>
        <v>NA</v>
      </c>
      <c r="AM158" s="376" t="str">
        <f>IF(Start!$C$18="x",IF(AL158 = "NA", "NA", AL158*(Data!$D$52*Data!$D$53*10000)),"---")</f>
        <v>NA</v>
      </c>
      <c r="AN158" s="376" t="str">
        <f>IF(Start!$C$18="x",IF(AM158 = "NA", "NA", AM158*(Data!$D$54)),"---")</f>
        <v>NA</v>
      </c>
      <c r="AO158" s="498" t="str">
        <f>IF(Start!$C$18="x",IF(AN158="NA","NA",AN158*Data!$D$41),"---")</f>
        <v>NA</v>
      </c>
      <c r="AP158" s="376">
        <f>IF(Start!$C$18="x",IF(OR(Q158=0,N158="NA",N158="",AG158="NA",AG158="",AG158=0,Q158="",Q158="NA"),"NA", (3.1416*Data!$D$56*86400/($AG158*(Data!$D$55+(N158*Data!$D$19/(Q158*1000)))))^0.5),"---")</f>
        <v>8722.903479306553</v>
      </c>
      <c r="AQ158" s="376" t="str">
        <f>IF(Start!$C$18="x",IF(OR(AH158="NA",AI158="NA",AI158="",AI158=0,AH158=""),"NA", AH158/AI158),"---")</f>
        <v>NA</v>
      </c>
      <c r="AR158" s="376" t="str">
        <f>IF(Start!$C$18="x",IF(OR(AQ158="NA",AP158="NA",$R158="NA",R158=0,R158=""),"NA",(2*AQ158)/(1000*(1/$R158+AP158))),"---")</f>
        <v>NA</v>
      </c>
      <c r="AS158" s="376" t="str">
        <f>IF(Start!$C$18="x",IF(AR158 = "NA", "NA", AR158*(Data!$D$52*Data!$D$53*10000)),"---")</f>
        <v>NA</v>
      </c>
      <c r="AT158" s="376" t="str">
        <f>IF(Start!$C$18="x",IF(AS158 = "NA", "NA", (AS158*1000)/(Data!$D$48*3*Data!$D$53)),"---")</f>
        <v>NA</v>
      </c>
      <c r="AU158" s="498" t="str">
        <f>IF(Start!$C$18="x",IF(AT158="NA","NA",AT158*Data!$D$47),"---")</f>
        <v>NA</v>
      </c>
      <c r="AV158" s="283" t="str">
        <f>IF(Start!$C$18="x",(IF(AND(F158="",G158= "",G158&lt;&gt;"NA"),"",IF(OR(AD158="NA",I158="NA",I158=0),"NA",(AD158/I158)))),"Not Req.")</f>
        <v/>
      </c>
      <c r="AW158" s="284" t="str">
        <f>IF(Start!$C$18="x",(IF(AND(F158="",G158= "",G158&lt;&gt;"NA"),"",IF(OR(AF158="NA",I158="NA",I158=0),"NA",(AF158/I158)))),"Not Req.")</f>
        <v/>
      </c>
      <c r="AX158" s="284" t="str">
        <f>IF(Start!$C$18="x",(IF(F158 ="","",IF(OR(AO158="NA",I158="NA",I158=0),"NA",(AO158/I158)))),"Not Req.")</f>
        <v/>
      </c>
      <c r="AY158" s="344" t="str">
        <f>IF(Start!$C$18="x",(IF(F158 ="","",IF(OR(AU158="NA",I158="NA",I158=0),"NA",(AU158/I158)))),"Not Req.")</f>
        <v/>
      </c>
      <c r="AZ158" s="208"/>
    </row>
    <row r="159" spans="1:52" s="183" customFormat="1" x14ac:dyDescent="0.25">
      <c r="A159" s="405" t="s">
        <v>672</v>
      </c>
      <c r="B159" s="347" t="str">
        <f>IF(Start!$C$18="x",IF(AND(OR(F159="",F159="NA"),OR(G159="",G159="NA")),"",IF(I159="NA","NA",IF(AND(I159="",K159="--"),"NA",IF(AD159="NA","Missing Data",IF(I159="","No Criteria",IF(AD159&gt;=I159,"Needed","No")))))),"---")</f>
        <v/>
      </c>
      <c r="C159" s="501" t="str">
        <f>IF(Start!$C$18="x",IF(AND(OR(F159="",F159="NA"),OR(G159="",G159="NA")),"",IF(I159="NA","NA",IF(AND(I159="",K159="--"),"NA",IF(AF159="NA","Missing Data",IF(I159="","No Criteria",IF(AF159&gt;=I159,"Needed","No")))))),"---")</f>
        <v/>
      </c>
      <c r="D159" s="347" t="str">
        <f>IF(Start!$C$18="x",IF(AND(OR(F159="",F159="NA"),OR(G159="",G159="NA")),"",IF(I159="NA","NA",IF(AND(I159="",K159="--"),"NA",IF(AO159="NA","Missing Data",IF(I159="","No Criteria",IF(AO159&gt;=I159,"Needed","No")))))),"---")</f>
        <v/>
      </c>
      <c r="E159" s="401" t="str">
        <f>IF(Start!$C$18="x",IF(AND(OR(F159="",F159="NA"),OR(G159="",G159="NA")),"",IF(I159="NA","NA",IF(AND(I159="",K159="--"),"NA",IF(AU159="NA","Missing Data",IF(I159="","No Criteria",IF(AU159&gt;=I159,"Needed","No")))))),"---")</f>
        <v/>
      </c>
      <c r="F159" s="431" t="str">
        <f>IF(TRUE=ISBLANK(ChemData!B159),"",(ChemData!B159))</f>
        <v/>
      </c>
      <c r="G159" s="432" t="str">
        <f>IF(TRUE=ISBLANK(ChemData!C159),"",(ChemData!C159))</f>
        <v/>
      </c>
      <c r="H159" s="433" t="str">
        <f>IF(TRUE=ISBLANK(ChemData!D159),"",(ChemData!D159))</f>
        <v/>
      </c>
      <c r="I159" s="919" t="str">
        <f>IF(TRUE=ISBLANK(ChemData!K159),"",(ChemData!K159))</f>
        <v>NA</v>
      </c>
      <c r="J159" s="290">
        <f>IF(TRUE=ISBLANK(ChemData!M159),"",(ChemData!M159))</f>
        <v>187.86</v>
      </c>
      <c r="K159" s="290">
        <f>IF(TRUE=ISBLANK(ChemData!N159),"",(ChemData!N159))</f>
        <v>7.0600000000000003E-4</v>
      </c>
      <c r="L159" s="290">
        <f>IF(TRUE=ISBLANK(ChemData!O159),"",(ChemData!O159))</f>
        <v>2.1700000000000001E-2</v>
      </c>
      <c r="M159" s="290">
        <f>IF(TRUE=ISBLANK(ChemData!Q159),"",(ChemData!Q159))</f>
        <v>1.688132063647789</v>
      </c>
      <c r="N159" s="290">
        <f>IF(TRUE=ISBLANK(ChemData!R159),"",(ChemData!R159))</f>
        <v>1.688132063647789</v>
      </c>
      <c r="O159" s="290">
        <f>IF(TRUE=ISBLANK(ChemData!S159),"",(ChemData!S159))</f>
        <v>1</v>
      </c>
      <c r="P159" s="291">
        <f>IF(TRUE=ISBLANK(ChemData!T159),"",(ChemData!T159))</f>
        <v>1</v>
      </c>
      <c r="Q159" s="375">
        <f>IF(Start!$C$18="x",IF(OR(K159="NA",K159="",K159="--"),"NA",(K159*1000000/82.1/Data!$D$50)),"---")</f>
        <v>2.7739578012651766E-2</v>
      </c>
      <c r="R159" s="376">
        <f>IF(Start!$C$18="x",IF(OR(J159="NA",J159=0,J159=""),"NA",(0.32*(Data!$D$48+Data!$D$49)*(18/J159)^0.5)),"---")</f>
        <v>0.25506231977502963</v>
      </c>
      <c r="S159" s="376">
        <f>IF(Start!$C$18="x",IF(OR(J159="NA",J159= 0,J159=""),"NA",(0.0065*((Data!$D$49^0.969)/(Data!$D$51^0.673))*(32/J159)^0.5*EXP(0.526*Data!$D$48^-1.9))),"---")</f>
        <v>5.3760149136811847E-4</v>
      </c>
      <c r="T159" s="377">
        <f>IF(Start!$C$18="x",IF(OR(S159="NA",R159="NA",R159=0,Q159="NA",S159=0,Q159=0),"NA",(1/(1/S159+(1/(R159*Q159))))),"---")</f>
        <v>4.9963770553046428E-4</v>
      </c>
      <c r="U159" s="375" t="str">
        <f>IF(Start!$C$18="x",IF(OR(F159="NA",F159="",O159="",O159="NA"),"NA",(F159*$O159)),"---")</f>
        <v>NA</v>
      </c>
      <c r="V159" s="376" t="str">
        <f>IF(Start!$C$18="x",IF(OR(U159="NA",M159="NA",M159="",U159=""),"NA",U159/((Data!$D$18+((1-Data!$D$18)*Data!$D$14*M159))/((1-Data!$D$18)*Data!$D$14*1000))),"---")</f>
        <v>NA</v>
      </c>
      <c r="W159" s="376" t="str">
        <f>IF(Start!$C$18="x",IF(OR(G159="NA",U159="NA",G159="",U159=""),"NA",(U159 +($G159*(Data!$D$19-Data!$D$22)/(Data!$D$19*Data!$D$22)))),"---")</f>
        <v>NA</v>
      </c>
      <c r="X159" s="376" t="str">
        <f>IF(Start!$C$18="x",IF(OR(G159="NA",V159="NA",G159="",V159=""),"NA",(((Data!$D$22*Data!$D$18)*V159)+(Data!$D$19-Data!$D$22)*$G159)/((Data!$D$22*Data!$D$18)+Data!$D$19-Data!$D$22)),"---")</f>
        <v>NA</v>
      </c>
      <c r="Y159" s="376" t="str">
        <f>IF(Start!$C$18="x",IF(OR(W159="NA",W159="",M159="NA",M159=""),"NA",(W159/((Data!$D$23+((1-Data!$D$23)*Data!$D$14*M159)) /((1-Data!$D$23)*Data!$D$14*1000)))),"---")</f>
        <v>NA</v>
      </c>
      <c r="Z159" s="376" t="str">
        <f>IF(Start!$C$18="x",IF(OR(Y159="NA",X159="NA"),"NA",IF(Y159&gt;X159, Y159, X159)),"---")</f>
        <v>NA</v>
      </c>
      <c r="AA159" s="461" t="str">
        <f>IF(Start!$C$18="x",IF(OR(Z159="NA",T159="NA"),"NA",Z159*T159/(1000000000)),"---")</f>
        <v>NA</v>
      </c>
      <c r="AB159" s="1057" t="str">
        <f>IF(Start!$C$18="x",IF(AA159 = "NA", "NA", AA159*(Data!$D$52*Data!$D$53*10000)),"---")</f>
        <v>NA</v>
      </c>
      <c r="AC159" s="375" t="str">
        <f>IF(Start!$C$18="x",IF(AB159="NA", "NA", AB159*Data!$D$54),"---")</f>
        <v>NA</v>
      </c>
      <c r="AD159" s="498" t="str">
        <f>IF(Start!$C$18="x",IF(AC159="NA","NA",AC159*Data!$D$41),"---")</f>
        <v>NA</v>
      </c>
      <c r="AE159" s="376" t="str">
        <f>IF(Start!$C$18="x",IF(AB159 = "NA", "NA", AB159/(Data!$D$53*3*Data!$D$48)*1000),"---")</f>
        <v>NA</v>
      </c>
      <c r="AF159" s="498" t="str">
        <f>IF(Start!$C$18="x",IF(AE159="NA","NA",AE159*Data!$D$46),"---")</f>
        <v>NA</v>
      </c>
      <c r="AG159" s="375">
        <f>IF(Start!$C$18="x",IF(OR($L159="NA",L159=""),"NA",($L159*(Data!$D$55^3.33)/(Data!$D$18^2))),"---")</f>
        <v>2.2106861255818345E-4</v>
      </c>
      <c r="AH159" s="376" t="str">
        <f>IF(Start!$C$18="x",IF(OR(F159="NA",F159="",P159="NA",P159=""),"NA",IF(100/Data!$D$10&gt;Data!$D$13,(F159*$P159),(F159*$P159)*Data!$D$13)),"---")</f>
        <v>NA</v>
      </c>
      <c r="AI159" s="489">
        <f>IF(Start!$C$18="x",IF(OR($N159="NA",$Q159="NA",$Q159=0,Q159="",N159=""),"NA",(1000*$N159/$Q159)),"---")</f>
        <v>60856.443557931831</v>
      </c>
      <c r="AJ159" s="376">
        <f>IF(Start!$C$18="x",IF(OR(Q159 = "NA",Q159=0,N159 = "NA",N159="",Q159=""), "NA", IF($AG159="NA","NA",(3.1416*Data!$D$57*86400/($AG159*(Data!$D$55+(N159*Data!$D$19/(Q159*1000)))))^0.5)),"---")</f>
        <v>26643.537710697477</v>
      </c>
      <c r="AK159" s="376" t="str">
        <f>IF(Start!$C$18="x",IF(OR(AH159 = "NA",AI159="NA",AI159=0,AI159="",AH159=""), "NA", AH159/AI159),"---")</f>
        <v>NA</v>
      </c>
      <c r="AL159" s="376" t="str">
        <f>IF(Start!$C$18="x",IF(OR(AK159 ="NA",AK159="",AJ159= "NA",R159="NA",R159=0),"NA",(2*AK159)/(1000*(1/$R159+AJ159))),"---")</f>
        <v>NA</v>
      </c>
      <c r="AM159" s="376" t="str">
        <f>IF(Start!$C$18="x",IF(AL159 = "NA", "NA", AL159*(Data!$D$52*Data!$D$53*10000)),"---")</f>
        <v>NA</v>
      </c>
      <c r="AN159" s="376" t="str">
        <f>IF(Start!$C$18="x",IF(AM159 = "NA", "NA", AM159*(Data!$D$54)),"---")</f>
        <v>NA</v>
      </c>
      <c r="AO159" s="498" t="str">
        <f>IF(Start!$C$18="x",IF(AN159="NA","NA",AN159*Data!$D$41),"---")</f>
        <v>NA</v>
      </c>
      <c r="AP159" s="376">
        <f>IF(Start!$C$18="x",IF(OR(Q159=0,N159="NA",N159="",AG159="NA",AG159="",AG159=0,Q159="",Q159="NA"),"NA", (3.1416*Data!$D$56*86400/($AG159*(Data!$D$55+(N159*Data!$D$19/(Q159*1000)))))^0.5),"---")</f>
        <v>26643.537710697477</v>
      </c>
      <c r="AQ159" s="376" t="str">
        <f>IF(Start!$C$18="x",IF(OR(AH159="NA",AI159="NA",AI159="",AI159=0,AH159=""),"NA", AH159/AI159),"---")</f>
        <v>NA</v>
      </c>
      <c r="AR159" s="376" t="str">
        <f>IF(Start!$C$18="x",IF(OR(AQ159="NA",AP159="NA",$R159="NA",R159=0,R159=""),"NA",(2*AQ159)/(1000*(1/$R159+AP159))),"---")</f>
        <v>NA</v>
      </c>
      <c r="AS159" s="376" t="str">
        <f>IF(Start!$C$18="x",IF(AR159 = "NA", "NA", AR159*(Data!$D$52*Data!$D$53*10000)),"---")</f>
        <v>NA</v>
      </c>
      <c r="AT159" s="376" t="str">
        <f>IF(Start!$C$18="x",IF(AS159 = "NA", "NA", (AS159*1000)/(Data!$D$48*3*Data!$D$53)),"---")</f>
        <v>NA</v>
      </c>
      <c r="AU159" s="498" t="str">
        <f>IF(Start!$C$18="x",IF(AT159="NA","NA",AT159*Data!$D$47),"---")</f>
        <v>NA</v>
      </c>
      <c r="AV159" s="283" t="str">
        <f>IF(Start!$C$18="x",(IF(AND(F159="",G159= "",G159&lt;&gt;"NA"),"",IF(OR(AD159="NA",I159="NA",I159=0),"NA",(AD159/I159)))),"Not Req.")</f>
        <v/>
      </c>
      <c r="AW159" s="284" t="str">
        <f>IF(Start!$C$18="x",(IF(AND(F159="",G159= "",G159&lt;&gt;"NA"),"",IF(OR(AF159="NA",I159="NA",I159=0),"NA",(AF159/I159)))),"Not Req.")</f>
        <v/>
      </c>
      <c r="AX159" s="284" t="str">
        <f>IF(Start!$C$18="x",(IF(F159 ="","",IF(OR(AO159="NA",I159="NA",I159=0),"NA",(AO159/I159)))),"Not Req.")</f>
        <v/>
      </c>
      <c r="AY159" s="344" t="str">
        <f>IF(Start!$C$18="x",(IF(F159 ="","",IF(OR(AU159="NA",I159="NA",I159=0),"NA",(AU159/I159)))),"Not Req.")</f>
        <v/>
      </c>
      <c r="AZ159" s="208"/>
    </row>
    <row r="160" spans="1:52" s="183" customFormat="1" x14ac:dyDescent="0.25">
      <c r="A160" s="405" t="s">
        <v>673</v>
      </c>
      <c r="B160" s="347" t="str">
        <f>IF(Start!$C$18="x",IF(AND(OR(F160="",F160="NA"),OR(G160="",G160="NA")),"",IF(I160="NA","NA",IF(AND(I160="",K160="--"),"NA",IF(AD160="NA","Missing Data",IF(I160="","No Criteria",IF(AD160&gt;=I160,"Needed","No")))))),"---")</f>
        <v/>
      </c>
      <c r="C160" s="501" t="str">
        <f>IF(Start!$C$18="x",IF(AND(OR(F160="",F160="NA"),OR(G160="",G160="NA")),"",IF(I160="NA","NA",IF(AND(I160="",K160="--"),"NA",IF(AF160="NA","Missing Data",IF(I160="","No Criteria",IF(AF160&gt;=I160,"Needed","No")))))),"---")</f>
        <v/>
      </c>
      <c r="D160" s="347" t="str">
        <f>IF(Start!$C$18="x",IF(AND(OR(F160="",F160="NA"),OR(G160="",G160="NA")),"",IF(I160="NA","NA",IF(AND(I160="",K160="--"),"NA",IF(AO160="NA","Missing Data",IF(I160="","No Criteria",IF(AO160&gt;=I160,"Needed","No")))))),"---")</f>
        <v/>
      </c>
      <c r="E160" s="401" t="str">
        <f>IF(Start!$C$18="x",IF(AND(OR(F160="",F160="NA"),OR(G160="",G160="NA")),"",IF(I160="NA","NA",IF(AND(I160="",K160="--"),"NA",IF(AU160="NA","Missing Data",IF(I160="","No Criteria",IF(AU160&gt;=I160,"Needed","No")))))),"---")</f>
        <v/>
      </c>
      <c r="F160" s="431" t="str">
        <f>IF(TRUE=ISBLANK(ChemData!B160),"",(ChemData!B160))</f>
        <v/>
      </c>
      <c r="G160" s="432" t="str">
        <f>IF(TRUE=ISBLANK(ChemData!C160),"",(ChemData!C160))</f>
        <v/>
      </c>
      <c r="H160" s="433" t="str">
        <f>IF(TRUE=ISBLANK(ChemData!D160),"",(ChemData!D160))</f>
        <v/>
      </c>
      <c r="I160" s="919" t="str">
        <f>IF(TRUE=ISBLANK(ChemData!K160),"",(ChemData!K160))</f>
        <v>NA</v>
      </c>
      <c r="J160" s="290">
        <f>IF(TRUE=ISBLANK(ChemData!M160),"",(ChemData!M160))</f>
        <v>120.91</v>
      </c>
      <c r="K160" s="290">
        <f>IF(TRUE=ISBLANK(ChemData!N160),"",(ChemData!N160))</f>
        <v>0.41499999999999998</v>
      </c>
      <c r="L160" s="290">
        <f>IF(TRUE=ISBLANK(ChemData!O160),"",(ChemData!O160))</f>
        <v>0.08</v>
      </c>
      <c r="M160" s="290">
        <f>IF(TRUE=ISBLANK(ChemData!Q160),"",(ChemData!Q160))</f>
        <v>2.6755090156507135</v>
      </c>
      <c r="N160" s="290">
        <f>IF(TRUE=ISBLANK(ChemData!R160),"",(ChemData!R160))</f>
        <v>2.6755090156507135</v>
      </c>
      <c r="O160" s="290">
        <f>IF(TRUE=ISBLANK(ChemData!S160),"",(ChemData!S160))</f>
        <v>1</v>
      </c>
      <c r="P160" s="291">
        <f>IF(TRUE=ISBLANK(ChemData!T160),"",(ChemData!T160))</f>
        <v>1</v>
      </c>
      <c r="Q160" s="375">
        <f>IF(Start!$C$18="x",IF(OR(K160="NA",K160="",K160="--"),"NA",(K160*1000000/82.1/Data!$D$50)),"---")</f>
        <v>16.305842599504931</v>
      </c>
      <c r="R160" s="376">
        <f>IF(Start!$C$18="x",IF(OR(J160="NA",J160=0,J160=""),"NA",(0.32*(Data!$D$48+Data!$D$49)*(18/J160)^0.5)),"---")</f>
        <v>0.31793061758016533</v>
      </c>
      <c r="S160" s="376">
        <f>IF(Start!$C$18="x",IF(OR(J160="NA",J160= 0,J160=""),"NA",(0.0065*((Data!$D$49^0.969)/(Data!$D$51^0.673))*(32/J160)^0.5*EXP(0.526*Data!$D$48^-1.9))),"---")</f>
        <v>6.7011063928783688E-4</v>
      </c>
      <c r="T160" s="377">
        <f>IF(Start!$C$18="x",IF(OR(S160="NA",R160="NA",R160=0,Q160="NA",S160=0,Q160=0),"NA",(1/(1/S160+(1/(R160*Q160))))),"---")</f>
        <v>6.7002403063309683E-4</v>
      </c>
      <c r="U160" s="375" t="str">
        <f>IF(Start!$C$18="x",IF(OR(F160="NA",F160="",O160="",O160="NA"),"NA",(F160*$O160)),"---")</f>
        <v>NA</v>
      </c>
      <c r="V160" s="376" t="str">
        <f>IF(Start!$C$18="x",IF(OR(U160="NA",M160="NA",M160="",U160=""),"NA",U160/((Data!$D$18+((1-Data!$D$18)*Data!$D$14*M160))/((1-Data!$D$18)*Data!$D$14*1000))),"---")</f>
        <v>NA</v>
      </c>
      <c r="W160" s="376" t="str">
        <f>IF(Start!$C$18="x",IF(OR(G160="NA",U160="NA",G160="",U160=""),"NA",(U160 +($G160*(Data!$D$19-Data!$D$22)/(Data!$D$19*Data!$D$22)))),"---")</f>
        <v>NA</v>
      </c>
      <c r="X160" s="376" t="str">
        <f>IF(Start!$C$18="x",IF(OR(G160="NA",V160="NA",G160="",V160=""),"NA",(((Data!$D$22*Data!$D$18)*V160)+(Data!$D$19-Data!$D$22)*$G160)/((Data!$D$22*Data!$D$18)+Data!$D$19-Data!$D$22)),"---")</f>
        <v>NA</v>
      </c>
      <c r="Y160" s="376" t="str">
        <f>IF(Start!$C$18="x",IF(OR(W160="NA",W160="",M160="NA",M160=""),"NA",(W160/((Data!$D$23+((1-Data!$D$23)*Data!$D$14*M160)) /((1-Data!$D$23)*Data!$D$14*1000)))),"---")</f>
        <v>NA</v>
      </c>
      <c r="Z160" s="376" t="str">
        <f>IF(Start!$C$18="x",IF(OR(Y160="NA",X160="NA"),"NA",IF(Y160&gt;X160, Y160, X160)),"---")</f>
        <v>NA</v>
      </c>
      <c r="AA160" s="461" t="str">
        <f>IF(Start!$C$18="x",IF(OR(Z160="NA",T160="NA"),"NA",Z160*T160/(1000000000)),"---")</f>
        <v>NA</v>
      </c>
      <c r="AB160" s="1057" t="str">
        <f>IF(Start!$C$18="x",IF(AA160 = "NA", "NA", AA160*(Data!$D$52*Data!$D$53*10000)),"---")</f>
        <v>NA</v>
      </c>
      <c r="AC160" s="375" t="str">
        <f>IF(Start!$C$18="x",IF(AB160="NA", "NA", AB160*Data!$D$54),"---")</f>
        <v>NA</v>
      </c>
      <c r="AD160" s="498" t="str">
        <f>IF(Start!$C$18="x",IF(AC160="NA","NA",AC160*Data!$D$41),"---")</f>
        <v>NA</v>
      </c>
      <c r="AE160" s="376" t="str">
        <f>IF(Start!$C$18="x",IF(AB160 = "NA", "NA", AB160/(Data!$D$53*3*Data!$D$48)*1000),"---")</f>
        <v>NA</v>
      </c>
      <c r="AF160" s="498" t="str">
        <f>IF(Start!$C$18="x",IF(AE160="NA","NA",AE160*Data!$D$46),"---")</f>
        <v>NA</v>
      </c>
      <c r="AG160" s="375">
        <f>IF(Start!$C$18="x",IF(OR($L160="NA",L160=""),"NA",($L160*(Data!$D$55^3.33)/(Data!$D$18^2))),"---")</f>
        <v>8.1499949330205888E-4</v>
      </c>
      <c r="AH160" s="376" t="str">
        <f>IF(Start!$C$18="x",IF(OR(F160="NA",F160="",P160="NA",P160=""),"NA",IF(100/Data!$D$10&gt;Data!$D$13,(F160*$P160),(F160*$P160)*Data!$D$13)),"---")</f>
        <v>NA</v>
      </c>
      <c r="AI160" s="489">
        <f>IF(Start!$C$18="x",IF(OR($N160="NA",$Q160="NA",$Q160=0,Q160="",N160=""),"NA",(1000*$N160/$Q160)),"---")</f>
        <v>164.08284327066582</v>
      </c>
      <c r="AJ160" s="376">
        <f>IF(Start!$C$18="x",IF(OR(Q160 = "NA",Q160=0,N160 = "NA",N160="",Q160=""), "NA", IF($AG160="NA","NA",(3.1416*Data!$D$57*86400/($AG160*(Data!$D$55+(N160*Data!$D$19/(Q160*1000)))))^0.5)),"---")</f>
        <v>171585.50520891545</v>
      </c>
      <c r="AK160" s="376" t="str">
        <f>IF(Start!$C$18="x",IF(OR(AH160 = "NA",AI160="NA",AI160=0,AI160="",AH160=""), "NA", AH160/AI160),"---")</f>
        <v>NA</v>
      </c>
      <c r="AL160" s="376" t="str">
        <f>IF(Start!$C$18="x",IF(OR(AK160 ="NA",AK160="",AJ160= "NA",R160="NA",R160=0),"NA",(2*AK160)/(1000*(1/$R160+AJ160))),"---")</f>
        <v>NA</v>
      </c>
      <c r="AM160" s="376" t="str">
        <f>IF(Start!$C$18="x",IF(AL160 = "NA", "NA", AL160*(Data!$D$52*Data!$D$53*10000)),"---")</f>
        <v>NA</v>
      </c>
      <c r="AN160" s="376" t="str">
        <f>IF(Start!$C$18="x",IF(AM160 = "NA", "NA", AM160*(Data!$D$54)),"---")</f>
        <v>NA</v>
      </c>
      <c r="AO160" s="498" t="str">
        <f>IF(Start!$C$18="x",IF(AN160="NA","NA",AN160*Data!$D$41),"---")</f>
        <v>NA</v>
      </c>
      <c r="AP160" s="376">
        <f>IF(Start!$C$18="x",IF(OR(Q160=0,N160="NA",N160="",AG160="NA",AG160="",AG160=0,Q160="",Q160="NA"),"NA", (3.1416*Data!$D$56*86400/($AG160*(Data!$D$55+(N160*Data!$D$19/(Q160*1000)))))^0.5),"---")</f>
        <v>171585.50520891545</v>
      </c>
      <c r="AQ160" s="376" t="str">
        <f>IF(Start!$C$18="x",IF(OR(AH160="NA",AI160="NA",AI160="",AI160=0,AH160=""),"NA", AH160/AI160),"---")</f>
        <v>NA</v>
      </c>
      <c r="AR160" s="376" t="str">
        <f>IF(Start!$C$18="x",IF(OR(AQ160="NA",AP160="NA",$R160="NA",R160=0,R160=""),"NA",(2*AQ160)/(1000*(1/$R160+AP160))),"---")</f>
        <v>NA</v>
      </c>
      <c r="AS160" s="376" t="str">
        <f>IF(Start!$C$18="x",IF(AR160 = "NA", "NA", AR160*(Data!$D$52*Data!$D$53*10000)),"---")</f>
        <v>NA</v>
      </c>
      <c r="AT160" s="376" t="str">
        <f>IF(Start!$C$18="x",IF(AS160 = "NA", "NA", (AS160*1000)/(Data!$D$48*3*Data!$D$53)),"---")</f>
        <v>NA</v>
      </c>
      <c r="AU160" s="498" t="str">
        <f>IF(Start!$C$18="x",IF(AT160="NA","NA",AT160*Data!$D$47),"---")</f>
        <v>NA</v>
      </c>
      <c r="AV160" s="283" t="str">
        <f>IF(Start!$C$18="x",(IF(AND(F160="",G160= "",G160&lt;&gt;"NA"),"",IF(OR(AD160="NA",I160="NA",I160=0),"NA",(AD160/I160)))),"Not Req.")</f>
        <v/>
      </c>
      <c r="AW160" s="284" t="str">
        <f>IF(Start!$C$18="x",(IF(AND(F160="",G160= "",G160&lt;&gt;"NA"),"",IF(OR(AF160="NA",I160="NA",I160=0),"NA",(AF160/I160)))),"Not Req.")</f>
        <v/>
      </c>
      <c r="AX160" s="284" t="str">
        <f>IF(Start!$C$18="x",(IF(F160 ="","",IF(OR(AO160="NA",I160="NA",I160=0),"NA",(AO160/I160)))),"Not Req.")</f>
        <v/>
      </c>
      <c r="AY160" s="344" t="str">
        <f>IF(Start!$C$18="x",(IF(F160 ="","",IF(OR(AU160="NA",I160="NA",I160=0),"NA",(AU160/I160)))),"Not Req.")</f>
        <v/>
      </c>
      <c r="AZ160" s="208"/>
    </row>
    <row r="161" spans="1:52" s="183" customFormat="1" x14ac:dyDescent="0.25">
      <c r="A161" s="405" t="s">
        <v>479</v>
      </c>
      <c r="B161" s="347" t="str">
        <f>IF(Start!$C$18="x",IF(AND(OR(F161="",F161="NA"),OR(G161="",G161="NA")),"",IF(I161="NA","NA",IF(AND(I161="",K161="--"),"NA",IF(AD161="NA","Missing Data",IF(I161="","No Criteria",IF(AD161&gt;=I161,"Needed","No")))))),"---")</f>
        <v/>
      </c>
      <c r="C161" s="501" t="str">
        <f>IF(Start!$C$18="x",IF(AND(OR(F161="",F161="NA"),OR(G161="",G161="NA")),"",IF(I161="NA","NA",IF(AND(I161="",K161="--"),"NA",IF(AF161="NA","Missing Data",IF(I161="","No Criteria",IF(AF161&gt;=I161,"Needed","No")))))),"---")</f>
        <v/>
      </c>
      <c r="D161" s="347" t="str">
        <f>IF(Start!$C$18="x",IF(AND(OR(F161="",F161="NA"),OR(G161="",G161="NA")),"",IF(I161="NA","NA",IF(AND(I161="",K161="--"),"NA",IF(AO161="NA","Missing Data",IF(I161="","No Criteria",IF(AO161&gt;=I161,"Needed","No")))))),"---")</f>
        <v/>
      </c>
      <c r="E161" s="401" t="str">
        <f>IF(Start!$C$18="x",IF(AND(OR(F161="",F161="NA"),OR(G161="",G161="NA")),"",IF(I161="NA","NA",IF(AND(I161="",K161="--"),"NA",IF(AU161="NA","Missing Data",IF(I161="","No Criteria",IF(AU161&gt;=I161,"Needed","No")))))),"---")</f>
        <v/>
      </c>
      <c r="F161" s="431" t="str">
        <f>IF(TRUE=ISBLANK(ChemData!B161),"",(ChemData!B161))</f>
        <v/>
      </c>
      <c r="G161" s="432" t="str">
        <f>IF(TRUE=ISBLANK(ChemData!C161),"",(ChemData!C161))</f>
        <v/>
      </c>
      <c r="H161" s="433" t="str">
        <f>IF(TRUE=ISBLANK(ChemData!D161),"",(ChemData!D161))</f>
        <v/>
      </c>
      <c r="I161" s="919" t="str">
        <f>IF(TRUE=ISBLANK(ChemData!K161),"",(ChemData!K161))</f>
        <v>NA</v>
      </c>
      <c r="J161" s="290">
        <f>IF(TRUE=ISBLANK(ChemData!M161),"",(ChemData!M161))</f>
        <v>98.96</v>
      </c>
      <c r="K161" s="290">
        <f>IF(TRUE=ISBLANK(ChemData!N161),"",(ChemData!N161))</f>
        <v>4.2599999999999999E-3</v>
      </c>
      <c r="L161" s="290">
        <f>IF(TRUE=ISBLANK(ChemData!O161),"",(ChemData!O161))</f>
        <v>7.4200000000000002E-2</v>
      </c>
      <c r="M161" s="290">
        <f>IF(TRUE=ISBLANK(ChemData!Q161),"",(ChemData!Q161))</f>
        <v>1.1413173484456043</v>
      </c>
      <c r="N161" s="290">
        <f>IF(TRUE=ISBLANK(ChemData!R161),"",(ChemData!R161))</f>
        <v>1.1413173484456043</v>
      </c>
      <c r="O161" s="290">
        <f>IF(TRUE=ISBLANK(ChemData!S161),"",(ChemData!S161))</f>
        <v>1</v>
      </c>
      <c r="P161" s="291">
        <f>IF(TRUE=ISBLANK(ChemData!T161),"",(ChemData!T161))</f>
        <v>1</v>
      </c>
      <c r="Q161" s="375">
        <f>IF(Start!$C$18="x",IF(OR(K161="NA",K161="",K161="--"),"NA",(K161*1000000/82.1/Data!$D$50)),"---")</f>
        <v>0.16738045656359279</v>
      </c>
      <c r="R161" s="376">
        <f>IF(Start!$C$18="x",IF(OR(J161="NA",J161=0,J161=""),"NA",(0.32*(Data!$D$48+Data!$D$49)*(18/J161)^0.5)),"---")</f>
        <v>0.35142578283436143</v>
      </c>
      <c r="S161" s="376">
        <f>IF(Start!$C$18="x",IF(OR(J161="NA",J161= 0,J161=""),"NA",(0.0065*((Data!$D$49^0.969)/(Data!$D$51^0.673))*(32/J161)^0.5*EXP(0.526*Data!$D$48^-1.9))),"---")</f>
        <v>7.4070927106598431E-4</v>
      </c>
      <c r="T161" s="377">
        <f>IF(Start!$C$18="x",IF(OR(S161="NA",R161="NA",R161=0,Q161="NA",S161=0,Q161=0),"NA",(1/(1/S161+(1/(R161*Q161))))),"---")</f>
        <v>7.3149793733508532E-4</v>
      </c>
      <c r="U161" s="375" t="str">
        <f>IF(Start!$C$18="x",IF(OR(F161="NA",F161="",O161="",O161="NA"),"NA",(F161*$O161)),"---")</f>
        <v>NA</v>
      </c>
      <c r="V161" s="376" t="str">
        <f>IF(Start!$C$18="x",IF(OR(U161="NA",M161="NA",M161="",U161=""),"NA",U161/((Data!$D$18+((1-Data!$D$18)*Data!$D$14*M161))/((1-Data!$D$18)*Data!$D$14*1000))),"---")</f>
        <v>NA</v>
      </c>
      <c r="W161" s="376" t="str">
        <f>IF(Start!$C$18="x",IF(OR(G161="NA",U161="NA",G161="",U161=""),"NA",(U161 +($G161*(Data!$D$19-Data!$D$22)/(Data!$D$19*Data!$D$22)))),"---")</f>
        <v>NA</v>
      </c>
      <c r="X161" s="376" t="str">
        <f>IF(Start!$C$18="x",IF(OR(G161="NA",V161="NA",G161="",V161=""),"NA",(((Data!$D$22*Data!$D$18)*V161)+(Data!$D$19-Data!$D$22)*$G161)/((Data!$D$22*Data!$D$18)+Data!$D$19-Data!$D$22)),"---")</f>
        <v>NA</v>
      </c>
      <c r="Y161" s="376" t="str">
        <f>IF(Start!$C$18="x",IF(OR(W161="NA",W161="",M161="NA",M161=""),"NA",(W161/((Data!$D$23+((1-Data!$D$23)*Data!$D$14*M161)) /((1-Data!$D$23)*Data!$D$14*1000)))),"---")</f>
        <v>NA</v>
      </c>
      <c r="Z161" s="376" t="str">
        <f>IF(Start!$C$18="x",IF(OR(Y161="NA",X161="NA"),"NA",IF(Y161&gt;X161, Y161, X161)),"---")</f>
        <v>NA</v>
      </c>
      <c r="AA161" s="461" t="str">
        <f>IF(Start!$C$18="x",IF(OR(Z161="NA",T161="NA"),"NA",Z161*T161/(1000000000)),"---")</f>
        <v>NA</v>
      </c>
      <c r="AB161" s="1057" t="str">
        <f>IF(Start!$C$18="x",IF(AA161 = "NA", "NA", AA161*(Data!$D$52*Data!$D$53*10000)),"---")</f>
        <v>NA</v>
      </c>
      <c r="AC161" s="375" t="str">
        <f>IF(Start!$C$18="x",IF(AB161="NA", "NA", AB161*Data!$D$54),"---")</f>
        <v>NA</v>
      </c>
      <c r="AD161" s="498" t="str">
        <f>IF(Start!$C$18="x",IF(AC161="NA","NA",AC161*Data!$D$41),"---")</f>
        <v>NA</v>
      </c>
      <c r="AE161" s="376" t="str">
        <f>IF(Start!$C$18="x",IF(AB161 = "NA", "NA", AB161/(Data!$D$53*3*Data!$D$48)*1000),"---")</f>
        <v>NA</v>
      </c>
      <c r="AF161" s="498" t="str">
        <f>IF(Start!$C$18="x",IF(AE161="NA","NA",AE161*Data!$D$46),"---")</f>
        <v>NA</v>
      </c>
      <c r="AG161" s="375">
        <f>IF(Start!$C$18="x",IF(OR($L161="NA",L161=""),"NA",($L161*(Data!$D$55^3.33)/(Data!$D$18^2))),"---")</f>
        <v>7.5591203003765961E-4</v>
      </c>
      <c r="AH161" s="376" t="str">
        <f>IF(Start!$C$18="x",IF(OR(F161="NA",F161="",P161="NA",P161=""),"NA",IF(100/Data!$D$10&gt;Data!$D$13,(F161*$P161),(F161*$P161)*Data!$D$13)),"---")</f>
        <v>NA</v>
      </c>
      <c r="AI161" s="489">
        <f>IF(Start!$C$18="x",IF(OR($N161="NA",$Q161="NA",$Q161=0,Q161="",N161=""),"NA",(1000*$N161/$Q161)),"---")</f>
        <v>6818.7013697861676</v>
      </c>
      <c r="AJ161" s="376">
        <f>IF(Start!$C$18="x",IF(OR(Q161 = "NA",Q161=0,N161 = "NA",N161="",Q161=""), "NA", IF($AG161="NA","NA",(3.1416*Data!$D$57*86400/($AG161*(Data!$D$55+(N161*Data!$D$19/(Q161*1000)))))^0.5)),"---")</f>
        <v>42402.222344589194</v>
      </c>
      <c r="AK161" s="376" t="str">
        <f>IF(Start!$C$18="x",IF(OR(AH161 = "NA",AI161="NA",AI161=0,AI161="",AH161=""), "NA", AH161/AI161),"---")</f>
        <v>NA</v>
      </c>
      <c r="AL161" s="376" t="str">
        <f>IF(Start!$C$18="x",IF(OR(AK161 ="NA",AK161="",AJ161= "NA",R161="NA",R161=0),"NA",(2*AK161)/(1000*(1/$R161+AJ161))),"---")</f>
        <v>NA</v>
      </c>
      <c r="AM161" s="376" t="str">
        <f>IF(Start!$C$18="x",IF(AL161 = "NA", "NA", AL161*(Data!$D$52*Data!$D$53*10000)),"---")</f>
        <v>NA</v>
      </c>
      <c r="AN161" s="376" t="str">
        <f>IF(Start!$C$18="x",IF(AM161 = "NA", "NA", AM161*(Data!$D$54)),"---")</f>
        <v>NA</v>
      </c>
      <c r="AO161" s="498" t="str">
        <f>IF(Start!$C$18="x",IF(AN161="NA","NA",AN161*Data!$D$41),"---")</f>
        <v>NA</v>
      </c>
      <c r="AP161" s="376">
        <f>IF(Start!$C$18="x",IF(OR(Q161=0,N161="NA",N161="",AG161="NA",AG161="",AG161=0,Q161="",Q161="NA"),"NA", (3.1416*Data!$D$56*86400/($AG161*(Data!$D$55+(N161*Data!$D$19/(Q161*1000)))))^0.5),"---")</f>
        <v>42402.222344589194</v>
      </c>
      <c r="AQ161" s="376" t="str">
        <f>IF(Start!$C$18="x",IF(OR(AH161="NA",AI161="NA",AI161="",AI161=0,AH161=""),"NA", AH161/AI161),"---")</f>
        <v>NA</v>
      </c>
      <c r="AR161" s="376" t="str">
        <f>IF(Start!$C$18="x",IF(OR(AQ161="NA",AP161="NA",$R161="NA",R161=0,R161=""),"NA",(2*AQ161)/(1000*(1/$R161+AP161))),"---")</f>
        <v>NA</v>
      </c>
      <c r="AS161" s="376" t="str">
        <f>IF(Start!$C$18="x",IF(AR161 = "NA", "NA", AR161*(Data!$D$52*Data!$D$53*10000)),"---")</f>
        <v>NA</v>
      </c>
      <c r="AT161" s="376" t="str">
        <f>IF(Start!$C$18="x",IF(AS161 = "NA", "NA", (AS161*1000)/(Data!$D$48*3*Data!$D$53)),"---")</f>
        <v>NA</v>
      </c>
      <c r="AU161" s="498" t="str">
        <f>IF(Start!$C$18="x",IF(AT161="NA","NA",AT161*Data!$D$47),"---")</f>
        <v>NA</v>
      </c>
      <c r="AV161" s="283" t="str">
        <f>IF(Start!$C$18="x",(IF(AND(F161="",G161= "",G161&lt;&gt;"NA"),"",IF(OR(AD161="NA",I161="NA",I161=0),"NA",(AD161/I161)))),"Not Req.")</f>
        <v/>
      </c>
      <c r="AW161" s="284" t="str">
        <f>IF(Start!$C$18="x",(IF(AND(F161="",G161= "",G161&lt;&gt;"NA"),"",IF(OR(AF161="NA",I161="NA",I161=0),"NA",(AF161/I161)))),"Not Req.")</f>
        <v/>
      </c>
      <c r="AX161" s="284" t="str">
        <f>IF(Start!$C$18="x",(IF(F161 ="","",IF(OR(AO161="NA",I161="NA",I161=0),"NA",(AO161/I161)))),"Not Req.")</f>
        <v/>
      </c>
      <c r="AY161" s="344" t="str">
        <f>IF(Start!$C$18="x",(IF(F161 ="","",IF(OR(AU161="NA",I161="NA",I161=0),"NA",(AU161/I161)))),"Not Req.")</f>
        <v/>
      </c>
      <c r="AZ161" s="208"/>
    </row>
    <row r="162" spans="1:52" s="183" customFormat="1" x14ac:dyDescent="0.25">
      <c r="A162" s="405" t="s">
        <v>480</v>
      </c>
      <c r="B162" s="347" t="str">
        <f>IF(Start!$C$18="x",IF(AND(OR(F162="",F162="NA"),OR(G162="",G162="NA")),"",IF(I162="NA","NA",IF(AND(I162="",K162="--"),"NA",IF(AD162="NA","Missing Data",IF(I162="","No Criteria",IF(AD162&gt;=I162,"Needed","No")))))),"---")</f>
        <v/>
      </c>
      <c r="C162" s="501" t="str">
        <f>IF(Start!$C$18="x",IF(AND(OR(F162="",F162="NA"),OR(G162="",G162="NA")),"",IF(I162="NA","NA",IF(AND(I162="",K162="--"),"NA",IF(AF162="NA","Missing Data",IF(I162="","No Criteria",IF(AF162&gt;=I162,"Needed","No")))))),"---")</f>
        <v/>
      </c>
      <c r="D162" s="347" t="str">
        <f>IF(Start!$C$18="x",IF(AND(OR(F162="",F162="NA"),OR(G162="",G162="NA")),"",IF(I162="NA","NA",IF(AND(I162="",K162="--"),"NA",IF(AO162="NA","Missing Data",IF(I162="","No Criteria",IF(AO162&gt;=I162,"Needed","No")))))),"---")</f>
        <v/>
      </c>
      <c r="E162" s="401" t="str">
        <f>IF(Start!$C$18="x",IF(AND(OR(F162="",F162="NA"),OR(G162="",G162="NA")),"",IF(I162="NA","NA",IF(AND(I162="",K162="--"),"NA",IF(AU162="NA","Missing Data",IF(I162="","No Criteria",IF(AU162&gt;=I162,"Needed","No")))))),"---")</f>
        <v/>
      </c>
      <c r="F162" s="431" t="str">
        <f>IF(TRUE=ISBLANK(ChemData!B162),"",(ChemData!B162))</f>
        <v/>
      </c>
      <c r="G162" s="432" t="str">
        <f>IF(TRUE=ISBLANK(ChemData!C162),"",(ChemData!C162))</f>
        <v/>
      </c>
      <c r="H162" s="433" t="str">
        <f>IF(TRUE=ISBLANK(ChemData!D162),"",(ChemData!D162))</f>
        <v/>
      </c>
      <c r="I162" s="919" t="str">
        <f>IF(TRUE=ISBLANK(ChemData!K162),"",(ChemData!K162))</f>
        <v>NA</v>
      </c>
      <c r="J162" s="290">
        <f>IF(TRUE=ISBLANK(ChemData!M162),"",(ChemData!M162))</f>
        <v>98.96</v>
      </c>
      <c r="K162" s="290">
        <f>IF(TRUE=ISBLANK(ChemData!N162),"",(ChemData!N162))</f>
        <v>9.1399999999999999E-4</v>
      </c>
      <c r="L162" s="290">
        <f>IF(TRUE=ISBLANK(ChemData!O162),"",(ChemData!O162))</f>
        <v>0.104</v>
      </c>
      <c r="M162" s="290">
        <f>IF(TRUE=ISBLANK(ChemData!Q162),"",(ChemData!Q162))</f>
        <v>0.5589930634464132</v>
      </c>
      <c r="N162" s="290">
        <f>IF(TRUE=ISBLANK(ChemData!R162),"",(ChemData!R162))</f>
        <v>0.5589930634464132</v>
      </c>
      <c r="O162" s="290">
        <f>IF(TRUE=ISBLANK(ChemData!S162),"",(ChemData!S162))</f>
        <v>1</v>
      </c>
      <c r="P162" s="291">
        <f>IF(TRUE=ISBLANK(ChemData!T162),"",(ChemData!T162))</f>
        <v>1</v>
      </c>
      <c r="Q162" s="375">
        <f>IF(Start!$C$18="x",IF(OR(K162="NA",K162="",K162="--"),"NA",(K162*1000000/82.1/Data!$D$50)),"---")</f>
        <v>3.5912144905897614E-2</v>
      </c>
      <c r="R162" s="376">
        <f>IF(Start!$C$18="x",IF(OR(J162="NA",J162=0,J162=""),"NA",(0.32*(Data!$D$48+Data!$D$49)*(18/J162)^0.5)),"---")</f>
        <v>0.35142578283436143</v>
      </c>
      <c r="S162" s="376">
        <f>IF(Start!$C$18="x",IF(OR(J162="NA",J162= 0,J162=""),"NA",(0.0065*((Data!$D$49^0.969)/(Data!$D$51^0.673))*(32/J162)^0.5*EXP(0.526*Data!$D$48^-1.9))),"---")</f>
        <v>7.4070927106598431E-4</v>
      </c>
      <c r="T162" s="377">
        <f>IF(Start!$C$18="x",IF(OR(S162="NA",R162="NA",R162=0,Q162="NA",S162=0,Q162=0),"NA",(1/(1/S162+(1/(R162*Q162))))),"---")</f>
        <v>6.9964621180791339E-4</v>
      </c>
      <c r="U162" s="375" t="str">
        <f>IF(Start!$C$18="x",IF(OR(F162="NA",F162="",O162="",O162="NA"),"NA",(F162*$O162)),"---")</f>
        <v>NA</v>
      </c>
      <c r="V162" s="376" t="str">
        <f>IF(Start!$C$18="x",IF(OR(U162="NA",M162="NA",M162="",U162=""),"NA",U162/((Data!$D$18+((1-Data!$D$18)*Data!$D$14*M162))/((1-Data!$D$18)*Data!$D$14*1000))),"---")</f>
        <v>NA</v>
      </c>
      <c r="W162" s="376" t="str">
        <f>IF(Start!$C$18="x",IF(OR(G162="NA",U162="NA",G162="",U162=""),"NA",(U162 +($G162*(Data!$D$19-Data!$D$22)/(Data!$D$19*Data!$D$22)))),"---")</f>
        <v>NA</v>
      </c>
      <c r="X162" s="376" t="str">
        <f>IF(Start!$C$18="x",IF(OR(G162="NA",V162="NA",G162="",V162=""),"NA",(((Data!$D$22*Data!$D$18)*V162)+(Data!$D$19-Data!$D$22)*$G162)/((Data!$D$22*Data!$D$18)+Data!$D$19-Data!$D$22)),"---")</f>
        <v>NA</v>
      </c>
      <c r="Y162" s="376" t="str">
        <f>IF(Start!$C$18="x",IF(OR(W162="NA",W162="",M162="NA",M162=""),"NA",(W162/((Data!$D$23+((1-Data!$D$23)*Data!$D$14*M162)) /((1-Data!$D$23)*Data!$D$14*1000)))),"---")</f>
        <v>NA</v>
      </c>
      <c r="Z162" s="376" t="str">
        <f>IF(Start!$C$18="x",IF(OR(Y162="NA",X162="NA"),"NA",IF(Y162&gt;X162, Y162, X162)),"---")</f>
        <v>NA</v>
      </c>
      <c r="AA162" s="461" t="str">
        <f>IF(Start!$C$18="x",IF(OR(Z162="NA",T162="NA"),"NA",Z162*T162/(1000000000)),"---")</f>
        <v>NA</v>
      </c>
      <c r="AB162" s="1057" t="str">
        <f>IF(Start!$C$18="x",IF(AA162 = "NA", "NA", AA162*(Data!$D$52*Data!$D$53*10000)),"---")</f>
        <v>NA</v>
      </c>
      <c r="AC162" s="375" t="str">
        <f>IF(Start!$C$18="x",IF(AB162="NA", "NA", AB162*Data!$D$54),"---")</f>
        <v>NA</v>
      </c>
      <c r="AD162" s="498" t="str">
        <f>IF(Start!$C$18="x",IF(AC162="NA","NA",AC162*Data!$D$41),"---")</f>
        <v>NA</v>
      </c>
      <c r="AE162" s="376" t="str">
        <f>IF(Start!$C$18="x",IF(AB162 = "NA", "NA", AB162/(Data!$D$53*3*Data!$D$48)*1000),"---")</f>
        <v>NA</v>
      </c>
      <c r="AF162" s="498" t="str">
        <f>IF(Start!$C$18="x",IF(AE162="NA","NA",AE162*Data!$D$46),"---")</f>
        <v>NA</v>
      </c>
      <c r="AG162" s="375">
        <f>IF(Start!$C$18="x",IF(OR($L162="NA",L162=""),"NA",($L162*(Data!$D$55^3.33)/(Data!$D$18^2))),"---")</f>
        <v>1.0594993412926764E-3</v>
      </c>
      <c r="AH162" s="376" t="str">
        <f>IF(Start!$C$18="x",IF(OR(F162="NA",F162="",P162="NA",P162=""),"NA",IF(100/Data!$D$10&gt;Data!$D$13,(F162*$P162),(F162*$P162)*Data!$D$13)),"---")</f>
        <v>NA</v>
      </c>
      <c r="AI162" s="489">
        <f>IF(Start!$C$18="x",IF(OR($N162="NA",$Q162="NA",$Q162=0,Q162="",N162=""),"NA",(1000*$N162/$Q162)),"---")</f>
        <v>15565.571616821291</v>
      </c>
      <c r="AJ162" s="376">
        <f>IF(Start!$C$18="x",IF(OR(Q162 = "NA",Q162=0,N162 = "NA",N162="",Q162=""), "NA", IF($AG162="NA","NA",(3.1416*Data!$D$57*86400/($AG162*(Data!$D$55+(N162*Data!$D$19/(Q162*1000)))))^0.5)),"---")</f>
        <v>23930.626881866352</v>
      </c>
      <c r="AK162" s="376" t="str">
        <f>IF(Start!$C$18="x",IF(OR(AH162 = "NA",AI162="NA",AI162=0,AI162="",AH162=""), "NA", AH162/AI162),"---")</f>
        <v>NA</v>
      </c>
      <c r="AL162" s="376" t="str">
        <f>IF(Start!$C$18="x",IF(OR(AK162 ="NA",AK162="",AJ162= "NA",R162="NA",R162=0),"NA",(2*AK162)/(1000*(1/$R162+AJ162))),"---")</f>
        <v>NA</v>
      </c>
      <c r="AM162" s="376" t="str">
        <f>IF(Start!$C$18="x",IF(AL162 = "NA", "NA", AL162*(Data!$D$52*Data!$D$53*10000)),"---")</f>
        <v>NA</v>
      </c>
      <c r="AN162" s="376" t="str">
        <f>IF(Start!$C$18="x",IF(AM162 = "NA", "NA", AM162*(Data!$D$54)),"---")</f>
        <v>NA</v>
      </c>
      <c r="AO162" s="498" t="str">
        <f>IF(Start!$C$18="x",IF(AN162="NA","NA",AN162*Data!$D$41),"---")</f>
        <v>NA</v>
      </c>
      <c r="AP162" s="376">
        <f>IF(Start!$C$18="x",IF(OR(Q162=0,N162="NA",N162="",AG162="NA",AG162="",AG162=0,Q162="",Q162="NA"),"NA", (3.1416*Data!$D$56*86400/($AG162*(Data!$D$55+(N162*Data!$D$19/(Q162*1000)))))^0.5),"---")</f>
        <v>23930.626881866352</v>
      </c>
      <c r="AQ162" s="376" t="str">
        <f>IF(Start!$C$18="x",IF(OR(AH162="NA",AI162="NA",AI162="",AI162=0,AH162=""),"NA", AH162/AI162),"---")</f>
        <v>NA</v>
      </c>
      <c r="AR162" s="376" t="str">
        <f>IF(Start!$C$18="x",IF(OR(AQ162="NA",AP162="NA",$R162="NA",R162=0,R162=""),"NA",(2*AQ162)/(1000*(1/$R162+AP162))),"---")</f>
        <v>NA</v>
      </c>
      <c r="AS162" s="376" t="str">
        <f>IF(Start!$C$18="x",IF(AR162 = "NA", "NA", AR162*(Data!$D$52*Data!$D$53*10000)),"---")</f>
        <v>NA</v>
      </c>
      <c r="AT162" s="376" t="str">
        <f>IF(Start!$C$18="x",IF(AS162 = "NA", "NA", (AS162*1000)/(Data!$D$48*3*Data!$D$53)),"---")</f>
        <v>NA</v>
      </c>
      <c r="AU162" s="498" t="str">
        <f>IF(Start!$C$18="x",IF(AT162="NA","NA",AT162*Data!$D$47),"---")</f>
        <v>NA</v>
      </c>
      <c r="AV162" s="283" t="str">
        <f>IF(Start!$C$18="x",(IF(AND(F162="",G162= "",G162&lt;&gt;"NA"),"",IF(OR(AD162="NA",I162="NA",I162=0),"NA",(AD162/I162)))),"Not Req.")</f>
        <v/>
      </c>
      <c r="AW162" s="284" t="str">
        <f>IF(Start!$C$18="x",(IF(AND(F162="",G162= "",G162&lt;&gt;"NA"),"",IF(OR(AF162="NA",I162="NA",I162=0),"NA",(AF162/I162)))),"Not Req.")</f>
        <v/>
      </c>
      <c r="AX162" s="284" t="str">
        <f>IF(Start!$C$18="x",(IF(F162 ="","",IF(OR(AO162="NA",I162="NA",I162=0),"NA",(AO162/I162)))),"Not Req.")</f>
        <v/>
      </c>
      <c r="AY162" s="344" t="str">
        <f>IF(Start!$C$18="x",(IF(F162 ="","",IF(OR(AU162="NA",I162="NA",I162=0),"NA",(AU162/I162)))),"Not Req.")</f>
        <v/>
      </c>
      <c r="AZ162" s="208"/>
    </row>
    <row r="163" spans="1:52" s="183" customFormat="1" x14ac:dyDescent="0.25">
      <c r="A163" s="308" t="s">
        <v>481</v>
      </c>
      <c r="B163" s="347" t="str">
        <f>IF(Start!$C$18="x",IF(AND(OR(F163="",F163="NA"),OR(G163="",G163="NA")),"",IF(I163="NA","NA",IF(AND(I163="",K163="--"),"NA",IF(AD163="NA","Missing Data",IF(I163="","No Criteria",IF(AD163&gt;=I163,"Needed","No")))))),"---")</f>
        <v/>
      </c>
      <c r="C163" s="501" t="str">
        <f>IF(Start!$C$18="x",IF(AND(OR(F163="",F163="NA"),OR(G163="",G163="NA")),"",IF(I163="NA","NA",IF(AND(I163="",K163="--"),"NA",IF(AF163="NA","Missing Data",IF(I163="","No Criteria",IF(AF163&gt;=I163,"Needed","No")))))),"---")</f>
        <v/>
      </c>
      <c r="D163" s="347" t="str">
        <f>IF(Start!$C$18="x",IF(AND(OR(F163="",F163="NA"),OR(G163="",G163="NA")),"",IF(I163="NA","NA",IF(AND(I163="",K163="--"),"NA",IF(AO163="NA","Missing Data",IF(I163="","No Criteria",IF(AO163&gt;=I163,"Needed","No")))))),"---")</f>
        <v/>
      </c>
      <c r="E163" s="401" t="str">
        <f>IF(Start!$C$18="x",IF(AND(OR(F163="",F163="NA"),OR(G163="",G163="NA")),"",IF(I163="NA","NA",IF(AND(I163="",K163="--"),"NA",IF(AU163="NA","Missing Data",IF(I163="","No Criteria",IF(AU163&gt;=I163,"Needed","No")))))),"---")</f>
        <v/>
      </c>
      <c r="F163" s="431" t="str">
        <f>IF(TRUE=ISBLANK(ChemData!B163),"",(ChemData!B163))</f>
        <v/>
      </c>
      <c r="G163" s="432" t="str">
        <f>IF(TRUE=ISBLANK(ChemData!C163),"",(ChemData!C163))</f>
        <v/>
      </c>
      <c r="H163" s="433" t="str">
        <f>IF(TRUE=ISBLANK(ChemData!D163),"",(ChemData!D163))</f>
        <v/>
      </c>
      <c r="I163" s="919">
        <f>IF(TRUE=ISBLANK(ChemData!K163),"",(ChemData!K163))</f>
        <v>5.7099999999999998E-2</v>
      </c>
      <c r="J163" s="290">
        <f>IF(TRUE=ISBLANK(ChemData!M163),"",(ChemData!M163))</f>
        <v>96.94</v>
      </c>
      <c r="K163" s="290">
        <f>IF(TRUE=ISBLANK(ChemData!N163),"",(ChemData!N163))</f>
        <v>2.6100000000000002E-2</v>
      </c>
      <c r="L163" s="290">
        <f>IF(TRUE=ISBLANK(ChemData!O163),"",(ChemData!O163))</f>
        <v>0.09</v>
      </c>
      <c r="M163" s="290">
        <f>IF(TRUE=ISBLANK(ChemData!Q163),"",(ChemData!Q163))</f>
        <v>2.4969302956771511</v>
      </c>
      <c r="N163" s="290">
        <f>IF(TRUE=ISBLANK(ChemData!R163),"",(ChemData!R163))</f>
        <v>2.4969302956771511</v>
      </c>
      <c r="O163" s="290">
        <f>IF(TRUE=ISBLANK(ChemData!S163),"",(ChemData!S163))</f>
        <v>1</v>
      </c>
      <c r="P163" s="291">
        <f>IF(TRUE=ISBLANK(ChemData!T163),"",(ChemData!T163))</f>
        <v>1</v>
      </c>
      <c r="Q163" s="375">
        <f>IF(Start!$C$18="x",IF(OR(K163="NA",K163="",K163="--"),"NA",(K163*1000000/82.1/Data!$D$50)),"---")</f>
        <v>1.0254999803544067</v>
      </c>
      <c r="R163" s="376">
        <f>IF(Start!$C$18="x",IF(OR(J163="NA",J163=0,J163=""),"NA",(0.32*(Data!$D$48+Data!$D$49)*(18/J163)^0.5)),"---")</f>
        <v>0.3550683455597925</v>
      </c>
      <c r="S163" s="376">
        <f>IF(Start!$C$18="x",IF(OR(J163="NA",J163= 0,J163=""),"NA",(0.0065*((Data!$D$49^0.969)/(Data!$D$51^0.673))*(32/J163)^0.5*EXP(0.526*Data!$D$48^-1.9))),"---")</f>
        <v>7.4838679534836711E-4</v>
      </c>
      <c r="T163" s="377">
        <f>IF(Start!$C$18="x",IF(OR(S163="NA",R163="NA",R163=0,Q163="NA",S163=0,Q163=0),"NA",(1/(1/S163+(1/(R163*Q163))))),"---")</f>
        <v>7.4685177928987372E-4</v>
      </c>
      <c r="U163" s="375" t="str">
        <f>IF(Start!$C$18="x",IF(OR(F163="NA",F163="",O163="",O163="NA"),"NA",(F163*$O163)),"---")</f>
        <v>NA</v>
      </c>
      <c r="V163" s="376" t="str">
        <f>IF(Start!$C$18="x",IF(OR(U163="NA",M163="NA",M163="",U163=""),"NA",U163/((Data!$D$18+((1-Data!$D$18)*Data!$D$14*M163))/((1-Data!$D$18)*Data!$D$14*1000))),"---")</f>
        <v>NA</v>
      </c>
      <c r="W163" s="376" t="str">
        <f>IF(Start!$C$18="x",IF(OR(G163="NA",U163="NA",G163="",U163=""),"NA",(U163 +($G163*(Data!$D$19-Data!$D$22)/(Data!$D$19*Data!$D$22)))),"---")</f>
        <v>NA</v>
      </c>
      <c r="X163" s="376" t="str">
        <f>IF(Start!$C$18="x",IF(OR(G163="NA",V163="NA",G163="",V163=""),"NA",(((Data!$D$22*Data!$D$18)*V163)+(Data!$D$19-Data!$D$22)*$G163)/((Data!$D$22*Data!$D$18)+Data!$D$19-Data!$D$22)),"---")</f>
        <v>NA</v>
      </c>
      <c r="Y163" s="376" t="str">
        <f>IF(Start!$C$18="x",IF(OR(W163="NA",W163="",M163="NA",M163=""),"NA",(W163/((Data!$D$23+((1-Data!$D$23)*Data!$D$14*M163)) /((1-Data!$D$23)*Data!$D$14*1000)))),"---")</f>
        <v>NA</v>
      </c>
      <c r="Z163" s="376" t="str">
        <f>IF(Start!$C$18="x",IF(OR(Y163="NA",X163="NA"),"NA",IF(Y163&gt;X163, Y163, X163)),"---")</f>
        <v>NA</v>
      </c>
      <c r="AA163" s="461" t="str">
        <f>IF(Start!$C$18="x",IF(OR(Z163="NA",T163="NA"),"NA",Z163*T163/(1000000000)),"---")</f>
        <v>NA</v>
      </c>
      <c r="AB163" s="1057" t="str">
        <f>IF(Start!$C$18="x",IF(AA163 = "NA", "NA", AA163*(Data!$D$52*Data!$D$53*10000)),"---")</f>
        <v>NA</v>
      </c>
      <c r="AC163" s="375" t="str">
        <f>IF(Start!$C$18="x",IF(AB163="NA", "NA", AB163*Data!$D$54),"---")</f>
        <v>NA</v>
      </c>
      <c r="AD163" s="498" t="str">
        <f>IF(Start!$C$18="x",IF(AC163="NA","NA",AC163*Data!$D$41),"---")</f>
        <v>NA</v>
      </c>
      <c r="AE163" s="376" t="str">
        <f>IF(Start!$C$18="x",IF(AB163 = "NA", "NA", AB163/(Data!$D$53*3*Data!$D$48)*1000),"---")</f>
        <v>NA</v>
      </c>
      <c r="AF163" s="498" t="str">
        <f>IF(Start!$C$18="x",IF(AE163="NA","NA",AE163*Data!$D$46),"---")</f>
        <v>NA</v>
      </c>
      <c r="AG163" s="375">
        <f>IF(Start!$C$18="x",IF(OR($L163="NA",L163=""),"NA",($L163*(Data!$D$55^3.33)/(Data!$D$18^2))),"---")</f>
        <v>9.1687442996481617E-4</v>
      </c>
      <c r="AH163" s="376" t="str">
        <f>IF(Start!$C$18="x",IF(OR(F163="NA",F163="",P163="NA",P163=""),"NA",IF(100/Data!$D$10&gt;Data!$D$13,(F163*$P163),(F163*$P163)*Data!$D$13)),"---")</f>
        <v>NA</v>
      </c>
      <c r="AI163" s="489">
        <f>IF(Start!$C$18="x",IF(OR($N163="NA",$Q163="NA",$Q163=0,Q163="",N163=""),"NA",(1000*$N163/$Q163)),"---")</f>
        <v>2434.8418756811939</v>
      </c>
      <c r="AJ163" s="376">
        <f>IF(Start!$C$18="x",IF(OR(Q163 = "NA",Q163=0,N163 = "NA",N163="",Q163=""), "NA", IF($AG163="NA","NA",(3.1416*Data!$D$57*86400/($AG163*(Data!$D$55+(N163*Data!$D$19/(Q163*1000)))))^0.5)),"---")</f>
        <v>62576.495931351827</v>
      </c>
      <c r="AK163" s="376" t="str">
        <f>IF(Start!$C$18="x",IF(OR(AH163 = "NA",AI163="NA",AI163=0,AI163="",AH163=""), "NA", AH163/AI163),"---")</f>
        <v>NA</v>
      </c>
      <c r="AL163" s="376" t="str">
        <f>IF(Start!$C$18="x",IF(OR(AK163 ="NA",AK163="",AJ163= "NA",R163="NA",R163=0),"NA",(2*AK163)/(1000*(1/$R163+AJ163))),"---")</f>
        <v>NA</v>
      </c>
      <c r="AM163" s="376" t="str">
        <f>IF(Start!$C$18="x",IF(AL163 = "NA", "NA", AL163*(Data!$D$52*Data!$D$53*10000)),"---")</f>
        <v>NA</v>
      </c>
      <c r="AN163" s="376" t="str">
        <f>IF(Start!$C$18="x",IF(AM163 = "NA", "NA", AM163*(Data!$D$54)),"---")</f>
        <v>NA</v>
      </c>
      <c r="AO163" s="498" t="str">
        <f>IF(Start!$C$18="x",IF(AN163="NA","NA",AN163*Data!$D$41),"---")</f>
        <v>NA</v>
      </c>
      <c r="AP163" s="376">
        <f>IF(Start!$C$18="x",IF(OR(Q163=0,N163="NA",N163="",AG163="NA",AG163="",AG163=0,Q163="",Q163="NA"),"NA", (3.1416*Data!$D$56*86400/($AG163*(Data!$D$55+(N163*Data!$D$19/(Q163*1000)))))^0.5),"---")</f>
        <v>62576.495931351827</v>
      </c>
      <c r="AQ163" s="376" t="str">
        <f>IF(Start!$C$18="x",IF(OR(AH163="NA",AI163="NA",AI163="",AI163=0,AH163=""),"NA", AH163/AI163),"---")</f>
        <v>NA</v>
      </c>
      <c r="AR163" s="376" t="str">
        <f>IF(Start!$C$18="x",IF(OR(AQ163="NA",AP163="NA",$R163="NA",R163=0,R163=""),"NA",(2*AQ163)/(1000*(1/$R163+AP163))),"---")</f>
        <v>NA</v>
      </c>
      <c r="AS163" s="376" t="str">
        <f>IF(Start!$C$18="x",IF(AR163 = "NA", "NA", AR163*(Data!$D$52*Data!$D$53*10000)),"---")</f>
        <v>NA</v>
      </c>
      <c r="AT163" s="376" t="str">
        <f>IF(Start!$C$18="x",IF(AS163 = "NA", "NA", (AS163*1000)/(Data!$D$48*3*Data!$D$53)),"---")</f>
        <v>NA</v>
      </c>
      <c r="AU163" s="498" t="str">
        <f>IF(Start!$C$18="x",IF(AT163="NA","NA",AT163*Data!$D$47),"---")</f>
        <v>NA</v>
      </c>
      <c r="AV163" s="283" t="str">
        <f>IF(Start!$C$18="x",(IF(AND(F163="",G163= "",G163&lt;&gt;"NA"),"",IF(OR(AD163="NA",I163="NA",I163=0),"NA",(AD163/I163)))),"Not Req.")</f>
        <v/>
      </c>
      <c r="AW163" s="284" t="str">
        <f>IF(Start!$C$18="x",(IF(AND(F163="",G163= "",G163&lt;&gt;"NA"),"",IF(OR(AF163="NA",I163="NA",I163=0),"NA",(AF163/I163)))),"Not Req.")</f>
        <v/>
      </c>
      <c r="AX163" s="284" t="str">
        <f>IF(Start!$C$18="x",(IF(F163 ="","",IF(OR(AO163="NA",I163="NA",I163=0),"NA",(AO163/I163)))),"Not Req.")</f>
        <v/>
      </c>
      <c r="AY163" s="344" t="str">
        <f>IF(Start!$C$18="x",(IF(F163 ="","",IF(OR(AU163="NA",I163="NA",I163=0),"NA",(AU163/I163)))),"Not Req.")</f>
        <v/>
      </c>
      <c r="AZ163" s="208"/>
    </row>
    <row r="164" spans="1:52" s="183" customFormat="1" x14ac:dyDescent="0.25">
      <c r="A164" s="405" t="s">
        <v>482</v>
      </c>
      <c r="B164" s="347" t="str">
        <f>IF(Start!$C$18="x",IF(AND(OR(F164="",F164="NA"),OR(G164="",G164="NA")),"",IF(I164="NA","NA",IF(AND(I164="",K164="--"),"NA",IF(AD164="NA","Missing Data",IF(I164="","No Criteria",IF(AD164&gt;=I164,"Needed","No")))))),"---")</f>
        <v/>
      </c>
      <c r="C164" s="501" t="str">
        <f>IF(Start!$C$18="x",IF(AND(OR(F164="",F164="NA"),OR(G164="",G164="NA")),"",IF(I164="NA","NA",IF(AND(I164="",K164="--"),"NA",IF(AF164="NA","Missing Data",IF(I164="","No Criteria",IF(AF164&gt;=I164,"Needed","No")))))),"---")</f>
        <v/>
      </c>
      <c r="D164" s="347" t="str">
        <f>IF(Start!$C$18="x",IF(AND(OR(F164="",F164="NA"),OR(G164="",G164="NA")),"",IF(I164="NA","NA",IF(AND(I164="",K164="--"),"NA",IF(AO164="NA","Missing Data",IF(I164="","No Criteria",IF(AO164&gt;=I164,"Needed","No")))))),"---")</f>
        <v/>
      </c>
      <c r="E164" s="401" t="str">
        <f>IF(Start!$C$18="x",IF(AND(OR(F164="",F164="NA"),OR(G164="",G164="NA")),"",IF(I164="NA","NA",IF(AND(I164="",K164="--"),"NA",IF(AU164="NA","Missing Data",IF(I164="","No Criteria",IF(AU164&gt;=I164,"Needed","No")))))),"---")</f>
        <v/>
      </c>
      <c r="F164" s="431" t="str">
        <f>IF(TRUE=ISBLANK(ChemData!B164),"",(ChemData!B164))</f>
        <v/>
      </c>
      <c r="G164" s="432" t="str">
        <f>IF(TRUE=ISBLANK(ChemData!C164),"",(ChemData!C164))</f>
        <v/>
      </c>
      <c r="H164" s="433" t="str">
        <f>IF(TRUE=ISBLANK(ChemData!D164),"",(ChemData!D164))</f>
        <v/>
      </c>
      <c r="I164" s="919" t="str">
        <f>IF(TRUE=ISBLANK(ChemData!K164),"",(ChemData!K164))</f>
        <v>NA</v>
      </c>
      <c r="J164" s="290">
        <f>IF(TRUE=ISBLANK(ChemData!M164),"",(ChemData!M164))</f>
        <v>96.94</v>
      </c>
      <c r="K164" s="290">
        <f>IF(TRUE=ISBLANK(ChemData!N164),"",(ChemData!N164))</f>
        <v>4.4999999999999997E-3</v>
      </c>
      <c r="L164" s="290">
        <f>IF(TRUE=ISBLANK(ChemData!O164),"",(ChemData!O164))</f>
        <v>7.3599999999999999E-2</v>
      </c>
      <c r="M164" s="290">
        <f>IF(TRUE=ISBLANK(ChemData!Q164),"",(ChemData!Q164))</f>
        <v>1.3409309620988077</v>
      </c>
      <c r="N164" s="290">
        <f>IF(TRUE=ISBLANK(ChemData!R164),"",(ChemData!R164))</f>
        <v>1.3409309620988077</v>
      </c>
      <c r="O164" s="290">
        <f>IF(TRUE=ISBLANK(ChemData!S164),"",(ChemData!S164))</f>
        <v>1</v>
      </c>
      <c r="P164" s="291">
        <f>IF(TRUE=ISBLANK(ChemData!T164),"",(ChemData!T164))</f>
        <v>1</v>
      </c>
      <c r="Q164" s="375">
        <f>IF(Start!$C$18="x",IF(OR(K164="NA",K164="",K164="--"),"NA",(K164*1000000/82.1/Data!$D$50)),"---")</f>
        <v>0.17681034144041494</v>
      </c>
      <c r="R164" s="376">
        <f>IF(Start!$C$18="x",IF(OR(J164="NA",J164=0,J164=""),"NA",(0.32*(Data!$D$48+Data!$D$49)*(18/J164)^0.5)),"---")</f>
        <v>0.3550683455597925</v>
      </c>
      <c r="S164" s="376">
        <f>IF(Start!$C$18="x",IF(OR(J164="NA",J164= 0,J164=""),"NA",(0.0065*((Data!$D$49^0.969)/(Data!$D$51^0.673))*(32/J164)^0.5*EXP(0.526*Data!$D$48^-1.9))),"---")</f>
        <v>7.4838679534836711E-4</v>
      </c>
      <c r="T164" s="377">
        <f>IF(Start!$C$18="x",IF(OR(S164="NA",R164="NA",R164=0,Q164="NA",S164=0,Q164=0),"NA",(1/(1/S164+(1/(R164*Q164))))),"---")</f>
        <v>7.3957050108913985E-4</v>
      </c>
      <c r="U164" s="375" t="str">
        <f>IF(Start!$C$18="x",IF(OR(F164="NA",F164="",O164="",O164="NA"),"NA",(F164*$O164)),"---")</f>
        <v>NA</v>
      </c>
      <c r="V164" s="376" t="str">
        <f>IF(Start!$C$18="x",IF(OR(U164="NA",M164="NA",M164="",U164=""),"NA",U164/((Data!$D$18+((1-Data!$D$18)*Data!$D$14*M164))/((1-Data!$D$18)*Data!$D$14*1000))),"---")</f>
        <v>NA</v>
      </c>
      <c r="W164" s="376" t="str">
        <f>IF(Start!$C$18="x",IF(OR(G164="NA",U164="NA",G164="",U164=""),"NA",(U164 +($G164*(Data!$D$19-Data!$D$22)/(Data!$D$19*Data!$D$22)))),"---")</f>
        <v>NA</v>
      </c>
      <c r="X164" s="376" t="str">
        <f>IF(Start!$C$18="x",IF(OR(G164="NA",V164="NA",G164="",V164=""),"NA",(((Data!$D$22*Data!$D$18)*V164)+(Data!$D$19-Data!$D$22)*$G164)/((Data!$D$22*Data!$D$18)+Data!$D$19-Data!$D$22)),"---")</f>
        <v>NA</v>
      </c>
      <c r="Y164" s="376" t="str">
        <f>IF(Start!$C$18="x",IF(OR(W164="NA",W164="",M164="NA",M164=""),"NA",(W164/((Data!$D$23+((1-Data!$D$23)*Data!$D$14*M164)) /((1-Data!$D$23)*Data!$D$14*1000)))),"---")</f>
        <v>NA</v>
      </c>
      <c r="Z164" s="376" t="str">
        <f>IF(Start!$C$18="x",IF(OR(Y164="NA",X164="NA"),"NA",IF(Y164&gt;X164, Y164, X164)),"---")</f>
        <v>NA</v>
      </c>
      <c r="AA164" s="461" t="str">
        <f>IF(Start!$C$18="x",IF(OR(Z164="NA",T164="NA"),"NA",Z164*T164/(1000000000)),"---")</f>
        <v>NA</v>
      </c>
      <c r="AB164" s="1057" t="str">
        <f>IF(Start!$C$18="x",IF(AA164 = "NA", "NA", AA164*(Data!$D$52*Data!$D$53*10000)),"---")</f>
        <v>NA</v>
      </c>
      <c r="AC164" s="375" t="str">
        <f>IF(Start!$C$18="x",IF(AB164="NA", "NA", AB164*Data!$D$54),"---")</f>
        <v>NA</v>
      </c>
      <c r="AD164" s="498" t="str">
        <f>IF(Start!$C$18="x",IF(AC164="NA","NA",AC164*Data!$D$41),"---")</f>
        <v>NA</v>
      </c>
      <c r="AE164" s="376" t="str">
        <f>IF(Start!$C$18="x",IF(AB164 = "NA", "NA", AB164/(Data!$D$53*3*Data!$D$48)*1000),"---")</f>
        <v>NA</v>
      </c>
      <c r="AF164" s="498" t="str">
        <f>IF(Start!$C$18="x",IF(AE164="NA","NA",AE164*Data!$D$46),"---")</f>
        <v>NA</v>
      </c>
      <c r="AG164" s="375">
        <f>IF(Start!$C$18="x",IF(OR($L164="NA",L164=""),"NA",($L164*(Data!$D$55^3.33)/(Data!$D$18^2))),"---")</f>
        <v>7.4979953383789402E-4</v>
      </c>
      <c r="AH164" s="376" t="str">
        <f>IF(Start!$C$18="x",IF(OR(F164="NA",F164="",P164="NA",P164=""),"NA",IF(100/Data!$D$10&gt;Data!$D$13,(F164*$P164),(F164*$P164)*Data!$D$13)),"---")</f>
        <v>NA</v>
      </c>
      <c r="AI164" s="489">
        <f>IF(Start!$C$18="x",IF(OR($N164="NA",$Q164="NA",$Q164=0,Q164="",N164=""),"NA",(1000*$N164/$Q164)),"---")</f>
        <v>7584.007536972611</v>
      </c>
      <c r="AJ164" s="376">
        <f>IF(Start!$C$18="x",IF(OR(Q164 = "NA",Q164=0,N164 = "NA",N164="",Q164=""), "NA", IF($AG164="NA","NA",(3.1416*Data!$D$57*86400/($AG164*(Data!$D$55+(N164*Data!$D$19/(Q164*1000)))))^0.5)),"---")</f>
        <v>40437.64025952536</v>
      </c>
      <c r="AK164" s="376" t="str">
        <f>IF(Start!$C$18="x",IF(OR(AH164 = "NA",AI164="NA",AI164=0,AI164="",AH164=""), "NA", AH164/AI164),"---")</f>
        <v>NA</v>
      </c>
      <c r="AL164" s="376" t="str">
        <f>IF(Start!$C$18="x",IF(OR(AK164 ="NA",AK164="",AJ164= "NA",R164="NA",R164=0),"NA",(2*AK164)/(1000*(1/$R164+AJ164))),"---")</f>
        <v>NA</v>
      </c>
      <c r="AM164" s="376" t="str">
        <f>IF(Start!$C$18="x",IF(AL164 = "NA", "NA", AL164*(Data!$D$52*Data!$D$53*10000)),"---")</f>
        <v>NA</v>
      </c>
      <c r="AN164" s="376" t="str">
        <f>IF(Start!$C$18="x",IF(AM164 = "NA", "NA", AM164*(Data!$D$54)),"---")</f>
        <v>NA</v>
      </c>
      <c r="AO164" s="498" t="str">
        <f>IF(Start!$C$18="x",IF(AN164="NA","NA",AN164*Data!$D$41),"---")</f>
        <v>NA</v>
      </c>
      <c r="AP164" s="376">
        <f>IF(Start!$C$18="x",IF(OR(Q164=0,N164="NA",N164="",AG164="NA",AG164="",AG164=0,Q164="",Q164="NA"),"NA", (3.1416*Data!$D$56*86400/($AG164*(Data!$D$55+(N164*Data!$D$19/(Q164*1000)))))^0.5),"---")</f>
        <v>40437.64025952536</v>
      </c>
      <c r="AQ164" s="376" t="str">
        <f>IF(Start!$C$18="x",IF(OR(AH164="NA",AI164="NA",AI164="",AI164=0,AH164=""),"NA", AH164/AI164),"---")</f>
        <v>NA</v>
      </c>
      <c r="AR164" s="376" t="str">
        <f>IF(Start!$C$18="x",IF(OR(AQ164="NA",AP164="NA",$R164="NA",R164=0,R164=""),"NA",(2*AQ164)/(1000*(1/$R164+AP164))),"---")</f>
        <v>NA</v>
      </c>
      <c r="AS164" s="376" t="str">
        <f>IF(Start!$C$18="x",IF(AR164 = "NA", "NA", AR164*(Data!$D$52*Data!$D$53*10000)),"---")</f>
        <v>NA</v>
      </c>
      <c r="AT164" s="376" t="str">
        <f>IF(Start!$C$18="x",IF(AS164 = "NA", "NA", (AS164*1000)/(Data!$D$48*3*Data!$D$53)),"---")</f>
        <v>NA</v>
      </c>
      <c r="AU164" s="498" t="str">
        <f>IF(Start!$C$18="x",IF(AT164="NA","NA",AT164*Data!$D$47),"---")</f>
        <v>NA</v>
      </c>
      <c r="AV164" s="283" t="str">
        <f>IF(Start!$C$18="x",(IF(AND(F164="",G164= "",G164&lt;&gt;"NA"),"",IF(OR(AD164="NA",I164="NA",I164=0),"NA",(AD164/I164)))),"Not Req.")</f>
        <v/>
      </c>
      <c r="AW164" s="284" t="str">
        <f>IF(Start!$C$18="x",(IF(AND(F164="",G164= "",G164&lt;&gt;"NA"),"",IF(OR(AF164="NA",I164="NA",I164=0),"NA",(AF164/I164)))),"Not Req.")</f>
        <v/>
      </c>
      <c r="AX164" s="284" t="str">
        <f>IF(Start!$C$18="x",(IF(F164 ="","",IF(OR(AO164="NA",I164="NA",I164=0),"NA",(AO164/I164)))),"Not Req.")</f>
        <v/>
      </c>
      <c r="AY164" s="344" t="str">
        <f>IF(Start!$C$18="x",(IF(F164 ="","",IF(OR(AU164="NA",I164="NA",I164=0),"NA",(AU164/I164)))),"Not Req.")</f>
        <v/>
      </c>
      <c r="AZ164" s="208"/>
    </row>
    <row r="165" spans="1:52" s="183" customFormat="1" x14ac:dyDescent="0.25">
      <c r="A165" s="405" t="s">
        <v>483</v>
      </c>
      <c r="B165" s="347" t="str">
        <f>IF(Start!$C$18="x",IF(AND(OR(F165="",F165="NA"),OR(G165="",G165="NA")),"",IF(I165="NA","NA",IF(AND(I165="",K165="--"),"NA",IF(AD165="NA","Missing Data",IF(I165="","No Criteria",IF(AD165&gt;=I165,"Needed","No")))))),"---")</f>
        <v/>
      </c>
      <c r="C165" s="501" t="str">
        <f>IF(Start!$C$18="x",IF(AND(OR(F165="",F165="NA"),OR(G165="",G165="NA")),"",IF(I165="NA","NA",IF(AND(I165="",K165="--"),"NA",IF(AF165="NA","Missing Data",IF(I165="","No Criteria",IF(AF165&gt;=I165,"Needed","No")))))),"---")</f>
        <v/>
      </c>
      <c r="D165" s="347" t="str">
        <f>IF(Start!$C$18="x",IF(AND(OR(F165="",F165="NA"),OR(G165="",G165="NA")),"",IF(I165="NA","NA",IF(AND(I165="",K165="--"),"NA",IF(AO165="NA","Missing Data",IF(I165="","No Criteria",IF(AO165&gt;=I165,"Needed","No")))))),"---")</f>
        <v/>
      </c>
      <c r="E165" s="401" t="str">
        <f>IF(Start!$C$18="x",IF(AND(OR(F165="",F165="NA"),OR(G165="",G165="NA")),"",IF(I165="NA","NA",IF(AND(I165="",K165="--"),"NA",IF(AU165="NA","Missing Data",IF(I165="","No Criteria",IF(AU165&gt;=I165,"Needed","No")))))),"---")</f>
        <v/>
      </c>
      <c r="F165" s="431" t="str">
        <f>IF(TRUE=ISBLANK(ChemData!B165),"",(ChemData!B165))</f>
        <v/>
      </c>
      <c r="G165" s="432" t="str">
        <f>IF(TRUE=ISBLANK(ChemData!C165),"",(ChemData!C165))</f>
        <v/>
      </c>
      <c r="H165" s="433" t="str">
        <f>IF(TRUE=ISBLANK(ChemData!D165),"",(ChemData!D165))</f>
        <v/>
      </c>
      <c r="I165" s="919" t="str">
        <f>IF(TRUE=ISBLANK(ChemData!K165),"",(ChemData!K165))</f>
        <v>NA</v>
      </c>
      <c r="J165" s="290">
        <f>IF(TRUE=ISBLANK(ChemData!M165),"",(ChemData!M165))</f>
        <v>96.94</v>
      </c>
      <c r="K165" s="290">
        <f>IF(TRUE=ISBLANK(ChemData!N165),"",(ChemData!N165))</f>
        <v>9.4500000000000001E-3</v>
      </c>
      <c r="L165" s="290">
        <f>IF(TRUE=ISBLANK(ChemData!O165),"",(ChemData!O165))</f>
        <v>7.0699999999999999E-2</v>
      </c>
      <c r="M165" s="290">
        <f>IF(TRUE=ISBLANK(ChemData!Q165),"",(ChemData!Q165))</f>
        <v>1.5754565087125991</v>
      </c>
      <c r="N165" s="290">
        <f>IF(TRUE=ISBLANK(ChemData!R165),"",(ChemData!R165))</f>
        <v>1.5754565087125991</v>
      </c>
      <c r="O165" s="290">
        <f>IF(TRUE=ISBLANK(ChemData!S165),"",(ChemData!S165))</f>
        <v>1</v>
      </c>
      <c r="P165" s="291">
        <f>IF(TRUE=ISBLANK(ChemData!T165),"",(ChemData!T165))</f>
        <v>1</v>
      </c>
      <c r="Q165" s="375">
        <f>IF(Start!$C$18="x",IF(OR(K165="NA",K165="",K165="--"),"NA",(K165*1000000/82.1/Data!$D$50)),"---")</f>
        <v>0.37130171702487136</v>
      </c>
      <c r="R165" s="376">
        <f>IF(Start!$C$18="x",IF(OR(J165="NA",J165=0,J165=""),"NA",(0.32*(Data!$D$48+Data!$D$49)*(18/J165)^0.5)),"---")</f>
        <v>0.3550683455597925</v>
      </c>
      <c r="S165" s="376">
        <f>IF(Start!$C$18="x",IF(OR(J165="NA",J165= 0,J165=""),"NA",(0.0065*((Data!$D$49^0.969)/(Data!$D$51^0.673))*(32/J165)^0.5*EXP(0.526*Data!$D$48^-1.9))),"---")</f>
        <v>7.4838679534836711E-4</v>
      </c>
      <c r="T165" s="377">
        <f>IF(Start!$C$18="x",IF(OR(S165="NA",R165="NA",R165=0,Q165="NA",S165=0,Q165=0),"NA",(1/(1/S165+(1/(R165*Q165))))),"---")</f>
        <v>7.4416249315017015E-4</v>
      </c>
      <c r="U165" s="375" t="str">
        <f>IF(Start!$C$18="x",IF(OR(F165="NA",F165="",O165="",O165="NA"),"NA",(F165*$O165)),"---")</f>
        <v>NA</v>
      </c>
      <c r="V165" s="376" t="str">
        <f>IF(Start!$C$18="x",IF(OR(U165="NA",M165="NA",M165="",U165=""),"NA",U165/((Data!$D$18+((1-Data!$D$18)*Data!$D$14*M165))/((1-Data!$D$18)*Data!$D$14*1000))),"---")</f>
        <v>NA</v>
      </c>
      <c r="W165" s="376" t="str">
        <f>IF(Start!$C$18="x",IF(OR(G165="NA",U165="NA",G165="",U165=""),"NA",(U165 +($G165*(Data!$D$19-Data!$D$22)/(Data!$D$19*Data!$D$22)))),"---")</f>
        <v>NA</v>
      </c>
      <c r="X165" s="376" t="str">
        <f>IF(Start!$C$18="x",IF(OR(G165="NA",V165="NA",G165="",V165=""),"NA",(((Data!$D$22*Data!$D$18)*V165)+(Data!$D$19-Data!$D$22)*$G165)/((Data!$D$22*Data!$D$18)+Data!$D$19-Data!$D$22)),"---")</f>
        <v>NA</v>
      </c>
      <c r="Y165" s="376" t="str">
        <f>IF(Start!$C$18="x",IF(OR(W165="NA",W165="",M165="NA",M165=""),"NA",(W165/((Data!$D$23+((1-Data!$D$23)*Data!$D$14*M165)) /((1-Data!$D$23)*Data!$D$14*1000)))),"---")</f>
        <v>NA</v>
      </c>
      <c r="Z165" s="376" t="str">
        <f>IF(Start!$C$18="x",IF(OR(Y165="NA",X165="NA"),"NA",IF(Y165&gt;X165, Y165, X165)),"---")</f>
        <v>NA</v>
      </c>
      <c r="AA165" s="461" t="str">
        <f>IF(Start!$C$18="x",IF(OR(Z165="NA",T165="NA"),"NA",Z165*T165/(1000000000)),"---")</f>
        <v>NA</v>
      </c>
      <c r="AB165" s="1057" t="str">
        <f>IF(Start!$C$18="x",IF(AA165 = "NA", "NA", AA165*(Data!$D$52*Data!$D$53*10000)),"---")</f>
        <v>NA</v>
      </c>
      <c r="AC165" s="375" t="str">
        <f>IF(Start!$C$18="x",IF(AB165="NA", "NA", AB165*Data!$D$54),"---")</f>
        <v>NA</v>
      </c>
      <c r="AD165" s="498" t="str">
        <f>IF(Start!$C$18="x",IF(AC165="NA","NA",AC165*Data!$D$41),"---")</f>
        <v>NA</v>
      </c>
      <c r="AE165" s="376" t="str">
        <f>IF(Start!$C$18="x",IF(AB165 = "NA", "NA", AB165/(Data!$D$53*3*Data!$D$48)*1000),"---")</f>
        <v>NA</v>
      </c>
      <c r="AF165" s="498" t="str">
        <f>IF(Start!$C$18="x",IF(AE165="NA","NA",AE165*Data!$D$46),"---")</f>
        <v>NA</v>
      </c>
      <c r="AG165" s="375">
        <f>IF(Start!$C$18="x",IF(OR($L165="NA",L165=""),"NA",($L165*(Data!$D$55^3.33)/(Data!$D$18^2))),"---")</f>
        <v>7.202558022056945E-4</v>
      </c>
      <c r="AH165" s="376" t="str">
        <f>IF(Start!$C$18="x",IF(OR(F165="NA",F165="",P165="NA",P165=""),"NA",IF(100/Data!$D$10&gt;Data!$D$13,(F165*$P165),(F165*$P165)*Data!$D$13)),"---")</f>
        <v>NA</v>
      </c>
      <c r="AI165" s="489">
        <f>IF(Start!$C$18="x",IF(OR($N165="NA",$Q165="NA",$Q165=0,Q165="",N165=""),"NA",(1000*$N165/$Q165)),"---")</f>
        <v>4243.0628151581332</v>
      </c>
      <c r="AJ165" s="376">
        <f>IF(Start!$C$18="x",IF(OR(Q165 = "NA",Q165=0,N165 = "NA",N165="",Q165=""), "NA", IF($AG165="NA","NA",(3.1416*Data!$D$57*86400/($AG165*(Data!$D$55+(N165*Data!$D$19/(Q165*1000)))))^0.5)),"---")</f>
        <v>54517.503145025839</v>
      </c>
      <c r="AK165" s="376" t="str">
        <f>IF(Start!$C$18="x",IF(OR(AH165 = "NA",AI165="NA",AI165=0,AI165="",AH165=""), "NA", AH165/AI165),"---")</f>
        <v>NA</v>
      </c>
      <c r="AL165" s="376" t="str">
        <f>IF(Start!$C$18="x",IF(OR(AK165 ="NA",AK165="",AJ165= "NA",R165="NA",R165=0),"NA",(2*AK165)/(1000*(1/$R165+AJ165))),"---")</f>
        <v>NA</v>
      </c>
      <c r="AM165" s="376" t="str">
        <f>IF(Start!$C$18="x",IF(AL165 = "NA", "NA", AL165*(Data!$D$52*Data!$D$53*10000)),"---")</f>
        <v>NA</v>
      </c>
      <c r="AN165" s="376" t="str">
        <f>IF(Start!$C$18="x",IF(AM165 = "NA", "NA", AM165*(Data!$D$54)),"---")</f>
        <v>NA</v>
      </c>
      <c r="AO165" s="498" t="str">
        <f>IF(Start!$C$18="x",IF(AN165="NA","NA",AN165*Data!$D$41),"---")</f>
        <v>NA</v>
      </c>
      <c r="AP165" s="376">
        <f>IF(Start!$C$18="x",IF(OR(Q165=0,N165="NA",N165="",AG165="NA",AG165="",AG165=0,Q165="",Q165="NA"),"NA", (3.1416*Data!$D$56*86400/($AG165*(Data!$D$55+(N165*Data!$D$19/(Q165*1000)))))^0.5),"---")</f>
        <v>54517.503145025839</v>
      </c>
      <c r="AQ165" s="376" t="str">
        <f>IF(Start!$C$18="x",IF(OR(AH165="NA",AI165="NA",AI165="",AI165=0,AH165=""),"NA", AH165/AI165),"---")</f>
        <v>NA</v>
      </c>
      <c r="AR165" s="376" t="str">
        <f>IF(Start!$C$18="x",IF(OR(AQ165="NA",AP165="NA",$R165="NA",R165=0,R165=""),"NA",(2*AQ165)/(1000*(1/$R165+AP165))),"---")</f>
        <v>NA</v>
      </c>
      <c r="AS165" s="376" t="str">
        <f>IF(Start!$C$18="x",IF(AR165 = "NA", "NA", AR165*(Data!$D$52*Data!$D$53*10000)),"---")</f>
        <v>NA</v>
      </c>
      <c r="AT165" s="376" t="str">
        <f>IF(Start!$C$18="x",IF(AS165 = "NA", "NA", (AS165*1000)/(Data!$D$48*3*Data!$D$53)),"---")</f>
        <v>NA</v>
      </c>
      <c r="AU165" s="498" t="str">
        <f>IF(Start!$C$18="x",IF(AT165="NA","NA",AT165*Data!$D$47),"---")</f>
        <v>NA</v>
      </c>
      <c r="AV165" s="283" t="str">
        <f>IF(Start!$C$18="x",(IF(AND(F165="",G165= "",G165&lt;&gt;"NA"),"",IF(OR(AD165="NA",I165="NA",I165=0),"NA",(AD165/I165)))),"Not Req.")</f>
        <v/>
      </c>
      <c r="AW165" s="284" t="str">
        <f>IF(Start!$C$18="x",(IF(AND(F165="",G165= "",G165&lt;&gt;"NA"),"",IF(OR(AF165="NA",I165="NA",I165=0),"NA",(AF165/I165)))),"Not Req.")</f>
        <v/>
      </c>
      <c r="AX165" s="284" t="str">
        <f>IF(Start!$C$18="x",(IF(F165 ="","",IF(OR(AO165="NA",I165="NA",I165=0),"NA",(AO165/I165)))),"Not Req.")</f>
        <v/>
      </c>
      <c r="AY165" s="344" t="str">
        <f>IF(Start!$C$18="x",(IF(F165 ="","",IF(OR(AU165="NA",I165="NA",I165=0),"NA",(AU165/I165)))),"Not Req.")</f>
        <v/>
      </c>
      <c r="AZ165" s="208"/>
    </row>
    <row r="166" spans="1:52" s="183" customFormat="1" x14ac:dyDescent="0.25">
      <c r="A166" s="405" t="s">
        <v>484</v>
      </c>
      <c r="B166" s="347" t="str">
        <f>IF(Start!$C$18="x",IF(AND(OR(F166="",F166="NA"),OR(G166="",G166="NA")),"",IF(I166="NA","NA",IF(AND(I166="",K166="--"),"NA",IF(AD166="NA","Missing Data",IF(I166="","No Criteria",IF(AD166&gt;=I166,"Needed","No")))))),"---")</f>
        <v/>
      </c>
      <c r="C166" s="501" t="str">
        <f>IF(Start!$C$18="x",IF(AND(OR(F166="",F166="NA"),OR(G166="",G166="NA")),"",IF(I166="NA","NA",IF(AND(I166="",K166="--"),"NA",IF(AF166="NA","Missing Data",IF(I166="","No Criteria",IF(AF166&gt;=I166,"Needed","No")))))),"---")</f>
        <v/>
      </c>
      <c r="D166" s="347" t="str">
        <f>IF(Start!$C$18="x",IF(AND(OR(F166="",F166="NA"),OR(G166="",G166="NA")),"",IF(I166="NA","NA",IF(AND(I166="",K166="--"),"NA",IF(AO166="NA","Missing Data",IF(I166="","No Criteria",IF(AO166&gt;=I166,"Needed","No")))))),"---")</f>
        <v/>
      </c>
      <c r="E166" s="401" t="str">
        <f>IF(Start!$C$18="x",IF(AND(OR(F166="",F166="NA"),OR(G166="",G166="NA")),"",IF(I166="NA","NA",IF(AND(I166="",K166="--"),"NA",IF(AU166="NA","Missing Data",IF(I166="","No Criteria",IF(AU166&gt;=I166,"Needed","No")))))),"---")</f>
        <v/>
      </c>
      <c r="F166" s="431" t="str">
        <f>IF(TRUE=ISBLANK(ChemData!B166),"",(ChemData!B166))</f>
        <v/>
      </c>
      <c r="G166" s="432" t="str">
        <f>IF(TRUE=ISBLANK(ChemData!C166),"",(ChemData!C166))</f>
        <v/>
      </c>
      <c r="H166" s="433" t="str">
        <f>IF(TRUE=ISBLANK(ChemData!D166),"",(ChemData!D166))</f>
        <v/>
      </c>
      <c r="I166" s="919" t="str">
        <f>IF(TRUE=ISBLANK(ChemData!K166),"",(ChemData!K166))</f>
        <v>NA</v>
      </c>
      <c r="J166" s="290">
        <f>IF(TRUE=ISBLANK(ChemData!M166),"",(ChemData!M166))</f>
        <v>113</v>
      </c>
      <c r="K166" s="290">
        <f>IF(TRUE=ISBLANK(ChemData!N166),"",(ChemData!N166))</f>
        <v>2.8E-3</v>
      </c>
      <c r="L166" s="290">
        <f>IF(TRUE=ISBLANK(ChemData!O166),"",(ChemData!O166))</f>
        <v>7.8200000000000006E-2</v>
      </c>
      <c r="M166" s="290">
        <f>IF(TRUE=ISBLANK(ChemData!Q166),"",(ChemData!Q166))</f>
        <v>1.9382349424422154</v>
      </c>
      <c r="N166" s="290">
        <f>IF(TRUE=ISBLANK(ChemData!R166),"",(ChemData!R166))</f>
        <v>1.9382349424422154</v>
      </c>
      <c r="O166" s="290">
        <f>IF(TRUE=ISBLANK(ChemData!S166),"",(ChemData!S166))</f>
        <v>1</v>
      </c>
      <c r="P166" s="291">
        <f>IF(TRUE=ISBLANK(ChemData!T166),"",(ChemData!T166))</f>
        <v>1</v>
      </c>
      <c r="Q166" s="375">
        <f>IF(Start!$C$18="x",IF(OR(K166="NA",K166="",K166="--"),"NA",(K166*1000000/82.1/Data!$D$50)),"---")</f>
        <v>0.11001532356292484</v>
      </c>
      <c r="R166" s="376">
        <f>IF(Start!$C$18="x",IF(OR(J166="NA",J166=0,J166=""),"NA",(0.32*(Data!$D$48+Data!$D$49)*(18/J166)^0.5)),"---")</f>
        <v>0.32886998802953832</v>
      </c>
      <c r="S166" s="376">
        <f>IF(Start!$C$18="x",IF(OR(J166="NA",J166= 0,J166=""),"NA",(0.0065*((Data!$D$49^0.969)/(Data!$D$51^0.673))*(32/J166)^0.5*EXP(0.526*Data!$D$48^-1.9))),"---")</f>
        <v>6.9316783516607731E-4</v>
      </c>
      <c r="T166" s="377">
        <f>IF(Start!$C$18="x",IF(OR(S166="NA",R166="NA",R166=0,Q166="NA",S166=0,Q166=0),"NA",(1/(1/S166+(1/(R166*Q166))))),"---")</f>
        <v>6.8013743778993108E-4</v>
      </c>
      <c r="U166" s="375" t="str">
        <f>IF(Start!$C$18="x",IF(OR(F166="NA",F166="",O166="",O166="NA"),"NA",(F166*$O166)),"---")</f>
        <v>NA</v>
      </c>
      <c r="V166" s="376" t="str">
        <f>IF(Start!$C$18="x",IF(OR(U166="NA",M166="NA",M166="",U166=""),"NA",U166/((Data!$D$18+((1-Data!$D$18)*Data!$D$14*M166))/((1-Data!$D$18)*Data!$D$14*1000))),"---")</f>
        <v>NA</v>
      </c>
      <c r="W166" s="376" t="str">
        <f>IF(Start!$C$18="x",IF(OR(G166="NA",U166="NA",G166="",U166=""),"NA",(U166 +($G166*(Data!$D$19-Data!$D$22)/(Data!$D$19*Data!$D$22)))),"---")</f>
        <v>NA</v>
      </c>
      <c r="X166" s="376" t="str">
        <f>IF(Start!$C$18="x",IF(OR(G166="NA",V166="NA",G166="",V166=""),"NA",(((Data!$D$22*Data!$D$18)*V166)+(Data!$D$19-Data!$D$22)*$G166)/((Data!$D$22*Data!$D$18)+Data!$D$19-Data!$D$22)),"---")</f>
        <v>NA</v>
      </c>
      <c r="Y166" s="376" t="str">
        <f>IF(Start!$C$18="x",IF(OR(W166="NA",W166="",M166="NA",M166=""),"NA",(W166/((Data!$D$23+((1-Data!$D$23)*Data!$D$14*M166)) /((1-Data!$D$23)*Data!$D$14*1000)))),"---")</f>
        <v>NA</v>
      </c>
      <c r="Z166" s="376" t="str">
        <f>IF(Start!$C$18="x",IF(OR(Y166="NA",X166="NA"),"NA",IF(Y166&gt;X166, Y166, X166)),"---")</f>
        <v>NA</v>
      </c>
      <c r="AA166" s="461" t="str">
        <f>IF(Start!$C$18="x",IF(OR(Z166="NA",T166="NA"),"NA",Z166*T166/(1000000000)),"---")</f>
        <v>NA</v>
      </c>
      <c r="AB166" s="1057" t="str">
        <f>IF(Start!$C$18="x",IF(AA166 = "NA", "NA", AA166*(Data!$D$52*Data!$D$53*10000)),"---")</f>
        <v>NA</v>
      </c>
      <c r="AC166" s="375" t="str">
        <f>IF(Start!$C$18="x",IF(AB166="NA", "NA", AB166*Data!$D$54),"---")</f>
        <v>NA</v>
      </c>
      <c r="AD166" s="498" t="str">
        <f>IF(Start!$C$18="x",IF(AC166="NA","NA",AC166*Data!$D$41),"---")</f>
        <v>NA</v>
      </c>
      <c r="AE166" s="376" t="str">
        <f>IF(Start!$C$18="x",IF(AB166 = "NA", "NA", AB166/(Data!$D$53*3*Data!$D$48)*1000),"---")</f>
        <v>NA</v>
      </c>
      <c r="AF166" s="498" t="str">
        <f>IF(Start!$C$18="x",IF(AE166="NA","NA",AE166*Data!$D$46),"---")</f>
        <v>NA</v>
      </c>
      <c r="AG166" s="375">
        <f>IF(Start!$C$18="x",IF(OR($L166="NA",L166=""),"NA",($L166*(Data!$D$55^3.33)/(Data!$D$18^2))),"---")</f>
        <v>7.9666200470276255E-4</v>
      </c>
      <c r="AH166" s="376" t="str">
        <f>IF(Start!$C$18="x",IF(OR(F166="NA",F166="",P166="NA",P166=""),"NA",IF(100/Data!$D$10&gt;Data!$D$13,(F166*$P166),(F166*$P166)*Data!$D$13)),"---")</f>
        <v>NA</v>
      </c>
      <c r="AI166" s="489">
        <f>IF(Start!$C$18="x",IF(OR($N166="NA",$Q166="NA",$Q166=0,Q166="",N166=""),"NA",(1000*$N166/$Q166)),"---")</f>
        <v>17617.863400034581</v>
      </c>
      <c r="AJ166" s="376">
        <f>IF(Start!$C$18="x",IF(OR(Q166 = "NA",Q166=0,N166 = "NA",N166="",Q166=""), "NA", IF($AG166="NA","NA",(3.1416*Data!$D$57*86400/($AG166*(Data!$D$55+(N166*Data!$D$19/(Q166*1000)))))^0.5)),"---")</f>
        <v>25962.7428640504</v>
      </c>
      <c r="AK166" s="376" t="str">
        <f>IF(Start!$C$18="x",IF(OR(AH166 = "NA",AI166="NA",AI166=0,AI166="",AH166=""), "NA", AH166/AI166),"---")</f>
        <v>NA</v>
      </c>
      <c r="AL166" s="376" t="str">
        <f>IF(Start!$C$18="x",IF(OR(AK166 ="NA",AK166="",AJ166= "NA",R166="NA",R166=0),"NA",(2*AK166)/(1000*(1/$R166+AJ166))),"---")</f>
        <v>NA</v>
      </c>
      <c r="AM166" s="376" t="str">
        <f>IF(Start!$C$18="x",IF(AL166 = "NA", "NA", AL166*(Data!$D$52*Data!$D$53*10000)),"---")</f>
        <v>NA</v>
      </c>
      <c r="AN166" s="376" t="str">
        <f>IF(Start!$C$18="x",IF(AM166 = "NA", "NA", AM166*(Data!$D$54)),"---")</f>
        <v>NA</v>
      </c>
      <c r="AO166" s="498" t="str">
        <f>IF(Start!$C$18="x",IF(AN166="NA","NA",AN166*Data!$D$41),"---")</f>
        <v>NA</v>
      </c>
      <c r="AP166" s="376">
        <f>IF(Start!$C$18="x",IF(OR(Q166=0,N166="NA",N166="",AG166="NA",AG166="",AG166=0,Q166="",Q166="NA"),"NA", (3.1416*Data!$D$56*86400/($AG166*(Data!$D$55+(N166*Data!$D$19/(Q166*1000)))))^0.5),"---")</f>
        <v>25962.7428640504</v>
      </c>
      <c r="AQ166" s="376" t="str">
        <f>IF(Start!$C$18="x",IF(OR(AH166="NA",AI166="NA",AI166="",AI166=0,AH166=""),"NA", AH166/AI166),"---")</f>
        <v>NA</v>
      </c>
      <c r="AR166" s="376" t="str">
        <f>IF(Start!$C$18="x",IF(OR(AQ166="NA",AP166="NA",$R166="NA",R166=0,R166=""),"NA",(2*AQ166)/(1000*(1/$R166+AP166))),"---")</f>
        <v>NA</v>
      </c>
      <c r="AS166" s="376" t="str">
        <f>IF(Start!$C$18="x",IF(AR166 = "NA", "NA", AR166*(Data!$D$52*Data!$D$53*10000)),"---")</f>
        <v>NA</v>
      </c>
      <c r="AT166" s="376" t="str">
        <f>IF(Start!$C$18="x",IF(AS166 = "NA", "NA", (AS166*1000)/(Data!$D$48*3*Data!$D$53)),"---")</f>
        <v>NA</v>
      </c>
      <c r="AU166" s="498" t="str">
        <f>IF(Start!$C$18="x",IF(AT166="NA","NA",AT166*Data!$D$47),"---")</f>
        <v>NA</v>
      </c>
      <c r="AV166" s="283" t="str">
        <f>IF(Start!$C$18="x",(IF(AND(F166="",G166= "",G166&lt;&gt;"NA"),"",IF(OR(AD166="NA",I166="NA",I166=0),"NA",(AD166/I166)))),"Not Req.")</f>
        <v/>
      </c>
      <c r="AW166" s="284" t="str">
        <f>IF(Start!$C$18="x",(IF(AND(F166="",G166= "",G166&lt;&gt;"NA"),"",IF(OR(AF166="NA",I166="NA",I166=0),"NA",(AF166/I166)))),"Not Req.")</f>
        <v/>
      </c>
      <c r="AX166" s="284" t="str">
        <f>IF(Start!$C$18="x",(IF(F166 ="","",IF(OR(AO166="NA",I166="NA",I166=0),"NA",(AO166/I166)))),"Not Req.")</f>
        <v/>
      </c>
      <c r="AY166" s="344" t="str">
        <f>IF(Start!$C$18="x",(IF(F166 ="","",IF(OR(AU166="NA",I166="NA",I166=0),"NA",(AU166/I166)))),"Not Req.")</f>
        <v/>
      </c>
      <c r="AZ166" s="208"/>
    </row>
    <row r="167" spans="1:52" s="183" customFormat="1" x14ac:dyDescent="0.25">
      <c r="A167" s="405" t="s">
        <v>485</v>
      </c>
      <c r="B167" s="347" t="str">
        <f>IF(Start!$C$18="x",IF(AND(OR(F167="",F167="NA"),OR(G167="",G167="NA")),"",IF(I167="NA","NA",IF(AND(I167="",K167="--"),"NA",IF(AD167="NA","Missing Data",IF(I167="","No Criteria",IF(AD167&gt;=I167,"Needed","No")))))),"---")</f>
        <v/>
      </c>
      <c r="C167" s="501" t="str">
        <f>IF(Start!$C$18="x",IF(AND(OR(F167="",F167="NA"),OR(G167="",G167="NA")),"",IF(I167="NA","NA",IF(AND(I167="",K167="--"),"NA",IF(AF167="NA","Missing Data",IF(I167="","No Criteria",IF(AF167&gt;=I167,"Needed","No")))))),"---")</f>
        <v/>
      </c>
      <c r="D167" s="347" t="str">
        <f>IF(Start!$C$18="x",IF(AND(OR(F167="",F167="NA"),OR(G167="",G167="NA")),"",IF(I167="NA","NA",IF(AND(I167="",K167="--"),"NA",IF(AO167="NA","Missing Data",IF(I167="","No Criteria",IF(AO167&gt;=I167,"Needed","No")))))),"---")</f>
        <v/>
      </c>
      <c r="E167" s="401" t="str">
        <f>IF(Start!$C$18="x",IF(AND(OR(F167="",F167="NA"),OR(G167="",G167="NA")),"",IF(I167="NA","NA",IF(AND(I167="",K167="--"),"NA",IF(AU167="NA","Missing Data",IF(I167="","No Criteria",IF(AU167&gt;=I167,"Needed","No")))))),"---")</f>
        <v/>
      </c>
      <c r="F167" s="431" t="str">
        <f>IF(TRUE=ISBLANK(ChemData!B167),"",(ChemData!B167))</f>
        <v/>
      </c>
      <c r="G167" s="432" t="str">
        <f>IF(TRUE=ISBLANK(ChemData!C167),"",(ChemData!C167))</f>
        <v/>
      </c>
      <c r="H167" s="433" t="str">
        <f>IF(TRUE=ISBLANK(ChemData!D167),"",(ChemData!D167))</f>
        <v/>
      </c>
      <c r="I167" s="919" t="str">
        <f>IF(TRUE=ISBLANK(ChemData!K167),"",(ChemData!K167))</f>
        <v>NA</v>
      </c>
      <c r="J167" s="290">
        <f>IF(TRUE=ISBLANK(ChemData!M167),"",(ChemData!M167))</f>
        <v>110.97</v>
      </c>
      <c r="K167" s="290">
        <f>IF(TRUE=ISBLANK(ChemData!N167),"",(ChemData!N167))</f>
        <v>2.3999999999999998E-3</v>
      </c>
      <c r="L167" s="290">
        <f>IF(TRUE=ISBLANK(ChemData!O167),"",(ChemData!O167))</f>
        <v>6.2600000000000003E-2</v>
      </c>
      <c r="M167" s="290">
        <f>IF(TRUE=ISBLANK(ChemData!Q167),"",(ChemData!Q167))</f>
        <v>0.47578025939051682</v>
      </c>
      <c r="N167" s="290">
        <f>IF(TRUE=ISBLANK(ChemData!R167),"",(ChemData!R167))</f>
        <v>0.47578025939051682</v>
      </c>
      <c r="O167" s="290">
        <f>IF(TRUE=ISBLANK(ChemData!S167),"",(ChemData!S167))</f>
        <v>1</v>
      </c>
      <c r="P167" s="291">
        <f>IF(TRUE=ISBLANK(ChemData!T167),"",(ChemData!T167))</f>
        <v>1</v>
      </c>
      <c r="Q167" s="375">
        <f>IF(Start!$C$18="x",IF(OR(K167="NA",K167="",K167="--"),"NA",(K167*1000000/82.1/Data!$D$50)),"---")</f>
        <v>9.4298848768221297E-2</v>
      </c>
      <c r="R167" s="376">
        <f>IF(Start!$C$18="x",IF(OR(J167="NA",J167=0,J167=""),"NA",(0.32*(Data!$D$48+Data!$D$49)*(18/J167)^0.5)),"---")</f>
        <v>0.33186440326937727</v>
      </c>
      <c r="S167" s="376">
        <f>IF(Start!$C$18="x",IF(OR(J167="NA",J167= 0,J167=""),"NA",(0.0065*((Data!$D$49^0.969)/(Data!$D$51^0.673))*(32/J167)^0.5*EXP(0.526*Data!$D$48^-1.9))),"---")</f>
        <v>6.9947924212000409E-4</v>
      </c>
      <c r="T167" s="377">
        <f>IF(Start!$C$18="x",IF(OR(S167="NA",R167="NA",R167=0,Q167="NA",S167=0,Q167=0),"NA",(1/(1/S167+(1/(R167*Q167))))),"---")</f>
        <v>6.8418660662246866E-4</v>
      </c>
      <c r="U167" s="375" t="str">
        <f>IF(Start!$C$18="x",IF(OR(F167="NA",F167="",O167="",O167="NA"),"NA",(F167*$O167)),"---")</f>
        <v>NA</v>
      </c>
      <c r="V167" s="376" t="str">
        <f>IF(Start!$C$18="x",IF(OR(U167="NA",M167="NA",M167="",U167=""),"NA",U167/((Data!$D$18+((1-Data!$D$18)*Data!$D$14*M167))/((1-Data!$D$18)*Data!$D$14*1000))),"---")</f>
        <v>NA</v>
      </c>
      <c r="W167" s="376" t="str">
        <f>IF(Start!$C$18="x",IF(OR(G167="NA",U167="NA",G167="",U167=""),"NA",(U167 +($G167*(Data!$D$19-Data!$D$22)/(Data!$D$19*Data!$D$22)))),"---")</f>
        <v>NA</v>
      </c>
      <c r="X167" s="376" t="str">
        <f>IF(Start!$C$18="x",IF(OR(G167="NA",V167="NA",G167="",V167=""),"NA",(((Data!$D$22*Data!$D$18)*V167)+(Data!$D$19-Data!$D$22)*$G167)/((Data!$D$22*Data!$D$18)+Data!$D$19-Data!$D$22)),"---")</f>
        <v>NA</v>
      </c>
      <c r="Y167" s="376" t="str">
        <f>IF(Start!$C$18="x",IF(OR(W167="NA",W167="",M167="NA",M167=""),"NA",(W167/((Data!$D$23+((1-Data!$D$23)*Data!$D$14*M167)) /((1-Data!$D$23)*Data!$D$14*1000)))),"---")</f>
        <v>NA</v>
      </c>
      <c r="Z167" s="376" t="str">
        <f>IF(Start!$C$18="x",IF(OR(Y167="NA",X167="NA"),"NA",IF(Y167&gt;X167, Y167, X167)),"---")</f>
        <v>NA</v>
      </c>
      <c r="AA167" s="461" t="str">
        <f>IF(Start!$C$18="x",IF(OR(Z167="NA",T167="NA"),"NA",Z167*T167/(1000000000)),"---")</f>
        <v>NA</v>
      </c>
      <c r="AB167" s="1057" t="str">
        <f>IF(Start!$C$18="x",IF(AA167 = "NA", "NA", AA167*(Data!$D$52*Data!$D$53*10000)),"---")</f>
        <v>NA</v>
      </c>
      <c r="AC167" s="375" t="str">
        <f>IF(Start!$C$18="x",IF(AB167="NA", "NA", AB167*Data!$D$54),"---")</f>
        <v>NA</v>
      </c>
      <c r="AD167" s="498" t="str">
        <f>IF(Start!$C$18="x",IF(AC167="NA","NA",AC167*Data!$D$41),"---")</f>
        <v>NA</v>
      </c>
      <c r="AE167" s="376" t="str">
        <f>IF(Start!$C$18="x",IF(AB167 = "NA", "NA", AB167/(Data!$D$53*3*Data!$D$48)*1000),"---")</f>
        <v>NA</v>
      </c>
      <c r="AF167" s="498" t="str">
        <f>IF(Start!$C$18="x",IF(AE167="NA","NA",AE167*Data!$D$46),"---")</f>
        <v>NA</v>
      </c>
      <c r="AG167" s="375">
        <f>IF(Start!$C$18="x",IF(OR($L167="NA",L167=""),"NA",($L167*(Data!$D$55^3.33)/(Data!$D$18^2))),"---")</f>
        <v>6.3773710350886108E-4</v>
      </c>
      <c r="AH167" s="376" t="str">
        <f>IF(Start!$C$18="x",IF(OR(F167="NA",F167="",P167="NA",P167=""),"NA",IF(100/Data!$D$10&gt;Data!$D$13,(F167*$P167),(F167*$P167)*Data!$D$13)),"---")</f>
        <v>NA</v>
      </c>
      <c r="AI167" s="489">
        <f>IF(Start!$C$18="x",IF(OR($N167="NA",$Q167="NA",$Q167=0,Q167="",N167=""),"NA",(1000*$N167/$Q167)),"---")</f>
        <v>5045.4514090616849</v>
      </c>
      <c r="AJ167" s="376">
        <f>IF(Start!$C$18="x",IF(OR(Q167 = "NA",Q167=0,N167 = "NA",N167="",Q167=""), "NA", IF($AG167="NA","NA",(3.1416*Data!$D$57*86400/($AG167*(Data!$D$55+(N167*Data!$D$19/(Q167*1000)))))^0.5)),"---")</f>
        <v>53354.559452871232</v>
      </c>
      <c r="AK167" s="376" t="str">
        <f>IF(Start!$C$18="x",IF(OR(AH167 = "NA",AI167="NA",AI167=0,AI167="",AH167=""), "NA", AH167/AI167),"---")</f>
        <v>NA</v>
      </c>
      <c r="AL167" s="376" t="str">
        <f>IF(Start!$C$18="x",IF(OR(AK167 ="NA",AK167="",AJ167= "NA",R167="NA",R167=0),"NA",(2*AK167)/(1000*(1/$R167+AJ167))),"---")</f>
        <v>NA</v>
      </c>
      <c r="AM167" s="376" t="str">
        <f>IF(Start!$C$18="x",IF(AL167 = "NA", "NA", AL167*(Data!$D$52*Data!$D$53*10000)),"---")</f>
        <v>NA</v>
      </c>
      <c r="AN167" s="376" t="str">
        <f>IF(Start!$C$18="x",IF(AM167 = "NA", "NA", AM167*(Data!$D$54)),"---")</f>
        <v>NA</v>
      </c>
      <c r="AO167" s="498" t="str">
        <f>IF(Start!$C$18="x",IF(AN167="NA","NA",AN167*Data!$D$41),"---")</f>
        <v>NA</v>
      </c>
      <c r="AP167" s="376">
        <f>IF(Start!$C$18="x",IF(OR(Q167=0,N167="NA",N167="",AG167="NA",AG167="",AG167=0,Q167="",Q167="NA"),"NA", (3.1416*Data!$D$56*86400/($AG167*(Data!$D$55+(N167*Data!$D$19/(Q167*1000)))))^0.5),"---")</f>
        <v>53354.559452871232</v>
      </c>
      <c r="AQ167" s="376" t="str">
        <f>IF(Start!$C$18="x",IF(OR(AH167="NA",AI167="NA",AI167="",AI167=0,AH167=""),"NA", AH167/AI167),"---")</f>
        <v>NA</v>
      </c>
      <c r="AR167" s="376" t="str">
        <f>IF(Start!$C$18="x",IF(OR(AQ167="NA",AP167="NA",$R167="NA",R167=0,R167=""),"NA",(2*AQ167)/(1000*(1/$R167+AP167))),"---")</f>
        <v>NA</v>
      </c>
      <c r="AS167" s="376" t="str">
        <f>IF(Start!$C$18="x",IF(AR167 = "NA", "NA", AR167*(Data!$D$52*Data!$D$53*10000)),"---")</f>
        <v>NA</v>
      </c>
      <c r="AT167" s="376" t="str">
        <f>IF(Start!$C$18="x",IF(AS167 = "NA", "NA", (AS167*1000)/(Data!$D$48*3*Data!$D$53)),"---")</f>
        <v>NA</v>
      </c>
      <c r="AU167" s="498" t="str">
        <f>IF(Start!$C$18="x",IF(AT167="NA","NA",AT167*Data!$D$47),"---")</f>
        <v>NA</v>
      </c>
      <c r="AV167" s="283" t="str">
        <f>IF(Start!$C$18="x",(IF(AND(F167="",G167= "",G167&lt;&gt;"NA"),"",IF(OR(AD167="NA",I167="NA",I167=0),"NA",(AD167/I167)))),"Not Req.")</f>
        <v/>
      </c>
      <c r="AW167" s="284" t="str">
        <f>IF(Start!$C$18="x",(IF(AND(F167="",G167= "",G167&lt;&gt;"NA"),"",IF(OR(AF167="NA",I167="NA",I167=0),"NA",(AF167/I167)))),"Not Req.")</f>
        <v/>
      </c>
      <c r="AX167" s="284" t="str">
        <f>IF(Start!$C$18="x",(IF(F167 ="","",IF(OR(AO167="NA",I167="NA",I167=0),"NA",(AO167/I167)))),"Not Req.")</f>
        <v/>
      </c>
      <c r="AY167" s="344" t="str">
        <f>IF(Start!$C$18="x",(IF(F167 ="","",IF(OR(AU167="NA",I167="NA",I167=0),"NA",(AU167/I167)))),"Not Req.")</f>
        <v/>
      </c>
      <c r="AZ167" s="208"/>
    </row>
    <row r="168" spans="1:52" s="183" customFormat="1" x14ac:dyDescent="0.25">
      <c r="A168" s="405" t="s">
        <v>486</v>
      </c>
      <c r="B168" s="347" t="str">
        <f>IF(Start!$C$18="x",IF(AND(OR(F168="",F168="NA"),OR(G168="",G168="NA")),"",IF(I168="NA","NA",IF(AND(I168="",K168="--"),"NA",IF(AD168="NA","Missing Data",IF(I168="","No Criteria",IF(AD168&gt;=I168,"Needed","No")))))),"---")</f>
        <v/>
      </c>
      <c r="C168" s="501" t="str">
        <f>IF(Start!$C$18="x",IF(AND(OR(F168="",F168="NA"),OR(G168="",G168="NA")),"",IF(I168="NA","NA",IF(AND(I168="",K168="--"),"NA",IF(AF168="NA","Missing Data",IF(I168="","No Criteria",IF(AF168&gt;=I168,"Needed","No")))))),"---")</f>
        <v/>
      </c>
      <c r="D168" s="347" t="str">
        <f>IF(Start!$C$18="x",IF(AND(OR(F168="",F168="NA"),OR(G168="",G168="NA")),"",IF(I168="NA","NA",IF(AND(I168="",K168="--"),"NA",IF(AO168="NA","Missing Data",IF(I168="","No Criteria",IF(AO168&gt;=I168,"Needed","No")))))),"---")</f>
        <v/>
      </c>
      <c r="E168" s="401" t="str">
        <f>IF(Start!$C$18="x",IF(AND(OR(F168="",F168="NA"),OR(G168="",G168="NA")),"",IF(I168="NA","NA",IF(AND(I168="",K168="--"),"NA",IF(AU168="NA","Missing Data",IF(I168="","No Criteria",IF(AU168&gt;=I168,"Needed","No")))))),"---")</f>
        <v/>
      </c>
      <c r="F168" s="431" t="str">
        <f>IF(TRUE=ISBLANK(ChemData!B168),"",(ChemData!B168))</f>
        <v/>
      </c>
      <c r="G168" s="432" t="str">
        <f>IF(TRUE=ISBLANK(ChemData!C168),"",(ChemData!C168))</f>
        <v/>
      </c>
      <c r="H168" s="433" t="str">
        <f>IF(TRUE=ISBLANK(ChemData!D168),"",(ChemData!D168))</f>
        <v/>
      </c>
      <c r="I168" s="919" t="str">
        <f>IF(TRUE=ISBLANK(ChemData!K168),"",(ChemData!K168))</f>
        <v>NA</v>
      </c>
      <c r="J168" s="290">
        <f>IF(TRUE=ISBLANK(ChemData!M168),"",(ChemData!M168))</f>
        <v>110.98</v>
      </c>
      <c r="K168" s="290">
        <f>IF(TRUE=ISBLANK(ChemData!N168),"",(ChemData!N168))</f>
        <v>1.8E-3</v>
      </c>
      <c r="L168" s="290">
        <f>IF(TRUE=ISBLANK(ChemData!O168),"",(ChemData!O168))</f>
        <v>6.2600000000000003E-2</v>
      </c>
      <c r="M168" s="290">
        <f>IF(TRUE=ISBLANK(ChemData!Q168),"",(ChemData!Q168))</f>
        <v>0.47578025939051682</v>
      </c>
      <c r="N168" s="290">
        <f>IF(TRUE=ISBLANK(ChemData!R168),"",(ChemData!R168))</f>
        <v>0.47578025939051682</v>
      </c>
      <c r="O168" s="290">
        <f>IF(TRUE=ISBLANK(ChemData!S168),"",(ChemData!S168))</f>
        <v>1</v>
      </c>
      <c r="P168" s="291">
        <f>IF(TRUE=ISBLANK(ChemData!T168),"",(ChemData!T168))</f>
        <v>1</v>
      </c>
      <c r="Q168" s="375">
        <f>IF(Start!$C$18="x",IF(OR(K168="NA",K168="",K168="--"),"NA",(K168*1000000/82.1/Data!$D$50)),"---")</f>
        <v>7.0724136576165969E-2</v>
      </c>
      <c r="R168" s="376">
        <f>IF(Start!$C$18="x",IF(OR(J168="NA",J168=0,J168=""),"NA",(0.32*(Data!$D$48+Data!$D$49)*(18/J168)^0.5)),"---")</f>
        <v>0.3318494513915895</v>
      </c>
      <c r="S168" s="376">
        <f>IF(Start!$C$18="x",IF(OR(J168="NA",J168= 0,J168=""),"NA",(0.0065*((Data!$D$49^0.969)/(Data!$D$51^0.673))*(32/J168)^0.5*EXP(0.526*Data!$D$48^-1.9))),"---")</f>
        <v>6.9944772765795208E-4</v>
      </c>
      <c r="T168" s="377">
        <f>IF(Start!$C$18="x",IF(OR(S168="NA",R168="NA",R168=0,Q168="NA",S168=0,Q168=0),"NA",(1/(1/S168+(1/(R168*Q168))))),"---")</f>
        <v>6.7920598000334117E-4</v>
      </c>
      <c r="U168" s="375" t="str">
        <f>IF(Start!$C$18="x",IF(OR(F168="NA",F168="",O168="",O168="NA"),"NA",(F168*$O168)),"---")</f>
        <v>NA</v>
      </c>
      <c r="V168" s="376" t="str">
        <f>IF(Start!$C$18="x",IF(OR(U168="NA",M168="NA",M168="",U168=""),"NA",U168/((Data!$D$18+((1-Data!$D$18)*Data!$D$14*M168))/((1-Data!$D$18)*Data!$D$14*1000))),"---")</f>
        <v>NA</v>
      </c>
      <c r="W168" s="376" t="str">
        <f>IF(Start!$C$18="x",IF(OR(G168="NA",U168="NA",G168="",U168=""),"NA",(U168 +($G168*(Data!$D$19-Data!$D$22)/(Data!$D$19*Data!$D$22)))),"---")</f>
        <v>NA</v>
      </c>
      <c r="X168" s="376" t="str">
        <f>IF(Start!$C$18="x",IF(OR(G168="NA",V168="NA",G168="",V168=""),"NA",(((Data!$D$22*Data!$D$18)*V168)+(Data!$D$19-Data!$D$22)*$G168)/((Data!$D$22*Data!$D$18)+Data!$D$19-Data!$D$22)),"---")</f>
        <v>NA</v>
      </c>
      <c r="Y168" s="376" t="str">
        <f>IF(Start!$C$18="x",IF(OR(W168="NA",W168="",M168="NA",M168=""),"NA",(W168/((Data!$D$23+((1-Data!$D$23)*Data!$D$14*M168)) /((1-Data!$D$23)*Data!$D$14*1000)))),"---")</f>
        <v>NA</v>
      </c>
      <c r="Z168" s="376" t="str">
        <f>IF(Start!$C$18="x",IF(OR(Y168="NA",X168="NA"),"NA",IF(Y168&gt;X168, Y168, X168)),"---")</f>
        <v>NA</v>
      </c>
      <c r="AA168" s="461" t="str">
        <f>IF(Start!$C$18="x",IF(OR(Z168="NA",T168="NA"),"NA",Z168*T168/(1000000000)),"---")</f>
        <v>NA</v>
      </c>
      <c r="AB168" s="1057" t="str">
        <f>IF(Start!$C$18="x",IF(AA168 = "NA", "NA", AA168*(Data!$D$52*Data!$D$53*10000)),"---")</f>
        <v>NA</v>
      </c>
      <c r="AC168" s="375" t="str">
        <f>IF(Start!$C$18="x",IF(AB168="NA", "NA", AB168*Data!$D$54),"---")</f>
        <v>NA</v>
      </c>
      <c r="AD168" s="498" t="str">
        <f>IF(Start!$C$18="x",IF(AC168="NA","NA",AC168*Data!$D$41),"---")</f>
        <v>NA</v>
      </c>
      <c r="AE168" s="376" t="str">
        <f>IF(Start!$C$18="x",IF(AB168 = "NA", "NA", AB168/(Data!$D$53*3*Data!$D$48)*1000),"---")</f>
        <v>NA</v>
      </c>
      <c r="AF168" s="498" t="str">
        <f>IF(Start!$C$18="x",IF(AE168="NA","NA",AE168*Data!$D$46),"---")</f>
        <v>NA</v>
      </c>
      <c r="AG168" s="375">
        <f>IF(Start!$C$18="x",IF(OR($L168="NA",L168=""),"NA",($L168*(Data!$D$55^3.33)/(Data!$D$18^2))),"---")</f>
        <v>6.3773710350886108E-4</v>
      </c>
      <c r="AH168" s="376" t="str">
        <f>IF(Start!$C$18="x",IF(OR(F168="NA",F168="",P168="NA",P168=""),"NA",IF(100/Data!$D$10&gt;Data!$D$13,(F168*$P168),(F168*$P168)*Data!$D$13)),"---")</f>
        <v>NA</v>
      </c>
      <c r="AI168" s="489">
        <f>IF(Start!$C$18="x",IF(OR($N168="NA",$Q168="NA",$Q168=0,Q168="",N168=""),"NA",(1000*$N168/$Q168)),"---")</f>
        <v>6727.2685454155799</v>
      </c>
      <c r="AJ168" s="376">
        <f>IF(Start!$C$18="x",IF(OR(Q168 = "NA",Q168=0,N168 = "NA",N168="",Q168=""), "NA", IF($AG168="NA","NA",(3.1416*Data!$D$57*86400/($AG168*(Data!$D$55+(N168*Data!$D$19/(Q168*1000)))))^0.5)),"---")</f>
        <v>46466.115070476168</v>
      </c>
      <c r="AK168" s="376" t="str">
        <f>IF(Start!$C$18="x",IF(OR(AH168 = "NA",AI168="NA",AI168=0,AI168="",AH168=""), "NA", AH168/AI168),"---")</f>
        <v>NA</v>
      </c>
      <c r="AL168" s="376" t="str">
        <f>IF(Start!$C$18="x",IF(OR(AK168 ="NA",AK168="",AJ168= "NA",R168="NA",R168=0),"NA",(2*AK168)/(1000*(1/$R168+AJ168))),"---")</f>
        <v>NA</v>
      </c>
      <c r="AM168" s="376" t="str">
        <f>IF(Start!$C$18="x",IF(AL168 = "NA", "NA", AL168*(Data!$D$52*Data!$D$53*10000)),"---")</f>
        <v>NA</v>
      </c>
      <c r="AN168" s="376" t="str">
        <f>IF(Start!$C$18="x",IF(AM168 = "NA", "NA", AM168*(Data!$D$54)),"---")</f>
        <v>NA</v>
      </c>
      <c r="AO168" s="498" t="str">
        <f>IF(Start!$C$18="x",IF(AN168="NA","NA",AN168*Data!$D$41),"---")</f>
        <v>NA</v>
      </c>
      <c r="AP168" s="376">
        <f>IF(Start!$C$18="x",IF(OR(Q168=0,N168="NA",N168="",AG168="NA",AG168="",AG168=0,Q168="",Q168="NA"),"NA", (3.1416*Data!$D$56*86400/($AG168*(Data!$D$55+(N168*Data!$D$19/(Q168*1000)))))^0.5),"---")</f>
        <v>46466.115070476168</v>
      </c>
      <c r="AQ168" s="376" t="str">
        <f>IF(Start!$C$18="x",IF(OR(AH168="NA",AI168="NA",AI168="",AI168=0,AH168=""),"NA", AH168/AI168),"---")</f>
        <v>NA</v>
      </c>
      <c r="AR168" s="376" t="str">
        <f>IF(Start!$C$18="x",IF(OR(AQ168="NA",AP168="NA",$R168="NA",R168=0,R168=""),"NA",(2*AQ168)/(1000*(1/$R168+AP168))),"---")</f>
        <v>NA</v>
      </c>
      <c r="AS168" s="376" t="str">
        <f>IF(Start!$C$18="x",IF(AR168 = "NA", "NA", AR168*(Data!$D$52*Data!$D$53*10000)),"---")</f>
        <v>NA</v>
      </c>
      <c r="AT168" s="376" t="str">
        <f>IF(Start!$C$18="x",IF(AS168 = "NA", "NA", (AS168*1000)/(Data!$D$48*3*Data!$D$53)),"---")</f>
        <v>NA</v>
      </c>
      <c r="AU168" s="498" t="str">
        <f>IF(Start!$C$18="x",IF(AT168="NA","NA",AT168*Data!$D$47),"---")</f>
        <v>NA</v>
      </c>
      <c r="AV168" s="283" t="str">
        <f>IF(Start!$C$18="x",(IF(AND(F168="",G168= "",G168&lt;&gt;"NA"),"",IF(OR(AD168="NA",I168="NA",I168=0),"NA",(AD168/I168)))),"Not Req.")</f>
        <v/>
      </c>
      <c r="AW168" s="284" t="str">
        <f>IF(Start!$C$18="x",(IF(AND(F168="",G168= "",G168&lt;&gt;"NA"),"",IF(OR(AF168="NA",I168="NA",I168=0),"NA",(AF168/I168)))),"Not Req.")</f>
        <v/>
      </c>
      <c r="AX168" s="284" t="str">
        <f>IF(Start!$C$18="x",(IF(F168 ="","",IF(OR(AO168="NA",I168="NA",I168=0),"NA",(AO168/I168)))),"Not Req.")</f>
        <v/>
      </c>
      <c r="AY168" s="344" t="str">
        <f>IF(Start!$C$18="x",(IF(F168 ="","",IF(OR(AU168="NA",I168="NA",I168=0),"NA",(AU168/I168)))),"Not Req.")</f>
        <v/>
      </c>
      <c r="AZ168" s="208"/>
    </row>
    <row r="169" spans="1:52" s="183" customFormat="1" x14ac:dyDescent="0.25">
      <c r="A169" s="405" t="s">
        <v>487</v>
      </c>
      <c r="B169" s="347" t="str">
        <f>IF(Start!$C$18="x",IF(AND(OR(F169="",F169="NA"),OR(G169="",G169="NA")),"",IF(I169="NA","NA",IF(AND(I169="",K169="--"),"NA",IF(AD169="NA","Missing Data",IF(I169="","No Criteria",IF(AD169&gt;=I169,"Needed","No")))))),"---")</f>
        <v/>
      </c>
      <c r="C169" s="501" t="str">
        <f>IF(Start!$C$18="x",IF(AND(OR(F169="",F169="NA"),OR(G169="",G169="NA")),"",IF(I169="NA","NA",IF(AND(I169="",K169="--"),"NA",IF(AF169="NA","Missing Data",IF(I169="","No Criteria",IF(AF169&gt;=I169,"Needed","No")))))),"---")</f>
        <v/>
      </c>
      <c r="D169" s="347" t="str">
        <f>IF(Start!$C$18="x",IF(AND(OR(F169="",F169="NA"),OR(G169="",G169="NA")),"",IF(I169="NA","NA",IF(AND(I169="",K169="--"),"NA",IF(AO169="NA","Missing Data",IF(I169="","No Criteria",IF(AO169&gt;=I169,"Needed","No")))))),"---")</f>
        <v/>
      </c>
      <c r="E169" s="401" t="str">
        <f>IF(Start!$C$18="x",IF(AND(OR(F169="",F169="NA"),OR(G169="",G169="NA")),"",IF(I169="NA","NA",IF(AND(I169="",K169="--"),"NA",IF(AU169="NA","Missing Data",IF(I169="","No Criteria",IF(AU169&gt;=I169,"Needed","No")))))),"---")</f>
        <v/>
      </c>
      <c r="F169" s="431" t="str">
        <f>IF(TRUE=ISBLANK(ChemData!B169),"",(ChemData!B169))</f>
        <v/>
      </c>
      <c r="G169" s="432" t="str">
        <f>IF(TRUE=ISBLANK(ChemData!C169),"",(ChemData!C169))</f>
        <v/>
      </c>
      <c r="H169" s="433" t="str">
        <f>IF(TRUE=ISBLANK(ChemData!D169),"",(ChemData!D169))</f>
        <v/>
      </c>
      <c r="I169" s="919" t="str">
        <f>IF(TRUE=ISBLANK(ChemData!K169),"",(ChemData!K169))</f>
        <v>NA</v>
      </c>
      <c r="J169" s="290">
        <f>IF(TRUE=ISBLANK(ChemData!M169),"",(ChemData!M169))</f>
        <v>106.17</v>
      </c>
      <c r="K169" s="290">
        <f>IF(TRUE=ISBLANK(ChemData!N169),"",(ChemData!N169))</f>
        <v>7.8799999999999999E-3</v>
      </c>
      <c r="L169" s="290">
        <f>IF(TRUE=ISBLANK(ChemData!O169),"",(ChemData!O169))</f>
        <v>7.4999999999999997E-2</v>
      </c>
      <c r="M169" s="290">
        <f>IF(TRUE=ISBLANK(ChemData!Q169),"",(ChemData!Q169))</f>
        <v>26.146069950967185</v>
      </c>
      <c r="N169" s="290">
        <f>IF(TRUE=ISBLANK(ChemData!R169),"",(ChemData!R169))</f>
        <v>26.146069950967185</v>
      </c>
      <c r="O169" s="290">
        <f>IF(TRUE=ISBLANK(ChemData!S169),"",(ChemData!S169))</f>
        <v>1</v>
      </c>
      <c r="P169" s="291">
        <f>IF(TRUE=ISBLANK(ChemData!T169),"",(ChemData!T169))</f>
        <v>1</v>
      </c>
      <c r="Q169" s="375">
        <f>IF(Start!$C$18="x",IF(OR(K169="NA",K169="",K169="--"),"NA",(K169*1000000/82.1/Data!$D$50)),"---")</f>
        <v>0.30961455345565991</v>
      </c>
      <c r="R169" s="376">
        <f>IF(Start!$C$18="x",IF(OR(J169="NA",J169=0,J169=""),"NA",(0.32*(Data!$D$48+Data!$D$49)*(18/J169)^0.5)),"---")</f>
        <v>0.33928335623491418</v>
      </c>
      <c r="S169" s="376">
        <f>IF(Start!$C$18="x",IF(OR(J169="NA",J169= 0,J169=""),"NA",(0.0065*((Data!$D$49^0.969)/(Data!$D$51^0.673))*(32/J169)^0.5*EXP(0.526*Data!$D$48^-1.9))),"---")</f>
        <v>7.1511636242135043E-4</v>
      </c>
      <c r="T169" s="377">
        <f>IF(Start!$C$18="x",IF(OR(S169="NA",R169="NA",R169=0,Q169="NA",S169=0,Q169=0),"NA",(1/(1/S169+(1/(R169*Q169))))),"---")</f>
        <v>7.1028106679856819E-4</v>
      </c>
      <c r="U169" s="375" t="str">
        <f>IF(Start!$C$18="x",IF(OR(F169="NA",F169="",O169="",O169="NA"),"NA",(F169*$O169)),"---")</f>
        <v>NA</v>
      </c>
      <c r="V169" s="376" t="str">
        <f>IF(Start!$C$18="x",IF(OR(U169="NA",M169="NA",M169="",U169=""),"NA",U169/((Data!$D$18+((1-Data!$D$18)*Data!$D$14*M169))/((1-Data!$D$18)*Data!$D$14*1000))),"---")</f>
        <v>NA</v>
      </c>
      <c r="W169" s="376" t="str">
        <f>IF(Start!$C$18="x",IF(OR(G169="NA",U169="NA",G169="",U169=""),"NA",(U169 +($G169*(Data!$D$19-Data!$D$22)/(Data!$D$19*Data!$D$22)))),"---")</f>
        <v>NA</v>
      </c>
      <c r="X169" s="376" t="str">
        <f>IF(Start!$C$18="x",IF(OR(G169="NA",V169="NA",G169="",V169=""),"NA",(((Data!$D$22*Data!$D$18)*V169)+(Data!$D$19-Data!$D$22)*$G169)/((Data!$D$22*Data!$D$18)+Data!$D$19-Data!$D$22)),"---")</f>
        <v>NA</v>
      </c>
      <c r="Y169" s="376" t="str">
        <f>IF(Start!$C$18="x",IF(OR(W169="NA",W169="",M169="NA",M169=""),"NA",(W169/((Data!$D$23+((1-Data!$D$23)*Data!$D$14*M169)) /((1-Data!$D$23)*Data!$D$14*1000)))),"---")</f>
        <v>NA</v>
      </c>
      <c r="Z169" s="376" t="str">
        <f>IF(Start!$C$18="x",IF(OR(Y169="NA",X169="NA"),"NA",IF(Y169&gt;X169, Y169, X169)),"---")</f>
        <v>NA</v>
      </c>
      <c r="AA169" s="461" t="str">
        <f>IF(Start!$C$18="x",IF(OR(Z169="NA",T169="NA"),"NA",Z169*T169/(1000000000)),"---")</f>
        <v>NA</v>
      </c>
      <c r="AB169" s="1057" t="str">
        <f>IF(Start!$C$18="x",IF(AA169 = "NA", "NA", AA169*(Data!$D$52*Data!$D$53*10000)),"---")</f>
        <v>NA</v>
      </c>
      <c r="AC169" s="375" t="str">
        <f>IF(Start!$C$18="x",IF(AB169="NA", "NA", AB169*Data!$D$54),"---")</f>
        <v>NA</v>
      </c>
      <c r="AD169" s="498" t="str">
        <f>IF(Start!$C$18="x",IF(AC169="NA","NA",AC169*Data!$D$41),"---")</f>
        <v>NA</v>
      </c>
      <c r="AE169" s="376" t="str">
        <f>IF(Start!$C$18="x",IF(AB169 = "NA", "NA", AB169/(Data!$D$53*3*Data!$D$48)*1000),"---")</f>
        <v>NA</v>
      </c>
      <c r="AF169" s="498" t="str">
        <f>IF(Start!$C$18="x",IF(AE169="NA","NA",AE169*Data!$D$46),"---")</f>
        <v>NA</v>
      </c>
      <c r="AG169" s="375">
        <f>IF(Start!$C$18="x",IF(OR($L169="NA",L169=""),"NA",($L169*(Data!$D$55^3.33)/(Data!$D$18^2))),"---")</f>
        <v>7.6406202497068007E-4</v>
      </c>
      <c r="AH169" s="376" t="str">
        <f>IF(Start!$C$18="x",IF(OR(F169="NA",F169="",P169="NA",P169=""),"NA",IF(100/Data!$D$10&gt;Data!$D$13,(F169*$P169),(F169*$P169)*Data!$D$13)),"---")</f>
        <v>NA</v>
      </c>
      <c r="AI169" s="489">
        <f>IF(Start!$C$18="x",IF(OR($N169="NA",$Q169="NA",$Q169=0,Q169="",N169=""),"NA",(1000*$N169/$Q169)),"---")</f>
        <v>84447.16070076976</v>
      </c>
      <c r="AJ169" s="376">
        <f>IF(Start!$C$18="x",IF(OR(Q169 = "NA",Q169=0,N169 = "NA",N169="",Q169=""), "NA", IF($AG169="NA","NA",(3.1416*Data!$D$57*86400/($AG169*(Data!$D$55+(N169*Data!$D$19/(Q169*1000)))))^0.5)),"---")</f>
        <v>12172.66920993352</v>
      </c>
      <c r="AK169" s="376" t="str">
        <f>IF(Start!$C$18="x",IF(OR(AH169 = "NA",AI169="NA",AI169=0,AI169="",AH169=""), "NA", AH169/AI169),"---")</f>
        <v>NA</v>
      </c>
      <c r="AL169" s="376" t="str">
        <f>IF(Start!$C$18="x",IF(OR(AK169 ="NA",AK169="",AJ169= "NA",R169="NA",R169=0),"NA",(2*AK169)/(1000*(1/$R169+AJ169))),"---")</f>
        <v>NA</v>
      </c>
      <c r="AM169" s="376" t="str">
        <f>IF(Start!$C$18="x",IF(AL169 = "NA", "NA", AL169*(Data!$D$52*Data!$D$53*10000)),"---")</f>
        <v>NA</v>
      </c>
      <c r="AN169" s="376" t="str">
        <f>IF(Start!$C$18="x",IF(AM169 = "NA", "NA", AM169*(Data!$D$54)),"---")</f>
        <v>NA</v>
      </c>
      <c r="AO169" s="498" t="str">
        <f>IF(Start!$C$18="x",IF(AN169="NA","NA",AN169*Data!$D$41),"---")</f>
        <v>NA</v>
      </c>
      <c r="AP169" s="376">
        <f>IF(Start!$C$18="x",IF(OR(Q169=0,N169="NA",N169="",AG169="NA",AG169="",AG169=0,Q169="",Q169="NA"),"NA", (3.1416*Data!$D$56*86400/($AG169*(Data!$D$55+(N169*Data!$D$19/(Q169*1000)))))^0.5),"---")</f>
        <v>12172.66920993352</v>
      </c>
      <c r="AQ169" s="376" t="str">
        <f>IF(Start!$C$18="x",IF(OR(AH169="NA",AI169="NA",AI169="",AI169=0,AH169=""),"NA", AH169/AI169),"---")</f>
        <v>NA</v>
      </c>
      <c r="AR169" s="376" t="str">
        <f>IF(Start!$C$18="x",IF(OR(AQ169="NA",AP169="NA",$R169="NA",R169=0,R169=""),"NA",(2*AQ169)/(1000*(1/$R169+AP169))),"---")</f>
        <v>NA</v>
      </c>
      <c r="AS169" s="376" t="str">
        <f>IF(Start!$C$18="x",IF(AR169 = "NA", "NA", AR169*(Data!$D$52*Data!$D$53*10000)),"---")</f>
        <v>NA</v>
      </c>
      <c r="AT169" s="376" t="str">
        <f>IF(Start!$C$18="x",IF(AS169 = "NA", "NA", (AS169*1000)/(Data!$D$48*3*Data!$D$53)),"---")</f>
        <v>NA</v>
      </c>
      <c r="AU169" s="498" t="str">
        <f>IF(Start!$C$18="x",IF(AT169="NA","NA",AT169*Data!$D$47),"---")</f>
        <v>NA</v>
      </c>
      <c r="AV169" s="283" t="str">
        <f>IF(Start!$C$18="x",(IF(AND(F169="",G169= "",G169&lt;&gt;"NA"),"",IF(OR(AD169="NA",I169="NA",I169=0),"NA",(AD169/I169)))),"Not Req.")</f>
        <v/>
      </c>
      <c r="AW169" s="284" t="str">
        <f>IF(Start!$C$18="x",(IF(AND(F169="",G169= "",G169&lt;&gt;"NA"),"",IF(OR(AF169="NA",I169="NA",I169=0),"NA",(AF169/I169)))),"Not Req.")</f>
        <v/>
      </c>
      <c r="AX169" s="284" t="str">
        <f>IF(Start!$C$18="x",(IF(F169 ="","",IF(OR(AO169="NA",I169="NA",I169=0),"NA",(AO169/I169)))),"Not Req.")</f>
        <v/>
      </c>
      <c r="AY169" s="344" t="str">
        <f>IF(Start!$C$18="x",(IF(F169 ="","",IF(OR(AU169="NA",I169="NA",I169=0),"NA",(AU169/I169)))),"Not Req.")</f>
        <v/>
      </c>
      <c r="AZ169" s="208"/>
    </row>
    <row r="170" spans="1:52" s="183" customFormat="1" x14ac:dyDescent="0.25">
      <c r="A170" s="405" t="s">
        <v>488</v>
      </c>
      <c r="B170" s="347" t="str">
        <f>IF(Start!$C$18="x",IF(AND(OR(F170="",F170="NA"),OR(G170="",G170="NA")),"",IF(I170="NA","NA",IF(AND(I170="",K170="--"),"NA",IF(AD170="NA","Missing Data",IF(I170="","No Criteria",IF(AD170&gt;=I170,"Needed","No")))))),"---")</f>
        <v/>
      </c>
      <c r="C170" s="501" t="str">
        <f>IF(Start!$C$18="x",IF(AND(OR(F170="",F170="NA"),OR(G170="",G170="NA")),"",IF(I170="NA","NA",IF(AND(I170="",K170="--"),"NA",IF(AF170="NA","Missing Data",IF(I170="","No Criteria",IF(AF170&gt;=I170,"Needed","No")))))),"---")</f>
        <v/>
      </c>
      <c r="D170" s="347" t="str">
        <f>IF(Start!$C$18="x",IF(AND(OR(F170="",F170="NA"),OR(G170="",G170="NA")),"",IF(I170="NA","NA",IF(AND(I170="",K170="--"),"NA",IF(AO170="NA","Missing Data",IF(I170="","No Criteria",IF(AO170&gt;=I170,"Needed","No")))))),"---")</f>
        <v/>
      </c>
      <c r="E170" s="401" t="str">
        <f>IF(Start!$C$18="x",IF(AND(OR(F170="",F170="NA"),OR(G170="",G170="NA")),"",IF(I170="NA","NA",IF(AND(I170="",K170="--"),"NA",IF(AU170="NA","Missing Data",IF(I170="","No Criteria",IF(AU170&gt;=I170,"Needed","No")))))),"---")</f>
        <v/>
      </c>
      <c r="F170" s="431" t="str">
        <f>IF(TRUE=ISBLANK(ChemData!B170),"",(ChemData!B170))</f>
        <v/>
      </c>
      <c r="G170" s="432" t="str">
        <f>IF(TRUE=ISBLANK(ChemData!C170),"",(ChemData!C170))</f>
        <v/>
      </c>
      <c r="H170" s="433" t="str">
        <f>IF(TRUE=ISBLANK(ChemData!D170),"",(ChemData!D170))</f>
        <v/>
      </c>
      <c r="I170" s="919">
        <f>IF(TRUE=ISBLANK(ChemData!K170),"",(ChemData!K170))</f>
        <v>5.7099999999999998E-2</v>
      </c>
      <c r="J170" s="290">
        <f>IF(TRUE=ISBLANK(ChemData!M170),"",(ChemData!M170))</f>
        <v>86.177000000000007</v>
      </c>
      <c r="K170" s="290">
        <f>IF(TRUE=ISBLANK(ChemData!N170),"",(ChemData!N170))</f>
        <v>1.8080000000000001</v>
      </c>
      <c r="L170" s="290">
        <f>IF(TRUE=ISBLANK(ChemData!O170),"",(ChemData!O170))</f>
        <v>0.2</v>
      </c>
      <c r="M170" s="290">
        <f>IF(TRUE=ISBLANK(ChemData!Q170),"",(ChemData!Q170))</f>
        <v>238.45499201839945</v>
      </c>
      <c r="N170" s="290">
        <f>IF(TRUE=ISBLANK(ChemData!R170),"",(ChemData!R170))</f>
        <v>238.45499201839945</v>
      </c>
      <c r="O170" s="290">
        <f>IF(TRUE=ISBLANK(ChemData!S170),"",(ChemData!S170))</f>
        <v>1</v>
      </c>
      <c r="P170" s="291">
        <f>IF(TRUE=ISBLANK(ChemData!T170),"",(ChemData!T170))</f>
        <v>1</v>
      </c>
      <c r="Q170" s="375">
        <f>IF(Start!$C$18="x",IF(OR(K170="NA",K170="",K170="--"),"NA",(K170*1000000/82.1/Data!$D$50)),"---")</f>
        <v>71.038466072060046</v>
      </c>
      <c r="R170" s="376">
        <f>IF(Start!$C$18="x",IF(OR(J170="NA",J170=0,J170=""),"NA",(0.32*(Data!$D$48+Data!$D$49)*(18/J170)^0.5)),"---")</f>
        <v>0.37658912857134597</v>
      </c>
      <c r="S170" s="376">
        <f>IF(Start!$C$18="x",IF(OR(J170="NA",J170= 0,J170=""),"NA",(0.0065*((Data!$D$49^0.969)/(Data!$D$51^0.673))*(32/J170)^0.5*EXP(0.526*Data!$D$48^-1.9))),"---")</f>
        <v>7.9374670994737738E-4</v>
      </c>
      <c r="T170" s="377">
        <f>IF(Start!$C$18="x",IF(OR(S170="NA",R170="NA",R170=0,Q170="NA",S170=0,Q170=0),"NA",(1/(1/S170+(1/(R170*Q170))))),"---")</f>
        <v>7.9372316001647834E-4</v>
      </c>
      <c r="U170" s="375" t="str">
        <f>IF(Start!$C$18="x",IF(OR(F170="NA",F170="",O170="",O170="NA"),"NA",(F170*$O170)),"---")</f>
        <v>NA</v>
      </c>
      <c r="V170" s="376" t="str">
        <f>IF(Start!$C$18="x",IF(OR(U170="NA",M170="NA",M170="",U170=""),"NA",U170/((Data!$D$18+((1-Data!$D$18)*Data!$D$14*M170))/((1-Data!$D$18)*Data!$D$14*1000))),"---")</f>
        <v>NA</v>
      </c>
      <c r="W170" s="376" t="str">
        <f>IF(Start!$C$18="x",IF(OR(G170="NA",U170="NA",G170="",U170=""),"NA",(U170 +($G170*(Data!$D$19-Data!$D$22)/(Data!$D$19*Data!$D$22)))),"---")</f>
        <v>NA</v>
      </c>
      <c r="X170" s="376" t="str">
        <f>IF(Start!$C$18="x",IF(OR(G170="NA",V170="NA",G170="",V170=""),"NA",(((Data!$D$22*Data!$D$18)*V170)+(Data!$D$19-Data!$D$22)*$G170)/((Data!$D$22*Data!$D$18)+Data!$D$19-Data!$D$22)),"---")</f>
        <v>NA</v>
      </c>
      <c r="Y170" s="376" t="str">
        <f>IF(Start!$C$18="x",IF(OR(W170="NA",W170="",M170="NA",M170=""),"NA",(W170/((Data!$D$23+((1-Data!$D$23)*Data!$D$14*M170)) /((1-Data!$D$23)*Data!$D$14*1000)))),"---")</f>
        <v>NA</v>
      </c>
      <c r="Z170" s="376" t="str">
        <f>IF(Start!$C$18="x",IF(OR(Y170="NA",X170="NA"),"NA",IF(Y170&gt;X170, Y170, X170)),"---")</f>
        <v>NA</v>
      </c>
      <c r="AA170" s="461" t="str">
        <f>IF(Start!$C$18="x",IF(OR(Z170="NA",T170="NA"),"NA",Z170*T170/(1000000000)),"---")</f>
        <v>NA</v>
      </c>
      <c r="AB170" s="1057" t="str">
        <f>IF(Start!$C$18="x",IF(AA170 = "NA", "NA", AA170*(Data!$D$52*Data!$D$53*10000)),"---")</f>
        <v>NA</v>
      </c>
      <c r="AC170" s="375" t="str">
        <f>IF(Start!$C$18="x",IF(AB170="NA", "NA", AB170*Data!$D$54),"---")</f>
        <v>NA</v>
      </c>
      <c r="AD170" s="498" t="str">
        <f>IF(Start!$C$18="x",IF(AC170="NA","NA",AC170*Data!$D$41),"---")</f>
        <v>NA</v>
      </c>
      <c r="AE170" s="376" t="str">
        <f>IF(Start!$C$18="x",IF(AB170 = "NA", "NA", AB170/(Data!$D$53*3*Data!$D$48)*1000),"---")</f>
        <v>NA</v>
      </c>
      <c r="AF170" s="498" t="str">
        <f>IF(Start!$C$18="x",IF(AE170="NA","NA",AE170*Data!$D$46),"---")</f>
        <v>NA</v>
      </c>
      <c r="AG170" s="375">
        <f>IF(Start!$C$18="x",IF(OR($L170="NA",L170=""),"NA",($L170*(Data!$D$55^3.33)/(Data!$D$18^2))),"---")</f>
        <v>2.0374987332551471E-3</v>
      </c>
      <c r="AH170" s="376" t="str">
        <f>IF(Start!$C$18="x",IF(OR(F170="NA",F170="",P170="NA",P170=""),"NA",IF(100/Data!$D$10&gt;Data!$D$13,(F170*$P170),(F170*$P170)*Data!$D$13)),"---")</f>
        <v>NA</v>
      </c>
      <c r="AI170" s="489">
        <f>IF(Start!$C$18="x",IF(OR($N170="NA",$Q170="NA",$Q170=0,Q170="",N170=""),"NA",(1000*$N170/$Q170)),"---")</f>
        <v>3356.7024346572362</v>
      </c>
      <c r="AJ170" s="376">
        <f>IF(Start!$C$18="x",IF(OR(Q170 = "NA",Q170=0,N170 = "NA",N170="",Q170=""), "NA", IF($AG170="NA","NA",(3.1416*Data!$D$57*86400/($AG170*(Data!$D$55+(N170*Data!$D$19/(Q170*1000)))))^0.5)),"---")</f>
        <v>36192.612954432268</v>
      </c>
      <c r="AK170" s="376" t="str">
        <f>IF(Start!$C$18="x",IF(OR(AH170 = "NA",AI170="NA",AI170=0,AI170="",AH170=""), "NA", AH170/AI170),"---")</f>
        <v>NA</v>
      </c>
      <c r="AL170" s="376" t="str">
        <f>IF(Start!$C$18="x",IF(OR(AK170 ="NA",AK170="",AJ170= "NA",R170="NA",R170=0),"NA",(2*AK170)/(1000*(1/$R170+AJ170))),"---")</f>
        <v>NA</v>
      </c>
      <c r="AM170" s="376" t="str">
        <f>IF(Start!$C$18="x",IF(AL170 = "NA", "NA", AL170*(Data!$D$52*Data!$D$53*10000)),"---")</f>
        <v>NA</v>
      </c>
      <c r="AN170" s="376" t="str">
        <f>IF(Start!$C$18="x",IF(AM170 = "NA", "NA", AM170*(Data!$D$54)),"---")</f>
        <v>NA</v>
      </c>
      <c r="AO170" s="498" t="str">
        <f>IF(Start!$C$18="x",IF(AN170="NA","NA",AN170*Data!$D$41),"---")</f>
        <v>NA</v>
      </c>
      <c r="AP170" s="376">
        <f>IF(Start!$C$18="x",IF(OR(Q170=0,N170="NA",N170="",AG170="NA",AG170="",AG170=0,Q170="",Q170="NA"),"NA", (3.1416*Data!$D$56*86400/($AG170*(Data!$D$55+(N170*Data!$D$19/(Q170*1000)))))^0.5),"---")</f>
        <v>36192.612954432268</v>
      </c>
      <c r="AQ170" s="376" t="str">
        <f>IF(Start!$C$18="x",IF(OR(AH170="NA",AI170="NA",AI170="",AI170=0,AH170=""),"NA", AH170/AI170),"---")</f>
        <v>NA</v>
      </c>
      <c r="AR170" s="376" t="str">
        <f>IF(Start!$C$18="x",IF(OR(AQ170="NA",AP170="NA",$R170="NA",R170=0,R170=""),"NA",(2*AQ170)/(1000*(1/$R170+AP170))),"---")</f>
        <v>NA</v>
      </c>
      <c r="AS170" s="376" t="str">
        <f>IF(Start!$C$18="x",IF(AR170 = "NA", "NA", AR170*(Data!$D$52*Data!$D$53*10000)),"---")</f>
        <v>NA</v>
      </c>
      <c r="AT170" s="376" t="str">
        <f>IF(Start!$C$18="x",IF(AS170 = "NA", "NA", (AS170*1000)/(Data!$D$48*3*Data!$D$53)),"---")</f>
        <v>NA</v>
      </c>
      <c r="AU170" s="498" t="str">
        <f>IF(Start!$C$18="x",IF(AT170="NA","NA",AT170*Data!$D$47),"---")</f>
        <v>NA</v>
      </c>
      <c r="AV170" s="283" t="str">
        <f>IF(Start!$C$18="x",(IF(AND(F170="",G170= "",G170&lt;&gt;"NA"),"",IF(OR(AD170="NA",I170="NA",I170=0),"NA",(AD170/I170)))),"Not Req.")</f>
        <v/>
      </c>
      <c r="AW170" s="284" t="str">
        <f>IF(Start!$C$18="x",(IF(AND(F170="",G170= "",G170&lt;&gt;"NA"),"",IF(OR(AF170="NA",I170="NA",I170=0),"NA",(AF170/I170)))),"Not Req.")</f>
        <v/>
      </c>
      <c r="AX170" s="284" t="str">
        <f>IF(Start!$C$18="x",(IF(F170 ="","",IF(OR(AO170="NA",I170="NA",I170=0),"NA",(AO170/I170)))),"Not Req.")</f>
        <v/>
      </c>
      <c r="AY170" s="344" t="str">
        <f>IF(Start!$C$18="x",(IF(F170 ="","",IF(OR(AU170="NA",I170="NA",I170=0),"NA",(AU170/I170)))),"Not Req.")</f>
        <v/>
      </c>
      <c r="AZ170" s="208"/>
    </row>
    <row r="171" spans="1:52" s="183" customFormat="1" x14ac:dyDescent="0.25">
      <c r="A171" s="405" t="s">
        <v>674</v>
      </c>
      <c r="B171" s="347" t="str">
        <f>IF(Start!$C$18="x",IF(AND(OR(F171="",F171="NA"),OR(G171="",G171="NA")),"",IF(I171="NA","NA",IF(AND(I171="",K171="--"),"NA",IF(AD171="NA","Missing Data",IF(I171="","No Criteria",IF(AD171&gt;=I171,"Needed","No")))))),"---")</f>
        <v/>
      </c>
      <c r="C171" s="501" t="str">
        <f>IF(Start!$C$18="x",IF(AND(OR(F171="",F171="NA"),OR(G171="",G171="NA")),"",IF(I171="NA","NA",IF(AND(I171="",K171="--"),"NA",IF(AF171="NA","Missing Data",IF(I171="","No Criteria",IF(AF171&gt;=I171,"Needed","No")))))),"---")</f>
        <v/>
      </c>
      <c r="D171" s="347" t="str">
        <f>IF(Start!$C$18="x",IF(AND(OR(F171="",F171="NA"),OR(G171="",G171="NA")),"",IF(I171="NA","NA",IF(AND(I171="",K171="--"),"NA",IF(AO171="NA","Missing Data",IF(I171="","No Criteria",IF(AO171&gt;=I171,"Needed","No")))))),"---")</f>
        <v/>
      </c>
      <c r="E171" s="401" t="str">
        <f>IF(Start!$C$18="x",IF(AND(OR(F171="",F171="NA"),OR(G171="",G171="NA")),"",IF(I171="NA","NA",IF(AND(I171="",K171="--"),"NA",IF(AU171="NA","Missing Data",IF(I171="","No Criteria",IF(AU171&gt;=I171,"Needed","No")))))),"---")</f>
        <v/>
      </c>
      <c r="F171" s="431" t="str">
        <f>IF(TRUE=ISBLANK(ChemData!B171),"",(ChemData!B171))</f>
        <v/>
      </c>
      <c r="G171" s="432" t="str">
        <f>IF(TRUE=ISBLANK(ChemData!C171),"",(ChemData!C171))</f>
        <v/>
      </c>
      <c r="H171" s="433" t="str">
        <f>IF(TRUE=ISBLANK(ChemData!D171),"",(ChemData!D171))</f>
        <v/>
      </c>
      <c r="I171" s="919" t="str">
        <f>IF(TRUE=ISBLANK(ChemData!K171),"",(ChemData!K171))</f>
        <v>NA</v>
      </c>
      <c r="J171" s="290">
        <f>IF(TRUE=ISBLANK(ChemData!M171),"",(ChemData!M171))</f>
        <v>100.16</v>
      </c>
      <c r="K171" s="290">
        <f>IF(TRUE=ISBLANK(ChemData!N171),"",(ChemData!N171))</f>
        <v>9.5600000000000006E-5</v>
      </c>
      <c r="L171" s="290">
        <f>IF(TRUE=ISBLANK(ChemData!O171),"",(ChemData!O171))</f>
        <v>0.16338710256198463</v>
      </c>
      <c r="M171" s="290">
        <f>IF(TRUE=ISBLANK(ChemData!Q171),"",(ChemData!Q171))</f>
        <v>0.45436662029329916</v>
      </c>
      <c r="N171" s="290">
        <f>IF(TRUE=ISBLANK(ChemData!R171),"",(ChemData!R171))</f>
        <v>0.45436662029329916</v>
      </c>
      <c r="O171" s="290">
        <f>IF(TRUE=ISBLANK(ChemData!S171),"",(ChemData!S171))</f>
        <v>1</v>
      </c>
      <c r="P171" s="291">
        <f>IF(TRUE=ISBLANK(ChemData!T171),"",(ChemData!T171))</f>
        <v>1</v>
      </c>
      <c r="Q171" s="375">
        <f>IF(Start!$C$18="x",IF(OR(K171="NA",K171="",K171="--"),"NA",(K171*1000000/82.1/Data!$D$50)),"---")</f>
        <v>3.7562374759341484E-3</v>
      </c>
      <c r="R171" s="376">
        <f>IF(Start!$C$18="x",IF(OR(J171="NA",J171=0,J171=""),"NA",(0.32*(Data!$D$48+Data!$D$49)*(18/J171)^0.5)),"---")</f>
        <v>0.34931425290752893</v>
      </c>
      <c r="S171" s="376">
        <f>IF(Start!$C$18="x",IF(OR(J171="NA",J171= 0,J171=""),"NA",(0.0065*((Data!$D$49^0.969)/(Data!$D$51^0.673))*(32/J171)^0.5*EXP(0.526*Data!$D$48^-1.9))),"---")</f>
        <v>7.3625874447022998E-4</v>
      </c>
      <c r="T171" s="377">
        <f>IF(Start!$C$18="x",IF(OR(S171="NA",R171="NA",R171=0,Q171="NA",S171=0,Q171=0),"NA",(1/(1/S171+(1/(R171*Q171))))),"---")</f>
        <v>4.7162003717434863E-4</v>
      </c>
      <c r="U171" s="375" t="str">
        <f>IF(Start!$C$18="x",IF(OR(F171="NA",F171="",O171="",O171="NA"),"NA",(F171*$O171)),"---")</f>
        <v>NA</v>
      </c>
      <c r="V171" s="376" t="str">
        <f>IF(Start!$C$18="x",IF(OR(U171="NA",M171="NA",M171="",U171=""),"NA",U171/((Data!$D$18+((1-Data!$D$18)*Data!$D$14*M171))/((1-Data!$D$18)*Data!$D$14*1000))),"---")</f>
        <v>NA</v>
      </c>
      <c r="W171" s="376" t="str">
        <f>IF(Start!$C$18="x",IF(OR(G171="NA",U171="NA",G171="",U171=""),"NA",(U171 +($G171*(Data!$D$19-Data!$D$22)/(Data!$D$19*Data!$D$22)))),"---")</f>
        <v>NA</v>
      </c>
      <c r="X171" s="376" t="str">
        <f>IF(Start!$C$18="x",IF(OR(G171="NA",V171="NA",G171="",V171=""),"NA",(((Data!$D$22*Data!$D$18)*V171)+(Data!$D$19-Data!$D$22)*$G171)/((Data!$D$22*Data!$D$18)+Data!$D$19-Data!$D$22)),"---")</f>
        <v>NA</v>
      </c>
      <c r="Y171" s="376" t="str">
        <f>IF(Start!$C$18="x",IF(OR(W171="NA",W171="",M171="NA",M171=""),"NA",(W171/((Data!$D$23+((1-Data!$D$23)*Data!$D$14*M171)) /((1-Data!$D$23)*Data!$D$14*1000)))),"---")</f>
        <v>NA</v>
      </c>
      <c r="Z171" s="376" t="str">
        <f>IF(Start!$C$18="x",IF(OR(Y171="NA",X171="NA"),"NA",IF(Y171&gt;X171, Y171, X171)),"---")</f>
        <v>NA</v>
      </c>
      <c r="AA171" s="461" t="str">
        <f>IF(Start!$C$18="x",IF(OR(Z171="NA",T171="NA"),"NA",Z171*T171/(1000000000)),"---")</f>
        <v>NA</v>
      </c>
      <c r="AB171" s="1057" t="str">
        <f>IF(Start!$C$18="x",IF(AA171 = "NA", "NA", AA171*(Data!$D$52*Data!$D$53*10000)),"---")</f>
        <v>NA</v>
      </c>
      <c r="AC171" s="375" t="str">
        <f>IF(Start!$C$18="x",IF(AB171="NA", "NA", AB171*Data!$D$54),"---")</f>
        <v>NA</v>
      </c>
      <c r="AD171" s="498" t="str">
        <f>IF(Start!$C$18="x",IF(AC171="NA","NA",AC171*Data!$D$41),"---")</f>
        <v>NA</v>
      </c>
      <c r="AE171" s="376" t="str">
        <f>IF(Start!$C$18="x",IF(AB171 = "NA", "NA", AB171/(Data!$D$53*3*Data!$D$48)*1000),"---")</f>
        <v>NA</v>
      </c>
      <c r="AF171" s="498" t="str">
        <f>IF(Start!$C$18="x",IF(AE171="NA","NA",AE171*Data!$D$46),"---")</f>
        <v>NA</v>
      </c>
      <c r="AG171" s="375">
        <f>IF(Start!$C$18="x",IF(OR($L171="NA",L171=""),"NA",($L171*(Data!$D$55^3.33)/(Data!$D$18^2))),"---")</f>
        <v>1.6645050725013623E-3</v>
      </c>
      <c r="AH171" s="376" t="str">
        <f>IF(Start!$C$18="x",IF(OR(F171="NA",F171="",P171="NA",P171=""),"NA",IF(100/Data!$D$10&gt;Data!$D$13,(F171*$P171),(F171*$P171)*Data!$D$13)),"---")</f>
        <v>NA</v>
      </c>
      <c r="AI171" s="489">
        <f>IF(Start!$C$18="x",IF(OR($N171="NA",$Q171="NA",$Q171=0,Q171="",N171=""),"NA",(1000*$N171/$Q171)),"---")</f>
        <v>120963.23068080288</v>
      </c>
      <c r="AJ171" s="376">
        <f>IF(Start!$C$18="x",IF(OR(Q171 = "NA",Q171=0,N171 = "NA",N171="",Q171=""), "NA", IF($AG171="NA","NA",(3.1416*Data!$D$57*86400/($AG171*(Data!$D$55+(N171*Data!$D$19/(Q171*1000)))))^0.5)),"---")</f>
        <v>6893.7535947937758</v>
      </c>
      <c r="AK171" s="376" t="str">
        <f>IF(Start!$C$18="x",IF(OR(AH171 = "NA",AI171="NA",AI171=0,AI171="",AH171=""), "NA", AH171/AI171),"---")</f>
        <v>NA</v>
      </c>
      <c r="AL171" s="376" t="str">
        <f>IF(Start!$C$18="x",IF(OR(AK171 ="NA",AK171="",AJ171= "NA",R171="NA",R171=0),"NA",(2*AK171)/(1000*(1/$R171+AJ171))),"---")</f>
        <v>NA</v>
      </c>
      <c r="AM171" s="376" t="str">
        <f>IF(Start!$C$18="x",IF(AL171 = "NA", "NA", AL171*(Data!$D$52*Data!$D$53*10000)),"---")</f>
        <v>NA</v>
      </c>
      <c r="AN171" s="376" t="str">
        <f>IF(Start!$C$18="x",IF(AM171 = "NA", "NA", AM171*(Data!$D$54)),"---")</f>
        <v>NA</v>
      </c>
      <c r="AO171" s="498" t="str">
        <f>IF(Start!$C$18="x",IF(AN171="NA","NA",AN171*Data!$D$41),"---")</f>
        <v>NA</v>
      </c>
      <c r="AP171" s="376">
        <f>IF(Start!$C$18="x",IF(OR(Q171=0,N171="NA",N171="",AG171="NA",AG171="",AG171=0,Q171="",Q171="NA"),"NA", (3.1416*Data!$D$56*86400/($AG171*(Data!$D$55+(N171*Data!$D$19/(Q171*1000)))))^0.5),"---")</f>
        <v>6893.7535947937758</v>
      </c>
      <c r="AQ171" s="376" t="str">
        <f>IF(Start!$C$18="x",IF(OR(AH171="NA",AI171="NA",AI171="",AI171=0,AH171=""),"NA", AH171/AI171),"---")</f>
        <v>NA</v>
      </c>
      <c r="AR171" s="376" t="str">
        <f>IF(Start!$C$18="x",IF(OR(AQ171="NA",AP171="NA",$R171="NA",R171=0,R171=""),"NA",(2*AQ171)/(1000*(1/$R171+AP171))),"---")</f>
        <v>NA</v>
      </c>
      <c r="AS171" s="376" t="str">
        <f>IF(Start!$C$18="x",IF(AR171 = "NA", "NA", AR171*(Data!$D$52*Data!$D$53*10000)),"---")</f>
        <v>NA</v>
      </c>
      <c r="AT171" s="376" t="str">
        <f>IF(Start!$C$18="x",IF(AS171 = "NA", "NA", (AS171*1000)/(Data!$D$48*3*Data!$D$53)),"---")</f>
        <v>NA</v>
      </c>
      <c r="AU171" s="498" t="str">
        <f>IF(Start!$C$18="x",IF(AT171="NA","NA",AT171*Data!$D$47),"---")</f>
        <v>NA</v>
      </c>
      <c r="AV171" s="283" t="str">
        <f>IF(Start!$C$18="x",(IF(AND(F171="",G171= "",G171&lt;&gt;"NA"),"",IF(OR(AD171="NA",I171="NA",I171=0),"NA",(AD171/I171)))),"Not Req.")</f>
        <v/>
      </c>
      <c r="AW171" s="284" t="str">
        <f>IF(Start!$C$18="x",(IF(AND(F171="",G171= "",G171&lt;&gt;"NA"),"",IF(OR(AF171="NA",I171="NA",I171=0),"NA",(AF171/I171)))),"Not Req.")</f>
        <v/>
      </c>
      <c r="AX171" s="284" t="str">
        <f>IF(Start!$C$18="x",(IF(F171 ="","",IF(OR(AO171="NA",I171="NA",I171=0),"NA",(AO171/I171)))),"Not Req.")</f>
        <v/>
      </c>
      <c r="AY171" s="344" t="str">
        <f>IF(Start!$C$18="x",(IF(F171 ="","",IF(OR(AU171="NA",I171="NA",I171=0),"NA",(AU171/I171)))),"Not Req.")</f>
        <v/>
      </c>
      <c r="AZ171" s="208"/>
    </row>
    <row r="172" spans="1:52" s="183" customFormat="1" x14ac:dyDescent="0.25">
      <c r="A172" s="405" t="s">
        <v>675</v>
      </c>
      <c r="B172" s="347" t="str">
        <f>IF(Start!$C$18="x",IF(AND(OR(F172="",F172="NA"),OR(G172="",G172="NA")),"",IF(I172="NA","NA",IF(AND(I172="",K172="--"),"NA",IF(AD172="NA","Missing Data",IF(I172="","No Criteria",IF(AD172&gt;=I172,"Needed","No")))))),"---")</f>
        <v/>
      </c>
      <c r="C172" s="501" t="str">
        <f>IF(Start!$C$18="x",IF(AND(OR(F172="",F172="NA"),OR(G172="",G172="NA")),"",IF(I172="NA","NA",IF(AND(I172="",K172="--"),"NA",IF(AF172="NA","Missing Data",IF(I172="","No Criteria",IF(AF172&gt;=I172,"Needed","No")))))),"---")</f>
        <v/>
      </c>
      <c r="D172" s="347" t="str">
        <f>IF(Start!$C$18="x",IF(AND(OR(F172="",F172="NA"),OR(G172="",G172="NA")),"",IF(I172="NA","NA",IF(AND(I172="",K172="--"),"NA",IF(AO172="NA","Missing Data",IF(I172="","No Criteria",IF(AO172&gt;=I172,"Needed","No")))))),"---")</f>
        <v/>
      </c>
      <c r="E172" s="401" t="str">
        <f>IF(Start!$C$18="x",IF(AND(OR(F172="",F172="NA"),OR(G172="",G172="NA")),"",IF(I172="NA","NA",IF(AND(I172="",K172="--"),"NA",IF(AU172="NA","Missing Data",IF(I172="","No Criteria",IF(AU172&gt;=I172,"Needed","No")))))),"---")</f>
        <v/>
      </c>
      <c r="F172" s="431" t="str">
        <f>IF(TRUE=ISBLANK(ChemData!B172),"",(ChemData!B172))</f>
        <v/>
      </c>
      <c r="G172" s="432" t="str">
        <f>IF(TRUE=ISBLANK(ChemData!C172),"",(ChemData!C172))</f>
        <v/>
      </c>
      <c r="H172" s="433" t="str">
        <f>IF(TRUE=ISBLANK(ChemData!D172),"",(ChemData!D172))</f>
        <v/>
      </c>
      <c r="I172" s="919" t="str">
        <f>IF(TRUE=ISBLANK(ChemData!K172),"",(ChemData!K172))</f>
        <v>NA</v>
      </c>
      <c r="J172" s="290">
        <f>IF(TRUE=ISBLANK(ChemData!M172),"",(ChemData!M172))</f>
        <v>120.2</v>
      </c>
      <c r="K172" s="290">
        <f>IF(TRUE=ISBLANK(ChemData!N172),"",(ChemData!N172))</f>
        <v>1.4500000000000001E-2</v>
      </c>
      <c r="L172" s="290">
        <f>IF(TRUE=ISBLANK(ChemData!O172),"",(ChemData!O172))</f>
        <v>6.5000000000000002E-2</v>
      </c>
      <c r="M172" s="290">
        <f>IF(TRUE=ISBLANK(ChemData!Q172),"",(ChemData!Q172))</f>
        <v>84.607023897713418</v>
      </c>
      <c r="N172" s="290">
        <f>IF(TRUE=ISBLANK(ChemData!R172),"",(ChemData!R172))</f>
        <v>84.607023897713418</v>
      </c>
      <c r="O172" s="290">
        <f>IF(TRUE=ISBLANK(ChemData!S172),"",(ChemData!S172))</f>
        <v>1</v>
      </c>
      <c r="P172" s="291">
        <f>IF(TRUE=ISBLANK(ChemData!T172),"",(ChemData!T172))</f>
        <v>1</v>
      </c>
      <c r="Q172" s="375">
        <f>IF(Start!$C$18="x",IF(OR(K172="NA",K172="",K172="--"),"NA",(K172*1000000/82.1/Data!$D$50)),"---")</f>
        <v>0.56972221130800371</v>
      </c>
      <c r="R172" s="376">
        <f>IF(Start!$C$18="x",IF(OR(J172="NA",J172=0,J172=""),"NA",(0.32*(Data!$D$48+Data!$D$49)*(18/J172)^0.5)),"---")</f>
        <v>0.31886821484108463</v>
      </c>
      <c r="S172" s="376">
        <f>IF(Start!$C$18="x",IF(OR(J172="NA",J172= 0,J172=""),"NA",(0.0065*((Data!$D$49^0.969)/(Data!$D$51^0.673))*(32/J172)^0.5*EXP(0.526*Data!$D$48^-1.9))),"---")</f>
        <v>6.7208683744292882E-4</v>
      </c>
      <c r="T172" s="377">
        <f>IF(Start!$C$18="x",IF(OR(S172="NA",R172="NA",R172=0,Q172="NA",S172=0,Q172=0),"NA",(1/(1/S172+(1/(R172*Q172))))),"---")</f>
        <v>6.6960957133449972E-4</v>
      </c>
      <c r="U172" s="375" t="str">
        <f>IF(Start!$C$18="x",IF(OR(F172="NA",F172="",O172="",O172="NA"),"NA",(F172*$O172)),"---")</f>
        <v>NA</v>
      </c>
      <c r="V172" s="376" t="str">
        <f>IF(Start!$C$18="x",IF(OR(U172="NA",M172="NA",M172="",U172=""),"NA",U172/((Data!$D$18+((1-Data!$D$18)*Data!$D$14*M172))/((1-Data!$D$18)*Data!$D$14*1000))),"---")</f>
        <v>NA</v>
      </c>
      <c r="W172" s="376" t="str">
        <f>IF(Start!$C$18="x",IF(OR(G172="NA",U172="NA",G172="",U172=""),"NA",(U172 +($G172*(Data!$D$19-Data!$D$22)/(Data!$D$19*Data!$D$22)))),"---")</f>
        <v>NA</v>
      </c>
      <c r="X172" s="376" t="str">
        <f>IF(Start!$C$18="x",IF(OR(G172="NA",V172="NA",G172="",V172=""),"NA",(((Data!$D$22*Data!$D$18)*V172)+(Data!$D$19-Data!$D$22)*$G172)/((Data!$D$22*Data!$D$18)+Data!$D$19-Data!$D$22)),"---")</f>
        <v>NA</v>
      </c>
      <c r="Y172" s="376" t="str">
        <f>IF(Start!$C$18="x",IF(OR(W172="NA",W172="",M172="NA",M172=""),"NA",(W172/((Data!$D$23+((1-Data!$D$23)*Data!$D$14*M172)) /((1-Data!$D$23)*Data!$D$14*1000)))),"---")</f>
        <v>NA</v>
      </c>
      <c r="Z172" s="376" t="str">
        <f>IF(Start!$C$18="x",IF(OR(Y172="NA",X172="NA"),"NA",IF(Y172&gt;X172, Y172, X172)),"---")</f>
        <v>NA</v>
      </c>
      <c r="AA172" s="461" t="str">
        <f>IF(Start!$C$18="x",IF(OR(Z172="NA",T172="NA"),"NA",Z172*T172/(1000000000)),"---")</f>
        <v>NA</v>
      </c>
      <c r="AB172" s="1057" t="str">
        <f>IF(Start!$C$18="x",IF(AA172 = "NA", "NA", AA172*(Data!$D$52*Data!$D$53*10000)),"---")</f>
        <v>NA</v>
      </c>
      <c r="AC172" s="375" t="str">
        <f>IF(Start!$C$18="x",IF(AB172="NA", "NA", AB172*Data!$D$54),"---")</f>
        <v>NA</v>
      </c>
      <c r="AD172" s="498" t="str">
        <f>IF(Start!$C$18="x",IF(AC172="NA","NA",AC172*Data!$D$41),"---")</f>
        <v>NA</v>
      </c>
      <c r="AE172" s="376" t="str">
        <f>IF(Start!$C$18="x",IF(AB172 = "NA", "NA", AB172/(Data!$D$53*3*Data!$D$48)*1000),"---")</f>
        <v>NA</v>
      </c>
      <c r="AF172" s="498" t="str">
        <f>IF(Start!$C$18="x",IF(AE172="NA","NA",AE172*Data!$D$46),"---")</f>
        <v>NA</v>
      </c>
      <c r="AG172" s="375">
        <f>IF(Start!$C$18="x",IF(OR($L172="NA",L172=""),"NA",($L172*(Data!$D$55^3.33)/(Data!$D$18^2))),"---")</f>
        <v>6.6218708830792278E-4</v>
      </c>
      <c r="AH172" s="376" t="str">
        <f>IF(Start!$C$18="x",IF(OR(F172="NA",F172="",P172="NA",P172=""),"NA",IF(100/Data!$D$10&gt;Data!$D$13,(F172*$P172),(F172*$P172)*Data!$D$13)),"---")</f>
        <v>NA</v>
      </c>
      <c r="AI172" s="489">
        <f>IF(Start!$C$18="x",IF(OR($N172="NA",$Q172="NA",$Q172=0,Q172="",N172=""),"NA",(1000*$N172/$Q172)),"---")</f>
        <v>148505.74932556576</v>
      </c>
      <c r="AJ172" s="376">
        <f>IF(Start!$C$18="x",IF(OR(Q172 = "NA",Q172=0,N172 = "NA",N172="",Q172=""), "NA", IF($AG172="NA","NA",(3.1416*Data!$D$57*86400/($AG172*(Data!$D$55+(N172*Data!$D$19/(Q172*1000)))))^0.5)),"---")</f>
        <v>9866.0037778553669</v>
      </c>
      <c r="AK172" s="376" t="str">
        <f>IF(Start!$C$18="x",IF(OR(AH172 = "NA",AI172="NA",AI172=0,AI172="",AH172=""), "NA", AH172/AI172),"---")</f>
        <v>NA</v>
      </c>
      <c r="AL172" s="376" t="str">
        <f>IF(Start!$C$18="x",IF(OR(AK172 ="NA",AK172="",AJ172= "NA",R172="NA",R172=0),"NA",(2*AK172)/(1000*(1/$R172+AJ172))),"---")</f>
        <v>NA</v>
      </c>
      <c r="AM172" s="376" t="str">
        <f>IF(Start!$C$18="x",IF(AL172 = "NA", "NA", AL172*(Data!$D$52*Data!$D$53*10000)),"---")</f>
        <v>NA</v>
      </c>
      <c r="AN172" s="376" t="str">
        <f>IF(Start!$C$18="x",IF(AM172 = "NA", "NA", AM172*(Data!$D$54)),"---")</f>
        <v>NA</v>
      </c>
      <c r="AO172" s="498" t="str">
        <f>IF(Start!$C$18="x",IF(AN172="NA","NA",AN172*Data!$D$41),"---")</f>
        <v>NA</v>
      </c>
      <c r="AP172" s="376">
        <f>IF(Start!$C$18="x",IF(OR(Q172=0,N172="NA",N172="",AG172="NA",AG172="",AG172=0,Q172="",Q172="NA"),"NA", (3.1416*Data!$D$56*86400/($AG172*(Data!$D$55+(N172*Data!$D$19/(Q172*1000)))))^0.5),"---")</f>
        <v>9866.0037778553669</v>
      </c>
      <c r="AQ172" s="376" t="str">
        <f>IF(Start!$C$18="x",IF(OR(AH172="NA",AI172="NA",AI172="",AI172=0,AH172=""),"NA", AH172/AI172),"---")</f>
        <v>NA</v>
      </c>
      <c r="AR172" s="376" t="str">
        <f>IF(Start!$C$18="x",IF(OR(AQ172="NA",AP172="NA",$R172="NA",R172=0,R172=""),"NA",(2*AQ172)/(1000*(1/$R172+AP172))),"---")</f>
        <v>NA</v>
      </c>
      <c r="AS172" s="376" t="str">
        <f>IF(Start!$C$18="x",IF(AR172 = "NA", "NA", AR172*(Data!$D$52*Data!$D$53*10000)),"---")</f>
        <v>NA</v>
      </c>
      <c r="AT172" s="376" t="str">
        <f>IF(Start!$C$18="x",IF(AS172 = "NA", "NA", (AS172*1000)/(Data!$D$48*3*Data!$D$53)),"---")</f>
        <v>NA</v>
      </c>
      <c r="AU172" s="498" t="str">
        <f>IF(Start!$C$18="x",IF(AT172="NA","NA",AT172*Data!$D$47),"---")</f>
        <v>NA</v>
      </c>
      <c r="AV172" s="283" t="str">
        <f>IF(Start!$C$18="x",(IF(AND(F172="",G172= "",G172&lt;&gt;"NA"),"",IF(OR(AD172="NA",I172="NA",I172=0),"NA",(AD172/I172)))),"Not Req.")</f>
        <v/>
      </c>
      <c r="AW172" s="284" t="str">
        <f>IF(Start!$C$18="x",(IF(AND(F172="",G172= "",G172&lt;&gt;"NA"),"",IF(OR(AF172="NA",I172="NA",I172=0),"NA",(AF172/I172)))),"Not Req.")</f>
        <v/>
      </c>
      <c r="AX172" s="284" t="str">
        <f>IF(Start!$C$18="x",(IF(F172 ="","",IF(OR(AO172="NA",I172="NA",I172=0),"NA",(AO172/I172)))),"Not Req.")</f>
        <v/>
      </c>
      <c r="AY172" s="344" t="str">
        <f>IF(Start!$C$18="x",(IF(F172 ="","",IF(OR(AU172="NA",I172="NA",I172=0),"NA",(AU172/I172)))),"Not Req.")</f>
        <v/>
      </c>
      <c r="AZ172" s="208"/>
    </row>
    <row r="173" spans="1:52" s="183" customFormat="1" x14ac:dyDescent="0.25">
      <c r="A173" s="405" t="s">
        <v>491</v>
      </c>
      <c r="B173" s="347" t="str">
        <f>IF(Start!$C$18="x",IF(AND(OR(F173="",F173="NA"),OR(G173="",G173="NA")),"",IF(I173="NA","NA",IF(AND(I173="",K173="--"),"NA",IF(AD173="NA","Missing Data",IF(I173="","No Criteria",IF(AD173&gt;=I173,"Needed","No")))))),"---")</f>
        <v/>
      </c>
      <c r="C173" s="501" t="str">
        <f>IF(Start!$C$18="x",IF(AND(OR(F173="",F173="NA"),OR(G173="",G173="NA")),"",IF(I173="NA","NA",IF(AND(I173="",K173="--"),"NA",IF(AF173="NA","Missing Data",IF(I173="","No Criteria",IF(AF173&gt;=I173,"Needed","No")))))),"---")</f>
        <v/>
      </c>
      <c r="D173" s="347" t="str">
        <f>IF(Start!$C$18="x",IF(AND(OR(F173="",F173="NA"),OR(G173="",G173="NA")),"",IF(I173="NA","NA",IF(AND(I173="",K173="--"),"NA",IF(AO173="NA","Missing Data",IF(I173="","No Criteria",IF(AO173&gt;=I173,"Needed","No")))))),"---")</f>
        <v/>
      </c>
      <c r="E173" s="401" t="str">
        <f>IF(Start!$C$18="x",IF(AND(OR(F173="",F173="NA"),OR(G173="",G173="NA")),"",IF(I173="NA","NA",IF(AND(I173="",K173="--"),"NA",IF(AU173="NA","Missing Data",IF(I173="","No Criteria",IF(AU173&gt;=I173,"Needed","No")))))),"---")</f>
        <v/>
      </c>
      <c r="F173" s="431" t="str">
        <f>IF(TRUE=ISBLANK(ChemData!B173),"",(ChemData!B173))</f>
        <v/>
      </c>
      <c r="G173" s="432" t="str">
        <f>IF(TRUE=ISBLANK(ChemData!C173),"",(ChemData!C173))</f>
        <v/>
      </c>
      <c r="H173" s="433" t="str">
        <f>IF(TRUE=ISBLANK(ChemData!D173),"",(ChemData!D173))</f>
        <v/>
      </c>
      <c r="I173" s="919" t="str">
        <f>IF(TRUE=ISBLANK(ChemData!K173),"",(ChemData!K173))</f>
        <v>NA</v>
      </c>
      <c r="J173" s="290">
        <f>IF(TRUE=ISBLANK(ChemData!M173),"",(ChemData!M173))</f>
        <v>74.099999999999994</v>
      </c>
      <c r="K173" s="290">
        <f>IF(TRUE=ISBLANK(ChemData!N173),"",(ChemData!N173))</f>
        <v>1.2999999999999999E-4</v>
      </c>
      <c r="L173" s="290">
        <f>IF(TRUE=ISBLANK(ChemData!O173),"",(ChemData!O173))</f>
        <v>0.104</v>
      </c>
      <c r="M173" s="290">
        <f>IF(TRUE=ISBLANK(ChemData!Q173),"",(ChemData!Q173))</f>
        <v>2.8016018708554212E-2</v>
      </c>
      <c r="N173" s="290">
        <f>IF(TRUE=ISBLANK(ChemData!R173),"",(ChemData!R173))</f>
        <v>2.8016018708554212E-2</v>
      </c>
      <c r="O173" s="290">
        <f>IF(TRUE=ISBLANK(ChemData!S173),"",(ChemData!S173))</f>
        <v>1</v>
      </c>
      <c r="P173" s="291">
        <f>IF(TRUE=ISBLANK(ChemData!T173),"",(ChemData!T173))</f>
        <v>1</v>
      </c>
      <c r="Q173" s="375">
        <f>IF(Start!$C$18="x",IF(OR(K173="NA",K173="",K173="--"),"NA",(K173*1000000/82.1/Data!$D$50)),"---")</f>
        <v>5.1078543082786537E-3</v>
      </c>
      <c r="R173" s="376">
        <f>IF(Start!$C$18="x",IF(OR(J173="NA",J173=0,J173=""),"NA",(0.32*(Data!$D$48+Data!$D$49)*(18/J173)^0.5)),"---")</f>
        <v>0.40611998386627884</v>
      </c>
      <c r="S173" s="376">
        <f>IF(Start!$C$18="x",IF(OR(J173="NA",J173= 0,J173=""),"NA",(0.0065*((Data!$D$49^0.969)/(Data!$D$51^0.673))*(32/J173)^0.5*EXP(0.526*Data!$D$48^-1.9))),"---")</f>
        <v>8.5598966242242283E-4</v>
      </c>
      <c r="T173" s="377">
        <f>IF(Start!$C$18="x",IF(OR(S173="NA",R173="NA",R173=0,Q173="NA",S173=0,Q173=0),"NA",(1/(1/S173+(1/(R173*Q173))))),"---")</f>
        <v>6.0594855554084589E-4</v>
      </c>
      <c r="U173" s="375" t="str">
        <f>IF(Start!$C$18="x",IF(OR(F173="NA",F173="",O173="",O173="NA"),"NA",(F173*$O173)),"---")</f>
        <v>NA</v>
      </c>
      <c r="V173" s="376" t="str">
        <f>IF(Start!$C$18="x",IF(OR(U173="NA",M173="NA",M173="",U173=""),"NA",U173/((Data!$D$18+((1-Data!$D$18)*Data!$D$14*M173))/((1-Data!$D$18)*Data!$D$14*1000))),"---")</f>
        <v>NA</v>
      </c>
      <c r="W173" s="376" t="str">
        <f>IF(Start!$C$18="x",IF(OR(G173="NA",U173="NA",G173="",U173=""),"NA",(U173 +($G173*(Data!$D$19-Data!$D$22)/(Data!$D$19*Data!$D$22)))),"---")</f>
        <v>NA</v>
      </c>
      <c r="X173" s="376" t="str">
        <f>IF(Start!$C$18="x",IF(OR(G173="NA",V173="NA",G173="",V173=""),"NA",(((Data!$D$22*Data!$D$18)*V173)+(Data!$D$19-Data!$D$22)*$G173)/((Data!$D$22*Data!$D$18)+Data!$D$19-Data!$D$22)),"---")</f>
        <v>NA</v>
      </c>
      <c r="Y173" s="376" t="str">
        <f>IF(Start!$C$18="x",IF(OR(W173="NA",W173="",M173="NA",M173=""),"NA",(W173/((Data!$D$23+((1-Data!$D$23)*Data!$D$14*M173)) /((1-Data!$D$23)*Data!$D$14*1000)))),"---")</f>
        <v>NA</v>
      </c>
      <c r="Z173" s="376" t="str">
        <f>IF(Start!$C$18="x",IF(OR(Y173="NA",X173="NA"),"NA",IF(Y173&gt;X173, Y173, X173)),"---")</f>
        <v>NA</v>
      </c>
      <c r="AA173" s="461" t="str">
        <f>IF(Start!$C$18="x",IF(OR(Z173="NA",T173="NA"),"NA",Z173*T173/(1000000000)),"---")</f>
        <v>NA</v>
      </c>
      <c r="AB173" s="1057" t="str">
        <f>IF(Start!$C$18="x",IF(AA173 = "NA", "NA", AA173*(Data!$D$52*Data!$D$53*10000)),"---")</f>
        <v>NA</v>
      </c>
      <c r="AC173" s="375" t="str">
        <f>IF(Start!$C$18="x",IF(AB173="NA", "NA", AB173*Data!$D$54),"---")</f>
        <v>NA</v>
      </c>
      <c r="AD173" s="498" t="str">
        <f>IF(Start!$C$18="x",IF(AC173="NA","NA",AC173*Data!$D$41),"---")</f>
        <v>NA</v>
      </c>
      <c r="AE173" s="376" t="str">
        <f>IF(Start!$C$18="x",IF(AB173 = "NA", "NA", AB173/(Data!$D$53*3*Data!$D$48)*1000),"---")</f>
        <v>NA</v>
      </c>
      <c r="AF173" s="498" t="str">
        <f>IF(Start!$C$18="x",IF(AE173="NA","NA",AE173*Data!$D$46),"---")</f>
        <v>NA</v>
      </c>
      <c r="AG173" s="375">
        <f>IF(Start!$C$18="x",IF(OR($L173="NA",L173=""),"NA",($L173*(Data!$D$55^3.33)/(Data!$D$18^2))),"---")</f>
        <v>1.0594993412926764E-3</v>
      </c>
      <c r="AH173" s="376" t="str">
        <f>IF(Start!$C$18="x",IF(OR(F173="NA",F173="",P173="NA",P173=""),"NA",IF(100/Data!$D$10&gt;Data!$D$13,(F173*$P173),(F173*$P173)*Data!$D$13)),"---")</f>
        <v>NA</v>
      </c>
      <c r="AI173" s="489">
        <f>IF(Start!$C$18="x",IF(OR($N173="NA",$Q173="NA",$Q173=0,Q173="",N173=""),"NA",(1000*$N173/$Q173)),"---")</f>
        <v>5484.889939626255</v>
      </c>
      <c r="AJ173" s="376">
        <f>IF(Start!$C$18="x",IF(OR(Q173 = "NA",Q173=0,N173 = "NA",N173="",Q173=""), "NA", IF($AG173="NA","NA",(3.1416*Data!$D$57*86400/($AG173*(Data!$D$55+(N173*Data!$D$19/(Q173*1000)))))^0.5)),"---")</f>
        <v>39772.712831123667</v>
      </c>
      <c r="AK173" s="376" t="str">
        <f>IF(Start!$C$18="x",IF(OR(AH173 = "NA",AI173="NA",AI173=0,AI173="",AH173=""), "NA", AH173/AI173),"---")</f>
        <v>NA</v>
      </c>
      <c r="AL173" s="376" t="str">
        <f>IF(Start!$C$18="x",IF(OR(AK173 ="NA",AK173="",AJ173= "NA",R173="NA",R173=0),"NA",(2*AK173)/(1000*(1/$R173+AJ173))),"---")</f>
        <v>NA</v>
      </c>
      <c r="AM173" s="376" t="str">
        <f>IF(Start!$C$18="x",IF(AL173 = "NA", "NA", AL173*(Data!$D$52*Data!$D$53*10000)),"---")</f>
        <v>NA</v>
      </c>
      <c r="AN173" s="376" t="str">
        <f>IF(Start!$C$18="x",IF(AM173 = "NA", "NA", AM173*(Data!$D$54)),"---")</f>
        <v>NA</v>
      </c>
      <c r="AO173" s="498" t="str">
        <f>IF(Start!$C$18="x",IF(AN173="NA","NA",AN173*Data!$D$41),"---")</f>
        <v>NA</v>
      </c>
      <c r="AP173" s="376">
        <f>IF(Start!$C$18="x",IF(OR(Q173=0,N173="NA",N173="",AG173="NA",AG173="",AG173=0,Q173="",Q173="NA"),"NA", (3.1416*Data!$D$56*86400/($AG173*(Data!$D$55+(N173*Data!$D$19/(Q173*1000)))))^0.5),"---")</f>
        <v>39772.712831123667</v>
      </c>
      <c r="AQ173" s="376" t="str">
        <f>IF(Start!$C$18="x",IF(OR(AH173="NA",AI173="NA",AI173="",AI173=0,AH173=""),"NA", AH173/AI173),"---")</f>
        <v>NA</v>
      </c>
      <c r="AR173" s="376" t="str">
        <f>IF(Start!$C$18="x",IF(OR(AQ173="NA",AP173="NA",$R173="NA",R173=0,R173=""),"NA",(2*AQ173)/(1000*(1/$R173+AP173))),"---")</f>
        <v>NA</v>
      </c>
      <c r="AS173" s="376" t="str">
        <f>IF(Start!$C$18="x",IF(AR173 = "NA", "NA", AR173*(Data!$D$52*Data!$D$53*10000)),"---")</f>
        <v>NA</v>
      </c>
      <c r="AT173" s="376" t="str">
        <f>IF(Start!$C$18="x",IF(AS173 = "NA", "NA", (AS173*1000)/(Data!$D$48*3*Data!$D$53)),"---")</f>
        <v>NA</v>
      </c>
      <c r="AU173" s="498" t="str">
        <f>IF(Start!$C$18="x",IF(AT173="NA","NA",AT173*Data!$D$47),"---")</f>
        <v>NA</v>
      </c>
      <c r="AV173" s="283" t="str">
        <f>IF(Start!$C$18="x",(IF(AND(F173="",G173= "",G173&lt;&gt;"NA"),"",IF(OR(AD173="NA",I173="NA",I173=0),"NA",(AD173/I173)))),"Not Req.")</f>
        <v/>
      </c>
      <c r="AW173" s="284" t="str">
        <f>IF(Start!$C$18="x",(IF(AND(F173="",G173= "",G173&lt;&gt;"NA"),"",IF(OR(AF173="NA",I173="NA",I173=0),"NA",(AF173/I173)))),"Not Req.")</f>
        <v/>
      </c>
      <c r="AX173" s="284" t="str">
        <f>IF(Start!$C$18="x",(IF(F173 ="","",IF(OR(AO173="NA",I173="NA",I173=0),"NA",(AO173/I173)))),"Not Req.")</f>
        <v/>
      </c>
      <c r="AY173" s="344" t="str">
        <f>IF(Start!$C$18="x",(IF(F173 ="","",IF(OR(AU173="NA",I173="NA",I173=0),"NA",(AU173/I173)))),"Not Req.")</f>
        <v/>
      </c>
      <c r="AZ173" s="208"/>
    </row>
    <row r="174" spans="1:52" s="183" customFormat="1" x14ac:dyDescent="0.25">
      <c r="A174" s="405" t="s">
        <v>676</v>
      </c>
      <c r="B174" s="347" t="str">
        <f>IF(Start!$C$18="x",IF(AND(OR(F174="",F174="NA"),OR(G174="",G174="NA")),"",IF(I174="NA","NA",IF(AND(I174="",K174="--"),"NA",IF(AD174="NA","Missing Data",IF(I174="","No Criteria",IF(AD174&gt;=I174,"Needed","No")))))),"---")</f>
        <v/>
      </c>
      <c r="C174" s="501" t="str">
        <f>IF(Start!$C$18="x",IF(AND(OR(F174="",F174="NA"),OR(G174="",G174="NA")),"",IF(I174="NA","NA",IF(AND(I174="",K174="--"),"NA",IF(AF174="NA","Missing Data",IF(I174="","No Criteria",IF(AF174&gt;=I174,"Needed","No")))))),"---")</f>
        <v/>
      </c>
      <c r="D174" s="347" t="str">
        <f>IF(Start!$C$18="x",IF(AND(OR(F174="",F174="NA"),OR(G174="",G174="NA")),"",IF(I174="NA","NA",IF(AND(I174="",K174="--"),"NA",IF(AO174="NA","Missing Data",IF(I174="","No Criteria",IF(AO174&gt;=I174,"Needed","No")))))),"---")</f>
        <v/>
      </c>
      <c r="E174" s="401" t="str">
        <f>IF(Start!$C$18="x",IF(AND(OR(F174="",F174="NA"),OR(G174="",G174="NA")),"",IF(I174="NA","NA",IF(AND(I174="",K174="--"),"NA",IF(AU174="NA","Missing Data",IF(I174="","No Criteria",IF(AU174&gt;=I174,"Needed","No")))))),"---")</f>
        <v/>
      </c>
      <c r="F174" s="431" t="str">
        <f>IF(TRUE=ISBLANK(ChemData!B174),"",(ChemData!B174))</f>
        <v/>
      </c>
      <c r="G174" s="432" t="str">
        <f>IF(TRUE=ISBLANK(ChemData!C174),"",(ChemData!C174))</f>
        <v/>
      </c>
      <c r="H174" s="433" t="str">
        <f>IF(TRUE=ISBLANK(ChemData!D174),"",(ChemData!D174))</f>
        <v/>
      </c>
      <c r="I174" s="919" t="str">
        <f>IF(TRUE=ISBLANK(ChemData!K174),"",(ChemData!K174))</f>
        <v>NA</v>
      </c>
      <c r="J174" s="290">
        <f>IF(TRUE=ISBLANK(ChemData!M174),"",(ChemData!M174))</f>
        <v>88.15</v>
      </c>
      <c r="K174" s="290">
        <f>IF(TRUE=ISBLANK(ChemData!N174),"",(ChemData!N174))</f>
        <v>5.8699999999999996E-4</v>
      </c>
      <c r="L174" s="290">
        <f>IF(TRUE=ISBLANK(ChemData!O174),"",(ChemData!O174))</f>
        <v>0.1024</v>
      </c>
      <c r="M174" s="290">
        <f>IF(TRUE=ISBLANK(ChemData!Q174),"",(ChemData!Q174))</f>
        <v>0.32166693340150943</v>
      </c>
      <c r="N174" s="290">
        <f>IF(TRUE=ISBLANK(ChemData!R174),"",(ChemData!R174))</f>
        <v>0.32166693340150943</v>
      </c>
      <c r="O174" s="290">
        <f>IF(TRUE=ISBLANK(ChemData!S174),"",(ChemData!S174))</f>
        <v>1</v>
      </c>
      <c r="P174" s="291">
        <f>IF(TRUE=ISBLANK(ChemData!T174),"",(ChemData!T174))</f>
        <v>1</v>
      </c>
      <c r="Q174" s="375">
        <f>IF(Start!$C$18="x",IF(OR(K174="NA",K174="",K174="--"),"NA",(K174*1000000/82.1/Data!$D$50)),"---")</f>
        <v>2.3063926761227458E-2</v>
      </c>
      <c r="R174" s="376">
        <f>IF(Start!$C$18="x",IF(OR(J174="NA",J174=0,J174=""),"NA",(0.32*(Data!$D$48+Data!$D$49)*(18/J174)^0.5)),"---")</f>
        <v>0.37235081257245739</v>
      </c>
      <c r="S174" s="376">
        <f>IF(Start!$C$18="x",IF(OR(J174="NA",J174= 0,J174=""),"NA",(0.0065*((Data!$D$49^0.969)/(Data!$D$51^0.673))*(32/J174)^0.5*EXP(0.526*Data!$D$48^-1.9))),"---")</f>
        <v>7.8481350098142115E-4</v>
      </c>
      <c r="T174" s="377">
        <f>IF(Start!$C$18="x",IF(OR(S174="NA",R174="NA",R174=0,Q174="NA",S174=0,Q174=0),"NA",(1/(1/S174+(1/(R174*Q174))))),"---")</f>
        <v>7.1909783819104655E-4</v>
      </c>
      <c r="U174" s="375" t="str">
        <f>IF(Start!$C$18="x",IF(OR(F174="NA",F174="",O174="",O174="NA"),"NA",(F174*$O174)),"---")</f>
        <v>NA</v>
      </c>
      <c r="V174" s="376" t="str">
        <f>IF(Start!$C$18="x",IF(OR(U174="NA",M174="NA",M174="",U174=""),"NA",U174/((Data!$D$18+((1-Data!$D$18)*Data!$D$14*M174))/((1-Data!$D$18)*Data!$D$14*1000))),"---")</f>
        <v>NA</v>
      </c>
      <c r="W174" s="376" t="str">
        <f>IF(Start!$C$18="x",IF(OR(G174="NA",U174="NA",G174="",U174=""),"NA",(U174 +($G174*(Data!$D$19-Data!$D$22)/(Data!$D$19*Data!$D$22)))),"---")</f>
        <v>NA</v>
      </c>
      <c r="X174" s="376" t="str">
        <f>IF(Start!$C$18="x",IF(OR(G174="NA",V174="NA",G174="",V174=""),"NA",(((Data!$D$22*Data!$D$18)*V174)+(Data!$D$19-Data!$D$22)*$G174)/((Data!$D$22*Data!$D$18)+Data!$D$19-Data!$D$22)),"---")</f>
        <v>NA</v>
      </c>
      <c r="Y174" s="376" t="str">
        <f>IF(Start!$C$18="x",IF(OR(W174="NA",W174="",M174="NA",M174=""),"NA",(W174/((Data!$D$23+((1-Data!$D$23)*Data!$D$14*M174)) /((1-Data!$D$23)*Data!$D$14*1000)))),"---")</f>
        <v>NA</v>
      </c>
      <c r="Z174" s="376" t="str">
        <f>IF(Start!$C$18="x",IF(OR(Y174="NA",X174="NA"),"NA",IF(Y174&gt;X174, Y174, X174)),"---")</f>
        <v>NA</v>
      </c>
      <c r="AA174" s="461" t="str">
        <f>IF(Start!$C$18="x",IF(OR(Z174="NA",T174="NA"),"NA",Z174*T174/(1000000000)),"---")</f>
        <v>NA</v>
      </c>
      <c r="AB174" s="1057" t="str">
        <f>IF(Start!$C$18="x",IF(AA174 = "NA", "NA", AA174*(Data!$D$52*Data!$D$53*10000)),"---")</f>
        <v>NA</v>
      </c>
      <c r="AC174" s="375" t="str">
        <f>IF(Start!$C$18="x",IF(AB174="NA", "NA", AB174*Data!$D$54),"---")</f>
        <v>NA</v>
      </c>
      <c r="AD174" s="498" t="str">
        <f>IF(Start!$C$18="x",IF(AC174="NA","NA",AC174*Data!$D$41),"---")</f>
        <v>NA</v>
      </c>
      <c r="AE174" s="376" t="str">
        <f>IF(Start!$C$18="x",IF(AB174 = "NA", "NA", AB174/(Data!$D$53*3*Data!$D$48)*1000),"---")</f>
        <v>NA</v>
      </c>
      <c r="AF174" s="498" t="str">
        <f>IF(Start!$C$18="x",IF(AE174="NA","NA",AE174*Data!$D$46),"---")</f>
        <v>NA</v>
      </c>
      <c r="AG174" s="375">
        <f>IF(Start!$C$18="x",IF(OR($L174="NA",L174=""),"NA",($L174*(Data!$D$55^3.33)/(Data!$D$18^2))),"---")</f>
        <v>1.0431993514266353E-3</v>
      </c>
      <c r="AH174" s="376" t="str">
        <f>IF(Start!$C$18="x",IF(OR(F174="NA",F174="",P174="NA",P174=""),"NA",IF(100/Data!$D$10&gt;Data!$D$13,(F174*$P174),(F174*$P174)*Data!$D$13)),"---")</f>
        <v>NA</v>
      </c>
      <c r="AI174" s="489">
        <f>IF(Start!$C$18="x",IF(OR($N174="NA",$Q174="NA",$Q174=0,Q174="",N174=""),"NA",(1000*$N174/$Q174)),"---")</f>
        <v>13946.754892677711</v>
      </c>
      <c r="AJ174" s="376">
        <f>IF(Start!$C$18="x",IF(OR(Q174 = "NA",Q174=0,N174 = "NA",N174="",Q174=""), "NA", IF($AG174="NA","NA",(3.1416*Data!$D$57*86400/($AG174*(Data!$D$55+(N174*Data!$D$19/(Q174*1000)))))^0.5)),"---")</f>
        <v>25456.074812828938</v>
      </c>
      <c r="AK174" s="376" t="str">
        <f>IF(Start!$C$18="x",IF(OR(AH174 = "NA",AI174="NA",AI174=0,AI174="",AH174=""), "NA", AH174/AI174),"---")</f>
        <v>NA</v>
      </c>
      <c r="AL174" s="376" t="str">
        <f>IF(Start!$C$18="x",IF(OR(AK174 ="NA",AK174="",AJ174= "NA",R174="NA",R174=0),"NA",(2*AK174)/(1000*(1/$R174+AJ174))),"---")</f>
        <v>NA</v>
      </c>
      <c r="AM174" s="376" t="str">
        <f>IF(Start!$C$18="x",IF(AL174 = "NA", "NA", AL174*(Data!$D$52*Data!$D$53*10000)),"---")</f>
        <v>NA</v>
      </c>
      <c r="AN174" s="376" t="str">
        <f>IF(Start!$C$18="x",IF(AM174 = "NA", "NA", AM174*(Data!$D$54)),"---")</f>
        <v>NA</v>
      </c>
      <c r="AO174" s="498" t="str">
        <f>IF(Start!$C$18="x",IF(AN174="NA","NA",AN174*Data!$D$41),"---")</f>
        <v>NA</v>
      </c>
      <c r="AP174" s="376">
        <f>IF(Start!$C$18="x",IF(OR(Q174=0,N174="NA",N174="",AG174="NA",AG174="",AG174=0,Q174="",Q174="NA"),"NA", (3.1416*Data!$D$56*86400/($AG174*(Data!$D$55+(N174*Data!$D$19/(Q174*1000)))))^0.5),"---")</f>
        <v>25456.074812828938</v>
      </c>
      <c r="AQ174" s="376" t="str">
        <f>IF(Start!$C$18="x",IF(OR(AH174="NA",AI174="NA",AI174="",AI174=0,AH174=""),"NA", AH174/AI174),"---")</f>
        <v>NA</v>
      </c>
      <c r="AR174" s="376" t="str">
        <f>IF(Start!$C$18="x",IF(OR(AQ174="NA",AP174="NA",$R174="NA",R174=0,R174=""),"NA",(2*AQ174)/(1000*(1/$R174+AP174))),"---")</f>
        <v>NA</v>
      </c>
      <c r="AS174" s="376" t="str">
        <f>IF(Start!$C$18="x",IF(AR174 = "NA", "NA", AR174*(Data!$D$52*Data!$D$53*10000)),"---")</f>
        <v>NA</v>
      </c>
      <c r="AT174" s="376" t="str">
        <f>IF(Start!$C$18="x",IF(AS174 = "NA", "NA", (AS174*1000)/(Data!$D$48*3*Data!$D$53)),"---")</f>
        <v>NA</v>
      </c>
      <c r="AU174" s="498" t="str">
        <f>IF(Start!$C$18="x",IF(AT174="NA","NA",AT174*Data!$D$47),"---")</f>
        <v>NA</v>
      </c>
      <c r="AV174" s="283" t="str">
        <f>IF(Start!$C$18="x",(IF(AND(F174="",G174= "",G174&lt;&gt;"NA"),"",IF(OR(AD174="NA",I174="NA",I174=0),"NA",(AD174/I174)))),"Not Req.")</f>
        <v/>
      </c>
      <c r="AW174" s="284" t="str">
        <f>IF(Start!$C$18="x",(IF(AND(F174="",G174= "",G174&lt;&gt;"NA"),"",IF(OR(AF174="NA",I174="NA",I174=0),"NA",(AF174/I174)))),"Not Req.")</f>
        <v/>
      </c>
      <c r="AX174" s="284" t="str">
        <f>IF(Start!$C$18="x",(IF(F174 ="","",IF(OR(AO174="NA",I174="NA",I174=0),"NA",(AO174/I174)))),"Not Req.")</f>
        <v/>
      </c>
      <c r="AY174" s="344" t="str">
        <f>IF(Start!$C$18="x",(IF(F174 ="","",IF(OR(AU174="NA",I174="NA",I174=0),"NA",(AU174/I174)))),"Not Req.")</f>
        <v/>
      </c>
      <c r="AZ174" s="208"/>
    </row>
    <row r="175" spans="1:52" s="183" customFormat="1" x14ac:dyDescent="0.25">
      <c r="A175" s="405" t="s">
        <v>677</v>
      </c>
      <c r="B175" s="347" t="str">
        <f>IF(Start!$C$18="x",IF(AND(OR(F175="",F175="NA"),OR(G175="",G175="NA")),"",IF(I175="NA","NA",IF(AND(I175="",K175="--"),"NA",IF(AD175="NA","Missing Data",IF(I175="","No Criteria",IF(AD175&gt;=I175,"Needed","No")))))),"---")</f>
        <v/>
      </c>
      <c r="C175" s="501" t="str">
        <f>IF(Start!$C$18="x",IF(AND(OR(F175="",F175="NA"),OR(G175="",G175="NA")),"",IF(I175="NA","NA",IF(AND(I175="",K175="--"),"NA",IF(AF175="NA","Missing Data",IF(I175="","No Criteria",IF(AF175&gt;=I175,"Needed","No")))))),"---")</f>
        <v/>
      </c>
      <c r="D175" s="347" t="str">
        <f>IF(Start!$C$18="x",IF(AND(OR(F175="",F175="NA"),OR(G175="",G175="NA")),"",IF(I175="NA","NA",IF(AND(I175="",K175="--"),"NA",IF(AO175="NA","Missing Data",IF(I175="","No Criteria",IF(AO175&gt;=I175,"Needed","No")))))),"---")</f>
        <v/>
      </c>
      <c r="E175" s="401" t="str">
        <f>IF(Start!$C$18="x",IF(AND(OR(F175="",F175="NA"),OR(G175="",G175="NA")),"",IF(I175="NA","NA",IF(AND(I175="",K175="--"),"NA",IF(AU175="NA","Missing Data",IF(I175="","No Criteria",IF(AU175&gt;=I175,"Needed","No")))))),"---")</f>
        <v/>
      </c>
      <c r="F175" s="431" t="str">
        <f>IF(TRUE=ISBLANK(ChemData!B175),"",(ChemData!B175))</f>
        <v/>
      </c>
      <c r="G175" s="432" t="str">
        <f>IF(TRUE=ISBLANK(ChemData!C175),"",(ChemData!C175))</f>
        <v/>
      </c>
      <c r="H175" s="433" t="str">
        <f>IF(TRUE=ISBLANK(ChemData!D175),"",(ChemData!D175))</f>
        <v/>
      </c>
      <c r="I175" s="919">
        <f>IF(TRUE=ISBLANK(ChemData!K175),"",(ChemData!K175))</f>
        <v>0.23</v>
      </c>
      <c r="J175" s="290">
        <f>IF(TRUE=ISBLANK(ChemData!M175),"",(ChemData!M175))</f>
        <v>100.16</v>
      </c>
      <c r="K175" s="290">
        <f>IF(TRUE=ISBLANK(ChemData!N175),"",(ChemData!N175))</f>
        <v>1.3798711199999999E-4</v>
      </c>
      <c r="L175" s="290">
        <f>IF(TRUE=ISBLANK(ChemData!O175),"",(ChemData!O175))</f>
        <v>7.4999999999999997E-2</v>
      </c>
      <c r="M175" s="290">
        <f>IF(TRUE=ISBLANK(ChemData!Q175),"",(ChemData!Q175))</f>
        <v>0.37792569355833</v>
      </c>
      <c r="N175" s="290">
        <f>IF(TRUE=ISBLANK(ChemData!R175),"",(ChemData!R175))</f>
        <v>0.37792569355833</v>
      </c>
      <c r="O175" s="290">
        <f>IF(TRUE=ISBLANK(ChemData!S175),"",(ChemData!S175))</f>
        <v>1</v>
      </c>
      <c r="P175" s="291">
        <f>IF(TRUE=ISBLANK(ChemData!T175),"",(ChemData!T175))</f>
        <v>1</v>
      </c>
      <c r="Q175" s="375">
        <f>IF(Start!$C$18="x",IF(OR(K175="NA",K175="",K175="--"),"NA",(K175*1000000/82.1/Data!$D$50)),"---")</f>
        <v>5.4216774193548388E-3</v>
      </c>
      <c r="R175" s="376">
        <f>IF(Start!$C$18="x",IF(OR(J175="NA",J175=0,J175=""),"NA",(0.32*(Data!$D$48+Data!$D$49)*(18/J175)^0.5)),"---")</f>
        <v>0.34931425290752893</v>
      </c>
      <c r="S175" s="376">
        <f>IF(Start!$C$18="x",IF(OR(J175="NA",J175= 0,J175=""),"NA",(0.0065*((Data!$D$49^0.969)/(Data!$D$51^0.673))*(32/J175)^0.5*EXP(0.526*Data!$D$48^-1.9))),"---")</f>
        <v>7.3625874447022998E-4</v>
      </c>
      <c r="T175" s="377">
        <f>IF(Start!$C$18="x",IF(OR(S175="NA",R175="NA",R175=0,Q175="NA",S175=0,Q175=0),"NA",(1/(1/S175+(1/(R175*Q175))))),"---")</f>
        <v>5.3015586627532397E-4</v>
      </c>
      <c r="U175" s="375" t="str">
        <f>IF(Start!$C$18="x",IF(OR(F175="NA",F175="",O175="",O175="NA"),"NA",(F175*$O175)),"---")</f>
        <v>NA</v>
      </c>
      <c r="V175" s="376" t="str">
        <f>IF(Start!$C$18="x",IF(OR(U175="NA",M175="NA",M175="",U175=""),"NA",U175/((Data!$D$18+((1-Data!$D$18)*Data!$D$14*M175))/((1-Data!$D$18)*Data!$D$14*1000))),"---")</f>
        <v>NA</v>
      </c>
      <c r="W175" s="376" t="str">
        <f>IF(Start!$C$18="x",IF(OR(G175="NA",U175="NA",G175="",U175=""),"NA",(U175 +($G175*(Data!$D$19-Data!$D$22)/(Data!$D$19*Data!$D$22)))),"---")</f>
        <v>NA</v>
      </c>
      <c r="X175" s="376" t="str">
        <f>IF(Start!$C$18="x",IF(OR(G175="NA",V175="NA",G175="",V175=""),"NA",(((Data!$D$22*Data!$D$18)*V175)+(Data!$D$19-Data!$D$22)*$G175)/((Data!$D$22*Data!$D$18)+Data!$D$19-Data!$D$22)),"---")</f>
        <v>NA</v>
      </c>
      <c r="Y175" s="376" t="str">
        <f>IF(Start!$C$18="x",IF(OR(W175="NA",W175="",M175="NA",M175=""),"NA",(W175/((Data!$D$23+((1-Data!$D$23)*Data!$D$14*M175)) /((1-Data!$D$23)*Data!$D$14*1000)))),"---")</f>
        <v>NA</v>
      </c>
      <c r="Z175" s="376" t="str">
        <f>IF(Start!$C$18="x",IF(OR(Y175="NA",X175="NA"),"NA",IF(Y175&gt;X175, Y175, X175)),"---")</f>
        <v>NA</v>
      </c>
      <c r="AA175" s="461" t="str">
        <f>IF(Start!$C$18="x",IF(OR(Z175="NA",T175="NA"),"NA",Z175*T175/(1000000000)),"---")</f>
        <v>NA</v>
      </c>
      <c r="AB175" s="1057" t="str">
        <f>IF(Start!$C$18="x",IF(AA175 = "NA", "NA", AA175*(Data!$D$52*Data!$D$53*10000)),"---")</f>
        <v>NA</v>
      </c>
      <c r="AC175" s="375" t="str">
        <f>IF(Start!$C$18="x",IF(AB175="NA", "NA", AB175*Data!$D$54),"---")</f>
        <v>NA</v>
      </c>
      <c r="AD175" s="498" t="str">
        <f>IF(Start!$C$18="x",IF(AC175="NA","NA",AC175*Data!$D$41),"---")</f>
        <v>NA</v>
      </c>
      <c r="AE175" s="376" t="str">
        <f>IF(Start!$C$18="x",IF(AB175 = "NA", "NA", AB175/(Data!$D$53*3*Data!$D$48)*1000),"---")</f>
        <v>NA</v>
      </c>
      <c r="AF175" s="498" t="str">
        <f>IF(Start!$C$18="x",IF(AE175="NA","NA",AE175*Data!$D$46),"---")</f>
        <v>NA</v>
      </c>
      <c r="AG175" s="375">
        <f>IF(Start!$C$18="x",IF(OR($L175="NA",L175=""),"NA",($L175*(Data!$D$55^3.33)/(Data!$D$18^2))),"---")</f>
        <v>7.6406202497068007E-4</v>
      </c>
      <c r="AH175" s="376" t="str">
        <f>IF(Start!$C$18="x",IF(OR(F175="NA",F175="",P175="NA",P175=""),"NA",IF(100/Data!$D$10&gt;Data!$D$13,(F175*$P175),(F175*$P175)*Data!$D$13)),"---")</f>
        <v>NA</v>
      </c>
      <c r="AI175" s="489">
        <f>IF(Start!$C$18="x",IF(OR($N175="NA",$Q175="NA",$Q175=0,Q175="",N175=""),"NA",(1000*$N175/$Q175)),"---")</f>
        <v>69706.414514661752</v>
      </c>
      <c r="AJ175" s="376">
        <f>IF(Start!$C$18="x",IF(OR(Q175 = "NA",Q175=0,N175 = "NA",N175="",Q175=""), "NA", IF($AG175="NA","NA",(3.1416*Data!$D$57*86400/($AG175*(Data!$D$55+(N175*Data!$D$19/(Q175*1000)))))^0.5)),"---")</f>
        <v>13394.124302997901</v>
      </c>
      <c r="AK175" s="376" t="str">
        <f>IF(Start!$C$18="x",IF(OR(AH175 = "NA",AI175="NA",AI175=0,AI175="",AH175=""), "NA", AH175/AI175),"---")</f>
        <v>NA</v>
      </c>
      <c r="AL175" s="376" t="str">
        <f>IF(Start!$C$18="x",IF(OR(AK175 ="NA",AK175="",AJ175= "NA",R175="NA",R175=0),"NA",(2*AK175)/(1000*(1/$R175+AJ175))),"---")</f>
        <v>NA</v>
      </c>
      <c r="AM175" s="376" t="str">
        <f>IF(Start!$C$18="x",IF(AL175 = "NA", "NA", AL175*(Data!$D$52*Data!$D$53*10000)),"---")</f>
        <v>NA</v>
      </c>
      <c r="AN175" s="376" t="str">
        <f>IF(Start!$C$18="x",IF(AM175 = "NA", "NA", AM175*(Data!$D$54)),"---")</f>
        <v>NA</v>
      </c>
      <c r="AO175" s="498" t="str">
        <f>IF(Start!$C$18="x",IF(AN175="NA","NA",AN175*Data!$D$41),"---")</f>
        <v>NA</v>
      </c>
      <c r="AP175" s="376">
        <f>IF(Start!$C$18="x",IF(OR(Q175=0,N175="NA",N175="",AG175="NA",AG175="",AG175=0,Q175="",Q175="NA"),"NA", (3.1416*Data!$D$56*86400/($AG175*(Data!$D$55+(N175*Data!$D$19/(Q175*1000)))))^0.5),"---")</f>
        <v>13394.124302997901</v>
      </c>
      <c r="AQ175" s="376" t="str">
        <f>IF(Start!$C$18="x",IF(OR(AH175="NA",AI175="NA",AI175="",AI175=0,AH175=""),"NA", AH175/AI175),"---")</f>
        <v>NA</v>
      </c>
      <c r="AR175" s="376" t="str">
        <f>IF(Start!$C$18="x",IF(OR(AQ175="NA",AP175="NA",$R175="NA",R175=0,R175=""),"NA",(2*AQ175)/(1000*(1/$R175+AP175))),"---")</f>
        <v>NA</v>
      </c>
      <c r="AS175" s="376" t="str">
        <f>IF(Start!$C$18="x",IF(AR175 = "NA", "NA", AR175*(Data!$D$52*Data!$D$53*10000)),"---")</f>
        <v>NA</v>
      </c>
      <c r="AT175" s="376" t="str">
        <f>IF(Start!$C$18="x",IF(AS175 = "NA", "NA", (AS175*1000)/(Data!$D$48*3*Data!$D$53)),"---")</f>
        <v>NA</v>
      </c>
      <c r="AU175" s="498" t="str">
        <f>IF(Start!$C$18="x",IF(AT175="NA","NA",AT175*Data!$D$47),"---")</f>
        <v>NA</v>
      </c>
      <c r="AV175" s="283" t="str">
        <f>IF(Start!$C$18="x",(IF(AND(F175="",G175= "",G175&lt;&gt;"NA"),"",IF(OR(AD175="NA",I175="NA",I175=0),"NA",(AD175/I175)))),"Not Req.")</f>
        <v/>
      </c>
      <c r="AW175" s="284" t="str">
        <f>IF(Start!$C$18="x",(IF(AND(F175="",G175= "",G175&lt;&gt;"NA"),"",IF(OR(AF175="NA",I175="NA",I175=0),"NA",(AF175/I175)))),"Not Req.")</f>
        <v/>
      </c>
      <c r="AX175" s="284" t="str">
        <f>IF(Start!$C$18="x",(IF(F175 ="","",IF(OR(AO175="NA",I175="NA",I175=0),"NA",(AO175/I175)))),"Not Req.")</f>
        <v/>
      </c>
      <c r="AY175" s="344" t="str">
        <f>IF(Start!$C$18="x",(IF(F175 ="","",IF(OR(AU175="NA",I175="NA",I175=0),"NA",(AU175/I175)))),"Not Req.")</f>
        <v/>
      </c>
      <c r="AZ175" s="208"/>
    </row>
    <row r="176" spans="1:52" s="183" customFormat="1" x14ac:dyDescent="0.25">
      <c r="A176" s="405" t="s">
        <v>678</v>
      </c>
      <c r="B176" s="347" t="str">
        <f>IF(Start!$C$18="x",IF(AND(OR(F176="",F176="NA"),OR(G176="",G176="NA")),"",IF(I176="NA","NA",IF(AND(I176="",K176="--"),"NA",IF(AD176="NA","Missing Data",IF(I176="","No Criteria",IF(AD176&gt;=I176,"Needed","No")))))),"---")</f>
        <v/>
      </c>
      <c r="C176" s="501" t="str">
        <f>IF(Start!$C$18="x",IF(AND(OR(F176="",F176="NA"),OR(G176="",G176="NA")),"",IF(I176="NA","NA",IF(AND(I176="",K176="--"),"NA",IF(AF176="NA","Missing Data",IF(I176="","No Criteria",IF(AF176&gt;=I176,"Needed","No")))))),"---")</f>
        <v/>
      </c>
      <c r="D176" s="347" t="str">
        <f>IF(Start!$C$18="x",IF(AND(OR(F176="",F176="NA"),OR(G176="",G176="NA")),"",IF(I176="NA","NA",IF(AND(I176="",K176="--"),"NA",IF(AO176="NA","Missing Data",IF(I176="","No Criteria",IF(AO176&gt;=I176,"Needed","No")))))),"---")</f>
        <v/>
      </c>
      <c r="E176" s="401" t="str">
        <f>IF(Start!$C$18="x",IF(AND(OR(F176="",F176="NA"),OR(G176="",G176="NA")),"",IF(I176="NA","NA",IF(AND(I176="",K176="--"),"NA",IF(AU176="NA","Missing Data",IF(I176="","No Criteria",IF(AU176&gt;=I176,"Needed","No")))))),"---")</f>
        <v/>
      </c>
      <c r="F176" s="431" t="str">
        <f>IF(TRUE=ISBLANK(ChemData!B176),"",(ChemData!B176))</f>
        <v/>
      </c>
      <c r="G176" s="432" t="str">
        <f>IF(TRUE=ISBLANK(ChemData!C176),"",(ChemData!C176))</f>
        <v/>
      </c>
      <c r="H176" s="433" t="str">
        <f>IF(TRUE=ISBLANK(ChemData!D176),"",(ChemData!D176))</f>
        <v/>
      </c>
      <c r="I176" s="919" t="str">
        <f>IF(TRUE=ISBLANK(ChemData!K176),"",(ChemData!K176))</f>
        <v>NA</v>
      </c>
      <c r="J176" s="290">
        <f>IF(TRUE=ISBLANK(ChemData!M176),"",(ChemData!M176))</f>
        <v>84.94</v>
      </c>
      <c r="K176" s="290">
        <f>IF(TRUE=ISBLANK(ChemData!N176),"",(ChemData!N176))</f>
        <v>2.1900000000000001E-3</v>
      </c>
      <c r="L176" s="290">
        <f>IF(TRUE=ISBLANK(ChemData!O176),"",(ChemData!O176))</f>
        <v>0.10100000000000001</v>
      </c>
      <c r="M176" s="290">
        <f>IF(TRUE=ISBLANK(ChemData!Q176),"",(ChemData!Q176))</f>
        <v>0.32915951879820476</v>
      </c>
      <c r="N176" s="290">
        <f>IF(TRUE=ISBLANK(ChemData!R176),"",(ChemData!R176))</f>
        <v>0.32915951879820476</v>
      </c>
      <c r="O176" s="290">
        <f>IF(TRUE=ISBLANK(ChemData!S176),"",(ChemData!S176))</f>
        <v>1</v>
      </c>
      <c r="P176" s="291">
        <f>IF(TRUE=ISBLANK(ChemData!T176),"",(ChemData!T176))</f>
        <v>1</v>
      </c>
      <c r="Q176" s="375">
        <f>IF(Start!$C$18="x",IF(OR(K176="NA",K176="",K176="--"),"NA",(K176*1000000/82.1/Data!$D$50)),"---")</f>
        <v>8.604769950100194E-2</v>
      </c>
      <c r="R176" s="376">
        <f>IF(Start!$C$18="x",IF(OR(J176="NA",J176=0,J176=""),"NA",(0.32*(Data!$D$48+Data!$D$49)*(18/J176)^0.5)),"---")</f>
        <v>0.37932139225848011</v>
      </c>
      <c r="S176" s="376">
        <f>IF(Start!$C$18="x",IF(OR(J176="NA",J176= 0,J176=""),"NA",(0.0065*((Data!$D$49^0.969)/(Data!$D$51^0.673))*(32/J176)^0.5*EXP(0.526*Data!$D$48^-1.9))),"---")</f>
        <v>7.9950557324913766E-4</v>
      </c>
      <c r="T176" s="377">
        <f>IF(Start!$C$18="x",IF(OR(S176="NA",R176="NA",R176=0,Q176="NA",S176=0,Q176=0),"NA",(1/(1/S176+(1/(R176*Q176))))),"---")</f>
        <v>7.8039003158080259E-4</v>
      </c>
      <c r="U176" s="375" t="str">
        <f>IF(Start!$C$18="x",IF(OR(F176="NA",F176="",O176="",O176="NA"),"NA",(F176*$O176)),"---")</f>
        <v>NA</v>
      </c>
      <c r="V176" s="376" t="str">
        <f>IF(Start!$C$18="x",IF(OR(U176="NA",M176="NA",M176="",U176=""),"NA",U176/((Data!$D$18+((1-Data!$D$18)*Data!$D$14*M176))/((1-Data!$D$18)*Data!$D$14*1000))),"---")</f>
        <v>NA</v>
      </c>
      <c r="W176" s="376" t="str">
        <f>IF(Start!$C$18="x",IF(OR(G176="NA",U176="NA",G176="",U176=""),"NA",(U176 +($G176*(Data!$D$19-Data!$D$22)/(Data!$D$19*Data!$D$22)))),"---")</f>
        <v>NA</v>
      </c>
      <c r="X176" s="376" t="str">
        <f>IF(Start!$C$18="x",IF(OR(G176="NA",V176="NA",G176="",V176=""),"NA",(((Data!$D$22*Data!$D$18)*V176)+(Data!$D$19-Data!$D$22)*$G176)/((Data!$D$22*Data!$D$18)+Data!$D$19-Data!$D$22)),"---")</f>
        <v>NA</v>
      </c>
      <c r="Y176" s="376" t="str">
        <f>IF(Start!$C$18="x",IF(OR(W176="NA",W176="",M176="NA",M176=""),"NA",(W176/((Data!$D$23+((1-Data!$D$23)*Data!$D$14*M176)) /((1-Data!$D$23)*Data!$D$14*1000)))),"---")</f>
        <v>NA</v>
      </c>
      <c r="Z176" s="376" t="str">
        <f>IF(Start!$C$18="x",IF(OR(Y176="NA",X176="NA"),"NA",IF(Y176&gt;X176, Y176, X176)),"---")</f>
        <v>NA</v>
      </c>
      <c r="AA176" s="461" t="str">
        <f>IF(Start!$C$18="x",IF(OR(Z176="NA",T176="NA"),"NA",Z176*T176/(1000000000)),"---")</f>
        <v>NA</v>
      </c>
      <c r="AB176" s="1057" t="str">
        <f>IF(Start!$C$18="x",IF(AA176 = "NA", "NA", AA176*(Data!$D$52*Data!$D$53*10000)),"---")</f>
        <v>NA</v>
      </c>
      <c r="AC176" s="375" t="str">
        <f>IF(Start!$C$18="x",IF(AB176="NA", "NA", AB176*Data!$D$54),"---")</f>
        <v>NA</v>
      </c>
      <c r="AD176" s="498" t="str">
        <f>IF(Start!$C$18="x",IF(AC176="NA","NA",AC176*Data!$D$41),"---")</f>
        <v>NA</v>
      </c>
      <c r="AE176" s="376" t="str">
        <f>IF(Start!$C$18="x",IF(AB176 = "NA", "NA", AB176/(Data!$D$53*3*Data!$D$48)*1000),"---")</f>
        <v>NA</v>
      </c>
      <c r="AF176" s="498" t="str">
        <f>IF(Start!$C$18="x",IF(AE176="NA","NA",AE176*Data!$D$46),"---")</f>
        <v>NA</v>
      </c>
      <c r="AG176" s="375">
        <f>IF(Start!$C$18="x",IF(OR($L176="NA",L176=""),"NA",($L176*(Data!$D$55^3.33)/(Data!$D$18^2))),"---")</f>
        <v>1.0289368602938492E-3</v>
      </c>
      <c r="AH176" s="376" t="str">
        <f>IF(Start!$C$18="x",IF(OR(F176="NA",F176="",P176="NA",P176=""),"NA",IF(100/Data!$D$10&gt;Data!$D$13,(F176*$P176),(F176*$P176)*Data!$D$13)),"---")</f>
        <v>NA</v>
      </c>
      <c r="AI176" s="489">
        <f>IF(Start!$C$18="x",IF(OR($N176="NA",$Q176="NA",$Q176=0,Q176="",N176=""),"NA",(1000*$N176/$Q176)),"---")</f>
        <v>3825.3145721155747</v>
      </c>
      <c r="AJ176" s="376">
        <f>IF(Start!$C$18="x",IF(OR(Q176 = "NA",Q176=0,N176 = "NA",N176="",Q176=""), "NA", IF($AG176="NA","NA",(3.1416*Data!$D$57*86400/($AG176*(Data!$D$55+(N176*Data!$D$19/(Q176*1000)))))^0.5)),"---")</f>
        <v>47901.363314504873</v>
      </c>
      <c r="AK176" s="376" t="str">
        <f>IF(Start!$C$18="x",IF(OR(AH176 = "NA",AI176="NA",AI176=0,AI176="",AH176=""), "NA", AH176/AI176),"---")</f>
        <v>NA</v>
      </c>
      <c r="AL176" s="376" t="str">
        <f>IF(Start!$C$18="x",IF(OR(AK176 ="NA",AK176="",AJ176= "NA",R176="NA",R176=0),"NA",(2*AK176)/(1000*(1/$R176+AJ176))),"---")</f>
        <v>NA</v>
      </c>
      <c r="AM176" s="376" t="str">
        <f>IF(Start!$C$18="x",IF(AL176 = "NA", "NA", AL176*(Data!$D$52*Data!$D$53*10000)),"---")</f>
        <v>NA</v>
      </c>
      <c r="AN176" s="376" t="str">
        <f>IF(Start!$C$18="x",IF(AM176 = "NA", "NA", AM176*(Data!$D$54)),"---")</f>
        <v>NA</v>
      </c>
      <c r="AO176" s="498" t="str">
        <f>IF(Start!$C$18="x",IF(AN176="NA","NA",AN176*Data!$D$41),"---")</f>
        <v>NA</v>
      </c>
      <c r="AP176" s="376">
        <f>IF(Start!$C$18="x",IF(OR(Q176=0,N176="NA",N176="",AG176="NA",AG176="",AG176=0,Q176="",Q176="NA"),"NA", (3.1416*Data!$D$56*86400/($AG176*(Data!$D$55+(N176*Data!$D$19/(Q176*1000)))))^0.5),"---")</f>
        <v>47901.363314504873</v>
      </c>
      <c r="AQ176" s="376" t="str">
        <f>IF(Start!$C$18="x",IF(OR(AH176="NA",AI176="NA",AI176="",AI176=0,AH176=""),"NA", AH176/AI176),"---")</f>
        <v>NA</v>
      </c>
      <c r="AR176" s="376" t="str">
        <f>IF(Start!$C$18="x",IF(OR(AQ176="NA",AP176="NA",$R176="NA",R176=0,R176=""),"NA",(2*AQ176)/(1000*(1/$R176+AP176))),"---")</f>
        <v>NA</v>
      </c>
      <c r="AS176" s="376" t="str">
        <f>IF(Start!$C$18="x",IF(AR176 = "NA", "NA", AR176*(Data!$D$52*Data!$D$53*10000)),"---")</f>
        <v>NA</v>
      </c>
      <c r="AT176" s="376" t="str">
        <f>IF(Start!$C$18="x",IF(AS176 = "NA", "NA", (AS176*1000)/(Data!$D$48*3*Data!$D$53)),"---")</f>
        <v>NA</v>
      </c>
      <c r="AU176" s="498" t="str">
        <f>IF(Start!$C$18="x",IF(AT176="NA","NA",AT176*Data!$D$47),"---")</f>
        <v>NA</v>
      </c>
      <c r="AV176" s="283" t="str">
        <f>IF(Start!$C$18="x",(IF(AND(F176="",G176= "",G176&lt;&gt;"NA"),"",IF(OR(AD176="NA",I176="NA",I176=0),"NA",(AD176/I176)))),"Not Req.")</f>
        <v/>
      </c>
      <c r="AW176" s="284" t="str">
        <f>IF(Start!$C$18="x",(IF(AND(F176="",G176= "",G176&lt;&gt;"NA"),"",IF(OR(AF176="NA",I176="NA",I176=0),"NA",(AF176/I176)))),"Not Req.")</f>
        <v/>
      </c>
      <c r="AX176" s="284" t="str">
        <f>IF(Start!$C$18="x",(IF(F176 ="","",IF(OR(AO176="NA",I176="NA",I176=0),"NA",(AO176/I176)))),"Not Req.")</f>
        <v/>
      </c>
      <c r="AY176" s="344" t="str">
        <f>IF(Start!$C$18="x",(IF(F176 ="","",IF(OR(AU176="NA",I176="NA",I176=0),"NA",(AU176/I176)))),"Not Req.")</f>
        <v/>
      </c>
      <c r="AZ176" s="208"/>
    </row>
    <row r="177" spans="1:52" s="183" customFormat="1" x14ac:dyDescent="0.25">
      <c r="A177" s="308" t="s">
        <v>679</v>
      </c>
      <c r="B177" s="347" t="str">
        <f>IF(Start!$C$18="x",IF(AND(OR(F177="",F177="NA"),OR(G177="",G177="NA")),"",IF(I177="NA","NA",IF(AND(I177="",K177="--"),"NA",IF(AD177="NA","Missing Data",IF(I177="","No Criteria",IF(AD177&gt;=I177,"Needed","No")))))),"---")</f>
        <v/>
      </c>
      <c r="C177" s="501" t="str">
        <f>IF(Start!$C$18="x",IF(AND(OR(F177="",F177="NA"),OR(G177="",G177="NA")),"",IF(I177="NA","NA",IF(AND(I177="",K177="--"),"NA",IF(AF177="NA","Missing Data",IF(I177="","No Criteria",IF(AF177&gt;=I177,"Needed","No")))))),"---")</f>
        <v/>
      </c>
      <c r="D177" s="347" t="str">
        <f>IF(Start!$C$18="x",IF(AND(OR(F177="",F177="NA"),OR(G177="",G177="NA")),"",IF(I177="NA","NA",IF(AND(I177="",K177="--"),"NA",IF(AO177="NA","Missing Data",IF(I177="","No Criteria",IF(AO177&gt;=I177,"Needed","No")))))),"---")</f>
        <v/>
      </c>
      <c r="E177" s="401" t="str">
        <f>IF(Start!$C$18="x",IF(AND(OR(F177="",F177="NA"),OR(G177="",G177="NA")),"",IF(I177="NA","NA",IF(AND(I177="",K177="--"),"NA",IF(AU177="NA","Missing Data",IF(I177="","No Criteria",IF(AU177&gt;=I177,"Needed","No")))))),"---")</f>
        <v/>
      </c>
      <c r="F177" s="431" t="str">
        <f>IF(TRUE=ISBLANK(ChemData!B177),"",(ChemData!B177))</f>
        <v/>
      </c>
      <c r="G177" s="432" t="str">
        <f>IF(TRUE=ISBLANK(ChemData!C177),"",(ChemData!C177))</f>
        <v/>
      </c>
      <c r="H177" s="433" t="str">
        <f>IF(TRUE=ISBLANK(ChemData!D177),"",(ChemData!D177))</f>
        <v/>
      </c>
      <c r="I177" s="919" t="str">
        <f>IF(TRUE=ISBLANK(ChemData!K177),"",(ChemData!K177))</f>
        <v>NA</v>
      </c>
      <c r="J177" s="290">
        <f>IF(TRUE=ISBLANK(ChemData!M177),"",(ChemData!M177))</f>
        <v>128.21</v>
      </c>
      <c r="K177" s="290">
        <f>IF(TRUE=ISBLANK(ChemData!N177),"",(ChemData!N177))</f>
        <v>1.852E-4</v>
      </c>
      <c r="L177" s="290">
        <f>IF(TRUE=ISBLANK(ChemData!O177),"",(ChemData!O177))</f>
        <v>0.15932687783214938</v>
      </c>
      <c r="M177" s="290">
        <f>IF(TRUE=ISBLANK(ChemData!Q177),"",(ChemData!Q177))</f>
        <v>4.3391675371571781</v>
      </c>
      <c r="N177" s="290">
        <f>IF(TRUE=ISBLANK(ChemData!R177),"",(ChemData!R177))</f>
        <v>4.3391675371571781</v>
      </c>
      <c r="O177" s="290">
        <f>IF(TRUE=ISBLANK(ChemData!S177),"",(ChemData!S177))</f>
        <v>1</v>
      </c>
      <c r="P177" s="291">
        <f>IF(TRUE=ISBLANK(ChemData!T177),"",(ChemData!T177))</f>
        <v>1</v>
      </c>
      <c r="Q177" s="375">
        <f>IF(Start!$C$18="x",IF(OR(K177="NA",K177="",K177="--"),"NA",(K177*1000000/82.1/Data!$D$50)),"---")</f>
        <v>7.2767278299477435E-3</v>
      </c>
      <c r="R177" s="376">
        <f>IF(Start!$C$18="x",IF(OR(J177="NA",J177=0,J177=""),"NA",(0.32*(Data!$D$48+Data!$D$49)*(18/J177)^0.5)),"---")</f>
        <v>0.30874683490668131</v>
      </c>
      <c r="S177" s="376">
        <f>IF(Start!$C$18="x",IF(OR(J177="NA",J177= 0,J177=""),"NA",(0.0065*((Data!$D$49^0.969)/(Data!$D$51^0.673))*(32/J177)^0.5*EXP(0.526*Data!$D$48^-1.9))),"---")</f>
        <v>6.5075374146764771E-4</v>
      </c>
      <c r="T177" s="377">
        <f>IF(Start!$C$18="x",IF(OR(S177="NA",R177="NA",R177=0,Q177="NA",S177=0,Q177=0),"NA",(1/(1/S177+(1/(R177*Q177))))),"---")</f>
        <v>5.0459599783356126E-4</v>
      </c>
      <c r="U177" s="375" t="str">
        <f>IF(Start!$C$18="x",IF(OR(F177="NA",F177="",O177="",O177="NA"),"NA",(F177*$O177)),"---")</f>
        <v>NA</v>
      </c>
      <c r="V177" s="376" t="str">
        <f>IF(Start!$C$18="x",IF(OR(U177="NA",M177="NA",M177="",U177=""),"NA",U177/((Data!$D$18+((1-Data!$D$18)*Data!$D$14*M177))/((1-Data!$D$18)*Data!$D$14*1000))),"---")</f>
        <v>NA</v>
      </c>
      <c r="W177" s="376" t="str">
        <f>IF(Start!$C$18="x",IF(OR(G177="NA",U177="NA",G177="",U177=""),"NA",(U177 +($G177*(Data!$D$19-Data!$D$22)/(Data!$D$19*Data!$D$22)))),"---")</f>
        <v>NA</v>
      </c>
      <c r="X177" s="376" t="str">
        <f>IF(Start!$C$18="x",IF(OR(G177="NA",V177="NA",G177="",V177=""),"NA",(((Data!$D$22*Data!$D$18)*V177)+(Data!$D$19-Data!$D$22)*$G177)/((Data!$D$22*Data!$D$18)+Data!$D$19-Data!$D$22)),"---")</f>
        <v>NA</v>
      </c>
      <c r="Y177" s="376" t="str">
        <f>IF(Start!$C$18="x",IF(OR(W177="NA",W177="",M177="NA",M177=""),"NA",(W177/((Data!$D$23+((1-Data!$D$23)*Data!$D$14*M177)) /((1-Data!$D$23)*Data!$D$14*1000)))),"---")</f>
        <v>NA</v>
      </c>
      <c r="Z177" s="376" t="str">
        <f>IF(Start!$C$18="x",IF(OR(Y177="NA",X177="NA"),"NA",IF(Y177&gt;X177, Y177, X177)),"---")</f>
        <v>NA</v>
      </c>
      <c r="AA177" s="461" t="str">
        <f>IF(Start!$C$18="x",IF(OR(Z177="NA",T177="NA"),"NA",Z177*T177/(1000000000)),"---")</f>
        <v>NA</v>
      </c>
      <c r="AB177" s="1057" t="str">
        <f>IF(Start!$C$18="x",IF(AA177 = "NA", "NA", AA177*(Data!$D$52*Data!$D$53*10000)),"---")</f>
        <v>NA</v>
      </c>
      <c r="AC177" s="375" t="str">
        <f>IF(Start!$C$18="x",IF(AB177="NA", "NA", AB177*Data!$D$54),"---")</f>
        <v>NA</v>
      </c>
      <c r="AD177" s="498" t="str">
        <f>IF(Start!$C$18="x",IF(AC177="NA","NA",AC177*Data!$D$41),"---")</f>
        <v>NA</v>
      </c>
      <c r="AE177" s="376" t="str">
        <f>IF(Start!$C$18="x",IF(AB177 = "NA", "NA", AB177/(Data!$D$53*3*Data!$D$48)*1000),"---")</f>
        <v>NA</v>
      </c>
      <c r="AF177" s="498" t="str">
        <f>IF(Start!$C$18="x",IF(AE177="NA","NA",AE177*Data!$D$46),"---")</f>
        <v>NA</v>
      </c>
      <c r="AG177" s="375">
        <f>IF(Start!$C$18="x",IF(OR($L177="NA",L177=""),"NA",($L177*(Data!$D$55^3.33)/(Data!$D$18^2))),"---")</f>
        <v>1.6231415587825097E-3</v>
      </c>
      <c r="AH177" s="376" t="str">
        <f>IF(Start!$C$18="x",IF(OR(F177="NA",F177="",P177="NA",P177=""),"NA",IF(100/Data!$D$10&gt;Data!$D$13,(F177*$P177),(F177*$P177)*Data!$D$13)),"---")</f>
        <v>NA</v>
      </c>
      <c r="AI177" s="489">
        <f>IF(Start!$C$18="x",IF(OR($N177="NA",$Q177="NA",$Q177=0,Q177="",N177=""),"NA",(1000*$N177/$Q177)),"---")</f>
        <v>596307.52153448877</v>
      </c>
      <c r="AJ177" s="376">
        <f>IF(Start!$C$18="x",IF(OR(Q177 = "NA",Q177=0,N177 = "NA",N177="",Q177=""), "NA", IF($AG177="NA","NA",(3.1416*Data!$D$57*86400/($AG177*(Data!$D$55+(N177*Data!$D$19/(Q177*1000)))))^0.5)),"---")</f>
        <v>3146.6484800143826</v>
      </c>
      <c r="AK177" s="376" t="str">
        <f>IF(Start!$C$18="x",IF(OR(AH177 = "NA",AI177="NA",AI177=0,AI177="",AH177=""), "NA", AH177/AI177),"---")</f>
        <v>NA</v>
      </c>
      <c r="AL177" s="376" t="str">
        <f>IF(Start!$C$18="x",IF(OR(AK177 ="NA",AK177="",AJ177= "NA",R177="NA",R177=0),"NA",(2*AK177)/(1000*(1/$R177+AJ177))),"---")</f>
        <v>NA</v>
      </c>
      <c r="AM177" s="376" t="str">
        <f>IF(Start!$C$18="x",IF(AL177 = "NA", "NA", AL177*(Data!$D$52*Data!$D$53*10000)),"---")</f>
        <v>NA</v>
      </c>
      <c r="AN177" s="376" t="str">
        <f>IF(Start!$C$18="x",IF(AM177 = "NA", "NA", AM177*(Data!$D$54)),"---")</f>
        <v>NA</v>
      </c>
      <c r="AO177" s="498" t="str">
        <f>IF(Start!$C$18="x",IF(AN177="NA","NA",AN177*Data!$D$41),"---")</f>
        <v>NA</v>
      </c>
      <c r="AP177" s="376">
        <f>IF(Start!$C$18="x",IF(OR(Q177=0,N177="NA",N177="",AG177="NA",AG177="",AG177=0,Q177="",Q177="NA"),"NA", (3.1416*Data!$D$56*86400/($AG177*(Data!$D$55+(N177*Data!$D$19/(Q177*1000)))))^0.5),"---")</f>
        <v>3146.6484800143826</v>
      </c>
      <c r="AQ177" s="376" t="str">
        <f>IF(Start!$C$18="x",IF(OR(AH177="NA",AI177="NA",AI177="",AI177=0,AH177=""),"NA", AH177/AI177),"---")</f>
        <v>NA</v>
      </c>
      <c r="AR177" s="376" t="str">
        <f>IF(Start!$C$18="x",IF(OR(AQ177="NA",AP177="NA",$R177="NA",R177=0,R177=""),"NA",(2*AQ177)/(1000*(1/$R177+AP177))),"---")</f>
        <v>NA</v>
      </c>
      <c r="AS177" s="376" t="str">
        <f>IF(Start!$C$18="x",IF(AR177 = "NA", "NA", AR177*(Data!$D$52*Data!$D$53*10000)),"---")</f>
        <v>NA</v>
      </c>
      <c r="AT177" s="376" t="str">
        <f>IF(Start!$C$18="x",IF(AS177 = "NA", "NA", (AS177*1000)/(Data!$D$48*3*Data!$D$53)),"---")</f>
        <v>NA</v>
      </c>
      <c r="AU177" s="498" t="str">
        <f>IF(Start!$C$18="x",IF(AT177="NA","NA",AT177*Data!$D$47),"---")</f>
        <v>NA</v>
      </c>
      <c r="AV177" s="283" t="str">
        <f>IF(Start!$C$18="x",(IF(AND(F177="",G177= "",G177&lt;&gt;"NA"),"",IF(OR(AD177="NA",I177="NA",I177=0),"NA",(AD177/I177)))),"Not Req.")</f>
        <v/>
      </c>
      <c r="AW177" s="284" t="str">
        <f>IF(Start!$C$18="x",(IF(AND(F177="",G177= "",G177&lt;&gt;"NA"),"",IF(OR(AF177="NA",I177="NA",I177=0),"NA",(AF177/I177)))),"Not Req.")</f>
        <v/>
      </c>
      <c r="AX177" s="284" t="str">
        <f>IF(Start!$C$18="x",(IF(F177 ="","",IF(OR(AO177="NA",I177="NA",I177=0),"NA",(AO177/I177)))),"Not Req.")</f>
        <v/>
      </c>
      <c r="AY177" s="344" t="str">
        <f>IF(Start!$C$18="x",(IF(F177 ="","",IF(OR(AU177="NA",I177="NA",I177=0),"NA",(AU177/I177)))),"Not Req.")</f>
        <v/>
      </c>
      <c r="AZ177" s="208"/>
    </row>
    <row r="178" spans="1:52" s="183" customFormat="1" x14ac:dyDescent="0.25">
      <c r="A178" s="308" t="s">
        <v>496</v>
      </c>
      <c r="B178" s="347" t="str">
        <f>IF(Start!$C$18="x",IF(AND(OR(F178="",F178="NA"),OR(G178="",G178="NA")),"",IF(I178="NA","NA",IF(AND(I178="",K178="--"),"NA",IF(AD178="NA","Missing Data",IF(I178="","No Criteria",IF(AD178&gt;=I178,"Needed","No")))))),"---")</f>
        <v/>
      </c>
      <c r="C178" s="501" t="str">
        <f>IF(Start!$C$18="x",IF(AND(OR(F178="",F178="NA"),OR(G178="",G178="NA")),"",IF(I178="NA","NA",IF(AND(I178="",K178="--"),"NA",IF(AF178="NA","Missing Data",IF(I178="","No Criteria",IF(AF178&gt;=I178,"Needed","No")))))),"---")</f>
        <v/>
      </c>
      <c r="D178" s="347" t="str">
        <f>IF(Start!$C$18="x",IF(AND(OR(F178="",F178="NA"),OR(G178="",G178="NA")),"",IF(I178="NA","NA",IF(AND(I178="",K178="--"),"NA",IF(AO178="NA","Missing Data",IF(I178="","No Criteria",IF(AO178&gt;=I178,"Needed","No")))))),"---")</f>
        <v/>
      </c>
      <c r="E178" s="401" t="str">
        <f>IF(Start!$C$18="x",IF(AND(OR(F178="",F178="NA"),OR(G178="",G178="NA")),"",IF(I178="NA","NA",IF(AND(I178="",K178="--"),"NA",IF(AU178="NA","Missing Data",IF(I178="","No Criteria",IF(AU178&gt;=I178,"Needed","No")))))),"---")</f>
        <v/>
      </c>
      <c r="F178" s="431" t="str">
        <f>IF(TRUE=ISBLANK(ChemData!B178),"",(ChemData!B178))</f>
        <v/>
      </c>
      <c r="G178" s="432" t="str">
        <f>IF(TRUE=ISBLANK(ChemData!C178),"",(ChemData!C178))</f>
        <v/>
      </c>
      <c r="H178" s="433" t="str">
        <f>IF(TRUE=ISBLANK(ChemData!D178),"",(ChemData!D178))</f>
        <v/>
      </c>
      <c r="I178" s="919" t="str">
        <f>IF(TRUE=ISBLANK(ChemData!K178),"",(ChemData!K178))</f>
        <v>NA</v>
      </c>
      <c r="J178" s="290">
        <f>IF(TRUE=ISBLANK(ChemData!M178),"",(ChemData!M178))</f>
        <v>88.15</v>
      </c>
      <c r="K178" s="290">
        <f>IF(TRUE=ISBLANK(ChemData!N178),"",(ChemData!N178))</f>
        <v>1.2991339799999998E-5</v>
      </c>
      <c r="L178" s="290">
        <f>IF(TRUE=ISBLANK(ChemData!O178),"",(ChemData!O178))</f>
        <v>0.16586537204850701</v>
      </c>
      <c r="M178" s="290">
        <f>IF(TRUE=ISBLANK(ChemData!Q178),"",(ChemData!Q178))</f>
        <v>0.5989718589767421</v>
      </c>
      <c r="N178" s="290">
        <f>IF(TRUE=ISBLANK(ChemData!R178),"",(ChemData!R178))</f>
        <v>0.5989718589767421</v>
      </c>
      <c r="O178" s="290">
        <f>IF(TRUE=ISBLANK(ChemData!S178),"",(ChemData!S178))</f>
        <v>1</v>
      </c>
      <c r="P178" s="291">
        <f>IF(TRUE=ISBLANK(ChemData!T178),"",(ChemData!T178))</f>
        <v>1</v>
      </c>
      <c r="Q178" s="375">
        <f>IF(Start!$C$18="x",IF(OR(K178="NA",K178="",K178="--"),"NA",(K178*1000000/82.1/Data!$D$50)),"---")</f>
        <v>5.1044516129032257E-4</v>
      </c>
      <c r="R178" s="376">
        <f>IF(Start!$C$18="x",IF(OR(J178="NA",J178=0,J178=""),"NA",(0.32*(Data!$D$48+Data!$D$49)*(18/J178)^0.5)),"---")</f>
        <v>0.37235081257245739</v>
      </c>
      <c r="S178" s="376">
        <f>IF(Start!$C$18="x",IF(OR(J178="NA",J178= 0,J178=""),"NA",(0.0065*((Data!$D$49^0.969)/(Data!$D$51^0.673))*(32/J178)^0.5*EXP(0.526*Data!$D$48^-1.9))),"---")</f>
        <v>7.8481350098142115E-4</v>
      </c>
      <c r="T178" s="377">
        <f>IF(Start!$C$18="x",IF(OR(S178="NA",R178="NA",R178=0,Q178="NA",S178=0,Q178=0),"NA",(1/(1/S178+(1/(R178*Q178))))),"---")</f>
        <v>1.5300919015546436E-4</v>
      </c>
      <c r="U178" s="375" t="str">
        <f>IF(Start!$C$18="x",IF(OR(F178="NA",F178="",O178="",O178="NA"),"NA",(F178*$O178)),"---")</f>
        <v>NA</v>
      </c>
      <c r="V178" s="376" t="str">
        <f>IF(Start!$C$18="x",IF(OR(U178="NA",M178="NA",M178="",U178=""),"NA",U178/((Data!$D$18+((1-Data!$D$18)*Data!$D$14*M178))/((1-Data!$D$18)*Data!$D$14*1000))),"---")</f>
        <v>NA</v>
      </c>
      <c r="W178" s="376" t="str">
        <f>IF(Start!$C$18="x",IF(OR(G178="NA",U178="NA",G178="",U178=""),"NA",(U178 +($G178*(Data!$D$19-Data!$D$22)/(Data!$D$19*Data!$D$22)))),"---")</f>
        <v>NA</v>
      </c>
      <c r="X178" s="376" t="str">
        <f>IF(Start!$C$18="x",IF(OR(G178="NA",V178="NA",G178="",V178=""),"NA",(((Data!$D$22*Data!$D$18)*V178)+(Data!$D$19-Data!$D$22)*$G178)/((Data!$D$22*Data!$D$18)+Data!$D$19-Data!$D$22)),"---")</f>
        <v>NA</v>
      </c>
      <c r="Y178" s="376" t="str">
        <f>IF(Start!$C$18="x",IF(OR(W178="NA",W178="",M178="NA",M178=""),"NA",(W178/((Data!$D$23+((1-Data!$D$23)*Data!$D$14*M178)) /((1-Data!$D$23)*Data!$D$14*1000)))),"---")</f>
        <v>NA</v>
      </c>
      <c r="Z178" s="376" t="str">
        <f>IF(Start!$C$18="x",IF(OR(Y178="NA",X178="NA"),"NA",IF(Y178&gt;X178, Y178, X178)),"---")</f>
        <v>NA</v>
      </c>
      <c r="AA178" s="461" t="str">
        <f>IF(Start!$C$18="x",IF(OR(Z178="NA",T178="NA"),"NA",Z178*T178/(1000000000)),"---")</f>
        <v>NA</v>
      </c>
      <c r="AB178" s="1057" t="str">
        <f>IF(Start!$C$18="x",IF(AA178 = "NA", "NA", AA178*(Data!$D$52*Data!$D$53*10000)),"---")</f>
        <v>NA</v>
      </c>
      <c r="AC178" s="375" t="str">
        <f>IF(Start!$C$18="x",IF(AB178="NA", "NA", AB178*Data!$D$54),"---")</f>
        <v>NA</v>
      </c>
      <c r="AD178" s="498" t="str">
        <f>IF(Start!$C$18="x",IF(AC178="NA","NA",AC178*Data!$D$41),"---")</f>
        <v>NA</v>
      </c>
      <c r="AE178" s="376" t="str">
        <f>IF(Start!$C$18="x",IF(AB178 = "NA", "NA", AB178/(Data!$D$53*3*Data!$D$48)*1000),"---")</f>
        <v>NA</v>
      </c>
      <c r="AF178" s="498" t="str">
        <f>IF(Start!$C$18="x",IF(AE178="NA","NA",AE178*Data!$D$46),"---")</f>
        <v>NA</v>
      </c>
      <c r="AG178" s="375">
        <f>IF(Start!$C$18="x",IF(OR($L178="NA",L178=""),"NA",($L178*(Data!$D$55^3.33)/(Data!$D$18^2))),"---")</f>
        <v>1.6897524271986336E-3</v>
      </c>
      <c r="AH178" s="376" t="str">
        <f>IF(Start!$C$18="x",IF(OR(F178="NA",F178="",P178="NA",P178=""),"NA",IF(100/Data!$D$10&gt;Data!$D$13,(F178*$P178),(F178*$P178)*Data!$D$13)),"---")</f>
        <v>NA</v>
      </c>
      <c r="AI178" s="489">
        <f>IF(Start!$C$18="x",IF(OR($N178="NA",$Q178="NA",$Q178=0,Q178="",N178=""),"NA",(1000*$N178/$Q178)),"---")</f>
        <v>1173430.3788141285</v>
      </c>
      <c r="AJ178" s="376">
        <f>IF(Start!$C$18="x",IF(OR(Q178 = "NA",Q178=0,N178 = "NA",N178="",Q178=""), "NA", IF($AG178="NA","NA",(3.1416*Data!$D$57*86400/($AG178*(Data!$D$55+(N178*Data!$D$19/(Q178*1000)))))^0.5)),"---")</f>
        <v>2198.6876101641137</v>
      </c>
      <c r="AK178" s="376" t="str">
        <f>IF(Start!$C$18="x",IF(OR(AH178 = "NA",AI178="NA",AI178=0,AI178="",AH178=""), "NA", AH178/AI178),"---")</f>
        <v>NA</v>
      </c>
      <c r="AL178" s="376" t="str">
        <f>IF(Start!$C$18="x",IF(OR(AK178 ="NA",AK178="",AJ178= "NA",R178="NA",R178=0),"NA",(2*AK178)/(1000*(1/$R178+AJ178))),"---")</f>
        <v>NA</v>
      </c>
      <c r="AM178" s="376" t="str">
        <f>IF(Start!$C$18="x",IF(AL178 = "NA", "NA", AL178*(Data!$D$52*Data!$D$53*10000)),"---")</f>
        <v>NA</v>
      </c>
      <c r="AN178" s="376" t="str">
        <f>IF(Start!$C$18="x",IF(AM178 = "NA", "NA", AM178*(Data!$D$54)),"---")</f>
        <v>NA</v>
      </c>
      <c r="AO178" s="498" t="str">
        <f>IF(Start!$C$18="x",IF(AN178="NA","NA",AN178*Data!$D$41),"---")</f>
        <v>NA</v>
      </c>
      <c r="AP178" s="376">
        <f>IF(Start!$C$18="x",IF(OR(Q178=0,N178="NA",N178="",AG178="NA",AG178="",AG178=0,Q178="",Q178="NA"),"NA", (3.1416*Data!$D$56*86400/($AG178*(Data!$D$55+(N178*Data!$D$19/(Q178*1000)))))^0.5),"---")</f>
        <v>2198.6876101641137</v>
      </c>
      <c r="AQ178" s="376" t="str">
        <f>IF(Start!$C$18="x",IF(OR(AH178="NA",AI178="NA",AI178="",AI178=0,AH178=""),"NA", AH178/AI178),"---")</f>
        <v>NA</v>
      </c>
      <c r="AR178" s="376" t="str">
        <f>IF(Start!$C$18="x",IF(OR(AQ178="NA",AP178="NA",$R178="NA",R178=0,R178=""),"NA",(2*AQ178)/(1000*(1/$R178+AP178))),"---")</f>
        <v>NA</v>
      </c>
      <c r="AS178" s="376" t="str">
        <f>IF(Start!$C$18="x",IF(AR178 = "NA", "NA", AR178*(Data!$D$52*Data!$D$53*10000)),"---")</f>
        <v>NA</v>
      </c>
      <c r="AT178" s="376" t="str">
        <f>IF(Start!$C$18="x",IF(AS178 = "NA", "NA", (AS178*1000)/(Data!$D$48*3*Data!$D$53)),"---")</f>
        <v>NA</v>
      </c>
      <c r="AU178" s="498" t="str">
        <f>IF(Start!$C$18="x",IF(AT178="NA","NA",AT178*Data!$D$47),"---")</f>
        <v>NA</v>
      </c>
      <c r="AV178" s="283" t="str">
        <f>IF(Start!$C$18="x",(IF(AND(F178="",G178= "",G178&lt;&gt;"NA"),"",IF(OR(AD178="NA",I178="NA",I178=0),"NA",(AD178/I178)))),"Not Req.")</f>
        <v/>
      </c>
      <c r="AW178" s="284" t="str">
        <f>IF(Start!$C$18="x",(IF(AND(F178="",G178= "",G178&lt;&gt;"NA"),"",IF(OR(AF178="NA",I178="NA",I178=0),"NA",(AF178/I178)))),"Not Req.")</f>
        <v/>
      </c>
      <c r="AX178" s="284" t="str">
        <f>IF(Start!$C$18="x",(IF(F178 ="","",IF(OR(AO178="NA",I178="NA",I178=0),"NA",(AO178/I178)))),"Not Req.")</f>
        <v/>
      </c>
      <c r="AY178" s="344" t="str">
        <f>IF(Start!$C$18="x",(IF(F178 ="","",IF(OR(AU178="NA",I178="NA",I178=0),"NA",(AU178/I178)))),"Not Req.")</f>
        <v/>
      </c>
      <c r="AZ178" s="208"/>
    </row>
    <row r="179" spans="1:52" s="183" customFormat="1" x14ac:dyDescent="0.25">
      <c r="A179" s="308" t="s">
        <v>497</v>
      </c>
      <c r="B179" s="347" t="str">
        <f>IF(Start!$C$18="x",IF(AND(OR(F179="",F179="NA"),OR(G179="",G179="NA")),"",IF(I179="NA","NA",IF(AND(I179="",K179="--"),"NA",IF(AD179="NA","Missing Data",IF(I179="","No Criteria",IF(AD179&gt;=I179,"Needed","No")))))),"---")</f>
        <v/>
      </c>
      <c r="C179" s="501" t="str">
        <f>IF(Start!$C$18="x",IF(AND(OR(F179="",F179="NA"),OR(G179="",G179="NA")),"",IF(I179="NA","NA",IF(AND(I179="",K179="--"),"NA",IF(AF179="NA","Missing Data",IF(I179="","No Criteria",IF(AF179&gt;=I179,"Needed","No")))))),"---")</f>
        <v/>
      </c>
      <c r="D179" s="347" t="str">
        <f>IF(Start!$C$18="x",IF(AND(OR(F179="",F179="NA"),OR(G179="",G179="NA")),"",IF(I179="NA","NA",IF(AND(I179="",K179="--"),"NA",IF(AO179="NA","Missing Data",IF(I179="","No Criteria",IF(AO179&gt;=I179,"Needed","No")))))),"---")</f>
        <v/>
      </c>
      <c r="E179" s="401" t="str">
        <f>IF(Start!$C$18="x",IF(AND(OR(F179="",F179="NA"),OR(G179="",G179="NA")),"",IF(I179="NA","NA",IF(AND(I179="",K179="--"),"NA",IF(AU179="NA","Missing Data",IF(I179="","No Criteria",IF(AU179&gt;=I179,"Needed","No")))))),"---")</f>
        <v/>
      </c>
      <c r="F179" s="431" t="str">
        <f>IF(TRUE=ISBLANK(ChemData!B179),"",(ChemData!B179))</f>
        <v/>
      </c>
      <c r="G179" s="432" t="str">
        <f>IF(TRUE=ISBLANK(ChemData!C179),"",(ChemData!C179))</f>
        <v/>
      </c>
      <c r="H179" s="433" t="str">
        <f>IF(TRUE=ISBLANK(ChemData!D179),"",(ChemData!D179))</f>
        <v/>
      </c>
      <c r="I179" s="919" t="str">
        <f>IF(TRUE=ISBLANK(ChemData!K179),"",(ChemData!K179))</f>
        <v>NA</v>
      </c>
      <c r="J179" s="290">
        <f>IF(TRUE=ISBLANK(ChemData!M179),"",(ChemData!M179))</f>
        <v>60.095999999999997</v>
      </c>
      <c r="K179" s="290">
        <f>IF(TRUE=ISBLANK(ChemData!N179),"",(ChemData!N179))</f>
        <v>8.0930000000000003E-6</v>
      </c>
      <c r="L179" s="290">
        <f>IF(TRUE=ISBLANK(ChemData!O179),"",(ChemData!O179))</f>
        <v>0.10100000000000001</v>
      </c>
      <c r="M179" s="290">
        <f>IF(TRUE=ISBLANK(ChemData!Q179),"",(ChemData!Q179))</f>
        <v>2.0768561589129347E-2</v>
      </c>
      <c r="N179" s="290">
        <f>IF(TRUE=ISBLANK(ChemData!R179),"",(ChemData!R179))</f>
        <v>2.0768561589129347E-2</v>
      </c>
      <c r="O179" s="290">
        <f>IF(TRUE=ISBLANK(ChemData!S179),"",(ChemData!S179))</f>
        <v>1</v>
      </c>
      <c r="P179" s="291">
        <f>IF(TRUE=ISBLANK(ChemData!T179),"",(ChemData!T179))</f>
        <v>1</v>
      </c>
      <c r="Q179" s="375">
        <f>IF(Start!$C$18="x",IF(OR(K179="NA",K179="",K179="--"),"NA",(K179*1000000/82.1/Data!$D$50)),"---")</f>
        <v>3.1798357628383953E-4</v>
      </c>
      <c r="R179" s="376">
        <f>IF(Start!$C$18="x",IF(OR(J179="NA",J179=0,J179=""),"NA",(0.32*(Data!$D$48+Data!$D$49)*(18/J179)^0.5)),"---")</f>
        <v>0.45096276136791502</v>
      </c>
      <c r="S179" s="376">
        <f>IF(Start!$C$18="x",IF(OR(J179="NA",J179= 0,J179=""),"NA",(0.0065*((Data!$D$49^0.969)/(Data!$D$51^0.673))*(32/J179)^0.5*EXP(0.526*Data!$D$48^-1.9))),"---")</f>
        <v>9.5050595194426097E-4</v>
      </c>
      <c r="T179" s="377">
        <f>IF(Start!$C$18="x",IF(OR(S179="NA",R179="NA",R179=0,Q179="NA",S179=0,Q179=0),"NA",(1/(1/S179+(1/(R179*Q179))))),"---")</f>
        <v>1.2460076867832828E-4</v>
      </c>
      <c r="U179" s="375" t="str">
        <f>IF(Start!$C$18="x",IF(OR(F179="NA",F179="",O179="",O179="NA"),"NA",(F179*$O179)),"---")</f>
        <v>NA</v>
      </c>
      <c r="V179" s="376" t="str">
        <f>IF(Start!$C$18="x",IF(OR(U179="NA",M179="NA",M179="",U179=""),"NA",U179/((Data!$D$18+((1-Data!$D$18)*Data!$D$14*M179))/((1-Data!$D$18)*Data!$D$14*1000))),"---")</f>
        <v>NA</v>
      </c>
      <c r="W179" s="376" t="str">
        <f>IF(Start!$C$18="x",IF(OR(G179="NA",U179="NA",G179="",U179=""),"NA",(U179 +($G179*(Data!$D$19-Data!$D$22)/(Data!$D$19*Data!$D$22)))),"---")</f>
        <v>NA</v>
      </c>
      <c r="X179" s="376" t="str">
        <f>IF(Start!$C$18="x",IF(OR(G179="NA",V179="NA",G179="",V179=""),"NA",(((Data!$D$22*Data!$D$18)*V179)+(Data!$D$19-Data!$D$22)*$G179)/((Data!$D$22*Data!$D$18)+Data!$D$19-Data!$D$22)),"---")</f>
        <v>NA</v>
      </c>
      <c r="Y179" s="376" t="str">
        <f>IF(Start!$C$18="x",IF(OR(W179="NA",W179="",M179="NA",M179=""),"NA",(W179/((Data!$D$23+((1-Data!$D$23)*Data!$D$14*M179)) /((1-Data!$D$23)*Data!$D$14*1000)))),"---")</f>
        <v>NA</v>
      </c>
      <c r="Z179" s="376" t="str">
        <f>IF(Start!$C$18="x",IF(OR(Y179="NA",X179="NA"),"NA",IF(Y179&gt;X179, Y179, X179)),"---")</f>
        <v>NA</v>
      </c>
      <c r="AA179" s="461" t="str">
        <f>IF(Start!$C$18="x",IF(OR(Z179="NA",T179="NA"),"NA",Z179*T179/(1000000000)),"---")</f>
        <v>NA</v>
      </c>
      <c r="AB179" s="1057" t="str">
        <f>IF(Start!$C$18="x",IF(AA179 = "NA", "NA", AA179*(Data!$D$52*Data!$D$53*10000)),"---")</f>
        <v>NA</v>
      </c>
      <c r="AC179" s="375" t="str">
        <f>IF(Start!$C$18="x",IF(AB179="NA", "NA", AB179*Data!$D$54),"---")</f>
        <v>NA</v>
      </c>
      <c r="AD179" s="498" t="str">
        <f>IF(Start!$C$18="x",IF(AC179="NA","NA",AC179*Data!$D$41),"---")</f>
        <v>NA</v>
      </c>
      <c r="AE179" s="376" t="str">
        <f>IF(Start!$C$18="x",IF(AB179 = "NA", "NA", AB179/(Data!$D$53*3*Data!$D$48)*1000),"---")</f>
        <v>NA</v>
      </c>
      <c r="AF179" s="498" t="str">
        <f>IF(Start!$C$18="x",IF(AE179="NA","NA",AE179*Data!$D$46),"---")</f>
        <v>NA</v>
      </c>
      <c r="AG179" s="375">
        <f>IF(Start!$C$18="x",IF(OR($L179="NA",L179=""),"NA",($L179*(Data!$D$55^3.33)/(Data!$D$18^2))),"---")</f>
        <v>1.0289368602938492E-3</v>
      </c>
      <c r="AH179" s="376" t="str">
        <f>IF(Start!$C$18="x",IF(OR(F179="NA",F179="",P179="NA",P179=""),"NA",IF(100/Data!$D$10&gt;Data!$D$13,(F179*$P179),(F179*$P179)*Data!$D$13)),"---")</f>
        <v>NA</v>
      </c>
      <c r="AI179" s="489">
        <f>IF(Start!$C$18="x",IF(OR($N179="NA",$Q179="NA",$Q179=0,Q179="",N179=""),"NA",(1000*$N179/$Q179)),"---")</f>
        <v>65313.315334848761</v>
      </c>
      <c r="AJ179" s="376">
        <f>IF(Start!$C$18="x",IF(OR(Q179 = "NA",Q179=0,N179 = "NA",N179="",Q179=""), "NA", IF($AG179="NA","NA",(3.1416*Data!$D$57*86400/($AG179*(Data!$D$55+(N179*Data!$D$19/(Q179*1000)))))^0.5)),"---")</f>
        <v>11922.590020595795</v>
      </c>
      <c r="AK179" s="376" t="str">
        <f>IF(Start!$C$18="x",IF(OR(AH179 = "NA",AI179="NA",AI179=0,AI179="",AH179=""), "NA", AH179/AI179),"---")</f>
        <v>NA</v>
      </c>
      <c r="AL179" s="376" t="str">
        <f>IF(Start!$C$18="x",IF(OR(AK179 ="NA",AK179="",AJ179= "NA",R179="NA",R179=0),"NA",(2*AK179)/(1000*(1/$R179+AJ179))),"---")</f>
        <v>NA</v>
      </c>
      <c r="AM179" s="376" t="str">
        <f>IF(Start!$C$18="x",IF(AL179 = "NA", "NA", AL179*(Data!$D$52*Data!$D$53*10000)),"---")</f>
        <v>NA</v>
      </c>
      <c r="AN179" s="376" t="str">
        <f>IF(Start!$C$18="x",IF(AM179 = "NA", "NA", AM179*(Data!$D$54)),"---")</f>
        <v>NA</v>
      </c>
      <c r="AO179" s="498" t="str">
        <f>IF(Start!$C$18="x",IF(AN179="NA","NA",AN179*Data!$D$41),"---")</f>
        <v>NA</v>
      </c>
      <c r="AP179" s="376">
        <f>IF(Start!$C$18="x",IF(OR(Q179=0,N179="NA",N179="",AG179="NA",AG179="",AG179=0,Q179="",Q179="NA"),"NA", (3.1416*Data!$D$56*86400/($AG179*(Data!$D$55+(N179*Data!$D$19/(Q179*1000)))))^0.5),"---")</f>
        <v>11922.590020595795</v>
      </c>
      <c r="AQ179" s="376" t="str">
        <f>IF(Start!$C$18="x",IF(OR(AH179="NA",AI179="NA",AI179="",AI179=0,AH179=""),"NA", AH179/AI179),"---")</f>
        <v>NA</v>
      </c>
      <c r="AR179" s="376" t="str">
        <f>IF(Start!$C$18="x",IF(OR(AQ179="NA",AP179="NA",$R179="NA",R179=0,R179=""),"NA",(2*AQ179)/(1000*(1/$R179+AP179))),"---")</f>
        <v>NA</v>
      </c>
      <c r="AS179" s="376" t="str">
        <f>IF(Start!$C$18="x",IF(AR179 = "NA", "NA", AR179*(Data!$D$52*Data!$D$53*10000)),"---")</f>
        <v>NA</v>
      </c>
      <c r="AT179" s="376" t="str">
        <f>IF(Start!$C$18="x",IF(AS179 = "NA", "NA", (AS179*1000)/(Data!$D$48*3*Data!$D$53)),"---")</f>
        <v>NA</v>
      </c>
      <c r="AU179" s="498" t="str">
        <f>IF(Start!$C$18="x",IF(AT179="NA","NA",AT179*Data!$D$47),"---")</f>
        <v>NA</v>
      </c>
      <c r="AV179" s="283" t="str">
        <f>IF(Start!$C$18="x",(IF(AND(F179="",G179= "",G179&lt;&gt;"NA"),"",IF(OR(AD179="NA",I179="NA",I179=0),"NA",(AD179/I179)))),"Not Req.")</f>
        <v/>
      </c>
      <c r="AW179" s="284" t="str">
        <f>IF(Start!$C$18="x",(IF(AND(F179="",G179= "",G179&lt;&gt;"NA"),"",IF(OR(AF179="NA",I179="NA",I179=0),"NA",(AF179/I179)))),"Not Req.")</f>
        <v/>
      </c>
      <c r="AX179" s="284" t="str">
        <f>IF(Start!$C$18="x",(IF(F179 ="","",IF(OR(AO179="NA",I179="NA",I179=0),"NA",(AO179/I179)))),"Not Req.")</f>
        <v/>
      </c>
      <c r="AY179" s="344" t="str">
        <f>IF(Start!$C$18="x",(IF(F179 ="","",IF(OR(AU179="NA",I179="NA",I179=0),"NA",(AU179/I179)))),"Not Req.")</f>
        <v/>
      </c>
      <c r="AZ179" s="208"/>
    </row>
    <row r="180" spans="1:52" s="183" customFormat="1" x14ac:dyDescent="0.25">
      <c r="A180" s="405" t="s">
        <v>498</v>
      </c>
      <c r="B180" s="347" t="str">
        <f>IF(Start!$C$18="x",IF(AND(OR(F180="",F180="NA"),OR(G180="",G180="NA")),"",IF(I180="NA","NA",IF(AND(I180="",K180="--"),"NA",IF(AD180="NA","Missing Data",IF(I180="","No Criteria",IF(AD180&gt;=I180,"Needed","No")))))),"---")</f>
        <v/>
      </c>
      <c r="C180" s="501" t="str">
        <f>IF(Start!$C$18="x",IF(AND(OR(F180="",F180="NA"),OR(G180="",G180="NA")),"",IF(I180="NA","NA",IF(AND(I180="",K180="--"),"NA",IF(AF180="NA","Missing Data",IF(I180="","No Criteria",IF(AF180&gt;=I180,"Needed","No")))))),"---")</f>
        <v/>
      </c>
      <c r="D180" s="347" t="str">
        <f>IF(Start!$C$18="x",IF(AND(OR(F180="",F180="NA"),OR(G180="",G180="NA")),"",IF(I180="NA","NA",IF(AND(I180="",K180="--"),"NA",IF(AO180="NA","Missing Data",IF(I180="","No Criteria",IF(AO180&gt;=I180,"Needed","No")))))),"---")</f>
        <v/>
      </c>
      <c r="E180" s="401" t="str">
        <f>IF(Start!$C$18="x",IF(AND(OR(F180="",F180="NA"),OR(G180="",G180="NA")),"",IF(I180="NA","NA",IF(AND(I180="",K180="--"),"NA",IF(AU180="NA","Missing Data",IF(I180="","No Criteria",IF(AU180&gt;=I180,"Needed","No")))))),"---")</f>
        <v/>
      </c>
      <c r="F180" s="431" t="str">
        <f>IF(TRUE=ISBLANK(ChemData!B180),"",(ChemData!B180))</f>
        <v/>
      </c>
      <c r="G180" s="432" t="str">
        <f>IF(TRUE=ISBLANK(ChemData!C180),"",(ChemData!C180))</f>
        <v/>
      </c>
      <c r="H180" s="433" t="str">
        <f>IF(TRUE=ISBLANK(ChemData!D180),"",(ChemData!D180))</f>
        <v/>
      </c>
      <c r="I180" s="919" t="str">
        <f>IF(TRUE=ISBLANK(ChemData!K180),"",(ChemData!K180))</f>
        <v>NA</v>
      </c>
      <c r="J180" s="290">
        <f>IF(TRUE=ISBLANK(ChemData!M180),"",(ChemData!M180))</f>
        <v>104.15</v>
      </c>
      <c r="K180" s="290">
        <f>IF(TRUE=ISBLANK(ChemData!N180),"",(ChemData!N180))</f>
        <v>2.7499999999999998E-3</v>
      </c>
      <c r="L180" s="290">
        <f>IF(TRUE=ISBLANK(ChemData!O180),"",(ChemData!O180))</f>
        <v>7.0999999999999994E-2</v>
      </c>
      <c r="M180" s="290">
        <f>IF(TRUE=ISBLANK(ChemData!Q180),"",(ChemData!Q180))</f>
        <v>16.121536050087055</v>
      </c>
      <c r="N180" s="290">
        <f>IF(TRUE=ISBLANK(ChemData!R180),"",(ChemData!R180))</f>
        <v>16.121536050087055</v>
      </c>
      <c r="O180" s="290">
        <f>IF(TRUE=ISBLANK(ChemData!S180),"",(ChemData!S180))</f>
        <v>1</v>
      </c>
      <c r="P180" s="291">
        <f>IF(TRUE=ISBLANK(ChemData!T180),"",(ChemData!T180))</f>
        <v>1</v>
      </c>
      <c r="Q180" s="375">
        <f>IF(Start!$C$18="x",IF(OR(K180="NA",K180="",K180="--"),"NA",(K180*1000000/82.1/Data!$D$50)),"---")</f>
        <v>0.10805076421358689</v>
      </c>
      <c r="R180" s="376">
        <f>IF(Start!$C$18="x",IF(OR(J180="NA",J180=0,J180=""),"NA",(0.32*(Data!$D$48+Data!$D$49)*(18/J180)^0.5)),"---")</f>
        <v>0.34255777342296762</v>
      </c>
      <c r="S180" s="376">
        <f>IF(Start!$C$18="x",IF(OR(J180="NA",J180= 0,J180=""),"NA",(0.0065*((Data!$D$49^0.969)/(Data!$D$51^0.673))*(32/J180)^0.5*EXP(0.526*Data!$D$48^-1.9))),"---")</f>
        <v>7.2201793677075486E-4</v>
      </c>
      <c r="T180" s="377">
        <f>IF(Start!$C$18="x",IF(OR(S180="NA",R180="NA",R180=0,Q180="NA",S180=0,Q180=0),"NA",(1/(1/S180+(1/(R180*Q180))))),"---")</f>
        <v>7.0820315047462757E-4</v>
      </c>
      <c r="U180" s="375" t="str">
        <f>IF(Start!$C$18="x",IF(OR(F180="NA",F180="",O180="",O180="NA"),"NA",(F180*$O180)),"---")</f>
        <v>NA</v>
      </c>
      <c r="V180" s="376" t="str">
        <f>IF(Start!$C$18="x",IF(OR(U180="NA",M180="NA",M180="",U180=""),"NA",U180/((Data!$D$18+((1-Data!$D$18)*Data!$D$14*M180))/((1-Data!$D$18)*Data!$D$14*1000))),"---")</f>
        <v>NA</v>
      </c>
      <c r="W180" s="376" t="str">
        <f>IF(Start!$C$18="x",IF(OR(G180="NA",U180="NA",G180="",U180=""),"NA",(U180 +($G180*(Data!$D$19-Data!$D$22)/(Data!$D$19*Data!$D$22)))),"---")</f>
        <v>NA</v>
      </c>
      <c r="X180" s="376" t="str">
        <f>IF(Start!$C$18="x",IF(OR(G180="NA",V180="NA",G180="",V180=""),"NA",(((Data!$D$22*Data!$D$18)*V180)+(Data!$D$19-Data!$D$22)*$G180)/((Data!$D$22*Data!$D$18)+Data!$D$19-Data!$D$22)),"---")</f>
        <v>NA</v>
      </c>
      <c r="Y180" s="376" t="str">
        <f>IF(Start!$C$18="x",IF(OR(W180="NA",W180="",M180="NA",M180=""),"NA",(W180/((Data!$D$23+((1-Data!$D$23)*Data!$D$14*M180)) /((1-Data!$D$23)*Data!$D$14*1000)))),"---")</f>
        <v>NA</v>
      </c>
      <c r="Z180" s="376" t="str">
        <f>IF(Start!$C$18="x",IF(OR(Y180="NA",X180="NA"),"NA",IF(Y180&gt;X180, Y180, X180)),"---")</f>
        <v>NA</v>
      </c>
      <c r="AA180" s="461" t="str">
        <f>IF(Start!$C$18="x",IF(OR(Z180="NA",T180="NA"),"NA",Z180*T180/(1000000000)),"---")</f>
        <v>NA</v>
      </c>
      <c r="AB180" s="1057" t="str">
        <f>IF(Start!$C$18="x",IF(AA180 = "NA", "NA", AA180*(Data!$D$52*Data!$D$53*10000)),"---")</f>
        <v>NA</v>
      </c>
      <c r="AC180" s="375" t="str">
        <f>IF(Start!$C$18="x",IF(AB180="NA", "NA", AB180*Data!$D$54),"---")</f>
        <v>NA</v>
      </c>
      <c r="AD180" s="498" t="str">
        <f>IF(Start!$C$18="x",IF(AC180="NA","NA",AC180*Data!$D$41),"---")</f>
        <v>NA</v>
      </c>
      <c r="AE180" s="376" t="str">
        <f>IF(Start!$C$18="x",IF(AB180 = "NA", "NA", AB180/(Data!$D$53*3*Data!$D$48)*1000),"---")</f>
        <v>NA</v>
      </c>
      <c r="AF180" s="498" t="str">
        <f>IF(Start!$C$18="x",IF(AE180="NA","NA",AE180*Data!$D$46),"---")</f>
        <v>NA</v>
      </c>
      <c r="AG180" s="375">
        <f>IF(Start!$C$18="x",IF(OR($L180="NA",L180=""),"NA",($L180*(Data!$D$55^3.33)/(Data!$D$18^2))),"---")</f>
        <v>7.2331205030557713E-4</v>
      </c>
      <c r="AH180" s="376" t="str">
        <f>IF(Start!$C$18="x",IF(OR(F180="NA",F180="",P180="NA",P180=""),"NA",IF(100/Data!$D$10&gt;Data!$D$13,(F180*$P180),(F180*$P180)*Data!$D$13)),"---")</f>
        <v>NA</v>
      </c>
      <c r="AI180" s="489">
        <f>IF(Start!$C$18="x",IF(OR($N180="NA",$Q180="NA",$Q180=0,Q180="",N180=""),"NA",(1000*$N180/$Q180)),"---")</f>
        <v>149203.35054936932</v>
      </c>
      <c r="AJ180" s="376">
        <f>IF(Start!$C$18="x",IF(OR(Q180 = "NA",Q180=0,N180 = "NA",N180="",Q180=""), "NA", IF($AG180="NA","NA",(3.1416*Data!$D$57*86400/($AG180*(Data!$D$55+(N180*Data!$D$19/(Q180*1000)))))^0.5)),"---")</f>
        <v>9417.8709351075195</v>
      </c>
      <c r="AK180" s="376" t="str">
        <f>IF(Start!$C$18="x",IF(OR(AH180 = "NA",AI180="NA",AI180=0,AI180="",AH180=""), "NA", AH180/AI180),"---")</f>
        <v>NA</v>
      </c>
      <c r="AL180" s="376" t="str">
        <f>IF(Start!$C$18="x",IF(OR(AK180 ="NA",AK180="",AJ180= "NA",R180="NA",R180=0),"NA",(2*AK180)/(1000*(1/$R180+AJ180))),"---")</f>
        <v>NA</v>
      </c>
      <c r="AM180" s="376" t="str">
        <f>IF(Start!$C$18="x",IF(AL180 = "NA", "NA", AL180*(Data!$D$52*Data!$D$53*10000)),"---")</f>
        <v>NA</v>
      </c>
      <c r="AN180" s="376" t="str">
        <f>IF(Start!$C$18="x",IF(AM180 = "NA", "NA", AM180*(Data!$D$54)),"---")</f>
        <v>NA</v>
      </c>
      <c r="AO180" s="498" t="str">
        <f>IF(Start!$C$18="x",IF(AN180="NA","NA",AN180*Data!$D$41),"---")</f>
        <v>NA</v>
      </c>
      <c r="AP180" s="376">
        <f>IF(Start!$C$18="x",IF(OR(Q180=0,N180="NA",N180="",AG180="NA",AG180="",AG180=0,Q180="",Q180="NA"),"NA", (3.1416*Data!$D$56*86400/($AG180*(Data!$D$55+(N180*Data!$D$19/(Q180*1000)))))^0.5),"---")</f>
        <v>9417.8709351075195</v>
      </c>
      <c r="AQ180" s="376" t="str">
        <f>IF(Start!$C$18="x",IF(OR(AH180="NA",AI180="NA",AI180="",AI180=0,AH180=""),"NA", AH180/AI180),"---")</f>
        <v>NA</v>
      </c>
      <c r="AR180" s="376" t="str">
        <f>IF(Start!$C$18="x",IF(OR(AQ180="NA",AP180="NA",$R180="NA",R180=0,R180=""),"NA",(2*AQ180)/(1000*(1/$R180+AP180))),"---")</f>
        <v>NA</v>
      </c>
      <c r="AS180" s="376" t="str">
        <f>IF(Start!$C$18="x",IF(AR180 = "NA", "NA", AR180*(Data!$D$52*Data!$D$53*10000)),"---")</f>
        <v>NA</v>
      </c>
      <c r="AT180" s="376" t="str">
        <f>IF(Start!$C$18="x",IF(AS180 = "NA", "NA", (AS180*1000)/(Data!$D$48*3*Data!$D$53)),"---")</f>
        <v>NA</v>
      </c>
      <c r="AU180" s="498" t="str">
        <f>IF(Start!$C$18="x",IF(AT180="NA","NA",AT180*Data!$D$47),"---")</f>
        <v>NA</v>
      </c>
      <c r="AV180" s="283" t="str">
        <f>IF(Start!$C$18="x",(IF(AND(F180="",G180= "",G180&lt;&gt;"NA"),"",IF(OR(AD180="NA",I180="NA",I180=0),"NA",(AD180/I180)))),"Not Req.")</f>
        <v/>
      </c>
      <c r="AW180" s="284" t="str">
        <f>IF(Start!$C$18="x",(IF(AND(F180="",G180= "",G180&lt;&gt;"NA"),"",IF(OR(AF180="NA",I180="NA",I180=0),"NA",(AF180/I180)))),"Not Req.")</f>
        <v/>
      </c>
      <c r="AX180" s="284" t="str">
        <f>IF(Start!$C$18="x",(IF(F180 ="","",IF(OR(AO180="NA",I180="NA",I180=0),"NA",(AO180/I180)))),"Not Req.")</f>
        <v/>
      </c>
      <c r="AY180" s="344" t="str">
        <f>IF(Start!$C$18="x",(IF(F180 ="","",IF(OR(AU180="NA",I180="NA",I180=0),"NA",(AU180/I180)))),"Not Req.")</f>
        <v/>
      </c>
      <c r="AZ180" s="208"/>
    </row>
    <row r="181" spans="1:52" s="183" customFormat="1" x14ac:dyDescent="0.25">
      <c r="A181" s="405" t="s">
        <v>499</v>
      </c>
      <c r="B181" s="347" t="str">
        <f>IF(Start!$C$18="x",IF(AND(OR(F181="",F181="NA"),OR(G181="",G181="NA")),"",IF(I181="NA","NA",IF(AND(I181="",K181="--"),"NA",IF(AD181="NA","Missing Data",IF(I181="","No Criteria",IF(AD181&gt;=I181,"Needed","No")))))),"---")</f>
        <v/>
      </c>
      <c r="C181" s="501" t="str">
        <f>IF(Start!$C$18="x",IF(AND(OR(F181="",F181="NA"),OR(G181="",G181="NA")),"",IF(I181="NA","NA",IF(AND(I181="",K181="--"),"NA",IF(AF181="NA","Missing Data",IF(I181="","No Criteria",IF(AF181&gt;=I181,"Needed","No")))))),"---")</f>
        <v/>
      </c>
      <c r="D181" s="347" t="str">
        <f>IF(Start!$C$18="x",IF(AND(OR(F181="",F181="NA"),OR(G181="",G181="NA")),"",IF(I181="NA","NA",IF(AND(I181="",K181="--"),"NA",IF(AO181="NA","Missing Data",IF(I181="","No Criteria",IF(AO181&gt;=I181,"Needed","No")))))),"---")</f>
        <v/>
      </c>
      <c r="E181" s="401" t="str">
        <f>IF(Start!$C$18="x",IF(AND(OR(F181="",F181="NA"),OR(G181="",G181="NA")),"",IF(I181="NA","NA",IF(AND(I181="",K181="--"),"NA",IF(AU181="NA","Missing Data",IF(I181="","No Criteria",IF(AU181&gt;=I181,"Needed","No")))))),"---")</f>
        <v/>
      </c>
      <c r="F181" s="431" t="str">
        <f>IF(TRUE=ISBLANK(ChemData!B181),"",(ChemData!B181))</f>
        <v/>
      </c>
      <c r="G181" s="432" t="str">
        <f>IF(TRUE=ISBLANK(ChemData!C181),"",(ChemData!C181))</f>
        <v/>
      </c>
      <c r="H181" s="433" t="str">
        <f>IF(TRUE=ISBLANK(ChemData!D181),"",(ChemData!D181))</f>
        <v/>
      </c>
      <c r="I181" s="919" t="str">
        <f>IF(TRUE=ISBLANK(ChemData!K181),"",(ChemData!K181))</f>
        <v>NA</v>
      </c>
      <c r="J181" s="290">
        <f>IF(TRUE=ISBLANK(ChemData!M181),"",(ChemData!M181))</f>
        <v>168</v>
      </c>
      <c r="K181" s="290">
        <f>IF(TRUE=ISBLANK(ChemData!N181),"",(ChemData!N181))</f>
        <v>3.8000000000000002E-4</v>
      </c>
      <c r="L181" s="290">
        <f>IF(TRUE=ISBLANK(ChemData!O181),"",(ChemData!O181))</f>
        <v>7.0999999999999994E-2</v>
      </c>
      <c r="M181" s="290">
        <f>IF(TRUE=ISBLANK(ChemData!Q181),"",(ChemData!Q181))</f>
        <v>4.5436662029329957</v>
      </c>
      <c r="N181" s="290">
        <f>IF(TRUE=ISBLANK(ChemData!R181),"",(ChemData!R181))</f>
        <v>4.5436662029329957</v>
      </c>
      <c r="O181" s="290">
        <f>IF(TRUE=ISBLANK(ChemData!S181),"",(ChemData!S181))</f>
        <v>1</v>
      </c>
      <c r="P181" s="291">
        <f>IF(TRUE=ISBLANK(ChemData!T181),"",(ChemData!T181))</f>
        <v>1</v>
      </c>
      <c r="Q181" s="375">
        <f>IF(Start!$C$18="x",IF(OR(K181="NA",K181="",K181="--"),"NA",(K181*1000000/82.1/Data!$D$50)),"---")</f>
        <v>1.4930651054968372E-2</v>
      </c>
      <c r="R181" s="376">
        <f>IF(Start!$C$18="x",IF(OR(J181="NA",J181=0,J181=""),"NA",(0.32*(Data!$D$48+Data!$D$49)*(18/J181)^0.5)),"---")</f>
        <v>0.26971731233168655</v>
      </c>
      <c r="S181" s="376">
        <f>IF(Start!$C$18="x",IF(OR(J181="NA",J181= 0,J181=""),"NA",(0.0065*((Data!$D$49^0.969)/(Data!$D$51^0.673))*(32/J181)^0.5*EXP(0.526*Data!$D$48^-1.9))),"---")</f>
        <v>5.6849020068981074E-4</v>
      </c>
      <c r="T181" s="377">
        <f>IF(Start!$C$18="x",IF(OR(S181="NA",R181="NA",R181=0,Q181="NA",S181=0,Q181=0),"NA",(1/(1/S181+(1/(R181*Q181))))),"---")</f>
        <v>4.981653341137542E-4</v>
      </c>
      <c r="U181" s="375" t="str">
        <f>IF(Start!$C$18="x",IF(OR(F181="NA",F181="",O181="",O181="NA"),"NA",(F181*$O181)),"---")</f>
        <v>NA</v>
      </c>
      <c r="V181" s="376" t="str">
        <f>IF(Start!$C$18="x",IF(OR(U181="NA",M181="NA",M181="",U181=""),"NA",U181/((Data!$D$18+((1-Data!$D$18)*Data!$D$14*M181))/((1-Data!$D$18)*Data!$D$14*1000))),"---")</f>
        <v>NA</v>
      </c>
      <c r="W181" s="376" t="str">
        <f>IF(Start!$C$18="x",IF(OR(G181="NA",U181="NA",G181="",U181=""),"NA",(U181 +($G181*(Data!$D$19-Data!$D$22)/(Data!$D$19*Data!$D$22)))),"---")</f>
        <v>NA</v>
      </c>
      <c r="X181" s="376" t="str">
        <f>IF(Start!$C$18="x",IF(OR(G181="NA",V181="NA",G181="",V181=""),"NA",(((Data!$D$22*Data!$D$18)*V181)+(Data!$D$19-Data!$D$22)*$G181)/((Data!$D$22*Data!$D$18)+Data!$D$19-Data!$D$22)),"---")</f>
        <v>NA</v>
      </c>
      <c r="Y181" s="376" t="str">
        <f>IF(Start!$C$18="x",IF(OR(W181="NA",W181="",M181="NA",M181=""),"NA",(W181/((Data!$D$23+((1-Data!$D$23)*Data!$D$14*M181)) /((1-Data!$D$23)*Data!$D$14*1000)))),"---")</f>
        <v>NA</v>
      </c>
      <c r="Z181" s="376" t="str">
        <f>IF(Start!$C$18="x",IF(OR(Y181="NA",X181="NA"),"NA",IF(Y181&gt;X181, Y181, X181)),"---")</f>
        <v>NA</v>
      </c>
      <c r="AA181" s="461" t="str">
        <f>IF(Start!$C$18="x",IF(OR(Z181="NA",T181="NA"),"NA",Z181*T181/(1000000000)),"---")</f>
        <v>NA</v>
      </c>
      <c r="AB181" s="1057" t="str">
        <f>IF(Start!$C$18="x",IF(AA181 = "NA", "NA", AA181*(Data!$D$52*Data!$D$53*10000)),"---")</f>
        <v>NA</v>
      </c>
      <c r="AC181" s="375" t="str">
        <f>IF(Start!$C$18="x",IF(AB181="NA", "NA", AB181*Data!$D$54),"---")</f>
        <v>NA</v>
      </c>
      <c r="AD181" s="498" t="str">
        <f>IF(Start!$C$18="x",IF(AC181="NA","NA",AC181*Data!$D$41),"---")</f>
        <v>NA</v>
      </c>
      <c r="AE181" s="376" t="str">
        <f>IF(Start!$C$18="x",IF(AB181 = "NA", "NA", AB181/(Data!$D$53*3*Data!$D$48)*1000),"---")</f>
        <v>NA</v>
      </c>
      <c r="AF181" s="498" t="str">
        <f>IF(Start!$C$18="x",IF(AE181="NA","NA",AE181*Data!$D$46),"---")</f>
        <v>NA</v>
      </c>
      <c r="AG181" s="375">
        <f>IF(Start!$C$18="x",IF(OR($L181="NA",L181=""),"NA",($L181*(Data!$D$55^3.33)/(Data!$D$18^2))),"---")</f>
        <v>7.2331205030557713E-4</v>
      </c>
      <c r="AH181" s="376" t="str">
        <f>IF(Start!$C$18="x",IF(OR(F181="NA",F181="",P181="NA",P181=""),"NA",IF(100/Data!$D$10&gt;Data!$D$13,(F181*$P181),(F181*$P181)*Data!$D$13)),"---")</f>
        <v>NA</v>
      </c>
      <c r="AI181" s="489">
        <f>IF(Start!$C$18="x",IF(OR($N181="NA",$Q181="NA",$Q181=0,Q181="",N181=""),"NA",(1000*$N181/$Q181)),"---")</f>
        <v>304318.02244959911</v>
      </c>
      <c r="AJ181" s="376">
        <f>IF(Start!$C$18="x",IF(OR(Q181 = "NA",Q181=0,N181 = "NA",N181="",Q181=""), "NA", IF($AG181="NA","NA",(3.1416*Data!$D$57*86400/($AG181*(Data!$D$55+(N181*Data!$D$19/(Q181*1000)))))^0.5)),"---")</f>
        <v>6597.0938028116598</v>
      </c>
      <c r="AK181" s="376" t="str">
        <f>IF(Start!$C$18="x",IF(OR(AH181 = "NA",AI181="NA",AI181=0,AI181="",AH181=""), "NA", AH181/AI181),"---")</f>
        <v>NA</v>
      </c>
      <c r="AL181" s="376" t="str">
        <f>IF(Start!$C$18="x",IF(OR(AK181 ="NA",AK181="",AJ181= "NA",R181="NA",R181=0),"NA",(2*AK181)/(1000*(1/$R181+AJ181))),"---")</f>
        <v>NA</v>
      </c>
      <c r="AM181" s="376" t="str">
        <f>IF(Start!$C$18="x",IF(AL181 = "NA", "NA", AL181*(Data!$D$52*Data!$D$53*10000)),"---")</f>
        <v>NA</v>
      </c>
      <c r="AN181" s="376" t="str">
        <f>IF(Start!$C$18="x",IF(AM181 = "NA", "NA", AM181*(Data!$D$54)),"---")</f>
        <v>NA</v>
      </c>
      <c r="AO181" s="498" t="str">
        <f>IF(Start!$C$18="x",IF(AN181="NA","NA",AN181*Data!$D$41),"---")</f>
        <v>NA</v>
      </c>
      <c r="AP181" s="376">
        <f>IF(Start!$C$18="x",IF(OR(Q181=0,N181="NA",N181="",AG181="NA",AG181="",AG181=0,Q181="",Q181="NA"),"NA", (3.1416*Data!$D$56*86400/($AG181*(Data!$D$55+(N181*Data!$D$19/(Q181*1000)))))^0.5),"---")</f>
        <v>6597.0938028116598</v>
      </c>
      <c r="AQ181" s="376" t="str">
        <f>IF(Start!$C$18="x",IF(OR(AH181="NA",AI181="NA",AI181="",AI181=0,AH181=""),"NA", AH181/AI181),"---")</f>
        <v>NA</v>
      </c>
      <c r="AR181" s="376" t="str">
        <f>IF(Start!$C$18="x",IF(OR(AQ181="NA",AP181="NA",$R181="NA",R181=0,R181=""),"NA",(2*AQ181)/(1000*(1/$R181+AP181))),"---")</f>
        <v>NA</v>
      </c>
      <c r="AS181" s="376" t="str">
        <f>IF(Start!$C$18="x",IF(AR181 = "NA", "NA", AR181*(Data!$D$52*Data!$D$53*10000)),"---")</f>
        <v>NA</v>
      </c>
      <c r="AT181" s="376" t="str">
        <f>IF(Start!$C$18="x",IF(AS181 = "NA", "NA", (AS181*1000)/(Data!$D$48*3*Data!$D$53)),"---")</f>
        <v>NA</v>
      </c>
      <c r="AU181" s="498" t="str">
        <f>IF(Start!$C$18="x",IF(AT181="NA","NA",AT181*Data!$D$47),"---")</f>
        <v>NA</v>
      </c>
      <c r="AV181" s="283" t="str">
        <f>IF(Start!$C$18="x",(IF(AND(F181="",G181= "",G181&lt;&gt;"NA"),"",IF(OR(AD181="NA",I181="NA",I181=0),"NA",(AD181/I181)))),"Not Req.")</f>
        <v/>
      </c>
      <c r="AW181" s="284" t="str">
        <f>IF(Start!$C$18="x",(IF(AND(F181="",G181= "",G181&lt;&gt;"NA"),"",IF(OR(AF181="NA",I181="NA",I181=0),"NA",(AF181/I181)))),"Not Req.")</f>
        <v/>
      </c>
      <c r="AX181" s="284" t="str">
        <f>IF(Start!$C$18="x",(IF(F181 ="","",IF(OR(AO181="NA",I181="NA",I181=0),"NA",(AO181/I181)))),"Not Req.")</f>
        <v/>
      </c>
      <c r="AY181" s="344" t="str">
        <f>IF(Start!$C$18="x",(IF(F181 ="","",IF(OR(AU181="NA",I181="NA",I181=0),"NA",(AU181/I181)))),"Not Req.")</f>
        <v/>
      </c>
      <c r="AZ181" s="208"/>
    </row>
    <row r="182" spans="1:52" s="183" customFormat="1" x14ac:dyDescent="0.25">
      <c r="A182" s="405" t="s">
        <v>680</v>
      </c>
      <c r="B182" s="347" t="str">
        <f>IF(Start!$C$18="x",IF(AND(OR(F182="",F182="NA"),OR(G182="",G182="NA")),"",IF(I182="NA","NA",IF(AND(I182="",K182="--"),"NA",IF(AD182="NA","Missing Data",IF(I182="","No Criteria",IF(AD182&gt;=I182,"Needed","No")))))),"---")</f>
        <v/>
      </c>
      <c r="C182" s="501" t="str">
        <f>IF(Start!$C$18="x",IF(AND(OR(F182="",F182="NA"),OR(G182="",G182="NA")),"",IF(I182="NA","NA",IF(AND(I182="",K182="--"),"NA",IF(AF182="NA","Missing Data",IF(I182="","No Criteria",IF(AF182&gt;=I182,"Needed","No")))))),"---")</f>
        <v/>
      </c>
      <c r="D182" s="347" t="str">
        <f>IF(Start!$C$18="x",IF(AND(OR(F182="",F182="NA"),OR(G182="",G182="NA")),"",IF(I182="NA","NA",IF(AND(I182="",K182="--"),"NA",IF(AO182="NA","Missing Data",IF(I182="","No Criteria",IF(AO182&gt;=I182,"Needed","No")))))),"---")</f>
        <v/>
      </c>
      <c r="E182" s="401" t="str">
        <f>IF(Start!$C$18="x",IF(AND(OR(F182="",F182="NA"),OR(G182="",G182="NA")),"",IF(I182="NA","NA",IF(AND(I182="",K182="--"),"NA",IF(AU182="NA","Missing Data",IF(I182="","No Criteria",IF(AU182&gt;=I182,"Needed","No")))))),"---")</f>
        <v/>
      </c>
      <c r="F182" s="431" t="str">
        <f>IF(TRUE=ISBLANK(ChemData!B182),"",(ChemData!B182))</f>
        <v/>
      </c>
      <c r="G182" s="432" t="str">
        <f>IF(TRUE=ISBLANK(ChemData!C182),"",(ChemData!C182))</f>
        <v/>
      </c>
      <c r="H182" s="433" t="str">
        <f>IF(TRUE=ISBLANK(ChemData!D182),"",(ChemData!D182))</f>
        <v/>
      </c>
      <c r="I182" s="919">
        <f>IF(TRUE=ISBLANK(ChemData!K182),"",(ChemData!K182))</f>
        <v>0.17100000000000001</v>
      </c>
      <c r="J182" s="290">
        <f>IF(TRUE=ISBLANK(ChemData!M182),"",(ChemData!M182))</f>
        <v>165.83</v>
      </c>
      <c r="K182" s="290">
        <f>IF(TRUE=ISBLANK(ChemData!N182),"",(ChemData!N182))</f>
        <v>1.77E-2</v>
      </c>
      <c r="L182" s="290">
        <f>IF(TRUE=ISBLANK(ChemData!O182),"",(ChemData!O182))</f>
        <v>7.1999999999999995E-2</v>
      </c>
      <c r="M182" s="290">
        <f>IF(TRUE=ISBLANK(ChemData!Q182),"",(ChemData!Q182))</f>
        <v>14.041270913790193</v>
      </c>
      <c r="N182" s="290">
        <f>IF(TRUE=ISBLANK(ChemData!R182),"",(ChemData!R182))</f>
        <v>14.041270913790193</v>
      </c>
      <c r="O182" s="290">
        <f>IF(TRUE=ISBLANK(ChemData!S182),"",(ChemData!S182))</f>
        <v>1</v>
      </c>
      <c r="P182" s="291">
        <f>IF(TRUE=ISBLANK(ChemData!T182),"",(ChemData!T182))</f>
        <v>1</v>
      </c>
      <c r="Q182" s="375">
        <f>IF(Start!$C$18="x",IF(OR(K182="NA",K182="",K182="--"),"NA",(K182*1000000/82.1/Data!$D$50)),"---")</f>
        <v>0.69545400966563209</v>
      </c>
      <c r="R182" s="376">
        <f>IF(Start!$C$18="x",IF(OR(J182="NA",J182=0,J182=""),"NA",(0.32*(Data!$D$48+Data!$D$49)*(18/J182)^0.5)),"---")</f>
        <v>0.271476295248752</v>
      </c>
      <c r="S182" s="376">
        <f>IF(Start!$C$18="x",IF(OR(J182="NA",J182= 0,J182=""),"NA",(0.0065*((Data!$D$49^0.969)/(Data!$D$51^0.673))*(32/J182)^0.5*EXP(0.526*Data!$D$48^-1.9))),"---")</f>
        <v>5.721976547753046E-4</v>
      </c>
      <c r="T182" s="377">
        <f>IF(Start!$C$18="x",IF(OR(S182="NA",R182="NA",R182=0,Q182="NA",S182=0,Q182=0),"NA",(1/(1/S182+(1/(R182*Q182))))),"---")</f>
        <v>5.7046872408553358E-4</v>
      </c>
      <c r="U182" s="375" t="str">
        <f>IF(Start!$C$18="x",IF(OR(F182="NA",F182="",O182="",O182="NA"),"NA",(F182*$O182)),"---")</f>
        <v>NA</v>
      </c>
      <c r="V182" s="376" t="str">
        <f>IF(Start!$C$18="x",IF(OR(U182="NA",M182="NA",M182="",U182=""),"NA",U182/((Data!$D$18+((1-Data!$D$18)*Data!$D$14*M182))/((1-Data!$D$18)*Data!$D$14*1000))),"---")</f>
        <v>NA</v>
      </c>
      <c r="W182" s="376" t="str">
        <f>IF(Start!$C$18="x",IF(OR(G182="NA",U182="NA",G182="",U182=""),"NA",(U182 +($G182*(Data!$D$19-Data!$D$22)/(Data!$D$19*Data!$D$22)))),"---")</f>
        <v>NA</v>
      </c>
      <c r="X182" s="376" t="str">
        <f>IF(Start!$C$18="x",IF(OR(G182="NA",V182="NA",G182="",V182=""),"NA",(((Data!$D$22*Data!$D$18)*V182)+(Data!$D$19-Data!$D$22)*$G182)/((Data!$D$22*Data!$D$18)+Data!$D$19-Data!$D$22)),"---")</f>
        <v>NA</v>
      </c>
      <c r="Y182" s="376" t="str">
        <f>IF(Start!$C$18="x",IF(OR(W182="NA",W182="",M182="NA",M182=""),"NA",(W182/((Data!$D$23+((1-Data!$D$23)*Data!$D$14*M182)) /((1-Data!$D$23)*Data!$D$14*1000)))),"---")</f>
        <v>NA</v>
      </c>
      <c r="Z182" s="376" t="str">
        <f>IF(Start!$C$18="x",IF(OR(Y182="NA",X182="NA"),"NA",IF(Y182&gt;X182, Y182, X182)),"---")</f>
        <v>NA</v>
      </c>
      <c r="AA182" s="461" t="str">
        <f>IF(Start!$C$18="x",IF(OR(Z182="NA",T182="NA"),"NA",Z182*T182/(1000000000)),"---")</f>
        <v>NA</v>
      </c>
      <c r="AB182" s="1057" t="str">
        <f>IF(Start!$C$18="x",IF(AA182 = "NA", "NA", AA182*(Data!$D$52*Data!$D$53*10000)),"---")</f>
        <v>NA</v>
      </c>
      <c r="AC182" s="375" t="str">
        <f>IF(Start!$C$18="x",IF(AB182="NA", "NA", AB182*Data!$D$54),"---")</f>
        <v>NA</v>
      </c>
      <c r="AD182" s="498" t="str">
        <f>IF(Start!$C$18="x",IF(AC182="NA","NA",AC182*Data!$D$41),"---")</f>
        <v>NA</v>
      </c>
      <c r="AE182" s="376" t="str">
        <f>IF(Start!$C$18="x",IF(AB182 = "NA", "NA", AB182/(Data!$D$53*3*Data!$D$48)*1000),"---")</f>
        <v>NA</v>
      </c>
      <c r="AF182" s="498" t="str">
        <f>IF(Start!$C$18="x",IF(AE182="NA","NA",AE182*Data!$D$46),"---")</f>
        <v>NA</v>
      </c>
      <c r="AG182" s="375">
        <f>IF(Start!$C$18="x",IF(OR($L182="NA",L182=""),"NA",($L182*(Data!$D$55^3.33)/(Data!$D$18^2))),"---")</f>
        <v>7.3349954397185289E-4</v>
      </c>
      <c r="AH182" s="376" t="str">
        <f>IF(Start!$C$18="x",IF(OR(F182="NA",F182="",P182="NA",P182=""),"NA",IF(100/Data!$D$10&gt;Data!$D$13,(F182*$P182),(F182*$P182)*Data!$D$13)),"---")</f>
        <v>NA</v>
      </c>
      <c r="AI182" s="489">
        <f>IF(Start!$C$18="x",IF(OR($N182="NA",$Q182="NA",$Q182=0,Q182="",N182=""),"NA",(1000*$N182/$Q182)),"---")</f>
        <v>20190.07830660306</v>
      </c>
      <c r="AJ182" s="376">
        <f>IF(Start!$C$18="x",IF(OR(Q182 = "NA",Q182=0,N182 = "NA",N182="",Q182=""), "NA", IF($AG182="NA","NA",(3.1416*Data!$D$57*86400/($AG182*(Data!$D$55+(N182*Data!$D$19/(Q182*1000)))))^0.5)),"---")</f>
        <v>25296.503614962396</v>
      </c>
      <c r="AK182" s="376" t="str">
        <f>IF(Start!$C$18="x",IF(OR(AH182 = "NA",AI182="NA",AI182=0,AI182="",AH182=""), "NA", AH182/AI182),"---")</f>
        <v>NA</v>
      </c>
      <c r="AL182" s="376" t="str">
        <f>IF(Start!$C$18="x",IF(OR(AK182 ="NA",AK182="",AJ182= "NA",R182="NA",R182=0),"NA",(2*AK182)/(1000*(1/$R182+AJ182))),"---")</f>
        <v>NA</v>
      </c>
      <c r="AM182" s="376" t="str">
        <f>IF(Start!$C$18="x",IF(AL182 = "NA", "NA", AL182*(Data!$D$52*Data!$D$53*10000)),"---")</f>
        <v>NA</v>
      </c>
      <c r="AN182" s="376" t="str">
        <f>IF(Start!$C$18="x",IF(AM182 = "NA", "NA", AM182*(Data!$D$54)),"---")</f>
        <v>NA</v>
      </c>
      <c r="AO182" s="498" t="str">
        <f>IF(Start!$C$18="x",IF(AN182="NA","NA",AN182*Data!$D$41),"---")</f>
        <v>NA</v>
      </c>
      <c r="AP182" s="376">
        <f>IF(Start!$C$18="x",IF(OR(Q182=0,N182="NA",N182="",AG182="NA",AG182="",AG182=0,Q182="",Q182="NA"),"NA", (3.1416*Data!$D$56*86400/($AG182*(Data!$D$55+(N182*Data!$D$19/(Q182*1000)))))^0.5),"---")</f>
        <v>25296.503614962396</v>
      </c>
      <c r="AQ182" s="376" t="str">
        <f>IF(Start!$C$18="x",IF(OR(AH182="NA",AI182="NA",AI182="",AI182=0,AH182=""),"NA", AH182/AI182),"---")</f>
        <v>NA</v>
      </c>
      <c r="AR182" s="376" t="str">
        <f>IF(Start!$C$18="x",IF(OR(AQ182="NA",AP182="NA",$R182="NA",R182=0,R182=""),"NA",(2*AQ182)/(1000*(1/$R182+AP182))),"---")</f>
        <v>NA</v>
      </c>
      <c r="AS182" s="376" t="str">
        <f>IF(Start!$C$18="x",IF(AR182 = "NA", "NA", AR182*(Data!$D$52*Data!$D$53*10000)),"---")</f>
        <v>NA</v>
      </c>
      <c r="AT182" s="376" t="str">
        <f>IF(Start!$C$18="x",IF(AS182 = "NA", "NA", (AS182*1000)/(Data!$D$48*3*Data!$D$53)),"---")</f>
        <v>NA</v>
      </c>
      <c r="AU182" s="498" t="str">
        <f>IF(Start!$C$18="x",IF(AT182="NA","NA",AT182*Data!$D$47),"---")</f>
        <v>NA</v>
      </c>
      <c r="AV182" s="283" t="str">
        <f>IF(Start!$C$18="x",(IF(AND(F182="",G182= "",G182&lt;&gt;"NA"),"",IF(OR(AD182="NA",I182="NA",I182=0),"NA",(AD182/I182)))),"Not Req.")</f>
        <v/>
      </c>
      <c r="AW182" s="284" t="str">
        <f>IF(Start!$C$18="x",(IF(AND(F182="",G182= "",G182&lt;&gt;"NA"),"",IF(OR(AF182="NA",I182="NA",I182=0),"NA",(AF182/I182)))),"Not Req.")</f>
        <v/>
      </c>
      <c r="AX182" s="284" t="str">
        <f>IF(Start!$C$18="x",(IF(F182 ="","",IF(OR(AO182="NA",I182="NA",I182=0),"NA",(AO182/I182)))),"Not Req.")</f>
        <v/>
      </c>
      <c r="AY182" s="344" t="str">
        <f>IF(Start!$C$18="x",(IF(F182 ="","",IF(OR(AU182="NA",I182="NA",I182=0),"NA",(AU182/I182)))),"Not Req.")</f>
        <v/>
      </c>
      <c r="AZ182" s="208"/>
    </row>
    <row r="183" spans="1:52" s="183" customFormat="1" x14ac:dyDescent="0.25">
      <c r="A183" s="405" t="s">
        <v>501</v>
      </c>
      <c r="B183" s="347" t="str">
        <f>IF(Start!$C$18="x",IF(AND(OR(F183="",F183="NA"),OR(G183="",G183="NA")),"",IF(I183="NA","NA",IF(AND(I183="",K183="--"),"NA",IF(AD183="NA","Missing Data",IF(I183="","No Criteria",IF(AD183&gt;=I183,"Needed","No")))))),"---")</f>
        <v/>
      </c>
      <c r="C183" s="501" t="str">
        <f>IF(Start!$C$18="x",IF(AND(OR(F183="",F183="NA"),OR(G183="",G183="NA")),"",IF(I183="NA","NA",IF(AND(I183="",K183="--"),"NA",IF(AF183="NA","Missing Data",IF(I183="","No Criteria",IF(AF183&gt;=I183,"Needed","No")))))),"---")</f>
        <v/>
      </c>
      <c r="D183" s="347" t="str">
        <f>IF(Start!$C$18="x",IF(AND(OR(F183="",F183="NA"),OR(G183="",G183="NA")),"",IF(I183="NA","NA",IF(AND(I183="",K183="--"),"NA",IF(AO183="NA","Missing Data",IF(I183="","No Criteria",IF(AO183&gt;=I183,"Needed","No")))))),"---")</f>
        <v/>
      </c>
      <c r="E183" s="401" t="str">
        <f>IF(Start!$C$18="x",IF(AND(OR(F183="",F183="NA"),OR(G183="",G183="NA")),"",IF(I183="NA","NA",IF(AND(I183="",K183="--"),"NA",IF(AU183="NA","Missing Data",IF(I183="","No Criteria",IF(AU183&gt;=I183,"Needed","No")))))),"---")</f>
        <v/>
      </c>
      <c r="F183" s="431" t="str">
        <f>IF(TRUE=ISBLANK(ChemData!B183),"",(ChemData!B183))</f>
        <v/>
      </c>
      <c r="G183" s="432" t="str">
        <f>IF(TRUE=ISBLANK(ChemData!C183),"",(ChemData!C183))</f>
        <v/>
      </c>
      <c r="H183" s="433" t="str">
        <f>IF(TRUE=ISBLANK(ChemData!D183),"",(ChemData!D183))</f>
        <v/>
      </c>
      <c r="I183" s="919" t="str">
        <f>IF(TRUE=ISBLANK(ChemData!K183),"",(ChemData!K183))</f>
        <v>NA</v>
      </c>
      <c r="J183" s="290">
        <f>IF(TRUE=ISBLANK(ChemData!M183),"",(ChemData!M183))</f>
        <v>92.14</v>
      </c>
      <c r="K183" s="290">
        <f>IF(TRUE=ISBLANK(ChemData!N183),"",(ChemData!N183))</f>
        <v>6.6600000000000001E-3</v>
      </c>
      <c r="L183" s="290">
        <f>IF(TRUE=ISBLANK(ChemData!O183),"",(ChemData!O183))</f>
        <v>8.6999999999999994E-2</v>
      </c>
      <c r="M183" s="290">
        <f>IF(TRUE=ISBLANK(ChemData!Q183),"",(ChemData!Q183))</f>
        <v>11.413173484456046</v>
      </c>
      <c r="N183" s="290">
        <f>IF(TRUE=ISBLANK(ChemData!R183),"",(ChemData!R183))</f>
        <v>11.413173484456046</v>
      </c>
      <c r="O183" s="290">
        <f>IF(TRUE=ISBLANK(ChemData!S183),"",(ChemData!S183))</f>
        <v>1</v>
      </c>
      <c r="P183" s="291">
        <f>IF(TRUE=ISBLANK(ChemData!T183),"",(ChemData!T183))</f>
        <v>1</v>
      </c>
      <c r="Q183" s="375">
        <f>IF(Start!$C$18="x",IF(OR(K183="NA",K183="",K183="--"),"NA",(K183*1000000/82.1/Data!$D$50)),"---")</f>
        <v>0.26167930533181405</v>
      </c>
      <c r="R183" s="376">
        <f>IF(Start!$C$18="x",IF(OR(J183="NA",J183=0,J183=""),"NA",(0.32*(Data!$D$48+Data!$D$49)*(18/J183)^0.5)),"---")</f>
        <v>0.36419951263158679</v>
      </c>
      <c r="S183" s="376">
        <f>IF(Start!$C$18="x",IF(OR(J183="NA",J183= 0,J183=""),"NA",(0.0065*((Data!$D$49^0.969)/(Data!$D$51^0.673))*(32/J183)^0.5*EXP(0.526*Data!$D$48^-1.9))),"---")</f>
        <v>7.6763279389514512E-4</v>
      </c>
      <c r="T183" s="377">
        <f>IF(Start!$C$18="x",IF(OR(S183="NA",R183="NA",R183=0,Q183="NA",S183=0,Q183=0),"NA",(1/(1/S183+(1/(R183*Q183))))),"---")</f>
        <v>7.6149921100090751E-4</v>
      </c>
      <c r="U183" s="375" t="str">
        <f>IF(Start!$C$18="x",IF(OR(F183="NA",F183="",O183="",O183="NA"),"NA",(F183*$O183)),"---")</f>
        <v>NA</v>
      </c>
      <c r="V183" s="376" t="str">
        <f>IF(Start!$C$18="x",IF(OR(U183="NA",M183="NA",M183="",U183=""),"NA",U183/((Data!$D$18+((1-Data!$D$18)*Data!$D$14*M183))/((1-Data!$D$18)*Data!$D$14*1000))),"---")</f>
        <v>NA</v>
      </c>
      <c r="W183" s="376" t="str">
        <f>IF(Start!$C$18="x",IF(OR(G183="NA",U183="NA",G183="",U183=""),"NA",(U183 +($G183*(Data!$D$19-Data!$D$22)/(Data!$D$19*Data!$D$22)))),"---")</f>
        <v>NA</v>
      </c>
      <c r="X183" s="376" t="str">
        <f>IF(Start!$C$18="x",IF(OR(G183="NA",V183="NA",G183="",V183=""),"NA",(((Data!$D$22*Data!$D$18)*V183)+(Data!$D$19-Data!$D$22)*$G183)/((Data!$D$22*Data!$D$18)+Data!$D$19-Data!$D$22)),"---")</f>
        <v>NA</v>
      </c>
      <c r="Y183" s="376" t="str">
        <f>IF(Start!$C$18="x",IF(OR(W183="NA",W183="",M183="NA",M183=""),"NA",(W183/((Data!$D$23+((1-Data!$D$23)*Data!$D$14*M183)) /((1-Data!$D$23)*Data!$D$14*1000)))),"---")</f>
        <v>NA</v>
      </c>
      <c r="Z183" s="376" t="str">
        <f>IF(Start!$C$18="x",IF(OR(Y183="NA",X183="NA"),"NA",IF(Y183&gt;X183, Y183, X183)),"---")</f>
        <v>NA</v>
      </c>
      <c r="AA183" s="461" t="str">
        <f>IF(Start!$C$18="x",IF(OR(Z183="NA",T183="NA"),"NA",Z183*T183/(1000000000)),"---")</f>
        <v>NA</v>
      </c>
      <c r="AB183" s="1057" t="str">
        <f>IF(Start!$C$18="x",IF(AA183 = "NA", "NA", AA183*(Data!$D$52*Data!$D$53*10000)),"---")</f>
        <v>NA</v>
      </c>
      <c r="AC183" s="375" t="str">
        <f>IF(Start!$C$18="x",IF(AB183="NA", "NA", AB183*Data!$D$54),"---")</f>
        <v>NA</v>
      </c>
      <c r="AD183" s="498" t="str">
        <f>IF(Start!$C$18="x",IF(AC183="NA","NA",AC183*Data!$D$41),"---")</f>
        <v>NA</v>
      </c>
      <c r="AE183" s="376" t="str">
        <f>IF(Start!$C$18="x",IF(AB183 = "NA", "NA", AB183/(Data!$D$53*3*Data!$D$48)*1000),"---")</f>
        <v>NA</v>
      </c>
      <c r="AF183" s="498" t="str">
        <f>IF(Start!$C$18="x",IF(AE183="NA","NA",AE183*Data!$D$46),"---")</f>
        <v>NA</v>
      </c>
      <c r="AG183" s="375">
        <f>IF(Start!$C$18="x",IF(OR($L183="NA",L183=""),"NA",($L183*(Data!$D$55^3.33)/(Data!$D$18^2))),"---")</f>
        <v>8.8631194896598888E-4</v>
      </c>
      <c r="AH183" s="376" t="str">
        <f>IF(Start!$C$18="x",IF(OR(F183="NA",F183="",P183="NA",P183=""),"NA",IF(100/Data!$D$10&gt;Data!$D$13,(F183*$P183),(F183*$P183)*Data!$D$13)),"---")</f>
        <v>NA</v>
      </c>
      <c r="AI183" s="489">
        <f>IF(Start!$C$18="x",IF(OR($N183="NA",$Q183="NA",$Q183=0,Q183="",N183=""),"NA",(1000*$N183/$Q183)),"---")</f>
        <v>43615.116869803431</v>
      </c>
      <c r="AJ183" s="376">
        <f>IF(Start!$C$18="x",IF(OR(Q183 = "NA",Q183=0,N183 = "NA",N183="",Q183=""), "NA", IF($AG183="NA","NA",(3.1416*Data!$D$57*86400/($AG183*(Data!$D$55+(N183*Data!$D$19/(Q183*1000)))))^0.5)),"---")</f>
        <v>15706.025099136546</v>
      </c>
      <c r="AK183" s="376" t="str">
        <f>IF(Start!$C$18="x",IF(OR(AH183 = "NA",AI183="NA",AI183=0,AI183="",AH183=""), "NA", AH183/AI183),"---")</f>
        <v>NA</v>
      </c>
      <c r="AL183" s="376" t="str">
        <f>IF(Start!$C$18="x",IF(OR(AK183 ="NA",AK183="",AJ183= "NA",R183="NA",R183=0),"NA",(2*AK183)/(1000*(1/$R183+AJ183))),"---")</f>
        <v>NA</v>
      </c>
      <c r="AM183" s="376" t="str">
        <f>IF(Start!$C$18="x",IF(AL183 = "NA", "NA", AL183*(Data!$D$52*Data!$D$53*10000)),"---")</f>
        <v>NA</v>
      </c>
      <c r="AN183" s="376" t="str">
        <f>IF(Start!$C$18="x",IF(AM183 = "NA", "NA", AM183*(Data!$D$54)),"---")</f>
        <v>NA</v>
      </c>
      <c r="AO183" s="498" t="str">
        <f>IF(Start!$C$18="x",IF(AN183="NA","NA",AN183*Data!$D$41),"---")</f>
        <v>NA</v>
      </c>
      <c r="AP183" s="376">
        <f>IF(Start!$C$18="x",IF(OR(Q183=0,N183="NA",N183="",AG183="NA",AG183="",AG183=0,Q183="",Q183="NA"),"NA", (3.1416*Data!$D$56*86400/($AG183*(Data!$D$55+(N183*Data!$D$19/(Q183*1000)))))^0.5),"---")</f>
        <v>15706.025099136546</v>
      </c>
      <c r="AQ183" s="376" t="str">
        <f>IF(Start!$C$18="x",IF(OR(AH183="NA",AI183="NA",AI183="",AI183=0,AH183=""),"NA", AH183/AI183),"---")</f>
        <v>NA</v>
      </c>
      <c r="AR183" s="376" t="str">
        <f>IF(Start!$C$18="x",IF(OR(AQ183="NA",AP183="NA",$R183="NA",R183=0,R183=""),"NA",(2*AQ183)/(1000*(1/$R183+AP183))),"---")</f>
        <v>NA</v>
      </c>
      <c r="AS183" s="376" t="str">
        <f>IF(Start!$C$18="x",IF(AR183 = "NA", "NA", AR183*(Data!$D$52*Data!$D$53*10000)),"---")</f>
        <v>NA</v>
      </c>
      <c r="AT183" s="376" t="str">
        <f>IF(Start!$C$18="x",IF(AS183 = "NA", "NA", (AS183*1000)/(Data!$D$48*3*Data!$D$53)),"---")</f>
        <v>NA</v>
      </c>
      <c r="AU183" s="498" t="str">
        <f>IF(Start!$C$18="x",IF(AT183="NA","NA",AT183*Data!$D$47),"---")</f>
        <v>NA</v>
      </c>
      <c r="AV183" s="283" t="str">
        <f>IF(Start!$C$18="x",(IF(AND(F183="",G183= "",G183&lt;&gt;"NA"),"",IF(OR(AD183="NA",I183="NA",I183=0),"NA",(AD183/I183)))),"Not Req.")</f>
        <v/>
      </c>
      <c r="AW183" s="284" t="str">
        <f>IF(Start!$C$18="x",(IF(AND(F183="",G183= "",G183&lt;&gt;"NA"),"",IF(OR(AF183="NA",I183="NA",I183=0),"NA",(AF183/I183)))),"Not Req.")</f>
        <v/>
      </c>
      <c r="AX183" s="284" t="str">
        <f>IF(Start!$C$18="x",(IF(F183 ="","",IF(OR(AO183="NA",I183="NA",I183=0),"NA",(AO183/I183)))),"Not Req.")</f>
        <v/>
      </c>
      <c r="AY183" s="344" t="str">
        <f>IF(Start!$C$18="x",(IF(F183 ="","",IF(OR(AU183="NA",I183="NA",I183=0),"NA",(AU183/I183)))),"Not Req.")</f>
        <v/>
      </c>
      <c r="AZ183" s="208"/>
    </row>
    <row r="184" spans="1:52" s="183" customFormat="1" x14ac:dyDescent="0.25">
      <c r="A184" s="405" t="s">
        <v>502</v>
      </c>
      <c r="B184" s="347" t="str">
        <f>IF(Start!$C$18="x",IF(AND(OR(F184="",F184="NA"),OR(G184="",G184="NA")),"",IF(I184="NA","NA",IF(AND(I184="",K184="--"),"NA",IF(AD184="NA","Missing Data",IF(I184="","No Criteria",IF(AD184&gt;=I184,"Needed","No")))))),"---")</f>
        <v/>
      </c>
      <c r="C184" s="501" t="str">
        <f>IF(Start!$C$18="x",IF(AND(OR(F184="",F184="NA"),OR(G184="",G184="NA")),"",IF(I184="NA","NA",IF(AND(I184="",K184="--"),"NA",IF(AF184="NA","Missing Data",IF(I184="","No Criteria",IF(AF184&gt;=I184,"Needed","No")))))),"---")</f>
        <v/>
      </c>
      <c r="D184" s="347" t="str">
        <f>IF(Start!$C$18="x",IF(AND(OR(F184="",F184="NA"),OR(G184="",G184="NA")),"",IF(I184="NA","NA",IF(AND(I184="",K184="--"),"NA",IF(AO184="NA","Missing Data",IF(I184="","No Criteria",IF(AO184&gt;=I184,"Needed","No")))))),"---")</f>
        <v/>
      </c>
      <c r="E184" s="401" t="str">
        <f>IF(Start!$C$18="x",IF(AND(OR(F184="",F184="NA"),OR(G184="",G184="NA")),"",IF(I184="NA","NA",IF(AND(I184="",K184="--"),"NA",IF(AU184="NA","Missing Data",IF(I184="","No Criteria",IF(AU184&gt;=I184,"Needed","No")))))),"---")</f>
        <v/>
      </c>
      <c r="F184" s="431" t="str">
        <f>IF(TRUE=ISBLANK(ChemData!B184),"",(ChemData!B184))</f>
        <v/>
      </c>
      <c r="G184" s="432" t="str">
        <f>IF(TRUE=ISBLANK(ChemData!C184),"",(ChemData!C184))</f>
        <v/>
      </c>
      <c r="H184" s="433" t="str">
        <f>IF(TRUE=ISBLANK(ChemData!D184),"",(ChemData!D184))</f>
        <v/>
      </c>
      <c r="I184" s="919" t="str">
        <f>IF(TRUE=ISBLANK(ChemData!K184),"",(ChemData!K184))</f>
        <v>NA</v>
      </c>
      <c r="J184" s="290">
        <f>IF(TRUE=ISBLANK(ChemData!M184),"",(ChemData!M184))</f>
        <v>133.4</v>
      </c>
      <c r="K184" s="290">
        <f>IF(TRUE=ISBLANK(ChemData!N184),"",(ChemData!N184))</f>
        <v>1.72E-2</v>
      </c>
      <c r="L184" s="290">
        <f>IF(TRUE=ISBLANK(ChemData!O184),"",(ChemData!O184))</f>
        <v>7.8E-2</v>
      </c>
      <c r="M184" s="290">
        <f>IF(TRUE=ISBLANK(ChemData!Q184),"",(ChemData!Q184))</f>
        <v>5.7201368455826618</v>
      </c>
      <c r="N184" s="290">
        <f>IF(TRUE=ISBLANK(ChemData!R184),"",(ChemData!R184))</f>
        <v>5.7201368455826618</v>
      </c>
      <c r="O184" s="290">
        <f>IF(TRUE=ISBLANK(ChemData!S184),"",(ChemData!S184))</f>
        <v>1</v>
      </c>
      <c r="P184" s="291">
        <f>IF(TRUE=ISBLANK(ChemData!T184),"",(ChemData!T184))</f>
        <v>1</v>
      </c>
      <c r="Q184" s="375">
        <f>IF(Start!$C$18="x",IF(OR(K184="NA",K184="",K184="--"),"NA",(K184*1000000/82.1/Data!$D$50)),"---")</f>
        <v>0.67580841617225262</v>
      </c>
      <c r="R184" s="376">
        <f>IF(Start!$C$18="x",IF(OR(J184="NA",J184=0,J184=""),"NA",(0.32*(Data!$D$48+Data!$D$49)*(18/J184)^0.5)),"---")</f>
        <v>0.30268127134658995</v>
      </c>
      <c r="S184" s="376">
        <f>IF(Start!$C$18="x",IF(OR(J184="NA",J184= 0,J184=""),"NA",(0.0065*((Data!$D$49^0.969)/(Data!$D$51^0.673))*(32/J184)^0.5*EXP(0.526*Data!$D$48^-1.9))),"---")</f>
        <v>6.3796919524863199E-4</v>
      </c>
      <c r="T184" s="377">
        <f>IF(Start!$C$18="x",IF(OR(S184="NA",R184="NA",R184=0,Q184="NA",S184=0,Q184=0),"NA",(1/(1/S184+(1/(R184*Q184))))),"---")</f>
        <v>6.359856692677399E-4</v>
      </c>
      <c r="U184" s="375" t="str">
        <f>IF(Start!$C$18="x",IF(OR(F184="NA",F184="",O184="",O184="NA"),"NA",(F184*$O184)),"---")</f>
        <v>NA</v>
      </c>
      <c r="V184" s="376" t="str">
        <f>IF(Start!$C$18="x",IF(OR(U184="NA",M184="NA",M184="",U184=""),"NA",U184/((Data!$D$18+((1-Data!$D$18)*Data!$D$14*M184))/((1-Data!$D$18)*Data!$D$14*1000))),"---")</f>
        <v>NA</v>
      </c>
      <c r="W184" s="376" t="str">
        <f>IF(Start!$C$18="x",IF(OR(G184="NA",U184="NA",G184="",U184=""),"NA",(U184 +($G184*(Data!$D$19-Data!$D$22)/(Data!$D$19*Data!$D$22)))),"---")</f>
        <v>NA</v>
      </c>
      <c r="X184" s="376" t="str">
        <f>IF(Start!$C$18="x",IF(OR(G184="NA",V184="NA",G184="",V184=""),"NA",(((Data!$D$22*Data!$D$18)*V184)+(Data!$D$19-Data!$D$22)*$G184)/((Data!$D$22*Data!$D$18)+Data!$D$19-Data!$D$22)),"---")</f>
        <v>NA</v>
      </c>
      <c r="Y184" s="376" t="str">
        <f>IF(Start!$C$18="x",IF(OR(W184="NA",W184="",M184="NA",M184=""),"NA",(W184/((Data!$D$23+((1-Data!$D$23)*Data!$D$14*M184)) /((1-Data!$D$23)*Data!$D$14*1000)))),"---")</f>
        <v>NA</v>
      </c>
      <c r="Z184" s="376" t="str">
        <f>IF(Start!$C$18="x",IF(OR(Y184="NA",X184="NA"),"NA",IF(Y184&gt;X184, Y184, X184)),"---")</f>
        <v>NA</v>
      </c>
      <c r="AA184" s="461" t="str">
        <f>IF(Start!$C$18="x",IF(OR(Z184="NA",T184="NA"),"NA",Z184*T184/(1000000000)),"---")</f>
        <v>NA</v>
      </c>
      <c r="AB184" s="1057" t="str">
        <f>IF(Start!$C$18="x",IF(AA184 = "NA", "NA", AA184*(Data!$D$52*Data!$D$53*10000)),"---")</f>
        <v>NA</v>
      </c>
      <c r="AC184" s="375" t="str">
        <f>IF(Start!$C$18="x",IF(AB184="NA", "NA", AB184*Data!$D$54),"---")</f>
        <v>NA</v>
      </c>
      <c r="AD184" s="498" t="str">
        <f>IF(Start!$C$18="x",IF(AC184="NA","NA",AC184*Data!$D$41),"---")</f>
        <v>NA</v>
      </c>
      <c r="AE184" s="376" t="str">
        <f>IF(Start!$C$18="x",IF(AB184 = "NA", "NA", AB184/(Data!$D$53*3*Data!$D$48)*1000),"---")</f>
        <v>NA</v>
      </c>
      <c r="AF184" s="498" t="str">
        <f>IF(Start!$C$18="x",IF(AE184="NA","NA",AE184*Data!$D$46),"---")</f>
        <v>NA</v>
      </c>
      <c r="AG184" s="375">
        <f>IF(Start!$C$18="x",IF(OR($L184="NA",L184=""),"NA",($L184*(Data!$D$55^3.33)/(Data!$D$18^2))),"---")</f>
        <v>7.9462450596950735E-4</v>
      </c>
      <c r="AH184" s="376" t="str">
        <f>IF(Start!$C$18="x",IF(OR(F184="NA",F184="",P184="NA",P184=""),"NA",IF(100/Data!$D$10&gt;Data!$D$13,(F184*$P184),(F184*$P184)*Data!$D$13)),"---")</f>
        <v>NA</v>
      </c>
      <c r="AI184" s="489">
        <f>IF(Start!$C$18="x",IF(OR($N184="NA",$Q184="NA",$Q184=0,Q184="",N184=""),"NA",(1000*$N184/$Q184)),"---")</f>
        <v>8464.1397009839711</v>
      </c>
      <c r="AJ184" s="376">
        <f>IF(Start!$C$18="x",IF(OR(Q184 = "NA",Q184=0,N184 = "NA",N184="",Q184=""), "NA", IF($AG184="NA","NA",(3.1416*Data!$D$57*86400/($AG184*(Data!$D$55+(N184*Data!$D$19/(Q184*1000)))))^0.5)),"---")</f>
        <v>37240.576783319171</v>
      </c>
      <c r="AK184" s="376" t="str">
        <f>IF(Start!$C$18="x",IF(OR(AH184 = "NA",AI184="NA",AI184=0,AI184="",AH184=""), "NA", AH184/AI184),"---")</f>
        <v>NA</v>
      </c>
      <c r="AL184" s="376" t="str">
        <f>IF(Start!$C$18="x",IF(OR(AK184 ="NA",AK184="",AJ184= "NA",R184="NA",R184=0),"NA",(2*AK184)/(1000*(1/$R184+AJ184))),"---")</f>
        <v>NA</v>
      </c>
      <c r="AM184" s="376" t="str">
        <f>IF(Start!$C$18="x",IF(AL184 = "NA", "NA", AL184*(Data!$D$52*Data!$D$53*10000)),"---")</f>
        <v>NA</v>
      </c>
      <c r="AN184" s="376" t="str">
        <f>IF(Start!$C$18="x",IF(AM184 = "NA", "NA", AM184*(Data!$D$54)),"---")</f>
        <v>NA</v>
      </c>
      <c r="AO184" s="498" t="str">
        <f>IF(Start!$C$18="x",IF(AN184="NA","NA",AN184*Data!$D$41),"---")</f>
        <v>NA</v>
      </c>
      <c r="AP184" s="376">
        <f>IF(Start!$C$18="x",IF(OR(Q184=0,N184="NA",N184="",AG184="NA",AG184="",AG184=0,Q184="",Q184="NA"),"NA", (3.1416*Data!$D$56*86400/($AG184*(Data!$D$55+(N184*Data!$D$19/(Q184*1000)))))^0.5),"---")</f>
        <v>37240.576783319171</v>
      </c>
      <c r="AQ184" s="376" t="str">
        <f>IF(Start!$C$18="x",IF(OR(AH184="NA",AI184="NA",AI184="",AI184=0,AH184=""),"NA", AH184/AI184),"---")</f>
        <v>NA</v>
      </c>
      <c r="AR184" s="376" t="str">
        <f>IF(Start!$C$18="x",IF(OR(AQ184="NA",AP184="NA",$R184="NA",R184=0,R184=""),"NA",(2*AQ184)/(1000*(1/$R184+AP184))),"---")</f>
        <v>NA</v>
      </c>
      <c r="AS184" s="376" t="str">
        <f>IF(Start!$C$18="x",IF(AR184 = "NA", "NA", AR184*(Data!$D$52*Data!$D$53*10000)),"---")</f>
        <v>NA</v>
      </c>
      <c r="AT184" s="376" t="str">
        <f>IF(Start!$C$18="x",IF(AS184 = "NA", "NA", (AS184*1000)/(Data!$D$48*3*Data!$D$53)),"---")</f>
        <v>NA</v>
      </c>
      <c r="AU184" s="498" t="str">
        <f>IF(Start!$C$18="x",IF(AT184="NA","NA",AT184*Data!$D$47),"---")</f>
        <v>NA</v>
      </c>
      <c r="AV184" s="283" t="str">
        <f>IF(Start!$C$18="x",(IF(AND(F184="",G184= "",G184&lt;&gt;"NA"),"",IF(OR(AD184="NA",I184="NA",I184=0),"NA",(AD184/I184)))),"Not Req.")</f>
        <v/>
      </c>
      <c r="AW184" s="284" t="str">
        <f>IF(Start!$C$18="x",(IF(AND(F184="",G184= "",G184&lt;&gt;"NA"),"",IF(OR(AF184="NA",I184="NA",I184=0),"NA",(AF184/I184)))),"Not Req.")</f>
        <v/>
      </c>
      <c r="AX184" s="284" t="str">
        <f>IF(Start!$C$18="x",(IF(F184 ="","",IF(OR(AO184="NA",I184="NA",I184=0),"NA",(AO184/I184)))),"Not Req.")</f>
        <v/>
      </c>
      <c r="AY184" s="344" t="str">
        <f>IF(Start!$C$18="x",(IF(F184 ="","",IF(OR(AU184="NA",I184="NA",I184=0),"NA",(AU184/I184)))),"Not Req.")</f>
        <v/>
      </c>
      <c r="AZ184" s="208"/>
    </row>
    <row r="185" spans="1:52" s="183" customFormat="1" x14ac:dyDescent="0.25">
      <c r="A185" s="405" t="s">
        <v>503</v>
      </c>
      <c r="B185" s="347" t="str">
        <f>IF(Start!$C$18="x",IF(AND(OR(F185="",F185="NA"),OR(G185="",G185="NA")),"",IF(I185="NA","NA",IF(AND(I185="",K185="--"),"NA",IF(AD185="NA","Missing Data",IF(I185="","No Criteria",IF(AD185&gt;=I185,"Needed","No")))))),"---")</f>
        <v/>
      </c>
      <c r="C185" s="501" t="str">
        <f>IF(Start!$C$18="x",IF(AND(OR(F185="",F185="NA"),OR(G185="",G185="NA")),"",IF(I185="NA","NA",IF(AND(I185="",K185="--"),"NA",IF(AF185="NA","Missing Data",IF(I185="","No Criteria",IF(AF185&gt;=I185,"Needed","No")))))),"---")</f>
        <v/>
      </c>
      <c r="D185" s="347" t="str">
        <f>IF(Start!$C$18="x",IF(AND(OR(F185="",F185="NA"),OR(G185="",G185="NA")),"",IF(I185="NA","NA",IF(AND(I185="",K185="--"),"NA",IF(AO185="NA","Missing Data",IF(I185="","No Criteria",IF(AO185&gt;=I185,"Needed","No")))))),"---")</f>
        <v/>
      </c>
      <c r="E185" s="401" t="str">
        <f>IF(Start!$C$18="x",IF(AND(OR(F185="",F185="NA"),OR(G185="",G185="NA")),"",IF(I185="NA","NA",IF(AND(I185="",K185="--"),"NA",IF(AU185="NA","Missing Data",IF(I185="","No Criteria",IF(AU185&gt;=I185,"Needed","No")))))),"---")</f>
        <v/>
      </c>
      <c r="F185" s="431" t="str">
        <f>IF(TRUE=ISBLANK(ChemData!B185),"",(ChemData!B185))</f>
        <v/>
      </c>
      <c r="G185" s="432" t="str">
        <f>IF(TRUE=ISBLANK(ChemData!C185),"",(ChemData!C185))</f>
        <v/>
      </c>
      <c r="H185" s="433" t="str">
        <f>IF(TRUE=ISBLANK(ChemData!D185),"",(ChemData!D185))</f>
        <v/>
      </c>
      <c r="I185" s="919" t="str">
        <f>IF(TRUE=ISBLANK(ChemData!K185),"",(ChemData!K185))</f>
        <v>NA</v>
      </c>
      <c r="J185" s="290">
        <f>IF(TRUE=ISBLANK(ChemData!M185),"",(ChemData!M185))</f>
        <v>133.4</v>
      </c>
      <c r="K185" s="290">
        <f>IF(TRUE=ISBLANK(ChemData!N185),"",(ChemData!N185))</f>
        <v>7.4200000000000004E-4</v>
      </c>
      <c r="L185" s="290">
        <f>IF(TRUE=ISBLANK(ChemData!O185),"",(ChemData!O185))</f>
        <v>7.8E-2</v>
      </c>
      <c r="M185" s="290">
        <f>IF(TRUE=ISBLANK(ChemData!Q185),"",(ChemData!Q185))</f>
        <v>2.1747353741930686</v>
      </c>
      <c r="N185" s="290">
        <f>IF(TRUE=ISBLANK(ChemData!R185),"",(ChemData!R185))</f>
        <v>2.1747353741930686</v>
      </c>
      <c r="O185" s="290">
        <f>IF(TRUE=ISBLANK(ChemData!S185),"",(ChemData!S185))</f>
        <v>1</v>
      </c>
      <c r="P185" s="291">
        <f>IF(TRUE=ISBLANK(ChemData!T185),"",(ChemData!T185))</f>
        <v>1</v>
      </c>
      <c r="Q185" s="375">
        <f>IF(Start!$C$18="x",IF(OR(K185="NA",K185="",K185="--"),"NA",(K185*1000000/82.1/Data!$D$50)),"---")</f>
        <v>2.9154060744175085E-2</v>
      </c>
      <c r="R185" s="376">
        <f>IF(Start!$C$18="x",IF(OR(J185="NA",J185=0,J185=""),"NA",(0.32*(Data!$D$48+Data!$D$49)*(18/J185)^0.5)),"---")</f>
        <v>0.30268127134658995</v>
      </c>
      <c r="S185" s="376">
        <f>IF(Start!$C$18="x",IF(OR(J185="NA",J185= 0,J185=""),"NA",(0.0065*((Data!$D$49^0.969)/(Data!$D$51^0.673))*(32/J185)^0.5*EXP(0.526*Data!$D$48^-1.9))),"---")</f>
        <v>6.3796919524863199E-4</v>
      </c>
      <c r="T185" s="377">
        <f>IF(Start!$C$18="x",IF(OR(S185="NA",R185="NA",R185=0,Q185="NA",S185=0,Q185=0),"NA",(1/(1/S185+(1/(R185*Q185))))),"---")</f>
        <v>5.9495616177987465E-4</v>
      </c>
      <c r="U185" s="375" t="str">
        <f>IF(Start!$C$18="x",IF(OR(F185="NA",F185="",O185="",O185="NA"),"NA",(F185*$O185)),"---")</f>
        <v>NA</v>
      </c>
      <c r="V185" s="376" t="str">
        <f>IF(Start!$C$18="x",IF(OR(U185="NA",M185="NA",M185="",U185=""),"NA",U185/((Data!$D$18+((1-Data!$D$18)*Data!$D$14*M185))/((1-Data!$D$18)*Data!$D$14*1000))),"---")</f>
        <v>NA</v>
      </c>
      <c r="W185" s="376" t="str">
        <f>IF(Start!$C$18="x",IF(OR(G185="NA",U185="NA",G185="",U185=""),"NA",(U185 +($G185*(Data!$D$19-Data!$D$22)/(Data!$D$19*Data!$D$22)))),"---")</f>
        <v>NA</v>
      </c>
      <c r="X185" s="376" t="str">
        <f>IF(Start!$C$18="x",IF(OR(G185="NA",V185="NA",G185="",V185=""),"NA",(((Data!$D$22*Data!$D$18)*V185)+(Data!$D$19-Data!$D$22)*$G185)/((Data!$D$22*Data!$D$18)+Data!$D$19-Data!$D$22)),"---")</f>
        <v>NA</v>
      </c>
      <c r="Y185" s="376" t="str">
        <f>IF(Start!$C$18="x",IF(OR(W185="NA",W185="",M185="NA",M185=""),"NA",(W185/((Data!$D$23+((1-Data!$D$23)*Data!$D$14*M185)) /((1-Data!$D$23)*Data!$D$14*1000)))),"---")</f>
        <v>NA</v>
      </c>
      <c r="Z185" s="376" t="str">
        <f>IF(Start!$C$18="x",IF(OR(Y185="NA",X185="NA"),"NA",IF(Y185&gt;X185, Y185, X185)),"---")</f>
        <v>NA</v>
      </c>
      <c r="AA185" s="461" t="str">
        <f>IF(Start!$C$18="x",IF(OR(Z185="NA",T185="NA"),"NA",Z185*T185/(1000000000)),"---")</f>
        <v>NA</v>
      </c>
      <c r="AB185" s="1057" t="str">
        <f>IF(Start!$C$18="x",IF(AA185 = "NA", "NA", AA185*(Data!$D$52*Data!$D$53*10000)),"---")</f>
        <v>NA</v>
      </c>
      <c r="AC185" s="375" t="str">
        <f>IF(Start!$C$18="x",IF(AB185="NA", "NA", AB185*Data!$D$54),"---")</f>
        <v>NA</v>
      </c>
      <c r="AD185" s="498" t="str">
        <f>IF(Start!$C$18="x",IF(AC185="NA","NA",AC185*Data!$D$41),"---")</f>
        <v>NA</v>
      </c>
      <c r="AE185" s="376" t="str">
        <f>IF(Start!$C$18="x",IF(AB185 = "NA", "NA", AB185/(Data!$D$53*3*Data!$D$48)*1000),"---")</f>
        <v>NA</v>
      </c>
      <c r="AF185" s="498" t="str">
        <f>IF(Start!$C$18="x",IF(AE185="NA","NA",AE185*Data!$D$46),"---")</f>
        <v>NA</v>
      </c>
      <c r="AG185" s="375">
        <f>IF(Start!$C$18="x",IF(OR($L185="NA",L185=""),"NA",($L185*(Data!$D$55^3.33)/(Data!$D$18^2))),"---")</f>
        <v>7.9462450596950735E-4</v>
      </c>
      <c r="AH185" s="376" t="str">
        <f>IF(Start!$C$18="x",IF(OR(F185="NA",F185="",P185="NA",P185=""),"NA",IF(100/Data!$D$10&gt;Data!$D$13,(F185*$P185),(F185*$P185)*Data!$D$13)),"---")</f>
        <v>NA</v>
      </c>
      <c r="AI185" s="489">
        <f>IF(Start!$C$18="x",IF(OR($N185="NA",$Q185="NA",$Q185=0,Q185="",N185=""),"NA",(1000*$N185/$Q185)),"---")</f>
        <v>74594.595698905367</v>
      </c>
      <c r="AJ185" s="376">
        <f>IF(Start!$C$18="x",IF(OR(Q185 = "NA",Q185=0,N185 = "NA",N185="",Q185=""), "NA", IF($AG185="NA","NA",(3.1416*Data!$D$57*86400/($AG185*(Data!$D$55+(N185*Data!$D$19/(Q185*1000)))))^0.5)),"---")</f>
        <v>12697.793422751887</v>
      </c>
      <c r="AK185" s="376" t="str">
        <f>IF(Start!$C$18="x",IF(OR(AH185 = "NA",AI185="NA",AI185=0,AI185="",AH185=""), "NA", AH185/AI185),"---")</f>
        <v>NA</v>
      </c>
      <c r="AL185" s="376" t="str">
        <f>IF(Start!$C$18="x",IF(OR(AK185 ="NA",AK185="",AJ185= "NA",R185="NA",R185=0),"NA",(2*AK185)/(1000*(1/$R185+AJ185))),"---")</f>
        <v>NA</v>
      </c>
      <c r="AM185" s="376" t="str">
        <f>IF(Start!$C$18="x",IF(AL185 = "NA", "NA", AL185*(Data!$D$52*Data!$D$53*10000)),"---")</f>
        <v>NA</v>
      </c>
      <c r="AN185" s="376" t="str">
        <f>IF(Start!$C$18="x",IF(AM185 = "NA", "NA", AM185*(Data!$D$54)),"---")</f>
        <v>NA</v>
      </c>
      <c r="AO185" s="498" t="str">
        <f>IF(Start!$C$18="x",IF(AN185="NA","NA",AN185*Data!$D$41),"---")</f>
        <v>NA</v>
      </c>
      <c r="AP185" s="376">
        <f>IF(Start!$C$18="x",IF(OR(Q185=0,N185="NA",N185="",AG185="NA",AG185="",AG185=0,Q185="",Q185="NA"),"NA", (3.1416*Data!$D$56*86400/($AG185*(Data!$D$55+(N185*Data!$D$19/(Q185*1000)))))^0.5),"---")</f>
        <v>12697.793422751887</v>
      </c>
      <c r="AQ185" s="376" t="str">
        <f>IF(Start!$C$18="x",IF(OR(AH185="NA",AI185="NA",AI185="",AI185=0,AH185=""),"NA", AH185/AI185),"---")</f>
        <v>NA</v>
      </c>
      <c r="AR185" s="376" t="str">
        <f>IF(Start!$C$18="x",IF(OR(AQ185="NA",AP185="NA",$R185="NA",R185=0,R185=""),"NA",(2*AQ185)/(1000*(1/$R185+AP185))),"---")</f>
        <v>NA</v>
      </c>
      <c r="AS185" s="376" t="str">
        <f>IF(Start!$C$18="x",IF(AR185 = "NA", "NA", AR185*(Data!$D$52*Data!$D$53*10000)),"---")</f>
        <v>NA</v>
      </c>
      <c r="AT185" s="376" t="str">
        <f>IF(Start!$C$18="x",IF(AS185 = "NA", "NA", (AS185*1000)/(Data!$D$48*3*Data!$D$53)),"---")</f>
        <v>NA</v>
      </c>
      <c r="AU185" s="498" t="str">
        <f>IF(Start!$C$18="x",IF(AT185="NA","NA",AT185*Data!$D$47),"---")</f>
        <v>NA</v>
      </c>
      <c r="AV185" s="283" t="str">
        <f>IF(Start!$C$18="x",(IF(AND(F185="",G185= "",G185&lt;&gt;"NA"),"",IF(OR(AD185="NA",I185="NA",I185=0),"NA",(AD185/I185)))),"Not Req.")</f>
        <v/>
      </c>
      <c r="AW185" s="284" t="str">
        <f>IF(Start!$C$18="x",(IF(AND(F185="",G185= "",G185&lt;&gt;"NA"),"",IF(OR(AF185="NA",I185="NA",I185=0),"NA",(AF185/I185)))),"Not Req.")</f>
        <v/>
      </c>
      <c r="AX185" s="284" t="str">
        <f>IF(Start!$C$18="x",(IF(F185 ="","",IF(OR(AO185="NA",I185="NA",I185=0),"NA",(AO185/I185)))),"Not Req.")</f>
        <v/>
      </c>
      <c r="AY185" s="344" t="str">
        <f>IF(Start!$C$18="x",(IF(F185 ="","",IF(OR(AU185="NA",I185="NA",I185=0),"NA",(AU185/I185)))),"Not Req.")</f>
        <v/>
      </c>
      <c r="AZ185" s="208"/>
    </row>
    <row r="186" spans="1:52" s="183" customFormat="1" x14ac:dyDescent="0.25">
      <c r="A186" s="405" t="s">
        <v>504</v>
      </c>
      <c r="B186" s="347" t="str">
        <f>IF(Start!$C$18="x",IF(AND(OR(F186="",F186="NA"),OR(G186="",G186="NA")),"",IF(I186="NA","NA",IF(AND(I186="",K186="--"),"NA",IF(AD186="NA","Missing Data",IF(I186="","No Criteria",IF(AD186&gt;=I186,"Needed","No")))))),"---")</f>
        <v/>
      </c>
      <c r="C186" s="501" t="str">
        <f>IF(Start!$C$18="x",IF(AND(OR(F186="",F186="NA"),OR(G186="",G186="NA")),"",IF(I186="NA","NA",IF(AND(I186="",K186="--"),"NA",IF(AF186="NA","Missing Data",IF(I186="","No Criteria",IF(AF186&gt;=I186,"Needed","No")))))),"---")</f>
        <v/>
      </c>
      <c r="D186" s="347" t="str">
        <f>IF(Start!$C$18="x",IF(AND(OR(F186="",F186="NA"),OR(G186="",G186="NA")),"",IF(I186="NA","NA",IF(AND(I186="",K186="--"),"NA",IF(AO186="NA","Missing Data",IF(I186="","No Criteria",IF(AO186&gt;=I186,"Needed","No")))))),"---")</f>
        <v/>
      </c>
      <c r="E186" s="401" t="str">
        <f>IF(Start!$C$18="x",IF(AND(OR(F186="",F186="NA"),OR(G186="",G186="NA")),"",IF(I186="NA","NA",IF(AND(I186="",K186="--"),"NA",IF(AU186="NA","Missing Data",IF(I186="","No Criteria",IF(AU186&gt;=I186,"Needed","No")))))),"---")</f>
        <v/>
      </c>
      <c r="F186" s="431" t="str">
        <f>IF(TRUE=ISBLANK(ChemData!B186),"",(ChemData!B186))</f>
        <v/>
      </c>
      <c r="G186" s="432" t="str">
        <f>IF(TRUE=ISBLANK(ChemData!C186),"",(ChemData!C186))</f>
        <v/>
      </c>
      <c r="H186" s="433" t="str">
        <f>IF(TRUE=ISBLANK(ChemData!D186),"",(ChemData!D186))</f>
        <v/>
      </c>
      <c r="I186" s="919" t="str">
        <f>IF(TRUE=ISBLANK(ChemData!K186),"",(ChemData!K186))</f>
        <v>NA</v>
      </c>
      <c r="J186" s="290">
        <f>IF(TRUE=ISBLANK(ChemData!M186),"",(ChemData!M186))</f>
        <v>187.38</v>
      </c>
      <c r="K186" s="290">
        <f>IF(TRUE=ISBLANK(ChemData!N186),"",(ChemData!N186))</f>
        <v>0.52100000000000002</v>
      </c>
      <c r="L186" s="290">
        <f>IF(TRUE=ISBLANK(ChemData!O186),"",(ChemData!O186))</f>
        <v>2.8799999999999999E-2</v>
      </c>
      <c r="M186" s="290">
        <f>IF(TRUE=ISBLANK(ChemData!Q186),"",(ChemData!Q186))</f>
        <v>26.755090156507144</v>
      </c>
      <c r="N186" s="290">
        <f>IF(TRUE=ISBLANK(ChemData!R186),"",(ChemData!R186))</f>
        <v>26.755090156507144</v>
      </c>
      <c r="O186" s="290">
        <f>IF(TRUE=ISBLANK(ChemData!S186),"",(ChemData!S186))</f>
        <v>1</v>
      </c>
      <c r="P186" s="291">
        <f>IF(TRUE=ISBLANK(ChemData!T186),"",(ChemData!T186))</f>
        <v>1</v>
      </c>
      <c r="Q186" s="375">
        <f>IF(Start!$C$18="x",IF(OR(K186="NA",K186="",K186="--"),"NA",(K186*1000000/82.1/Data!$D$50)),"---")</f>
        <v>20.470708420101371</v>
      </c>
      <c r="R186" s="376">
        <f>IF(Start!$C$18="x",IF(OR(J186="NA",J186=0,J186=""),"NA",(0.32*(Data!$D$48+Data!$D$49)*(18/J186)^0.5)),"---")</f>
        <v>0.25538879967798239</v>
      </c>
      <c r="S186" s="376">
        <f>IF(Start!$C$18="x",IF(OR(J186="NA",J186= 0,J186=""),"NA",(0.0065*((Data!$D$49^0.969)/(Data!$D$51^0.673))*(32/J186)^0.5*EXP(0.526*Data!$D$48^-1.9))),"---")</f>
        <v>5.3828962155874768E-4</v>
      </c>
      <c r="T186" s="377">
        <f>IF(Start!$C$18="x",IF(OR(S186="NA",R186="NA",R186=0,Q186="NA",S186=0,Q186=0),"NA",(1/(1/S186+(1/(R186*Q186))))),"---")</f>
        <v>5.3823420333780391E-4</v>
      </c>
      <c r="U186" s="375" t="str">
        <f>IF(Start!$C$18="x",IF(OR(F186="NA",F186="",O186="",O186="NA"),"NA",(F186*$O186)),"---")</f>
        <v>NA</v>
      </c>
      <c r="V186" s="376" t="str">
        <f>IF(Start!$C$18="x",IF(OR(U186="NA",M186="NA",M186="",U186=""),"NA",U186/((Data!$D$18+((1-Data!$D$18)*Data!$D$14*M186))/((1-Data!$D$18)*Data!$D$14*1000))),"---")</f>
        <v>NA</v>
      </c>
      <c r="W186" s="376" t="str">
        <f>IF(Start!$C$18="x",IF(OR(G186="NA",U186="NA",G186="",U186=""),"NA",(U186 +($G186*(Data!$D$19-Data!$D$22)/(Data!$D$19*Data!$D$22)))),"---")</f>
        <v>NA</v>
      </c>
      <c r="X186" s="376" t="str">
        <f>IF(Start!$C$18="x",IF(OR(G186="NA",V186="NA",G186="",V186=""),"NA",(((Data!$D$22*Data!$D$18)*V186)+(Data!$D$19-Data!$D$22)*$G186)/((Data!$D$22*Data!$D$18)+Data!$D$19-Data!$D$22)),"---")</f>
        <v>NA</v>
      </c>
      <c r="Y186" s="376" t="str">
        <f>IF(Start!$C$18="x",IF(OR(W186="NA",W186="",M186="NA",M186=""),"NA",(W186/((Data!$D$23+((1-Data!$D$23)*Data!$D$14*M186)) /((1-Data!$D$23)*Data!$D$14*1000)))),"---")</f>
        <v>NA</v>
      </c>
      <c r="Z186" s="376" t="str">
        <f>IF(Start!$C$18="x",IF(OR(Y186="NA",X186="NA"),"NA",IF(Y186&gt;X186, Y186, X186)),"---")</f>
        <v>NA</v>
      </c>
      <c r="AA186" s="461" t="str">
        <f>IF(Start!$C$18="x",IF(OR(Z186="NA",T186="NA"),"NA",Z186*T186/(1000000000)),"---")</f>
        <v>NA</v>
      </c>
      <c r="AB186" s="1057" t="str">
        <f>IF(Start!$C$18="x",IF(AA186 = "NA", "NA", AA186*(Data!$D$52*Data!$D$53*10000)),"---")</f>
        <v>NA</v>
      </c>
      <c r="AC186" s="375" t="str">
        <f>IF(Start!$C$18="x",IF(AB186="NA", "NA", AB186*Data!$D$54),"---")</f>
        <v>NA</v>
      </c>
      <c r="AD186" s="498" t="str">
        <f>IF(Start!$C$18="x",IF(AC186="NA","NA",AC186*Data!$D$41),"---")</f>
        <v>NA</v>
      </c>
      <c r="AE186" s="376" t="str">
        <f>IF(Start!$C$18="x",IF(AB186 = "NA", "NA", AB186/(Data!$D$53*3*Data!$D$48)*1000),"---")</f>
        <v>NA</v>
      </c>
      <c r="AF186" s="498" t="str">
        <f>IF(Start!$C$18="x",IF(AE186="NA","NA",AE186*Data!$D$46),"---")</f>
        <v>NA</v>
      </c>
      <c r="AG186" s="375">
        <f>IF(Start!$C$18="x",IF(OR($L186="NA",L186=""),"NA",($L186*(Data!$D$55^3.33)/(Data!$D$18^2))),"---")</f>
        <v>2.9339981758874119E-4</v>
      </c>
      <c r="AH186" s="376" t="str">
        <f>IF(Start!$C$18="x",IF(OR(F186="NA",F186="",P186="NA",P186=""),"NA",IF(100/Data!$D$10&gt;Data!$D$13,(F186*$P186),(F186*$P186)*Data!$D$13)),"---")</f>
        <v>NA</v>
      </c>
      <c r="AI186" s="489">
        <f>IF(Start!$C$18="x",IF(OR($N186="NA",$Q186="NA",$Q186=0,Q186="",N186=""),"NA",(1000*$N186/$Q186)),"---")</f>
        <v>1306.9938571463788</v>
      </c>
      <c r="AJ186" s="376">
        <f>IF(Start!$C$18="x",IF(OR(Q186 = "NA",Q186=0,N186 = "NA",N186="",Q186=""), "NA", IF($AG186="NA","NA",(3.1416*Data!$D$57*86400/($AG186*(Data!$D$55+(N186*Data!$D$19/(Q186*1000)))))^0.5)),"---")</f>
        <v>145549.14068248772</v>
      </c>
      <c r="AK186" s="376" t="str">
        <f>IF(Start!$C$18="x",IF(OR(AH186 = "NA",AI186="NA",AI186=0,AI186="",AH186=""), "NA", AH186/AI186),"---")</f>
        <v>NA</v>
      </c>
      <c r="AL186" s="376" t="str">
        <f>IF(Start!$C$18="x",IF(OR(AK186 ="NA",AK186="",AJ186= "NA",R186="NA",R186=0),"NA",(2*AK186)/(1000*(1/$R186+AJ186))),"---")</f>
        <v>NA</v>
      </c>
      <c r="AM186" s="376" t="str">
        <f>IF(Start!$C$18="x",IF(AL186 = "NA", "NA", AL186*(Data!$D$52*Data!$D$53*10000)),"---")</f>
        <v>NA</v>
      </c>
      <c r="AN186" s="376" t="str">
        <f>IF(Start!$C$18="x",IF(AM186 = "NA", "NA", AM186*(Data!$D$54)),"---")</f>
        <v>NA</v>
      </c>
      <c r="AO186" s="498" t="str">
        <f>IF(Start!$C$18="x",IF(AN186="NA","NA",AN186*Data!$D$41),"---")</f>
        <v>NA</v>
      </c>
      <c r="AP186" s="376">
        <f>IF(Start!$C$18="x",IF(OR(Q186=0,N186="NA",N186="",AG186="NA",AG186="",AG186=0,Q186="",Q186="NA"),"NA", (3.1416*Data!$D$56*86400/($AG186*(Data!$D$55+(N186*Data!$D$19/(Q186*1000)))))^0.5),"---")</f>
        <v>145549.14068248772</v>
      </c>
      <c r="AQ186" s="376" t="str">
        <f>IF(Start!$C$18="x",IF(OR(AH186="NA",AI186="NA",AI186="",AI186=0,AH186=""),"NA", AH186/AI186),"---")</f>
        <v>NA</v>
      </c>
      <c r="AR186" s="376" t="str">
        <f>IF(Start!$C$18="x",IF(OR(AQ186="NA",AP186="NA",$R186="NA",R186=0,R186=""),"NA",(2*AQ186)/(1000*(1/$R186+AP186))),"---")</f>
        <v>NA</v>
      </c>
      <c r="AS186" s="376" t="str">
        <f>IF(Start!$C$18="x",IF(AR186 = "NA", "NA", AR186*(Data!$D$52*Data!$D$53*10000)),"---")</f>
        <v>NA</v>
      </c>
      <c r="AT186" s="376" t="str">
        <f>IF(Start!$C$18="x",IF(AS186 = "NA", "NA", (AS186*1000)/(Data!$D$48*3*Data!$D$53)),"---")</f>
        <v>NA</v>
      </c>
      <c r="AU186" s="498" t="str">
        <f>IF(Start!$C$18="x",IF(AT186="NA","NA",AT186*Data!$D$47),"---")</f>
        <v>NA</v>
      </c>
      <c r="AV186" s="283" t="str">
        <f>IF(Start!$C$18="x",(IF(AND(F186="",G186= "",G186&lt;&gt;"NA"),"",IF(OR(AD186="NA",I186="NA",I186=0),"NA",(AD186/I186)))),"Not Req.")</f>
        <v/>
      </c>
      <c r="AW186" s="284" t="str">
        <f>IF(Start!$C$18="x",(IF(AND(F186="",G186= "",G186&lt;&gt;"NA"),"",IF(OR(AF186="NA",I186="NA",I186=0),"NA",(AF186/I186)))),"Not Req.")</f>
        <v/>
      </c>
      <c r="AX186" s="284" t="str">
        <f>IF(Start!$C$18="x",(IF(F186 ="","",IF(OR(AO186="NA",I186="NA",I186=0),"NA",(AO186/I186)))),"Not Req.")</f>
        <v/>
      </c>
      <c r="AY186" s="344" t="str">
        <f>IF(Start!$C$18="x",(IF(F186 ="","",IF(OR(AU186="NA",I186="NA",I186=0),"NA",(AU186/I186)))),"Not Req.")</f>
        <v/>
      </c>
      <c r="AZ186" s="208"/>
    </row>
    <row r="187" spans="1:52" s="183" customFormat="1" x14ac:dyDescent="0.25">
      <c r="A187" s="405" t="s">
        <v>681</v>
      </c>
      <c r="B187" s="347" t="str">
        <f>IF(Start!$C$18="x",IF(AND(OR(F187="",F187="NA"),OR(G187="",G187="NA")),"",IF(I187="NA","NA",IF(AND(I187="",K187="--"),"NA",IF(AD187="NA","Missing Data",IF(I187="","No Criteria",IF(AD187&gt;=I187,"Needed","No")))))),"---")</f>
        <v/>
      </c>
      <c r="C187" s="501" t="str">
        <f>IF(Start!$C$18="x",IF(AND(OR(F187="",F187="NA"),OR(G187="",G187="NA")),"",IF(I187="NA","NA",IF(AND(I187="",K187="--"),"NA",IF(AF187="NA","Missing Data",IF(I187="","No Criteria",IF(AF187&gt;=I187,"Needed","No")))))),"---")</f>
        <v/>
      </c>
      <c r="D187" s="347" t="str">
        <f>IF(Start!$C$18="x",IF(AND(OR(F187="",F187="NA"),OR(G187="",G187="NA")),"",IF(I187="NA","NA",IF(AND(I187="",K187="--"),"NA",IF(AO187="NA","Missing Data",IF(I187="","No Criteria",IF(AO187&gt;=I187,"Needed","No")))))),"---")</f>
        <v/>
      </c>
      <c r="E187" s="401" t="str">
        <f>IF(Start!$C$18="x",IF(AND(OR(F187="",F187="NA"),OR(G187="",G187="NA")),"",IF(I187="NA","NA",IF(AND(I187="",K187="--"),"NA",IF(AU187="NA","Missing Data",IF(I187="","No Criteria",IF(AU187&gt;=I187,"Needed","No")))))),"---")</f>
        <v/>
      </c>
      <c r="F187" s="431" t="str">
        <f>IF(TRUE=ISBLANK(ChemData!B187),"",(ChemData!B187))</f>
        <v/>
      </c>
      <c r="G187" s="432" t="str">
        <f>IF(TRUE=ISBLANK(ChemData!C187),"",(ChemData!C187))</f>
        <v/>
      </c>
      <c r="H187" s="433" t="str">
        <f>IF(TRUE=ISBLANK(ChemData!D187),"",(ChemData!D187))</f>
        <v/>
      </c>
      <c r="I187" s="919">
        <f>IF(TRUE=ISBLANK(ChemData!K187),"",(ChemData!K187))</f>
        <v>1.14E-2</v>
      </c>
      <c r="J187" s="290">
        <f>IF(TRUE=ISBLANK(ChemData!M187),"",(ChemData!M187))</f>
        <v>131.38999999999999</v>
      </c>
      <c r="K187" s="290">
        <f>IF(TRUE=ISBLANK(ChemData!N187),"",(ChemData!N187))</f>
        <v>1.0200000000000001E-2</v>
      </c>
      <c r="L187" s="290">
        <f>IF(TRUE=ISBLANK(ChemData!O187),"",(ChemData!O187))</f>
        <v>7.9000000000000001E-2</v>
      </c>
      <c r="M187" s="290">
        <f>IF(TRUE=ISBLANK(ChemData!Q187),"",(ChemData!Q187))</f>
        <v>6.2720053301366372</v>
      </c>
      <c r="N187" s="290">
        <f>IF(TRUE=ISBLANK(ChemData!R187),"",(ChemData!R187))</f>
        <v>6.2720053301366372</v>
      </c>
      <c r="O187" s="290">
        <f>IF(TRUE=ISBLANK(ChemData!S187),"",(ChemData!S187))</f>
        <v>1</v>
      </c>
      <c r="P187" s="291">
        <f>IF(TRUE=ISBLANK(ChemData!T187),"",(ChemData!T187))</f>
        <v>1</v>
      </c>
      <c r="Q187" s="375">
        <f>IF(Start!$C$18="x",IF(OR(K187="NA",K187="",K187="--"),"NA",(K187*1000000/82.1/Data!$D$50)),"---")</f>
        <v>0.4007701072649405</v>
      </c>
      <c r="R187" s="376">
        <f>IF(Start!$C$18="x",IF(OR(J187="NA",J187=0,J187=""),"NA",(0.32*(Data!$D$48+Data!$D$49)*(18/J187)^0.5)),"---")</f>
        <v>0.30498768813760124</v>
      </c>
      <c r="S187" s="376">
        <f>IF(Start!$C$18="x",IF(OR(J187="NA",J187= 0,J187=""),"NA",(0.0065*((Data!$D$49^0.969)/(Data!$D$51^0.673))*(32/J187)^0.5*EXP(0.526*Data!$D$48^-1.9))),"---")</f>
        <v>6.4283048996146045E-4</v>
      </c>
      <c r="T187" s="377">
        <f>IF(Start!$C$18="x",IF(OR(S187="NA",R187="NA",R187=0,Q187="NA",S187=0,Q187=0),"NA",(1/(1/S187+(1/(R187*Q187))))),"---")</f>
        <v>6.3946740952772565E-4</v>
      </c>
      <c r="U187" s="375" t="str">
        <f>IF(Start!$C$18="x",IF(OR(F187="NA",F187="",O187="",O187="NA"),"NA",(F187*$O187)),"---")</f>
        <v>NA</v>
      </c>
      <c r="V187" s="376" t="str">
        <f>IF(Start!$C$18="x",IF(OR(U187="NA",M187="NA",M187="",U187=""),"NA",U187/((Data!$D$18+((1-Data!$D$18)*Data!$D$14*M187))/((1-Data!$D$18)*Data!$D$14*1000))),"---")</f>
        <v>NA</v>
      </c>
      <c r="W187" s="376" t="str">
        <f>IF(Start!$C$18="x",IF(OR(G187="NA",U187="NA",G187="",U187=""),"NA",(U187 +($G187*(Data!$D$19-Data!$D$22)/(Data!$D$19*Data!$D$22)))),"---")</f>
        <v>NA</v>
      </c>
      <c r="X187" s="376" t="str">
        <f>IF(Start!$C$18="x",IF(OR(G187="NA",V187="NA",G187="",V187=""),"NA",(((Data!$D$22*Data!$D$18)*V187)+(Data!$D$19-Data!$D$22)*$G187)/((Data!$D$22*Data!$D$18)+Data!$D$19-Data!$D$22)),"---")</f>
        <v>NA</v>
      </c>
      <c r="Y187" s="376" t="str">
        <f>IF(Start!$C$18="x",IF(OR(W187="NA",W187="",M187="NA",M187=""),"NA",(W187/((Data!$D$23+((1-Data!$D$23)*Data!$D$14*M187)) /((1-Data!$D$23)*Data!$D$14*1000)))),"---")</f>
        <v>NA</v>
      </c>
      <c r="Z187" s="376" t="str">
        <f>IF(Start!$C$18="x",IF(OR(Y187="NA",X187="NA"),"NA",IF(Y187&gt;X187, Y187, X187)),"---")</f>
        <v>NA</v>
      </c>
      <c r="AA187" s="461" t="str">
        <f>IF(Start!$C$18="x",IF(OR(Z187="NA",T187="NA"),"NA",Z187*T187/(1000000000)),"---")</f>
        <v>NA</v>
      </c>
      <c r="AB187" s="1057" t="str">
        <f>IF(Start!$C$18="x",IF(AA187 = "NA", "NA", AA187*(Data!$D$52*Data!$D$53*10000)),"---")</f>
        <v>NA</v>
      </c>
      <c r="AC187" s="375" t="str">
        <f>IF(Start!$C$18="x",IF(AB187="NA", "NA", AB187*Data!$D$54),"---")</f>
        <v>NA</v>
      </c>
      <c r="AD187" s="498" t="str">
        <f>IF(Start!$C$18="x",IF(AC187="NA","NA",AC187*Data!$D$41),"---")</f>
        <v>NA</v>
      </c>
      <c r="AE187" s="376" t="str">
        <f>IF(Start!$C$18="x",IF(AB187 = "NA", "NA", AB187/(Data!$D$53*3*Data!$D$48)*1000),"---")</f>
        <v>NA</v>
      </c>
      <c r="AF187" s="498" t="str">
        <f>IF(Start!$C$18="x",IF(AE187="NA","NA",AE187*Data!$D$46),"---")</f>
        <v>NA</v>
      </c>
      <c r="AG187" s="375">
        <f>IF(Start!$C$18="x",IF(OR($L187="NA",L187=""),"NA",($L187*(Data!$D$55^3.33)/(Data!$D$18^2))),"---")</f>
        <v>8.0481199963578312E-4</v>
      </c>
      <c r="AH187" s="376" t="str">
        <f>IF(Start!$C$18="x",IF(OR(F187="NA",F187="",P187="NA",P187=""),"NA",IF(100/Data!$D$10&gt;Data!$D$13,(F187*$P187),(F187*$P187)*Data!$D$13)),"---")</f>
        <v>NA</v>
      </c>
      <c r="AI187" s="489">
        <f>IF(Start!$C$18="x",IF(OR($N187="NA",$Q187="NA",$Q187=0,Q187="",N187=""),"NA",(1000*$N187/$Q187)),"---")</f>
        <v>15649.883103657601</v>
      </c>
      <c r="AJ187" s="376">
        <f>IF(Start!$C$18="x",IF(OR(Q187 = "NA",Q187=0,N187 = "NA",N187="",Q187=""), "NA", IF($AG187="NA","NA",(3.1416*Data!$D$57*86400/($AG187*(Data!$D$55+(N187*Data!$D$19/(Q187*1000)))))^0.5)),"---")</f>
        <v>27384.298592173294</v>
      </c>
      <c r="AK187" s="376" t="str">
        <f>IF(Start!$C$18="x",IF(OR(AH187 = "NA",AI187="NA",AI187=0,AI187="",AH187=""), "NA", AH187/AI187),"---")</f>
        <v>NA</v>
      </c>
      <c r="AL187" s="376" t="str">
        <f>IF(Start!$C$18="x",IF(OR(AK187 ="NA",AK187="",AJ187= "NA",R187="NA",R187=0),"NA",(2*AK187)/(1000*(1/$R187+AJ187))),"---")</f>
        <v>NA</v>
      </c>
      <c r="AM187" s="376" t="str">
        <f>IF(Start!$C$18="x",IF(AL187 = "NA", "NA", AL187*(Data!$D$52*Data!$D$53*10000)),"---")</f>
        <v>NA</v>
      </c>
      <c r="AN187" s="376" t="str">
        <f>IF(Start!$C$18="x",IF(AM187 = "NA", "NA", AM187*(Data!$D$54)),"---")</f>
        <v>NA</v>
      </c>
      <c r="AO187" s="498" t="str">
        <f>IF(Start!$C$18="x",IF(AN187="NA","NA",AN187*Data!$D$41),"---")</f>
        <v>NA</v>
      </c>
      <c r="AP187" s="376">
        <f>IF(Start!$C$18="x",IF(OR(Q187=0,N187="NA",N187="",AG187="NA",AG187="",AG187=0,Q187="",Q187="NA"),"NA", (3.1416*Data!$D$56*86400/($AG187*(Data!$D$55+(N187*Data!$D$19/(Q187*1000)))))^0.5),"---")</f>
        <v>27384.298592173294</v>
      </c>
      <c r="AQ187" s="376" t="str">
        <f>IF(Start!$C$18="x",IF(OR(AH187="NA",AI187="NA",AI187="",AI187=0,AH187=""),"NA", AH187/AI187),"---")</f>
        <v>NA</v>
      </c>
      <c r="AR187" s="376" t="str">
        <f>IF(Start!$C$18="x",IF(OR(AQ187="NA",AP187="NA",$R187="NA",R187=0,R187=""),"NA",(2*AQ187)/(1000*(1/$R187+AP187))),"---")</f>
        <v>NA</v>
      </c>
      <c r="AS187" s="376" t="str">
        <f>IF(Start!$C$18="x",IF(AR187 = "NA", "NA", AR187*(Data!$D$52*Data!$D$53*10000)),"---")</f>
        <v>NA</v>
      </c>
      <c r="AT187" s="376" t="str">
        <f>IF(Start!$C$18="x",IF(AS187 = "NA", "NA", (AS187*1000)/(Data!$D$48*3*Data!$D$53)),"---")</f>
        <v>NA</v>
      </c>
      <c r="AU187" s="498" t="str">
        <f>IF(Start!$C$18="x",IF(AT187="NA","NA",AT187*Data!$D$47),"---")</f>
        <v>NA</v>
      </c>
      <c r="AV187" s="283" t="str">
        <f>IF(Start!$C$18="x",(IF(AND(F187="",G187= "",G187&lt;&gt;"NA"),"",IF(OR(AD187="NA",I187="NA",I187=0),"NA",(AD187/I187)))),"Not Req.")</f>
        <v/>
      </c>
      <c r="AW187" s="284" t="str">
        <f>IF(Start!$C$18="x",(IF(AND(F187="",G187= "",G187&lt;&gt;"NA"),"",IF(OR(AF187="NA",I187="NA",I187=0),"NA",(AF187/I187)))),"Not Req.")</f>
        <v/>
      </c>
      <c r="AX187" s="284" t="str">
        <f>IF(Start!$C$18="x",(IF(F187 ="","",IF(OR(AO187="NA",I187="NA",I187=0),"NA",(AO187/I187)))),"Not Req.")</f>
        <v/>
      </c>
      <c r="AY187" s="344" t="str">
        <f>IF(Start!$C$18="x",(IF(F187 ="","",IF(OR(AU187="NA",I187="NA",I187=0),"NA",(AU187/I187)))),"Not Req.")</f>
        <v/>
      </c>
      <c r="AZ187" s="208"/>
    </row>
    <row r="188" spans="1:52" s="183" customFormat="1" x14ac:dyDescent="0.25">
      <c r="A188" s="405" t="s">
        <v>682</v>
      </c>
      <c r="B188" s="347" t="str">
        <f>IF(Start!$C$18="x",IF(AND(OR(F188="",F188="NA"),OR(G188="",G188="NA")),"",IF(I188="NA","NA",IF(AND(I188="",K188="--"),"NA",IF(AD188="NA","Missing Data",IF(I188="","No Criteria",IF(AD188&gt;=I188,"Needed","No")))))),"---")</f>
        <v/>
      </c>
      <c r="C188" s="501" t="str">
        <f>IF(Start!$C$18="x",IF(AND(OR(F188="",F188="NA"),OR(G188="",G188="NA")),"",IF(I188="NA","NA",IF(AND(I188="",K188="--"),"NA",IF(AF188="NA","Missing Data",IF(I188="","No Criteria",IF(AF188&gt;=I188,"Needed","No")))))),"---")</f>
        <v/>
      </c>
      <c r="D188" s="347" t="str">
        <f>IF(Start!$C$18="x",IF(AND(OR(F188="",F188="NA"),OR(G188="",G188="NA")),"",IF(I188="NA","NA",IF(AND(I188="",K188="--"),"NA",IF(AO188="NA","Missing Data",IF(I188="","No Criteria",IF(AO188&gt;=I188,"Needed","No")))))),"---")</f>
        <v/>
      </c>
      <c r="E188" s="401" t="str">
        <f>IF(Start!$C$18="x",IF(AND(OR(F188="",F188="NA"),OR(G188="",G188="NA")),"",IF(I188="NA","NA",IF(AND(I188="",K188="--"),"NA",IF(AU188="NA","Missing Data",IF(I188="","No Criteria",IF(AU188&gt;=I188,"Needed","No")))))),"---")</f>
        <v/>
      </c>
      <c r="F188" s="431" t="str">
        <f>IF(TRUE=ISBLANK(ChemData!B188),"",(ChemData!B188))</f>
        <v/>
      </c>
      <c r="G188" s="432" t="str">
        <f>IF(TRUE=ISBLANK(ChemData!C188),"",(ChemData!C188))</f>
        <v/>
      </c>
      <c r="H188" s="433" t="str">
        <f>IF(TRUE=ISBLANK(ChemData!D188),"",(ChemData!D188))</f>
        <v/>
      </c>
      <c r="I188" s="919" t="str">
        <f>IF(TRUE=ISBLANK(ChemData!K188),"",(ChemData!K188))</f>
        <v>NA</v>
      </c>
      <c r="J188" s="290">
        <f>IF(TRUE=ISBLANK(ChemData!M188),"",(ChemData!M188))</f>
        <v>137.4</v>
      </c>
      <c r="K188" s="290">
        <f>IF(TRUE=ISBLANK(ChemData!N188),"",(ChemData!N188))</f>
        <v>0.11</v>
      </c>
      <c r="L188" s="290">
        <f>IF(TRUE=ISBLANK(ChemData!O188),"",(ChemData!O188))</f>
        <v>8.6999999999999994E-2</v>
      </c>
      <c r="M188" s="290">
        <f>IF(TRUE=ISBLANK(ChemData!Q188),"",(ChemData!Q188))</f>
        <v>6.129237058642766</v>
      </c>
      <c r="N188" s="290">
        <f>IF(TRUE=ISBLANK(ChemData!R188),"",(ChemData!R188))</f>
        <v>6.129237058642766</v>
      </c>
      <c r="O188" s="290">
        <f>IF(TRUE=ISBLANK(ChemData!S188),"",(ChemData!S188))</f>
        <v>1</v>
      </c>
      <c r="P188" s="291">
        <f>IF(TRUE=ISBLANK(ChemData!T188),"",(ChemData!T188))</f>
        <v>1</v>
      </c>
      <c r="Q188" s="375">
        <f>IF(Start!$C$18="x",IF(OR(K188="NA",K188="",K188="--"),"NA",(K188*1000000/82.1/Data!$D$50)),"---")</f>
        <v>4.3220305685434761</v>
      </c>
      <c r="R188" s="376">
        <f>IF(Start!$C$18="x",IF(OR(J188="NA",J188=0,J188=""),"NA",(0.32*(Data!$D$48+Data!$D$49)*(18/J188)^0.5)),"---")</f>
        <v>0.29824288920391495</v>
      </c>
      <c r="S188" s="376">
        <f>IF(Start!$C$18="x",IF(OR(J188="NA",J188= 0,J188=""),"NA",(0.0065*((Data!$D$49^0.969)/(Data!$D$51^0.673))*(32/J188)^0.5*EXP(0.526*Data!$D$48^-1.9))),"---")</f>
        <v>6.2861430166314162E-4</v>
      </c>
      <c r="T188" s="377">
        <f>IF(Start!$C$18="x",IF(OR(S188="NA",R188="NA",R188=0,Q188="NA",S188=0,Q188=0),"NA",(1/(1/S188+(1/(R188*Q188))))),"---")</f>
        <v>6.2830789455080489E-4</v>
      </c>
      <c r="U188" s="375" t="str">
        <f>IF(Start!$C$18="x",IF(OR(F188="NA",F188="",O188="",O188="NA"),"NA",(F188*$O188)),"---")</f>
        <v>NA</v>
      </c>
      <c r="V188" s="376" t="str">
        <f>IF(Start!$C$18="x",IF(OR(U188="NA",M188="NA",M188="",U188=""),"NA",U188/((Data!$D$18+((1-Data!$D$18)*Data!$D$14*M188))/((1-Data!$D$18)*Data!$D$14*1000))),"---")</f>
        <v>NA</v>
      </c>
      <c r="W188" s="376" t="str">
        <f>IF(Start!$C$18="x",IF(OR(G188="NA",U188="NA",G188="",U188=""),"NA",(U188 +($G188*(Data!$D$19-Data!$D$22)/(Data!$D$19*Data!$D$22)))),"---")</f>
        <v>NA</v>
      </c>
      <c r="X188" s="376" t="str">
        <f>IF(Start!$C$18="x",IF(OR(G188="NA",V188="NA",G188="",V188=""),"NA",(((Data!$D$22*Data!$D$18)*V188)+(Data!$D$19-Data!$D$22)*$G188)/((Data!$D$22*Data!$D$18)+Data!$D$19-Data!$D$22)),"---")</f>
        <v>NA</v>
      </c>
      <c r="Y188" s="376" t="str">
        <f>IF(Start!$C$18="x",IF(OR(W188="NA",W188="",M188="NA",M188=""),"NA",(W188/((Data!$D$23+((1-Data!$D$23)*Data!$D$14*M188)) /((1-Data!$D$23)*Data!$D$14*1000)))),"---")</f>
        <v>NA</v>
      </c>
      <c r="Z188" s="376" t="str">
        <f>IF(Start!$C$18="x",IF(OR(Y188="NA",X188="NA"),"NA",IF(Y188&gt;X188, Y188, X188)),"---")</f>
        <v>NA</v>
      </c>
      <c r="AA188" s="461" t="str">
        <f>IF(Start!$C$18="x",IF(OR(Z188="NA",T188="NA"),"NA",Z188*T188/(1000000000)),"---")</f>
        <v>NA</v>
      </c>
      <c r="AB188" s="1057" t="str">
        <f>IF(Start!$C$18="x",IF(AA188 = "NA", "NA", AA188*(Data!$D$52*Data!$D$53*10000)),"---")</f>
        <v>NA</v>
      </c>
      <c r="AC188" s="375" t="str">
        <f>IF(Start!$C$18="x",IF(AB188="NA", "NA", AB188*Data!$D$54),"---")</f>
        <v>NA</v>
      </c>
      <c r="AD188" s="498" t="str">
        <f>IF(Start!$C$18="x",IF(AC188="NA","NA",AC188*Data!$D$41),"---")</f>
        <v>NA</v>
      </c>
      <c r="AE188" s="376" t="str">
        <f>IF(Start!$C$18="x",IF(AB188 = "NA", "NA", AB188/(Data!$D$53*3*Data!$D$48)*1000),"---")</f>
        <v>NA</v>
      </c>
      <c r="AF188" s="498" t="str">
        <f>IF(Start!$C$18="x",IF(AE188="NA","NA",AE188*Data!$D$46),"---")</f>
        <v>NA</v>
      </c>
      <c r="AG188" s="375">
        <f>IF(Start!$C$18="x",IF(OR($L188="NA",L188=""),"NA",($L188*(Data!$D$55^3.33)/(Data!$D$18^2))),"---")</f>
        <v>8.8631194896598888E-4</v>
      </c>
      <c r="AH188" s="376" t="str">
        <f>IF(Start!$C$18="x",IF(OR(F188="NA",F188="",P188="NA",P188=""),"NA",IF(100/Data!$D$10&gt;Data!$D$13,(F188*$P188),(F188*$P188)*Data!$D$13)),"---")</f>
        <v>NA</v>
      </c>
      <c r="AI188" s="489">
        <f>IF(Start!$C$18="x",IF(OR($N188="NA",$Q188="NA",$Q188=0,Q188="",N188=""),"NA",(1000*$N188/$Q188)),"---")</f>
        <v>1418.1382943592457</v>
      </c>
      <c r="AJ188" s="376">
        <f>IF(Start!$C$18="x",IF(OR(Q188 = "NA",Q188=0,N188 = "NA",N188="",Q188=""), "NA", IF($AG188="NA","NA",(3.1416*Data!$D$57*86400/($AG188*(Data!$D$55+(N188*Data!$D$19/(Q188*1000)))))^0.5)),"---")</f>
        <v>80879.313550171297</v>
      </c>
      <c r="AK188" s="376" t="str">
        <f>IF(Start!$C$18="x",IF(OR(AH188 = "NA",AI188="NA",AI188=0,AI188="",AH188=""), "NA", AH188/AI188),"---")</f>
        <v>NA</v>
      </c>
      <c r="AL188" s="376" t="str">
        <f>IF(Start!$C$18="x",IF(OR(AK188 ="NA",AK188="",AJ188= "NA",R188="NA",R188=0),"NA",(2*AK188)/(1000*(1/$R188+AJ188))),"---")</f>
        <v>NA</v>
      </c>
      <c r="AM188" s="376" t="str">
        <f>IF(Start!$C$18="x",IF(AL188 = "NA", "NA", AL188*(Data!$D$52*Data!$D$53*10000)),"---")</f>
        <v>NA</v>
      </c>
      <c r="AN188" s="376" t="str">
        <f>IF(Start!$C$18="x",IF(AM188 = "NA", "NA", AM188*(Data!$D$54)),"---")</f>
        <v>NA</v>
      </c>
      <c r="AO188" s="498" t="str">
        <f>IF(Start!$C$18="x",IF(AN188="NA","NA",AN188*Data!$D$41),"---")</f>
        <v>NA</v>
      </c>
      <c r="AP188" s="376">
        <f>IF(Start!$C$18="x",IF(OR(Q188=0,N188="NA",N188="",AG188="NA",AG188="",AG188=0,Q188="",Q188="NA"),"NA", (3.1416*Data!$D$56*86400/($AG188*(Data!$D$55+(N188*Data!$D$19/(Q188*1000)))))^0.5),"---")</f>
        <v>80879.313550171297</v>
      </c>
      <c r="AQ188" s="376" t="str">
        <f>IF(Start!$C$18="x",IF(OR(AH188="NA",AI188="NA",AI188="",AI188=0,AH188=""),"NA", AH188/AI188),"---")</f>
        <v>NA</v>
      </c>
      <c r="AR188" s="376" t="str">
        <f>IF(Start!$C$18="x",IF(OR(AQ188="NA",AP188="NA",$R188="NA",R188=0,R188=""),"NA",(2*AQ188)/(1000*(1/$R188+AP188))),"---")</f>
        <v>NA</v>
      </c>
      <c r="AS188" s="376" t="str">
        <f>IF(Start!$C$18="x",IF(AR188 = "NA", "NA", AR188*(Data!$D$52*Data!$D$53*10000)),"---")</f>
        <v>NA</v>
      </c>
      <c r="AT188" s="376" t="str">
        <f>IF(Start!$C$18="x",IF(AS188 = "NA", "NA", (AS188*1000)/(Data!$D$48*3*Data!$D$53)),"---")</f>
        <v>NA</v>
      </c>
      <c r="AU188" s="498" t="str">
        <f>IF(Start!$C$18="x",IF(AT188="NA","NA",AT188*Data!$D$47),"---")</f>
        <v>NA</v>
      </c>
      <c r="AV188" s="283" t="str">
        <f>IF(Start!$C$18="x",(IF(AND(F188="",G188= "",G188&lt;&gt;"NA"),"",IF(OR(AD188="NA",I188="NA",I188=0),"NA",(AD188/I188)))),"Not Req.")</f>
        <v/>
      </c>
      <c r="AW188" s="284" t="str">
        <f>IF(Start!$C$18="x",(IF(AND(F188="",G188= "",G188&lt;&gt;"NA"),"",IF(OR(AF188="NA",I188="NA",I188=0),"NA",(AF188/I188)))),"Not Req.")</f>
        <v/>
      </c>
      <c r="AX188" s="284" t="str">
        <f>IF(Start!$C$18="x",(IF(F188 ="","",IF(OR(AO188="NA",I188="NA",I188=0),"NA",(AO188/I188)))),"Not Req.")</f>
        <v/>
      </c>
      <c r="AY188" s="344" t="str">
        <f>IF(Start!$C$18="x",(IF(F188 ="","",IF(OR(AU188="NA",I188="NA",I188=0),"NA",(AU188/I188)))),"Not Req.")</f>
        <v/>
      </c>
      <c r="AZ188" s="208"/>
    </row>
    <row r="189" spans="1:52" s="183" customFormat="1" x14ac:dyDescent="0.25">
      <c r="A189" s="308" t="s">
        <v>507</v>
      </c>
      <c r="B189" s="347" t="str">
        <f>IF(Start!$C$18="x",IF(AND(OR(F189="",F189="NA"),OR(G189="",G189="NA")),"",IF(I189="NA","NA",IF(AND(I189="",K189="--"),"NA",IF(AD189="NA","Missing Data",IF(I189="","No Criteria",IF(AD189&gt;=I189,"Needed","No")))))),"---")</f>
        <v/>
      </c>
      <c r="C189" s="501" t="str">
        <f>IF(Start!$C$18="x",IF(AND(OR(F189="",F189="NA"),OR(G189="",G189="NA")),"",IF(I189="NA","NA",IF(AND(I189="",K189="--"),"NA",IF(AF189="NA","Missing Data",IF(I189="","No Criteria",IF(AF189&gt;=I189,"Needed","No")))))),"---")</f>
        <v/>
      </c>
      <c r="D189" s="347" t="str">
        <f>IF(Start!$C$18="x",IF(AND(OR(F189="",F189="NA"),OR(G189="",G189="NA")),"",IF(I189="NA","NA",IF(AND(I189="",K189="--"),"NA",IF(AO189="NA","Missing Data",IF(I189="","No Criteria",IF(AO189&gt;=I189,"Needed","No")))))),"---")</f>
        <v/>
      </c>
      <c r="E189" s="401" t="str">
        <f>IF(Start!$C$18="x",IF(AND(OR(F189="",F189="NA"),OR(G189="",G189="NA")),"",IF(I189="NA","NA",IF(AND(I189="",K189="--"),"NA",IF(AU189="NA","Missing Data",IF(I189="","No Criteria",IF(AU189&gt;=I189,"Needed","No")))))),"---")</f>
        <v/>
      </c>
      <c r="F189" s="431" t="str">
        <f>IF(TRUE=ISBLANK(ChemData!B189),"",(ChemData!B189))</f>
        <v/>
      </c>
      <c r="G189" s="432" t="str">
        <f>IF(TRUE=ISBLANK(ChemData!C189),"",(ChemData!C189))</f>
        <v/>
      </c>
      <c r="H189" s="433" t="str">
        <f>IF(TRUE=ISBLANK(ChemData!D189),"",(ChemData!D189))</f>
        <v/>
      </c>
      <c r="I189" s="919">
        <f>IF(TRUE=ISBLANK(ChemData!K189),"",(ChemData!K189))</f>
        <v>5.7000000000000002E-2</v>
      </c>
      <c r="J189" s="290">
        <f>IF(TRUE=ISBLANK(ChemData!M189),"",(ChemData!M189))</f>
        <v>86.09</v>
      </c>
      <c r="K189" s="290">
        <f>IF(TRUE=ISBLANK(ChemData!N189),"",(ChemData!N189))</f>
        <v>5.1099999999999995E-4</v>
      </c>
      <c r="L189" s="290">
        <f>IF(TRUE=ISBLANK(ChemData!O189),"",(ChemData!O189))</f>
        <v>8.5000000000000006E-2</v>
      </c>
      <c r="M189" s="290">
        <f>IF(TRUE=ISBLANK(ChemData!Q189),"",(ChemData!Q189))</f>
        <v>9.9404585508133803E-2</v>
      </c>
      <c r="N189" s="290">
        <f>IF(TRUE=ISBLANK(ChemData!R189),"",(ChemData!R189))</f>
        <v>9.9404585508133803E-2</v>
      </c>
      <c r="O189" s="290">
        <f>IF(TRUE=ISBLANK(ChemData!S189),"",(ChemData!S189))</f>
        <v>1</v>
      </c>
      <c r="P189" s="291">
        <f>IF(TRUE=ISBLANK(ChemData!T189),"",(ChemData!T189))</f>
        <v>1</v>
      </c>
      <c r="Q189" s="375">
        <f>IF(Start!$C$18="x",IF(OR(K189="NA",K189="",K189="--"),"NA",(K189*1000000/82.1/Data!$D$50)),"---")</f>
        <v>2.0077796550233781E-2</v>
      </c>
      <c r="R189" s="376">
        <f>IF(Start!$C$18="x",IF(OR(J189="NA",J189=0,J189=""),"NA",(0.32*(Data!$D$48+Data!$D$49)*(18/J189)^0.5)),"---")</f>
        <v>0.37677936542215523</v>
      </c>
      <c r="S189" s="376">
        <f>IF(Start!$C$18="x",IF(OR(J189="NA",J189= 0,J189=""),"NA",(0.0065*((Data!$D$49^0.969)/(Data!$D$51^0.673))*(32/J189)^0.5*EXP(0.526*Data!$D$48^-1.9))),"---")</f>
        <v>7.9414767711021993E-4</v>
      </c>
      <c r="T189" s="377">
        <f>IF(Start!$C$18="x",IF(OR(S189="NA",R189="NA",R189=0,Q189="NA",S189=0,Q189=0),"NA",(1/(1/S189+(1/(R189*Q189))))),"---")</f>
        <v>7.187000185461534E-4</v>
      </c>
      <c r="U189" s="375" t="str">
        <f>IF(Start!$C$18="x",IF(OR(F189="NA",F189="",O189="",O189="NA"),"NA",(F189*$O189)),"---")</f>
        <v>NA</v>
      </c>
      <c r="V189" s="376" t="str">
        <f>IF(Start!$C$18="x",IF(OR(U189="NA",M189="NA",M189="",U189=""),"NA",U189/((Data!$D$18+((1-Data!$D$18)*Data!$D$14*M189))/((1-Data!$D$18)*Data!$D$14*1000))),"---")</f>
        <v>NA</v>
      </c>
      <c r="W189" s="376" t="str">
        <f>IF(Start!$C$18="x",IF(OR(G189="NA",U189="NA",G189="",U189=""),"NA",(U189 +($G189*(Data!$D$19-Data!$D$22)/(Data!$D$19*Data!$D$22)))),"---")</f>
        <v>NA</v>
      </c>
      <c r="X189" s="376" t="str">
        <f>IF(Start!$C$18="x",IF(OR(G189="NA",V189="NA",G189="",V189=""),"NA",(((Data!$D$22*Data!$D$18)*V189)+(Data!$D$19-Data!$D$22)*$G189)/((Data!$D$22*Data!$D$18)+Data!$D$19-Data!$D$22)),"---")</f>
        <v>NA</v>
      </c>
      <c r="Y189" s="376" t="str">
        <f>IF(Start!$C$18="x",IF(OR(W189="NA",W189="",M189="NA",M189=""),"NA",(W189/((Data!$D$23+((1-Data!$D$23)*Data!$D$14*M189)) /((1-Data!$D$23)*Data!$D$14*1000)))),"---")</f>
        <v>NA</v>
      </c>
      <c r="Z189" s="376" t="str">
        <f>IF(Start!$C$18="x",IF(OR(Y189="NA",X189="NA"),"NA",IF(Y189&gt;X189, Y189, X189)),"---")</f>
        <v>NA</v>
      </c>
      <c r="AA189" s="461" t="str">
        <f>IF(Start!$C$18="x",IF(OR(Z189="NA",T189="NA"),"NA",Z189*T189/(1000000000)),"---")</f>
        <v>NA</v>
      </c>
      <c r="AB189" s="1057" t="str">
        <f>IF(Start!$C$18="x",IF(AA189 = "NA", "NA", AA189*(Data!$D$52*Data!$D$53*10000)),"---")</f>
        <v>NA</v>
      </c>
      <c r="AC189" s="375" t="str">
        <f>IF(Start!$C$18="x",IF(AB189="NA", "NA", AB189*Data!$D$54),"---")</f>
        <v>NA</v>
      </c>
      <c r="AD189" s="498" t="str">
        <f>IF(Start!$C$18="x",IF(AC189="NA","NA",AC189*Data!$D$41),"---")</f>
        <v>NA</v>
      </c>
      <c r="AE189" s="376" t="str">
        <f>IF(Start!$C$18="x",IF(AB189 = "NA", "NA", AB189/(Data!$D$53*3*Data!$D$48)*1000),"---")</f>
        <v>NA</v>
      </c>
      <c r="AF189" s="498" t="str">
        <f>IF(Start!$C$18="x",IF(AE189="NA","NA",AE189*Data!$D$46),"---")</f>
        <v>NA</v>
      </c>
      <c r="AG189" s="375">
        <f>IF(Start!$C$18="x",IF(OR($L189="NA",L189=""),"NA",($L189*(Data!$D$55^3.33)/(Data!$D$18^2))),"---")</f>
        <v>8.6593696163343758E-4</v>
      </c>
      <c r="AH189" s="376" t="str">
        <f>IF(Start!$C$18="x",IF(OR(F189="NA",F189="",P189="NA",P189=""),"NA",IF(100/Data!$D$10&gt;Data!$D$13,(F189*$P189),(F189*$P189)*Data!$D$13)),"---")</f>
        <v>NA</v>
      </c>
      <c r="AI189" s="489">
        <f>IF(Start!$C$18="x",IF(OR($N189="NA",$Q189="NA",$Q189=0,Q189="",N189=""),"NA",(1000*$N189/$Q189)),"---")</f>
        <v>4950.9708527739995</v>
      </c>
      <c r="AJ189" s="376">
        <f>IF(Start!$C$18="x",IF(OR(Q189 = "NA",Q189=0,N189 = "NA",N189="",Q189=""), "NA", IF($AG189="NA","NA",(3.1416*Data!$D$57*86400/($AG189*(Data!$D$55+(N189*Data!$D$19/(Q189*1000)))))^0.5)),"---")</f>
        <v>46202.915170518318</v>
      </c>
      <c r="AK189" s="376" t="str">
        <f>IF(Start!$C$18="x",IF(OR(AH189 = "NA",AI189="NA",AI189=0,AI189="",AH189=""), "NA", AH189/AI189),"---")</f>
        <v>NA</v>
      </c>
      <c r="AL189" s="376" t="str">
        <f>IF(Start!$C$18="x",IF(OR(AK189 ="NA",AK189="",AJ189= "NA",R189="NA",R189=0),"NA",(2*AK189)/(1000*(1/$R189+AJ189))),"---")</f>
        <v>NA</v>
      </c>
      <c r="AM189" s="376" t="str">
        <f>IF(Start!$C$18="x",IF(AL189 = "NA", "NA", AL189*(Data!$D$52*Data!$D$53*10000)),"---")</f>
        <v>NA</v>
      </c>
      <c r="AN189" s="376" t="str">
        <f>IF(Start!$C$18="x",IF(AM189 = "NA", "NA", AM189*(Data!$D$54)),"---")</f>
        <v>NA</v>
      </c>
      <c r="AO189" s="498" t="str">
        <f>IF(Start!$C$18="x",IF(AN189="NA","NA",AN189*Data!$D$41),"---")</f>
        <v>NA</v>
      </c>
      <c r="AP189" s="376">
        <f>IF(Start!$C$18="x",IF(OR(Q189=0,N189="NA",N189="",AG189="NA",AG189="",AG189=0,Q189="",Q189="NA"),"NA", (3.1416*Data!$D$56*86400/($AG189*(Data!$D$55+(N189*Data!$D$19/(Q189*1000)))))^0.5),"---")</f>
        <v>46202.915170518318</v>
      </c>
      <c r="AQ189" s="376" t="str">
        <f>IF(Start!$C$18="x",IF(OR(AH189="NA",AI189="NA",AI189="",AI189=0,AH189=""),"NA", AH189/AI189),"---")</f>
        <v>NA</v>
      </c>
      <c r="AR189" s="376" t="str">
        <f>IF(Start!$C$18="x",IF(OR(AQ189="NA",AP189="NA",$R189="NA",R189=0,R189=""),"NA",(2*AQ189)/(1000*(1/$R189+AP189))),"---")</f>
        <v>NA</v>
      </c>
      <c r="AS189" s="376" t="str">
        <f>IF(Start!$C$18="x",IF(AR189 = "NA", "NA", AR189*(Data!$D$52*Data!$D$53*10000)),"---")</f>
        <v>NA</v>
      </c>
      <c r="AT189" s="376" t="str">
        <f>IF(Start!$C$18="x",IF(AS189 = "NA", "NA", (AS189*1000)/(Data!$D$48*3*Data!$D$53)),"---")</f>
        <v>NA</v>
      </c>
      <c r="AU189" s="498" t="str">
        <f>IF(Start!$C$18="x",IF(AT189="NA","NA",AT189*Data!$D$47),"---")</f>
        <v>NA</v>
      </c>
      <c r="AV189" s="283" t="str">
        <f>IF(Start!$C$18="x",(IF(AND(F189="",G189= "",G189&lt;&gt;"NA"),"",IF(OR(AD189="NA",I189="NA",I189=0),"NA",(AD189/I189)))),"Not Req.")</f>
        <v/>
      </c>
      <c r="AW189" s="284" t="str">
        <f>IF(Start!$C$18="x",(IF(AND(F189="",G189= "",G189&lt;&gt;"NA"),"",IF(OR(AF189="NA",I189="NA",I189=0),"NA",(AF189/I189)))),"Not Req.")</f>
        <v/>
      </c>
      <c r="AX189" s="284" t="str">
        <f>IF(Start!$C$18="x",(IF(F189 ="","",IF(OR(AO189="NA",I189="NA",I189=0),"NA",(AO189/I189)))),"Not Req.")</f>
        <v/>
      </c>
      <c r="AY189" s="344" t="str">
        <f>IF(Start!$C$18="x",(IF(F189 ="","",IF(OR(AU189="NA",I189="NA",I189=0),"NA",(AU189/I189)))),"Not Req.")</f>
        <v/>
      </c>
      <c r="AZ189" s="208"/>
    </row>
    <row r="190" spans="1:52" s="183" customFormat="1" x14ac:dyDescent="0.25">
      <c r="A190" s="405" t="s">
        <v>508</v>
      </c>
      <c r="B190" s="347" t="str">
        <f>IF(Start!$C$18="x",IF(AND(OR(F190="",F190="NA"),OR(G190="",G190="NA")),"",IF(I190="NA","NA",IF(AND(I190="",K190="--"),"NA",IF(AD190="NA","Missing Data",IF(I190="","No Criteria",IF(AD190&gt;=I190,"Needed","No")))))),"---")</f>
        <v/>
      </c>
      <c r="C190" s="501" t="str">
        <f>IF(Start!$C$18="x",IF(AND(OR(F190="",F190="NA"),OR(G190="",G190="NA")),"",IF(I190="NA","NA",IF(AND(I190="",K190="--"),"NA",IF(AF190="NA","Missing Data",IF(I190="","No Criteria",IF(AF190&gt;=I190,"Needed","No")))))),"---")</f>
        <v/>
      </c>
      <c r="D190" s="347" t="str">
        <f>IF(Start!$C$18="x",IF(AND(OR(F190="",F190="NA"),OR(G190="",G190="NA")),"",IF(I190="NA","NA",IF(AND(I190="",K190="--"),"NA",IF(AO190="NA","Missing Data",IF(I190="","No Criteria",IF(AO190&gt;=I190,"Needed","No")))))),"---")</f>
        <v/>
      </c>
      <c r="E190" s="401" t="str">
        <f>IF(Start!$C$18="x",IF(AND(OR(F190="",F190="NA"),OR(G190="",G190="NA")),"",IF(I190="NA","NA",IF(AND(I190="",K190="--"),"NA",IF(AU190="NA","Missing Data",IF(I190="","No Criteria",IF(AU190&gt;=I190,"Needed","No")))))),"---")</f>
        <v/>
      </c>
      <c r="F190" s="431" t="str">
        <f>IF(TRUE=ISBLANK(ChemData!B190),"",(ChemData!B190))</f>
        <v/>
      </c>
      <c r="G190" s="432" t="str">
        <f>IF(TRUE=ISBLANK(ChemData!C190),"",(ChemData!C190))</f>
        <v/>
      </c>
      <c r="H190" s="433" t="str">
        <f>IF(TRUE=ISBLANK(ChemData!D190),"",(ChemData!D190))</f>
        <v/>
      </c>
      <c r="I190" s="919" t="str">
        <f>IF(TRUE=ISBLANK(ChemData!K190),"",(ChemData!K190))</f>
        <v>NA</v>
      </c>
      <c r="J190" s="290">
        <f>IF(TRUE=ISBLANK(ChemData!M190),"",(ChemData!M190))</f>
        <v>62.5</v>
      </c>
      <c r="K190" s="290">
        <f>IF(TRUE=ISBLANK(ChemData!N190),"",(ChemData!N190))</f>
        <v>2.7E-2</v>
      </c>
      <c r="L190" s="290">
        <f>IF(TRUE=ISBLANK(ChemData!O190),"",(ChemData!O190))</f>
        <v>0.106</v>
      </c>
      <c r="M190" s="290">
        <f>IF(TRUE=ISBLANK(ChemData!Q190),"",(ChemData!Q190))</f>
        <v>0.31434490007066895</v>
      </c>
      <c r="N190" s="290">
        <f>IF(TRUE=ISBLANK(ChemData!R190),"",(ChemData!R190))</f>
        <v>0.31434490007066895</v>
      </c>
      <c r="O190" s="290">
        <f>IF(TRUE=ISBLANK(ChemData!S190),"",(ChemData!S190))</f>
        <v>1</v>
      </c>
      <c r="P190" s="291">
        <f>IF(TRUE=ISBLANK(ChemData!T190),"",(ChemData!T190))</f>
        <v>1</v>
      </c>
      <c r="Q190" s="375">
        <f>IF(Start!$C$18="x",IF(OR(K190="NA",K190="",K190="--"),"NA",(K190*1000000/82.1/Data!$D$50)),"---")</f>
        <v>1.0608620486424896</v>
      </c>
      <c r="R190" s="376">
        <f>IF(Start!$C$18="x",IF(OR(J190="NA",J190=0,J190=""),"NA",(0.32*(Data!$D$48+Data!$D$49)*(18/J190)^0.5)),"---")</f>
        <v>0.44220480323035849</v>
      </c>
      <c r="S190" s="376">
        <f>IF(Start!$C$18="x",IF(OR(J190="NA",J190= 0,J190=""),"NA",(0.0065*((Data!$D$49^0.969)/(Data!$D$51^0.673))*(32/J190)^0.5*EXP(0.526*Data!$D$48^-1.9))),"---")</f>
        <v>9.3204657558383728E-4</v>
      </c>
      <c r="T190" s="377">
        <f>IF(Start!$C$18="x",IF(OR(S190="NA",R190="NA",R190=0,Q190="NA",S190=0,Q190=0),"NA",(1/(1/S190+(1/(R190*Q190))))),"---")</f>
        <v>9.301984526381864E-4</v>
      </c>
      <c r="U190" s="375" t="str">
        <f>IF(Start!$C$18="x",IF(OR(F190="NA",F190="",O190="",O190="NA"),"NA",(F190*$O190)),"---")</f>
        <v>NA</v>
      </c>
      <c r="V190" s="376" t="str">
        <f>IF(Start!$C$18="x",IF(OR(U190="NA",M190="NA",M190="",U190=""),"NA",U190/((Data!$D$18+((1-Data!$D$18)*Data!$D$14*M190))/((1-Data!$D$18)*Data!$D$14*1000))),"---")</f>
        <v>NA</v>
      </c>
      <c r="W190" s="376" t="str">
        <f>IF(Start!$C$18="x",IF(OR(G190="NA",U190="NA",G190="",U190=""),"NA",(U190 +($G190*(Data!$D$19-Data!$D$22)/(Data!$D$19*Data!$D$22)))),"---")</f>
        <v>NA</v>
      </c>
      <c r="X190" s="376" t="str">
        <f>IF(Start!$C$18="x",IF(OR(G190="NA",V190="NA",G190="",V190=""),"NA",(((Data!$D$22*Data!$D$18)*V190)+(Data!$D$19-Data!$D$22)*$G190)/((Data!$D$22*Data!$D$18)+Data!$D$19-Data!$D$22)),"---")</f>
        <v>NA</v>
      </c>
      <c r="Y190" s="376" t="str">
        <f>IF(Start!$C$18="x",IF(OR(W190="NA",W190="",M190="NA",M190=""),"NA",(W190/((Data!$D$23+((1-Data!$D$23)*Data!$D$14*M190)) /((1-Data!$D$23)*Data!$D$14*1000)))),"---")</f>
        <v>NA</v>
      </c>
      <c r="Z190" s="376" t="str">
        <f>IF(Start!$C$18="x",IF(OR(Y190="NA",X190="NA"),"NA",IF(Y190&gt;X190, Y190, X190)),"---")</f>
        <v>NA</v>
      </c>
      <c r="AA190" s="461" t="str">
        <f>IF(Start!$C$18="x",IF(OR(Z190="NA",T190="NA"),"NA",Z190*T190/(1000000000)),"---")</f>
        <v>NA</v>
      </c>
      <c r="AB190" s="1057" t="str">
        <f>IF(Start!$C$18="x",IF(AA190 = "NA", "NA", AA190*(Data!$D$52*Data!$D$53*10000)),"---")</f>
        <v>NA</v>
      </c>
      <c r="AC190" s="375" t="str">
        <f>IF(Start!$C$18="x",IF(AB190="NA", "NA", AB190*Data!$D$54),"---")</f>
        <v>NA</v>
      </c>
      <c r="AD190" s="498" t="str">
        <f>IF(Start!$C$18="x",IF(AC190="NA","NA",AC190*Data!$D$41),"---")</f>
        <v>NA</v>
      </c>
      <c r="AE190" s="376" t="str">
        <f>IF(Start!$C$18="x",IF(AB190 = "NA", "NA", AB190/(Data!$D$53*3*Data!$D$48)*1000),"---")</f>
        <v>NA</v>
      </c>
      <c r="AF190" s="498" t="str">
        <f>IF(Start!$C$18="x",IF(AE190="NA","NA",AE190*Data!$D$46),"---")</f>
        <v>NA</v>
      </c>
      <c r="AG190" s="375">
        <f>IF(Start!$C$18="x",IF(OR($L190="NA",L190=""),"NA",($L190*(Data!$D$55^3.33)/(Data!$D$18^2))),"---")</f>
        <v>1.0798743286252279E-3</v>
      </c>
      <c r="AH190" s="376" t="str">
        <f>IF(Start!$C$18="x",IF(OR(F190="NA",F190="",P190="NA",P190=""),"NA",IF(100/Data!$D$10&gt;Data!$D$13,(F190*$P190),(F190*$P190)*Data!$D$13)),"---")</f>
        <v>NA</v>
      </c>
      <c r="AI190" s="489">
        <f>IF(Start!$C$18="x",IF(OR($N190="NA",$Q190="NA",$Q190=0,Q190="",N190=""),"NA",(1000*$N190/$Q190)),"---")</f>
        <v>296.3108167295776</v>
      </c>
      <c r="AJ190" s="376">
        <f>IF(Start!$C$18="x",IF(OR(Q190 = "NA",Q190=0,N190 = "NA",N190="",Q190=""), "NA", IF($AG190="NA","NA",(3.1416*Data!$D$57*86400/($AG190*(Data!$D$55+(N190*Data!$D$19/(Q190*1000)))))^0.5)),"---")</f>
        <v>129209.26841754478</v>
      </c>
      <c r="AK190" s="376" t="str">
        <f>IF(Start!$C$18="x",IF(OR(AH190 = "NA",AI190="NA",AI190=0,AI190="",AH190=""), "NA", AH190/AI190),"---")</f>
        <v>NA</v>
      </c>
      <c r="AL190" s="376" t="str">
        <f>IF(Start!$C$18="x",IF(OR(AK190 ="NA",AK190="",AJ190= "NA",R190="NA",R190=0),"NA",(2*AK190)/(1000*(1/$R190+AJ190))),"---")</f>
        <v>NA</v>
      </c>
      <c r="AM190" s="376" t="str">
        <f>IF(Start!$C$18="x",IF(AL190 = "NA", "NA", AL190*(Data!$D$52*Data!$D$53*10000)),"---")</f>
        <v>NA</v>
      </c>
      <c r="AN190" s="376" t="str">
        <f>IF(Start!$C$18="x",IF(AM190 = "NA", "NA", AM190*(Data!$D$54)),"---")</f>
        <v>NA</v>
      </c>
      <c r="AO190" s="498" t="str">
        <f>IF(Start!$C$18="x",IF(AN190="NA","NA",AN190*Data!$D$41),"---")</f>
        <v>NA</v>
      </c>
      <c r="AP190" s="376">
        <f>IF(Start!$C$18="x",IF(OR(Q190=0,N190="NA",N190="",AG190="NA",AG190="",AG190=0,Q190="",Q190="NA"),"NA", (3.1416*Data!$D$56*86400/($AG190*(Data!$D$55+(N190*Data!$D$19/(Q190*1000)))))^0.5),"---")</f>
        <v>129209.26841754478</v>
      </c>
      <c r="AQ190" s="376" t="str">
        <f>IF(Start!$C$18="x",IF(OR(AH190="NA",AI190="NA",AI190="",AI190=0,AH190=""),"NA", AH190/AI190),"---")</f>
        <v>NA</v>
      </c>
      <c r="AR190" s="376" t="str">
        <f>IF(Start!$C$18="x",IF(OR(AQ190="NA",AP190="NA",$R190="NA",R190=0,R190=""),"NA",(2*AQ190)/(1000*(1/$R190+AP190))),"---")</f>
        <v>NA</v>
      </c>
      <c r="AS190" s="376" t="str">
        <f>IF(Start!$C$18="x",IF(AR190 = "NA", "NA", AR190*(Data!$D$52*Data!$D$53*10000)),"---")</f>
        <v>NA</v>
      </c>
      <c r="AT190" s="376" t="str">
        <f>IF(Start!$C$18="x",IF(AS190 = "NA", "NA", (AS190*1000)/(Data!$D$48*3*Data!$D$53)),"---")</f>
        <v>NA</v>
      </c>
      <c r="AU190" s="498" t="str">
        <f>IF(Start!$C$18="x",IF(AT190="NA","NA",AT190*Data!$D$47),"---")</f>
        <v>NA</v>
      </c>
      <c r="AV190" s="283" t="str">
        <f>IF(Start!$C$18="x",(IF(AND(F190="",G190= "",G190&lt;&gt;"NA"),"",IF(OR(AD190="NA",I190="NA",I190=0),"NA",(AD190/I190)))),"Not Req.")</f>
        <v/>
      </c>
      <c r="AW190" s="284" t="str">
        <f>IF(Start!$C$18="x",(IF(AND(F190="",G190= "",G190&lt;&gt;"NA"),"",IF(OR(AF190="NA",I190="NA",I190=0),"NA",(AF190/I190)))),"Not Req.")</f>
        <v/>
      </c>
      <c r="AX190" s="284" t="str">
        <f>IF(Start!$C$18="x",(IF(F190 ="","",IF(OR(AO190="NA",I190="NA",I190=0),"NA",(AO190/I190)))),"Not Req.")</f>
        <v/>
      </c>
      <c r="AY190" s="344" t="str">
        <f>IF(Start!$C$18="x",(IF(F190 ="","",IF(OR(AU190="NA",I190="NA",I190=0),"NA",(AU190/I190)))),"Not Req.")</f>
        <v/>
      </c>
      <c r="AZ190" s="208"/>
    </row>
    <row r="191" spans="1:52" s="183" customFormat="1" x14ac:dyDescent="0.25">
      <c r="A191" s="405" t="s">
        <v>509</v>
      </c>
      <c r="B191" s="347" t="str">
        <f>IF(Start!$C$18="x",IF(AND(OR(F191="",F191="NA"),OR(G191="",G191="NA")),"",IF(I191="NA","NA",IF(AND(I191="",K191="--"),"NA",IF(AD191="NA","Missing Data",IF(I191="","No Criteria",IF(AD191&gt;=I191,"Needed","No")))))),"---")</f>
        <v/>
      </c>
      <c r="C191" s="501" t="str">
        <f>IF(Start!$C$18="x",IF(AND(OR(F191="",F191="NA"),OR(G191="",G191="NA")),"",IF(I191="NA","NA",IF(AND(I191="",K191="--"),"NA",IF(AF191="NA","Missing Data",IF(I191="","No Criteria",IF(AF191&gt;=I191,"Needed","No")))))),"---")</f>
        <v/>
      </c>
      <c r="D191" s="347" t="str">
        <f>IF(Start!$C$18="x",IF(AND(OR(F191="",F191="NA"),OR(G191="",G191="NA")),"",IF(I191="NA","NA",IF(AND(I191="",K191="--"),"NA",IF(AO191="NA","Missing Data",IF(I191="","No Criteria",IF(AO191&gt;=I191,"Needed","No")))))),"---")</f>
        <v/>
      </c>
      <c r="E191" s="401" t="str">
        <f>IF(Start!$C$18="x",IF(AND(OR(F191="",F191="NA"),OR(G191="",G191="NA")),"",IF(I191="NA","NA",IF(AND(I191="",K191="--"),"NA",IF(AU191="NA","Missing Data",IF(I191="","No Criteria",IF(AU191&gt;=I191,"Needed","No")))))),"---")</f>
        <v/>
      </c>
      <c r="F191" s="431" t="str">
        <f>IF(TRUE=ISBLANK(ChemData!B191),"",(ChemData!B191))</f>
        <v/>
      </c>
      <c r="G191" s="432" t="str">
        <f>IF(TRUE=ISBLANK(ChemData!C191),"",(ChemData!C191))</f>
        <v/>
      </c>
      <c r="H191" s="433" t="str">
        <f>IF(TRUE=ISBLANK(ChemData!D191),"",(ChemData!D191))</f>
        <v/>
      </c>
      <c r="I191" s="919" t="str">
        <f>IF(TRUE=ISBLANK(ChemData!K191),"",(ChemData!K191))</f>
        <v>NA</v>
      </c>
      <c r="J191" s="290">
        <f>IF(TRUE=ISBLANK(ChemData!M191),"",(ChemData!M191))</f>
        <v>106.2</v>
      </c>
      <c r="K191" s="290">
        <f>IF(TRUE=ISBLANK(ChemData!N191),"",(ChemData!N191))</f>
        <v>7.443237907206318E-3</v>
      </c>
      <c r="L191" s="290">
        <f>IF(TRUE=ISBLANK(ChemData!O191),"",(ChemData!O191))</f>
        <v>7.0000000000000007E-2</v>
      </c>
      <c r="M191" s="290">
        <f>IF(TRUE=ISBLANK(ChemData!Q191),"",(ChemData!Q191))</f>
        <v>27.378296264993541</v>
      </c>
      <c r="N191" s="290">
        <f>IF(TRUE=ISBLANK(ChemData!R191),"",(ChemData!R191))</f>
        <v>27.378296264993541</v>
      </c>
      <c r="O191" s="290">
        <f>IF(TRUE=ISBLANK(ChemData!S191),"",(ChemData!S191))</f>
        <v>1</v>
      </c>
      <c r="P191" s="291">
        <f>IF(TRUE=ISBLANK(ChemData!T191),"",(ChemData!T191))</f>
        <v>1</v>
      </c>
      <c r="Q191" s="375">
        <f>IF(Start!$C$18="x",IF(OR(K191="NA",K191="",K191="--"),"NA",(K191*1000000/82.1/Data!$D$50)),"---")</f>
        <v>0.29245365239897519</v>
      </c>
      <c r="R191" s="376">
        <f>IF(Start!$C$18="x",IF(OR(J191="NA",J191=0,J191=""),"NA",(0.32*(Data!$D$48+Data!$D$49)*(18/J191)^0.5)),"---")</f>
        <v>0.33923543147215873</v>
      </c>
      <c r="S191" s="376">
        <f>IF(Start!$C$18="x",IF(OR(J191="NA",J191= 0,J191=""),"NA",(0.0065*((Data!$D$49^0.969)/(Data!$D$51^0.673))*(32/J191)^0.5*EXP(0.526*Data!$D$48^-1.9))),"---")</f>
        <v>7.1501535015127641E-4</v>
      </c>
      <c r="T191" s="377">
        <f>IF(Start!$C$18="x",IF(OR(S191="NA",R191="NA",R191=0,Q191="NA",S191=0,Q191=0),"NA",(1/(1/S191+(1/(R191*Q191))))),"---")</f>
        <v>7.0989907701538046E-4</v>
      </c>
      <c r="U191" s="375" t="str">
        <f>IF(Start!$C$18="x",IF(OR(F191="NA",F191="",O191="",O191="NA"),"NA",(F191*$O191)),"---")</f>
        <v>NA</v>
      </c>
      <c r="V191" s="376" t="str">
        <f>IF(Start!$C$18="x",IF(OR(U191="NA",M191="NA",M191="",U191=""),"NA",U191/((Data!$D$18+((1-Data!$D$18)*Data!$D$14*M191))/((1-Data!$D$18)*Data!$D$14*1000))),"---")</f>
        <v>NA</v>
      </c>
      <c r="W191" s="376" t="str">
        <f>IF(Start!$C$18="x",IF(OR(G191="NA",U191="NA",G191="",U191=""),"NA",(U191 +($G191*(Data!$D$19-Data!$D$22)/(Data!$D$19*Data!$D$22)))),"---")</f>
        <v>NA</v>
      </c>
      <c r="X191" s="376" t="str">
        <f>IF(Start!$C$18="x",IF(OR(G191="NA",V191="NA",G191="",V191=""),"NA",(((Data!$D$22*Data!$D$18)*V191)+(Data!$D$19-Data!$D$22)*$G191)/((Data!$D$22*Data!$D$18)+Data!$D$19-Data!$D$22)),"---")</f>
        <v>NA</v>
      </c>
      <c r="Y191" s="376" t="str">
        <f>IF(Start!$C$18="x",IF(OR(W191="NA",W191="",M191="NA",M191=""),"NA",(W191/((Data!$D$23+((1-Data!$D$23)*Data!$D$14*M191)) /((1-Data!$D$23)*Data!$D$14*1000)))),"---")</f>
        <v>NA</v>
      </c>
      <c r="Z191" s="376" t="str">
        <f>IF(Start!$C$18="x",IF(OR(Y191="NA",X191="NA"),"NA",IF(Y191&gt;X191, Y191, X191)),"---")</f>
        <v>NA</v>
      </c>
      <c r="AA191" s="461" t="str">
        <f>IF(Start!$C$18="x",IF(OR(Z191="NA",T191="NA"),"NA",Z191*T191/(1000000000)),"---")</f>
        <v>NA</v>
      </c>
      <c r="AB191" s="1057" t="str">
        <f>IF(Start!$C$18="x",IF(AA191 = "NA", "NA", AA191*(Data!$D$52*Data!$D$53*10000)),"---")</f>
        <v>NA</v>
      </c>
      <c r="AC191" s="375" t="str">
        <f>IF(Start!$C$18="x",IF(AB191="NA", "NA", AB191*Data!$D$54),"---")</f>
        <v>NA</v>
      </c>
      <c r="AD191" s="498" t="str">
        <f>IF(Start!$C$18="x",IF(AC191="NA","NA",AC191*Data!$D$41),"---")</f>
        <v>NA</v>
      </c>
      <c r="AE191" s="376" t="str">
        <f>IF(Start!$C$18="x",IF(AB191 = "NA", "NA", AB191/(Data!$D$53*3*Data!$D$48)*1000),"---")</f>
        <v>NA</v>
      </c>
      <c r="AF191" s="498" t="str">
        <f>IF(Start!$C$18="x",IF(AE191="NA","NA",AE191*Data!$D$46),"---")</f>
        <v>NA</v>
      </c>
      <c r="AG191" s="375">
        <f>IF(Start!$C$18="x",IF(OR($L191="NA",L191=""),"NA",($L191*(Data!$D$55^3.33)/(Data!$D$18^2))),"---")</f>
        <v>7.1312455663930148E-4</v>
      </c>
      <c r="AH191" s="376" t="str">
        <f>IF(Start!$C$18="x",IF(OR(F191="NA",F191="",P191="NA",P191=""),"NA",IF(100/Data!$D$10&gt;Data!$D$13,(F191*$P191),(F191*$P191)*Data!$D$13)),"---")</f>
        <v>NA</v>
      </c>
      <c r="AI191" s="489">
        <f>IF(Start!$C$18="x",IF(OR($N191="NA",$Q191="NA",$Q191=0,Q191="",N191=""),"NA",(1000*$N191/$Q191)),"---")</f>
        <v>93615.846615049755</v>
      </c>
      <c r="AJ191" s="376">
        <f>IF(Start!$C$18="x",IF(OR(Q191 = "NA",Q191=0,N191 = "NA",N191="",Q191=""), "NA", IF($AG191="NA","NA",(3.1416*Data!$D$57*86400/($AG191*(Data!$D$55+(N191*Data!$D$19/(Q191*1000)))))^0.5)),"---")</f>
        <v>11968.629361227715</v>
      </c>
      <c r="AK191" s="376" t="str">
        <f>IF(Start!$C$18="x",IF(OR(AH191 = "NA",AI191="NA",AI191=0,AI191="",AH191=""), "NA", AH191/AI191),"---")</f>
        <v>NA</v>
      </c>
      <c r="AL191" s="376" t="str">
        <f>IF(Start!$C$18="x",IF(OR(AK191 ="NA",AK191="",AJ191= "NA",R191="NA",R191=0),"NA",(2*AK191)/(1000*(1/$R191+AJ191))),"---")</f>
        <v>NA</v>
      </c>
      <c r="AM191" s="376" t="str">
        <f>IF(Start!$C$18="x",IF(AL191 = "NA", "NA", AL191*(Data!$D$52*Data!$D$53*10000)),"---")</f>
        <v>NA</v>
      </c>
      <c r="AN191" s="376" t="str">
        <f>IF(Start!$C$18="x",IF(AM191 = "NA", "NA", AM191*(Data!$D$54)),"---")</f>
        <v>NA</v>
      </c>
      <c r="AO191" s="498" t="str">
        <f>IF(Start!$C$18="x",IF(AN191="NA","NA",AN191*Data!$D$41),"---")</f>
        <v>NA</v>
      </c>
      <c r="AP191" s="376">
        <f>IF(Start!$C$18="x",IF(OR(Q191=0,N191="NA",N191="",AG191="NA",AG191="",AG191=0,Q191="",Q191="NA"),"NA", (3.1416*Data!$D$56*86400/($AG191*(Data!$D$55+(N191*Data!$D$19/(Q191*1000)))))^0.5),"---")</f>
        <v>11968.629361227715</v>
      </c>
      <c r="AQ191" s="376" t="str">
        <f>IF(Start!$C$18="x",IF(OR(AH191="NA",AI191="NA",AI191="",AI191=0,AH191=""),"NA", AH191/AI191),"---")</f>
        <v>NA</v>
      </c>
      <c r="AR191" s="376" t="str">
        <f>IF(Start!$C$18="x",IF(OR(AQ191="NA",AP191="NA",$R191="NA",R191=0,R191=""),"NA",(2*AQ191)/(1000*(1/$R191+AP191))),"---")</f>
        <v>NA</v>
      </c>
      <c r="AS191" s="376" t="str">
        <f>IF(Start!$C$18="x",IF(AR191 = "NA", "NA", AR191*(Data!$D$52*Data!$D$53*10000)),"---")</f>
        <v>NA</v>
      </c>
      <c r="AT191" s="376" t="str">
        <f>IF(Start!$C$18="x",IF(AS191 = "NA", "NA", (AS191*1000)/(Data!$D$48*3*Data!$D$53)),"---")</f>
        <v>NA</v>
      </c>
      <c r="AU191" s="498" t="str">
        <f>IF(Start!$C$18="x",IF(AT191="NA","NA",AT191*Data!$D$47),"---")</f>
        <v>NA</v>
      </c>
      <c r="AV191" s="283" t="str">
        <f>IF(Start!$C$18="x",(IF(AND(F191="",G191= "",G191&lt;&gt;"NA"),"",IF(OR(AD191="NA",I191="NA",I191=0),"NA",(AD191/I191)))),"Not Req.")</f>
        <v/>
      </c>
      <c r="AW191" s="284" t="str">
        <f>IF(Start!$C$18="x",(IF(AND(F191="",G191= "",G191&lt;&gt;"NA"),"",IF(OR(AF191="NA",I191="NA",I191=0),"NA",(AF191/I191)))),"Not Req.")</f>
        <v/>
      </c>
      <c r="AX191" s="284" t="str">
        <f>IF(Start!$C$18="x",(IF(F191 ="","",IF(OR(AO191="NA",I191="NA",I191=0),"NA",(AO191/I191)))),"Not Req.")</f>
        <v/>
      </c>
      <c r="AY191" s="344" t="str">
        <f>IF(Start!$C$18="x",(IF(F191 ="","",IF(OR(AU191="NA",I191="NA",I191=0),"NA",(AU191/I191)))),"Not Req.")</f>
        <v/>
      </c>
      <c r="AZ191" s="208"/>
    </row>
    <row r="192" spans="1:52" s="183" customFormat="1" x14ac:dyDescent="0.25">
      <c r="A192" s="405" t="s">
        <v>510</v>
      </c>
      <c r="B192" s="347" t="str">
        <f>IF(Start!$C$18="x",IF(AND(OR(F192="",F192="NA"),OR(G192="",G192="NA")),"",IF(I192="NA","NA",IF(AND(I192="",K192="--"),"NA",IF(AD192="NA","Missing Data",IF(I192="","No Criteria",IF(AD192&gt;=I192,"Needed","No")))))),"---")</f>
        <v/>
      </c>
      <c r="C192" s="501" t="str">
        <f>IF(Start!$C$18="x",IF(AND(OR(F192="",F192="NA"),OR(G192="",G192="NA")),"",IF(I192="NA","NA",IF(AND(I192="",K192="--"),"NA",IF(AF192="NA","Missing Data",IF(I192="","No Criteria",IF(AF192&gt;=I192,"Needed","No")))))),"---")</f>
        <v/>
      </c>
      <c r="D192" s="347" t="str">
        <f>IF(Start!$C$18="x",IF(AND(OR(F192="",F192="NA"),OR(G192="",G192="NA")),"",IF(I192="NA","NA",IF(AND(I192="",K192="--"),"NA",IF(AO192="NA","Missing Data",IF(I192="","No Criteria",IF(AO192&gt;=I192,"Needed","No")))))),"---")</f>
        <v/>
      </c>
      <c r="E192" s="401" t="str">
        <f>IF(Start!$C$18="x",IF(AND(OR(F192="",F192="NA"),OR(G192="",G192="NA")),"",IF(I192="NA","NA",IF(AND(I192="",K192="--"),"NA",IF(AU192="NA","Missing Data",IF(I192="","No Criteria",IF(AU192&gt;=I192,"Needed","No")))))),"---")</f>
        <v/>
      </c>
      <c r="F192" s="431" t="str">
        <f>IF(TRUE=ISBLANK(ChemData!B192),"",(ChemData!B192))</f>
        <v/>
      </c>
      <c r="G192" s="432" t="str">
        <f>IF(TRUE=ISBLANK(ChemData!C192),"",(ChemData!C192))</f>
        <v/>
      </c>
      <c r="H192" s="433" t="str">
        <f>IF(TRUE=ISBLANK(ChemData!D192),"",(ChemData!D192))</f>
        <v/>
      </c>
      <c r="I192" s="919" t="str">
        <f>IF(TRUE=ISBLANK(ChemData!K192),"",(ChemData!K192))</f>
        <v>NA</v>
      </c>
      <c r="J192" s="290">
        <f>IF(TRUE=ISBLANK(ChemData!M192),"",(ChemData!M192))</f>
        <v>106.17</v>
      </c>
      <c r="K192" s="290">
        <f>IF(TRUE=ISBLANK(ChemData!N192),"",(ChemData!N192))</f>
        <v>5.1900000000000002E-3</v>
      </c>
      <c r="L192" s="290">
        <f>IF(TRUE=ISBLANK(ChemData!O192),"",(ChemData!O192))</f>
        <v>8.6999999999999994E-2</v>
      </c>
      <c r="M192" s="290">
        <f>IF(TRUE=ISBLANK(ChemData!Q192),"",(ChemData!Q192))</f>
        <v>26.146069950967185</v>
      </c>
      <c r="N192" s="290">
        <f>IF(TRUE=ISBLANK(ChemData!R192),"",(ChemData!R192))</f>
        <v>26.146069950967185</v>
      </c>
      <c r="O192" s="290">
        <f>IF(TRUE=ISBLANK(ChemData!S192),"",(ChemData!S192))</f>
        <v>1</v>
      </c>
      <c r="P192" s="291">
        <f>IF(TRUE=ISBLANK(ChemData!T192),"",(ChemData!T192))</f>
        <v>1</v>
      </c>
      <c r="Q192" s="375">
        <f>IF(Start!$C$18="x",IF(OR(K192="NA",K192="",K192="--"),"NA",(K192*1000000/82.1/Data!$D$50)),"---")</f>
        <v>0.20392126046127854</v>
      </c>
      <c r="R192" s="376">
        <f>IF(Start!$C$18="x",IF(OR(J192="NA",J192=0,J192=""),"NA",(0.32*(Data!$D$48+Data!$D$49)*(18/J192)^0.5)),"---")</f>
        <v>0.33928335623491418</v>
      </c>
      <c r="S192" s="376">
        <f>IF(Start!$C$18="x",IF(OR(J192="NA",J192= 0,J192=""),"NA",(0.0065*((Data!$D$49^0.969)/(Data!$D$51^0.673))*(32/J192)^0.5*EXP(0.526*Data!$D$48^-1.9))),"---")</f>
        <v>7.1511636242135043E-4</v>
      </c>
      <c r="T192" s="377">
        <f>IF(Start!$C$18="x",IF(OR(S192="NA",R192="NA",R192=0,Q192="NA",S192=0,Q192=0),"NA",(1/(1/S192+(1/(R192*Q192))))),"---")</f>
        <v>7.0780055021849974E-4</v>
      </c>
      <c r="U192" s="375" t="str">
        <f>IF(Start!$C$18="x",IF(OR(F192="NA",F192="",O192="",O192="NA"),"NA",(F192*$O192)),"---")</f>
        <v>NA</v>
      </c>
      <c r="V192" s="376" t="str">
        <f>IF(Start!$C$18="x",IF(OR(U192="NA",M192="NA",M192="",U192=""),"NA",U192/((Data!$D$18+((1-Data!$D$18)*Data!$D$14*M192))/((1-Data!$D$18)*Data!$D$14*1000))),"---")</f>
        <v>NA</v>
      </c>
      <c r="W192" s="376" t="str">
        <f>IF(Start!$C$18="x",IF(OR(G192="NA",U192="NA",G192="",U192=""),"NA",(U192 +($G192*(Data!$D$19-Data!$D$22)/(Data!$D$19*Data!$D$22)))),"---")</f>
        <v>NA</v>
      </c>
      <c r="X192" s="376" t="str">
        <f>IF(Start!$C$18="x",IF(OR(G192="NA",V192="NA",G192="",V192=""),"NA",(((Data!$D$22*Data!$D$18)*V192)+(Data!$D$19-Data!$D$22)*$G192)/((Data!$D$22*Data!$D$18)+Data!$D$19-Data!$D$22)),"---")</f>
        <v>NA</v>
      </c>
      <c r="Y192" s="376" t="str">
        <f>IF(Start!$C$18="x",IF(OR(W192="NA",W192="",M192="NA",M192=""),"NA",(W192/((Data!$D$23+((1-Data!$D$23)*Data!$D$14*M192)) /((1-Data!$D$23)*Data!$D$14*1000)))),"---")</f>
        <v>NA</v>
      </c>
      <c r="Z192" s="376" t="str">
        <f>IF(Start!$C$18="x",IF(OR(Y192="NA",X192="NA"),"NA",IF(Y192&gt;X192, Y192, X192)),"---")</f>
        <v>NA</v>
      </c>
      <c r="AA192" s="461" t="str">
        <f>IF(Start!$C$18="x",IF(OR(Z192="NA",T192="NA"),"NA",Z192*T192/(1000000000)),"---")</f>
        <v>NA</v>
      </c>
      <c r="AB192" s="1057" t="str">
        <f>IF(Start!$C$18="x",IF(AA192 = "NA", "NA", AA192*(Data!$D$52*Data!$D$53*10000)),"---")</f>
        <v>NA</v>
      </c>
      <c r="AC192" s="375" t="str">
        <f>IF(Start!$C$18="x",IF(AB192="NA", "NA", AB192*Data!$D$54),"---")</f>
        <v>NA</v>
      </c>
      <c r="AD192" s="498" t="str">
        <f>IF(Start!$C$18="x",IF(AC192="NA","NA",AC192*Data!$D$41),"---")</f>
        <v>NA</v>
      </c>
      <c r="AE192" s="376" t="str">
        <f>IF(Start!$C$18="x",IF(AB192 = "NA", "NA", AB192/(Data!$D$53*3*Data!$D$48)*1000),"---")</f>
        <v>NA</v>
      </c>
      <c r="AF192" s="498" t="str">
        <f>IF(Start!$C$18="x",IF(AE192="NA","NA",AE192*Data!$D$46),"---")</f>
        <v>NA</v>
      </c>
      <c r="AG192" s="375">
        <f>IF(Start!$C$18="x",IF(OR($L192="NA",L192=""),"NA",($L192*(Data!$D$55^3.33)/(Data!$D$18^2))),"---")</f>
        <v>8.8631194896598888E-4</v>
      </c>
      <c r="AH192" s="376" t="str">
        <f>IF(Start!$C$18="x",IF(OR(F192="NA",F192="",P192="NA",P192=""),"NA",IF(100/Data!$D$10&gt;Data!$D$13,(F192*$P192),(F192*$P192)*Data!$D$13)),"---")</f>
        <v>NA</v>
      </c>
      <c r="AI192" s="489">
        <f>IF(Start!$C$18="x",IF(OR($N192="NA",$Q192="NA",$Q192=0,Q192="",N192=""),"NA",(1000*$N192/$Q192)),"---")</f>
        <v>128216.49832795102</v>
      </c>
      <c r="AJ192" s="376">
        <f>IF(Start!$C$18="x",IF(OR(Q192 = "NA",Q192=0,N192 = "NA",N192="",Q192=""), "NA", IF($AG192="NA","NA",(3.1416*Data!$D$57*86400/($AG192*(Data!$D$55+(N192*Data!$D$19/(Q192*1000)))))^0.5)),"---")</f>
        <v>9176.6383371117317</v>
      </c>
      <c r="AK192" s="376" t="str">
        <f>IF(Start!$C$18="x",IF(OR(AH192 = "NA",AI192="NA",AI192=0,AI192="",AH192=""), "NA", AH192/AI192),"---")</f>
        <v>NA</v>
      </c>
      <c r="AL192" s="376" t="str">
        <f>IF(Start!$C$18="x",IF(OR(AK192 ="NA",AK192="",AJ192= "NA",R192="NA",R192=0),"NA",(2*AK192)/(1000*(1/$R192+AJ192))),"---")</f>
        <v>NA</v>
      </c>
      <c r="AM192" s="376" t="str">
        <f>IF(Start!$C$18="x",IF(AL192 = "NA", "NA", AL192*(Data!$D$52*Data!$D$53*10000)),"---")</f>
        <v>NA</v>
      </c>
      <c r="AN192" s="376" t="str">
        <f>IF(Start!$C$18="x",IF(AM192 = "NA", "NA", AM192*(Data!$D$54)),"---")</f>
        <v>NA</v>
      </c>
      <c r="AO192" s="498" t="str">
        <f>IF(Start!$C$18="x",IF(AN192="NA","NA",AN192*Data!$D$41),"---")</f>
        <v>NA</v>
      </c>
      <c r="AP192" s="376">
        <f>IF(Start!$C$18="x",IF(OR(Q192=0,N192="NA",N192="",AG192="NA",AG192="",AG192=0,Q192="",Q192="NA"),"NA", (3.1416*Data!$D$56*86400/($AG192*(Data!$D$55+(N192*Data!$D$19/(Q192*1000)))))^0.5),"---")</f>
        <v>9176.6383371117317</v>
      </c>
      <c r="AQ192" s="376" t="str">
        <f>IF(Start!$C$18="x",IF(OR(AH192="NA",AI192="NA",AI192="",AI192=0,AH192=""),"NA", AH192/AI192),"---")</f>
        <v>NA</v>
      </c>
      <c r="AR192" s="376" t="str">
        <f>IF(Start!$C$18="x",IF(OR(AQ192="NA",AP192="NA",$R192="NA",R192=0,R192=""),"NA",(2*AQ192)/(1000*(1/$R192+AP192))),"---")</f>
        <v>NA</v>
      </c>
      <c r="AS192" s="376" t="str">
        <f>IF(Start!$C$18="x",IF(AR192 = "NA", "NA", AR192*(Data!$D$52*Data!$D$53*10000)),"---")</f>
        <v>NA</v>
      </c>
      <c r="AT192" s="376" t="str">
        <f>IF(Start!$C$18="x",IF(AS192 = "NA", "NA", (AS192*1000)/(Data!$D$48*3*Data!$D$53)),"---")</f>
        <v>NA</v>
      </c>
      <c r="AU192" s="498" t="str">
        <f>IF(Start!$C$18="x",IF(AT192="NA","NA",AT192*Data!$D$47),"---")</f>
        <v>NA</v>
      </c>
      <c r="AV192" s="283" t="str">
        <f>IF(Start!$C$18="x",(IF(AND(F192="",G192= "",G192&lt;&gt;"NA"),"",IF(OR(AD192="NA",I192="NA",I192=0),"NA",(AD192/I192)))),"Not Req.")</f>
        <v/>
      </c>
      <c r="AW192" s="284" t="str">
        <f>IF(Start!$C$18="x",(IF(AND(F192="",G192= "",G192&lt;&gt;"NA"),"",IF(OR(AF192="NA",I192="NA",I192=0),"NA",(AF192/I192)))),"Not Req.")</f>
        <v/>
      </c>
      <c r="AX192" s="284" t="str">
        <f>IF(Start!$C$18="x",(IF(F192 ="","",IF(OR(AO192="NA",I192="NA",I192=0),"NA",(AO192/I192)))),"Not Req.")</f>
        <v/>
      </c>
      <c r="AY192" s="344" t="str">
        <f>IF(Start!$C$18="x",(IF(F192 ="","",IF(OR(AU192="NA",I192="NA",I192=0),"NA",(AU192/I192)))),"Not Req.")</f>
        <v/>
      </c>
      <c r="AZ192" s="208"/>
    </row>
    <row r="193" spans="1:52" s="183" customFormat="1" ht="13.8" thickBot="1" x14ac:dyDescent="0.3">
      <c r="A193" s="405" t="s">
        <v>511</v>
      </c>
      <c r="B193" s="347" t="str">
        <f>IF(Start!$C$18="x",IF(AND(OR(F193="",F193="NA"),OR(G193="",G193="NA")),"",IF(I193="NA","NA",IF(AND(I193="",K193="--"),"NA",IF(AD193="NA","Missing Data",IF(I193="","No Criteria",IF(AD193&gt;=I193,"Needed","No")))))),"---")</f>
        <v/>
      </c>
      <c r="C193" s="501" t="str">
        <f>IF(Start!$C$18="x",IF(AND(OR(F193="",F193="NA"),OR(G193="",G193="NA")),"",IF(I193="NA","NA",IF(AND(I193="",K193="--"),"NA",IF(AF193="NA","Missing Data",IF(I193="","No Criteria",IF(AF193&gt;=I193,"Needed","No")))))),"---")</f>
        <v/>
      </c>
      <c r="D193" s="347" t="str">
        <f>IF(Start!$C$18="x",IF(AND(OR(F193="",F193="NA"),OR(G193="",G193="NA")),"",IF(I193="NA","NA",IF(AND(I193="",K193="--"),"NA",IF(AO193="NA","Missing Data",IF(I193="","No Criteria",IF(AO193&gt;=I193,"Needed","No")))))),"---")</f>
        <v/>
      </c>
      <c r="E193" s="401" t="str">
        <f>IF(Start!$C$18="x",IF(AND(OR(F193="",F193="NA"),OR(G193="",G193="NA")),"",IF(I193="NA","NA",IF(AND(I193="",K193="--"),"NA",IF(AU193="NA","Missing Data",IF(I193="","No Criteria",IF(AU193&gt;=I193,"Needed","No")))))),"---")</f>
        <v/>
      </c>
      <c r="F193" s="431" t="str">
        <f>IF(TRUE=ISBLANK(ChemData!B193),"",(ChemData!B193))</f>
        <v/>
      </c>
      <c r="G193" s="432" t="str">
        <f>IF(TRUE=ISBLANK(ChemData!C193),"",(ChemData!C193))</f>
        <v/>
      </c>
      <c r="H193" s="433" t="str">
        <f>IF(TRUE=ISBLANK(ChemData!D193),"",(ChemData!D193))</f>
        <v/>
      </c>
      <c r="I193" s="919" t="str">
        <f>IF(TRUE=ISBLANK(ChemData!K193),"",(ChemData!K193))</f>
        <v>NA</v>
      </c>
      <c r="J193" s="290">
        <f>IF(TRUE=ISBLANK(ChemData!M193),"",(ChemData!M193))</f>
        <v>106.2</v>
      </c>
      <c r="K193" s="290">
        <f>IF(TRUE=ISBLANK(ChemData!N193),"",(ChemData!N193))</f>
        <v>0.32</v>
      </c>
      <c r="L193" s="290">
        <f>IF(TRUE=ISBLANK(ChemData!O193),"",(ChemData!O193))</f>
        <v>7.1400000000000005E-2</v>
      </c>
      <c r="M193" s="290">
        <f>IF(TRUE=ISBLANK(ChemData!Q193),"",(ChemData!Q193))</f>
        <v>24.400932230679128</v>
      </c>
      <c r="N193" s="290">
        <f>IF(TRUE=ISBLANK(ChemData!R193),"",(ChemData!R193))</f>
        <v>24.400932230679128</v>
      </c>
      <c r="O193" s="290">
        <f>IF(TRUE=ISBLANK(ChemData!S193),"",(ChemData!S193))</f>
        <v>1</v>
      </c>
      <c r="P193" s="291">
        <f>IF(TRUE=ISBLANK(ChemData!T193),"",(ChemData!T193))</f>
        <v>1</v>
      </c>
      <c r="Q193" s="375">
        <f>IF(Start!$C$18="x",IF(OR(K193="NA",K193="",K193="--"),"NA",(K193*1000000/82.1/Data!$D$50)),"---")</f>
        <v>12.573179835762838</v>
      </c>
      <c r="R193" s="376">
        <f>IF(Start!$C$18="x",IF(OR(J193="NA",J193=0,J193=""),"NA",(0.32*(Data!$D$48+Data!$D$49)*(18/J193)^0.5)),"---")</f>
        <v>0.33923543147215873</v>
      </c>
      <c r="S193" s="376">
        <f>IF(Start!$C$18="x",IF(OR(J193="NA",J193= 0,J193=""),"NA",(0.0065*((Data!$D$49^0.969)/(Data!$D$51^0.673))*(32/J193)^0.5*EXP(0.526*Data!$D$48^-1.9))),"---")</f>
        <v>7.1501535015127641E-4</v>
      </c>
      <c r="T193" s="377">
        <f>IF(Start!$C$18="x",IF(OR(S193="NA",R193="NA",R193=0,Q193="NA",S193=0,Q193=0),"NA",(1/(1/S193+(1/(R193*Q193))))),"---")</f>
        <v>7.148955074470888E-4</v>
      </c>
      <c r="U193" s="375" t="str">
        <f>IF(Start!$C$18="x",IF(OR(F193="NA",F193="",O193="",O193="NA"),"NA",(F193*$O193)),"---")</f>
        <v>NA</v>
      </c>
      <c r="V193" s="376" t="str">
        <f>IF(Start!$C$18="x",IF(OR(U193="NA",M193="NA",M193="",U193=""),"NA",U193/((Data!$D$18+((1-Data!$D$18)*Data!$D$14*M193))/((1-Data!$D$18)*Data!$D$14*1000))),"---")</f>
        <v>NA</v>
      </c>
      <c r="W193" s="376" t="str">
        <f>IF(Start!$C$18="x",IF(OR(G193="NA",U193="NA",G193="",U193=""),"NA",(U193 +($G193*(Data!$D$19-Data!$D$22)/(Data!$D$19*Data!$D$22)))),"---")</f>
        <v>NA</v>
      </c>
      <c r="X193" s="376" t="str">
        <f>IF(Start!$C$18="x",IF(OR(G193="NA",V193="NA",G193="",V193=""),"NA",(((Data!$D$22*Data!$D$18)*V193)+(Data!$D$19-Data!$D$22)*$G193)/((Data!$D$22*Data!$D$18)+Data!$D$19-Data!$D$22)),"---")</f>
        <v>NA</v>
      </c>
      <c r="Y193" s="376" t="str">
        <f>IF(Start!$C$18="x",IF(OR(W193="NA",W193="",M193="NA",M193=""),"NA",(W193/((Data!$D$23+((1-Data!$D$23)*Data!$D$14*M193)) /((1-Data!$D$23)*Data!$D$14*1000)))),"---")</f>
        <v>NA</v>
      </c>
      <c r="Z193" s="376" t="str">
        <f>IF(Start!$C$18="x",IF(OR(Y193="NA",X193="NA"),"NA",IF(Y193&gt;X193, Y193, X193)),"---")</f>
        <v>NA</v>
      </c>
      <c r="AA193" s="461" t="str">
        <f>IF(Start!$C$18="x",IF(OR(Z193="NA",T193="NA"),"NA",Z193*T193/(1000000000)),"---")</f>
        <v>NA</v>
      </c>
      <c r="AB193" s="1057" t="str">
        <f>IF(Start!$C$18="x",IF(AA193 = "NA", "NA", AA193*(Data!$D$52*Data!$D$53*10000)),"---")</f>
        <v>NA</v>
      </c>
      <c r="AC193" s="375" t="str">
        <f>IF(Start!$C$18="x",IF(AB193="NA", "NA", AB193*Data!$D$54),"---")</f>
        <v>NA</v>
      </c>
      <c r="AD193" s="498" t="str">
        <f>IF(Start!$C$18="x",IF(AC193="NA","NA",AC193*Data!$D$41),"---")</f>
        <v>NA</v>
      </c>
      <c r="AE193" s="376" t="str">
        <f>IF(Start!$C$18="x",IF(AB193 = "NA", "NA", AB193/(Data!$D$53*3*Data!$D$48)*1000),"---")</f>
        <v>NA</v>
      </c>
      <c r="AF193" s="498" t="str">
        <f>IF(Start!$C$18="x",IF(AE193="NA","NA",AE193*Data!$D$46),"---")</f>
        <v>NA</v>
      </c>
      <c r="AG193" s="375">
        <f>IF(Start!$C$18="x",IF(OR($L193="NA",L193=""),"NA",($L193*(Data!$D$55^3.33)/(Data!$D$18^2))),"---")</f>
        <v>7.2738704777208752E-4</v>
      </c>
      <c r="AH193" s="376" t="str">
        <f>IF(Start!$C$18="x",IF(OR(F193="NA",F193="",P193="NA",P193=""),"NA",IF(100/Data!$D$10&gt;Data!$D$13,(F193*$P193),(F193*$P193)*Data!$D$13)),"---")</f>
        <v>NA</v>
      </c>
      <c r="AI193" s="489">
        <f>IF(Start!$C$18="x",IF(OR($N193="NA",$Q193="NA",$Q193=0,Q193="",N193=""),"NA",(1000*$N193/$Q193)),"---")</f>
        <v>1940.7128943844205</v>
      </c>
      <c r="AJ193" s="376">
        <f>IF(Start!$C$18="x",IF(OR(Q193 = "NA",Q193=0,N193 = "NA",N193="",Q193=""), "NA", IF($AG193="NA","NA",(3.1416*Data!$D$57*86400/($AG193*(Data!$D$55+(N193*Data!$D$19/(Q193*1000)))))^0.5)),"---")</f>
        <v>77824.55667893411</v>
      </c>
      <c r="AK193" s="376" t="str">
        <f>IF(Start!$C$18="x",IF(OR(AH193 = "NA",AI193="NA",AI193=0,AI193="",AH193=""), "NA", AH193/AI193),"---")</f>
        <v>NA</v>
      </c>
      <c r="AL193" s="376" t="str">
        <f>IF(Start!$C$18="x",IF(OR(AK193 ="NA",AK193="",AJ193= "NA",R193="NA",R193=0),"NA",(2*AK193)/(1000*(1/$R193+AJ193))),"---")</f>
        <v>NA</v>
      </c>
      <c r="AM193" s="376" t="str">
        <f>IF(Start!$C$18="x",IF(AL193 = "NA", "NA", AL193*(Data!$D$52*Data!$D$53*10000)),"---")</f>
        <v>NA</v>
      </c>
      <c r="AN193" s="376" t="str">
        <f>IF(Start!$C$18="x",IF(AM193 = "NA", "NA", AM193*(Data!$D$54)),"---")</f>
        <v>NA</v>
      </c>
      <c r="AO193" s="498" t="str">
        <f>IF(Start!$C$18="x",IF(AN193="NA","NA",AN193*Data!$D$41),"---")</f>
        <v>NA</v>
      </c>
      <c r="AP193" s="376">
        <f>IF(Start!$C$18="x",IF(OR(Q193=0,N193="NA",N193="",AG193="NA",AG193="",AG193=0,Q193="",Q193="NA"),"NA", (3.1416*Data!$D$56*86400/($AG193*(Data!$D$55+(N193*Data!$D$19/(Q193*1000)))))^0.5),"---")</f>
        <v>77824.55667893411</v>
      </c>
      <c r="AQ193" s="376" t="str">
        <f>IF(Start!$C$18="x",IF(OR(AH193="NA",AI193="NA",AI193="",AI193=0,AH193=""),"NA", AH193/AI193),"---")</f>
        <v>NA</v>
      </c>
      <c r="AR193" s="376" t="str">
        <f>IF(Start!$C$18="x",IF(OR(AQ193="NA",AP193="NA",$R193="NA",R193=0,R193=""),"NA",(2*AQ193)/(1000*(1/$R193+AP193))),"---")</f>
        <v>NA</v>
      </c>
      <c r="AS193" s="376" t="str">
        <f>IF(Start!$C$18="x",IF(AR193 = "NA", "NA", AR193*(Data!$D$52*Data!$D$53*10000)),"---")</f>
        <v>NA</v>
      </c>
      <c r="AT193" s="376" t="str">
        <f>IF(Start!$C$18="x",IF(AS193 = "NA", "NA", (AS193*1000)/(Data!$D$48*3*Data!$D$53)),"---")</f>
        <v>NA</v>
      </c>
      <c r="AU193" s="498" t="str">
        <f>IF(Start!$C$18="x",IF(AT193="NA","NA",AT193*Data!$D$47),"---")</f>
        <v>NA</v>
      </c>
      <c r="AV193" s="283" t="str">
        <f>IF(Start!$C$18="x",(IF(AND(F193="",G193= "",G193&lt;&gt;"NA"),"",IF(OR(AD193="NA",I193="NA",I193=0),"NA",(AD193/I193)))),"Not Req.")</f>
        <v/>
      </c>
      <c r="AW193" s="284" t="str">
        <f>IF(Start!$C$18="x",(IF(AND(F193="",G193= "",G193&lt;&gt;"NA"),"",IF(OR(AF193="NA",I193="NA",I193=0),"NA",(AF193/I193)))),"Not Req.")</f>
        <v/>
      </c>
      <c r="AX193" s="284" t="str">
        <f>IF(Start!$C$18="x",(IF(F193 ="","",IF(OR(AO193="NA",I193="NA",I193=0),"NA",(AO193/I193)))),"Not Req.")</f>
        <v/>
      </c>
      <c r="AY193" s="344" t="str">
        <f>IF(Start!$C$18="x",(IF(F193 ="","",IF(OR(AU193="NA",I193="NA",I193=0),"NA",(AU193/I193)))),"Not Req.")</f>
        <v/>
      </c>
      <c r="AZ193" s="208"/>
    </row>
    <row r="194" spans="1:52" s="10" customFormat="1" x14ac:dyDescent="0.25">
      <c r="A194" s="505" t="s">
        <v>512</v>
      </c>
      <c r="B194" s="530"/>
      <c r="C194" s="531"/>
      <c r="D194" s="530"/>
      <c r="E194" s="526"/>
      <c r="F194" s="508"/>
      <c r="G194" s="509"/>
      <c r="H194" s="510"/>
      <c r="I194" s="800"/>
      <c r="J194" s="512"/>
      <c r="K194" s="512"/>
      <c r="L194" s="512"/>
      <c r="M194" s="512"/>
      <c r="N194" s="512"/>
      <c r="O194" s="512"/>
      <c r="P194" s="513"/>
      <c r="Q194" s="511"/>
      <c r="R194" s="512"/>
      <c r="S194" s="512"/>
      <c r="T194" s="513"/>
      <c r="U194" s="511"/>
      <c r="V194" s="512"/>
      <c r="W194" s="512"/>
      <c r="X194" s="512"/>
      <c r="Y194" s="512"/>
      <c r="Z194" s="512"/>
      <c r="AA194" s="512"/>
      <c r="AB194" s="512"/>
      <c r="AC194" s="511"/>
      <c r="AD194" s="533"/>
      <c r="AE194" s="512"/>
      <c r="AF194" s="533"/>
      <c r="AG194" s="511"/>
      <c r="AH194" s="512"/>
      <c r="AI194" s="534"/>
      <c r="AJ194" s="512"/>
      <c r="AK194" s="512"/>
      <c r="AL194" s="512"/>
      <c r="AM194" s="512"/>
      <c r="AN194" s="512"/>
      <c r="AO194" s="533"/>
      <c r="AP194" s="512"/>
      <c r="AQ194" s="512"/>
      <c r="AR194" s="512"/>
      <c r="AS194" s="512"/>
      <c r="AT194" s="512"/>
      <c r="AU194" s="533"/>
      <c r="AV194" s="511"/>
      <c r="AW194" s="512"/>
      <c r="AX194" s="512"/>
      <c r="AY194" s="513"/>
      <c r="AZ194" s="208"/>
    </row>
    <row r="195" spans="1:52" s="10" customFormat="1" x14ac:dyDescent="0.25">
      <c r="A195" s="307" t="s">
        <v>513</v>
      </c>
      <c r="B195" s="347" t="str">
        <f>IF(Start!$C$18="x",IF(AND(OR(F195="",F195="NA"),OR(G195="",G195="NA")),"",IF(I195="NA","NA",IF(AND(I195="",K195="--"),"NA",IF(AD195="NA","Missing Data",IF(I195="","No Criteria",IF(AD195&gt;=I195,"Needed","No")))))),"---")</f>
        <v/>
      </c>
      <c r="C195" s="501" t="str">
        <f>IF(Start!$C$18="x",IF(AND(OR(F195="",F195="NA"),OR(G195="",G195="NA")),"",IF(I195="NA","NA",IF(AND(I195="",K195="--"),"NA",IF(AF195="NA","Missing Data",IF(I195="","No Criteria",IF(AF195&gt;=I195,"Needed","No")))))),"---")</f>
        <v/>
      </c>
      <c r="D195" s="347" t="str">
        <f>IF(Start!$C$18="x",IF(AND(OR(F195="",F195="NA"),OR(G195="",G195="NA")),"",IF(I195="NA","NA",IF(AND(I195="",K195="--"),"NA",IF(AO195="NA","Missing Data",IF(I195="","No Criteria",IF(AO195&gt;=I195,"Needed","No")))))),"---")</f>
        <v/>
      </c>
      <c r="E195" s="401" t="str">
        <f>IF(Start!$C$18="x",IF(AND(OR(F195="",F195="NA"),OR(G195="",G195="NA")),"",IF(I195="NA","NA",IF(AND(I195="",K195="--"),"NA",IF(AU195="NA","Missing Data",IF(I195="","No Criteria",IF(AU195&gt;=I195,"Needed","No")))))),"---")</f>
        <v/>
      </c>
      <c r="F195" s="431" t="str">
        <f>IF(TRUE=ISBLANK(ChemData!B195),"",(ChemData!B195))</f>
        <v/>
      </c>
      <c r="G195" s="432" t="str">
        <f>IF(TRUE=ISBLANK(ChemData!C195),"",(ChemData!C195))</f>
        <v/>
      </c>
      <c r="H195" s="433" t="str">
        <f>IF(TRUE=ISBLANK(ChemData!D195),"",(ChemData!D195))</f>
        <v/>
      </c>
      <c r="I195" s="919" t="str">
        <f>IF(TRUE=ISBLANK(ChemData!K195),"",(ChemData!K195))</f>
        <v>NA</v>
      </c>
      <c r="J195" s="290">
        <f>IF(TRUE=ISBLANK(ChemData!M195),"",(ChemData!M195))</f>
        <v>317.33999999999997</v>
      </c>
      <c r="K195" s="290">
        <f>IF(TRUE=ISBLANK(ChemData!N195),"",(ChemData!N195))</f>
        <v>7.4999999999999993E-9</v>
      </c>
      <c r="L195" s="290">
        <f>IF(TRUE=ISBLANK(ChemData!O195),"",(ChemData!O195))</f>
        <v>1.7100000000000001E-2</v>
      </c>
      <c r="M195" s="290">
        <f>IF(TRUE=ISBLANK(ChemData!Q195),"",(ChemData!Q195))</f>
        <v>9.2769756944408179</v>
      </c>
      <c r="N195" s="290">
        <f>IF(TRUE=ISBLANK(ChemData!R195),"",(ChemData!R195))</f>
        <v>9.2769756944408179</v>
      </c>
      <c r="O195" s="290">
        <f>IF(TRUE=ISBLANK(ChemData!S195),"",(ChemData!S195))</f>
        <v>1</v>
      </c>
      <c r="P195" s="291">
        <f>IF(TRUE=ISBLANK(ChemData!T195),"",(ChemData!T195))</f>
        <v>1</v>
      </c>
      <c r="Q195" s="375">
        <f>IF(Start!$C$18="x",IF(OR(K195="NA",K195="",K195="--"),"NA",(K195*1000000/82.1/Data!$D$50)),"---")</f>
        <v>2.9468390240069154E-7</v>
      </c>
      <c r="R195" s="376">
        <f>IF(Start!$C$18="x",IF(OR(J195="NA",J195=0,J195=""),"NA",(0.32*(Data!$D$48+Data!$D$49)*(18/J195)^0.5)),"---")</f>
        <v>0.19624610939057088</v>
      </c>
      <c r="S195" s="376">
        <f>IF(Start!$C$18="x",IF(OR(J195="NA",J195= 0,J195=""),"NA",(0.0065*((Data!$D$49^0.969)/(Data!$D$51^0.673))*(32/J195)^0.5*EXP(0.526*Data!$D$48^-1.9))),"---")</f>
        <v>4.1363303359201383E-4</v>
      </c>
      <c r="T195" s="377">
        <f>IF(Start!$C$18="x",IF(OR(S195="NA",R195="NA",R195=0,Q195="NA",S195=0,Q195=0),"NA",(1/(1/S195+(1/(R195*Q195))))),"---")</f>
        <v>5.7822485109745876E-8</v>
      </c>
      <c r="U195" s="375" t="str">
        <f>IF(Start!$C$18="x",IF(OR(F195="NA",F195="",O195="",O195="NA"),"NA",(F195*$O195)),"---")</f>
        <v>NA</v>
      </c>
      <c r="V195" s="376" t="str">
        <f>IF(Start!$C$18="x",IF(OR(U195="NA",M195="NA",M195="",U195=""),"NA",U195/((Data!$D$18+((1-Data!$D$18)*Data!$D$14*M195))/((1-Data!$D$18)*Data!$D$14*1000))),"---")</f>
        <v>NA</v>
      </c>
      <c r="W195" s="376" t="str">
        <f>IF(Start!$C$18="x",IF(OR(G195="NA",U195="NA",G195="",U195=""),"NA",(U195 +($G195*(Data!$D$19-Data!$D$22)/(Data!$D$19*Data!$D$22)))),"---")</f>
        <v>NA</v>
      </c>
      <c r="X195" s="376" t="str">
        <f>IF(Start!$C$18="x",IF(OR(G195="NA",V195="NA",G195="",V195=""),"NA",(((Data!$D$22*Data!$D$18)*V195)+(Data!$D$19-Data!$D$22)*$G195)/((Data!$D$22*Data!$D$18)+Data!$D$19-Data!$D$22)),"---")</f>
        <v>NA</v>
      </c>
      <c r="Y195" s="376" t="str">
        <f>IF(Start!$C$18="x",IF(OR(W195="NA",W195="",M195="NA",M195=""),"NA",(W195/((Data!$D$23+((1-Data!$D$23)*Data!$D$14*M195)) /((1-Data!$D$23)*Data!$D$14*1000)))),"---")</f>
        <v>NA</v>
      </c>
      <c r="Z195" s="376" t="str">
        <f>IF(Start!$C$18="x",IF(OR(Y195="NA",X195="NA"),"NA",IF(Y195&gt;X195, Y195, X195)),"---")</f>
        <v>NA</v>
      </c>
      <c r="AA195" s="461" t="str">
        <f>IF(Start!$C$18="x",IF(OR(Z195="NA",T195="NA"),"NA",Z195*T195/(1000000000)),"---")</f>
        <v>NA</v>
      </c>
      <c r="AB195" s="1057" t="str">
        <f>IF(Start!$C$18="x",IF(AA195 = "NA", "NA", AA195*(Data!$D$52*Data!$D$53*10000)),"---")</f>
        <v>NA</v>
      </c>
      <c r="AC195" s="375" t="str">
        <f>IF(Start!$C$18="x",IF(AB195="NA", "NA", AB195*Data!$D$54),"---")</f>
        <v>NA</v>
      </c>
      <c r="AD195" s="498" t="str">
        <f>IF(Start!$C$18="x",IF(AC195="NA","NA",AC195*Data!$D$41),"---")</f>
        <v>NA</v>
      </c>
      <c r="AE195" s="376" t="str">
        <f>IF(Start!$C$18="x",IF(AB195 = "NA", "NA", AB195/(Data!$D$53*3*Data!$D$48)*1000),"---")</f>
        <v>NA</v>
      </c>
      <c r="AF195" s="498" t="str">
        <f>IF(Start!$C$18="x",IF(AE195="NA","NA",AE195*Data!$D$46),"---")</f>
        <v>NA</v>
      </c>
      <c r="AG195" s="375">
        <f>IF(Start!$C$18="x",IF(OR($L195="NA",L195=""),"NA",($L195*(Data!$D$55^3.33)/(Data!$D$18^2))),"---")</f>
        <v>1.7420614169331509E-4</v>
      </c>
      <c r="AH195" s="376" t="str">
        <f>IF(Start!$C$18="x",IF(OR(F195="NA",F195="",P195="NA",P195=""),"NA",IF(100/Data!$D$10&gt;Data!$D$13,(F195*$P195),(F195*$P195)*Data!$D$13)),"---")</f>
        <v>NA</v>
      </c>
      <c r="AI195" s="489">
        <f>IF(Start!$C$18="x",IF(OR($N195="NA",$Q195="NA",$Q195=0,Q195="",N195=""),"NA",(1000*$N195/$Q195)),"---")</f>
        <v>31481107786.561768</v>
      </c>
      <c r="AJ195" s="376">
        <f>IF(Start!$C$18="x",IF(OR(Q195 = "NA",Q195=0,N195 = "NA",N195="",Q195=""), "NA", IF($AG195="NA","NA",(3.1416*Data!$D$57*86400/($AG195*(Data!$D$55+(N195*Data!$D$19/(Q195*1000)))))^0.5)),"---")</f>
        <v>41.811001170874853</v>
      </c>
      <c r="AK195" s="376" t="str">
        <f>IF(Start!$C$18="x",IF(OR(AH195 = "NA",AI195="NA",AI195=0,AI195="",AH195=""), "NA", AH195/AI195),"---")</f>
        <v>NA</v>
      </c>
      <c r="AL195" s="376" t="str">
        <f>IF(Start!$C$18="x",IF(OR(AK195 ="NA",AK195="",AJ195= "NA",R195="NA",R195=0),"NA",(2*AK195)/(1000*(1/$R195+AJ195))),"---")</f>
        <v>NA</v>
      </c>
      <c r="AM195" s="376" t="str">
        <f>IF(Start!$C$18="x",IF(AL195 = "NA", "NA", AL195*(Data!$D$52*Data!$D$53*10000)),"---")</f>
        <v>NA</v>
      </c>
      <c r="AN195" s="376" t="str">
        <f>IF(Start!$C$18="x",IF(AM195 = "NA", "NA", AM195*(Data!$D$54)),"---")</f>
        <v>NA</v>
      </c>
      <c r="AO195" s="498" t="str">
        <f>IF(Start!$C$18="x",IF(AN195="NA","NA",AN195*Data!$D$41),"---")</f>
        <v>NA</v>
      </c>
      <c r="AP195" s="376">
        <f>IF(Start!$C$18="x",IF(OR(Q195=0,N195="NA",N195="",AG195="NA",AG195="",AG195=0,Q195="",Q195="NA"),"NA", (3.1416*Data!$D$56*86400/($AG195*(Data!$D$55+(N195*Data!$D$19/(Q195*1000)))))^0.5),"---")</f>
        <v>41.811001170874853</v>
      </c>
      <c r="AQ195" s="376" t="str">
        <f>IF(Start!$C$18="x",IF(OR(AH195="NA",AI195="NA",AI195="",AI195=0,AH195=""),"NA", AH195/AI195),"---")</f>
        <v>NA</v>
      </c>
      <c r="AR195" s="376" t="str">
        <f>IF(Start!$C$18="x",IF(OR(AQ195="NA",AP195="NA",$R195="NA",R195=0,R195=""),"NA",(2*AQ195)/(1000*(1/$R195+AP195))),"---")</f>
        <v>NA</v>
      </c>
      <c r="AS195" s="376" t="str">
        <f>IF(Start!$C$18="x",IF(AR195 = "NA", "NA", AR195*(Data!$D$52*Data!$D$53*10000)),"---")</f>
        <v>NA</v>
      </c>
      <c r="AT195" s="376" t="str">
        <f>IF(Start!$C$18="x",IF(AS195 = "NA", "NA", (AS195*1000)/(Data!$D$48*3*Data!$D$53)),"---")</f>
        <v>NA</v>
      </c>
      <c r="AU195" s="498" t="str">
        <f>IF(Start!$C$18="x",IF(AT195="NA","NA",AT195*Data!$D$47),"---")</f>
        <v>NA</v>
      </c>
      <c r="AV195" s="283" t="str">
        <f>IF(Start!$C$18="x",(IF(AND(F195="",G195= "",G195&lt;&gt;"NA"),"",IF(OR(AD195="NA",I195="NA",I195=0),"NA",(AD195/I195)))),"Not Req.")</f>
        <v/>
      </c>
      <c r="AW195" s="284" t="str">
        <f>IF(Start!$C$18="x",(IF(AND(F195="",G195= "",G195&lt;&gt;"NA"),"",IF(OR(AF195="NA",I195="NA",I195=0),"NA",(AF195/I195)))),"Not Req.")</f>
        <v/>
      </c>
      <c r="AX195" s="284" t="str">
        <f>IF(Start!$C$18="x",(IF(F195 ="","",IF(OR(AO195="NA",I195="NA",I195=0),"NA",(AO195/I195)))),"Not Req.")</f>
        <v/>
      </c>
      <c r="AY195" s="344" t="str">
        <f>IF(Start!$C$18="x",(IF(F195 ="","",IF(OR(AU195="NA",I195="NA",I195=0),"NA",(AU195/I195)))),"Not Req.")</f>
        <v/>
      </c>
      <c r="AZ195" s="208"/>
    </row>
    <row r="196" spans="1:52" s="10" customFormat="1" x14ac:dyDescent="0.25">
      <c r="A196" s="405" t="s">
        <v>683</v>
      </c>
      <c r="B196" s="347" t="str">
        <f>IF(Start!$C$18="x",IF(AND(OR(F196="",F196="NA"),OR(G196="",G196="NA")),"",IF(I196="NA","NA",IF(AND(I196="",K196="--"),"NA",IF(AD196="NA","Missing Data",IF(I196="","No Criteria",IF(AD196&gt;=I196,"Needed","No")))))),"---")</f>
        <v/>
      </c>
      <c r="C196" s="501" t="str">
        <f>IF(Start!$C$18="x",IF(AND(OR(F196="",F196="NA"),OR(G196="",G196="NA")),"",IF(I196="NA","NA",IF(AND(I196="",K196="--"),"NA",IF(AF196="NA","Missing Data",IF(I196="","No Criteria",IF(AF196&gt;=I196,"Needed","No")))))),"---")</f>
        <v/>
      </c>
      <c r="D196" s="347" t="str">
        <f>IF(Start!$C$18="x",IF(AND(OR(F196="",F196="NA"),OR(G196="",G196="NA")),"",IF(I196="NA","NA",IF(AND(I196="",K196="--"),"NA",IF(AO196="NA","Missing Data",IF(I196="","No Criteria",IF(AO196&gt;=I196,"Needed","No")))))),"---")</f>
        <v/>
      </c>
      <c r="E196" s="401" t="str">
        <f>IF(Start!$C$18="x",IF(AND(OR(F196="",F196="NA"),OR(G196="",G196="NA")),"",IF(I196="NA","NA",IF(AND(I196="",K196="--"),"NA",IF(AU196="NA","Missing Data",IF(I196="","No Criteria",IF(AU196&gt;=I196,"Needed","No")))))),"---")</f>
        <v/>
      </c>
      <c r="F196" s="431" t="str">
        <f>IF(TRUE=ISBLANK(ChemData!B196),"",(ChemData!B196))</f>
        <v/>
      </c>
      <c r="G196" s="432" t="str">
        <f>IF(TRUE=ISBLANK(ChemData!C196),"",(ChemData!C196))</f>
        <v/>
      </c>
      <c r="H196" s="433" t="str">
        <f>IF(TRUE=ISBLANK(ChemData!D196),"",(ChemData!D196))</f>
        <v/>
      </c>
      <c r="I196" s="919" t="str">
        <f>IF(TRUE=ISBLANK(ChemData!K196),"",(ChemData!K196))</f>
        <v>NA</v>
      </c>
      <c r="J196" s="290">
        <f>IF(TRUE=ISBLANK(ChemData!M196),"",(ChemData!M196))</f>
        <v>350.6</v>
      </c>
      <c r="K196" s="290">
        <f>IF(TRUE=ISBLANK(ChemData!N196),"",(ChemData!N196))</f>
        <v>4.16E-6</v>
      </c>
      <c r="L196" s="290">
        <f>IF(TRUE=ISBLANK(ChemData!O196),"",(ChemData!O196))</f>
        <v>4.8469999999999999E-2</v>
      </c>
      <c r="M196" s="290">
        <f>IF(TRUE=ISBLANK(ChemData!Q196),"",(ChemData!Q196))</f>
        <v>1808.8527299999998</v>
      </c>
      <c r="N196" s="290">
        <f>IF(TRUE=ISBLANK(ChemData!R196),"",(ChemData!R196))</f>
        <v>1808.8527299999998</v>
      </c>
      <c r="O196" s="290">
        <f>IF(TRUE=ISBLANK(ChemData!S196),"",(ChemData!S196))</f>
        <v>1</v>
      </c>
      <c r="P196" s="291">
        <f>IF(TRUE=ISBLANK(ChemData!T196),"",(ChemData!T196))</f>
        <v>1</v>
      </c>
      <c r="Q196" s="375">
        <f>IF(Start!$C$18="x",IF(OR(K196="NA",K196="",K196="--"),"NA",(K196*1000000/82.1/Data!$D$50)),"---")</f>
        <v>1.6345133786491693E-4</v>
      </c>
      <c r="R196" s="376">
        <f>IF(Start!$C$18="x",IF(OR(J196="NA",J196=0,J196=""),"NA",(0.32*(Data!$D$48+Data!$D$49)*(18/J196)^0.5)),"---")</f>
        <v>0.18670567055089282</v>
      </c>
      <c r="S196" s="376">
        <f>IF(Start!$C$18="x",IF(OR(J196="NA",J196= 0,J196=""),"NA",(0.0065*((Data!$D$49^0.969)/(Data!$D$51^0.673))*(32/J196)^0.5*EXP(0.526*Data!$D$48^-1.9))),"---")</f>
        <v>3.9352440228559006E-4</v>
      </c>
      <c r="T196" s="377">
        <f>IF(Start!$C$18="x",IF(OR(S196="NA",R196="NA",R196=0,Q196="NA",S196=0,Q196=0),"NA",(1/(1/S196+(1/(R196*Q196))))),"---")</f>
        <v>2.8321033340578052E-5</v>
      </c>
      <c r="U196" s="375" t="str">
        <f>IF(Start!$C$18="x",IF(OR(F196="NA",F196="",O196="",O196="NA"),"NA",(F196*$O196)),"---")</f>
        <v>NA</v>
      </c>
      <c r="V196" s="376" t="str">
        <f>IF(Start!$C$18="x",IF(OR(U196="NA",M196="NA",M196="",U196=""),"NA",U196/((Data!$D$18+((1-Data!$D$18)*Data!$D$14*M196))/((1-Data!$D$18)*Data!$D$14*1000))),"---")</f>
        <v>NA</v>
      </c>
      <c r="W196" s="376" t="str">
        <f>IF(Start!$C$18="x",IF(OR(G196="NA",U196="NA",G196="",U196=""),"NA",(U196 +($G196*(Data!$D$19-Data!$D$22)/(Data!$D$19*Data!$D$22)))),"---")</f>
        <v>NA</v>
      </c>
      <c r="X196" s="376" t="str">
        <f>IF(Start!$C$18="x",IF(OR(G196="NA",V196="NA",G196="",V196=""),"NA",(((Data!$D$22*Data!$D$18)*V196)+(Data!$D$19-Data!$D$22)*$G196)/((Data!$D$22*Data!$D$18)+Data!$D$19-Data!$D$22)),"---")</f>
        <v>NA</v>
      </c>
      <c r="Y196" s="376" t="str">
        <f>IF(Start!$C$18="x",IF(OR(W196="NA",W196="",M196="NA",M196=""),"NA",(W196/((Data!$D$23+((1-Data!$D$23)*Data!$D$14*M196)) /((1-Data!$D$23)*Data!$D$14*1000)))),"---")</f>
        <v>NA</v>
      </c>
      <c r="Z196" s="376" t="str">
        <f>IF(Start!$C$18="x",IF(OR(Y196="NA",X196="NA"),"NA",IF(Y196&gt;X196, Y196, X196)),"---")</f>
        <v>NA</v>
      </c>
      <c r="AA196" s="461" t="str">
        <f>IF(Start!$C$18="x",IF(OR(Z196="NA",T196="NA"),"NA",Z196*T196/(1000000000)),"---")</f>
        <v>NA</v>
      </c>
      <c r="AB196" s="1057" t="str">
        <f>IF(Start!$C$18="x",IF(AA196 = "NA", "NA", AA196*(Data!$D$52*Data!$D$53*10000)),"---")</f>
        <v>NA</v>
      </c>
      <c r="AC196" s="375" t="str">
        <f>IF(Start!$C$18="x",IF(AB196="NA", "NA", AB196*Data!$D$54),"---")</f>
        <v>NA</v>
      </c>
      <c r="AD196" s="498" t="str">
        <f>IF(Start!$C$18="x",IF(AC196="NA","NA",AC196*Data!$D$41),"---")</f>
        <v>NA</v>
      </c>
      <c r="AE196" s="376" t="str">
        <f>IF(Start!$C$18="x",IF(AB196 = "NA", "NA", AB196/(Data!$D$53*3*Data!$D$48)*1000),"---")</f>
        <v>NA</v>
      </c>
      <c r="AF196" s="498" t="str">
        <f>IF(Start!$C$18="x",IF(AE196="NA","NA",AE196*Data!$D$46),"---")</f>
        <v>NA</v>
      </c>
      <c r="AG196" s="375">
        <f>IF(Start!$C$18="x",IF(OR($L196="NA",L196=""),"NA",($L196*(Data!$D$55^3.33)/(Data!$D$18^2))),"---")</f>
        <v>4.9378781800438491E-4</v>
      </c>
      <c r="AH196" s="376" t="str">
        <f>IF(Start!$C$18="x",IF(OR(F196="NA",F196="",P196="NA",P196=""),"NA",IF(100/Data!$D$10&gt;Data!$D$13,(F196*$P196),(F196*$P196)*Data!$D$13)),"---")</f>
        <v>NA</v>
      </c>
      <c r="AI196" s="489">
        <f>IF(Start!$C$18="x",IF(OR($N196="NA",$Q196="NA",$Q196=0,Q196="",N196=""),"NA",(1000*$N196/$Q196)),"---")</f>
        <v>11066613180.584131</v>
      </c>
      <c r="AJ196" s="376">
        <f>IF(Start!$C$18="x",IF(OR(Q196 = "NA",Q196=0,N196 = "NA",N196="",Q196=""), "NA", IF($AG196="NA","NA",(3.1416*Data!$D$57*86400/($AG196*(Data!$D$55+(N196*Data!$D$19/(Q196*1000)))))^0.5)),"---")</f>
        <v>41.886082850112587</v>
      </c>
      <c r="AK196" s="376" t="str">
        <f>IF(Start!$C$18="x",IF(OR(AH196 = "NA",AI196="NA",AI196=0,AI196="",AH196=""), "NA", AH196/AI196),"---")</f>
        <v>NA</v>
      </c>
      <c r="AL196" s="376" t="str">
        <f>IF(Start!$C$18="x",IF(OR(AK196 ="NA",AK196="",AJ196= "NA",R196="NA",R196=0),"NA",(2*AK196)/(1000*(1/$R196+AJ196))),"---")</f>
        <v>NA</v>
      </c>
      <c r="AM196" s="376" t="str">
        <f>IF(Start!$C$18="x",IF(AL196 = "NA", "NA", AL196*(Data!$D$52*Data!$D$53*10000)),"---")</f>
        <v>NA</v>
      </c>
      <c r="AN196" s="376" t="str">
        <f>IF(Start!$C$18="x",IF(AM196 = "NA", "NA", AM196*(Data!$D$54)),"---")</f>
        <v>NA</v>
      </c>
      <c r="AO196" s="498" t="str">
        <f>IF(Start!$C$18="x",IF(AN196="NA","NA",AN196*Data!$D$41),"---")</f>
        <v>NA</v>
      </c>
      <c r="AP196" s="376">
        <f>IF(Start!$C$18="x",IF(OR(Q196=0,N196="NA",N196="",AG196="NA",AG196="",AG196=0,Q196="",Q196="NA"),"NA", (3.1416*Data!$D$56*86400/($AG196*(Data!$D$55+(N196*Data!$D$19/(Q196*1000)))))^0.5),"---")</f>
        <v>41.886082850112587</v>
      </c>
      <c r="AQ196" s="376" t="str">
        <f>IF(Start!$C$18="x",IF(OR(AH196="NA",AI196="NA",AI196="",AI196=0,AH196=""),"NA", AH196/AI196),"---")</f>
        <v>NA</v>
      </c>
      <c r="AR196" s="376" t="str">
        <f>IF(Start!$C$18="x",IF(OR(AQ196="NA",AP196="NA",$R196="NA",R196=0,R196=""),"NA",(2*AQ196)/(1000*(1/$R196+AP196))),"---")</f>
        <v>NA</v>
      </c>
      <c r="AS196" s="376" t="str">
        <f>IF(Start!$C$18="x",IF(AR196 = "NA", "NA", AR196*(Data!$D$52*Data!$D$53*10000)),"---")</f>
        <v>NA</v>
      </c>
      <c r="AT196" s="376" t="str">
        <f>IF(Start!$C$18="x",IF(AS196 = "NA", "NA", (AS196*1000)/(Data!$D$48*3*Data!$D$53)),"---")</f>
        <v>NA</v>
      </c>
      <c r="AU196" s="498" t="str">
        <f>IF(Start!$C$18="x",IF(AT196="NA","NA",AT196*Data!$D$47),"---")</f>
        <v>NA</v>
      </c>
      <c r="AV196" s="283" t="str">
        <f>IF(Start!$C$18="x",(IF(AND(F196="",G196= "",G196&lt;&gt;"NA"),"",IF(OR(AD196="NA",I196="NA",I196=0),"NA",(AD196/I196)))),"Not Req.")</f>
        <v/>
      </c>
      <c r="AW196" s="284" t="str">
        <f>IF(Start!$C$18="x",(IF(AND(F196="",G196= "",G196&lt;&gt;"NA"),"",IF(OR(AF196="NA",I196="NA",I196=0),"NA",(AF196/I196)))),"Not Req.")</f>
        <v/>
      </c>
      <c r="AX196" s="284" t="str">
        <f>IF(Start!$C$18="x",(IF(F196 ="","",IF(OR(AO196="NA",I196="NA",I196=0),"NA",(AO196/I196)))),"Not Req.")</f>
        <v/>
      </c>
      <c r="AY196" s="344" t="str">
        <f>IF(Start!$C$18="x",(IF(F196 ="","",IF(OR(AU196="NA",I196="NA",I196=0),"NA",(AU196/I196)))),"Not Req.")</f>
        <v/>
      </c>
      <c r="AZ196" s="208"/>
    </row>
    <row r="197" spans="1:52" s="183" customFormat="1" x14ac:dyDescent="0.25">
      <c r="A197" s="405" t="s">
        <v>515</v>
      </c>
      <c r="B197" s="347" t="str">
        <f>IF(Start!$C$18="x",IF(AND(OR(F197="",F197="NA"),OR(G197="",G197="NA")),"",IF(I197="NA","NA",IF(AND(I197="",K197="--"),"NA",IF(AD197="NA","Missing Data",IF(I197="","No Criteria",IF(AD197&gt;=I197,"Needed","No")))))),"---")</f>
        <v/>
      </c>
      <c r="C197" s="501" t="str">
        <f>IF(Start!$C$18="x",IF(AND(OR(F197="",F197="NA"),OR(G197="",G197="NA")),"",IF(I197="NA","NA",IF(AND(I197="",K197="--"),"NA",IF(AF197="NA","Missing Data",IF(I197="","No Criteria",IF(AF197&gt;=I197,"Needed","No")))))),"---")</f>
        <v/>
      </c>
      <c r="D197" s="347" t="str">
        <f>IF(Start!$C$18="x",IF(AND(OR(F197="",F197="NA"),OR(G197="",G197="NA")),"",IF(I197="NA","NA",IF(AND(I197="",K197="--"),"NA",IF(AO197="NA","Missing Data",IF(I197="","No Criteria",IF(AO197&gt;=I197,"Needed","No")))))),"---")</f>
        <v/>
      </c>
      <c r="E197" s="401" t="str">
        <f>IF(Start!$C$18="x",IF(AND(OR(F197="",F197="NA"),OR(G197="",G197="NA")),"",IF(I197="NA","NA",IF(AND(I197="",K197="--"),"NA",IF(AU197="NA","Missing Data",IF(I197="","No Criteria",IF(AU197&gt;=I197,"Needed","No")))))),"---")</f>
        <v/>
      </c>
      <c r="F197" s="431" t="str">
        <f>IF(TRUE=ISBLANK(ChemData!B197),"",(ChemData!B197))</f>
        <v/>
      </c>
      <c r="G197" s="432" t="str">
        <f>IF(TRUE=ISBLANK(ChemData!C197),"",(ChemData!C197))</f>
        <v/>
      </c>
      <c r="H197" s="433" t="str">
        <f>IF(TRUE=ISBLANK(ChemData!D197),"",(ChemData!D197))</f>
        <v/>
      </c>
      <c r="I197" s="919" t="str">
        <f>IF(TRUE=ISBLANK(ChemData!K197),"",(ChemData!K197))</f>
        <v>NA</v>
      </c>
      <c r="J197" s="290">
        <f>IF(TRUE=ISBLANK(ChemData!M197),"",(ChemData!M197))</f>
        <v>258.3</v>
      </c>
      <c r="K197" s="290">
        <f>IF(TRUE=ISBLANK(ChemData!N197),"",(ChemData!N197))</f>
        <v>4.8400000000000003E-8</v>
      </c>
      <c r="L197" s="290">
        <f>IF(TRUE=ISBLANK(ChemData!O197),"",(ChemData!O197))</f>
        <v>4.5600000000000002E-2</v>
      </c>
      <c r="M197" s="290">
        <f>IF(TRUE=ISBLANK(ChemData!Q197),"",(ChemData!Q197))</f>
        <v>2.2772274947737192</v>
      </c>
      <c r="N197" s="290">
        <f>IF(TRUE=ISBLANK(ChemData!R197),"",(ChemData!R197))</f>
        <v>2.2772274947737192</v>
      </c>
      <c r="O197" s="290">
        <f>IF(TRUE=ISBLANK(ChemData!S197),"",(ChemData!S197))</f>
        <v>1</v>
      </c>
      <c r="P197" s="291">
        <f>IF(TRUE=ISBLANK(ChemData!T197),"",(ChemData!T197))</f>
        <v>1</v>
      </c>
      <c r="Q197" s="375">
        <f>IF(Start!$C$18="x",IF(OR(K197="NA",K197="",K197="--"),"NA",(K197*1000000/82.1/Data!$D$50)),"---")</f>
        <v>1.9016934501591296E-6</v>
      </c>
      <c r="R197" s="376">
        <f>IF(Start!$C$18="x",IF(OR(J197="NA",J197=0,J197=""),"NA",(0.32*(Data!$D$48+Data!$D$49)*(18/J197)^0.5)),"---")</f>
        <v>0.21752103506756332</v>
      </c>
      <c r="S197" s="376">
        <f>IF(Start!$C$18="x",IF(OR(J197="NA",J197= 0,J197=""),"NA",(0.0065*((Data!$D$49^0.969)/(Data!$D$51^0.673))*(32/J197)^0.5*EXP(0.526*Data!$D$48^-1.9))),"---")</f>
        <v>4.5847474828662288E-4</v>
      </c>
      <c r="T197" s="377">
        <f>IF(Start!$C$18="x",IF(OR(S197="NA",R197="NA",R197=0,Q197="NA",S197=0,Q197=0),"NA",(1/(1/S197+(1/(R197*Q197))))),"---")</f>
        <v>4.1328544133369768E-7</v>
      </c>
      <c r="U197" s="375" t="str">
        <f>IF(Start!$C$18="x",IF(OR(F197="NA",F197="",O197="",O197="NA"),"NA",(F197*$O197)),"---")</f>
        <v>NA</v>
      </c>
      <c r="V197" s="376" t="str">
        <f>IF(Start!$C$18="x",IF(OR(U197="NA",M197="NA",M197="",U197=""),"NA",U197/((Data!$D$18+((1-Data!$D$18)*Data!$D$14*M197))/((1-Data!$D$18)*Data!$D$14*1000))),"---")</f>
        <v>NA</v>
      </c>
      <c r="W197" s="376" t="str">
        <f>IF(Start!$C$18="x",IF(OR(G197="NA",U197="NA",G197="",U197=""),"NA",(U197 +($G197*(Data!$D$19-Data!$D$22)/(Data!$D$19*Data!$D$22)))),"---")</f>
        <v>NA</v>
      </c>
      <c r="X197" s="376" t="str">
        <f>IF(Start!$C$18="x",IF(OR(G197="NA",V197="NA",G197="",V197=""),"NA",(((Data!$D$22*Data!$D$18)*V197)+(Data!$D$19-Data!$D$22)*$G197)/((Data!$D$22*Data!$D$18)+Data!$D$19-Data!$D$22)),"---")</f>
        <v>NA</v>
      </c>
      <c r="Y197" s="376" t="str">
        <f>IF(Start!$C$18="x",IF(OR(W197="NA",W197="",M197="NA",M197=""),"NA",(W197/((Data!$D$23+((1-Data!$D$23)*Data!$D$14*M197)) /((1-Data!$D$23)*Data!$D$14*1000)))),"---")</f>
        <v>NA</v>
      </c>
      <c r="Z197" s="376" t="str">
        <f>IF(Start!$C$18="x",IF(OR(Y197="NA",X197="NA"),"NA",IF(Y197&gt;X197, Y197, X197)),"---")</f>
        <v>NA</v>
      </c>
      <c r="AA197" s="461" t="str">
        <f>IF(Start!$C$18="x",IF(OR(Z197="NA",T197="NA"),"NA",Z197*T197/(1000000000)),"---")</f>
        <v>NA</v>
      </c>
      <c r="AB197" s="1057" t="str">
        <f>IF(Start!$C$18="x",IF(AA197 = "NA", "NA", AA197*(Data!$D$52*Data!$D$53*10000)),"---")</f>
        <v>NA</v>
      </c>
      <c r="AC197" s="375" t="str">
        <f>IF(Start!$C$18="x",IF(AB197="NA", "NA", AB197*Data!$D$54),"---")</f>
        <v>NA</v>
      </c>
      <c r="AD197" s="498" t="str">
        <f>IF(Start!$C$18="x",IF(AC197="NA","NA",AC197*Data!$D$41),"---")</f>
        <v>NA</v>
      </c>
      <c r="AE197" s="376" t="str">
        <f>IF(Start!$C$18="x",IF(AB197 = "NA", "NA", AB197/(Data!$D$53*3*Data!$D$48)*1000),"---")</f>
        <v>NA</v>
      </c>
      <c r="AF197" s="498" t="str">
        <f>IF(Start!$C$18="x",IF(AE197="NA","NA",AE197*Data!$D$46),"---")</f>
        <v>NA</v>
      </c>
      <c r="AG197" s="375">
        <f>IF(Start!$C$18="x",IF(OR($L197="NA",L197=""),"NA",($L197*(Data!$D$55^3.33)/(Data!$D$18^2))),"---")</f>
        <v>4.6454971118217356E-4</v>
      </c>
      <c r="AH197" s="376" t="str">
        <f>IF(Start!$C$18="x",IF(OR(F197="NA",F197="",P197="NA",P197=""),"NA",IF(100/Data!$D$10&gt;Data!$D$13,(F197*$P197),(F197*$P197)*Data!$D$13)),"---")</f>
        <v>NA</v>
      </c>
      <c r="AI197" s="489">
        <f>IF(Start!$C$18="x",IF(OR($N197="NA",$Q197="NA",$Q197=0,Q197="",N197=""),"NA",(1000*$N197/$Q197)),"---")</f>
        <v>1197473491.1050808</v>
      </c>
      <c r="AJ197" s="376">
        <f>IF(Start!$C$18="x",IF(OR(Q197 = "NA",Q197=0,N197 = "NA",N197="",Q197=""), "NA", IF($AG197="NA","NA",(3.1416*Data!$D$57*86400/($AG197*(Data!$D$55+(N197*Data!$D$19/(Q197*1000)))))^0.5)),"---")</f>
        <v>131.27989141767478</v>
      </c>
      <c r="AK197" s="376" t="str">
        <f>IF(Start!$C$18="x",IF(OR(AH197 = "NA",AI197="NA",AI197=0,AI197="",AH197=""), "NA", AH197/AI197),"---")</f>
        <v>NA</v>
      </c>
      <c r="AL197" s="376" t="str">
        <f>IF(Start!$C$18="x",IF(OR(AK197 ="NA",AK197="",AJ197= "NA",R197="NA",R197=0),"NA",(2*AK197)/(1000*(1/$R197+AJ197))),"---")</f>
        <v>NA</v>
      </c>
      <c r="AM197" s="376" t="str">
        <f>IF(Start!$C$18="x",IF(AL197 = "NA", "NA", AL197*(Data!$D$52*Data!$D$53*10000)),"---")</f>
        <v>NA</v>
      </c>
      <c r="AN197" s="376" t="str">
        <f>IF(Start!$C$18="x",IF(AM197 = "NA", "NA", AM197*(Data!$D$54)),"---")</f>
        <v>NA</v>
      </c>
      <c r="AO197" s="498" t="str">
        <f>IF(Start!$C$18="x",IF(AN197="NA","NA",AN197*Data!$D$41),"---")</f>
        <v>NA</v>
      </c>
      <c r="AP197" s="376">
        <f>IF(Start!$C$18="x",IF(OR(Q197=0,N197="NA",N197="",AG197="NA",AG197="",AG197=0,Q197="",Q197="NA"),"NA", (3.1416*Data!$D$56*86400/($AG197*(Data!$D$55+(N197*Data!$D$19/(Q197*1000)))))^0.5),"---")</f>
        <v>131.27989141767478</v>
      </c>
      <c r="AQ197" s="376" t="str">
        <f>IF(Start!$C$18="x",IF(OR(AH197="NA",AI197="NA",AI197="",AI197=0,AH197=""),"NA", AH197/AI197),"---")</f>
        <v>NA</v>
      </c>
      <c r="AR197" s="376" t="str">
        <f>IF(Start!$C$18="x",IF(OR(AQ197="NA",AP197="NA",$R197="NA",R197=0,R197=""),"NA",(2*AQ197)/(1000*(1/$R197+AP197))),"---")</f>
        <v>NA</v>
      </c>
      <c r="AS197" s="376" t="str">
        <f>IF(Start!$C$18="x",IF(AR197 = "NA", "NA", AR197*(Data!$D$52*Data!$D$53*10000)),"---")</f>
        <v>NA</v>
      </c>
      <c r="AT197" s="376" t="str">
        <f>IF(Start!$C$18="x",IF(AS197 = "NA", "NA", (AS197*1000)/(Data!$D$48*3*Data!$D$53)),"---")</f>
        <v>NA</v>
      </c>
      <c r="AU197" s="498" t="str">
        <f>IF(Start!$C$18="x",IF(AT197="NA","NA",AT197*Data!$D$47),"---")</f>
        <v>NA</v>
      </c>
      <c r="AV197" s="283" t="str">
        <f>IF(Start!$C$18="x",(IF(AND(F197="",G197= "",G197&lt;&gt;"NA"),"",IF(OR(AD197="NA",I197="NA",I197=0),"NA",(AD197/I197)))),"Not Req.")</f>
        <v/>
      </c>
      <c r="AW197" s="284" t="str">
        <f>IF(Start!$C$18="x",(IF(AND(F197="",G197= "",G197&lt;&gt;"NA"),"",IF(OR(AF197="NA",I197="NA",I197=0),"NA",(AF197/I197)))),"Not Req.")</f>
        <v/>
      </c>
      <c r="AX197" s="284" t="str">
        <f>IF(Start!$C$18="x",(IF(F197 ="","",IF(OR(AO197="NA",I197="NA",I197=0),"NA",(AO197/I197)))),"Not Req.")</f>
        <v/>
      </c>
      <c r="AY197" s="344" t="str">
        <f>IF(Start!$C$18="x",(IF(F197 ="","",IF(OR(AU197="NA",I197="NA",I197=0),"NA",(AU197/I197)))),"Not Req.")</f>
        <v/>
      </c>
      <c r="AZ197" s="208"/>
    </row>
    <row r="198" spans="1:52" s="183" customFormat="1" x14ac:dyDescent="0.25">
      <c r="A198" s="405" t="s">
        <v>516</v>
      </c>
      <c r="B198" s="347" t="str">
        <f>IF(Start!$C$18="x",IF(AND(OR(F198="",F198="NA"),OR(G198="",G198="NA")),"",IF(I198="NA","NA",IF(AND(I198="",K198="--"),"NA",IF(AD198="NA","Missing Data",IF(I198="","No Criteria",IF(AD198&gt;=I198,"Needed","No")))))),"---")</f>
        <v/>
      </c>
      <c r="C198" s="501" t="str">
        <f>IF(Start!$C$18="x",IF(AND(OR(F198="",F198="NA"),OR(G198="",G198="NA")),"",IF(I198="NA","NA",IF(AND(I198="",K198="--"),"NA",IF(AF198="NA","Missing Data",IF(I198="","No Criteria",IF(AF198&gt;=I198,"Needed","No")))))),"---")</f>
        <v/>
      </c>
      <c r="D198" s="347" t="str">
        <f>IF(Start!$C$18="x",IF(AND(OR(F198="",F198="NA"),OR(G198="",G198="NA")),"",IF(I198="NA","NA",IF(AND(I198="",K198="--"),"NA",IF(AO198="NA","Missing Data",IF(I198="","No Criteria",IF(AO198&gt;=I198,"Needed","No")))))),"---")</f>
        <v/>
      </c>
      <c r="E198" s="401" t="str">
        <f>IF(Start!$C$18="x",IF(AND(OR(F198="",F198="NA"),OR(G198="",G198="NA")),"",IF(I198="NA","NA",IF(AND(I198="",K198="--"),"NA",IF(AU198="NA","Missing Data",IF(I198="","No Criteria",IF(AU198&gt;=I198,"Needed","No")))))),"---")</f>
        <v/>
      </c>
      <c r="F198" s="431" t="str">
        <f>IF(TRUE=ISBLANK(ChemData!B198),"",(ChemData!B198))</f>
        <v/>
      </c>
      <c r="G198" s="432" t="str">
        <f>IF(TRUE=ISBLANK(ChemData!C198),"",(ChemData!C198))</f>
        <v/>
      </c>
      <c r="H198" s="433" t="str">
        <f>IF(TRUE=ISBLANK(ChemData!D198),"",(ChemData!D198))</f>
        <v/>
      </c>
      <c r="I198" s="919" t="str">
        <f>IF(TRUE=ISBLANK(ChemData!K198),"",(ChemData!K198))</f>
        <v>NA</v>
      </c>
      <c r="J198" s="290">
        <f>IF(TRUE=ISBLANK(ChemData!M198),"",(ChemData!M198))</f>
        <v>304.39999999999998</v>
      </c>
      <c r="K198" s="290">
        <f>IF(TRUE=ISBLANK(ChemData!N198),"",(ChemData!N198))</f>
        <v>1.1300000000000001E-7</v>
      </c>
      <c r="L198" s="290">
        <f>IF(TRUE=ISBLANK(ChemData!O198),"",(ChemData!O198))</f>
        <v>1.7999999999999999E-2</v>
      </c>
      <c r="M198" s="290">
        <f>IF(TRUE=ISBLANK(ChemData!Q198),"",(ChemData!Q198))</f>
        <v>41.443890000000003</v>
      </c>
      <c r="N198" s="290">
        <f>IF(TRUE=ISBLANK(ChemData!R198),"",(ChemData!R198))</f>
        <v>41.443890000000003</v>
      </c>
      <c r="O198" s="290">
        <f>IF(TRUE=ISBLANK(ChemData!S198),"",(ChemData!S198))</f>
        <v>1</v>
      </c>
      <c r="P198" s="291">
        <f>IF(TRUE=ISBLANK(ChemData!T198),"",(ChemData!T198))</f>
        <v>1</v>
      </c>
      <c r="Q198" s="375">
        <f>IF(Start!$C$18="x",IF(OR(K198="NA",K198="",K198="--"),"NA",(K198*1000000/82.1/Data!$D$50)),"---")</f>
        <v>4.439904129503753E-6</v>
      </c>
      <c r="R198" s="376">
        <f>IF(Start!$C$18="x",IF(OR(J198="NA",J198=0,J198=""),"NA",(0.32*(Data!$D$48+Data!$D$49)*(18/J198)^0.5)),"---")</f>
        <v>0.20037389492171193</v>
      </c>
      <c r="S198" s="376">
        <f>IF(Start!$C$18="x",IF(OR(J198="NA",J198= 0,J198=""),"NA",(0.0065*((Data!$D$49^0.969)/(Data!$D$51^0.673))*(32/J198)^0.5*EXP(0.526*Data!$D$48^-1.9))),"---")</f>
        <v>4.2233327461368438E-4</v>
      </c>
      <c r="T198" s="377">
        <f>IF(Start!$C$18="x",IF(OR(S198="NA",R198="NA",R198=0,Q198="NA",S198=0,Q198=0),"NA",(1/(1/S198+(1/(R198*Q198))))),"---")</f>
        <v>8.8777080305448186E-7</v>
      </c>
      <c r="U198" s="375" t="str">
        <f>IF(Start!$C$18="x",IF(OR(F198="NA",F198="",O198="",O198="NA"),"NA",(F198*$O198)),"---")</f>
        <v>NA</v>
      </c>
      <c r="V198" s="376" t="str">
        <f>IF(Start!$C$18="x",IF(OR(U198="NA",M198="NA",M198="",U198=""),"NA",U198/((Data!$D$18+((1-Data!$D$18)*Data!$D$14*M198))/((1-Data!$D$18)*Data!$D$14*1000))),"---")</f>
        <v>NA</v>
      </c>
      <c r="W198" s="376" t="str">
        <f>IF(Start!$C$18="x",IF(OR(G198="NA",U198="NA",G198="",U198=""),"NA",(U198 +($G198*(Data!$D$19-Data!$D$22)/(Data!$D$19*Data!$D$22)))),"---")</f>
        <v>NA</v>
      </c>
      <c r="X198" s="376" t="str">
        <f>IF(Start!$C$18="x",IF(OR(G198="NA",V198="NA",G198="",V198=""),"NA",(((Data!$D$22*Data!$D$18)*V198)+(Data!$D$19-Data!$D$22)*$G198)/((Data!$D$22*Data!$D$18)+Data!$D$19-Data!$D$22)),"---")</f>
        <v>NA</v>
      </c>
      <c r="Y198" s="376" t="str">
        <f>IF(Start!$C$18="x",IF(OR(W198="NA",W198="",M198="NA",M198=""),"NA",(W198/((Data!$D$23+((1-Data!$D$23)*Data!$D$14*M198)) /((1-Data!$D$23)*Data!$D$14*1000)))),"---")</f>
        <v>NA</v>
      </c>
      <c r="Z198" s="376" t="str">
        <f>IF(Start!$C$18="x",IF(OR(Y198="NA",X198="NA"),"NA",IF(Y198&gt;X198, Y198, X198)),"---")</f>
        <v>NA</v>
      </c>
      <c r="AA198" s="461" t="str">
        <f>IF(Start!$C$18="x",IF(OR(Z198="NA",T198="NA"),"NA",Z198*T198/(1000000000)),"---")</f>
        <v>NA</v>
      </c>
      <c r="AB198" s="1057" t="str">
        <f>IF(Start!$C$18="x",IF(AA198 = "NA", "NA", AA198*(Data!$D$52*Data!$D$53*10000)),"---")</f>
        <v>NA</v>
      </c>
      <c r="AC198" s="375" t="str">
        <f>IF(Start!$C$18="x",IF(AB198="NA", "NA", AB198*Data!$D$54),"---")</f>
        <v>NA</v>
      </c>
      <c r="AD198" s="498" t="str">
        <f>IF(Start!$C$18="x",IF(AC198="NA","NA",AC198*Data!$D$41),"---")</f>
        <v>NA</v>
      </c>
      <c r="AE198" s="376" t="str">
        <f>IF(Start!$C$18="x",IF(AB198 = "NA", "NA", AB198/(Data!$D$53*3*Data!$D$48)*1000),"---")</f>
        <v>NA</v>
      </c>
      <c r="AF198" s="498" t="str">
        <f>IF(Start!$C$18="x",IF(AE198="NA","NA",AE198*Data!$D$46),"---")</f>
        <v>NA</v>
      </c>
      <c r="AG198" s="375">
        <f>IF(Start!$C$18="x",IF(OR($L198="NA",L198=""),"NA",($L198*(Data!$D$55^3.33)/(Data!$D$18^2))),"---")</f>
        <v>1.8337488599296322E-4</v>
      </c>
      <c r="AH198" s="376" t="str">
        <f>IF(Start!$C$18="x",IF(OR(F198="NA",F198="",P198="NA",P198=""),"NA",IF(100/Data!$D$10&gt;Data!$D$13,(F198*$P198),(F198*$P198)*Data!$D$13)),"---")</f>
        <v>NA</v>
      </c>
      <c r="AI198" s="489">
        <f>IF(Start!$C$18="x",IF(OR($N198="NA",$Q198="NA",$Q198=0,Q198="",N198=""),"NA",(1000*$N198/$Q198)),"---")</f>
        <v>9334411012.3008842</v>
      </c>
      <c r="AJ198" s="376">
        <f>IF(Start!$C$18="x",IF(OR(Q198 = "NA",Q198=0,N198 = "NA",N198="",Q198=""), "NA", IF($AG198="NA","NA",(3.1416*Data!$D$57*86400/($AG198*(Data!$D$55+(N198*Data!$D$19/(Q198*1000)))))^0.5)),"---")</f>
        <v>74.840022426873674</v>
      </c>
      <c r="AK198" s="376" t="str">
        <f>IF(Start!$C$18="x",IF(OR(AH198 = "NA",AI198="NA",AI198=0,AI198="",AH198=""), "NA", AH198/AI198),"---")</f>
        <v>NA</v>
      </c>
      <c r="AL198" s="376" t="str">
        <f>IF(Start!$C$18="x",IF(OR(AK198 ="NA",AK198="",AJ198= "NA",R198="NA",R198=0),"NA",(2*AK198)/(1000*(1/$R198+AJ198))),"---")</f>
        <v>NA</v>
      </c>
      <c r="AM198" s="376" t="str">
        <f>IF(Start!$C$18="x",IF(AL198 = "NA", "NA", AL198*(Data!$D$52*Data!$D$53*10000)),"---")</f>
        <v>NA</v>
      </c>
      <c r="AN198" s="376" t="str">
        <f>IF(Start!$C$18="x",IF(AM198 = "NA", "NA", AM198*(Data!$D$54)),"---")</f>
        <v>NA</v>
      </c>
      <c r="AO198" s="498" t="str">
        <f>IF(Start!$C$18="x",IF(AN198="NA","NA",AN198*Data!$D$41),"---")</f>
        <v>NA</v>
      </c>
      <c r="AP198" s="376">
        <f>IF(Start!$C$18="x",IF(OR(Q198=0,N198="NA",N198="",AG198="NA",AG198="",AG198=0,Q198="",Q198="NA"),"NA", (3.1416*Data!$D$56*86400/($AG198*(Data!$D$55+(N198*Data!$D$19/(Q198*1000)))))^0.5),"---")</f>
        <v>74.840022426873674</v>
      </c>
      <c r="AQ198" s="376" t="str">
        <f>IF(Start!$C$18="x",IF(OR(AH198="NA",AI198="NA",AI198="",AI198=0,AH198=""),"NA", AH198/AI198),"---")</f>
        <v>NA</v>
      </c>
      <c r="AR198" s="376" t="str">
        <f>IF(Start!$C$18="x",IF(OR(AQ198="NA",AP198="NA",$R198="NA",R198=0,R198=""),"NA",(2*AQ198)/(1000*(1/$R198+AP198))),"---")</f>
        <v>NA</v>
      </c>
      <c r="AS198" s="376" t="str">
        <f>IF(Start!$C$18="x",IF(AR198 = "NA", "NA", AR198*(Data!$D$52*Data!$D$53*10000)),"---")</f>
        <v>NA</v>
      </c>
      <c r="AT198" s="376" t="str">
        <f>IF(Start!$C$18="x",IF(AS198 = "NA", "NA", (AS198*1000)/(Data!$D$48*3*Data!$D$53)),"---")</f>
        <v>NA</v>
      </c>
      <c r="AU198" s="498" t="str">
        <f>IF(Start!$C$18="x",IF(AT198="NA","NA",AT198*Data!$D$47),"---")</f>
        <v>NA</v>
      </c>
      <c r="AV198" s="283" t="str">
        <f>IF(Start!$C$18="x",(IF(AND(F198="",G198= "",G198&lt;&gt;"NA"),"",IF(OR(AD198="NA",I198="NA",I198=0),"NA",(AD198/I198)))),"Not Req.")</f>
        <v/>
      </c>
      <c r="AW198" s="284" t="str">
        <f>IF(Start!$C$18="x",(IF(AND(F198="",G198= "",G198&lt;&gt;"NA"),"",IF(OR(AF198="NA",I198="NA",I198=0),"NA",(AF198/I198)))),"Not Req.")</f>
        <v/>
      </c>
      <c r="AX198" s="284" t="str">
        <f>IF(Start!$C$18="x",(IF(F198 ="","",IF(OR(AO198="NA",I198="NA",I198=0),"NA",(AO198/I198)))),"Not Req.")</f>
        <v/>
      </c>
      <c r="AY198" s="344" t="str">
        <f>IF(Start!$C$18="x",(IF(F198 ="","",IF(OR(AU198="NA",I198="NA",I198=0),"NA",(AU198/I198)))),"Not Req.")</f>
        <v/>
      </c>
      <c r="AZ198" s="208"/>
    </row>
    <row r="199" spans="1:52" s="183" customFormat="1" x14ac:dyDescent="0.25">
      <c r="A199" s="405" t="s">
        <v>684</v>
      </c>
      <c r="B199" s="347" t="str">
        <f>IF(Start!$C$18="x",IF(AND(OR(F199="",F199="NA"),OR(G199="",G199="NA")),"",IF(I199="NA","NA",IF(AND(I199="",K199="--"),"NA",IF(AD199="NA","Missing Data",IF(I199="","No Criteria",IF(AD199&gt;=I199,"Needed","No")))))),"---")</f>
        <v/>
      </c>
      <c r="C199" s="501" t="str">
        <f>IF(Start!$C$18="x",IF(AND(OR(F199="",F199="NA"),OR(G199="",G199="NA")),"",IF(I199="NA","NA",IF(AND(I199="",K199="--"),"NA",IF(AF199="NA","Missing Data",IF(I199="","No Criteria",IF(AF199&gt;=I199,"Needed","No")))))),"---")</f>
        <v/>
      </c>
      <c r="D199" s="347" t="str">
        <f>IF(Start!$C$18="x",IF(AND(OR(F199="",F199="NA"),OR(G199="",G199="NA")),"",IF(I199="NA","NA",IF(AND(I199="",K199="--"),"NA",IF(AO199="NA","Missing Data",IF(I199="","No Criteria",IF(AO199&gt;=I199,"Needed","No")))))),"---")</f>
        <v/>
      </c>
      <c r="E199" s="401" t="str">
        <f>IF(Start!$C$18="x",IF(AND(OR(F199="",F199="NA"),OR(G199="",G199="NA")),"",IF(I199="NA","NA",IF(AND(I199="",K199="--"),"NA",IF(AU199="NA","Missing Data",IF(I199="","No Criteria",IF(AU199&gt;=I199,"Needed","No")))))),"---")</f>
        <v/>
      </c>
      <c r="F199" s="431" t="str">
        <f>IF(TRUE=ISBLANK(ChemData!B199),"",(ChemData!B199))</f>
        <v/>
      </c>
      <c r="G199" s="432" t="str">
        <f>IF(TRUE=ISBLANK(ChemData!C199),"",(ChemData!C199))</f>
        <v/>
      </c>
      <c r="H199" s="433" t="str">
        <f>IF(TRUE=ISBLANK(ChemData!D199),"",(ChemData!D199))</f>
        <v/>
      </c>
      <c r="I199" s="919" t="str">
        <f>IF(TRUE=ISBLANK(ChemData!K199),"",(ChemData!K199))</f>
        <v>NA</v>
      </c>
      <c r="J199" s="290">
        <f>IF(TRUE=ISBLANK(ChemData!M199),"",(ChemData!M199))</f>
        <v>229.28</v>
      </c>
      <c r="K199" s="290">
        <f>IF(TRUE=ISBLANK(ChemData!N199),"",(ChemData!N199))</f>
        <v>6.1499999999999994E-11</v>
      </c>
      <c r="L199" s="290">
        <f>IF(TRUE=ISBLANK(ChemData!O199),"",(ChemData!O199))</f>
        <v>0.08</v>
      </c>
      <c r="M199" s="290">
        <f>IF(TRUE=ISBLANK(ChemData!Q199),"",(ChemData!Q199))</f>
        <v>0.11153377938236365</v>
      </c>
      <c r="N199" s="290">
        <f>IF(TRUE=ISBLANK(ChemData!R199),"",(ChemData!R199))</f>
        <v>0.11153377938236365</v>
      </c>
      <c r="O199" s="290">
        <f>IF(TRUE=ISBLANK(ChemData!S199),"",(ChemData!S199))</f>
        <v>1</v>
      </c>
      <c r="P199" s="291">
        <f>IF(TRUE=ISBLANK(ChemData!T199),"",(ChemData!T199))</f>
        <v>1</v>
      </c>
      <c r="Q199" s="375">
        <f>IF(Start!$C$18="x",IF(OR(K199="NA",K199="",K199="--"),"NA",(K199*1000000/82.1/Data!$D$50)),"---")</f>
        <v>2.4164079996856702E-9</v>
      </c>
      <c r="R199" s="376">
        <f>IF(Start!$C$18="x",IF(OR(J199="NA",J199=0,J199=""),"NA",(0.32*(Data!$D$48+Data!$D$49)*(18/J199)^0.5)),"---")</f>
        <v>0.23087684430571778</v>
      </c>
      <c r="S199" s="376">
        <f>IF(Start!$C$18="x",IF(OR(J199="NA",J199= 0,J199=""),"NA",(0.0065*((Data!$D$49^0.969)/(Data!$D$51^0.673))*(32/J199)^0.5*EXP(0.526*Data!$D$48^-1.9))),"---")</f>
        <v>4.8662513510656924E-4</v>
      </c>
      <c r="T199" s="377">
        <f>IF(Start!$C$18="x",IF(OR(S199="NA",R199="NA",R199=0,Q199="NA",S199=0,Q199=0),"NA",(1/(1/S199+(1/(R199*Q199))))),"---")</f>
        <v>5.5789201392576712E-10</v>
      </c>
      <c r="U199" s="375" t="str">
        <f>IF(Start!$C$18="x",IF(OR(F199="NA",F199="",O199="",O199="NA"),"NA",(F199*$O199)),"---")</f>
        <v>NA</v>
      </c>
      <c r="V199" s="376" t="str">
        <f>IF(Start!$C$18="x",IF(OR(U199="NA",M199="NA",M199="",U199=""),"NA",U199/((Data!$D$18+((1-Data!$D$18)*Data!$D$14*M199))/((1-Data!$D$18)*Data!$D$14*1000))),"---")</f>
        <v>NA</v>
      </c>
      <c r="W199" s="376" t="str">
        <f>IF(Start!$C$18="x",IF(OR(G199="NA",U199="NA",G199="",U199=""),"NA",(U199 +($G199*(Data!$D$19-Data!$D$22)/(Data!$D$19*Data!$D$22)))),"---")</f>
        <v>NA</v>
      </c>
      <c r="X199" s="376" t="str">
        <f>IF(Start!$C$18="x",IF(OR(G199="NA",V199="NA",G199="",V199=""),"NA",(((Data!$D$22*Data!$D$18)*V199)+(Data!$D$19-Data!$D$22)*$G199)/((Data!$D$22*Data!$D$18)+Data!$D$19-Data!$D$22)),"---")</f>
        <v>NA</v>
      </c>
      <c r="Y199" s="376" t="str">
        <f>IF(Start!$C$18="x",IF(OR(W199="NA",W199="",M199="NA",M199=""),"NA",(W199/((Data!$D$23+((1-Data!$D$23)*Data!$D$14*M199)) /((1-Data!$D$23)*Data!$D$14*1000)))),"---")</f>
        <v>NA</v>
      </c>
      <c r="Z199" s="376" t="str">
        <f>IF(Start!$C$18="x",IF(OR(Y199="NA",X199="NA"),"NA",IF(Y199&gt;X199, Y199, X199)),"---")</f>
        <v>NA</v>
      </c>
      <c r="AA199" s="461" t="str">
        <f>IF(Start!$C$18="x",IF(OR(Z199="NA",T199="NA"),"NA",Z199*T199/(1000000000)),"---")</f>
        <v>NA</v>
      </c>
      <c r="AB199" s="1057" t="str">
        <f>IF(Start!$C$18="x",IF(AA199 = "NA", "NA", AA199*(Data!$D$52*Data!$D$53*10000)),"---")</f>
        <v>NA</v>
      </c>
      <c r="AC199" s="375" t="str">
        <f>IF(Start!$C$18="x",IF(AB199="NA", "NA", AB199*Data!$D$54),"---")</f>
        <v>NA</v>
      </c>
      <c r="AD199" s="498" t="str">
        <f>IF(Start!$C$18="x",IF(AC199="NA","NA",AC199*Data!$D$41),"---")</f>
        <v>NA</v>
      </c>
      <c r="AE199" s="376" t="str">
        <f>IF(Start!$C$18="x",IF(AB199 = "NA", "NA", AB199/(Data!$D$53*3*Data!$D$48)*1000),"---")</f>
        <v>NA</v>
      </c>
      <c r="AF199" s="498" t="str">
        <f>IF(Start!$C$18="x",IF(AE199="NA","NA",AE199*Data!$D$46),"---")</f>
        <v>NA</v>
      </c>
      <c r="AG199" s="375">
        <f>IF(Start!$C$18="x",IF(OR($L199="NA",L199=""),"NA",($L199*(Data!$D$55^3.33)/(Data!$D$18^2))),"---")</f>
        <v>8.1499949330205888E-4</v>
      </c>
      <c r="AH199" s="376" t="str">
        <f>IF(Start!$C$18="x",IF(OR(F199="NA",F199="",P199="NA",P199=""),"NA",IF(100/Data!$D$10&gt;Data!$D$13,(F199*$P199),(F199*$P199)*Data!$D$13)),"---")</f>
        <v>NA</v>
      </c>
      <c r="AI199" s="489">
        <f>IF(Start!$C$18="x",IF(OR($N199="NA",$Q199="NA",$Q199=0,Q199="",N199=""),"NA",(1000*$N199/$Q199)),"---")</f>
        <v>46156849090.415245</v>
      </c>
      <c r="AJ199" s="376">
        <f>IF(Start!$C$18="x",IF(OR(Q199 = "NA",Q199=0,N199 = "NA",N199="",Q199=""), "NA", IF($AG199="NA","NA",(3.1416*Data!$D$57*86400/($AG199*(Data!$D$55+(N199*Data!$D$19/(Q199*1000)))))^0.5)),"---")</f>
        <v>15.964324809207488</v>
      </c>
      <c r="AK199" s="376" t="str">
        <f>IF(Start!$C$18="x",IF(OR(AH199 = "NA",AI199="NA",AI199=0,AI199="",AH199=""), "NA", AH199/AI199),"---")</f>
        <v>NA</v>
      </c>
      <c r="AL199" s="376" t="str">
        <f>IF(Start!$C$18="x",IF(OR(AK199 ="NA",AK199="",AJ199= "NA",R199="NA",R199=0),"NA",(2*AK199)/(1000*(1/$R199+AJ199))),"---")</f>
        <v>NA</v>
      </c>
      <c r="AM199" s="376" t="str">
        <f>IF(Start!$C$18="x",IF(AL199 = "NA", "NA", AL199*(Data!$D$52*Data!$D$53*10000)),"---")</f>
        <v>NA</v>
      </c>
      <c r="AN199" s="376" t="str">
        <f>IF(Start!$C$18="x",IF(AM199 = "NA", "NA", AM199*(Data!$D$54)),"---")</f>
        <v>NA</v>
      </c>
      <c r="AO199" s="498" t="str">
        <f>IF(Start!$C$18="x",IF(AN199="NA","NA",AN199*Data!$D$41),"---")</f>
        <v>NA</v>
      </c>
      <c r="AP199" s="376">
        <f>IF(Start!$C$18="x",IF(OR(Q199=0,N199="NA",N199="",AG199="NA",AG199="",AG199=0,Q199="",Q199="NA"),"NA", (3.1416*Data!$D$56*86400/($AG199*(Data!$D$55+(N199*Data!$D$19/(Q199*1000)))))^0.5),"---")</f>
        <v>15.964324809207488</v>
      </c>
      <c r="AQ199" s="376" t="str">
        <f>IF(Start!$C$18="x",IF(OR(AH199="NA",AI199="NA",AI199="",AI199=0,AH199=""),"NA", AH199/AI199),"---")</f>
        <v>NA</v>
      </c>
      <c r="AR199" s="376" t="str">
        <f>IF(Start!$C$18="x",IF(OR(AQ199="NA",AP199="NA",$R199="NA",R199=0,R199=""),"NA",(2*AQ199)/(1000*(1/$R199+AP199))),"---")</f>
        <v>NA</v>
      </c>
      <c r="AS199" s="376" t="str">
        <f>IF(Start!$C$18="x",IF(AR199 = "NA", "NA", AR199*(Data!$D$52*Data!$D$53*10000)),"---")</f>
        <v>NA</v>
      </c>
      <c r="AT199" s="376" t="str">
        <f>IF(Start!$C$18="x",IF(AS199 = "NA", "NA", (AS199*1000)/(Data!$D$48*3*Data!$D$53)),"---")</f>
        <v>NA</v>
      </c>
      <c r="AU199" s="498" t="str">
        <f>IF(Start!$C$18="x",IF(AT199="NA","NA",AT199*Data!$D$47),"---")</f>
        <v>NA</v>
      </c>
      <c r="AV199" s="283" t="str">
        <f>IF(Start!$C$18="x",(IF(AND(F199="",G199= "",G199&lt;&gt;"NA"),"",IF(OR(AD199="NA",I199="NA",I199=0),"NA",(AD199/I199)))),"Not Req.")</f>
        <v/>
      </c>
      <c r="AW199" s="284" t="str">
        <f>IF(Start!$C$18="x",(IF(AND(F199="",G199= "",G199&lt;&gt;"NA"),"",IF(OR(AF199="NA",I199="NA",I199=0),"NA",(AF199/I199)))),"Not Req.")</f>
        <v/>
      </c>
      <c r="AX199" s="284" t="str">
        <f>IF(Start!$C$18="x",(IF(F199 ="","",IF(OR(AO199="NA",I199="NA",I199=0),"NA",(AO199/I199)))),"Not Req.")</f>
        <v/>
      </c>
      <c r="AY199" s="344" t="str">
        <f>IF(Start!$C$18="x",(IF(F199 ="","",IF(OR(AU199="NA",I199="NA",I199=0),"NA",(AU199/I199)))),"Not Req.")</f>
        <v/>
      </c>
      <c r="AZ199" s="208"/>
    </row>
    <row r="200" spans="1:52" s="183" customFormat="1" x14ac:dyDescent="0.25">
      <c r="A200" s="405" t="s">
        <v>685</v>
      </c>
      <c r="B200" s="347" t="str">
        <f>IF(Start!$C$18="x",IF(AND(OR(F200="",F200="NA"),OR(G200="",G200="NA")),"",IF(I200="NA","NA",IF(AND(I200="",K200="--"),"NA",IF(AD200="NA","Missing Data",IF(I200="","No Criteria",IF(AD200&gt;=I200,"Needed","No")))))),"---")</f>
        <v/>
      </c>
      <c r="C200" s="501" t="str">
        <f>IF(Start!$C$18="x",IF(AND(OR(F200="",F200="NA"),OR(G200="",G200="NA")),"",IF(I200="NA","NA",IF(AND(I200="",K200="--"),"NA",IF(AF200="NA","Missing Data",IF(I200="","No Criteria",IF(AF200&gt;=I200,"Needed","No")))))),"---")</f>
        <v/>
      </c>
      <c r="D200" s="347" t="str">
        <f>IF(Start!$C$18="x",IF(AND(OR(F200="",F200="NA"),OR(G200="",G200="NA")),"",IF(I200="NA","NA",IF(AND(I200="",K200="--"),"NA",IF(AO200="NA","Missing Data",IF(I200="","No Criteria",IF(AO200&gt;=I200,"Needed","No")))))),"---")</f>
        <v/>
      </c>
      <c r="E200" s="401" t="str">
        <f>IF(Start!$C$18="x",IF(AND(OR(F200="",F200="NA"),OR(G200="",G200="NA")),"",IF(I200="NA","NA",IF(AND(I200="",K200="--"),"NA",IF(AU200="NA","Missing Data",IF(I200="","No Criteria",IF(AU200&gt;=I200,"Needed","No")))))),"---")</f>
        <v/>
      </c>
      <c r="F200" s="431" t="str">
        <f>IF(TRUE=ISBLANK(ChemData!B200),"",(ChemData!B200))</f>
        <v/>
      </c>
      <c r="G200" s="432" t="str">
        <f>IF(TRUE=ISBLANK(ChemData!C200),"",(ChemData!C200))</f>
        <v/>
      </c>
      <c r="H200" s="433" t="str">
        <f>IF(TRUE=ISBLANK(ChemData!D200),"",(ChemData!D200))</f>
        <v/>
      </c>
      <c r="I200" s="919" t="str">
        <f>IF(TRUE=ISBLANK(ChemData!K200),"",(ChemData!K200))</f>
        <v>NA</v>
      </c>
      <c r="J200" s="290">
        <f>IF(TRUE=ISBLANK(ChemData!M200),"",(ChemData!M200))</f>
        <v>291.3</v>
      </c>
      <c r="K200" s="290">
        <f>IF(TRUE=ISBLANK(ChemData!N200),"",(ChemData!N200))</f>
        <v>2.3699999999999999E-7</v>
      </c>
      <c r="L200" s="290">
        <f>IF(TRUE=ISBLANK(ChemData!O200),"",(ChemData!O200))</f>
        <v>1.7000000000000001E-2</v>
      </c>
      <c r="M200" s="290">
        <f>IF(TRUE=ISBLANK(ChemData!Q200),"",(ChemData!Q200))</f>
        <v>99.404585508133763</v>
      </c>
      <c r="N200" s="290">
        <f>IF(TRUE=ISBLANK(ChemData!R200),"",(ChemData!R200))</f>
        <v>99.404585508133763</v>
      </c>
      <c r="O200" s="290">
        <f>IF(TRUE=ISBLANK(ChemData!S200),"",(ChemData!S200))</f>
        <v>1</v>
      </c>
      <c r="P200" s="291">
        <f>IF(TRUE=ISBLANK(ChemData!T200),"",(ChemData!T200))</f>
        <v>1</v>
      </c>
      <c r="Q200" s="375">
        <f>IF(Start!$C$18="x",IF(OR(K200="NA",K200="",K200="--"),"NA",(K200*1000000/82.1/Data!$D$50)),"---")</f>
        <v>9.3120113158618522E-6</v>
      </c>
      <c r="R200" s="376">
        <f>IF(Start!$C$18="x",IF(OR(J200="NA",J200=0,J200=""),"NA",(0.32*(Data!$D$48+Data!$D$49)*(18/J200)^0.5)),"---")</f>
        <v>0.20482983819712389</v>
      </c>
      <c r="S200" s="376">
        <f>IF(Start!$C$18="x",IF(OR(J200="NA",J200= 0,J200=""),"NA",(0.0065*((Data!$D$49^0.969)/(Data!$D$51^0.673))*(32/J200)^0.5*EXP(0.526*Data!$D$48^-1.9))),"---")</f>
        <v>4.3172518225580934E-4</v>
      </c>
      <c r="T200" s="377">
        <f>IF(Start!$C$18="x",IF(OR(S200="NA",R200="NA",R200=0,Q200="NA",S200=0,Q200=0),"NA",(1/(1/S200+(1/(R200*Q200))))),"---")</f>
        <v>1.8989879722485882E-6</v>
      </c>
      <c r="U200" s="375" t="str">
        <f>IF(Start!$C$18="x",IF(OR(F200="NA",F200="",O200="",O200="NA"),"NA",(F200*$O200)),"---")</f>
        <v>NA</v>
      </c>
      <c r="V200" s="376" t="str">
        <f>IF(Start!$C$18="x",IF(OR(U200="NA",M200="NA",M200="",U200=""),"NA",U200/((Data!$D$18+((1-Data!$D$18)*Data!$D$14*M200))/((1-Data!$D$18)*Data!$D$14*1000))),"---")</f>
        <v>NA</v>
      </c>
      <c r="W200" s="376" t="str">
        <f>IF(Start!$C$18="x",IF(OR(G200="NA",U200="NA",G200="",U200=""),"NA",(U200 +($G200*(Data!$D$19-Data!$D$22)/(Data!$D$19*Data!$D$22)))),"---")</f>
        <v>NA</v>
      </c>
      <c r="X200" s="376" t="str">
        <f>IF(Start!$C$18="x",IF(OR(G200="NA",V200="NA",G200="",V200=""),"NA",(((Data!$D$22*Data!$D$18)*V200)+(Data!$D$19-Data!$D$22)*$G200)/((Data!$D$22*Data!$D$18)+Data!$D$19-Data!$D$22)),"---")</f>
        <v>NA</v>
      </c>
      <c r="Y200" s="376" t="str">
        <f>IF(Start!$C$18="x",IF(OR(W200="NA",W200="",M200="NA",M200=""),"NA",(W200/((Data!$D$23+((1-Data!$D$23)*Data!$D$14*M200)) /((1-Data!$D$23)*Data!$D$14*1000)))),"---")</f>
        <v>NA</v>
      </c>
      <c r="Z200" s="376" t="str">
        <f>IF(Start!$C$18="x",IF(OR(Y200="NA",X200="NA"),"NA",IF(Y200&gt;X200, Y200, X200)),"---")</f>
        <v>NA</v>
      </c>
      <c r="AA200" s="461" t="str">
        <f>IF(Start!$C$18="x",IF(OR(Z200="NA",T200="NA"),"NA",Z200*T200/(1000000000)),"---")</f>
        <v>NA</v>
      </c>
      <c r="AB200" s="1057" t="str">
        <f>IF(Start!$C$18="x",IF(AA200 = "NA", "NA", AA200*(Data!$D$52*Data!$D$53*10000)),"---")</f>
        <v>NA</v>
      </c>
      <c r="AC200" s="375" t="str">
        <f>IF(Start!$C$18="x",IF(AB200="NA", "NA", AB200*Data!$D$54),"---")</f>
        <v>NA</v>
      </c>
      <c r="AD200" s="498" t="str">
        <f>IF(Start!$C$18="x",IF(AC200="NA","NA",AC200*Data!$D$41),"---")</f>
        <v>NA</v>
      </c>
      <c r="AE200" s="376" t="str">
        <f>IF(Start!$C$18="x",IF(AB200 = "NA", "NA", AB200/(Data!$D$53*3*Data!$D$48)*1000),"---")</f>
        <v>NA</v>
      </c>
      <c r="AF200" s="498" t="str">
        <f>IF(Start!$C$18="x",IF(AE200="NA","NA",AE200*Data!$D$46),"---")</f>
        <v>NA</v>
      </c>
      <c r="AG200" s="375">
        <f>IF(Start!$C$18="x",IF(OR($L200="NA",L200=""),"NA",($L200*(Data!$D$55^3.33)/(Data!$D$18^2))),"---")</f>
        <v>1.7318739232668752E-4</v>
      </c>
      <c r="AH200" s="376" t="str">
        <f>IF(Start!$C$18="x",IF(OR(F200="NA",F200="",P200="NA",P200=""),"NA",IF(100/Data!$D$10&gt;Data!$D$13,(F200*$P200),(F200*$P200)*Data!$D$13)),"---")</f>
        <v>NA</v>
      </c>
      <c r="AI200" s="489">
        <f>IF(Start!$C$18="x",IF(OR($N200="NA",$Q200="NA",$Q200=0,Q200="",N200=""),"NA",(1000*$N200/$Q200)),"---")</f>
        <v>10674878083.407225</v>
      </c>
      <c r="AJ200" s="376">
        <f>IF(Start!$C$18="x",IF(OR(Q200 = "NA",Q200=0,N200 = "NA",N200="",Q200=""), "NA", IF($AG200="NA","NA",(3.1416*Data!$D$57*86400/($AG200*(Data!$D$55+(N200*Data!$D$19/(Q200*1000)))))^0.5)),"---")</f>
        <v>72.012468717223314</v>
      </c>
      <c r="AK200" s="376" t="str">
        <f>IF(Start!$C$18="x",IF(OR(AH200 = "NA",AI200="NA",AI200=0,AI200="",AH200=""), "NA", AH200/AI200),"---")</f>
        <v>NA</v>
      </c>
      <c r="AL200" s="376" t="str">
        <f>IF(Start!$C$18="x",IF(OR(AK200 ="NA",AK200="",AJ200= "NA",R200="NA",R200=0),"NA",(2*AK200)/(1000*(1/$R200+AJ200))),"---")</f>
        <v>NA</v>
      </c>
      <c r="AM200" s="376" t="str">
        <f>IF(Start!$C$18="x",IF(AL200 = "NA", "NA", AL200*(Data!$D$52*Data!$D$53*10000)),"---")</f>
        <v>NA</v>
      </c>
      <c r="AN200" s="376" t="str">
        <f>IF(Start!$C$18="x",IF(AM200 = "NA", "NA", AM200*(Data!$D$54)),"---")</f>
        <v>NA</v>
      </c>
      <c r="AO200" s="498" t="str">
        <f>IF(Start!$C$18="x",IF(AN200="NA","NA",AN200*Data!$D$41),"---")</f>
        <v>NA</v>
      </c>
      <c r="AP200" s="376">
        <f>IF(Start!$C$18="x",IF(OR(Q200=0,N200="NA",N200="",AG200="NA",AG200="",AG200=0,Q200="",Q200="NA"),"NA", (3.1416*Data!$D$56*86400/($AG200*(Data!$D$55+(N200*Data!$D$19/(Q200*1000)))))^0.5),"---")</f>
        <v>72.012468717223314</v>
      </c>
      <c r="AQ200" s="376" t="str">
        <f>IF(Start!$C$18="x",IF(OR(AH200="NA",AI200="NA",AI200="",AI200=0,AH200=""),"NA", AH200/AI200),"---")</f>
        <v>NA</v>
      </c>
      <c r="AR200" s="376" t="str">
        <f>IF(Start!$C$18="x",IF(OR(AQ200="NA",AP200="NA",$R200="NA",R200=0,R200=""),"NA",(2*AQ200)/(1000*(1/$R200+AP200))),"---")</f>
        <v>NA</v>
      </c>
      <c r="AS200" s="376" t="str">
        <f>IF(Start!$C$18="x",IF(AR200 = "NA", "NA", AR200*(Data!$D$52*Data!$D$53*10000)),"---")</f>
        <v>NA</v>
      </c>
      <c r="AT200" s="376" t="str">
        <f>IF(Start!$C$18="x",IF(AS200 = "NA", "NA", (AS200*1000)/(Data!$D$48*3*Data!$D$53)),"---")</f>
        <v>NA</v>
      </c>
      <c r="AU200" s="498" t="str">
        <f>IF(Start!$C$18="x",IF(AT200="NA","NA",AT200*Data!$D$47),"---")</f>
        <v>NA</v>
      </c>
      <c r="AV200" s="283" t="str">
        <f>IF(Start!$C$18="x",(IF(AND(F200="",G200= "",G200&lt;&gt;"NA"),"",IF(OR(AD200="NA",I200="NA",I200=0),"NA",(AD200/I200)))),"Not Req.")</f>
        <v/>
      </c>
      <c r="AW200" s="284" t="str">
        <f>IF(Start!$C$18="x",(IF(AND(F200="",G200= "",G200&lt;&gt;"NA"),"",IF(OR(AF200="NA",I200="NA",I200=0),"NA",(AF200/I200)))),"Not Req.")</f>
        <v/>
      </c>
      <c r="AX200" s="284" t="str">
        <f>IF(Start!$C$18="x",(IF(F200 ="","",IF(OR(AO200="NA",I200="NA",I200=0),"NA",(AO200/I200)))),"Not Req.")</f>
        <v/>
      </c>
      <c r="AY200" s="344" t="str">
        <f>IF(Start!$C$18="x",(IF(F200 ="","",IF(OR(AU200="NA",I200="NA",I200=0),"NA",(AU200/I200)))),"Not Req.")</f>
        <v/>
      </c>
      <c r="AZ200" s="208"/>
    </row>
    <row r="201" spans="1:52" s="183" customFormat="1" x14ac:dyDescent="0.25">
      <c r="A201" s="405" t="s">
        <v>519</v>
      </c>
      <c r="B201" s="347" t="str">
        <f>IF(Start!$C$18="x",IF(AND(OR(F201="",F201="NA"),OR(G201="",G201="NA")),"",IF(I201="NA","NA",IF(AND(I201="",K201="--"),"NA",IF(AD201="NA","Missing Data",IF(I201="","No Criteria",IF(AD201&gt;=I201,"Needed","No")))))),"---")</f>
        <v/>
      </c>
      <c r="C201" s="501" t="str">
        <f>IF(Start!$C$18="x",IF(AND(OR(F201="",F201="NA"),OR(G201="",G201="NA")),"",IF(I201="NA","NA",IF(AND(I201="",K201="--"),"NA",IF(AF201="NA","Missing Data",IF(I201="","No Criteria",IF(AF201&gt;=I201,"Needed","No")))))),"---")</f>
        <v/>
      </c>
      <c r="D201" s="347" t="str">
        <f>IF(Start!$C$18="x",IF(AND(OR(F201="",F201="NA"),OR(G201="",G201="NA")),"",IF(I201="NA","NA",IF(AND(I201="",K201="--"),"NA",IF(AO201="NA","Missing Data",IF(I201="","No Criteria",IF(AO201&gt;=I201,"Needed","No")))))),"---")</f>
        <v/>
      </c>
      <c r="E201" s="401" t="str">
        <f>IF(Start!$C$18="x",IF(AND(OR(F201="",F201="NA"),OR(G201="",G201="NA")),"",IF(I201="NA","NA",IF(AND(I201="",K201="--"),"NA",IF(AU201="NA","Missing Data",IF(I201="","No Criteria",IF(AU201&gt;=I201,"Needed","No")))))),"---")</f>
        <v/>
      </c>
      <c r="F201" s="431" t="str">
        <f>IF(TRUE=ISBLANK(ChemData!B201),"",(ChemData!B201))</f>
        <v/>
      </c>
      <c r="G201" s="432" t="str">
        <f>IF(TRUE=ISBLANK(ChemData!C201),"",(ChemData!C201))</f>
        <v/>
      </c>
      <c r="H201" s="433" t="str">
        <f>IF(TRUE=ISBLANK(ChemData!D201),"",(ChemData!D201))</f>
        <v/>
      </c>
      <c r="I201" s="919" t="str">
        <f>IF(TRUE=ISBLANK(ChemData!K201),"",(ChemData!K201))</f>
        <v>NA</v>
      </c>
      <c r="J201" s="290">
        <f>IF(TRUE=ISBLANK(ChemData!M201),"",(ChemData!M201))</f>
        <v>330.4</v>
      </c>
      <c r="K201" s="290">
        <f>IF(TRUE=ISBLANK(ChemData!N201),"",(ChemData!N201))</f>
        <v>4.8900000000000003E-9</v>
      </c>
      <c r="L201" s="290">
        <f>IF(TRUE=ISBLANK(ChemData!O201),"",(ChemData!O201))</f>
        <v>0.15007288937691066</v>
      </c>
      <c r="M201" s="290">
        <f>IF(TRUE=ISBLANK(ChemData!Q201),"",(ChemData!Q201))</f>
        <v>13.40930962098807</v>
      </c>
      <c r="N201" s="290">
        <f>IF(TRUE=ISBLANK(ChemData!R201),"",(ChemData!R201))</f>
        <v>13.40930962098807</v>
      </c>
      <c r="O201" s="290">
        <f>IF(TRUE=ISBLANK(ChemData!S201),"",(ChemData!S201))</f>
        <v>1</v>
      </c>
      <c r="P201" s="291">
        <f>IF(TRUE=ISBLANK(ChemData!T201),"",(ChemData!T201))</f>
        <v>1</v>
      </c>
      <c r="Q201" s="375">
        <f>IF(Start!$C$18="x",IF(OR(K201="NA",K201="",K201="--"),"NA",(K201*1000000/82.1/Data!$D$50)),"---")</f>
        <v>1.9213390436525089E-7</v>
      </c>
      <c r="R201" s="376">
        <f>IF(Start!$C$18="x",IF(OR(J201="NA",J201=0,J201=""),"NA",(0.32*(Data!$D$48+Data!$D$49)*(18/J201)^0.5)),"---")</f>
        <v>0.19232841162364844</v>
      </c>
      <c r="S201" s="376">
        <f>IF(Start!$C$18="x",IF(OR(J201="NA",J201= 0,J201=""),"NA",(0.0065*((Data!$D$49^0.969)/(Data!$D$51^0.673))*(32/J201)^0.5*EXP(0.526*Data!$D$48^-1.9))),"---")</f>
        <v>4.05375600020153E-4</v>
      </c>
      <c r="T201" s="377">
        <f>IF(Start!$C$18="x",IF(OR(S201="NA",R201="NA",R201=0,Q201="NA",S201=0,Q201=0),"NA",(1/(1/S201+(1/(R201*Q201))))),"---")</f>
        <v>3.6949440446836293E-8</v>
      </c>
      <c r="U201" s="375" t="str">
        <f>IF(Start!$C$18="x",IF(OR(F201="NA",F201="",O201="",O201="NA"),"NA",(F201*$O201)),"---")</f>
        <v>NA</v>
      </c>
      <c r="V201" s="376" t="str">
        <f>IF(Start!$C$18="x",IF(OR(U201="NA",M201="NA",M201="",U201=""),"NA",U201/((Data!$D$18+((1-Data!$D$18)*Data!$D$14*M201))/((1-Data!$D$18)*Data!$D$14*1000))),"---")</f>
        <v>NA</v>
      </c>
      <c r="W201" s="376" t="str">
        <f>IF(Start!$C$18="x",IF(OR(G201="NA",U201="NA",G201="",U201=""),"NA",(U201 +($G201*(Data!$D$19-Data!$D$22)/(Data!$D$19*Data!$D$22)))),"---")</f>
        <v>NA</v>
      </c>
      <c r="X201" s="376" t="str">
        <f>IF(Start!$C$18="x",IF(OR(G201="NA",V201="NA",G201="",V201=""),"NA",(((Data!$D$22*Data!$D$18)*V201)+(Data!$D$19-Data!$D$22)*$G201)/((Data!$D$22*Data!$D$18)+Data!$D$19-Data!$D$22)),"---")</f>
        <v>NA</v>
      </c>
      <c r="Y201" s="376" t="str">
        <f>IF(Start!$C$18="x",IF(OR(W201="NA",W201="",M201="NA",M201=""),"NA",(W201/((Data!$D$23+((1-Data!$D$23)*Data!$D$14*M201)) /((1-Data!$D$23)*Data!$D$14*1000)))),"---")</f>
        <v>NA</v>
      </c>
      <c r="Z201" s="376" t="str">
        <f>IF(Start!$C$18="x",IF(OR(Y201="NA",X201="NA"),"NA",IF(Y201&gt;X201, Y201, X201)),"---")</f>
        <v>NA</v>
      </c>
      <c r="AA201" s="461" t="str">
        <f>IF(Start!$C$18="x",IF(OR(Z201="NA",T201="NA"),"NA",Z201*T201/(1000000000)),"---")</f>
        <v>NA</v>
      </c>
      <c r="AB201" s="1057" t="str">
        <f>IF(Start!$C$18="x",IF(AA201 = "NA", "NA", AA201*(Data!$D$52*Data!$D$53*10000)),"---")</f>
        <v>NA</v>
      </c>
      <c r="AC201" s="375" t="str">
        <f>IF(Start!$C$18="x",IF(AB201="NA", "NA", AB201*Data!$D$54),"---")</f>
        <v>NA</v>
      </c>
      <c r="AD201" s="498" t="str">
        <f>IF(Start!$C$18="x",IF(AC201="NA","NA",AC201*Data!$D$41),"---")</f>
        <v>NA</v>
      </c>
      <c r="AE201" s="376" t="str">
        <f>IF(Start!$C$18="x",IF(AB201 = "NA", "NA", AB201/(Data!$D$53*3*Data!$D$48)*1000),"---")</f>
        <v>NA</v>
      </c>
      <c r="AF201" s="498" t="str">
        <f>IF(Start!$C$18="x",IF(AE201="NA","NA",AE201*Data!$D$46),"---")</f>
        <v>NA</v>
      </c>
      <c r="AG201" s="375">
        <f>IF(Start!$C$18="x",IF(OR($L201="NA",L201=""),"NA",($L201*(Data!$D$55^3.33)/(Data!$D$18^2))),"---")</f>
        <v>1.5288666100069764E-3</v>
      </c>
      <c r="AH201" s="376" t="str">
        <f>IF(Start!$C$18="x",IF(OR(F201="NA",F201="",P201="NA",P201=""),"NA",IF(100/Data!$D$10&gt;Data!$D$13,(F201*$P201),(F201*$P201)*Data!$D$13)),"---")</f>
        <v>NA</v>
      </c>
      <c r="AI201" s="489">
        <f>IF(Start!$C$18="x",IF(OR($N201="NA",$Q201="NA",$Q201=0,Q201="",N201=""),"NA",(1000*$N201/$Q201)),"---")</f>
        <v>69791480401.588409</v>
      </c>
      <c r="AJ201" s="376">
        <f>IF(Start!$C$18="x",IF(OR(Q201 = "NA",Q201=0,N201 = "NA",N201="",Q201=""), "NA", IF($AG201="NA","NA",(3.1416*Data!$D$57*86400/($AG201*(Data!$D$55+(N201*Data!$D$19/(Q201*1000)))))^0.5)),"---")</f>
        <v>9.4789732745031436</v>
      </c>
      <c r="AK201" s="376" t="str">
        <f>IF(Start!$C$18="x",IF(OR(AH201 = "NA",AI201="NA",AI201=0,AI201="",AH201=""), "NA", AH201/AI201),"---")</f>
        <v>NA</v>
      </c>
      <c r="AL201" s="376" t="str">
        <f>IF(Start!$C$18="x",IF(OR(AK201 ="NA",AK201="",AJ201= "NA",R201="NA",R201=0),"NA",(2*AK201)/(1000*(1/$R201+AJ201))),"---")</f>
        <v>NA</v>
      </c>
      <c r="AM201" s="376" t="str">
        <f>IF(Start!$C$18="x",IF(AL201 = "NA", "NA", AL201*(Data!$D$52*Data!$D$53*10000)),"---")</f>
        <v>NA</v>
      </c>
      <c r="AN201" s="376" t="str">
        <f>IF(Start!$C$18="x",IF(AM201 = "NA", "NA", AM201*(Data!$D$54)),"---")</f>
        <v>NA</v>
      </c>
      <c r="AO201" s="498" t="str">
        <f>IF(Start!$C$18="x",IF(AN201="NA","NA",AN201*Data!$D$41),"---")</f>
        <v>NA</v>
      </c>
      <c r="AP201" s="376">
        <f>IF(Start!$C$18="x",IF(OR(Q201=0,N201="NA",N201="",AG201="NA",AG201="",AG201=0,Q201="",Q201="NA"),"NA", (3.1416*Data!$D$56*86400/($AG201*(Data!$D$55+(N201*Data!$D$19/(Q201*1000)))))^0.5),"---")</f>
        <v>9.4789732745031436</v>
      </c>
      <c r="AQ201" s="376" t="str">
        <f>IF(Start!$C$18="x",IF(OR(AH201="NA",AI201="NA",AI201="",AI201=0,AH201=""),"NA", AH201/AI201),"---")</f>
        <v>NA</v>
      </c>
      <c r="AR201" s="376" t="str">
        <f>IF(Start!$C$18="x",IF(OR(AQ201="NA",AP201="NA",$R201="NA",R201=0,R201=""),"NA",(2*AQ201)/(1000*(1/$R201+AP201))),"---")</f>
        <v>NA</v>
      </c>
      <c r="AS201" s="376" t="str">
        <f>IF(Start!$C$18="x",IF(AR201 = "NA", "NA", AR201*(Data!$D$52*Data!$D$53*10000)),"---")</f>
        <v>NA</v>
      </c>
      <c r="AT201" s="376" t="str">
        <f>IF(Start!$C$18="x",IF(AS201 = "NA", "NA", (AS201*1000)/(Data!$D$48*3*Data!$D$53)),"---")</f>
        <v>NA</v>
      </c>
      <c r="AU201" s="498" t="str">
        <f>IF(Start!$C$18="x",IF(AT201="NA","NA",AT201*Data!$D$47),"---")</f>
        <v>NA</v>
      </c>
      <c r="AV201" s="283" t="str">
        <f>IF(Start!$C$18="x",(IF(AND(F201="",G201= "",G201&lt;&gt;"NA"),"",IF(OR(AD201="NA",I201="NA",I201=0),"NA",(AD201/I201)))),"Not Req.")</f>
        <v/>
      </c>
      <c r="AW201" s="284" t="str">
        <f>IF(Start!$C$18="x",(IF(AND(F201="",G201= "",G201&lt;&gt;"NA"),"",IF(OR(AF201="NA",I201="NA",I201=0),"NA",(AF201/I201)))),"Not Req.")</f>
        <v/>
      </c>
      <c r="AX201" s="284" t="str">
        <f>IF(Start!$C$18="x",(IF(F201 ="","",IF(OR(AO201="NA",I201="NA",I201=0),"NA",(AO201/I201)))),"Not Req.")</f>
        <v/>
      </c>
      <c r="AY201" s="344" t="str">
        <f>IF(Start!$C$18="x",(IF(F201 ="","",IF(OR(AU201="NA",I201="NA",I201=0),"NA",(AU201/I201)))),"Not Req.")</f>
        <v/>
      </c>
      <c r="AZ201" s="208"/>
    </row>
    <row r="202" spans="1:52" s="183" customFormat="1" x14ac:dyDescent="0.25">
      <c r="A202" s="405" t="s">
        <v>520</v>
      </c>
      <c r="B202" s="347" t="str">
        <f>IF(Start!$C$18="x",IF(AND(OR(F202="",F202="NA"),OR(G202="",G202="NA")),"",IF(I202="NA","NA",IF(AND(I202="",K202="--"),"NA",IF(AD202="NA","Missing Data",IF(I202="","No Criteria",IF(AD202&gt;=I202,"Needed","No")))))),"---")</f>
        <v/>
      </c>
      <c r="C202" s="501" t="str">
        <f>IF(Start!$C$18="x",IF(AND(OR(F202="",F202="NA"),OR(G202="",G202="NA")),"",IF(I202="NA","NA",IF(AND(I202="",K202="--"),"NA",IF(AF202="NA","Missing Data",IF(I202="","No Criteria",IF(AF202&gt;=I202,"Needed","No")))))),"---")</f>
        <v/>
      </c>
      <c r="D202" s="347" t="str">
        <f>IF(Start!$C$18="x",IF(AND(OR(F202="",F202="NA"),OR(G202="",G202="NA")),"",IF(I202="NA","NA",IF(AND(I202="",K202="--"),"NA",IF(AO202="NA","Missing Data",IF(I202="","No Criteria",IF(AO202&gt;=I202,"Needed","No")))))),"---")</f>
        <v/>
      </c>
      <c r="E202" s="401" t="str">
        <f>IF(Start!$C$18="x",IF(AND(OR(F202="",F202="NA"),OR(G202="",G202="NA")),"",IF(I202="NA","NA",IF(AND(I202="",K202="--"),"NA",IF(AU202="NA","Missing Data",IF(I202="","No Criteria",IF(AU202&gt;=I202,"Needed","No")))))),"---")</f>
        <v/>
      </c>
      <c r="F202" s="431" t="str">
        <f>IF(TRUE=ISBLANK(ChemData!B202),"",(ChemData!B202))</f>
        <v/>
      </c>
      <c r="G202" s="432" t="str">
        <f>IF(TRUE=ISBLANK(ChemData!C202),"",(ChemData!C202))</f>
        <v/>
      </c>
      <c r="H202" s="433" t="str">
        <f>IF(TRUE=ISBLANK(ChemData!D202),"",(ChemData!D202))</f>
        <v/>
      </c>
      <c r="I202" s="919" t="str">
        <f>IF(TRUE=ISBLANK(ChemData!K202),"",(ChemData!K202))</f>
        <v>NA</v>
      </c>
      <c r="J202" s="290">
        <f>IF(TRUE=ISBLANK(ChemData!M202),"",(ChemData!M202))</f>
        <v>263.2</v>
      </c>
      <c r="K202" s="290">
        <f>IF(TRUE=ISBLANK(ChemData!N202),"",(ChemData!N202))</f>
        <v>2.0800000000000001E-7</v>
      </c>
      <c r="L202" s="290">
        <f>IF(TRUE=ISBLANK(ChemData!O202),"",(ChemData!O202))</f>
        <v>0.02</v>
      </c>
      <c r="M202" s="290">
        <f>IF(TRUE=ISBLANK(ChemData!Q202),"",(ChemData!Q202))</f>
        <v>11.679020446328376</v>
      </c>
      <c r="N202" s="290">
        <f>IF(TRUE=ISBLANK(ChemData!R202),"",(ChemData!R202))</f>
        <v>11.679020446328376</v>
      </c>
      <c r="O202" s="290">
        <f>IF(TRUE=ISBLANK(ChemData!S202),"",(ChemData!S202))</f>
        <v>1</v>
      </c>
      <c r="P202" s="291">
        <f>IF(TRUE=ISBLANK(ChemData!T202),"",(ChemData!T202))</f>
        <v>1</v>
      </c>
      <c r="Q202" s="375">
        <f>IF(Start!$C$18="x",IF(OR(K202="NA",K202="",K202="--"),"NA",(K202*1000000/82.1/Data!$D$50)),"---")</f>
        <v>8.1725668932458475E-6</v>
      </c>
      <c r="R202" s="376">
        <f>IF(Start!$C$18="x",IF(OR(J202="NA",J202=0,J202=""),"NA",(0.32*(Data!$D$48+Data!$D$49)*(18/J202)^0.5)),"---")</f>
        <v>0.21548672552011169</v>
      </c>
      <c r="S202" s="376">
        <f>IF(Start!$C$18="x",IF(OR(J202="NA",J202= 0,J202=""),"NA",(0.0065*((Data!$D$49^0.969)/(Data!$D$51^0.673))*(32/J202)^0.5*EXP(0.526*Data!$D$48^-1.9))),"---")</f>
        <v>4.541869810947498E-4</v>
      </c>
      <c r="T202" s="377">
        <f>IF(Start!$C$18="x",IF(OR(S202="NA",R202="NA",R202=0,Q202="NA",S202=0,Q202=0),"NA",(1/(1/S202+(1/(R202*Q202))))),"---")</f>
        <v>1.7542775847726661E-6</v>
      </c>
      <c r="U202" s="375" t="str">
        <f>IF(Start!$C$18="x",IF(OR(F202="NA",F202="",O202="",O202="NA"),"NA",(F202*$O202)),"---")</f>
        <v>NA</v>
      </c>
      <c r="V202" s="376" t="str">
        <f>IF(Start!$C$18="x",IF(OR(U202="NA",M202="NA",M202="",U202=""),"NA",U202/((Data!$D$18+((1-Data!$D$18)*Data!$D$14*M202))/((1-Data!$D$18)*Data!$D$14*1000))),"---")</f>
        <v>NA</v>
      </c>
      <c r="W202" s="376" t="str">
        <f>IF(Start!$C$18="x",IF(OR(G202="NA",U202="NA",G202="",U202=""),"NA",(U202 +($G202*(Data!$D$19-Data!$D$22)/(Data!$D$19*Data!$D$22)))),"---")</f>
        <v>NA</v>
      </c>
      <c r="X202" s="376" t="str">
        <f>IF(Start!$C$18="x",IF(OR(G202="NA",V202="NA",G202="",V202=""),"NA",(((Data!$D$22*Data!$D$18)*V202)+(Data!$D$19-Data!$D$22)*$G202)/((Data!$D$22*Data!$D$18)+Data!$D$19-Data!$D$22)),"---")</f>
        <v>NA</v>
      </c>
      <c r="Y202" s="376" t="str">
        <f>IF(Start!$C$18="x",IF(OR(W202="NA",W202="",M202="NA",M202=""),"NA",(W202/((Data!$D$23+((1-Data!$D$23)*Data!$D$14*M202)) /((1-Data!$D$23)*Data!$D$14*1000)))),"---")</f>
        <v>NA</v>
      </c>
      <c r="Z202" s="376" t="str">
        <f>IF(Start!$C$18="x",IF(OR(Y202="NA",X202="NA"),"NA",IF(Y202&gt;X202, Y202, X202)),"---")</f>
        <v>NA</v>
      </c>
      <c r="AA202" s="461" t="str">
        <f>IF(Start!$C$18="x",IF(OR(Z202="NA",T202="NA"),"NA",Z202*T202/(1000000000)),"---")</f>
        <v>NA</v>
      </c>
      <c r="AB202" s="1057" t="str">
        <f>IF(Start!$C$18="x",IF(AA202 = "NA", "NA", AA202*(Data!$D$52*Data!$D$53*10000)),"---")</f>
        <v>NA</v>
      </c>
      <c r="AC202" s="375" t="str">
        <f>IF(Start!$C$18="x",IF(AB202="NA", "NA", AB202*Data!$D$54),"---")</f>
        <v>NA</v>
      </c>
      <c r="AD202" s="498" t="str">
        <f>IF(Start!$C$18="x",IF(AC202="NA","NA",AC202*Data!$D$41),"---")</f>
        <v>NA</v>
      </c>
      <c r="AE202" s="376" t="str">
        <f>IF(Start!$C$18="x",IF(AB202 = "NA", "NA", AB202/(Data!$D$53*3*Data!$D$48)*1000),"---")</f>
        <v>NA</v>
      </c>
      <c r="AF202" s="498" t="str">
        <f>IF(Start!$C$18="x",IF(AE202="NA","NA",AE202*Data!$D$46),"---")</f>
        <v>NA</v>
      </c>
      <c r="AG202" s="375">
        <f>IF(Start!$C$18="x",IF(OR($L202="NA",L202=""),"NA",($L202*(Data!$D$55^3.33)/(Data!$D$18^2))),"---")</f>
        <v>2.0374987332551472E-4</v>
      </c>
      <c r="AH202" s="376" t="str">
        <f>IF(Start!$C$18="x",IF(OR(F202="NA",F202="",P202="NA",P202=""),"NA",IF(100/Data!$D$10&gt;Data!$D$13,(F202*$P202),(F202*$P202)*Data!$D$13)),"---")</f>
        <v>NA</v>
      </c>
      <c r="AI202" s="489">
        <f>IF(Start!$C$18="x",IF(OR($N202="NA",$Q202="NA",$Q202=0,Q202="",N202=""),"NA",(1000*$N202/$Q202)),"---")</f>
        <v>1429051679.709151</v>
      </c>
      <c r="AJ202" s="376">
        <f>IF(Start!$C$18="x",IF(OR(Q202 = "NA",Q202=0,N202 = "NA",N202="",Q202=""), "NA", IF($AG202="NA","NA",(3.1416*Data!$D$57*86400/($AG202*(Data!$D$55+(N202*Data!$D$19/(Q202*1000)))))^0.5)),"---")</f>
        <v>181.45737580390585</v>
      </c>
      <c r="AK202" s="376" t="str">
        <f>IF(Start!$C$18="x",IF(OR(AH202 = "NA",AI202="NA",AI202=0,AI202="",AH202=""), "NA", AH202/AI202),"---")</f>
        <v>NA</v>
      </c>
      <c r="AL202" s="376" t="str">
        <f>IF(Start!$C$18="x",IF(OR(AK202 ="NA",AK202="",AJ202= "NA",R202="NA",R202=0),"NA",(2*AK202)/(1000*(1/$R202+AJ202))),"---")</f>
        <v>NA</v>
      </c>
      <c r="AM202" s="376" t="str">
        <f>IF(Start!$C$18="x",IF(AL202 = "NA", "NA", AL202*(Data!$D$52*Data!$D$53*10000)),"---")</f>
        <v>NA</v>
      </c>
      <c r="AN202" s="376" t="str">
        <f>IF(Start!$C$18="x",IF(AM202 = "NA", "NA", AM202*(Data!$D$54)),"---")</f>
        <v>NA</v>
      </c>
      <c r="AO202" s="498" t="str">
        <f>IF(Start!$C$18="x",IF(AN202="NA","NA",AN202*Data!$D$41),"---")</f>
        <v>NA</v>
      </c>
      <c r="AP202" s="376">
        <f>IF(Start!$C$18="x",IF(OR(Q202=0,N202="NA",N202="",AG202="NA",AG202="",AG202=0,Q202="",Q202="NA"),"NA", (3.1416*Data!$D$56*86400/($AG202*(Data!$D$55+(N202*Data!$D$19/(Q202*1000)))))^0.5),"---")</f>
        <v>181.45737580390585</v>
      </c>
      <c r="AQ202" s="376" t="str">
        <f>IF(Start!$C$18="x",IF(OR(AH202="NA",AI202="NA",AI202="",AI202=0,AH202=""),"NA", AH202/AI202),"---")</f>
        <v>NA</v>
      </c>
      <c r="AR202" s="376" t="str">
        <f>IF(Start!$C$18="x",IF(OR(AQ202="NA",AP202="NA",$R202="NA",R202=0,R202=""),"NA",(2*AQ202)/(1000*(1/$R202+AP202))),"---")</f>
        <v>NA</v>
      </c>
      <c r="AS202" s="376" t="str">
        <f>IF(Start!$C$18="x",IF(AR202 = "NA", "NA", AR202*(Data!$D$52*Data!$D$53*10000)),"---")</f>
        <v>NA</v>
      </c>
      <c r="AT202" s="376" t="str">
        <f>IF(Start!$C$18="x",IF(AS202 = "NA", "NA", (AS202*1000)/(Data!$D$48*3*Data!$D$53)),"---")</f>
        <v>NA</v>
      </c>
      <c r="AU202" s="498" t="str">
        <f>IF(Start!$C$18="x",IF(AT202="NA","NA",AT202*Data!$D$47),"---")</f>
        <v>NA</v>
      </c>
      <c r="AV202" s="283" t="str">
        <f>IF(Start!$C$18="x",(IF(AND(F202="",G202= "",G202&lt;&gt;"NA"),"",IF(OR(AD202="NA",I202="NA",I202=0),"NA",(AD202/I202)))),"Not Req.")</f>
        <v/>
      </c>
      <c r="AW202" s="284" t="str">
        <f>IF(Start!$C$18="x",(IF(AND(F202="",G202= "",G202&lt;&gt;"NA"),"",IF(OR(AF202="NA",I202="NA",I202=0),"NA",(AF202/I202)))),"Not Req.")</f>
        <v/>
      </c>
      <c r="AX202" s="284" t="str">
        <f>IF(Start!$C$18="x",(IF(F202 ="","",IF(OR(AO202="NA",I202="NA",I202=0),"NA",(AO202/I202)))),"Not Req.")</f>
        <v/>
      </c>
      <c r="AY202" s="344" t="str">
        <f>IF(Start!$C$18="x",(IF(F202 ="","",IF(OR(AU202="NA",I202="NA",I202=0),"NA",(AU202/I202)))),"Not Req.")</f>
        <v/>
      </c>
      <c r="AZ202" s="208"/>
    </row>
    <row r="203" spans="1:52" s="183" customFormat="1" ht="13.8" thickBot="1" x14ac:dyDescent="0.3">
      <c r="A203" s="405" t="s">
        <v>521</v>
      </c>
      <c r="B203" s="347" t="str">
        <f>IF(Start!$C$18="x",IF(AND(OR(F203="",F203="NA"),OR(G203="",G203="NA")),"",IF(I203="NA","NA",IF(AND(I203="",K203="--"),"NA",IF(AD203="NA","Missing Data",IF(I203="","No Criteria",IF(AD203&gt;=I203,"Needed","No")))))),"---")</f>
        <v/>
      </c>
      <c r="C203" s="501" t="str">
        <f>IF(Start!$C$18="x",IF(AND(OR(F203="",F203="NA"),OR(G203="",G203="NA")),"",IF(I203="NA","NA",IF(AND(I203="",K203="--"),"NA",IF(AF203="NA","Missing Data",IF(I203="","No Criteria",IF(AF203&gt;=I203,"Needed","No")))))),"---")</f>
        <v/>
      </c>
      <c r="D203" s="347" t="str">
        <f>IF(Start!$C$18="x",IF(AND(OR(F203="",F203="NA"),OR(G203="",G203="NA")),"",IF(I203="NA","NA",IF(AND(I203="",K203="--"),"NA",IF(AO203="NA","Missing Data",IF(I203="","No Criteria",IF(AO203&gt;=I203,"Needed","No")))))),"---")</f>
        <v/>
      </c>
      <c r="E203" s="401" t="str">
        <f>IF(Start!$C$18="x",IF(AND(OR(F203="",F203="NA"),OR(G203="",G203="NA")),"",IF(I203="NA","NA",IF(AND(I203="",K203="--"),"NA",IF(AU203="NA","Missing Data",IF(I203="","No Criteria",IF(AU203&gt;=I203,"Needed","No")))))),"---")</f>
        <v/>
      </c>
      <c r="F203" s="431" t="str">
        <f>IF(TRUE=ISBLANK(ChemData!B203),"",(ChemData!B203))</f>
        <v/>
      </c>
      <c r="G203" s="432" t="str">
        <f>IF(TRUE=ISBLANK(ChemData!C203),"",(ChemData!C203))</f>
        <v/>
      </c>
      <c r="H203" s="433" t="str">
        <f>IF(TRUE=ISBLANK(ChemData!D203),"",(ChemData!D203))</f>
        <v/>
      </c>
      <c r="I203" s="919" t="str">
        <f>IF(TRUE=ISBLANK(ChemData!K203),"",(ChemData!K203))</f>
        <v>NA</v>
      </c>
      <c r="J203" s="290">
        <f>IF(TRUE=ISBLANK(ChemData!M203),"",(ChemData!M203))</f>
        <v>260.39999999999998</v>
      </c>
      <c r="K203" s="290">
        <f>IF(TRUE=ISBLANK(ChemData!N203),"",(ChemData!N203))</f>
        <v>4.4000000000000002E-6</v>
      </c>
      <c r="L203" s="290">
        <f>IF(TRUE=ISBLANK(ChemData!O203),"",(ChemData!O203))</f>
        <v>0.08</v>
      </c>
      <c r="M203" s="290">
        <f>IF(TRUE=ISBLANK(ChemData!Q203),"",(ChemData!Q203))</f>
        <v>119.51907</v>
      </c>
      <c r="N203" s="290">
        <f>IF(TRUE=ISBLANK(ChemData!R203),"",(ChemData!R203))</f>
        <v>119.51907</v>
      </c>
      <c r="O203" s="290">
        <f>IF(TRUE=ISBLANK(ChemData!S203),"",(ChemData!S203))</f>
        <v>1</v>
      </c>
      <c r="P203" s="291">
        <f>IF(TRUE=ISBLANK(ChemData!T203),"",(ChemData!T203))</f>
        <v>1</v>
      </c>
      <c r="Q203" s="375">
        <f>IF(Start!$C$18="x",IF(OR(K203="NA",K203="",K203="--"),"NA",(K203*1000000/82.1/Data!$D$50)),"---")</f>
        <v>1.7288122274173906E-4</v>
      </c>
      <c r="R203" s="376">
        <f>IF(Start!$C$18="x",IF(OR(J203="NA",J203=0,J203=""),"NA",(0.32*(Data!$D$48+Data!$D$49)*(18/J203)^0.5)),"---")</f>
        <v>0.216642158604443</v>
      </c>
      <c r="S203" s="376">
        <f>IF(Start!$C$18="x",IF(OR(J203="NA",J203= 0,J203=""),"NA",(0.0065*((Data!$D$49^0.969)/(Data!$D$51^0.673))*(32/J203)^0.5*EXP(0.526*Data!$D$48^-1.9))),"---")</f>
        <v>4.5662231748571676E-4</v>
      </c>
      <c r="T203" s="377">
        <f>IF(Start!$C$18="x",IF(OR(S203="NA",R203="NA",R203=0,Q203="NA",S203=0,Q203=0),"NA",(1/(1/S203+(1/(R203*Q203))))),"---")</f>
        <v>3.4614212678386205E-5</v>
      </c>
      <c r="U203" s="375" t="str">
        <f>IF(Start!$C$18="x",IF(OR(F203="NA",F203="",O203="",O203="NA"),"NA",(F203*$O203)),"---")</f>
        <v>NA</v>
      </c>
      <c r="V203" s="376" t="str">
        <f>IF(Start!$C$18="x",IF(OR(U203="NA",M203="NA",M203="",U203=""),"NA",U203/((Data!$D$18+((1-Data!$D$18)*Data!$D$14*M203))/((1-Data!$D$18)*Data!$D$14*1000))),"---")</f>
        <v>NA</v>
      </c>
      <c r="W203" s="376" t="str">
        <f>IF(Start!$C$18="x",IF(OR(G203="NA",U203="NA",G203="",U203=""),"NA",(U203 +($G203*(Data!$D$19-Data!$D$22)/(Data!$D$19*Data!$D$22)))),"---")</f>
        <v>NA</v>
      </c>
      <c r="X203" s="376" t="str">
        <f>IF(Start!$C$18="x",IF(OR(G203="NA",V203="NA",G203="",V203=""),"NA",(((Data!$D$22*Data!$D$18)*V203)+(Data!$D$19-Data!$D$22)*$G203)/((Data!$D$22*Data!$D$18)+Data!$D$19-Data!$D$22)),"---")</f>
        <v>NA</v>
      </c>
      <c r="Y203" s="376" t="str">
        <f>IF(Start!$C$18="x",IF(OR(W203="NA",W203="",M203="NA",M203=""),"NA",(W203/((Data!$D$23+((1-Data!$D$23)*Data!$D$14*M203)) /((1-Data!$D$23)*Data!$D$14*1000)))),"---")</f>
        <v>NA</v>
      </c>
      <c r="Z203" s="376" t="str">
        <f>IF(Start!$C$18="x",IF(OR(Y203="NA",X203="NA"),"NA",IF(Y203&gt;X203, Y203, X203)),"---")</f>
        <v>NA</v>
      </c>
      <c r="AA203" s="461" t="str">
        <f>IF(Start!$C$18="x",IF(OR(Z203="NA",T203="NA"),"NA",Z203*T203/(1000000000)),"---")</f>
        <v>NA</v>
      </c>
      <c r="AB203" s="1057" t="str">
        <f>IF(Start!$C$18="x",IF(AA203 = "NA", "NA", AA203*(Data!$D$52*Data!$D$53*10000)),"---")</f>
        <v>NA</v>
      </c>
      <c r="AC203" s="375" t="str">
        <f>IF(Start!$C$18="x",IF(AB203="NA", "NA", AB203*Data!$D$54),"---")</f>
        <v>NA</v>
      </c>
      <c r="AD203" s="498" t="str">
        <f>IF(Start!$C$18="x",IF(AC203="NA","NA",AC203*Data!$D$41),"---")</f>
        <v>NA</v>
      </c>
      <c r="AE203" s="376" t="str">
        <f>IF(Start!$C$18="x",IF(AB203 = "NA", "NA", AB203/(Data!$D$53*3*Data!$D$48)*1000),"---")</f>
        <v>NA</v>
      </c>
      <c r="AF203" s="498" t="str">
        <f>IF(Start!$C$18="x",IF(AE203="NA","NA",AE203*Data!$D$46),"---")</f>
        <v>NA</v>
      </c>
      <c r="AG203" s="375">
        <f>IF(Start!$C$18="x",IF(OR($L203="NA",L203=""),"NA",($L203*(Data!$D$55^3.33)/(Data!$D$18^2))),"---")</f>
        <v>8.1499949330205888E-4</v>
      </c>
      <c r="AH203" s="376" t="str">
        <f>IF(Start!$C$18="x",IF(OR(F203="NA",F203="",P203="NA",P203=""),"NA",IF(100/Data!$D$10&gt;Data!$D$13,(F203*$P203),(F203*$P203)*Data!$D$13)),"---")</f>
        <v>NA</v>
      </c>
      <c r="AI203" s="489">
        <f>IF(Start!$C$18="x",IF(OR($N203="NA",$Q203="NA",$Q203=0,Q203="",N203=""),"NA",(1000*$N203/$Q203)),"---")</f>
        <v>691336329.67499983</v>
      </c>
      <c r="AJ203" s="376">
        <f>IF(Start!$C$18="x",IF(OR(Q203 = "NA",Q203=0,N203 = "NA",N203="",Q203=""), "NA", IF($AG203="NA","NA",(3.1416*Data!$D$57*86400/($AG203*(Data!$D$55+(N203*Data!$D$19/(Q203*1000)))))^0.5)),"---")</f>
        <v>130.44392847557819</v>
      </c>
      <c r="AK203" s="376" t="str">
        <f>IF(Start!$C$18="x",IF(OR(AH203 = "NA",AI203="NA",AI203=0,AI203="",AH203=""), "NA", AH203/AI203),"---")</f>
        <v>NA</v>
      </c>
      <c r="AL203" s="376" t="str">
        <f>IF(Start!$C$18="x",IF(OR(AK203 ="NA",AK203="",AJ203= "NA",R203="NA",R203=0),"NA",(2*AK203)/(1000*(1/$R203+AJ203))),"---")</f>
        <v>NA</v>
      </c>
      <c r="AM203" s="376" t="str">
        <f>IF(Start!$C$18="x",IF(AL203 = "NA", "NA", AL203*(Data!$D$52*Data!$D$53*10000)),"---")</f>
        <v>NA</v>
      </c>
      <c r="AN203" s="376" t="str">
        <f>IF(Start!$C$18="x",IF(AM203 = "NA", "NA", AM203*(Data!$D$54)),"---")</f>
        <v>NA</v>
      </c>
      <c r="AO203" s="498" t="str">
        <f>IF(Start!$C$18="x",IF(AN203="NA","NA",AN203*Data!$D$41),"---")</f>
        <v>NA</v>
      </c>
      <c r="AP203" s="376">
        <f>IF(Start!$C$18="x",IF(OR(Q203=0,N203="NA",N203="",AG203="NA",AG203="",AG203=0,Q203="",Q203="NA"),"NA", (3.1416*Data!$D$56*86400/($AG203*(Data!$D$55+(N203*Data!$D$19/(Q203*1000)))))^0.5),"---")</f>
        <v>130.44392847557819</v>
      </c>
      <c r="AQ203" s="376" t="str">
        <f>IF(Start!$C$18="x",IF(OR(AH203="NA",AI203="NA",AI203="",AI203=0,AH203=""),"NA", AH203/AI203),"---")</f>
        <v>NA</v>
      </c>
      <c r="AR203" s="376" t="str">
        <f>IF(Start!$C$18="x",IF(OR(AQ203="NA",AP203="NA",$R203="NA",R203=0,R203=""),"NA",(2*AQ203)/(1000*(1/$R203+AP203))),"---")</f>
        <v>NA</v>
      </c>
      <c r="AS203" s="376" t="str">
        <f>IF(Start!$C$18="x",IF(AR203 = "NA", "NA", AR203*(Data!$D$52*Data!$D$53*10000)),"---")</f>
        <v>NA</v>
      </c>
      <c r="AT203" s="376" t="str">
        <f>IF(Start!$C$18="x",IF(AS203 = "NA", "NA", (AS203*1000)/(Data!$D$48*3*Data!$D$53)),"---")</f>
        <v>NA</v>
      </c>
      <c r="AU203" s="498" t="str">
        <f>IF(Start!$C$18="x",IF(AT203="NA","NA",AT203*Data!$D$47),"---")</f>
        <v>NA</v>
      </c>
      <c r="AV203" s="283" t="str">
        <f>IF(Start!$C$18="x",(IF(AND(F203="",G203= "",G203&lt;&gt;"NA"),"",IF(OR(AD203="NA",I203="NA",I203=0),"NA",(AD203/I203)))),"Not Req.")</f>
        <v/>
      </c>
      <c r="AW203" s="284" t="str">
        <f>IF(Start!$C$18="x",(IF(AND(F203="",G203= "",G203&lt;&gt;"NA"),"",IF(OR(AF203="NA",I203="NA",I203=0),"NA",(AF203/I203)))),"Not Req.")</f>
        <v/>
      </c>
      <c r="AX203" s="284" t="str">
        <f>IF(Start!$C$18="x",(IF(F203 ="","",IF(OR(AO203="NA",I203="NA",I203=0),"NA",(AO203/I203)))),"Not Req.")</f>
        <v/>
      </c>
      <c r="AY203" s="344" t="str">
        <f>IF(Start!$C$18="x",(IF(F203 ="","",IF(OR(AU203="NA",I203="NA",I203=0),"NA",(AU203/I203)))),"Not Req.")</f>
        <v/>
      </c>
      <c r="AZ203" s="208"/>
    </row>
    <row r="204" spans="1:52" s="10" customFormat="1" x14ac:dyDescent="0.25">
      <c r="A204" s="505" t="s">
        <v>522</v>
      </c>
      <c r="B204" s="530"/>
      <c r="C204" s="531"/>
      <c r="D204" s="530"/>
      <c r="E204" s="526"/>
      <c r="F204" s="508"/>
      <c r="G204" s="509"/>
      <c r="H204" s="510"/>
      <c r="I204" s="800"/>
      <c r="J204" s="512"/>
      <c r="K204" s="512"/>
      <c r="L204" s="512"/>
      <c r="M204" s="512"/>
      <c r="N204" s="512"/>
      <c r="O204" s="512"/>
      <c r="P204" s="513"/>
      <c r="Q204" s="511"/>
      <c r="R204" s="512"/>
      <c r="S204" s="512"/>
      <c r="T204" s="513"/>
      <c r="U204" s="511"/>
      <c r="V204" s="512"/>
      <c r="W204" s="512"/>
      <c r="X204" s="512"/>
      <c r="Y204" s="512"/>
      <c r="Z204" s="512"/>
      <c r="AA204" s="512"/>
      <c r="AB204" s="512"/>
      <c r="AC204" s="511"/>
      <c r="AD204" s="533"/>
      <c r="AE204" s="512"/>
      <c r="AF204" s="533"/>
      <c r="AG204" s="511"/>
      <c r="AH204" s="512"/>
      <c r="AI204" s="534"/>
      <c r="AJ204" s="512"/>
      <c r="AK204" s="512"/>
      <c r="AL204" s="512"/>
      <c r="AM204" s="512"/>
      <c r="AN204" s="512"/>
      <c r="AO204" s="533"/>
      <c r="AP204" s="512"/>
      <c r="AQ204" s="512"/>
      <c r="AR204" s="512"/>
      <c r="AS204" s="512"/>
      <c r="AT204" s="512"/>
      <c r="AU204" s="533"/>
      <c r="AV204" s="511"/>
      <c r="AW204" s="512"/>
      <c r="AX204" s="512"/>
      <c r="AY204" s="513"/>
      <c r="AZ204" s="208"/>
    </row>
    <row r="205" spans="1:52" s="10" customFormat="1" x14ac:dyDescent="0.25">
      <c r="A205" s="405" t="s">
        <v>523</v>
      </c>
      <c r="B205" s="347" t="str">
        <f>IF(Start!$C$18="x",IF(AND(OR(F205="",F205="NA"),OR(G205="",G205="NA")),"",IF(I205="NA","NA",IF(AND(I205="",K205="--"),"NA",IF(AD205="NA","Missing Data",IF(I205="","No Criteria",IF(AD205&gt;=I205,"Needed","No")))))),"---")</f>
        <v/>
      </c>
      <c r="C205" s="501" t="str">
        <f>IF(Start!$C$18="x",IF(AND(OR(F205="",F205="NA"),OR(G205="",G205="NA")),"",IF(I205="NA","NA",IF(AND(I205="",K205="--"),"NA",IF(AF205="NA","Missing Data",IF(I205="","No Criteria",IF(AF205&gt;=I205,"Needed","No")))))),"---")</f>
        <v/>
      </c>
      <c r="D205" s="347" t="str">
        <f>IF(Start!$C$18="x",IF(AND(OR(F205="",F205="NA"),OR(G205="",G205="NA")),"",IF(I205="NA","NA",IF(AND(I205="",K205="--"),"NA",IF(AO205="NA","Missing Data",IF(I205="","No Criteria",IF(AO205&gt;=I205,"Needed","No")))))),"---")</f>
        <v/>
      </c>
      <c r="E205" s="401" t="str">
        <f>IF(Start!$C$18="x",IF(AND(OR(F205="",F205="NA"),OR(G205="",G205="NA")),"",IF(I205="NA","NA",IF(AND(I205="",K205="--"),"NA",IF(AU205="NA","Missing Data",IF(I205="","No Criteria",IF(AU205&gt;=I205,"Needed","No")))))),"---")</f>
        <v/>
      </c>
      <c r="F205" s="431" t="str">
        <f>IF(TRUE=ISBLANK(ChemData!B205),"",(ChemData!B205))</f>
        <v/>
      </c>
      <c r="G205" s="432" t="str">
        <f>IF(TRUE=ISBLANK(ChemData!C205),"",(ChemData!C205))</f>
        <v/>
      </c>
      <c r="H205" s="433" t="str">
        <f>IF(TRUE=ISBLANK(ChemData!D205),"",(ChemData!D205))</f>
        <v/>
      </c>
      <c r="I205" s="919">
        <f>IF(TRUE=ISBLANK(ChemData!K205),"",(ChemData!K205))</f>
        <v>3.0000000000000001E-5</v>
      </c>
      <c r="J205" s="290">
        <f>IF(TRUE=ISBLANK(ChemData!M205),"",(ChemData!M205))</f>
        <v>365</v>
      </c>
      <c r="K205" s="290">
        <f>IF(TRUE=ISBLANK(ChemData!N205),"",(ChemData!N205))</f>
        <v>5.0000000000000001E-4</v>
      </c>
      <c r="L205" s="290">
        <f>IF(TRUE=ISBLANK(ChemData!O205),"",(ChemData!O205))</f>
        <v>1.32E-2</v>
      </c>
      <c r="M205" s="290">
        <f>IF(TRUE=ISBLANK(ChemData!Q205),"",(ChemData!Q205))</f>
        <v>3693.2305450073991</v>
      </c>
      <c r="N205" s="290">
        <f>IF(TRUE=ISBLANK(ChemData!R205),"",(ChemData!R205))</f>
        <v>3693.2305450073991</v>
      </c>
      <c r="O205" s="290">
        <f>IF(TRUE=ISBLANK(ChemData!S205),"",(ChemData!S205))</f>
        <v>1</v>
      </c>
      <c r="P205" s="291">
        <f>IF(TRUE=ISBLANK(ChemData!T205),"",(ChemData!T205))</f>
        <v>1</v>
      </c>
      <c r="Q205" s="375">
        <f>IF(Start!$C$18="x",IF(OR(K205="NA",K205="",K205="--"),"NA",(K205*1000000/82.1/Data!$D$50)),"---")</f>
        <v>1.9645593493379437E-2</v>
      </c>
      <c r="R205" s="376">
        <f>IF(Start!$C$18="x",IF(OR(J205="NA",J205=0,J205=""),"NA",(0.32*(Data!$D$48+Data!$D$49)*(18/J205)^0.5)),"---")</f>
        <v>0.18298564956084803</v>
      </c>
      <c r="S205" s="376">
        <f>IF(Start!$C$18="x",IF(OR(J205="NA",J205= 0,J205=""),"NA",(0.0065*((Data!$D$49^0.969)/(Data!$D$51^0.673))*(32/J205)^0.5*EXP(0.526*Data!$D$48^-1.9))),"---")</f>
        <v>3.8568361720242789E-4</v>
      </c>
      <c r="T205" s="377">
        <f>IF(Start!$C$18="x",IF(OR(S205="NA",R205="NA",R205=0,Q205="NA",S205=0,Q205=0),"NA",(1/(1/S205+(1/(R205*Q205))))),"---")</f>
        <v>3.4831389993179759E-4</v>
      </c>
      <c r="U205" s="375" t="str">
        <f>IF(Start!$C$18="x",IF(OR(F205="NA",F205="",O205="",O205="NA"),"NA",(F205*$O205)),"---")</f>
        <v>NA</v>
      </c>
      <c r="V205" s="376" t="str">
        <f>IF(Start!$C$18="x",IF(OR(U205="NA",M205="NA",M205="",U205=""),"NA",U205/((Data!$D$18+((1-Data!$D$18)*Data!$D$14*M205))/((1-Data!$D$18)*Data!$D$14*1000))),"---")</f>
        <v>NA</v>
      </c>
      <c r="W205" s="376" t="str">
        <f>IF(Start!$C$18="x",IF(OR(G205="NA",U205="NA",G205="",U205=""),"NA",(U205 +($G205*(Data!$D$19-Data!$D$22)/(Data!$D$19*Data!$D$22)))),"---")</f>
        <v>NA</v>
      </c>
      <c r="X205" s="376" t="str">
        <f>IF(Start!$C$18="x",IF(OR(G205="NA",V205="NA",G205="",V205=""),"NA",(((Data!$D$22*Data!$D$18)*V205)+(Data!$D$19-Data!$D$22)*$G205)/((Data!$D$22*Data!$D$18)+Data!$D$19-Data!$D$22)),"---")</f>
        <v>NA</v>
      </c>
      <c r="Y205" s="376" t="str">
        <f>IF(Start!$C$18="x",IF(OR(W205="NA",W205="",M205="NA",M205=""),"NA",(W205/((Data!$D$23+((1-Data!$D$23)*Data!$D$14*M205)) /((1-Data!$D$23)*Data!$D$14*1000)))),"---")</f>
        <v>NA</v>
      </c>
      <c r="Z205" s="376" t="str">
        <f>IF(Start!$C$18="x",IF(OR(Y205="NA",X205="NA"),"NA",IF(Y205&gt;X205, Y205, X205)),"---")</f>
        <v>NA</v>
      </c>
      <c r="AA205" s="461" t="str">
        <f>IF(Start!$C$18="x",IF(OR(Z205="NA",T205="NA"),"NA",Z205*T205/(1000000000)),"---")</f>
        <v>NA</v>
      </c>
      <c r="AB205" s="1057" t="str">
        <f>IF(Start!$C$18="x",IF(AA205 = "NA", "NA", AA205*(Data!$D$52*Data!$D$53*10000)),"---")</f>
        <v>NA</v>
      </c>
      <c r="AC205" s="375" t="str">
        <f>IF(Start!$C$18="x",IF(AB205="NA", "NA", AB205*Data!$D$54),"---")</f>
        <v>NA</v>
      </c>
      <c r="AD205" s="498" t="str">
        <f>IF(Start!$C$18="x",IF(AC205="NA","NA",AC205*Data!$D$41),"---")</f>
        <v>NA</v>
      </c>
      <c r="AE205" s="376" t="str">
        <f>IF(Start!$C$18="x",IF(AB205 = "NA", "NA", AB205/(Data!$D$53*3*Data!$D$48)*1000),"---")</f>
        <v>NA</v>
      </c>
      <c r="AF205" s="498" t="str">
        <f>IF(Start!$C$18="x",IF(AE205="NA","NA",AE205*Data!$D$46),"---")</f>
        <v>NA</v>
      </c>
      <c r="AG205" s="375">
        <f>IF(Start!$C$18="x",IF(OR($L205="NA",L205=""),"NA",($L205*(Data!$D$55^3.33)/(Data!$D$18^2))),"---")</f>
        <v>1.3447491639483969E-4</v>
      </c>
      <c r="AH205" s="376" t="str">
        <f>IF(Start!$C$18="x",IF(OR(F205="NA",F205="",P205="NA",P205=""),"NA",IF(100/Data!$D$10&gt;Data!$D$13,(F205*$P205),(F205*$P205)*Data!$D$13)),"---")</f>
        <v>NA</v>
      </c>
      <c r="AI205" s="489">
        <f>IF(Start!$C$18="x",IF(OR($N205="NA",$Q205="NA",$Q205=0,Q205="",N205=""),"NA",(1000*$N205/$Q205)),"---")</f>
        <v>187992821.20196661</v>
      </c>
      <c r="AJ205" s="376">
        <f>IF(Start!$C$18="x",IF(OR(Q205 = "NA",Q205=0,N205 = "NA",N205="",Q205=""), "NA", IF($AG205="NA","NA",(3.1416*Data!$D$57*86400/($AG205*(Data!$D$55+(N205*Data!$D$19/(Q205*1000)))))^0.5)),"---")</f>
        <v>615.82278950338002</v>
      </c>
      <c r="AK205" s="376" t="str">
        <f>IF(Start!$C$18="x",IF(OR(AH205 = "NA",AI205="NA",AI205=0,AI205="",AH205=""), "NA", AH205/AI205),"---")</f>
        <v>NA</v>
      </c>
      <c r="AL205" s="376" t="str">
        <f>IF(Start!$C$18="x",IF(OR(AK205 ="NA",AK205="",AJ205= "NA",R205="NA",R205=0),"NA",(2*AK205)/(1000*(1/$R205+AJ205))),"---")</f>
        <v>NA</v>
      </c>
      <c r="AM205" s="376" t="str">
        <f>IF(Start!$C$18="x",IF(AL205 = "NA", "NA", AL205*(Data!$D$52*Data!$D$53*10000)),"---")</f>
        <v>NA</v>
      </c>
      <c r="AN205" s="376" t="str">
        <f>IF(Start!$C$18="x",IF(AM205 = "NA", "NA", AM205*(Data!$D$54)),"---")</f>
        <v>NA</v>
      </c>
      <c r="AO205" s="498" t="str">
        <f>IF(Start!$C$18="x",IF(AN205="NA","NA",AN205*Data!$D$41),"---")</f>
        <v>NA</v>
      </c>
      <c r="AP205" s="376">
        <f>IF(Start!$C$18="x",IF(OR(Q205=0,N205="NA",N205="",AG205="NA",AG205="",AG205=0,Q205="",Q205="NA"),"NA", (3.1416*Data!$D$56*86400/($AG205*(Data!$D$55+(N205*Data!$D$19/(Q205*1000)))))^0.5),"---")</f>
        <v>615.82278950338002</v>
      </c>
      <c r="AQ205" s="376" t="str">
        <f>IF(Start!$C$18="x",IF(OR(AH205="NA",AI205="NA",AI205="",AI205=0,AH205=""),"NA", AH205/AI205),"---")</f>
        <v>NA</v>
      </c>
      <c r="AR205" s="376" t="str">
        <f>IF(Start!$C$18="x",IF(OR(AQ205="NA",AP205="NA",$R205="NA",R205=0,R205=""),"NA",(2*AQ205)/(1000*(1/$R205+AP205))),"---")</f>
        <v>NA</v>
      </c>
      <c r="AS205" s="376" t="str">
        <f>IF(Start!$C$18="x",IF(AR205 = "NA", "NA", AR205*(Data!$D$52*Data!$D$53*10000)),"---")</f>
        <v>NA</v>
      </c>
      <c r="AT205" s="376" t="str">
        <f>IF(Start!$C$18="x",IF(AS205 = "NA", "NA", (AS205*1000)/(Data!$D$48*3*Data!$D$53)),"---")</f>
        <v>NA</v>
      </c>
      <c r="AU205" s="498" t="str">
        <f>IF(Start!$C$18="x",IF(AT205="NA","NA",AT205*Data!$D$47),"---")</f>
        <v>NA</v>
      </c>
      <c r="AV205" s="283" t="str">
        <f>IF(Start!$C$18="x",(IF(AND(F205="",G205= "",G205&lt;&gt;"NA"),"",IF(OR(AD205="NA",I205="NA",I205=0),"NA",(AD205/I205)))),"Not Req.")</f>
        <v/>
      </c>
      <c r="AW205" s="284" t="str">
        <f>IF(Start!$C$18="x",(IF(AND(F205="",G205= "",G205&lt;&gt;"NA"),"",IF(OR(AF205="NA",I205="NA",I205=0),"NA",(AF205/I205)))),"Not Req.")</f>
        <v/>
      </c>
      <c r="AX205" s="284" t="str">
        <f>IF(Start!$C$18="x",(IF(F205 ="","",IF(OR(AO205="NA",I205="NA",I205=0),"NA",(AO205/I205)))),"Not Req.")</f>
        <v/>
      </c>
      <c r="AY205" s="344" t="str">
        <f>IF(Start!$C$18="x",(IF(F205 ="","",IF(OR(AU205="NA",I205="NA",I205=0),"NA",(AU205/I205)))),"Not Req.")</f>
        <v/>
      </c>
      <c r="AZ205" s="208"/>
    </row>
    <row r="206" spans="1:52" s="10" customFormat="1" x14ac:dyDescent="0.25">
      <c r="A206" s="405" t="s">
        <v>524</v>
      </c>
      <c r="B206" s="347" t="str">
        <f>IF(Start!$C$18="x",IF(AND(OR(F206="",F206="NA"),OR(G206="",G206="NA")),"",IF(I206="NA","NA",IF(AND(I206="",K206="--"),"NA",IF(AD206="NA","Missing Data",IF(I206="","No Criteria",IF(AD206&gt;=I206,"Needed","No")))))),"---")</f>
        <v/>
      </c>
      <c r="C206" s="501" t="str">
        <f>IF(Start!$C$18="x",IF(AND(OR(F206="",F206="NA"),OR(G206="",G206="NA")),"",IF(I206="NA","NA",IF(AND(I206="",K206="--"),"NA",IF(AF206="NA","Missing Data",IF(I206="","No Criteria",IF(AF206&gt;=I206,"Needed","No")))))),"---")</f>
        <v/>
      </c>
      <c r="D206" s="347" t="str">
        <f>IF(Start!$C$18="x",IF(AND(OR(F206="",F206="NA"),OR(G206="",G206="NA")),"",IF(I206="NA","NA",IF(AND(I206="",K206="--"),"NA",IF(AO206="NA","Missing Data",IF(I206="","No Criteria",IF(AO206&gt;=I206,"Needed","No")))))),"---")</f>
        <v/>
      </c>
      <c r="E206" s="401" t="str">
        <f>IF(Start!$C$18="x",IF(AND(OR(F206="",F206="NA"),OR(G206="",G206="NA")),"",IF(I206="NA","NA",IF(AND(I206="",K206="--"),"NA",IF(AU206="NA","Missing Data",IF(I206="","No Criteria",IF(AU206&gt;=I206,"Needed","No")))))),"---")</f>
        <v/>
      </c>
      <c r="F206" s="431" t="str">
        <f>IF(TRUE=ISBLANK(ChemData!B206),"",(ChemData!B206))</f>
        <v/>
      </c>
      <c r="G206" s="432" t="str">
        <f>IF(TRUE=ISBLANK(ChemData!C206),"",(ChemData!C206))</f>
        <v/>
      </c>
      <c r="H206" s="433" t="str">
        <f>IF(TRUE=ISBLANK(ChemData!D206),"",(ChemData!D206))</f>
        <v/>
      </c>
      <c r="I206" s="919" t="str">
        <f>IF(TRUE=ISBLANK(ChemData!K206),"",(ChemData!K206))</f>
        <v>NA</v>
      </c>
      <c r="J206" s="290">
        <f>IF(TRUE=ISBLANK(ChemData!M206),"",(ChemData!M206))</f>
        <v>215.69</v>
      </c>
      <c r="K206" s="290">
        <f>IF(TRUE=ISBLANK(ChemData!N206),"",(ChemData!N206))</f>
        <v>2.69E-9</v>
      </c>
      <c r="L206" s="290">
        <f>IF(TRUE=ISBLANK(ChemData!O206),"",(ChemData!O206))</f>
        <v>2.58E-2</v>
      </c>
      <c r="M206" s="290">
        <f>IF(TRUE=ISBLANK(ChemData!Q206),"",(ChemData!Q206))</f>
        <v>10.408937929273366</v>
      </c>
      <c r="N206" s="290">
        <f>IF(TRUE=ISBLANK(ChemData!R206),"",(ChemData!R206))</f>
        <v>10.408937929273366</v>
      </c>
      <c r="O206" s="290">
        <f>IF(TRUE=ISBLANK(ChemData!S206),"",(ChemData!S206))</f>
        <v>1</v>
      </c>
      <c r="P206" s="291">
        <f>IF(TRUE=ISBLANK(ChemData!T206),"",(ChemData!T206))</f>
        <v>1</v>
      </c>
      <c r="Q206" s="375">
        <f>IF(Start!$C$18="x",IF(OR(K206="NA",K206="",K206="--"),"NA",(K206*1000000/82.1/Data!$D$50)),"---")</f>
        <v>1.0569329299438138E-7</v>
      </c>
      <c r="R206" s="376">
        <f>IF(Start!$C$18="x",IF(OR(J206="NA",J206=0,J206=""),"NA",(0.32*(Data!$D$48+Data!$D$49)*(18/J206)^0.5)),"---")</f>
        <v>0.23803918739561278</v>
      </c>
      <c r="S206" s="376">
        <f>IF(Start!$C$18="x",IF(OR(J206="NA",J206= 0,J206=""),"NA",(0.0065*((Data!$D$49^0.969)/(Data!$D$51^0.673))*(32/J206)^0.5*EXP(0.526*Data!$D$48^-1.9))),"---")</f>
        <v>5.0172139209275952E-4</v>
      </c>
      <c r="T206" s="377">
        <f>IF(Start!$C$18="x",IF(OR(S206="NA",R206="NA",R206=0,Q206="NA",S206=0,Q206=0),"NA",(1/(1/S206+(1/(R206*Q206))))),"---")</f>
        <v>2.5157884019089547E-8</v>
      </c>
      <c r="U206" s="375" t="str">
        <f>IF(Start!$C$18="x",IF(OR(F206="NA",F206="",O206="",O206="NA"),"NA",(F206*$O206)),"---")</f>
        <v>NA</v>
      </c>
      <c r="V206" s="376" t="str">
        <f>IF(Start!$C$18="x",IF(OR(U206="NA",M206="NA",M206="",U206=""),"NA",U206/((Data!$D$18+((1-Data!$D$18)*Data!$D$14*M206))/((1-Data!$D$18)*Data!$D$14*1000))),"---")</f>
        <v>NA</v>
      </c>
      <c r="W206" s="376" t="str">
        <f>IF(Start!$C$18="x",IF(OR(G206="NA",U206="NA",G206="",U206=""),"NA",(U206 +($G206*(Data!$D$19-Data!$D$22)/(Data!$D$19*Data!$D$22)))),"---")</f>
        <v>NA</v>
      </c>
      <c r="X206" s="376" t="str">
        <f>IF(Start!$C$18="x",IF(OR(G206="NA",V206="NA",G206="",V206=""),"NA",(((Data!$D$22*Data!$D$18)*V206)+(Data!$D$19-Data!$D$22)*$G206)/((Data!$D$22*Data!$D$18)+Data!$D$19-Data!$D$22)),"---")</f>
        <v>NA</v>
      </c>
      <c r="Y206" s="376" t="str">
        <f>IF(Start!$C$18="x",IF(OR(W206="NA",W206="",M206="NA",M206=""),"NA",(W206/((Data!$D$23+((1-Data!$D$23)*Data!$D$14*M206)) /((1-Data!$D$23)*Data!$D$14*1000)))),"---")</f>
        <v>NA</v>
      </c>
      <c r="Z206" s="376" t="str">
        <f>IF(Start!$C$18="x",IF(OR(Y206="NA",X206="NA"),"NA",IF(Y206&gt;X206, Y206, X206)),"---")</f>
        <v>NA</v>
      </c>
      <c r="AA206" s="461" t="str">
        <f>IF(Start!$C$18="x",IF(OR(Z206="NA",T206="NA"),"NA",Z206*T206/(1000000000)),"---")</f>
        <v>NA</v>
      </c>
      <c r="AB206" s="1057" t="str">
        <f>IF(Start!$C$18="x",IF(AA206 = "NA", "NA", AA206*(Data!$D$52*Data!$D$53*10000)),"---")</f>
        <v>NA</v>
      </c>
      <c r="AC206" s="375" t="str">
        <f>IF(Start!$C$18="x",IF(AB206="NA", "NA", AB206*Data!$D$54),"---")</f>
        <v>NA</v>
      </c>
      <c r="AD206" s="498" t="str">
        <f>IF(Start!$C$18="x",IF(AC206="NA","NA",AC206*Data!$D$41),"---")</f>
        <v>NA</v>
      </c>
      <c r="AE206" s="376" t="str">
        <f>IF(Start!$C$18="x",IF(AB206 = "NA", "NA", AB206/(Data!$D$53*3*Data!$D$48)*1000),"---")</f>
        <v>NA</v>
      </c>
      <c r="AF206" s="498" t="str">
        <f>IF(Start!$C$18="x",IF(AE206="NA","NA",AE206*Data!$D$46),"---")</f>
        <v>NA</v>
      </c>
      <c r="AG206" s="375">
        <f>IF(Start!$C$18="x",IF(OR($L206="NA",L206=""),"NA",($L206*(Data!$D$55^3.33)/(Data!$D$18^2))),"---")</f>
        <v>2.6283733658991396E-4</v>
      </c>
      <c r="AH206" s="376" t="str">
        <f>IF(Start!$C$18="x",IF(OR(F206="NA",F206="",P206="NA",P206=""),"NA",IF(100/Data!$D$10&gt;Data!$D$13,(F206*$P206),(F206*$P206)*Data!$D$13)),"---")</f>
        <v>NA</v>
      </c>
      <c r="AI206" s="489">
        <f>IF(Start!$C$18="x",IF(OR($N206="NA",$Q206="NA",$Q206=0,Q206="",N206=""),"NA",(1000*$N206/$Q206)),"---")</f>
        <v>98482482988.080444</v>
      </c>
      <c r="AJ206" s="376">
        <f>IF(Start!$C$18="x",IF(OR(Q206 = "NA",Q206=0,N206 = "NA",N206="",Q206=""), "NA", IF($AG206="NA","NA",(3.1416*Data!$D$57*86400/($AG206*(Data!$D$55+(N206*Data!$D$19/(Q206*1000)))))^0.5)),"---")</f>
        <v>19.245281972484168</v>
      </c>
      <c r="AK206" s="376" t="str">
        <f>IF(Start!$C$18="x",IF(OR(AH206 = "NA",AI206="NA",AI206=0,AI206="",AH206=""), "NA", AH206/AI206),"---")</f>
        <v>NA</v>
      </c>
      <c r="AL206" s="376" t="str">
        <f>IF(Start!$C$18="x",IF(OR(AK206 ="NA",AK206="",AJ206= "NA",R206="NA",R206=0),"NA",(2*AK206)/(1000*(1/$R206+AJ206))),"---")</f>
        <v>NA</v>
      </c>
      <c r="AM206" s="376" t="str">
        <f>IF(Start!$C$18="x",IF(AL206 = "NA", "NA", AL206*(Data!$D$52*Data!$D$53*10000)),"---")</f>
        <v>NA</v>
      </c>
      <c r="AN206" s="376" t="str">
        <f>IF(Start!$C$18="x",IF(AM206 = "NA", "NA", AM206*(Data!$D$54)),"---")</f>
        <v>NA</v>
      </c>
      <c r="AO206" s="498" t="str">
        <f>IF(Start!$C$18="x",IF(AN206="NA","NA",AN206*Data!$D$41),"---")</f>
        <v>NA</v>
      </c>
      <c r="AP206" s="376">
        <f>IF(Start!$C$18="x",IF(OR(Q206=0,N206="NA",N206="",AG206="NA",AG206="",AG206=0,Q206="",Q206="NA"),"NA", (3.1416*Data!$D$56*86400/($AG206*(Data!$D$55+(N206*Data!$D$19/(Q206*1000)))))^0.5),"---")</f>
        <v>19.245281972484168</v>
      </c>
      <c r="AQ206" s="376" t="str">
        <f>IF(Start!$C$18="x",IF(OR(AH206="NA",AI206="NA",AI206="",AI206=0,AH206=""),"NA", AH206/AI206),"---")</f>
        <v>NA</v>
      </c>
      <c r="AR206" s="376" t="str">
        <f>IF(Start!$C$18="x",IF(OR(AQ206="NA",AP206="NA",$R206="NA",R206=0,R206=""),"NA",(2*AQ206)/(1000*(1/$R206+AP206))),"---")</f>
        <v>NA</v>
      </c>
      <c r="AS206" s="376" t="str">
        <f>IF(Start!$C$18="x",IF(AR206 = "NA", "NA", AR206*(Data!$D$52*Data!$D$53*10000)),"---")</f>
        <v>NA</v>
      </c>
      <c r="AT206" s="376" t="str">
        <f>IF(Start!$C$18="x",IF(AS206 = "NA", "NA", (AS206*1000)/(Data!$D$48*3*Data!$D$53)),"---")</f>
        <v>NA</v>
      </c>
      <c r="AU206" s="498" t="str">
        <f>IF(Start!$C$18="x",IF(AT206="NA","NA",AT206*Data!$D$47),"---")</f>
        <v>NA</v>
      </c>
      <c r="AV206" s="283" t="str">
        <f>IF(Start!$C$18="x",(IF(AND(F206="",G206= "",G206&lt;&gt;"NA"),"",IF(OR(AD206="NA",I206="NA",I206=0),"NA",(AD206/I206)))),"Not Req.")</f>
        <v/>
      </c>
      <c r="AW206" s="284" t="str">
        <f>IF(Start!$C$18="x",(IF(AND(F206="",G206= "",G206&lt;&gt;"NA"),"",IF(OR(AF206="NA",I206="NA",I206=0),"NA",(AF206/I206)))),"Not Req.")</f>
        <v/>
      </c>
      <c r="AX206" s="284" t="str">
        <f>IF(Start!$C$18="x",(IF(F206 ="","",IF(OR(AO206="NA",I206="NA",I206=0),"NA",(AO206/I206)))),"Not Req.")</f>
        <v/>
      </c>
      <c r="AY206" s="344" t="str">
        <f>IF(Start!$C$18="x",(IF(F206 ="","",IF(OR(AU206="NA",I206="NA",I206=0),"NA",(AU206/I206)))),"Not Req.")</f>
        <v/>
      </c>
      <c r="AZ206" s="208"/>
    </row>
    <row r="207" spans="1:52" s="10" customFormat="1" x14ac:dyDescent="0.25">
      <c r="A207" s="405" t="s">
        <v>525</v>
      </c>
      <c r="B207" s="347" t="str">
        <f>IF(Start!$C$18="x",IF(AND(OR(F207="",F207="NA"),OR(G207="",G207="NA")),"",IF(I207="NA","NA",IF(AND(I207="",K207="--"),"NA",IF(AD207="NA","Missing Data",IF(I207="","No Criteria",IF(AD207&gt;=I207,"Needed","No")))))),"---")</f>
        <v/>
      </c>
      <c r="C207" s="501" t="str">
        <f>IF(Start!$C$18="x",IF(AND(OR(F207="",F207="NA"),OR(G207="",G207="NA")),"",IF(I207="NA","NA",IF(AND(I207="",K207="--"),"NA",IF(AF207="NA","Missing Data",IF(I207="","No Criteria",IF(AF207&gt;=I207,"Needed","No")))))),"---")</f>
        <v/>
      </c>
      <c r="D207" s="347" t="str">
        <f>IF(Start!$C$18="x",IF(AND(OR(F207="",F207="NA"),OR(G207="",G207="NA")),"",IF(I207="NA","NA",IF(AND(I207="",K207="--"),"NA",IF(AO207="NA","Missing Data",IF(I207="","No Criteria",IF(AO207&gt;=I207,"Needed","No")))))),"---")</f>
        <v/>
      </c>
      <c r="E207" s="401" t="str">
        <f>IF(Start!$C$18="x",IF(AND(OR(F207="",F207="NA"),OR(G207="",G207="NA")),"",IF(I207="NA","NA",IF(AND(I207="",K207="--"),"NA",IF(AU207="NA","Missing Data",IF(I207="","No Criteria",IF(AU207&gt;=I207,"Needed","No")))))),"---")</f>
        <v/>
      </c>
      <c r="F207" s="431" t="str">
        <f>IF(TRUE=ISBLANK(ChemData!B207),"",(ChemData!B207))</f>
        <v/>
      </c>
      <c r="G207" s="432" t="str">
        <f>IF(TRUE=ISBLANK(ChemData!C207),"",(ChemData!C207))</f>
        <v/>
      </c>
      <c r="H207" s="433" t="str">
        <f>IF(TRUE=ISBLANK(ChemData!D207),"",(ChemData!D207))</f>
        <v/>
      </c>
      <c r="I207" s="919" t="str">
        <f>IF(TRUE=ISBLANK(ChemData!K207),"",(ChemData!K207))</f>
        <v>NA</v>
      </c>
      <c r="J207" s="290">
        <f>IF(TRUE=ISBLANK(ChemData!M207),"",(ChemData!M207))</f>
        <v>290.8</v>
      </c>
      <c r="K207" s="290">
        <f>IF(TRUE=ISBLANK(ChemData!N207),"",(ChemData!N207))</f>
        <v>8.6000000000000007E-6</v>
      </c>
      <c r="L207" s="290">
        <f>IF(TRUE=ISBLANK(ChemData!O207),"",(ChemData!O207))</f>
        <v>1.4200000000000001E-2</v>
      </c>
      <c r="M207" s="290">
        <f>IF(TRUE=ISBLANK(ChemData!Q207),"",(ChemData!Q207))</f>
        <v>116.79020446328389</v>
      </c>
      <c r="N207" s="290">
        <f>IF(TRUE=ISBLANK(ChemData!R207),"",(ChemData!R207))</f>
        <v>116.79020446328389</v>
      </c>
      <c r="O207" s="290">
        <f>IF(TRUE=ISBLANK(ChemData!S207),"",(ChemData!S207))</f>
        <v>1</v>
      </c>
      <c r="P207" s="291">
        <f>IF(TRUE=ISBLANK(ChemData!T207),"",(ChemData!T207))</f>
        <v>1</v>
      </c>
      <c r="Q207" s="375">
        <f>IF(Start!$C$18="x",IF(OR(K207="NA",K207="",K207="--"),"NA",(K207*1000000/82.1/Data!$D$50)),"---")</f>
        <v>3.3790420808612638E-4</v>
      </c>
      <c r="R207" s="376">
        <f>IF(Start!$C$18="x",IF(OR(J207="NA",J207=0,J207=""),"NA",(0.32*(Data!$D$48+Data!$D$49)*(18/J207)^0.5)),"---")</f>
        <v>0.20500585424592921</v>
      </c>
      <c r="S207" s="376">
        <f>IF(Start!$C$18="x",IF(OR(J207="NA",J207= 0,J207=""),"NA",(0.0065*((Data!$D$49^0.969)/(Data!$D$51^0.673))*(32/J207)^0.5*EXP(0.526*Data!$D$48^-1.9))),"---")</f>
        <v>4.320961758640613E-4</v>
      </c>
      <c r="T207" s="377">
        <f>IF(Start!$C$18="x",IF(OR(S207="NA",R207="NA",R207=0,Q207="NA",S207=0,Q207=0),"NA",(1/(1/S207+(1/(R207*Q207))))),"---")</f>
        <v>5.9701222892703213E-5</v>
      </c>
      <c r="U207" s="375" t="str">
        <f>IF(Start!$C$18="x",IF(OR(F207="NA",F207="",O207="",O207="NA"),"NA",(F207*$O207)),"---")</f>
        <v>NA</v>
      </c>
      <c r="V207" s="376" t="str">
        <f>IF(Start!$C$18="x",IF(OR(U207="NA",M207="NA",M207="",U207=""),"NA",U207/((Data!$D$18+((1-Data!$D$18)*Data!$D$14*M207))/((1-Data!$D$18)*Data!$D$14*1000))),"---")</f>
        <v>NA</v>
      </c>
      <c r="W207" s="376" t="str">
        <f>IF(Start!$C$18="x",IF(OR(G207="NA",U207="NA",G207="",U207=""),"NA",(U207 +($G207*(Data!$D$19-Data!$D$22)/(Data!$D$19*Data!$D$22)))),"---")</f>
        <v>NA</v>
      </c>
      <c r="X207" s="376" t="str">
        <f>IF(Start!$C$18="x",IF(OR(G207="NA",V207="NA",G207="",V207=""),"NA",(((Data!$D$22*Data!$D$18)*V207)+(Data!$D$19-Data!$D$22)*$G207)/((Data!$D$22*Data!$D$18)+Data!$D$19-Data!$D$22)),"---")</f>
        <v>NA</v>
      </c>
      <c r="Y207" s="376" t="str">
        <f>IF(Start!$C$18="x",IF(OR(W207="NA",W207="",M207="NA",M207=""),"NA",(W207/((Data!$D$23+((1-Data!$D$23)*Data!$D$14*M207)) /((1-Data!$D$23)*Data!$D$14*1000)))),"---")</f>
        <v>NA</v>
      </c>
      <c r="Z207" s="376" t="str">
        <f>IF(Start!$C$18="x",IF(OR(Y207="NA",X207="NA"),"NA",IF(Y207&gt;X207, Y207, X207)),"---")</f>
        <v>NA</v>
      </c>
      <c r="AA207" s="461" t="str">
        <f>IF(Start!$C$18="x",IF(OR(Z207="NA",T207="NA"),"NA",Z207*T207/(1000000000)),"---")</f>
        <v>NA</v>
      </c>
      <c r="AB207" s="1057" t="str">
        <f>IF(Start!$C$18="x",IF(AA207 = "NA", "NA", AA207*(Data!$D$52*Data!$D$53*10000)),"---")</f>
        <v>NA</v>
      </c>
      <c r="AC207" s="375" t="str">
        <f>IF(Start!$C$18="x",IF(AB207="NA", "NA", AB207*Data!$D$54),"---")</f>
        <v>NA</v>
      </c>
      <c r="AD207" s="498" t="str">
        <f>IF(Start!$C$18="x",IF(AC207="NA","NA",AC207*Data!$D$41),"---")</f>
        <v>NA</v>
      </c>
      <c r="AE207" s="376" t="str">
        <f>IF(Start!$C$18="x",IF(AB207 = "NA", "NA", AB207/(Data!$D$53*3*Data!$D$48)*1000),"---")</f>
        <v>NA</v>
      </c>
      <c r="AF207" s="498" t="str">
        <f>IF(Start!$C$18="x",IF(AE207="NA","NA",AE207*Data!$D$46),"---")</f>
        <v>NA</v>
      </c>
      <c r="AG207" s="375">
        <f>IF(Start!$C$18="x",IF(OR($L207="NA",L207=""),"NA",($L207*(Data!$D$55^3.33)/(Data!$D$18^2))),"---")</f>
        <v>1.4466241006111543E-4</v>
      </c>
      <c r="AH207" s="376" t="str">
        <f>IF(Start!$C$18="x",IF(OR(F207="NA",F207="",P207="NA",P207=""),"NA",IF(100/Data!$D$10&gt;Data!$D$13,(F207*$P207),(F207*$P207)*Data!$D$13)),"---")</f>
        <v>NA</v>
      </c>
      <c r="AI207" s="489">
        <f>IF(Start!$C$18="x",IF(OR($N207="NA",$Q207="NA",$Q207=0,Q207="",N207=""),"NA",(1000*$N207/$Q207)),"---")</f>
        <v>345631103.92965549</v>
      </c>
      <c r="AJ207" s="376">
        <f>IF(Start!$C$18="x",IF(OR(Q207 = "NA",Q207=0,N207 = "NA",N207="",Q207=""), "NA", IF($AG207="NA","NA",(3.1416*Data!$D$57*86400/($AG207*(Data!$D$55+(N207*Data!$D$19/(Q207*1000)))))^0.5)),"---")</f>
        <v>437.88785249650283</v>
      </c>
      <c r="AK207" s="376" t="str">
        <f>IF(Start!$C$18="x",IF(OR(AH207 = "NA",AI207="NA",AI207=0,AI207="",AH207=""), "NA", AH207/AI207),"---")</f>
        <v>NA</v>
      </c>
      <c r="AL207" s="376" t="str">
        <f>IF(Start!$C$18="x",IF(OR(AK207 ="NA",AK207="",AJ207= "NA",R207="NA",R207=0),"NA",(2*AK207)/(1000*(1/$R207+AJ207))),"---")</f>
        <v>NA</v>
      </c>
      <c r="AM207" s="376" t="str">
        <f>IF(Start!$C$18="x",IF(AL207 = "NA", "NA", AL207*(Data!$D$52*Data!$D$53*10000)),"---")</f>
        <v>NA</v>
      </c>
      <c r="AN207" s="376" t="str">
        <f>IF(Start!$C$18="x",IF(AM207 = "NA", "NA", AM207*(Data!$D$54)),"---")</f>
        <v>NA</v>
      </c>
      <c r="AO207" s="498" t="str">
        <f>IF(Start!$C$18="x",IF(AN207="NA","NA",AN207*Data!$D$41),"---")</f>
        <v>NA</v>
      </c>
      <c r="AP207" s="376">
        <f>IF(Start!$C$18="x",IF(OR(Q207=0,N207="NA",N207="",AG207="NA",AG207="",AG207=0,Q207="",Q207="NA"),"NA", (3.1416*Data!$D$56*86400/($AG207*(Data!$D$55+(N207*Data!$D$19/(Q207*1000)))))^0.5),"---")</f>
        <v>437.88785249650283</v>
      </c>
      <c r="AQ207" s="376" t="str">
        <f>IF(Start!$C$18="x",IF(OR(AH207="NA",AI207="NA",AI207="",AI207=0,AH207=""),"NA", AH207/AI207),"---")</f>
        <v>NA</v>
      </c>
      <c r="AR207" s="376" t="str">
        <f>IF(Start!$C$18="x",IF(OR(AQ207="NA",AP207="NA",$R207="NA",R207=0,R207=""),"NA",(2*AQ207)/(1000*(1/$R207+AP207))),"---")</f>
        <v>NA</v>
      </c>
      <c r="AS207" s="376" t="str">
        <f>IF(Start!$C$18="x",IF(AR207 = "NA", "NA", AR207*(Data!$D$52*Data!$D$53*10000)),"---")</f>
        <v>NA</v>
      </c>
      <c r="AT207" s="376" t="str">
        <f>IF(Start!$C$18="x",IF(AS207 = "NA", "NA", (AS207*1000)/(Data!$D$48*3*Data!$D$53)),"---")</f>
        <v>NA</v>
      </c>
      <c r="AU207" s="498" t="str">
        <f>IF(Start!$C$18="x",IF(AT207="NA","NA",AT207*Data!$D$47),"---")</f>
        <v>NA</v>
      </c>
      <c r="AV207" s="283" t="str">
        <f>IF(Start!$C$18="x",(IF(AND(F207="",G207= "",G207&lt;&gt;"NA"),"",IF(OR(AD207="NA",I207="NA",I207=0),"NA",(AD207/I207)))),"Not Req.")</f>
        <v/>
      </c>
      <c r="AW207" s="284" t="str">
        <f>IF(Start!$C$18="x",(IF(AND(F207="",G207= "",G207&lt;&gt;"NA"),"",IF(OR(AF207="NA",I207="NA",I207=0),"NA",(AF207/I207)))),"Not Req.")</f>
        <v/>
      </c>
      <c r="AX207" s="284" t="str">
        <f>IF(Start!$C$18="x",(IF(F207 ="","",IF(OR(AO207="NA",I207="NA",I207=0),"NA",(AO207/I207)))),"Not Req.")</f>
        <v/>
      </c>
      <c r="AY207" s="344" t="str">
        <f>IF(Start!$C$18="x",(IF(F207 ="","",IF(OR(AU207="NA",I207="NA",I207=0),"NA",(AU207/I207)))),"Not Req.")</f>
        <v/>
      </c>
      <c r="AZ207" s="208"/>
    </row>
    <row r="208" spans="1:52" s="10" customFormat="1" x14ac:dyDescent="0.25">
      <c r="A208" s="405" t="s">
        <v>526</v>
      </c>
      <c r="B208" s="347" t="str">
        <f>IF(Start!$C$18="x",IF(AND(OR(F208="",F208="NA"),OR(G208="",G208="NA")),"",IF(I208="NA","NA",IF(AND(I208="",K208="--"),"NA",IF(AD208="NA","Missing Data",IF(I208="","No Criteria",IF(AD208&gt;=I208,"Needed","No")))))),"---")</f>
        <v/>
      </c>
      <c r="C208" s="501" t="str">
        <f>IF(Start!$C$18="x",IF(AND(OR(F208="",F208="NA"),OR(G208="",G208="NA")),"",IF(I208="NA","NA",IF(AND(I208="",K208="--"),"NA",IF(AF208="NA","Missing Data",IF(I208="","No Criteria",IF(AF208&gt;=I208,"Needed","No")))))),"---")</f>
        <v/>
      </c>
      <c r="D208" s="347" t="str">
        <f>IF(Start!$C$18="x",IF(AND(OR(F208="",F208="NA"),OR(G208="",G208="NA")),"",IF(I208="NA","NA",IF(AND(I208="",K208="--"),"NA",IF(AO208="NA","Missing Data",IF(I208="","No Criteria",IF(AO208&gt;=I208,"Needed","No")))))),"---")</f>
        <v/>
      </c>
      <c r="E208" s="401" t="str">
        <f>IF(Start!$C$18="x",IF(AND(OR(F208="",F208="NA"),OR(G208="",G208="NA")),"",IF(I208="NA","NA",IF(AND(I208="",K208="--"),"NA",IF(AU208="NA","Missing Data",IF(I208="","No Criteria",IF(AU208&gt;=I208,"Needed","No")))))),"---")</f>
        <v/>
      </c>
      <c r="F208" s="431" t="str">
        <f>IF(TRUE=ISBLANK(ChemData!B208),"",(ChemData!B208))</f>
        <v/>
      </c>
      <c r="G208" s="432" t="str">
        <f>IF(TRUE=ISBLANK(ChemData!C208),"",(ChemData!C208))</f>
        <v/>
      </c>
      <c r="H208" s="433" t="str">
        <f>IF(TRUE=ISBLANK(ChemData!D208),"",(ChemData!D208))</f>
        <v/>
      </c>
      <c r="I208" s="919" t="str">
        <f>IF(TRUE=ISBLANK(ChemData!K208),"",(ChemData!K208))</f>
        <v>NA</v>
      </c>
      <c r="J208" s="290">
        <f>IF(TRUE=ISBLANK(ChemData!M208),"",(ChemData!M208))</f>
        <v>290.89999999999998</v>
      </c>
      <c r="K208" s="290">
        <f>IF(TRUE=ISBLANK(ChemData!N208),"",(ChemData!N208))</f>
        <v>7.4300000000000002E-7</v>
      </c>
      <c r="L208" s="290">
        <f>IF(TRUE=ISBLANK(ChemData!O208),"",(ChemData!O208))</f>
        <v>1.4200000000000001E-2</v>
      </c>
      <c r="M208" s="290">
        <f>IF(TRUE=ISBLANK(ChemData!Q208),"",(ChemData!Q208))</f>
        <v>116.79020446328389</v>
      </c>
      <c r="N208" s="290">
        <f>IF(TRUE=ISBLANK(ChemData!R208),"",(ChemData!R208))</f>
        <v>116.79020446328389</v>
      </c>
      <c r="O208" s="290">
        <f>IF(TRUE=ISBLANK(ChemData!S208),"",(ChemData!S208))</f>
        <v>1</v>
      </c>
      <c r="P208" s="291">
        <f>IF(TRUE=ISBLANK(ChemData!T208),"",(ChemData!T208))</f>
        <v>1</v>
      </c>
      <c r="Q208" s="375">
        <f>IF(Start!$C$18="x",IF(OR(K208="NA",K208="",K208="--"),"NA",(K208*1000000/82.1/Data!$D$50)),"---")</f>
        <v>2.9193351931161838E-5</v>
      </c>
      <c r="R208" s="376">
        <f>IF(Start!$C$18="x",IF(OR(J208="NA",J208=0,J208=""),"NA",(0.32*(Data!$D$48+Data!$D$49)*(18/J208)^0.5)),"---")</f>
        <v>0.20497061473484018</v>
      </c>
      <c r="S208" s="376">
        <f>IF(Start!$C$18="x",IF(OR(J208="NA",J208= 0,J208=""),"NA",(0.0065*((Data!$D$49^0.969)/(Data!$D$51^0.673))*(32/J208)^0.5*EXP(0.526*Data!$D$48^-1.9))),"---")</f>
        <v>4.3202190062915696E-4</v>
      </c>
      <c r="T208" s="377">
        <f>IF(Start!$C$18="x",IF(OR(S208="NA",R208="NA",R208=0,Q208="NA",S208=0,Q208=0),"NA",(1/(1/S208+(1/(R208*Q208))))),"---")</f>
        <v>5.9020323730227335E-6</v>
      </c>
      <c r="U208" s="375" t="str">
        <f>IF(Start!$C$18="x",IF(OR(F208="NA",F208="",O208="",O208="NA"),"NA",(F208*$O208)),"---")</f>
        <v>NA</v>
      </c>
      <c r="V208" s="376" t="str">
        <f>IF(Start!$C$18="x",IF(OR(U208="NA",M208="NA",M208="",U208=""),"NA",U208/((Data!$D$18+((1-Data!$D$18)*Data!$D$14*M208))/((1-Data!$D$18)*Data!$D$14*1000))),"---")</f>
        <v>NA</v>
      </c>
      <c r="W208" s="376" t="str">
        <f>IF(Start!$C$18="x",IF(OR(G208="NA",U208="NA",G208="",U208=""),"NA",(U208 +($G208*(Data!$D$19-Data!$D$22)/(Data!$D$19*Data!$D$22)))),"---")</f>
        <v>NA</v>
      </c>
      <c r="X208" s="376" t="str">
        <f>IF(Start!$C$18="x",IF(OR(G208="NA",V208="NA",G208="",V208=""),"NA",(((Data!$D$22*Data!$D$18)*V208)+(Data!$D$19-Data!$D$22)*$G208)/((Data!$D$22*Data!$D$18)+Data!$D$19-Data!$D$22)),"---")</f>
        <v>NA</v>
      </c>
      <c r="Y208" s="376" t="str">
        <f>IF(Start!$C$18="x",IF(OR(W208="NA",W208="",M208="NA",M208=""),"NA",(W208/((Data!$D$23+((1-Data!$D$23)*Data!$D$14*M208)) /((1-Data!$D$23)*Data!$D$14*1000)))),"---")</f>
        <v>NA</v>
      </c>
      <c r="Z208" s="376" t="str">
        <f>IF(Start!$C$18="x",IF(OR(Y208="NA",X208="NA"),"NA",IF(Y208&gt;X208, Y208, X208)),"---")</f>
        <v>NA</v>
      </c>
      <c r="AA208" s="461" t="str">
        <f>IF(Start!$C$18="x",IF(OR(Z208="NA",T208="NA"),"NA",Z208*T208/(1000000000)),"---")</f>
        <v>NA</v>
      </c>
      <c r="AB208" s="1057" t="str">
        <f>IF(Start!$C$18="x",IF(AA208 = "NA", "NA", AA208*(Data!$D$52*Data!$D$53*10000)),"---")</f>
        <v>NA</v>
      </c>
      <c r="AC208" s="375" t="str">
        <f>IF(Start!$C$18="x",IF(AB208="NA", "NA", AB208*Data!$D$54),"---")</f>
        <v>NA</v>
      </c>
      <c r="AD208" s="498" t="str">
        <f>IF(Start!$C$18="x",IF(AC208="NA","NA",AC208*Data!$D$41),"---")</f>
        <v>NA</v>
      </c>
      <c r="AE208" s="376" t="str">
        <f>IF(Start!$C$18="x",IF(AB208 = "NA", "NA", AB208/(Data!$D$53*3*Data!$D$48)*1000),"---")</f>
        <v>NA</v>
      </c>
      <c r="AF208" s="498" t="str">
        <f>IF(Start!$C$18="x",IF(AE208="NA","NA",AE208*Data!$D$46),"---")</f>
        <v>NA</v>
      </c>
      <c r="AG208" s="375">
        <f>IF(Start!$C$18="x",IF(OR($L208="NA",L208=""),"NA",($L208*(Data!$D$55^3.33)/(Data!$D$18^2))),"---")</f>
        <v>1.4466241006111543E-4</v>
      </c>
      <c r="AH208" s="376" t="str">
        <f>IF(Start!$C$18="x",IF(OR(F208="NA",F208="",P208="NA",P208=""),"NA",IF(100/Data!$D$10&gt;Data!$D$13,(F208*$P208),(F208*$P208)*Data!$D$13)),"---")</f>
        <v>NA</v>
      </c>
      <c r="AI208" s="489">
        <f>IF(Start!$C$18="x",IF(OR($N208="NA",$Q208="NA",$Q208=0,Q208="",N208=""),"NA",(1000*$N208/$Q208)),"---")</f>
        <v>4000575361.7699037</v>
      </c>
      <c r="AJ208" s="376">
        <f>IF(Start!$C$18="x",IF(OR(Q208 = "NA",Q208=0,N208 = "NA",N208="",Q208=""), "NA", IF($AG208="NA","NA",(3.1416*Data!$D$57*86400/($AG208*(Data!$D$55+(N208*Data!$D$19/(Q208*1000)))))^0.5)),"---")</f>
        <v>128.70879191431194</v>
      </c>
      <c r="AK208" s="376" t="str">
        <f>IF(Start!$C$18="x",IF(OR(AH208 = "NA",AI208="NA",AI208=0,AI208="",AH208=""), "NA", AH208/AI208),"---")</f>
        <v>NA</v>
      </c>
      <c r="AL208" s="376" t="str">
        <f>IF(Start!$C$18="x",IF(OR(AK208 ="NA",AK208="",AJ208= "NA",R208="NA",R208=0),"NA",(2*AK208)/(1000*(1/$R208+AJ208))),"---")</f>
        <v>NA</v>
      </c>
      <c r="AM208" s="376" t="str">
        <f>IF(Start!$C$18="x",IF(AL208 = "NA", "NA", AL208*(Data!$D$52*Data!$D$53*10000)),"---")</f>
        <v>NA</v>
      </c>
      <c r="AN208" s="376" t="str">
        <f>IF(Start!$C$18="x",IF(AM208 = "NA", "NA", AM208*(Data!$D$54)),"---")</f>
        <v>NA</v>
      </c>
      <c r="AO208" s="498" t="str">
        <f>IF(Start!$C$18="x",IF(AN208="NA","NA",AN208*Data!$D$41),"---")</f>
        <v>NA</v>
      </c>
      <c r="AP208" s="376">
        <f>IF(Start!$C$18="x",IF(OR(Q208=0,N208="NA",N208="",AG208="NA",AG208="",AG208=0,Q208="",Q208="NA"),"NA", (3.1416*Data!$D$56*86400/($AG208*(Data!$D$55+(N208*Data!$D$19/(Q208*1000)))))^0.5),"---")</f>
        <v>128.70879191431194</v>
      </c>
      <c r="AQ208" s="376" t="str">
        <f>IF(Start!$C$18="x",IF(OR(AH208="NA",AI208="NA",AI208="",AI208=0,AH208=""),"NA", AH208/AI208),"---")</f>
        <v>NA</v>
      </c>
      <c r="AR208" s="376" t="str">
        <f>IF(Start!$C$18="x",IF(OR(AQ208="NA",AP208="NA",$R208="NA",R208=0,R208=""),"NA",(2*AQ208)/(1000*(1/$R208+AP208))),"---")</f>
        <v>NA</v>
      </c>
      <c r="AS208" s="376" t="str">
        <f>IF(Start!$C$18="x",IF(AR208 = "NA", "NA", AR208*(Data!$D$52*Data!$D$53*10000)),"---")</f>
        <v>NA</v>
      </c>
      <c r="AT208" s="376" t="str">
        <f>IF(Start!$C$18="x",IF(AS208 = "NA", "NA", (AS208*1000)/(Data!$D$48*3*Data!$D$53)),"---")</f>
        <v>NA</v>
      </c>
      <c r="AU208" s="498" t="str">
        <f>IF(Start!$C$18="x",IF(AT208="NA","NA",AT208*Data!$D$47),"---")</f>
        <v>NA</v>
      </c>
      <c r="AV208" s="283" t="str">
        <f>IF(Start!$C$18="x",(IF(AND(F208="",G208= "",G208&lt;&gt;"NA"),"",IF(OR(AD208="NA",I208="NA",I208=0),"NA",(AD208/I208)))),"Not Req.")</f>
        <v/>
      </c>
      <c r="AW208" s="284" t="str">
        <f>IF(Start!$C$18="x",(IF(AND(F208="",G208= "",G208&lt;&gt;"NA"),"",IF(OR(AF208="NA",I208="NA",I208=0),"NA",(AF208/I208)))),"Not Req.")</f>
        <v/>
      </c>
      <c r="AX208" s="284" t="str">
        <f>IF(Start!$C$18="x",(IF(F208 ="","",IF(OR(AO208="NA",I208="NA",I208=0),"NA",(AO208/I208)))),"Not Req.")</f>
        <v/>
      </c>
      <c r="AY208" s="344" t="str">
        <f>IF(Start!$C$18="x",(IF(F208 ="","",IF(OR(AU208="NA",I208="NA",I208=0),"NA",(AU208/I208)))),"Not Req.")</f>
        <v/>
      </c>
      <c r="AZ208" s="208"/>
    </row>
    <row r="209" spans="1:52" s="10" customFormat="1" x14ac:dyDescent="0.25">
      <c r="A209" s="405" t="s">
        <v>527</v>
      </c>
      <c r="B209" s="347" t="str">
        <f>IF(Start!$C$18="x",IF(AND(OR(F209="",F209="NA"),OR(G209="",G209="NA")),"",IF(I209="NA","NA",IF(AND(I209="",K209="--"),"NA",IF(AD209="NA","Missing Data",IF(I209="","No Criteria",IF(AD209&gt;=I209,"Needed","No")))))),"---")</f>
        <v/>
      </c>
      <c r="C209" s="501" t="str">
        <f>IF(Start!$C$18="x",IF(AND(OR(F209="",F209="NA"),OR(G209="",G209="NA")),"",IF(I209="NA","NA",IF(AND(I209="",K209="--"),"NA",IF(AF209="NA","Missing Data",IF(I209="","No Criteria",IF(AF209&gt;=I209,"Needed","No")))))),"---")</f>
        <v/>
      </c>
      <c r="D209" s="347" t="str">
        <f>IF(Start!$C$18="x",IF(AND(OR(F209="",F209="NA"),OR(G209="",G209="NA")),"",IF(I209="NA","NA",IF(AND(I209="",K209="--"),"NA",IF(AO209="NA","Missing Data",IF(I209="","No Criteria",IF(AO209&gt;=I209,"Needed","No")))))),"---")</f>
        <v/>
      </c>
      <c r="E209" s="401" t="str">
        <f>IF(Start!$C$18="x",IF(AND(OR(F209="",F209="NA"),OR(G209="",G209="NA")),"",IF(I209="NA","NA",IF(AND(I209="",K209="--"),"NA",IF(AU209="NA","Missing Data",IF(I209="","No Criteria",IF(AU209&gt;=I209,"Needed","No")))))),"---")</f>
        <v/>
      </c>
      <c r="F209" s="431" t="str">
        <f>IF(TRUE=ISBLANK(ChemData!B209),"",(ChemData!B209))</f>
        <v/>
      </c>
      <c r="G209" s="432" t="str">
        <f>IF(TRUE=ISBLANK(ChemData!C209),"",(ChemData!C209))</f>
        <v/>
      </c>
      <c r="H209" s="433" t="str">
        <f>IF(TRUE=ISBLANK(ChemData!D209),"",(ChemData!D209))</f>
        <v/>
      </c>
      <c r="I209" s="919" t="str">
        <f>IF(TRUE=ISBLANK(ChemData!K209),"",(ChemData!K209))</f>
        <v>NA</v>
      </c>
      <c r="J209" s="290">
        <f>IF(TRUE=ISBLANK(ChemData!M209),"",(ChemData!M209))</f>
        <v>290.8</v>
      </c>
      <c r="K209" s="290">
        <f>IF(TRUE=ISBLANK(ChemData!N209),"",(ChemData!N209))</f>
        <v>2.0699999999999999E-7</v>
      </c>
      <c r="L209" s="290">
        <f>IF(TRUE=ISBLANK(ChemData!O209),"",(ChemData!O209))</f>
        <v>0.1508943612664799</v>
      </c>
      <c r="M209" s="290">
        <f>IF(TRUE=ISBLANK(ChemData!Q209),"",(ChemData!Q209))</f>
        <v>255.50912737799382</v>
      </c>
      <c r="N209" s="290">
        <f>IF(TRUE=ISBLANK(ChemData!R209),"",(ChemData!R209))</f>
        <v>255.50912737799382</v>
      </c>
      <c r="O209" s="290">
        <f>IF(TRUE=ISBLANK(ChemData!S209),"",(ChemData!S209))</f>
        <v>1</v>
      </c>
      <c r="P209" s="291">
        <f>IF(TRUE=ISBLANK(ChemData!T209),"",(ChemData!T209))</f>
        <v>1</v>
      </c>
      <c r="Q209" s="375">
        <f>IF(Start!$C$18="x",IF(OR(K209="NA",K209="",K209="--"),"NA",(K209*1000000/82.1/Data!$D$50)),"---")</f>
        <v>8.1332757062590857E-6</v>
      </c>
      <c r="R209" s="376">
        <f>IF(Start!$C$18="x",IF(OR(J209="NA",J209=0,J209=""),"NA",(0.32*(Data!$D$48+Data!$D$49)*(18/J209)^0.5)),"---")</f>
        <v>0.20500585424592921</v>
      </c>
      <c r="S209" s="376">
        <f>IF(Start!$C$18="x",IF(OR(J209="NA",J209= 0,J209=""),"NA",(0.0065*((Data!$D$49^0.969)/(Data!$D$51^0.673))*(32/J209)^0.5*EXP(0.526*Data!$D$48^-1.9))),"---")</f>
        <v>4.320961758640613E-4</v>
      </c>
      <c r="T209" s="377">
        <f>IF(Start!$C$18="x",IF(OR(S209="NA",R209="NA",R209=0,Q209="NA",S209=0,Q209=0),"NA",(1/(1/S209+(1/(R209*Q209))))),"---")</f>
        <v>1.6609598359619753E-6</v>
      </c>
      <c r="U209" s="375" t="str">
        <f>IF(Start!$C$18="x",IF(OR(F209="NA",F209="",O209="",O209="NA"),"NA",(F209*$O209)),"---")</f>
        <v>NA</v>
      </c>
      <c r="V209" s="376" t="str">
        <f>IF(Start!$C$18="x",IF(OR(U209="NA",M209="NA",M209="",U209=""),"NA",U209/((Data!$D$18+((1-Data!$D$18)*Data!$D$14*M209))/((1-Data!$D$18)*Data!$D$14*1000))),"---")</f>
        <v>NA</v>
      </c>
      <c r="W209" s="376" t="str">
        <f>IF(Start!$C$18="x",IF(OR(G209="NA",U209="NA",G209="",U209=""),"NA",(U209 +($G209*(Data!$D$19-Data!$D$22)/(Data!$D$19*Data!$D$22)))),"---")</f>
        <v>NA</v>
      </c>
      <c r="X209" s="376" t="str">
        <f>IF(Start!$C$18="x",IF(OR(G209="NA",V209="NA",G209="",V209=""),"NA",(((Data!$D$22*Data!$D$18)*V209)+(Data!$D$19-Data!$D$22)*$G209)/((Data!$D$22*Data!$D$18)+Data!$D$19-Data!$D$22)),"---")</f>
        <v>NA</v>
      </c>
      <c r="Y209" s="376" t="str">
        <f>IF(Start!$C$18="x",IF(OR(W209="NA",W209="",M209="NA",M209=""),"NA",(W209/((Data!$D$23+((1-Data!$D$23)*Data!$D$14*M209)) /((1-Data!$D$23)*Data!$D$14*1000)))),"---")</f>
        <v>NA</v>
      </c>
      <c r="Z209" s="376" t="str">
        <f>IF(Start!$C$18="x",IF(OR(Y209="NA",X209="NA"),"NA",IF(Y209&gt;X209, Y209, X209)),"---")</f>
        <v>NA</v>
      </c>
      <c r="AA209" s="461" t="str">
        <f>IF(Start!$C$18="x",IF(OR(Z209="NA",T209="NA"),"NA",Z209*T209/(1000000000)),"---")</f>
        <v>NA</v>
      </c>
      <c r="AB209" s="1057" t="str">
        <f>IF(Start!$C$18="x",IF(AA209 = "NA", "NA", AA209*(Data!$D$52*Data!$D$53*10000)),"---")</f>
        <v>NA</v>
      </c>
      <c r="AC209" s="375" t="str">
        <f>IF(Start!$C$18="x",IF(AB209="NA", "NA", AB209*Data!$D$54),"---")</f>
        <v>NA</v>
      </c>
      <c r="AD209" s="498" t="str">
        <f>IF(Start!$C$18="x",IF(AC209="NA","NA",AC209*Data!$D$41),"---")</f>
        <v>NA</v>
      </c>
      <c r="AE209" s="376" t="str">
        <f>IF(Start!$C$18="x",IF(AB209 = "NA", "NA", AB209/(Data!$D$53*3*Data!$D$48)*1000),"---")</f>
        <v>NA</v>
      </c>
      <c r="AF209" s="498" t="str">
        <f>IF(Start!$C$18="x",IF(AE209="NA","NA",AE209*Data!$D$46),"---")</f>
        <v>NA</v>
      </c>
      <c r="AG209" s="375">
        <f>IF(Start!$C$18="x",IF(OR($L209="NA",L209=""),"NA",($L209*(Data!$D$55^3.33)/(Data!$D$18^2))),"---")</f>
        <v>1.5372353496789866E-3</v>
      </c>
      <c r="AH209" s="376" t="str">
        <f>IF(Start!$C$18="x",IF(OR(F209="NA",F209="",P209="NA",P209=""),"NA",IF(100/Data!$D$10&gt;Data!$D$13,(F209*$P209),(F209*$P209)*Data!$D$13)),"---")</f>
        <v>NA</v>
      </c>
      <c r="AI209" s="489">
        <f>IF(Start!$C$18="x",IF(OR($N209="NA",$Q209="NA",$Q209=0,Q209="",N209=""),"NA",(1000*$N209/$Q209)),"---")</f>
        <v>31415279231.388027</v>
      </c>
      <c r="AJ209" s="376">
        <f>IF(Start!$C$18="x",IF(OR(Q209 = "NA",Q209=0,N209 = "NA",N209="",Q209=""), "NA", IF($AG209="NA","NA",(3.1416*Data!$D$57*86400/($AG209*(Data!$D$55+(N209*Data!$D$19/(Q209*1000)))))^0.5)),"---")</f>
        <v>14.089859342905276</v>
      </c>
      <c r="AK209" s="376" t="str">
        <f>IF(Start!$C$18="x",IF(OR(AH209 = "NA",AI209="NA",AI209=0,AI209="",AH209=""), "NA", AH209/AI209),"---")</f>
        <v>NA</v>
      </c>
      <c r="AL209" s="376" t="str">
        <f>IF(Start!$C$18="x",IF(OR(AK209 ="NA",AK209="",AJ209= "NA",R209="NA",R209=0),"NA",(2*AK209)/(1000*(1/$R209+AJ209))),"---")</f>
        <v>NA</v>
      </c>
      <c r="AM209" s="376" t="str">
        <f>IF(Start!$C$18="x",IF(AL209 = "NA", "NA", AL209*(Data!$D$52*Data!$D$53*10000)),"---")</f>
        <v>NA</v>
      </c>
      <c r="AN209" s="376" t="str">
        <f>IF(Start!$C$18="x",IF(AM209 = "NA", "NA", AM209*(Data!$D$54)),"---")</f>
        <v>NA</v>
      </c>
      <c r="AO209" s="498" t="str">
        <f>IF(Start!$C$18="x",IF(AN209="NA","NA",AN209*Data!$D$41),"---")</f>
        <v>NA</v>
      </c>
      <c r="AP209" s="376">
        <f>IF(Start!$C$18="x",IF(OR(Q209=0,N209="NA",N209="",AG209="NA",AG209="",AG209=0,Q209="",Q209="NA"),"NA", (3.1416*Data!$D$56*86400/($AG209*(Data!$D$55+(N209*Data!$D$19/(Q209*1000)))))^0.5),"---")</f>
        <v>14.089859342905276</v>
      </c>
      <c r="AQ209" s="376" t="str">
        <f>IF(Start!$C$18="x",IF(OR(AH209="NA",AI209="NA",AI209="",AI209=0,AH209=""),"NA", AH209/AI209),"---")</f>
        <v>NA</v>
      </c>
      <c r="AR209" s="376" t="str">
        <f>IF(Start!$C$18="x",IF(OR(AQ209="NA",AP209="NA",$R209="NA",R209=0,R209=""),"NA",(2*AQ209)/(1000*(1/$R209+AP209))),"---")</f>
        <v>NA</v>
      </c>
      <c r="AS209" s="376" t="str">
        <f>IF(Start!$C$18="x",IF(AR209 = "NA", "NA", AR209*(Data!$D$52*Data!$D$53*10000)),"---")</f>
        <v>NA</v>
      </c>
      <c r="AT209" s="376" t="str">
        <f>IF(Start!$C$18="x",IF(AS209 = "NA", "NA", (AS209*1000)/(Data!$D$48*3*Data!$D$53)),"---")</f>
        <v>NA</v>
      </c>
      <c r="AU209" s="498" t="str">
        <f>IF(Start!$C$18="x",IF(AT209="NA","NA",AT209*Data!$D$47),"---")</f>
        <v>NA</v>
      </c>
      <c r="AV209" s="283" t="str">
        <f>IF(Start!$C$18="x",(IF(AND(F209="",G209= "",G209&lt;&gt;"NA"),"",IF(OR(AD209="NA",I209="NA",I209=0),"NA",(AD209/I209)))),"Not Req.")</f>
        <v/>
      </c>
      <c r="AW209" s="284" t="str">
        <f>IF(Start!$C$18="x",(IF(AND(F209="",G209= "",G209&lt;&gt;"NA"),"",IF(OR(AF209="NA",I209="NA",I209=0),"NA",(AF209/I209)))),"Not Req.")</f>
        <v/>
      </c>
      <c r="AX209" s="284" t="str">
        <f>IF(Start!$C$18="x",(IF(F209 ="","",IF(OR(AO209="NA",I209="NA",I209=0),"NA",(AO209/I209)))),"Not Req.")</f>
        <v/>
      </c>
      <c r="AY209" s="344" t="str">
        <f>IF(Start!$C$18="x",(IF(F209 ="","",IF(OR(AU209="NA",I209="NA",I209=0),"NA",(AU209/I209)))),"Not Req.")</f>
        <v/>
      </c>
      <c r="AZ209" s="208"/>
    </row>
    <row r="210" spans="1:52" s="10" customFormat="1" x14ac:dyDescent="0.25">
      <c r="A210" s="405" t="s">
        <v>528</v>
      </c>
      <c r="B210" s="347" t="str">
        <f>IF(Start!$C$18="x",IF(AND(OR(F210="",F210="NA"),OR(G210="",G210="NA")),"",IF(I210="NA","NA",IF(AND(I210="",K210="--"),"NA",IF(AD210="NA","Missing Data",IF(I210="","No Criteria",IF(AD210&gt;=I210,"Needed","No")))))),"---")</f>
        <v/>
      </c>
      <c r="C210" s="501" t="str">
        <f>IF(Start!$C$18="x",IF(AND(OR(F210="",F210="NA"),OR(G210="",G210="NA")),"",IF(I210="NA","NA",IF(AND(I210="",K210="--"),"NA",IF(AF210="NA","Missing Data",IF(I210="","No Criteria",IF(AF210&gt;=I210,"Needed","No")))))),"---")</f>
        <v/>
      </c>
      <c r="D210" s="347" t="str">
        <f>IF(Start!$C$18="x",IF(AND(OR(F210="",F210="NA"),OR(G210="",G210="NA")),"",IF(I210="NA","NA",IF(AND(I210="",K210="--"),"NA",IF(AO210="NA","Missing Data",IF(I210="","No Criteria",IF(AO210&gt;=I210,"Needed","No")))))),"---")</f>
        <v/>
      </c>
      <c r="E210" s="401" t="str">
        <f>IF(Start!$C$18="x",IF(AND(OR(F210="",F210="NA"),OR(G210="",G210="NA")),"",IF(I210="NA","NA",IF(AND(I210="",K210="--"),"NA",IF(AU210="NA","Missing Data",IF(I210="","No Criteria",IF(AU210&gt;=I210,"Needed","No")))))),"---")</f>
        <v/>
      </c>
      <c r="F210" s="431" t="str">
        <f>IF(TRUE=ISBLANK(ChemData!B210),"",(ChemData!B210))</f>
        <v/>
      </c>
      <c r="G210" s="432" t="str">
        <f>IF(TRUE=ISBLANK(ChemData!C210),"",(ChemData!C210))</f>
        <v/>
      </c>
      <c r="H210" s="433" t="str">
        <f>IF(TRUE=ISBLANK(ChemData!D210),"",(ChemData!D210))</f>
        <v/>
      </c>
      <c r="I210" s="919" t="str">
        <f>IF(TRUE=ISBLANK(ChemData!K210),"",(ChemData!K210))</f>
        <v>NA</v>
      </c>
      <c r="J210" s="290">
        <f>IF(TRUE=ISBLANK(ChemData!M210),"",(ChemData!M210))</f>
        <v>291</v>
      </c>
      <c r="K210" s="290">
        <f>IF(TRUE=ISBLANK(ChemData!N210),"",(ChemData!N210))</f>
        <v>7.8499999999999994E-6</v>
      </c>
      <c r="L210" s="290">
        <f>IF(TRUE=ISBLANK(ChemData!O210),"",(ChemData!O210))</f>
        <v>1.4200000000000001E-2</v>
      </c>
      <c r="M210" s="290">
        <f>IF(TRUE=ISBLANK(ChemData!Q210),"",(ChemData!Q210))</f>
        <v>92.769756944408272</v>
      </c>
      <c r="N210" s="290">
        <f>IF(TRUE=ISBLANK(ChemData!R210),"",(ChemData!R210))</f>
        <v>92.769756944408272</v>
      </c>
      <c r="O210" s="290">
        <f>IF(TRUE=ISBLANK(ChemData!S210),"",(ChemData!S210))</f>
        <v>1</v>
      </c>
      <c r="P210" s="291">
        <f>IF(TRUE=ISBLANK(ChemData!T210),"",(ChemData!T210))</f>
        <v>1</v>
      </c>
      <c r="Q210" s="375">
        <f>IF(Start!$C$18="x",IF(OR(K210="NA",K210="",K210="--"),"NA",(K210*1000000/82.1/Data!$D$50)),"---")</f>
        <v>3.0843581784605712E-4</v>
      </c>
      <c r="R210" s="376">
        <f>IF(Start!$C$18="x",IF(OR(J210="NA",J210=0,J210=""),"NA",(0.32*(Data!$D$48+Data!$D$49)*(18/J210)^0.5)),"---")</f>
        <v>0.20493539339000849</v>
      </c>
      <c r="S210" s="376">
        <f>IF(Start!$C$18="x",IF(OR(J210="NA",J210= 0,J210=""),"NA",(0.0065*((Data!$D$49^0.969)/(Data!$D$51^0.673))*(32/J210)^0.5*EXP(0.526*Data!$D$48^-1.9))),"---")</f>
        <v>4.3194766368374611E-4</v>
      </c>
      <c r="T210" s="377">
        <f>IF(Start!$C$18="x",IF(OR(S210="NA",R210="NA",R210=0,Q210="NA",S210=0,Q210=0),"NA",(1/(1/S210+(1/(R210*Q210))))),"---")</f>
        <v>5.5140400003050536E-5</v>
      </c>
      <c r="U210" s="375" t="str">
        <f>IF(Start!$C$18="x",IF(OR(F210="NA",F210="",O210="",O210="NA"),"NA",(F210*$O210)),"---")</f>
        <v>NA</v>
      </c>
      <c r="V210" s="376" t="str">
        <f>IF(Start!$C$18="x",IF(OR(U210="NA",M210="NA",M210="",U210=""),"NA",U210/((Data!$D$18+((1-Data!$D$18)*Data!$D$14*M210))/((1-Data!$D$18)*Data!$D$14*1000))),"---")</f>
        <v>NA</v>
      </c>
      <c r="W210" s="376" t="str">
        <f>IF(Start!$C$18="x",IF(OR(G210="NA",U210="NA",G210="",U210=""),"NA",(U210 +($G210*(Data!$D$19-Data!$D$22)/(Data!$D$19*Data!$D$22)))),"---")</f>
        <v>NA</v>
      </c>
      <c r="X210" s="376" t="str">
        <f>IF(Start!$C$18="x",IF(OR(G210="NA",V210="NA",G210="",V210=""),"NA",(((Data!$D$22*Data!$D$18)*V210)+(Data!$D$19-Data!$D$22)*$G210)/((Data!$D$22*Data!$D$18)+Data!$D$19-Data!$D$22)),"---")</f>
        <v>NA</v>
      </c>
      <c r="Y210" s="376" t="str">
        <f>IF(Start!$C$18="x",IF(OR(W210="NA",W210="",M210="NA",M210=""),"NA",(W210/((Data!$D$23+((1-Data!$D$23)*Data!$D$14*M210)) /((1-Data!$D$23)*Data!$D$14*1000)))),"---")</f>
        <v>NA</v>
      </c>
      <c r="Z210" s="376" t="str">
        <f>IF(Start!$C$18="x",IF(OR(Y210="NA",X210="NA"),"NA",IF(Y210&gt;X210, Y210, X210)),"---")</f>
        <v>NA</v>
      </c>
      <c r="AA210" s="461" t="str">
        <f>IF(Start!$C$18="x",IF(OR(Z210="NA",T210="NA"),"NA",Z210*T210/(1000000000)),"---")</f>
        <v>NA</v>
      </c>
      <c r="AB210" s="1057" t="str">
        <f>IF(Start!$C$18="x",IF(AA210 = "NA", "NA", AA210*(Data!$D$52*Data!$D$53*10000)),"---")</f>
        <v>NA</v>
      </c>
      <c r="AC210" s="375" t="str">
        <f>IF(Start!$C$18="x",IF(AB210="NA", "NA", AB210*Data!$D$54),"---")</f>
        <v>NA</v>
      </c>
      <c r="AD210" s="498" t="str">
        <f>IF(Start!$C$18="x",IF(AC210="NA","NA",AC210*Data!$D$41),"---")</f>
        <v>NA</v>
      </c>
      <c r="AE210" s="376" t="str">
        <f>IF(Start!$C$18="x",IF(AB210 = "NA", "NA", AB210/(Data!$D$53*3*Data!$D$48)*1000),"---")</f>
        <v>NA</v>
      </c>
      <c r="AF210" s="498" t="str">
        <f>IF(Start!$C$18="x",IF(AE210="NA","NA",AE210*Data!$D$46),"---")</f>
        <v>NA</v>
      </c>
      <c r="AG210" s="375">
        <f>IF(Start!$C$18="x",IF(OR($L210="NA",L210=""),"NA",($L210*(Data!$D$55^3.33)/(Data!$D$18^2))),"---")</f>
        <v>1.4466241006111543E-4</v>
      </c>
      <c r="AH210" s="376" t="str">
        <f>IF(Start!$C$18="x",IF(OR(F210="NA",F210="",P210="NA",P210=""),"NA",IF(100/Data!$D$10&gt;Data!$D$13,(F210*$P210),(F210*$P210)*Data!$D$13)),"---")</f>
        <v>NA</v>
      </c>
      <c r="AI210" s="489">
        <f>IF(Start!$C$18="x",IF(OR($N210="NA",$Q210="NA",$Q210=0,Q210="",N210=""),"NA",(1000*$N210/$Q210)),"---")</f>
        <v>300774915.15823376</v>
      </c>
      <c r="AJ210" s="376">
        <f>IF(Start!$C$18="x",IF(OR(Q210 = "NA",Q210=0,N210 = "NA",N210="",Q210=""), "NA", IF($AG210="NA","NA",(3.1416*Data!$D$57*86400/($AG210*(Data!$D$55+(N210*Data!$D$19/(Q210*1000)))))^0.5)),"---")</f>
        <v>469.40582893350768</v>
      </c>
      <c r="AK210" s="376" t="str">
        <f>IF(Start!$C$18="x",IF(OR(AH210 = "NA",AI210="NA",AI210=0,AI210="",AH210=""), "NA", AH210/AI210),"---")</f>
        <v>NA</v>
      </c>
      <c r="AL210" s="376" t="str">
        <f>IF(Start!$C$18="x",IF(OR(AK210 ="NA",AK210="",AJ210= "NA",R210="NA",R210=0),"NA",(2*AK210)/(1000*(1/$R210+AJ210))),"---")</f>
        <v>NA</v>
      </c>
      <c r="AM210" s="376" t="str">
        <f>IF(Start!$C$18="x",IF(AL210 = "NA", "NA", AL210*(Data!$D$52*Data!$D$53*10000)),"---")</f>
        <v>NA</v>
      </c>
      <c r="AN210" s="376" t="str">
        <f>IF(Start!$C$18="x",IF(AM210 = "NA", "NA", AM210*(Data!$D$54)),"---")</f>
        <v>NA</v>
      </c>
      <c r="AO210" s="498" t="str">
        <f>IF(Start!$C$18="x",IF(AN210="NA","NA",AN210*Data!$D$41),"---")</f>
        <v>NA</v>
      </c>
      <c r="AP210" s="376">
        <f>IF(Start!$C$18="x",IF(OR(Q210=0,N210="NA",N210="",AG210="NA",AG210="",AG210=0,Q210="",Q210="NA"),"NA", (3.1416*Data!$D$56*86400/($AG210*(Data!$D$55+(N210*Data!$D$19/(Q210*1000)))))^0.5),"---")</f>
        <v>469.40582893350768</v>
      </c>
      <c r="AQ210" s="376" t="str">
        <f>IF(Start!$C$18="x",IF(OR(AH210="NA",AI210="NA",AI210="",AI210=0,AH210=""),"NA", AH210/AI210),"---")</f>
        <v>NA</v>
      </c>
      <c r="AR210" s="376" t="str">
        <f>IF(Start!$C$18="x",IF(OR(AQ210="NA",AP210="NA",$R210="NA",R210=0,R210=""),"NA",(2*AQ210)/(1000*(1/$R210+AP210))),"---")</f>
        <v>NA</v>
      </c>
      <c r="AS210" s="376" t="str">
        <f>IF(Start!$C$18="x",IF(AR210 = "NA", "NA", AR210*(Data!$D$52*Data!$D$53*10000)),"---")</f>
        <v>NA</v>
      </c>
      <c r="AT210" s="376" t="str">
        <f>IF(Start!$C$18="x",IF(AS210 = "NA", "NA", (AS210*1000)/(Data!$D$48*3*Data!$D$53)),"---")</f>
        <v>NA</v>
      </c>
      <c r="AU210" s="498" t="str">
        <f>IF(Start!$C$18="x",IF(AT210="NA","NA",AT210*Data!$D$47),"---")</f>
        <v>NA</v>
      </c>
      <c r="AV210" s="283" t="str">
        <f>IF(Start!$C$18="x",(IF(AND(F210="",G210= "",G210&lt;&gt;"NA"),"",IF(OR(AD210="NA",I210="NA",I210=0),"NA",(AD210/I210)))),"Not Req.")</f>
        <v/>
      </c>
      <c r="AW210" s="284" t="str">
        <f>IF(Start!$C$18="x",(IF(AND(F210="",G210= "",G210&lt;&gt;"NA"),"",IF(OR(AF210="NA",I210="NA",I210=0),"NA",(AF210/I210)))),"Not Req.")</f>
        <v/>
      </c>
      <c r="AX210" s="284" t="str">
        <f>IF(Start!$C$18="x",(IF(F210 ="","",IF(OR(AO210="NA",I210="NA",I210=0),"NA",(AO210/I210)))),"Not Req.")</f>
        <v/>
      </c>
      <c r="AY210" s="344" t="str">
        <f>IF(Start!$C$18="x",(IF(F210 ="","",IF(OR(AU210="NA",I210="NA",I210=0),"NA",(AU210/I210)))),"Not Req.")</f>
        <v/>
      </c>
      <c r="AZ210" s="208"/>
    </row>
    <row r="211" spans="1:52" s="10" customFormat="1" x14ac:dyDescent="0.25">
      <c r="A211" s="405" t="s">
        <v>529</v>
      </c>
      <c r="B211" s="347" t="str">
        <f>IF(Start!$C$18="x",IF(AND(OR(F211="",F211="NA"),OR(G211="",G211="NA")),"",IF(I211="NA","NA",IF(AND(I211="",K211="--"),"NA",IF(AD211="NA","Missing Data",IF(I211="","No Criteria",IF(AD211&gt;=I211,"Needed","No")))))),"---")</f>
        <v/>
      </c>
      <c r="C211" s="501" t="str">
        <f>IF(Start!$C$18="x",IF(AND(OR(F211="",F211="NA"),OR(G211="",G211="NA")),"",IF(I211="NA","NA",IF(AND(I211="",K211="--"),"NA",IF(AF211="NA","Missing Data",IF(I211="","No Criteria",IF(AF211&gt;=I211,"Needed","No")))))),"---")</f>
        <v/>
      </c>
      <c r="D211" s="347" t="str">
        <f>IF(Start!$C$18="x",IF(AND(OR(F211="",F211="NA"),OR(G211="",G211="NA")),"",IF(I211="NA","NA",IF(AND(I211="",K211="--"),"NA",IF(AO211="NA","Missing Data",IF(I211="","No Criteria",IF(AO211&gt;=I211,"Needed","No")))))),"---")</f>
        <v/>
      </c>
      <c r="E211" s="401" t="str">
        <f>IF(Start!$C$18="x",IF(AND(OR(F211="",F211="NA"),OR(G211="",G211="NA")),"",IF(I211="NA","NA",IF(AND(I211="",K211="--"),"NA",IF(AU211="NA","Missing Data",IF(I211="","No Criteria",IF(AU211&gt;=I211,"Needed","No")))))),"---")</f>
        <v/>
      </c>
      <c r="F211" s="431" t="str">
        <f>IF(TRUE=ISBLANK(ChemData!B211),"",(ChemData!B211))</f>
        <v/>
      </c>
      <c r="G211" s="432" t="str">
        <f>IF(TRUE=ISBLANK(ChemData!C211),"",(ChemData!C211))</f>
        <v/>
      </c>
      <c r="H211" s="433" t="str">
        <f>IF(TRUE=ISBLANK(ChemData!D211),"",(ChemData!D211))</f>
        <v/>
      </c>
      <c r="I211" s="919" t="str">
        <f>IF(TRUE=ISBLANK(ChemData!K211),"",(ChemData!K211))</f>
        <v>NA</v>
      </c>
      <c r="J211" s="290">
        <f>IF(TRUE=ISBLANK(ChemData!M211),"",(ChemData!M211))</f>
        <v>409.8</v>
      </c>
      <c r="K211" s="290">
        <f>IF(TRUE=ISBLANK(ChemData!N211),"",(ChemData!N211))</f>
        <v>8.5999999999999998E-4</v>
      </c>
      <c r="L211" s="290">
        <f>IF(TRUE=ISBLANK(ChemData!O211),"",(ChemData!O211))</f>
        <v>0.14889627727390961</v>
      </c>
      <c r="M211" s="290">
        <f>IF(TRUE=ISBLANK(ChemData!Q211),"",(ChemData!Q211))</f>
        <v>18510</v>
      </c>
      <c r="N211" s="290">
        <f>IF(TRUE=ISBLANK(ChemData!R211),"",(ChemData!R211))</f>
        <v>18510</v>
      </c>
      <c r="O211" s="290">
        <f>IF(TRUE=ISBLANK(ChemData!S211),"",(ChemData!S211))</f>
        <v>1</v>
      </c>
      <c r="P211" s="291">
        <f>IF(TRUE=ISBLANK(ChemData!T211),"",(ChemData!T211))</f>
        <v>1</v>
      </c>
      <c r="Q211" s="375">
        <f>IF(Start!$C$18="x",IF(OR(K211="NA",K211="",K211="--"),"NA",(K211*1000000/82.1/Data!$D$50)),"---")</f>
        <v>3.379042080861263E-2</v>
      </c>
      <c r="R211" s="376">
        <f>IF(Start!$C$18="x",IF(OR(J211="NA",J211=0,J211=""),"NA",(0.32*(Data!$D$48+Data!$D$49)*(18/J211)^0.5)),"---")</f>
        <v>0.17269409476305847</v>
      </c>
      <c r="S211" s="376">
        <f>IF(Start!$C$18="x",IF(OR(J211="NA",J211= 0,J211=""),"NA",(0.0065*((Data!$D$49^0.969)/(Data!$D$51^0.673))*(32/J211)^0.5*EXP(0.526*Data!$D$48^-1.9))),"---")</f>
        <v>3.6399183923746466E-4</v>
      </c>
      <c r="T211" s="377">
        <f>IF(Start!$C$18="x",IF(OR(S211="NA",R211="NA",R211=0,Q211="NA",S211=0,Q211=0),"NA",(1/(1/S211+(1/(R211*Q211))))),"---")</f>
        <v>3.4262039968472235E-4</v>
      </c>
      <c r="U211" s="375" t="str">
        <f>IF(Start!$C$18="x",IF(OR(F211="NA",F211="",O211="",O211="NA"),"NA",(F211*$O211)),"---")</f>
        <v>NA</v>
      </c>
      <c r="V211" s="376" t="str">
        <f>IF(Start!$C$18="x",IF(OR(U211="NA",M211="NA",M211="",U211=""),"NA",U211/((Data!$D$18+((1-Data!$D$18)*Data!$D$14*M211))/((1-Data!$D$18)*Data!$D$14*1000))),"---")</f>
        <v>NA</v>
      </c>
      <c r="W211" s="376" t="str">
        <f>IF(Start!$C$18="x",IF(OR(G211="NA",U211="NA",G211="",U211=""),"NA",(U211 +($G211*(Data!$D$19-Data!$D$22)/(Data!$D$19*Data!$D$22)))),"---")</f>
        <v>NA</v>
      </c>
      <c r="X211" s="376" t="str">
        <f>IF(Start!$C$18="x",IF(OR(G211="NA",V211="NA",G211="",V211=""),"NA",(((Data!$D$22*Data!$D$18)*V211)+(Data!$D$19-Data!$D$22)*$G211)/((Data!$D$22*Data!$D$18)+Data!$D$19-Data!$D$22)),"---")</f>
        <v>NA</v>
      </c>
      <c r="Y211" s="376" t="str">
        <f>IF(Start!$C$18="x",IF(OR(W211="NA",W211="",M211="NA",M211=""),"NA",(W211/((Data!$D$23+((1-Data!$D$23)*Data!$D$14*M211)) /((1-Data!$D$23)*Data!$D$14*1000)))),"---")</f>
        <v>NA</v>
      </c>
      <c r="Z211" s="376" t="str">
        <f>IF(Start!$C$18="x",IF(OR(Y211="NA",X211="NA"),"NA",IF(Y211&gt;X211, Y211, X211)),"---")</f>
        <v>NA</v>
      </c>
      <c r="AA211" s="461" t="str">
        <f>IF(Start!$C$18="x",IF(OR(Z211="NA",T211="NA"),"NA",Z211*T211/(1000000000)),"---")</f>
        <v>NA</v>
      </c>
      <c r="AB211" s="1057" t="str">
        <f>IF(Start!$C$18="x",IF(AA211 = "NA", "NA", AA211*(Data!$D$52*Data!$D$53*10000)),"---")</f>
        <v>NA</v>
      </c>
      <c r="AC211" s="375" t="str">
        <f>IF(Start!$C$18="x",IF(AB211="NA", "NA", AB211*Data!$D$54),"---")</f>
        <v>NA</v>
      </c>
      <c r="AD211" s="498" t="str">
        <f>IF(Start!$C$18="x",IF(AC211="NA","NA",AC211*Data!$D$41),"---")</f>
        <v>NA</v>
      </c>
      <c r="AE211" s="376" t="str">
        <f>IF(Start!$C$18="x",IF(AB211 = "NA", "NA", AB211/(Data!$D$53*3*Data!$D$48)*1000),"---")</f>
        <v>NA</v>
      </c>
      <c r="AF211" s="498" t="str">
        <f>IF(Start!$C$18="x",IF(AE211="NA","NA",AE211*Data!$D$46),"---")</f>
        <v>NA</v>
      </c>
      <c r="AG211" s="375">
        <f>IF(Start!$C$18="x",IF(OR($L211="NA",L211=""),"NA",($L211*(Data!$D$55^3.33)/(Data!$D$18^2))),"---")</f>
        <v>1.5168798816599899E-3</v>
      </c>
      <c r="AH211" s="376" t="str">
        <f>IF(Start!$C$18="x",IF(OR(F211="NA",F211="",P211="NA",P211=""),"NA",IF(100/Data!$D$10&gt;Data!$D$13,(F211*$P211),(F211*$P211)*Data!$D$13)),"---")</f>
        <v>NA</v>
      </c>
      <c r="AI211" s="489">
        <f>IF(Start!$C$18="x",IF(OR($N211="NA",$Q211="NA",$Q211=0,Q211="",N211=""),"NA",(1000*$N211/$Q211)),"---")</f>
        <v>547788383.72093022</v>
      </c>
      <c r="AJ211" s="376">
        <f>IF(Start!$C$18="x",IF(OR(Q211 = "NA",Q211=0,N211 = "NA",N211="",Q211=""), "NA", IF($AG211="NA","NA",(3.1416*Data!$D$57*86400/($AG211*(Data!$D$55+(N211*Data!$D$19/(Q211*1000)))))^0.5)),"---")</f>
        <v>107.41506721187388</v>
      </c>
      <c r="AK211" s="376" t="str">
        <f>IF(Start!$C$18="x",IF(OR(AH211 = "NA",AI211="NA",AI211=0,AI211="",AH211=""), "NA", AH211/AI211),"---")</f>
        <v>NA</v>
      </c>
      <c r="AL211" s="376" t="str">
        <f>IF(Start!$C$18="x",IF(OR(AK211 ="NA",AK211="",AJ211= "NA",R211="NA",R211=0),"NA",(2*AK211)/(1000*(1/$R211+AJ211))),"---")</f>
        <v>NA</v>
      </c>
      <c r="AM211" s="376" t="str">
        <f>IF(Start!$C$18="x",IF(AL211 = "NA", "NA", AL211*(Data!$D$52*Data!$D$53*10000)),"---")</f>
        <v>NA</v>
      </c>
      <c r="AN211" s="376" t="str">
        <f>IF(Start!$C$18="x",IF(AM211 = "NA", "NA", AM211*(Data!$D$54)),"---")</f>
        <v>NA</v>
      </c>
      <c r="AO211" s="498" t="str">
        <f>IF(Start!$C$18="x",IF(AN211="NA","NA",AN211*Data!$D$41),"---")</f>
        <v>NA</v>
      </c>
      <c r="AP211" s="376">
        <f>IF(Start!$C$18="x",IF(OR(Q211=0,N211="NA",N211="",AG211="NA",AG211="",AG211=0,Q211="",Q211="NA"),"NA", (3.1416*Data!$D$56*86400/($AG211*(Data!$D$55+(N211*Data!$D$19/(Q211*1000)))))^0.5),"---")</f>
        <v>107.41506721187388</v>
      </c>
      <c r="AQ211" s="376" t="str">
        <f>IF(Start!$C$18="x",IF(OR(AH211="NA",AI211="NA",AI211="",AI211=0,AH211=""),"NA", AH211/AI211),"---")</f>
        <v>NA</v>
      </c>
      <c r="AR211" s="376" t="str">
        <f>IF(Start!$C$18="x",IF(OR(AQ211="NA",AP211="NA",$R211="NA",R211=0,R211=""),"NA",(2*AQ211)/(1000*(1/$R211+AP211))),"---")</f>
        <v>NA</v>
      </c>
      <c r="AS211" s="376" t="str">
        <f>IF(Start!$C$18="x",IF(AR211 = "NA", "NA", AR211*(Data!$D$52*Data!$D$53*10000)),"---")</f>
        <v>NA</v>
      </c>
      <c r="AT211" s="376" t="str">
        <f>IF(Start!$C$18="x",IF(AS211 = "NA", "NA", (AS211*1000)/(Data!$D$48*3*Data!$D$53)),"---")</f>
        <v>NA</v>
      </c>
      <c r="AU211" s="498" t="str">
        <f>IF(Start!$C$18="x",IF(AT211="NA","NA",AT211*Data!$D$47),"---")</f>
        <v>NA</v>
      </c>
      <c r="AV211" s="283" t="str">
        <f>IF(Start!$C$18="x",(IF(AND(F211="",G211= "",G211&lt;&gt;"NA"),"",IF(OR(AD211="NA",I211="NA",I211=0),"NA",(AD211/I211)))),"Not Req.")</f>
        <v/>
      </c>
      <c r="AW211" s="284" t="str">
        <f>IF(Start!$C$18="x",(IF(AND(F211="",G211= "",G211&lt;&gt;"NA"),"",IF(OR(AF211="NA",I211="NA",I211=0),"NA",(AF211/I211)))),"Not Req.")</f>
        <v/>
      </c>
      <c r="AX211" s="284" t="str">
        <f>IF(Start!$C$18="x",(IF(F211 ="","",IF(OR(AO211="NA",I211="NA",I211=0),"NA",(AO211/I211)))),"Not Req.")</f>
        <v/>
      </c>
      <c r="AY211" s="344" t="str">
        <f>IF(Start!$C$18="x",(IF(F211 ="","",IF(OR(AU211="NA",I211="NA",I211=0),"NA",(AU211/I211)))),"Not Req.")</f>
        <v/>
      </c>
      <c r="AZ211" s="208"/>
    </row>
    <row r="212" spans="1:52" s="10" customFormat="1" x14ac:dyDescent="0.25">
      <c r="A212" s="405" t="s">
        <v>530</v>
      </c>
      <c r="B212" s="347" t="str">
        <f>IF(Start!$C$18="x",IF(AND(OR(F212="",F212="NA"),OR(G212="",G212="NA")),"",IF(I212="NA","NA",IF(AND(I212="",K212="--"),"NA",IF(AD212="NA","Missing Data",IF(I212="","No Criteria",IF(AD212&gt;=I212,"Needed","No")))))),"---")</f>
        <v/>
      </c>
      <c r="C212" s="501" t="str">
        <f>IF(Start!$C$18="x",IF(AND(OR(F212="",F212="NA"),OR(G212="",G212="NA")),"",IF(I212="NA","NA",IF(AND(I212="",K212="--"),"NA",IF(AF212="NA","Missing Data",IF(I212="","No Criteria",IF(AF212&gt;=I212,"Needed","No")))))),"---")</f>
        <v/>
      </c>
      <c r="D212" s="347" t="str">
        <f>IF(Start!$C$18="x",IF(AND(OR(F212="",F212="NA"),OR(G212="",G212="NA")),"",IF(I212="NA","NA",IF(AND(I212="",K212="--"),"NA",IF(AO212="NA","Missing Data",IF(I212="","No Criteria",IF(AO212&gt;=I212,"Needed","No")))))),"---")</f>
        <v/>
      </c>
      <c r="E212" s="401" t="str">
        <f>IF(Start!$C$18="x",IF(AND(OR(F212="",F212="NA"),OR(G212="",G212="NA")),"",IF(I212="NA","NA",IF(AND(I212="",K212="--"),"NA",IF(AU212="NA","Missing Data",IF(I212="","No Criteria",IF(AU212&gt;=I212,"Needed","No")))))),"---")</f>
        <v/>
      </c>
      <c r="F212" s="431" t="str">
        <f>IF(TRUE=ISBLANK(ChemData!B212),"",(ChemData!B212))</f>
        <v/>
      </c>
      <c r="G212" s="432" t="str">
        <f>IF(TRUE=ISBLANK(ChemData!C212),"",(ChemData!C212))</f>
        <v/>
      </c>
      <c r="H212" s="433" t="str">
        <f>IF(TRUE=ISBLANK(ChemData!D212),"",(ChemData!D212))</f>
        <v/>
      </c>
      <c r="I212" s="919" t="str">
        <f>IF(TRUE=ISBLANK(ChemData!K212),"",(ChemData!K212))</f>
        <v>NA</v>
      </c>
      <c r="J212" s="290">
        <f>IF(TRUE=ISBLANK(ChemData!M212),"",(ChemData!M212))</f>
        <v>409.78</v>
      </c>
      <c r="K212" s="290">
        <f>IF(TRUE=ISBLANK(ChemData!N212),"",(ChemData!N212))</f>
        <v>1.2999999999999999E-3</v>
      </c>
      <c r="L212" s="290">
        <f>IF(TRUE=ISBLANK(ChemData!O212),"",(ChemData!O212))</f>
        <v>0.14889651718167243</v>
      </c>
      <c r="M212" s="290">
        <f>IF(TRUE=ISBLANK(ChemData!Q212),"",(ChemData!Q212))</f>
        <v>47578.025939051717</v>
      </c>
      <c r="N212" s="290">
        <f>IF(TRUE=ISBLANK(ChemData!R212),"",(ChemData!R212))</f>
        <v>47578.025939051717</v>
      </c>
      <c r="O212" s="290">
        <f>IF(TRUE=ISBLANK(ChemData!S212),"",(ChemData!S212))</f>
        <v>1</v>
      </c>
      <c r="P212" s="291">
        <f>IF(TRUE=ISBLANK(ChemData!T212),"",(ChemData!T212))</f>
        <v>1</v>
      </c>
      <c r="Q212" s="375">
        <f>IF(Start!$C$18="x",IF(OR(K212="NA",K212="",K212="--"),"NA",(K212*1000000/82.1/Data!$D$50)),"---")</f>
        <v>5.1078543082786532E-2</v>
      </c>
      <c r="R212" s="376">
        <f>IF(Start!$C$18="x",IF(OR(J212="NA",J212=0,J212=""),"NA",(0.32*(Data!$D$48+Data!$D$49)*(18/J212)^0.5)),"---")</f>
        <v>0.17269830902406824</v>
      </c>
      <c r="S212" s="376">
        <f>IF(Start!$C$18="x",IF(OR(J212="NA",J212= 0,J212=""),"NA",(0.0065*((Data!$D$49^0.969)/(Data!$D$51^0.673))*(32/J212)^0.5*EXP(0.526*Data!$D$48^-1.9))),"---")</f>
        <v>3.6400072174510391E-4</v>
      </c>
      <c r="T212" s="377">
        <f>IF(Start!$C$18="x",IF(OR(S212="NA",R212="NA",R212=0,Q212="NA",S212=0,Q212=0),"NA",(1/(1/S212+(1/(R212*Q212))))),"---")</f>
        <v>3.4957568667633941E-4</v>
      </c>
      <c r="U212" s="375" t="str">
        <f>IF(Start!$C$18="x",IF(OR(F212="NA",F212="",O212="",O212="NA"),"NA",(F212*$O212)),"---")</f>
        <v>NA</v>
      </c>
      <c r="V212" s="376" t="str">
        <f>IF(Start!$C$18="x",IF(OR(U212="NA",M212="NA",M212="",U212=""),"NA",U212/((Data!$D$18+((1-Data!$D$18)*Data!$D$14*M212))/((1-Data!$D$18)*Data!$D$14*1000))),"---")</f>
        <v>NA</v>
      </c>
      <c r="W212" s="376" t="str">
        <f>IF(Start!$C$18="x",IF(OR(G212="NA",U212="NA",G212="",U212=""),"NA",(U212 +($G212*(Data!$D$19-Data!$D$22)/(Data!$D$19*Data!$D$22)))),"---")</f>
        <v>NA</v>
      </c>
      <c r="X212" s="376" t="str">
        <f>IF(Start!$C$18="x",IF(OR(G212="NA",V212="NA",G212="",V212=""),"NA",(((Data!$D$22*Data!$D$18)*V212)+(Data!$D$19-Data!$D$22)*$G212)/((Data!$D$22*Data!$D$18)+Data!$D$19-Data!$D$22)),"---")</f>
        <v>NA</v>
      </c>
      <c r="Y212" s="376" t="str">
        <f>IF(Start!$C$18="x",IF(OR(W212="NA",W212="",M212="NA",M212=""),"NA",(W212/((Data!$D$23+((1-Data!$D$23)*Data!$D$14*M212)) /((1-Data!$D$23)*Data!$D$14*1000)))),"---")</f>
        <v>NA</v>
      </c>
      <c r="Z212" s="376" t="str">
        <f>IF(Start!$C$18="x",IF(OR(Y212="NA",X212="NA"),"NA",IF(Y212&gt;X212, Y212, X212)),"---")</f>
        <v>NA</v>
      </c>
      <c r="AA212" s="461" t="str">
        <f>IF(Start!$C$18="x",IF(OR(Z212="NA",T212="NA"),"NA",Z212*T212/(1000000000)),"---")</f>
        <v>NA</v>
      </c>
      <c r="AB212" s="1057" t="str">
        <f>IF(Start!$C$18="x",IF(AA212 = "NA", "NA", AA212*(Data!$D$52*Data!$D$53*10000)),"---")</f>
        <v>NA</v>
      </c>
      <c r="AC212" s="375" t="str">
        <f>IF(Start!$C$18="x",IF(AB212="NA", "NA", AB212*Data!$D$54),"---")</f>
        <v>NA</v>
      </c>
      <c r="AD212" s="498" t="str">
        <f>IF(Start!$C$18="x",IF(AC212="NA","NA",AC212*Data!$D$41),"---")</f>
        <v>NA</v>
      </c>
      <c r="AE212" s="376" t="str">
        <f>IF(Start!$C$18="x",IF(AB212 = "NA", "NA", AB212/(Data!$D$53*3*Data!$D$48)*1000),"---")</f>
        <v>NA</v>
      </c>
      <c r="AF212" s="498" t="str">
        <f>IF(Start!$C$18="x",IF(AE212="NA","NA",AE212*Data!$D$46),"---")</f>
        <v>NA</v>
      </c>
      <c r="AG212" s="375">
        <f>IF(Start!$C$18="x",IF(OR($L212="NA",L212=""),"NA",($L212*(Data!$D$55^3.33)/(Data!$D$18^2))),"---")</f>
        <v>1.5168823257188041E-3</v>
      </c>
      <c r="AH212" s="376" t="str">
        <f>IF(Start!$C$18="x",IF(OR(F212="NA",F212="",P212="NA",P212=""),"NA",IF(100/Data!$D$10&gt;Data!$D$13,(F212*$P212),(F212*$P212)*Data!$D$13)),"---")</f>
        <v>NA</v>
      </c>
      <c r="AI212" s="489">
        <f>IF(Start!$C$18="x",IF(OR($N212="NA",$Q212="NA",$Q212=0,Q212="",N212=""),"NA",(1000*$N212/$Q212)),"---")</f>
        <v>931467952.44215786</v>
      </c>
      <c r="AJ212" s="376">
        <f>IF(Start!$C$18="x",IF(OR(Q212 = "NA",Q212=0,N212 = "NA",N212="",Q212=""), "NA", IF($AG212="NA","NA",(3.1416*Data!$D$57*86400/($AG212*(Data!$D$55+(N212*Data!$D$19/(Q212*1000)))))^0.5)),"---")</f>
        <v>82.37346668390812</v>
      </c>
      <c r="AK212" s="376" t="str">
        <f>IF(Start!$C$18="x",IF(OR(AH212 = "NA",AI212="NA",AI212=0,AI212="",AH212=""), "NA", AH212/AI212),"---")</f>
        <v>NA</v>
      </c>
      <c r="AL212" s="376" t="str">
        <f>IF(Start!$C$18="x",IF(OR(AK212 ="NA",AK212="",AJ212= "NA",R212="NA",R212=0),"NA",(2*AK212)/(1000*(1/$R212+AJ212))),"---")</f>
        <v>NA</v>
      </c>
      <c r="AM212" s="376" t="str">
        <f>IF(Start!$C$18="x",IF(AL212 = "NA", "NA", AL212*(Data!$D$52*Data!$D$53*10000)),"---")</f>
        <v>NA</v>
      </c>
      <c r="AN212" s="376" t="str">
        <f>IF(Start!$C$18="x",IF(AM212 = "NA", "NA", AM212*(Data!$D$54)),"---")</f>
        <v>NA</v>
      </c>
      <c r="AO212" s="498" t="str">
        <f>IF(Start!$C$18="x",IF(AN212="NA","NA",AN212*Data!$D$41),"---")</f>
        <v>NA</v>
      </c>
      <c r="AP212" s="376">
        <f>IF(Start!$C$18="x",IF(OR(Q212=0,N212="NA",N212="",AG212="NA",AG212="",AG212=0,Q212="",Q212="NA"),"NA", (3.1416*Data!$D$56*86400/($AG212*(Data!$D$55+(N212*Data!$D$19/(Q212*1000)))))^0.5),"---")</f>
        <v>82.37346668390812</v>
      </c>
      <c r="AQ212" s="376" t="str">
        <f>IF(Start!$C$18="x",IF(OR(AH212="NA",AI212="NA",AI212="",AI212=0,AH212=""),"NA", AH212/AI212),"---")</f>
        <v>NA</v>
      </c>
      <c r="AR212" s="376" t="str">
        <f>IF(Start!$C$18="x",IF(OR(AQ212="NA",AP212="NA",$R212="NA",R212=0,R212=""),"NA",(2*AQ212)/(1000*(1/$R212+AP212))),"---")</f>
        <v>NA</v>
      </c>
      <c r="AS212" s="376" t="str">
        <f>IF(Start!$C$18="x",IF(AR212 = "NA", "NA", AR212*(Data!$D$52*Data!$D$53*10000)),"---")</f>
        <v>NA</v>
      </c>
      <c r="AT212" s="376" t="str">
        <f>IF(Start!$C$18="x",IF(AS212 = "NA", "NA", (AS212*1000)/(Data!$D$48*3*Data!$D$53)),"---")</f>
        <v>NA</v>
      </c>
      <c r="AU212" s="498" t="str">
        <f>IF(Start!$C$18="x",IF(AT212="NA","NA",AT212*Data!$D$47),"---")</f>
        <v>NA</v>
      </c>
      <c r="AV212" s="283" t="str">
        <f>IF(Start!$C$18="x",(IF(AND(F212="",G212= "",G212&lt;&gt;"NA"),"",IF(OR(AD212="NA",I212="NA",I212=0),"NA",(AD212/I212)))),"Not Req.")</f>
        <v/>
      </c>
      <c r="AW212" s="284" t="str">
        <f>IF(Start!$C$18="x",(IF(AND(F212="",G212= "",G212&lt;&gt;"NA"),"",IF(OR(AF212="NA",I212="NA",I212=0),"NA",(AF212/I212)))),"Not Req.")</f>
        <v/>
      </c>
      <c r="AX212" s="284" t="str">
        <f>IF(Start!$C$18="x",(IF(F212 ="","",IF(OR(AO212="NA",I212="NA",I212=0),"NA",(AO212/I212)))),"Not Req.")</f>
        <v/>
      </c>
      <c r="AY212" s="344" t="str">
        <f>IF(Start!$C$18="x",(IF(F212 ="","",IF(OR(AU212="NA",I212="NA",I212=0),"NA",(AU212/I212)))),"Not Req.")</f>
        <v/>
      </c>
      <c r="AZ212" s="208"/>
    </row>
    <row r="213" spans="1:52" s="10" customFormat="1" x14ac:dyDescent="0.25">
      <c r="A213" s="405" t="s">
        <v>531</v>
      </c>
      <c r="B213" s="347" t="str">
        <f>IF(Start!$C$18="x",IF(AND(OR(F213="",F213="NA"),OR(G213="",G213="NA")),"",IF(I213="NA","NA",IF(AND(I213="",K213="--"),"NA",IF(AD213="NA","Missing Data",IF(I213="","No Criteria",IF(AD213&gt;=I213,"Needed","No")))))),"---")</f>
        <v/>
      </c>
      <c r="C213" s="501" t="str">
        <f>IF(Start!$C$18="x",IF(AND(OR(F213="",F213="NA"),OR(G213="",G213="NA")),"",IF(I213="NA","NA",IF(AND(I213="",K213="--"),"NA",IF(AF213="NA","Missing Data",IF(I213="","No Criteria",IF(AF213&gt;=I213,"Needed","No")))))),"---")</f>
        <v/>
      </c>
      <c r="D213" s="347" t="str">
        <f>IF(Start!$C$18="x",IF(AND(OR(F213="",F213="NA"),OR(G213="",G213="NA")),"",IF(I213="NA","NA",IF(AND(I213="",K213="--"),"NA",IF(AO213="NA","Missing Data",IF(I213="","No Criteria",IF(AO213&gt;=I213,"Needed","No")))))),"---")</f>
        <v/>
      </c>
      <c r="E213" s="401" t="str">
        <f>IF(Start!$C$18="x",IF(AND(OR(F213="",F213="NA"),OR(G213="",G213="NA")),"",IF(I213="NA","NA",IF(AND(I213="",K213="--"),"NA",IF(AU213="NA","Missing Data",IF(I213="","No Criteria",IF(AU213&gt;=I213,"Needed","No")))))),"---")</f>
        <v/>
      </c>
      <c r="F213" s="431" t="str">
        <f>IF(TRUE=ISBLANK(ChemData!B213),"",(ChemData!B213))</f>
        <v/>
      </c>
      <c r="G213" s="432" t="str">
        <f>IF(TRUE=ISBLANK(ChemData!C213),"",(ChemData!C213))</f>
        <v/>
      </c>
      <c r="H213" s="433" t="str">
        <f>IF(TRUE=ISBLANK(ChemData!D213),"",(ChemData!D213))</f>
        <v/>
      </c>
      <c r="I213" s="919" t="str">
        <f>IF(TRUE=ISBLANK(ChemData!K213),"",(ChemData!K213))</f>
        <v>NA</v>
      </c>
      <c r="J213" s="290">
        <f>IF(TRUE=ISBLANK(ChemData!M213),"",(ChemData!M213))</f>
        <v>410</v>
      </c>
      <c r="K213" s="290">
        <f>IF(TRUE=ISBLANK(ChemData!N213),"",(ChemData!N213))</f>
        <v>5.0000000000000002E-5</v>
      </c>
      <c r="L213" s="290">
        <f>IF(TRUE=ISBLANK(ChemData!O213),"",(ChemData!O213))</f>
        <v>1.18E-2</v>
      </c>
      <c r="M213" s="290">
        <f>IF(TRUE=ISBLANK(ChemData!Q213),"",(ChemData!Q213))</f>
        <v>1116.153</v>
      </c>
      <c r="N213" s="290">
        <f>IF(TRUE=ISBLANK(ChemData!R213),"",(ChemData!R213))</f>
        <v>1116.153</v>
      </c>
      <c r="O213" s="290">
        <f>IF(TRUE=ISBLANK(ChemData!S213),"",(ChemData!S213))</f>
        <v>1</v>
      </c>
      <c r="P213" s="291">
        <f>IF(TRUE=ISBLANK(ChemData!T213),"",(ChemData!T213))</f>
        <v>1</v>
      </c>
      <c r="Q213" s="375">
        <f>IF(Start!$C$18="x",IF(OR(K213="NA",K213="",K213="--"),"NA",(K213*1000000/82.1/Data!$D$50)),"---")</f>
        <v>1.9645593493379438E-3</v>
      </c>
      <c r="R213" s="376">
        <f>IF(Start!$C$18="x",IF(OR(J213="NA",J213=0,J213=""),"NA",(0.32*(Data!$D$48+Data!$D$49)*(18/J213)^0.5)),"---")</f>
        <v>0.17265196911423975</v>
      </c>
      <c r="S213" s="376">
        <f>IF(Start!$C$18="x",IF(OR(J213="NA",J213= 0,J213=""),"NA",(0.0065*((Data!$D$49^0.969)/(Data!$D$51^0.673))*(32/J213)^0.5*EXP(0.526*Data!$D$48^-1.9))),"---")</f>
        <v>3.6390304991080216E-4</v>
      </c>
      <c r="T213" s="377">
        <f>IF(Start!$C$18="x",IF(OR(S213="NA",R213="NA",R213=0,Q213="NA",S213=0,Q213=0),"NA",(1/(1/S213+(1/(R213*Q213))))),"---")</f>
        <v>1.7555477376319999E-4</v>
      </c>
      <c r="U213" s="375" t="str">
        <f>IF(Start!$C$18="x",IF(OR(F213="NA",F213="",O213="",O213="NA"),"NA",(F213*$O213)),"---")</f>
        <v>NA</v>
      </c>
      <c r="V213" s="376" t="str">
        <f>IF(Start!$C$18="x",IF(OR(U213="NA",M213="NA",M213="",U213=""),"NA",U213/((Data!$D$18+((1-Data!$D$18)*Data!$D$14*M213))/((1-Data!$D$18)*Data!$D$14*1000))),"---")</f>
        <v>NA</v>
      </c>
      <c r="W213" s="376" t="str">
        <f>IF(Start!$C$18="x",IF(OR(G213="NA",U213="NA",G213="",U213=""),"NA",(U213 +($G213*(Data!$D$19-Data!$D$22)/(Data!$D$19*Data!$D$22)))),"---")</f>
        <v>NA</v>
      </c>
      <c r="X213" s="376" t="str">
        <f>IF(Start!$C$18="x",IF(OR(G213="NA",V213="NA",G213="",V213=""),"NA",(((Data!$D$22*Data!$D$18)*V213)+(Data!$D$19-Data!$D$22)*$G213)/((Data!$D$22*Data!$D$18)+Data!$D$19-Data!$D$22)),"---")</f>
        <v>NA</v>
      </c>
      <c r="Y213" s="376" t="str">
        <f>IF(Start!$C$18="x",IF(OR(W213="NA",W213="",M213="NA",M213=""),"NA",(W213/((Data!$D$23+((1-Data!$D$23)*Data!$D$14*M213)) /((1-Data!$D$23)*Data!$D$14*1000)))),"---")</f>
        <v>NA</v>
      </c>
      <c r="Z213" s="376" t="str">
        <f>IF(Start!$C$18="x",IF(OR(Y213="NA",X213="NA"),"NA",IF(Y213&gt;X213, Y213, X213)),"---")</f>
        <v>NA</v>
      </c>
      <c r="AA213" s="461" t="str">
        <f>IF(Start!$C$18="x",IF(OR(Z213="NA",T213="NA"),"NA",Z213*T213/(1000000000)),"---")</f>
        <v>NA</v>
      </c>
      <c r="AB213" s="1057" t="str">
        <f>IF(Start!$C$18="x",IF(AA213 = "NA", "NA", AA213*(Data!$D$52*Data!$D$53*10000)),"---")</f>
        <v>NA</v>
      </c>
      <c r="AC213" s="375" t="str">
        <f>IF(Start!$C$18="x",IF(AB213="NA", "NA", AB213*Data!$D$54),"---")</f>
        <v>NA</v>
      </c>
      <c r="AD213" s="498" t="str">
        <f>IF(Start!$C$18="x",IF(AC213="NA","NA",AC213*Data!$D$41),"---")</f>
        <v>NA</v>
      </c>
      <c r="AE213" s="376" t="str">
        <f>IF(Start!$C$18="x",IF(AB213 = "NA", "NA", AB213/(Data!$D$53*3*Data!$D$48)*1000),"---")</f>
        <v>NA</v>
      </c>
      <c r="AF213" s="498" t="str">
        <f>IF(Start!$C$18="x",IF(AE213="NA","NA",AE213*Data!$D$46),"---")</f>
        <v>NA</v>
      </c>
      <c r="AG213" s="375">
        <f>IF(Start!$C$18="x",IF(OR($L213="NA",L213=""),"NA",($L213*(Data!$D$55^3.33)/(Data!$D$18^2))),"---")</f>
        <v>1.2021242526205367E-4</v>
      </c>
      <c r="AH213" s="376" t="str">
        <f>IF(Start!$C$18="x",IF(OR(F213="NA",F213="",P213="NA",P213=""),"NA",IF(100/Data!$D$10&gt;Data!$D$13,(F213*$P213),(F213*$P213)*Data!$D$13)),"---")</f>
        <v>NA</v>
      </c>
      <c r="AI213" s="489">
        <f>IF(Start!$C$18="x",IF(OR($N213="NA",$Q213="NA",$Q213=0,Q213="",N213=""),"NA",(1000*$N213/$Q213)),"---")</f>
        <v>568144200.05999994</v>
      </c>
      <c r="AJ213" s="376">
        <f>IF(Start!$C$18="x",IF(OR(Q213 = "NA",Q213=0,N213 = "NA",N213="",Q213=""), "NA", IF($AG213="NA","NA",(3.1416*Data!$D$57*86400/($AG213*(Data!$D$55+(N213*Data!$D$19/(Q213*1000)))))^0.5)),"---")</f>
        <v>374.66510343766396</v>
      </c>
      <c r="AK213" s="376" t="str">
        <f>IF(Start!$C$18="x",IF(OR(AH213 = "NA",AI213="NA",AI213=0,AI213="",AH213=""), "NA", AH213/AI213),"---")</f>
        <v>NA</v>
      </c>
      <c r="AL213" s="376" t="str">
        <f>IF(Start!$C$18="x",IF(OR(AK213 ="NA",AK213="",AJ213= "NA",R213="NA",R213=0),"NA",(2*AK213)/(1000*(1/$R213+AJ213))),"---")</f>
        <v>NA</v>
      </c>
      <c r="AM213" s="376" t="str">
        <f>IF(Start!$C$18="x",IF(AL213 = "NA", "NA", AL213*(Data!$D$52*Data!$D$53*10000)),"---")</f>
        <v>NA</v>
      </c>
      <c r="AN213" s="376" t="str">
        <f>IF(Start!$C$18="x",IF(AM213 = "NA", "NA", AM213*(Data!$D$54)),"---")</f>
        <v>NA</v>
      </c>
      <c r="AO213" s="498" t="str">
        <f>IF(Start!$C$18="x",IF(AN213="NA","NA",AN213*Data!$D$41),"---")</f>
        <v>NA</v>
      </c>
      <c r="AP213" s="376">
        <f>IF(Start!$C$18="x",IF(OR(Q213=0,N213="NA",N213="",AG213="NA",AG213="",AG213=0,Q213="",Q213="NA"),"NA", (3.1416*Data!$D$56*86400/($AG213*(Data!$D$55+(N213*Data!$D$19/(Q213*1000)))))^0.5),"---")</f>
        <v>374.66510343766396</v>
      </c>
      <c r="AQ213" s="376" t="str">
        <f>IF(Start!$C$18="x",IF(OR(AH213="NA",AI213="NA",AI213="",AI213=0,AH213=""),"NA", AH213/AI213),"---")</f>
        <v>NA</v>
      </c>
      <c r="AR213" s="376" t="str">
        <f>IF(Start!$C$18="x",IF(OR(AQ213="NA",AP213="NA",$R213="NA",R213=0,R213=""),"NA",(2*AQ213)/(1000*(1/$R213+AP213))),"---")</f>
        <v>NA</v>
      </c>
      <c r="AS213" s="376" t="str">
        <f>IF(Start!$C$18="x",IF(AR213 = "NA", "NA", AR213*(Data!$D$52*Data!$D$53*10000)),"---")</f>
        <v>NA</v>
      </c>
      <c r="AT213" s="376" t="str">
        <f>IF(Start!$C$18="x",IF(AS213 = "NA", "NA", (AS213*1000)/(Data!$D$48*3*Data!$D$53)),"---")</f>
        <v>NA</v>
      </c>
      <c r="AU213" s="498" t="str">
        <f>IF(Start!$C$18="x",IF(AT213="NA","NA",AT213*Data!$D$47),"---")</f>
        <v>NA</v>
      </c>
      <c r="AV213" s="283" t="str">
        <f>IF(Start!$C$18="x",(IF(AND(F213="",G213= "",G213&lt;&gt;"NA"),"",IF(OR(AD213="NA",I213="NA",I213=0),"NA",(AD213/I213)))),"Not Req.")</f>
        <v/>
      </c>
      <c r="AW213" s="284" t="str">
        <f>IF(Start!$C$18="x",(IF(AND(F213="",G213= "",G213&lt;&gt;"NA"),"",IF(OR(AF213="NA",I213="NA",I213=0),"NA",(AF213/I213)))),"Not Req.")</f>
        <v/>
      </c>
      <c r="AX213" s="284" t="str">
        <f>IF(Start!$C$18="x",(IF(F213 ="","",IF(OR(AO213="NA",I213="NA",I213=0),"NA",(AO213/I213)))),"Not Req.")</f>
        <v/>
      </c>
      <c r="AY213" s="344" t="str">
        <f>IF(Start!$C$18="x",(IF(F213 ="","",IF(OR(AU213="NA",I213="NA",I213=0),"NA",(AU213/I213)))),"Not Req.")</f>
        <v/>
      </c>
      <c r="AZ213" s="208"/>
    </row>
    <row r="214" spans="1:52" s="10" customFormat="1" x14ac:dyDescent="0.25">
      <c r="A214" s="307" t="s">
        <v>532</v>
      </c>
      <c r="B214" s="347" t="str">
        <f>IF(Start!$C$18="x",IF(AND(OR(F214="",F214="NA"),OR(G214="",G214="NA")),"",IF(I214="NA","NA",IF(AND(I214="",K214="--"),"NA",IF(AD214="NA","Missing Data",IF(I214="","No Criteria",IF(AD214&gt;=I214,"Needed","No")))))),"---")</f>
        <v/>
      </c>
      <c r="C214" s="501" t="str">
        <f>IF(Start!$C$18="x",IF(AND(OR(F214="",F214="NA"),OR(G214="",G214="NA")),"",IF(I214="NA","NA",IF(AND(I214="",K214="--"),"NA",IF(AF214="NA","Missing Data",IF(I214="","No Criteria",IF(AF214&gt;=I214,"Needed","No")))))),"---")</f>
        <v/>
      </c>
      <c r="D214" s="347" t="str">
        <f>IF(Start!$C$18="x",IF(AND(OR(F214="",F214="NA"),OR(G214="",G214="NA")),"",IF(I214="NA","NA",IF(AND(I214="",K214="--"),"NA",IF(AO214="NA","Missing Data",IF(I214="","No Criteria",IF(AO214&gt;=I214,"Needed","No")))))),"---")</f>
        <v/>
      </c>
      <c r="E214" s="401" t="str">
        <f>IF(Start!$C$18="x",IF(AND(OR(F214="",F214="NA"),OR(G214="",G214="NA")),"",IF(I214="NA","NA",IF(AND(I214="",K214="--"),"NA",IF(AU214="NA","Missing Data",IF(I214="","No Criteria",IF(AU214&gt;=I214,"Needed","No")))))),"---")</f>
        <v/>
      </c>
      <c r="F214" s="431" t="str">
        <f>IF(TRUE=ISBLANK(ChemData!B214),"",(ChemData!B214))</f>
        <v/>
      </c>
      <c r="G214" s="432" t="str">
        <f>IF(TRUE=ISBLANK(ChemData!C214),"",(ChemData!C214))</f>
        <v/>
      </c>
      <c r="H214" s="433" t="str">
        <f>IF(TRUE=ISBLANK(ChemData!D214),"",(ChemData!D214))</f>
        <v/>
      </c>
      <c r="I214" s="919" t="str">
        <f>IF(TRUE=ISBLANK(ChemData!K214),"",(ChemData!K214))</f>
        <v>NA</v>
      </c>
      <c r="J214" s="290">
        <f>IF(TRUE=ISBLANK(ChemData!M214),"",(ChemData!M214))</f>
        <v>269.19</v>
      </c>
      <c r="K214" s="290" t="str">
        <f>IF(TRUE=ISBLANK(ChemData!N214),"",(ChemData!N214))</f>
        <v>NA</v>
      </c>
      <c r="L214" s="290" t="str">
        <f>IF(TRUE=ISBLANK(ChemData!O214),"",(ChemData!O214))</f>
        <v>NA</v>
      </c>
      <c r="M214" s="290">
        <f>IF(TRUE=ISBLANK(ChemData!Q214),"",(ChemData!Q214))</f>
        <v>7201.2256338441457</v>
      </c>
      <c r="N214" s="290">
        <f>IF(TRUE=ISBLANK(ChemData!R214),"",(ChemData!R214))</f>
        <v>7201.2256338441457</v>
      </c>
      <c r="O214" s="290">
        <f>IF(TRUE=ISBLANK(ChemData!S214),"",(ChemData!S214))</f>
        <v>1</v>
      </c>
      <c r="P214" s="291">
        <f>IF(TRUE=ISBLANK(ChemData!T214),"",(ChemData!T214))</f>
        <v>1</v>
      </c>
      <c r="Q214" s="375" t="str">
        <f>IF(Start!$C$18="x",IF(OR(K214="NA",K214="",K214="--"),"NA",(K214*1000000/82.1/Data!$D$50)),"---")</f>
        <v>NA</v>
      </c>
      <c r="R214" s="376">
        <f>IF(Start!$C$18="x",IF(OR(J214="NA",J214=0,J214=""),"NA",(0.32*(Data!$D$48+Data!$D$49)*(18/J214)^0.5)),"---")</f>
        <v>0.21307573883035341</v>
      </c>
      <c r="S214" s="376">
        <f>IF(Start!$C$18="x",IF(OR(J214="NA",J214= 0,J214=""),"NA",(0.0065*((Data!$D$49^0.969)/(Data!$D$51^0.673))*(32/J214)^0.5*EXP(0.526*Data!$D$48^-1.9))),"---")</f>
        <v>4.4910528168408832E-4</v>
      </c>
      <c r="T214" s="377" t="str">
        <f>IF(Start!$C$18="x",IF(OR(S214="NA",R214="NA",R214=0,Q214="NA",S214=0,Q214=0),"NA",(1/(1/S214+(1/(R214*Q214))))),"---")</f>
        <v>NA</v>
      </c>
      <c r="U214" s="375" t="str">
        <f>IF(Start!$C$18="x",IF(OR(F214="NA",F214="",O214="",O214="NA"),"NA",(F214*$O214)),"---")</f>
        <v>NA</v>
      </c>
      <c r="V214" s="376" t="str">
        <f>IF(Start!$C$18="x",IF(OR(U214="NA",M214="NA",M214="",U214=""),"NA",U214/((Data!$D$18+((1-Data!$D$18)*Data!$D$14*M214))/((1-Data!$D$18)*Data!$D$14*1000))),"---")</f>
        <v>NA</v>
      </c>
      <c r="W214" s="376" t="str">
        <f>IF(Start!$C$18="x",IF(OR(G214="NA",U214="NA",G214="",U214=""),"NA",(U214 +($G214*(Data!$D$19-Data!$D$22)/(Data!$D$19*Data!$D$22)))),"---")</f>
        <v>NA</v>
      </c>
      <c r="X214" s="376" t="str">
        <f>IF(Start!$C$18="x",IF(OR(G214="NA",V214="NA",G214="",V214=""),"NA",(((Data!$D$22*Data!$D$18)*V214)+(Data!$D$19-Data!$D$22)*$G214)/((Data!$D$22*Data!$D$18)+Data!$D$19-Data!$D$22)),"---")</f>
        <v>NA</v>
      </c>
      <c r="Y214" s="376" t="str">
        <f>IF(Start!$C$18="x",IF(OR(W214="NA",W214="",M214="NA",M214=""),"NA",(W214/((Data!$D$23+((1-Data!$D$23)*Data!$D$14*M214)) /((1-Data!$D$23)*Data!$D$14*1000)))),"---")</f>
        <v>NA</v>
      </c>
      <c r="Z214" s="376" t="str">
        <f>IF(Start!$C$18="x",IF(OR(Y214="NA",X214="NA"),"NA",IF(Y214&gt;X214, Y214, X214)),"---")</f>
        <v>NA</v>
      </c>
      <c r="AA214" s="461" t="str">
        <f>IF(Start!$C$18="x",IF(OR(Z214="NA",T214="NA"),"NA",Z214*T214/(1000000000)),"---")</f>
        <v>NA</v>
      </c>
      <c r="AB214" s="1057" t="str">
        <f>IF(Start!$C$18="x",IF(AA214 = "NA", "NA", AA214*(Data!$D$52*Data!$D$53*10000)),"---")</f>
        <v>NA</v>
      </c>
      <c r="AC214" s="375" t="str">
        <f>IF(Start!$C$18="x",IF(AB214="NA", "NA", AB214*Data!$D$54),"---")</f>
        <v>NA</v>
      </c>
      <c r="AD214" s="498" t="str">
        <f>IF(Start!$C$18="x",IF(AC214="NA","NA",AC214*Data!$D$41),"---")</f>
        <v>NA</v>
      </c>
      <c r="AE214" s="376" t="str">
        <f>IF(Start!$C$18="x",IF(AB214 = "NA", "NA", AB214/(Data!$D$53*3*Data!$D$48)*1000),"---")</f>
        <v>NA</v>
      </c>
      <c r="AF214" s="498" t="str">
        <f>IF(Start!$C$18="x",IF(AE214="NA","NA",AE214*Data!$D$46),"---")</f>
        <v>NA</v>
      </c>
      <c r="AG214" s="375" t="str">
        <f>IF(Start!$C$18="x",IF(OR($L214="NA",L214=""),"NA",($L214*(Data!$D$55^3.33)/(Data!$D$18^2))),"---")</f>
        <v>NA</v>
      </c>
      <c r="AH214" s="376" t="str">
        <f>IF(Start!$C$18="x",IF(OR(F214="NA",F214="",P214="NA",P214=""),"NA",IF(100/Data!$D$10&gt;Data!$D$13,(F214*$P214),(F214*$P214)*Data!$D$13)),"---")</f>
        <v>NA</v>
      </c>
      <c r="AI214" s="489" t="str">
        <f>IF(Start!$C$18="x",IF(OR($N214="NA",$Q214="NA",$Q214=0,Q214="",N214=""),"NA",(1000*$N214/$Q214)),"---")</f>
        <v>NA</v>
      </c>
      <c r="AJ214" s="376" t="str">
        <f>IF(Start!$C$18="x",IF(OR(Q214 = "NA",Q214=0,N214 = "NA",N214="",Q214=""), "NA", IF($AG214="NA","NA",(3.1416*Data!$D$57*86400/($AG214*(Data!$D$55+(N214*Data!$D$19/(Q214*1000)))))^0.5)),"---")</f>
        <v>NA</v>
      </c>
      <c r="AK214" s="376" t="str">
        <f>IF(Start!$C$18="x",IF(OR(AH214 = "NA",AI214="NA",AI214=0,AI214="",AH214=""), "NA", AH214/AI214),"---")</f>
        <v>NA</v>
      </c>
      <c r="AL214" s="376" t="str">
        <f>IF(Start!$C$18="x",IF(OR(AK214 ="NA",AK214="",AJ214= "NA",R214="NA",R214=0),"NA",(2*AK214)/(1000*(1/$R214+AJ214))),"---")</f>
        <v>NA</v>
      </c>
      <c r="AM214" s="376" t="str">
        <f>IF(Start!$C$18="x",IF(AL214 = "NA", "NA", AL214*(Data!$D$52*Data!$D$53*10000)),"---")</f>
        <v>NA</v>
      </c>
      <c r="AN214" s="376" t="str">
        <f>IF(Start!$C$18="x",IF(AM214 = "NA", "NA", AM214*(Data!$D$54)),"---")</f>
        <v>NA</v>
      </c>
      <c r="AO214" s="498" t="str">
        <f>IF(Start!$C$18="x",IF(AN214="NA","NA",AN214*Data!$D$41),"---")</f>
        <v>NA</v>
      </c>
      <c r="AP214" s="376" t="str">
        <f>IF(Start!$C$18="x",IF(OR(Q214=0,N214="NA",N214="",AG214="NA",AG214="",AG214=0,Q214="",Q214="NA"),"NA", (3.1416*Data!$D$56*86400/($AG214*(Data!$D$55+(N214*Data!$D$19/(Q214*1000)))))^0.5),"---")</f>
        <v>NA</v>
      </c>
      <c r="AQ214" s="376" t="str">
        <f>IF(Start!$C$18="x",IF(OR(AH214="NA",AI214="NA",AI214="",AI214=0,AH214=""),"NA", AH214/AI214),"---")</f>
        <v>NA</v>
      </c>
      <c r="AR214" s="376" t="str">
        <f>IF(Start!$C$18="x",IF(OR(AQ214="NA",AP214="NA",$R214="NA",R214=0,R214=""),"NA",(2*AQ214)/(1000*(1/$R214+AP214))),"---")</f>
        <v>NA</v>
      </c>
      <c r="AS214" s="376" t="str">
        <f>IF(Start!$C$18="x",IF(AR214 = "NA", "NA", AR214*(Data!$D$52*Data!$D$53*10000)),"---")</f>
        <v>NA</v>
      </c>
      <c r="AT214" s="376" t="str">
        <f>IF(Start!$C$18="x",IF(AS214 = "NA", "NA", (AS214*1000)/(Data!$D$48*3*Data!$D$53)),"---")</f>
        <v>NA</v>
      </c>
      <c r="AU214" s="498" t="str">
        <f>IF(Start!$C$18="x",IF(AT214="NA","NA",AT214*Data!$D$47),"---")</f>
        <v>NA</v>
      </c>
      <c r="AV214" s="283" t="str">
        <f>IF(Start!$C$18="x",(IF(AND(F214="",G214= "",G214&lt;&gt;"NA"),"",IF(OR(AD214="NA",I214="NA",I214=0),"NA",(AD214/I214)))),"Not Req.")</f>
        <v/>
      </c>
      <c r="AW214" s="284" t="str">
        <f>IF(Start!$C$18="x",(IF(AND(F214="",G214= "",G214&lt;&gt;"NA"),"",IF(OR(AF214="NA",I214="NA",I214=0),"NA",(AF214/I214)))),"Not Req.")</f>
        <v/>
      </c>
      <c r="AX214" s="284" t="str">
        <f>IF(Start!$C$18="x",(IF(F214 ="","",IF(OR(AO214="NA",I214="NA",I214=0),"NA",(AO214/I214)))),"Not Req.")</f>
        <v/>
      </c>
      <c r="AY214" s="344" t="str">
        <f>IF(Start!$C$18="x",(IF(F214 ="","",IF(OR(AU214="NA",I214="NA",I214=0),"NA",(AU214/I214)))),"Not Req.")</f>
        <v/>
      </c>
      <c r="AZ214" s="208"/>
    </row>
    <row r="215" spans="1:52" s="10" customFormat="1" x14ac:dyDescent="0.25">
      <c r="A215" s="404" t="s">
        <v>533</v>
      </c>
      <c r="B215" s="347" t="str">
        <f>IF(Start!$C$18="x",IF(AND(OR(F215="",F215="NA"),OR(G215="",G215="NA")),"",IF(I215="NA","NA",IF(AND(I215="",K215="--"),"NA",IF(AD215="NA","Missing Data",IF(I215="","No Criteria",IF(AD215&gt;=I215,"Needed","No")))))),"---")</f>
        <v/>
      </c>
      <c r="C215" s="501" t="str">
        <f>IF(Start!$C$18="x",IF(AND(OR(F215="",F215="NA"),OR(G215="",G215="NA")),"",IF(I215="NA","NA",IF(AND(I215="",K215="--"),"NA",IF(AF215="NA","Missing Data",IF(I215="","No Criteria",IF(AF215&gt;=I215,"Needed","No")))))),"---")</f>
        <v/>
      </c>
      <c r="D215" s="347" t="str">
        <f>IF(Start!$C$18="x",IF(AND(OR(F215="",F215="NA"),OR(G215="",G215="NA")),"",IF(I215="NA","NA",IF(AND(I215="",K215="--"),"NA",IF(AO215="NA","Missing Data",IF(I215="","No Criteria",IF(AO215&gt;=I215,"Needed","No")))))),"---")</f>
        <v/>
      </c>
      <c r="E215" s="401" t="str">
        <f>IF(Start!$C$18="x",IF(AND(OR(F215="",F215="NA"),OR(G215="",G215="NA")),"",IF(I215="NA","NA",IF(AND(I215="",K215="--"),"NA",IF(AU215="NA","Missing Data",IF(I215="","No Criteria",IF(AU215&gt;=I215,"Needed","No")))))),"---")</f>
        <v/>
      </c>
      <c r="F215" s="431" t="str">
        <f>IF(TRUE=ISBLANK(ChemData!B215),"",(ChemData!B215))</f>
        <v/>
      </c>
      <c r="G215" s="432" t="str">
        <f>IF(TRUE=ISBLANK(ChemData!C215),"",(ChemData!C215))</f>
        <v/>
      </c>
      <c r="H215" s="433" t="str">
        <f>IF(TRUE=ISBLANK(ChemData!D215),"",(ChemData!D215))</f>
        <v/>
      </c>
      <c r="I215" s="919" t="str">
        <f>IF(TRUE=ISBLANK(ChemData!K215),"",(ChemData!K215))</f>
        <v>NA</v>
      </c>
      <c r="J215" s="290">
        <f>IF(TRUE=ISBLANK(ChemData!M215),"",(ChemData!M215))</f>
        <v>265.91000000000003</v>
      </c>
      <c r="K215" s="290">
        <f>IF(TRUE=ISBLANK(ChemData!N215),"",(ChemData!N215))</f>
        <v>2.65E-7</v>
      </c>
      <c r="L215" s="290">
        <f>IF(TRUE=ISBLANK(ChemData!O215),"",(ChemData!O215))</f>
        <v>0.1515328102784298</v>
      </c>
      <c r="M215" s="290">
        <f>IF(TRUE=ISBLANK(ChemData!Q215),"",(ChemData!Q215))</f>
        <v>8.0799080547654754</v>
      </c>
      <c r="N215" s="290">
        <f>IF(TRUE=ISBLANK(ChemData!R215),"",(ChemData!R215))</f>
        <v>8.0799080547654754</v>
      </c>
      <c r="O215" s="290">
        <f>IF(TRUE=ISBLANK(ChemData!S215),"",(ChemData!S215))</f>
        <v>1</v>
      </c>
      <c r="P215" s="291">
        <f>IF(TRUE=ISBLANK(ChemData!T215),"",(ChemData!T215))</f>
        <v>1</v>
      </c>
      <c r="Q215" s="375">
        <f>IF(Start!$C$18="x",IF(OR(K215="NA",K215="",K215="--"),"NA",(K215*1000000/82.1/Data!$D$50)),"---")</f>
        <v>1.0412164551491102E-5</v>
      </c>
      <c r="R215" s="376">
        <f>IF(Start!$C$18="x",IF(OR(J215="NA",J215=0,J215=""),"NA",(0.32*(Data!$D$48+Data!$D$49)*(18/J215)^0.5)),"---")</f>
        <v>0.21438585581856662</v>
      </c>
      <c r="S215" s="376">
        <f>IF(Start!$C$18="x",IF(OR(J215="NA",J215= 0,J215=""),"NA",(0.0065*((Data!$D$49^0.969)/(Data!$D$51^0.673))*(32/J215)^0.5*EXP(0.526*Data!$D$48^-1.9))),"---")</f>
        <v>4.518666493661174E-4</v>
      </c>
      <c r="T215" s="377">
        <f>IF(Start!$C$18="x",IF(OR(S215="NA",R215="NA",R215=0,Q215="NA",S215=0,Q215=0),"NA",(1/(1/S215+(1/(R215*Q215))))),"---")</f>
        <v>2.2212478460962642E-6</v>
      </c>
      <c r="U215" s="375" t="str">
        <f>IF(Start!$C$18="x",IF(OR(F215="NA",F215="",O215="",O215="NA"),"NA",(F215*$O215)),"---")</f>
        <v>NA</v>
      </c>
      <c r="V215" s="376" t="str">
        <f>IF(Start!$C$18="x",IF(OR(U215="NA",M215="NA",M215="",U215=""),"NA",U215/((Data!$D$18+((1-Data!$D$18)*Data!$D$14*M215))/((1-Data!$D$18)*Data!$D$14*1000))),"---")</f>
        <v>NA</v>
      </c>
      <c r="W215" s="376" t="str">
        <f>IF(Start!$C$18="x",IF(OR(G215="NA",U215="NA",G215="",U215=""),"NA",(U215 +($G215*(Data!$D$19-Data!$D$22)/(Data!$D$19*Data!$D$22)))),"---")</f>
        <v>NA</v>
      </c>
      <c r="X215" s="376" t="str">
        <f>IF(Start!$C$18="x",IF(OR(G215="NA",V215="NA",G215="",V215=""),"NA",(((Data!$D$22*Data!$D$18)*V215)+(Data!$D$19-Data!$D$22)*$G215)/((Data!$D$22*Data!$D$18)+Data!$D$19-Data!$D$22)),"---")</f>
        <v>NA</v>
      </c>
      <c r="Y215" s="376" t="str">
        <f>IF(Start!$C$18="x",IF(OR(W215="NA",W215="",M215="NA",M215=""),"NA",(W215/((Data!$D$23+((1-Data!$D$23)*Data!$D$14*M215)) /((1-Data!$D$23)*Data!$D$14*1000)))),"---")</f>
        <v>NA</v>
      </c>
      <c r="Z215" s="376" t="str">
        <f>IF(Start!$C$18="x",IF(OR(Y215="NA",X215="NA"),"NA",IF(Y215&gt;X215, Y215, X215)),"---")</f>
        <v>NA</v>
      </c>
      <c r="AA215" s="461" t="str">
        <f>IF(Start!$C$18="x",IF(OR(Z215="NA",T215="NA"),"NA",Z215*T215/(1000000000)),"---")</f>
        <v>NA</v>
      </c>
      <c r="AB215" s="1057" t="str">
        <f>IF(Start!$C$18="x",IF(AA215 = "NA", "NA", AA215*(Data!$D$52*Data!$D$53*10000)),"---")</f>
        <v>NA</v>
      </c>
      <c r="AC215" s="375" t="str">
        <f>IF(Start!$C$18="x",IF(AB215="NA", "NA", AB215*Data!$D$54),"---")</f>
        <v>NA</v>
      </c>
      <c r="AD215" s="498" t="str">
        <f>IF(Start!$C$18="x",IF(AC215="NA","NA",AC215*Data!$D$41),"---")</f>
        <v>NA</v>
      </c>
      <c r="AE215" s="376" t="str">
        <f>IF(Start!$C$18="x",IF(AB215 = "NA", "NA", AB215/(Data!$D$53*3*Data!$D$48)*1000),"---")</f>
        <v>NA</v>
      </c>
      <c r="AF215" s="498" t="str">
        <f>IF(Start!$C$18="x",IF(AE215="NA","NA",AE215*Data!$D$46),"---")</f>
        <v>NA</v>
      </c>
      <c r="AG215" s="375">
        <f>IF(Start!$C$18="x",IF(OR($L215="NA",L215=""),"NA",($L215*(Data!$D$55^3.33)/(Data!$D$18^2))),"---")</f>
        <v>1.5437395449444662E-3</v>
      </c>
      <c r="AH215" s="376" t="str">
        <f>IF(Start!$C$18="x",IF(OR(F215="NA",F215="",P215="NA",P215=""),"NA",IF(100/Data!$D$10&gt;Data!$D$13,(F215*$P215),(F215*$P215)*Data!$D$13)),"---")</f>
        <v>NA</v>
      </c>
      <c r="AI215" s="489">
        <f>IF(Start!$C$18="x",IF(OR($N215="NA",$Q215="NA",$Q215=0,Q215="",N215=""),"NA",(1000*$N215/$Q215)),"---")</f>
        <v>776006565.66730607</v>
      </c>
      <c r="AJ215" s="376">
        <f>IF(Start!$C$18="x",IF(OR(Q215 = "NA",Q215=0,N215 = "NA",N215="",Q215=""), "NA", IF($AG215="NA","NA",(3.1416*Data!$D$57*86400/($AG215*(Data!$D$55+(N215*Data!$D$19/(Q215*1000)))))^0.5)),"---")</f>
        <v>89.459717896610513</v>
      </c>
      <c r="AK215" s="376" t="str">
        <f>IF(Start!$C$18="x",IF(OR(AH215 = "NA",AI215="NA",AI215=0,AI215="",AH215=""), "NA", AH215/AI215),"---")</f>
        <v>NA</v>
      </c>
      <c r="AL215" s="376" t="str">
        <f>IF(Start!$C$18="x",IF(OR(AK215 ="NA",AK215="",AJ215= "NA",R215="NA",R215=0),"NA",(2*AK215)/(1000*(1/$R215+AJ215))),"---")</f>
        <v>NA</v>
      </c>
      <c r="AM215" s="376" t="str">
        <f>IF(Start!$C$18="x",IF(AL215 = "NA", "NA", AL215*(Data!$D$52*Data!$D$53*10000)),"---")</f>
        <v>NA</v>
      </c>
      <c r="AN215" s="376" t="str">
        <f>IF(Start!$C$18="x",IF(AM215 = "NA", "NA", AM215*(Data!$D$54)),"---")</f>
        <v>NA</v>
      </c>
      <c r="AO215" s="498" t="str">
        <f>IF(Start!$C$18="x",IF(AN215="NA","NA",AN215*Data!$D$41),"---")</f>
        <v>NA</v>
      </c>
      <c r="AP215" s="376">
        <f>IF(Start!$C$18="x",IF(OR(Q215=0,N215="NA",N215="",AG215="NA",AG215="",AG215=0,Q215="",Q215="NA"),"NA", (3.1416*Data!$D$56*86400/($AG215*(Data!$D$55+(N215*Data!$D$19/(Q215*1000)))))^0.5),"---")</f>
        <v>89.459717896610513</v>
      </c>
      <c r="AQ215" s="376" t="str">
        <f>IF(Start!$C$18="x",IF(OR(AH215="NA",AI215="NA",AI215="",AI215=0,AH215=""),"NA", AH215/AI215),"---")</f>
        <v>NA</v>
      </c>
      <c r="AR215" s="376" t="str">
        <f>IF(Start!$C$18="x",IF(OR(AQ215="NA",AP215="NA",$R215="NA",R215=0,R215=""),"NA",(2*AQ215)/(1000*(1/$R215+AP215))),"---")</f>
        <v>NA</v>
      </c>
      <c r="AS215" s="376" t="str">
        <f>IF(Start!$C$18="x",IF(AR215 = "NA", "NA", AR215*(Data!$D$52*Data!$D$53*10000)),"---")</f>
        <v>NA</v>
      </c>
      <c r="AT215" s="376" t="str">
        <f>IF(Start!$C$18="x",IF(AS215 = "NA", "NA", (AS215*1000)/(Data!$D$48*3*Data!$D$53)),"---")</f>
        <v>NA</v>
      </c>
      <c r="AU215" s="498" t="str">
        <f>IF(Start!$C$18="x",IF(AT215="NA","NA",AT215*Data!$D$47),"---")</f>
        <v>NA</v>
      </c>
      <c r="AV215" s="283" t="str">
        <f>IF(Start!$C$18="x",(IF(AND(F215="",G215= "",G215&lt;&gt;"NA"),"",IF(OR(AD215="NA",I215="NA",I215=0),"NA",(AD215/I215)))),"Not Req.")</f>
        <v/>
      </c>
      <c r="AW215" s="284" t="str">
        <f>IF(Start!$C$18="x",(IF(AND(F215="",G215= "",G215&lt;&gt;"NA"),"",IF(OR(AF215="NA",I215="NA",I215=0),"NA",(AF215/I215)))),"Not Req.")</f>
        <v/>
      </c>
      <c r="AX215" s="284" t="str">
        <f>IF(Start!$C$18="x",(IF(F215 ="","",IF(OR(AO215="NA",I215="NA",I215=0),"NA",(AO215/I215)))),"Not Req.")</f>
        <v/>
      </c>
      <c r="AY215" s="344" t="str">
        <f>IF(Start!$C$18="x",(IF(F215 ="","",IF(OR(AU215="NA",I215="NA",I215=0),"NA",(AU215/I215)))),"Not Req.")</f>
        <v/>
      </c>
      <c r="AZ215" s="208"/>
    </row>
    <row r="216" spans="1:52" s="10" customFormat="1" x14ac:dyDescent="0.25">
      <c r="A216" s="404" t="s">
        <v>534</v>
      </c>
      <c r="B216" s="347" t="str">
        <f>IF(Start!$C$18="x",IF(AND(OR(F216="",F216="NA"),OR(G216="",G216="NA")),"",IF(I216="NA","NA",IF(AND(I216="",K216="--"),"NA",IF(AD216="NA","Missing Data",IF(I216="","No Criteria",IF(AD216&gt;=I216,"Needed","No")))))),"---")</f>
        <v/>
      </c>
      <c r="C216" s="501" t="str">
        <f>IF(Start!$C$18="x",IF(AND(OR(F216="",F216="NA"),OR(G216="",G216="NA")),"",IF(I216="NA","NA",IF(AND(I216="",K216="--"),"NA",IF(AF216="NA","Missing Data",IF(I216="","No Criteria",IF(AF216&gt;=I216,"Needed","No")))))),"---")</f>
        <v/>
      </c>
      <c r="D216" s="347" t="str">
        <f>IF(Start!$C$18="x",IF(AND(OR(F216="",F216="NA"),OR(G216="",G216="NA")),"",IF(I216="NA","NA",IF(AND(I216="",K216="--"),"NA",IF(AO216="NA","Missing Data",IF(I216="","No Criteria",IF(AO216&gt;=I216,"Needed","No")))))),"---")</f>
        <v/>
      </c>
      <c r="E216" s="401" t="str">
        <f>IF(Start!$C$18="x",IF(AND(OR(F216="",F216="NA"),OR(G216="",G216="NA")),"",IF(I216="NA","NA",IF(AND(I216="",K216="--"),"NA",IF(AU216="NA","Missing Data",IF(I216="","No Criteria",IF(AU216&gt;=I216,"Needed","No")))))),"---")</f>
        <v/>
      </c>
      <c r="F216" s="431" t="str">
        <f>IF(TRUE=ISBLANK(ChemData!B216),"",(ChemData!B216))</f>
        <v/>
      </c>
      <c r="G216" s="432" t="str">
        <f>IF(TRUE=ISBLANK(ChemData!C216),"",(ChemData!C216))</f>
        <v/>
      </c>
      <c r="H216" s="433" t="str">
        <f>IF(TRUE=ISBLANK(ChemData!D216),"",(ChemData!D216))</f>
        <v/>
      </c>
      <c r="I216" s="919" t="str">
        <f>IF(TRUE=ISBLANK(ChemData!K216),"",(ChemData!K216))</f>
        <v>NA</v>
      </c>
      <c r="J216" s="290">
        <f>IF(TRUE=ISBLANK(ChemData!M216),"",(ChemData!M216))</f>
        <v>320.05</v>
      </c>
      <c r="K216" s="290" t="str">
        <f>IF(TRUE=ISBLANK(ChemData!N216),"",(ChemData!N216))</f>
        <v>NA</v>
      </c>
      <c r="L216" s="290" t="str">
        <f>IF(TRUE=ISBLANK(ChemData!O216),"",(ChemData!O216))</f>
        <v>NA</v>
      </c>
      <c r="M216" s="290">
        <f>IF(TRUE=ISBLANK(ChemData!Q216),"",(ChemData!Q216))</f>
        <v>13721.652566479994</v>
      </c>
      <c r="N216" s="290">
        <f>IF(TRUE=ISBLANK(ChemData!R216),"",(ChemData!R216))</f>
        <v>13721.652566479994</v>
      </c>
      <c r="O216" s="290">
        <f>IF(TRUE=ISBLANK(ChemData!S216),"",(ChemData!S216))</f>
        <v>1</v>
      </c>
      <c r="P216" s="291">
        <f>IF(TRUE=ISBLANK(ChemData!T216),"",(ChemData!T216))</f>
        <v>1</v>
      </c>
      <c r="Q216" s="375" t="str">
        <f>IF(Start!$C$18="x",IF(OR(K216="NA",K216="",K216="--"),"NA",(K216*1000000/82.1/Data!$D$50)),"---")</f>
        <v>NA</v>
      </c>
      <c r="R216" s="376">
        <f>IF(Start!$C$18="x",IF(OR(J216="NA",J216=0,J216=""),"NA",(0.32*(Data!$D$48+Data!$D$49)*(18/J216)^0.5)),"---")</f>
        <v>0.19541349331554866</v>
      </c>
      <c r="S216" s="376">
        <f>IF(Start!$C$18="x",IF(OR(J216="NA",J216= 0,J216=""),"NA",(0.0065*((Data!$D$49^0.969)/(Data!$D$51^0.673))*(32/J216)^0.5*EXP(0.526*Data!$D$48^-1.9))),"---")</f>
        <v>4.1187810701538805E-4</v>
      </c>
      <c r="T216" s="377" t="str">
        <f>IF(Start!$C$18="x",IF(OR(S216="NA",R216="NA",R216=0,Q216="NA",S216=0,Q216=0),"NA",(1/(1/S216+(1/(R216*Q216))))),"---")</f>
        <v>NA</v>
      </c>
      <c r="U216" s="375" t="str">
        <f>IF(Start!$C$18="x",IF(OR(F216="NA",F216="",O216="",O216="NA"),"NA",(F216*$O216)),"---")</f>
        <v>NA</v>
      </c>
      <c r="V216" s="376" t="str">
        <f>IF(Start!$C$18="x",IF(OR(U216="NA",M216="NA",M216="",U216=""),"NA",U216/((Data!$D$18+((1-Data!$D$18)*Data!$D$14*M216))/((1-Data!$D$18)*Data!$D$14*1000))),"---")</f>
        <v>NA</v>
      </c>
      <c r="W216" s="376" t="str">
        <f>IF(Start!$C$18="x",IF(OR(G216="NA",U216="NA",G216="",U216=""),"NA",(U216 +($G216*(Data!$D$19-Data!$D$22)/(Data!$D$19*Data!$D$22)))),"---")</f>
        <v>NA</v>
      </c>
      <c r="X216" s="376" t="str">
        <f>IF(Start!$C$18="x",IF(OR(G216="NA",V216="NA",G216="",V216=""),"NA",(((Data!$D$22*Data!$D$18)*V216)+(Data!$D$19-Data!$D$22)*$G216)/((Data!$D$22*Data!$D$18)+Data!$D$19-Data!$D$22)),"---")</f>
        <v>NA</v>
      </c>
      <c r="Y216" s="376" t="str">
        <f>IF(Start!$C$18="x",IF(OR(W216="NA",W216="",M216="NA",M216=""),"NA",(W216/((Data!$D$23+((1-Data!$D$23)*Data!$D$14*M216)) /((1-Data!$D$23)*Data!$D$14*1000)))),"---")</f>
        <v>NA</v>
      </c>
      <c r="Z216" s="376" t="str">
        <f>IF(Start!$C$18="x",IF(OR(Y216="NA",X216="NA"),"NA",IF(Y216&gt;X216, Y216, X216)),"---")</f>
        <v>NA</v>
      </c>
      <c r="AA216" s="461" t="str">
        <f>IF(Start!$C$18="x",IF(OR(Z216="NA",T216="NA"),"NA",Z216*T216/(1000000000)),"---")</f>
        <v>NA</v>
      </c>
      <c r="AB216" s="1057" t="str">
        <f>IF(Start!$C$18="x",IF(AA216 = "NA", "NA", AA216*(Data!$D$52*Data!$D$53*10000)),"---")</f>
        <v>NA</v>
      </c>
      <c r="AC216" s="375" t="str">
        <f>IF(Start!$C$18="x",IF(AB216="NA", "NA", AB216*Data!$D$54),"---")</f>
        <v>NA</v>
      </c>
      <c r="AD216" s="498" t="str">
        <f>IF(Start!$C$18="x",IF(AC216="NA","NA",AC216*Data!$D$41),"---")</f>
        <v>NA</v>
      </c>
      <c r="AE216" s="376" t="str">
        <f>IF(Start!$C$18="x",IF(AB216 = "NA", "NA", AB216/(Data!$D$53*3*Data!$D$48)*1000),"---")</f>
        <v>NA</v>
      </c>
      <c r="AF216" s="498" t="str">
        <f>IF(Start!$C$18="x",IF(AE216="NA","NA",AE216*Data!$D$46),"---")</f>
        <v>NA</v>
      </c>
      <c r="AG216" s="375" t="str">
        <f>IF(Start!$C$18="x",IF(OR($L216="NA",L216=""),"NA",($L216*(Data!$D$55^3.33)/(Data!$D$18^2))),"---")</f>
        <v>NA</v>
      </c>
      <c r="AH216" s="376" t="str">
        <f>IF(Start!$C$18="x",IF(OR(F216="NA",F216="",P216="NA",P216=""),"NA",IF(100/Data!$D$10&gt;Data!$D$13,(F216*$P216),(F216*$P216)*Data!$D$13)),"---")</f>
        <v>NA</v>
      </c>
      <c r="AI216" s="489" t="str">
        <f>IF(Start!$C$18="x",IF(OR($N216="NA",$Q216="NA",$Q216=0,Q216="",N216=""),"NA",(1000*$N216/$Q216)),"---")</f>
        <v>NA</v>
      </c>
      <c r="AJ216" s="376" t="str">
        <f>IF(Start!$C$18="x",IF(OR(Q216 = "NA",Q216=0,N216 = "NA",N216="",Q216=""), "NA", IF($AG216="NA","NA",(3.1416*Data!$D$57*86400/($AG216*(Data!$D$55+(N216*Data!$D$19/(Q216*1000)))))^0.5)),"---")</f>
        <v>NA</v>
      </c>
      <c r="AK216" s="376" t="str">
        <f>IF(Start!$C$18="x",IF(OR(AH216 = "NA",AI216="NA",AI216=0,AI216="",AH216=""), "NA", AH216/AI216),"---")</f>
        <v>NA</v>
      </c>
      <c r="AL216" s="376" t="str">
        <f>IF(Start!$C$18="x",IF(OR(AK216 ="NA",AK216="",AJ216= "NA",R216="NA",R216=0),"NA",(2*AK216)/(1000*(1/$R216+AJ216))),"---")</f>
        <v>NA</v>
      </c>
      <c r="AM216" s="376" t="str">
        <f>IF(Start!$C$18="x",IF(AL216 = "NA", "NA", AL216*(Data!$D$52*Data!$D$53*10000)),"---")</f>
        <v>NA</v>
      </c>
      <c r="AN216" s="376" t="str">
        <f>IF(Start!$C$18="x",IF(AM216 = "NA", "NA", AM216*(Data!$D$54)),"---")</f>
        <v>NA</v>
      </c>
      <c r="AO216" s="498" t="str">
        <f>IF(Start!$C$18="x",IF(AN216="NA","NA",AN216*Data!$D$41),"---")</f>
        <v>NA</v>
      </c>
      <c r="AP216" s="376" t="str">
        <f>IF(Start!$C$18="x",IF(OR(Q216=0,N216="NA",N216="",AG216="NA",AG216="",AG216=0,Q216="",Q216="NA"),"NA", (3.1416*Data!$D$56*86400/($AG216*(Data!$D$55+(N216*Data!$D$19/(Q216*1000)))))^0.5),"---")</f>
        <v>NA</v>
      </c>
      <c r="AQ216" s="376" t="str">
        <f>IF(Start!$C$18="x",IF(OR(AH216="NA",AI216="NA",AI216="",AI216=0,AH216=""),"NA", AH216/AI216),"---")</f>
        <v>NA</v>
      </c>
      <c r="AR216" s="376" t="str">
        <f>IF(Start!$C$18="x",IF(OR(AQ216="NA",AP216="NA",$R216="NA",R216=0,R216=""),"NA",(2*AQ216)/(1000*(1/$R216+AP216))),"---")</f>
        <v>NA</v>
      </c>
      <c r="AS216" s="376" t="str">
        <f>IF(Start!$C$18="x",IF(AR216 = "NA", "NA", AR216*(Data!$D$52*Data!$D$53*10000)),"---")</f>
        <v>NA</v>
      </c>
      <c r="AT216" s="376" t="str">
        <f>IF(Start!$C$18="x",IF(AS216 = "NA", "NA", (AS216*1000)/(Data!$D$48*3*Data!$D$53)),"---")</f>
        <v>NA</v>
      </c>
      <c r="AU216" s="498" t="str">
        <f>IF(Start!$C$18="x",IF(AT216="NA","NA",AT216*Data!$D$47),"---")</f>
        <v>NA</v>
      </c>
      <c r="AV216" s="283" t="str">
        <f>IF(Start!$C$18="x",(IF(AND(F216="",G216= "",G216&lt;&gt;"NA"),"",IF(OR(AD216="NA",I216="NA",I216=0),"NA",(AD216/I216)))),"Not Req.")</f>
        <v/>
      </c>
      <c r="AW216" s="284" t="str">
        <f>IF(Start!$C$18="x",(IF(AND(F216="",G216= "",G216&lt;&gt;"NA"),"",IF(OR(AF216="NA",I216="NA",I216=0),"NA",(AF216/I216)))),"Not Req.")</f>
        <v/>
      </c>
      <c r="AX216" s="284" t="str">
        <f>IF(Start!$C$18="x",(IF(F216 ="","",IF(OR(AO216="NA",I216="NA",I216=0),"NA",(AO216/I216)))),"Not Req.")</f>
        <v/>
      </c>
      <c r="AY216" s="344" t="str">
        <f>IF(Start!$C$18="x",(IF(F216 ="","",IF(OR(AU216="NA",I216="NA",I216=0),"NA",(AU216/I216)))),"Not Req.")</f>
        <v/>
      </c>
      <c r="AZ216" s="208"/>
    </row>
    <row r="217" spans="1:52" s="10" customFormat="1" x14ac:dyDescent="0.25">
      <c r="A217" s="404" t="s">
        <v>535</v>
      </c>
      <c r="B217" s="347" t="str">
        <f>IF(Start!$C$18="x",IF(AND(OR(F217="",F217="NA"),OR(G217="",G217="NA")),"",IF(I217="NA","NA",IF(AND(I217="",K217="--"),"NA",IF(AD217="NA","Missing Data",IF(I217="","No Criteria",IF(AD217&gt;=I217,"Needed","No")))))),"---")</f>
        <v/>
      </c>
      <c r="C217" s="501" t="str">
        <f>IF(Start!$C$18="x",IF(AND(OR(F217="",F217="NA"),OR(G217="",G217="NA")),"",IF(I217="NA","NA",IF(AND(I217="",K217="--"),"NA",IF(AF217="NA","Missing Data",IF(I217="","No Criteria",IF(AF217&gt;=I217,"Needed","No")))))),"---")</f>
        <v/>
      </c>
      <c r="D217" s="347" t="str">
        <f>IF(Start!$C$18="x",IF(AND(OR(F217="",F217="NA"),OR(G217="",G217="NA")),"",IF(I217="NA","NA",IF(AND(I217="",K217="--"),"NA",IF(AO217="NA","Missing Data",IF(I217="","No Criteria",IF(AO217&gt;=I217,"Needed","No")))))),"---")</f>
        <v/>
      </c>
      <c r="E217" s="401" t="str">
        <f>IF(Start!$C$18="x",IF(AND(OR(F217="",F217="NA"),OR(G217="",G217="NA")),"",IF(I217="NA","NA",IF(AND(I217="",K217="--"),"NA",IF(AU217="NA","Missing Data",IF(I217="","No Criteria",IF(AU217&gt;=I217,"Needed","No")))))),"---")</f>
        <v/>
      </c>
      <c r="F217" s="431" t="str">
        <f>IF(TRUE=ISBLANK(ChemData!B217),"",(ChemData!B217))</f>
        <v/>
      </c>
      <c r="G217" s="432" t="str">
        <f>IF(TRUE=ISBLANK(ChemData!C217),"",(ChemData!C217))</f>
        <v/>
      </c>
      <c r="H217" s="433" t="str">
        <f>IF(TRUE=ISBLANK(ChemData!D217),"",(ChemData!D217))</f>
        <v/>
      </c>
      <c r="I217" s="919" t="str">
        <f>IF(TRUE=ISBLANK(ChemData!K217),"",(ChemData!K217))</f>
        <v>NA</v>
      </c>
      <c r="J217" s="290">
        <f>IF(TRUE=ISBLANK(ChemData!M217),"",(ChemData!M217))</f>
        <v>320</v>
      </c>
      <c r="K217" s="290">
        <f>IF(TRUE=ISBLANK(ChemData!N217),"",(ChemData!N217))</f>
        <v>2.16E-5</v>
      </c>
      <c r="L217" s="290">
        <f>IF(TRUE=ISBLANK(ChemData!O217),"",(ChemData!O217))</f>
        <v>4.9399999999999999E-2</v>
      </c>
      <c r="M217" s="290">
        <f>IF(TRUE=ISBLANK(ChemData!Q217),"",(ChemData!Q217))</f>
        <v>18510</v>
      </c>
      <c r="N217" s="290">
        <f>IF(TRUE=ISBLANK(ChemData!R217),"",(ChemData!R217))</f>
        <v>18510</v>
      </c>
      <c r="O217" s="290">
        <f>IF(TRUE=ISBLANK(ChemData!S217),"",(ChemData!S217))</f>
        <v>1</v>
      </c>
      <c r="P217" s="291">
        <f>IF(TRUE=ISBLANK(ChemData!T217),"",(ChemData!T217))</f>
        <v>1</v>
      </c>
      <c r="Q217" s="375">
        <f>IF(Start!$C$18="x",IF(OR(K217="NA",K217="",K217="--"),"NA",(K217*1000000/82.1/Data!$D$50)),"---")</f>
        <v>8.4868963891399172E-4</v>
      </c>
      <c r="R217" s="376">
        <f>IF(Start!$C$18="x",IF(OR(J217="NA",J217=0,J217=""),"NA",(0.32*(Data!$D$48+Data!$D$49)*(18/J217)^0.5)),"---")</f>
        <v>0.19542875939840584</v>
      </c>
      <c r="S217" s="376">
        <f>IF(Start!$C$18="x",IF(OR(J217="NA",J217= 0,J217=""),"NA",(0.0065*((Data!$D$49^0.969)/(Data!$D$51^0.673))*(32/J217)^0.5*EXP(0.526*Data!$D$48^-1.9))),"---")</f>
        <v>4.119102837356446E-4</v>
      </c>
      <c r="T217" s="377">
        <f>IF(Start!$C$18="x",IF(OR(S217="NA",R217="NA",R217=0,Q217="NA",S217=0,Q217=0),"NA",(1/(1/S217+(1/(R217*Q217))))),"---")</f>
        <v>1.1824588582620815E-4</v>
      </c>
      <c r="U217" s="375" t="str">
        <f>IF(Start!$C$18="x",IF(OR(F217="NA",F217="",O217="",O217="NA"),"NA",(F217*$O217)),"---")</f>
        <v>NA</v>
      </c>
      <c r="V217" s="376" t="str">
        <f>IF(Start!$C$18="x",IF(OR(U217="NA",M217="NA",M217="",U217=""),"NA",U217/((Data!$D$18+((1-Data!$D$18)*Data!$D$14*M217))/((1-Data!$D$18)*Data!$D$14*1000))),"---")</f>
        <v>NA</v>
      </c>
      <c r="W217" s="376" t="str">
        <f>IF(Start!$C$18="x",IF(OR(G217="NA",U217="NA",G217="",U217=""),"NA",(U217 +($G217*(Data!$D$19-Data!$D$22)/(Data!$D$19*Data!$D$22)))),"---")</f>
        <v>NA</v>
      </c>
      <c r="X217" s="376" t="str">
        <f>IF(Start!$C$18="x",IF(OR(G217="NA",V217="NA",G217="",V217=""),"NA",(((Data!$D$22*Data!$D$18)*V217)+(Data!$D$19-Data!$D$22)*$G217)/((Data!$D$22*Data!$D$18)+Data!$D$19-Data!$D$22)),"---")</f>
        <v>NA</v>
      </c>
      <c r="Y217" s="376" t="str">
        <f>IF(Start!$C$18="x",IF(OR(W217="NA",W217="",M217="NA",M217=""),"NA",(W217/((Data!$D$23+((1-Data!$D$23)*Data!$D$14*M217)) /((1-Data!$D$23)*Data!$D$14*1000)))),"---")</f>
        <v>NA</v>
      </c>
      <c r="Z217" s="376" t="str">
        <f>IF(Start!$C$18="x",IF(OR(Y217="NA",X217="NA"),"NA",IF(Y217&gt;X217, Y217, X217)),"---")</f>
        <v>NA</v>
      </c>
      <c r="AA217" s="461" t="str">
        <f>IF(Start!$C$18="x",IF(OR(Z217="NA",T217="NA"),"NA",Z217*T217/(1000000000)),"---")</f>
        <v>NA</v>
      </c>
      <c r="AB217" s="1057" t="str">
        <f>IF(Start!$C$18="x",IF(AA217 = "NA", "NA", AA217*(Data!$D$52*Data!$D$53*10000)),"---")</f>
        <v>NA</v>
      </c>
      <c r="AC217" s="375" t="str">
        <f>IF(Start!$C$18="x",IF(AB217="NA", "NA", AB217*Data!$D$54),"---")</f>
        <v>NA</v>
      </c>
      <c r="AD217" s="498" t="str">
        <f>IF(Start!$C$18="x",IF(AC217="NA","NA",AC217*Data!$D$41),"---")</f>
        <v>NA</v>
      </c>
      <c r="AE217" s="376" t="str">
        <f>IF(Start!$C$18="x",IF(AB217 = "NA", "NA", AB217/(Data!$D$53*3*Data!$D$48)*1000),"---")</f>
        <v>NA</v>
      </c>
      <c r="AF217" s="498" t="str">
        <f>IF(Start!$C$18="x",IF(AE217="NA","NA",AE217*Data!$D$46),"---")</f>
        <v>NA</v>
      </c>
      <c r="AG217" s="375">
        <f>IF(Start!$C$18="x",IF(OR($L217="NA",L217=""),"NA",($L217*(Data!$D$55^3.33)/(Data!$D$18^2))),"---")</f>
        <v>5.0326218711402131E-4</v>
      </c>
      <c r="AH217" s="376" t="str">
        <f>IF(Start!$C$18="x",IF(OR(F217="NA",F217="",P217="NA",P217=""),"NA",IF(100/Data!$D$10&gt;Data!$D$13,(F217*$P217),(F217*$P217)*Data!$D$13)),"---")</f>
        <v>NA</v>
      </c>
      <c r="AI217" s="489">
        <f>IF(Start!$C$18="x",IF(OR($N217="NA",$Q217="NA",$Q217=0,Q217="",N217=""),"NA",(1000*$N217/$Q217)),"---")</f>
        <v>21810093055.555553</v>
      </c>
      <c r="AJ217" s="376">
        <f>IF(Start!$C$18="x",IF(OR(Q217 = "NA",Q217=0,N217 = "NA",N217="",Q217=""), "NA", IF($AG217="NA","NA",(3.1416*Data!$D$57*86400/($AG217*(Data!$D$55+(N217*Data!$D$19/(Q217*1000)))))^0.5)),"---")</f>
        <v>29.554348545732172</v>
      </c>
      <c r="AK217" s="376" t="str">
        <f>IF(Start!$C$18="x",IF(OR(AH217 = "NA",AI217="NA",AI217=0,AI217="",AH217=""), "NA", AH217/AI217),"---")</f>
        <v>NA</v>
      </c>
      <c r="AL217" s="376" t="str">
        <f>IF(Start!$C$18="x",IF(OR(AK217 ="NA",AK217="",AJ217= "NA",R217="NA",R217=0),"NA",(2*AK217)/(1000*(1/$R217+AJ217))),"---")</f>
        <v>NA</v>
      </c>
      <c r="AM217" s="376" t="str">
        <f>IF(Start!$C$18="x",IF(AL217 = "NA", "NA", AL217*(Data!$D$52*Data!$D$53*10000)),"---")</f>
        <v>NA</v>
      </c>
      <c r="AN217" s="376" t="str">
        <f>IF(Start!$C$18="x",IF(AM217 = "NA", "NA", AM217*(Data!$D$54)),"---")</f>
        <v>NA</v>
      </c>
      <c r="AO217" s="498" t="str">
        <f>IF(Start!$C$18="x",IF(AN217="NA","NA",AN217*Data!$D$41),"---")</f>
        <v>NA</v>
      </c>
      <c r="AP217" s="376">
        <f>IF(Start!$C$18="x",IF(OR(Q217=0,N217="NA",N217="",AG217="NA",AG217="",AG217=0,Q217="",Q217="NA"),"NA", (3.1416*Data!$D$56*86400/($AG217*(Data!$D$55+(N217*Data!$D$19/(Q217*1000)))))^0.5),"---")</f>
        <v>29.554348545732172</v>
      </c>
      <c r="AQ217" s="376" t="str">
        <f>IF(Start!$C$18="x",IF(OR(AH217="NA",AI217="NA",AI217="",AI217=0,AH217=""),"NA", AH217/AI217),"---")</f>
        <v>NA</v>
      </c>
      <c r="AR217" s="376" t="str">
        <f>IF(Start!$C$18="x",IF(OR(AQ217="NA",AP217="NA",$R217="NA",R217=0,R217=""),"NA",(2*AQ217)/(1000*(1/$R217+AP217))),"---")</f>
        <v>NA</v>
      </c>
      <c r="AS217" s="376" t="str">
        <f>IF(Start!$C$18="x",IF(AR217 = "NA", "NA", AR217*(Data!$D$52*Data!$D$53*10000)),"---")</f>
        <v>NA</v>
      </c>
      <c r="AT217" s="376" t="str">
        <f>IF(Start!$C$18="x",IF(AS217 = "NA", "NA", (AS217*1000)/(Data!$D$48*3*Data!$D$53)),"---")</f>
        <v>NA</v>
      </c>
      <c r="AU217" s="498" t="str">
        <f>IF(Start!$C$18="x",IF(AT217="NA","NA",AT217*Data!$D$47),"---")</f>
        <v>NA</v>
      </c>
      <c r="AV217" s="283" t="str">
        <f>IF(Start!$C$18="x",(IF(AND(F217="",G217= "",G217&lt;&gt;"NA"),"",IF(OR(AD217="NA",I217="NA",I217=0),"NA",(AD217/I217)))),"Not Req.")</f>
        <v/>
      </c>
      <c r="AW217" s="284" t="str">
        <f>IF(Start!$C$18="x",(IF(AND(F217="",G217= "",G217&lt;&gt;"NA"),"",IF(OR(AF217="NA",I217="NA",I217=0),"NA",(AF217/I217)))),"Not Req.")</f>
        <v/>
      </c>
      <c r="AX217" s="284" t="str">
        <f>IF(Start!$C$18="x",(IF(F217 ="","",IF(OR(AO217="NA",I217="NA",I217=0),"NA",(AO217/I217)))),"Not Req.")</f>
        <v/>
      </c>
      <c r="AY217" s="344" t="str">
        <f>IF(Start!$C$18="x",(IF(F217 ="","",IF(OR(AU217="NA",I217="NA",I217=0),"NA",(AU217/I217)))),"Not Req.")</f>
        <v/>
      </c>
      <c r="AZ217" s="208"/>
    </row>
    <row r="218" spans="1:52" s="10" customFormat="1" x14ac:dyDescent="0.25">
      <c r="A218" s="405" t="s">
        <v>686</v>
      </c>
      <c r="B218" s="347" t="str">
        <f>IF(Start!$C$18="x",IF(AND(OR(F218="",F218="NA"),OR(G218="",G218="NA")),"",IF(I218="NA","NA",IF(AND(I218="",K218="--"),"NA",IF(AD218="NA","Missing Data",IF(I218="","No Criteria",IF(AD218&gt;=I218,"Needed","No")))))),"---")</f>
        <v/>
      </c>
      <c r="C218" s="501" t="str">
        <f>IF(Start!$C$18="x",IF(AND(OR(F218="",F218="NA"),OR(G218="",G218="NA")),"",IF(I218="NA","NA",IF(AND(I218="",K218="--"),"NA",IF(AF218="NA","Missing Data",IF(I218="","No Criteria",IF(AF218&gt;=I218,"Needed","No")))))),"---")</f>
        <v/>
      </c>
      <c r="D218" s="347" t="str">
        <f>IF(Start!$C$18="x",IF(AND(OR(F218="",F218="NA"),OR(G218="",G218="NA")),"",IF(I218="NA","NA",IF(AND(I218="",K218="--"),"NA",IF(AO218="NA","Missing Data",IF(I218="","No Criteria",IF(AO218&gt;=I218,"Needed","No")))))),"---")</f>
        <v/>
      </c>
      <c r="E218" s="401" t="str">
        <f>IF(Start!$C$18="x",IF(AND(OR(F218="",F218="NA"),OR(G218="",G218="NA")),"",IF(I218="NA","NA",IF(AND(I218="",K218="--"),"NA",IF(AU218="NA","Missing Data",IF(I218="","No Criteria",IF(AU218&gt;=I218,"Needed","No")))))),"---")</f>
        <v/>
      </c>
      <c r="F218" s="431" t="str">
        <f>IF(TRUE=ISBLANK(ChemData!B218),"",(ChemData!B218))</f>
        <v/>
      </c>
      <c r="G218" s="432" t="str">
        <f>IF(TRUE=ISBLANK(ChemData!C218),"",(ChemData!C218))</f>
        <v/>
      </c>
      <c r="H218" s="433" t="str">
        <f>IF(TRUE=ISBLANK(ChemData!D218),"",(ChemData!D218))</f>
        <v/>
      </c>
      <c r="I218" s="919" t="str">
        <f>IF(TRUE=ISBLANK(ChemData!K218),"",(ChemData!K218))</f>
        <v>NA</v>
      </c>
      <c r="J218" s="290">
        <f>IF(TRUE=ISBLANK(ChemData!M218),"",(ChemData!M218))</f>
        <v>318</v>
      </c>
      <c r="K218" s="290">
        <f>IF(TRUE=ISBLANK(ChemData!N218),"",(ChemData!N218))</f>
        <v>6.7999999999999999E-5</v>
      </c>
      <c r="L218" s="290">
        <f>IF(TRUE=ISBLANK(ChemData!O218),"",(ChemData!O218))</f>
        <v>0.1503085747330378</v>
      </c>
      <c r="M218" s="290">
        <f>IF(TRUE=ISBLANK(ChemData!Q218),"",(ChemData!Q218))</f>
        <v>185100</v>
      </c>
      <c r="N218" s="290">
        <f>IF(TRUE=ISBLANK(ChemData!R218),"",(ChemData!R218))</f>
        <v>185100</v>
      </c>
      <c r="O218" s="290">
        <f>IF(TRUE=ISBLANK(ChemData!S218),"",(ChemData!S218))</f>
        <v>1</v>
      </c>
      <c r="P218" s="291">
        <f>IF(TRUE=ISBLANK(ChemData!T218),"",(ChemData!T218))</f>
        <v>1</v>
      </c>
      <c r="Q218" s="375">
        <f>IF(Start!$C$18="x",IF(OR(K218="NA",K218="",K218="--"),"NA",(K218*1000000/82.1/Data!$D$50)),"---")</f>
        <v>2.6718007150996034E-3</v>
      </c>
      <c r="R218" s="376">
        <f>IF(Start!$C$18="x",IF(OR(J218="NA",J218=0,J218=""),"NA",(0.32*(Data!$D$48+Data!$D$49)*(18/J218)^0.5)),"---")</f>
        <v>0.19604235198952524</v>
      </c>
      <c r="S218" s="376">
        <f>IF(Start!$C$18="x",IF(OR(J218="NA",J218= 0,J218=""),"NA",(0.0065*((Data!$D$49^0.969)/(Data!$D$51^0.673))*(32/J218)^0.5*EXP(0.526*Data!$D$48^-1.9))),"---")</f>
        <v>4.1320356881346075E-4</v>
      </c>
      <c r="T218" s="377">
        <f>IF(Start!$C$18="x",IF(OR(S218="NA",R218="NA",R218=0,Q218="NA",S218=0,Q218=0),"NA",(1/(1/S218+(1/(R218*Q218))))),"---")</f>
        <v>2.3098470808432655E-4</v>
      </c>
      <c r="U218" s="375" t="str">
        <f>IF(Start!$C$18="x",IF(OR(F218="NA",F218="",O218="",O218="NA"),"NA",(F218*$O218)),"---")</f>
        <v>NA</v>
      </c>
      <c r="V218" s="376" t="str">
        <f>IF(Start!$C$18="x",IF(OR(U218="NA",M218="NA",M218="",U218=""),"NA",U218/((Data!$D$18+((1-Data!$D$18)*Data!$D$14*M218))/((1-Data!$D$18)*Data!$D$14*1000))),"---")</f>
        <v>NA</v>
      </c>
      <c r="W218" s="376" t="str">
        <f>IF(Start!$C$18="x",IF(OR(G218="NA",U218="NA",G218="",U218=""),"NA",(U218 +($G218*(Data!$D$19-Data!$D$22)/(Data!$D$19*Data!$D$22)))),"---")</f>
        <v>NA</v>
      </c>
      <c r="X218" s="376" t="str">
        <f>IF(Start!$C$18="x",IF(OR(G218="NA",V218="NA",G218="",V218=""),"NA",(((Data!$D$22*Data!$D$18)*V218)+(Data!$D$19-Data!$D$22)*$G218)/((Data!$D$22*Data!$D$18)+Data!$D$19-Data!$D$22)),"---")</f>
        <v>NA</v>
      </c>
      <c r="Y218" s="376" t="str">
        <f>IF(Start!$C$18="x",IF(OR(W218="NA",W218="",M218="NA",M218=""),"NA",(W218/((Data!$D$23+((1-Data!$D$23)*Data!$D$14*M218)) /((1-Data!$D$23)*Data!$D$14*1000)))),"---")</f>
        <v>NA</v>
      </c>
      <c r="Z218" s="376" t="str">
        <f>IF(Start!$C$18="x",IF(OR(Y218="NA",X218="NA"),"NA",IF(Y218&gt;X218, Y218, X218)),"---")</f>
        <v>NA</v>
      </c>
      <c r="AA218" s="461" t="str">
        <f>IF(Start!$C$18="x",IF(OR(Z218="NA",T218="NA"),"NA",Z218*T218/(1000000000)),"---")</f>
        <v>NA</v>
      </c>
      <c r="AB218" s="1057" t="str">
        <f>IF(Start!$C$18="x",IF(AA218 = "NA", "NA", AA218*(Data!$D$52*Data!$D$53*10000)),"---")</f>
        <v>NA</v>
      </c>
      <c r="AC218" s="375" t="str">
        <f>IF(Start!$C$18="x",IF(AB218="NA", "NA", AB218*Data!$D$54),"---")</f>
        <v>NA</v>
      </c>
      <c r="AD218" s="498" t="str">
        <f>IF(Start!$C$18="x",IF(AC218="NA","NA",AC218*Data!$D$41),"---")</f>
        <v>NA</v>
      </c>
      <c r="AE218" s="376" t="str">
        <f>IF(Start!$C$18="x",IF(AB218 = "NA", "NA", AB218/(Data!$D$53*3*Data!$D$48)*1000),"---")</f>
        <v>NA</v>
      </c>
      <c r="AF218" s="498" t="str">
        <f>IF(Start!$C$18="x",IF(AE218="NA","NA",AE218*Data!$D$46),"---")</f>
        <v>NA</v>
      </c>
      <c r="AG218" s="375">
        <f>IF(Start!$C$18="x",IF(OR($L218="NA",L218=""),"NA",($L218*(Data!$D$55^3.33)/(Data!$D$18^2))),"---")</f>
        <v>1.5312676530797554E-3</v>
      </c>
      <c r="AH218" s="376" t="str">
        <f>IF(Start!$C$18="x",IF(OR(F218="NA",F218="",P218="NA",P218=""),"NA",IF(100/Data!$D$10&gt;Data!$D$13,(F218*$P218),(F218*$P218)*Data!$D$13)),"---")</f>
        <v>NA</v>
      </c>
      <c r="AI218" s="489">
        <f>IF(Start!$C$18="x",IF(OR($N218="NA",$Q218="NA",$Q218=0,Q218="",N218=""),"NA",(1000*$N218/$Q218)),"---")</f>
        <v>69279119117.647049</v>
      </c>
      <c r="AJ218" s="376">
        <f>IF(Start!$C$18="x",IF(OR(Q218 = "NA",Q218=0,N218 = "NA",N218="",Q218=""), "NA", IF($AG218="NA","NA",(3.1416*Data!$D$57*86400/($AG218*(Data!$D$55+(N218*Data!$D$19/(Q218*1000)))))^0.5)),"---")</f>
        <v>9.5064981780703519</v>
      </c>
      <c r="AK218" s="376" t="str">
        <f>IF(Start!$C$18="x",IF(OR(AH218 = "NA",AI218="NA",AI218=0,AI218="",AH218=""), "NA", AH218/AI218),"---")</f>
        <v>NA</v>
      </c>
      <c r="AL218" s="376" t="str">
        <f>IF(Start!$C$18="x",IF(OR(AK218 ="NA",AK218="",AJ218= "NA",R218="NA",R218=0),"NA",(2*AK218)/(1000*(1/$R218+AJ218))),"---")</f>
        <v>NA</v>
      </c>
      <c r="AM218" s="376" t="str">
        <f>IF(Start!$C$18="x",IF(AL218 = "NA", "NA", AL218*(Data!$D$52*Data!$D$53*10000)),"---")</f>
        <v>NA</v>
      </c>
      <c r="AN218" s="376" t="str">
        <f>IF(Start!$C$18="x",IF(AM218 = "NA", "NA", AM218*(Data!$D$54)),"---")</f>
        <v>NA</v>
      </c>
      <c r="AO218" s="498" t="str">
        <f>IF(Start!$C$18="x",IF(AN218="NA","NA",AN218*Data!$D$41),"---")</f>
        <v>NA</v>
      </c>
      <c r="AP218" s="376">
        <f>IF(Start!$C$18="x",IF(OR(Q218=0,N218="NA",N218="",AG218="NA",AG218="",AG218=0,Q218="",Q218="NA"),"NA", (3.1416*Data!$D$56*86400/($AG218*(Data!$D$55+(N218*Data!$D$19/(Q218*1000)))))^0.5),"---")</f>
        <v>9.5064981780703519</v>
      </c>
      <c r="AQ218" s="376" t="str">
        <f>IF(Start!$C$18="x",IF(OR(AH218="NA",AI218="NA",AI218="",AI218=0,AH218=""),"NA", AH218/AI218),"---")</f>
        <v>NA</v>
      </c>
      <c r="AR218" s="376" t="str">
        <f>IF(Start!$C$18="x",IF(OR(AQ218="NA",AP218="NA",$R218="NA",R218=0,R218=""),"NA",(2*AQ218)/(1000*(1/$R218+AP218))),"---")</f>
        <v>NA</v>
      </c>
      <c r="AS218" s="376" t="str">
        <f>IF(Start!$C$18="x",IF(AR218 = "NA", "NA", AR218*(Data!$D$52*Data!$D$53*10000)),"---")</f>
        <v>NA</v>
      </c>
      <c r="AT218" s="376" t="str">
        <f>IF(Start!$C$18="x",IF(AS218 = "NA", "NA", (AS218*1000)/(Data!$D$48*3*Data!$D$53)),"---")</f>
        <v>NA</v>
      </c>
      <c r="AU218" s="498" t="str">
        <f>IF(Start!$C$18="x",IF(AT218="NA","NA",AT218*Data!$D$47),"---")</f>
        <v>NA</v>
      </c>
      <c r="AV218" s="283" t="str">
        <f>IF(Start!$C$18="x",(IF(AND(F218="",G218= "",G218&lt;&gt;"NA"),"",IF(OR(AD218="NA",I218="NA",I218=0),"NA",(AD218/I218)))),"Not Req.")</f>
        <v/>
      </c>
      <c r="AW218" s="284" t="str">
        <f>IF(Start!$C$18="x",(IF(AND(F218="",G218= "",G218&lt;&gt;"NA"),"",IF(OR(AF218="NA",I218="NA",I218=0),"NA",(AF218/I218)))),"Not Req.")</f>
        <v/>
      </c>
      <c r="AX218" s="284" t="str">
        <f>IF(Start!$C$18="x",(IF(F218 ="","",IF(OR(AO218="NA",I218="NA",I218=0),"NA",(AO218/I218)))),"Not Req.")</f>
        <v/>
      </c>
      <c r="AY218" s="344" t="str">
        <f>IF(Start!$C$18="x",(IF(F218 ="","",IF(OR(AU218="NA",I218="NA",I218=0),"NA",(AU218/I218)))),"Not Req.")</f>
        <v/>
      </c>
      <c r="AZ218" s="208"/>
    </row>
    <row r="219" spans="1:52" s="10" customFormat="1" x14ac:dyDescent="0.25">
      <c r="A219" s="405" t="s">
        <v>687</v>
      </c>
      <c r="B219" s="347" t="str">
        <f>IF(Start!$C$18="x",IF(AND(OR(F219="",F219="NA"),OR(G219="",G219="NA")),"",IF(I219="NA","NA",IF(AND(I219="",K219="--"),"NA",IF(AD219="NA","Missing Data",IF(I219="","No Criteria",IF(AD219&gt;=I219,"Needed","No")))))),"---")</f>
        <v/>
      </c>
      <c r="C219" s="501" t="str">
        <f>IF(Start!$C$18="x",IF(AND(OR(F219="",F219="NA"),OR(G219="",G219="NA")),"",IF(I219="NA","NA",IF(AND(I219="",K219="--"),"NA",IF(AF219="NA","Missing Data",IF(I219="","No Criteria",IF(AF219&gt;=I219,"Needed","No")))))),"---")</f>
        <v/>
      </c>
      <c r="D219" s="347" t="str">
        <f>IF(Start!$C$18="x",IF(AND(OR(F219="",F219="NA"),OR(G219="",G219="NA")),"",IF(I219="NA","NA",IF(AND(I219="",K219="--"),"NA",IF(AO219="NA","Missing Data",IF(I219="","No Criteria",IF(AO219&gt;=I219,"Needed","No")))))),"---")</f>
        <v/>
      </c>
      <c r="E219" s="401" t="str">
        <f>IF(Start!$C$18="x",IF(AND(OR(F219="",F219="NA"),OR(G219="",G219="NA")),"",IF(I219="NA","NA",IF(AND(I219="",K219="--"),"NA",IF(AU219="NA","Missing Data",IF(I219="","No Criteria",IF(AU219&gt;=I219,"Needed","No")))))),"---")</f>
        <v/>
      </c>
      <c r="F219" s="431" t="str">
        <f>IF(TRUE=ISBLANK(ChemData!B219),"",(ChemData!B219))</f>
        <v/>
      </c>
      <c r="G219" s="432" t="str">
        <f>IF(TRUE=ISBLANK(ChemData!C219),"",(ChemData!C219))</f>
        <v/>
      </c>
      <c r="H219" s="433" t="str">
        <f>IF(TRUE=ISBLANK(ChemData!D219),"",(ChemData!D219))</f>
        <v/>
      </c>
      <c r="I219" s="919" t="str">
        <f>IF(TRUE=ISBLANK(ChemData!K219),"",(ChemData!K219))</f>
        <v>NA</v>
      </c>
      <c r="J219" s="290">
        <f>IF(TRUE=ISBLANK(ChemData!M219),"",(ChemData!M219))</f>
        <v>318</v>
      </c>
      <c r="K219" s="290">
        <f>IF(TRUE=ISBLANK(ChemData!N219),"",(ChemData!N219))</f>
        <v>1.2199999999999999E-3</v>
      </c>
      <c r="L219" s="290">
        <f>IF(TRUE=ISBLANK(ChemData!O219),"",(ChemData!O219))</f>
        <v>1.44E-2</v>
      </c>
      <c r="M219" s="290">
        <f>IF(TRUE=ISBLANK(ChemData!Q219),"",(ChemData!Q219))</f>
        <v>5098.0773298789536</v>
      </c>
      <c r="N219" s="290">
        <f>IF(TRUE=ISBLANK(ChemData!R219),"",(ChemData!R219))</f>
        <v>5098.0773298789536</v>
      </c>
      <c r="O219" s="290">
        <f>IF(TRUE=ISBLANK(ChemData!S219),"",(ChemData!S219))</f>
        <v>1</v>
      </c>
      <c r="P219" s="291">
        <f>IF(TRUE=ISBLANK(ChemData!T219),"",(ChemData!T219))</f>
        <v>1</v>
      </c>
      <c r="Q219" s="375">
        <f>IF(Start!$C$18="x",IF(OR(K219="NA",K219="",K219="--"),"NA",(K219*1000000/82.1/Data!$D$50)),"---")</f>
        <v>4.7935248123845829E-2</v>
      </c>
      <c r="R219" s="376">
        <f>IF(Start!$C$18="x",IF(OR(J219="NA",J219=0,J219=""),"NA",(0.32*(Data!$D$48+Data!$D$49)*(18/J219)^0.5)),"---")</f>
        <v>0.19604235198952524</v>
      </c>
      <c r="S219" s="376">
        <f>IF(Start!$C$18="x",IF(OR(J219="NA",J219= 0,J219=""),"NA",(0.0065*((Data!$D$49^0.969)/(Data!$D$51^0.673))*(32/J219)^0.5*EXP(0.526*Data!$D$48^-1.9))),"---")</f>
        <v>4.1320356881346075E-4</v>
      </c>
      <c r="T219" s="377">
        <f>IF(Start!$C$18="x",IF(OR(S219="NA",R219="NA",R219=0,Q219="NA",S219=0,Q219=0),"NA",(1/(1/S219+(1/(R219*Q219))))),"---")</f>
        <v>3.9580012840052082E-4</v>
      </c>
      <c r="U219" s="375" t="str">
        <f>IF(Start!$C$18="x",IF(OR(F219="NA",F219="",O219="",O219="NA"),"NA",(F219*$O219)),"---")</f>
        <v>NA</v>
      </c>
      <c r="V219" s="376" t="str">
        <f>IF(Start!$C$18="x",IF(OR(U219="NA",M219="NA",M219="",U219=""),"NA",U219/((Data!$D$18+((1-Data!$D$18)*Data!$D$14*M219))/((1-Data!$D$18)*Data!$D$14*1000))),"---")</f>
        <v>NA</v>
      </c>
      <c r="W219" s="376" t="str">
        <f>IF(Start!$C$18="x",IF(OR(G219="NA",U219="NA",G219="",U219=""),"NA",(U219 +($G219*(Data!$D$19-Data!$D$22)/(Data!$D$19*Data!$D$22)))),"---")</f>
        <v>NA</v>
      </c>
      <c r="X219" s="376" t="str">
        <f>IF(Start!$C$18="x",IF(OR(G219="NA",V219="NA",G219="",V219=""),"NA",(((Data!$D$22*Data!$D$18)*V219)+(Data!$D$19-Data!$D$22)*$G219)/((Data!$D$22*Data!$D$18)+Data!$D$19-Data!$D$22)),"---")</f>
        <v>NA</v>
      </c>
      <c r="Y219" s="376" t="str">
        <f>IF(Start!$C$18="x",IF(OR(W219="NA",W219="",M219="NA",M219=""),"NA",(W219/((Data!$D$23+((1-Data!$D$23)*Data!$D$14*M219)) /((1-Data!$D$23)*Data!$D$14*1000)))),"---")</f>
        <v>NA</v>
      </c>
      <c r="Z219" s="376" t="str">
        <f>IF(Start!$C$18="x",IF(OR(Y219="NA",X219="NA"),"NA",IF(Y219&gt;X219, Y219, X219)),"---")</f>
        <v>NA</v>
      </c>
      <c r="AA219" s="461" t="str">
        <f>IF(Start!$C$18="x",IF(OR(Z219="NA",T219="NA"),"NA",Z219*T219/(1000000000)),"---")</f>
        <v>NA</v>
      </c>
      <c r="AB219" s="1057" t="str">
        <f>IF(Start!$C$18="x",IF(AA219 = "NA", "NA", AA219*(Data!$D$52*Data!$D$53*10000)),"---")</f>
        <v>NA</v>
      </c>
      <c r="AC219" s="375" t="str">
        <f>IF(Start!$C$18="x",IF(AB219="NA", "NA", AB219*Data!$D$54),"---")</f>
        <v>NA</v>
      </c>
      <c r="AD219" s="498" t="str">
        <f>IF(Start!$C$18="x",IF(AC219="NA","NA",AC219*Data!$D$41),"---")</f>
        <v>NA</v>
      </c>
      <c r="AE219" s="376" t="str">
        <f>IF(Start!$C$18="x",IF(AB219 = "NA", "NA", AB219/(Data!$D$53*3*Data!$D$48)*1000),"---")</f>
        <v>NA</v>
      </c>
      <c r="AF219" s="498" t="str">
        <f>IF(Start!$C$18="x",IF(AE219="NA","NA",AE219*Data!$D$46),"---")</f>
        <v>NA</v>
      </c>
      <c r="AG219" s="375">
        <f>IF(Start!$C$18="x",IF(OR($L219="NA",L219=""),"NA",($L219*(Data!$D$55^3.33)/(Data!$D$18^2))),"---")</f>
        <v>1.4669990879437059E-4</v>
      </c>
      <c r="AH219" s="376" t="str">
        <f>IF(Start!$C$18="x",IF(OR(F219="NA",F219="",P219="NA",P219=""),"NA",IF(100/Data!$D$10&gt;Data!$D$13,(F219*$P219),(F219*$P219)*Data!$D$13)),"---")</f>
        <v>NA</v>
      </c>
      <c r="AI219" s="489">
        <f>IF(Start!$C$18="x",IF(OR($N219="NA",$Q219="NA",$Q219=0,Q219="",N219=""),"NA",(1000*$N219/$Q219)),"---")</f>
        <v>106353414.85471247</v>
      </c>
      <c r="AJ219" s="376">
        <f>IF(Start!$C$18="x",IF(OR(Q219 = "NA",Q219=0,N219 = "NA",N219="",Q219=""), "NA", IF($AG219="NA","NA",(3.1416*Data!$D$57*86400/($AG219*(Data!$D$55+(N219*Data!$D$19/(Q219*1000)))))^0.5)),"---")</f>
        <v>783.89190664769933</v>
      </c>
      <c r="AK219" s="376" t="str">
        <f>IF(Start!$C$18="x",IF(OR(AH219 = "NA",AI219="NA",AI219=0,AI219="",AH219=""), "NA", AH219/AI219),"---")</f>
        <v>NA</v>
      </c>
      <c r="AL219" s="376" t="str">
        <f>IF(Start!$C$18="x",IF(OR(AK219 ="NA",AK219="",AJ219= "NA",R219="NA",R219=0),"NA",(2*AK219)/(1000*(1/$R219+AJ219))),"---")</f>
        <v>NA</v>
      </c>
      <c r="AM219" s="376" t="str">
        <f>IF(Start!$C$18="x",IF(AL219 = "NA", "NA", AL219*(Data!$D$52*Data!$D$53*10000)),"---")</f>
        <v>NA</v>
      </c>
      <c r="AN219" s="376" t="str">
        <f>IF(Start!$C$18="x",IF(AM219 = "NA", "NA", AM219*(Data!$D$54)),"---")</f>
        <v>NA</v>
      </c>
      <c r="AO219" s="498" t="str">
        <f>IF(Start!$C$18="x",IF(AN219="NA","NA",AN219*Data!$D$41),"---")</f>
        <v>NA</v>
      </c>
      <c r="AP219" s="376">
        <f>IF(Start!$C$18="x",IF(OR(Q219=0,N219="NA",N219="",AG219="NA",AG219="",AG219=0,Q219="",Q219="NA"),"NA", (3.1416*Data!$D$56*86400/($AG219*(Data!$D$55+(N219*Data!$D$19/(Q219*1000)))))^0.5),"---")</f>
        <v>783.89190664769933</v>
      </c>
      <c r="AQ219" s="376" t="str">
        <f>IF(Start!$C$18="x",IF(OR(AH219="NA",AI219="NA",AI219="",AI219=0,AH219=""),"NA", AH219/AI219),"---")</f>
        <v>NA</v>
      </c>
      <c r="AR219" s="376" t="str">
        <f>IF(Start!$C$18="x",IF(OR(AQ219="NA",AP219="NA",$R219="NA",R219=0,R219=""),"NA",(2*AQ219)/(1000*(1/$R219+AP219))),"---")</f>
        <v>NA</v>
      </c>
      <c r="AS219" s="376" t="str">
        <f>IF(Start!$C$18="x",IF(AR219 = "NA", "NA", AR219*(Data!$D$52*Data!$D$53*10000)),"---")</f>
        <v>NA</v>
      </c>
      <c r="AT219" s="376" t="str">
        <f>IF(Start!$C$18="x",IF(AS219 = "NA", "NA", (AS219*1000)/(Data!$D$48*3*Data!$D$53)),"---")</f>
        <v>NA</v>
      </c>
      <c r="AU219" s="498" t="str">
        <f>IF(Start!$C$18="x",IF(AT219="NA","NA",AT219*Data!$D$47),"---")</f>
        <v>NA</v>
      </c>
      <c r="AV219" s="283" t="str">
        <f>IF(Start!$C$18="x",(IF(AND(F219="",G219= "",G219&lt;&gt;"NA"),"",IF(OR(AD219="NA",I219="NA",I219=0),"NA",(AD219/I219)))),"Not Req.")</f>
        <v/>
      </c>
      <c r="AW219" s="284" t="str">
        <f>IF(Start!$C$18="x",(IF(AND(F219="",G219= "",G219&lt;&gt;"NA"),"",IF(OR(AF219="NA",I219="NA",I219=0),"NA",(AF219/I219)))),"Not Req.")</f>
        <v/>
      </c>
      <c r="AX219" s="284" t="str">
        <f>IF(Start!$C$18="x",(IF(F219 ="","",IF(OR(AO219="NA",I219="NA",I219=0),"NA",(AO219/I219)))),"Not Req.")</f>
        <v/>
      </c>
      <c r="AY219" s="344" t="str">
        <f>IF(Start!$C$18="x",(IF(F219 ="","",IF(OR(AU219="NA",I219="NA",I219=0),"NA",(AU219/I219)))),"Not Req.")</f>
        <v/>
      </c>
      <c r="AZ219" s="208"/>
    </row>
    <row r="220" spans="1:52" s="10" customFormat="1" x14ac:dyDescent="0.25">
      <c r="A220" s="405" t="s">
        <v>538</v>
      </c>
      <c r="B220" s="347" t="str">
        <f>IF(Start!$C$18="x",IF(AND(OR(F220="",F220="NA"),OR(G220="",G220="NA")),"",IF(I220="NA","NA",IF(AND(I220="",K220="--"),"NA",IF(AD220="NA","Missing Data",IF(I220="","No Criteria",IF(AD220&gt;=I220,"Needed","No")))))),"---")</f>
        <v/>
      </c>
      <c r="C220" s="501" t="str">
        <f>IF(Start!$C$18="x",IF(AND(OR(F220="",F220="NA"),OR(G220="",G220="NA")),"",IF(I220="NA","NA",IF(AND(I220="",K220="--"),"NA",IF(AF220="NA","Missing Data",IF(I220="","No Criteria",IF(AF220&gt;=I220,"Needed","No")))))),"---")</f>
        <v/>
      </c>
      <c r="D220" s="347" t="str">
        <f>IF(Start!$C$18="x",IF(AND(OR(F220="",F220="NA"),OR(G220="",G220="NA")),"",IF(I220="NA","NA",IF(AND(I220="",K220="--"),"NA",IF(AO220="NA","Missing Data",IF(I220="","No Criteria",IF(AO220&gt;=I220,"Needed","No")))))),"---")</f>
        <v/>
      </c>
      <c r="E220" s="401" t="str">
        <f>IF(Start!$C$18="x",IF(AND(OR(F220="",F220="NA"),OR(G220="",G220="NA")),"",IF(I220="NA","NA",IF(AND(I220="",K220="--"),"NA",IF(AU220="NA","Missing Data",IF(I220="","No Criteria",IF(AU220&gt;=I220,"Needed","No")))))),"---")</f>
        <v/>
      </c>
      <c r="F220" s="431" t="str">
        <f>IF(TRUE=ISBLANK(ChemData!B220),"",(ChemData!B220))</f>
        <v/>
      </c>
      <c r="G220" s="432" t="str">
        <f>IF(TRUE=ISBLANK(ChemData!C220),"",(ChemData!C220))</f>
        <v/>
      </c>
      <c r="H220" s="433" t="str">
        <f>IF(TRUE=ISBLANK(ChemData!D220),"",(ChemData!D220))</f>
        <v/>
      </c>
      <c r="I220" s="919" t="str">
        <f>IF(TRUE=ISBLANK(ChemData!K220),"",(ChemData!K220))</f>
        <v>NA</v>
      </c>
      <c r="J220" s="290">
        <f>IF(TRUE=ISBLANK(ChemData!M220),"",(ChemData!M220))</f>
        <v>354.5</v>
      </c>
      <c r="K220" s="290" t="str">
        <f>IF(TRUE=ISBLANK(ChemData!N220),"",(ChemData!N220))</f>
        <v>NA</v>
      </c>
      <c r="L220" s="290" t="str">
        <f>IF(TRUE=ISBLANK(ChemData!O220),"",(ChemData!O220))</f>
        <v>NA</v>
      </c>
      <c r="M220" s="290">
        <f>IF(TRUE=ISBLANK(ChemData!Q220),"",(ChemData!Q220))</f>
        <v>114131.73484456044</v>
      </c>
      <c r="N220" s="290">
        <f>IF(TRUE=ISBLANK(ChemData!R220),"",(ChemData!R220))</f>
        <v>114131.73484456044</v>
      </c>
      <c r="O220" s="290">
        <f>IF(TRUE=ISBLANK(ChemData!S220),"",(ChemData!S220))</f>
        <v>1</v>
      </c>
      <c r="P220" s="291">
        <f>IF(TRUE=ISBLANK(ChemData!T220),"",(ChemData!T220))</f>
        <v>1</v>
      </c>
      <c r="Q220" s="375" t="str">
        <f>IF(Start!$C$18="x",IF(OR(K220="NA",K220="",K220="--"),"NA",(K220*1000000/82.1/Data!$D$50)),"---")</f>
        <v>NA</v>
      </c>
      <c r="R220" s="376">
        <f>IF(Start!$C$18="x",IF(OR(J220="NA",J220=0,J220=""),"NA",(0.32*(Data!$D$48+Data!$D$49)*(18/J220)^0.5)),"---")</f>
        <v>0.18567581740184164</v>
      </c>
      <c r="S220" s="376">
        <f>IF(Start!$C$18="x",IF(OR(J220="NA",J220= 0,J220=""),"NA",(0.0065*((Data!$D$49^0.969)/(Data!$D$51^0.673))*(32/J220)^0.5*EXP(0.526*Data!$D$48^-1.9))),"---")</f>
        <v>3.9135375399340638E-4</v>
      </c>
      <c r="T220" s="377" t="str">
        <f>IF(Start!$C$18="x",IF(OR(S220="NA",R220="NA",R220=0,Q220="NA",S220=0,Q220=0),"NA",(1/(1/S220+(1/(R220*Q220))))),"---")</f>
        <v>NA</v>
      </c>
      <c r="U220" s="375" t="str">
        <f>IF(Start!$C$18="x",IF(OR(F220="NA",F220="",O220="",O220="NA"),"NA",(F220*$O220)),"---")</f>
        <v>NA</v>
      </c>
      <c r="V220" s="376" t="str">
        <f>IF(Start!$C$18="x",IF(OR(U220="NA",M220="NA",M220="",U220=""),"NA",U220/((Data!$D$18+((1-Data!$D$18)*Data!$D$14*M220))/((1-Data!$D$18)*Data!$D$14*1000))),"---")</f>
        <v>NA</v>
      </c>
      <c r="W220" s="376" t="str">
        <f>IF(Start!$C$18="x",IF(OR(G220="NA",U220="NA",G220="",U220=""),"NA",(U220 +($G220*(Data!$D$19-Data!$D$22)/(Data!$D$19*Data!$D$22)))),"---")</f>
        <v>NA</v>
      </c>
      <c r="X220" s="376" t="str">
        <f>IF(Start!$C$18="x",IF(OR(G220="NA",V220="NA",G220="",V220=""),"NA",(((Data!$D$22*Data!$D$18)*V220)+(Data!$D$19-Data!$D$22)*$G220)/((Data!$D$22*Data!$D$18)+Data!$D$19-Data!$D$22)),"---")</f>
        <v>NA</v>
      </c>
      <c r="Y220" s="376" t="str">
        <f>IF(Start!$C$18="x",IF(OR(W220="NA",W220="",M220="NA",M220=""),"NA",(W220/((Data!$D$23+((1-Data!$D$23)*Data!$D$14*M220)) /((1-Data!$D$23)*Data!$D$14*1000)))),"---")</f>
        <v>NA</v>
      </c>
      <c r="Z220" s="376" t="str">
        <f>IF(Start!$C$18="x",IF(OR(Y220="NA",X220="NA"),"NA",IF(Y220&gt;X220, Y220, X220)),"---")</f>
        <v>NA</v>
      </c>
      <c r="AA220" s="461" t="str">
        <f>IF(Start!$C$18="x",IF(OR(Z220="NA",T220="NA"),"NA",Z220*T220/(1000000000)),"---")</f>
        <v>NA</v>
      </c>
      <c r="AB220" s="1057" t="str">
        <f>IF(Start!$C$18="x",IF(AA220 = "NA", "NA", AA220*(Data!$D$52*Data!$D$53*10000)),"---")</f>
        <v>NA</v>
      </c>
      <c r="AC220" s="375" t="str">
        <f>IF(Start!$C$18="x",IF(AB220="NA", "NA", AB220*Data!$D$54),"---")</f>
        <v>NA</v>
      </c>
      <c r="AD220" s="498" t="str">
        <f>IF(Start!$C$18="x",IF(AC220="NA","NA",AC220*Data!$D$41),"---")</f>
        <v>NA</v>
      </c>
      <c r="AE220" s="376" t="str">
        <f>IF(Start!$C$18="x",IF(AB220 = "NA", "NA", AB220/(Data!$D$53*3*Data!$D$48)*1000),"---")</f>
        <v>NA</v>
      </c>
      <c r="AF220" s="498" t="str">
        <f>IF(Start!$C$18="x",IF(AE220="NA","NA",AE220*Data!$D$46),"---")</f>
        <v>NA</v>
      </c>
      <c r="AG220" s="375" t="str">
        <f>IF(Start!$C$18="x",IF(OR($L220="NA",L220=""),"NA",($L220*(Data!$D$55^3.33)/(Data!$D$18^2))),"---")</f>
        <v>NA</v>
      </c>
      <c r="AH220" s="376" t="str">
        <f>IF(Start!$C$18="x",IF(OR(F220="NA",F220="",P220="NA",P220=""),"NA",IF(100/Data!$D$10&gt;Data!$D$13,(F220*$P220),(F220*$P220)*Data!$D$13)),"---")</f>
        <v>NA</v>
      </c>
      <c r="AI220" s="489" t="str">
        <f>IF(Start!$C$18="x",IF(OR($N220="NA",$Q220="NA",$Q220=0,Q220="",N220=""),"NA",(1000*$N220/$Q220)),"---")</f>
        <v>NA</v>
      </c>
      <c r="AJ220" s="376" t="str">
        <f>IF(Start!$C$18="x",IF(OR(Q220 = "NA",Q220=0,N220 = "NA",N220="",Q220=""), "NA", IF($AG220="NA","NA",(3.1416*Data!$D$57*86400/($AG220*(Data!$D$55+(N220*Data!$D$19/(Q220*1000)))))^0.5)),"---")</f>
        <v>NA</v>
      </c>
      <c r="AK220" s="376" t="str">
        <f>IF(Start!$C$18="x",IF(OR(AH220 = "NA",AI220="NA",AI220=0,AI220="",AH220=""), "NA", AH220/AI220),"---")</f>
        <v>NA</v>
      </c>
      <c r="AL220" s="376" t="str">
        <f>IF(Start!$C$18="x",IF(OR(AK220 ="NA",AK220="",AJ220= "NA",R220="NA",R220=0),"NA",(2*AK220)/(1000*(1/$R220+AJ220))),"---")</f>
        <v>NA</v>
      </c>
      <c r="AM220" s="376" t="str">
        <f>IF(Start!$C$18="x",IF(AL220 = "NA", "NA", AL220*(Data!$D$52*Data!$D$53*10000)),"---")</f>
        <v>NA</v>
      </c>
      <c r="AN220" s="376" t="str">
        <f>IF(Start!$C$18="x",IF(AM220 = "NA", "NA", AM220*(Data!$D$54)),"---")</f>
        <v>NA</v>
      </c>
      <c r="AO220" s="498" t="str">
        <f>IF(Start!$C$18="x",IF(AN220="NA","NA",AN220*Data!$D$41),"---")</f>
        <v>NA</v>
      </c>
      <c r="AP220" s="376" t="str">
        <f>IF(Start!$C$18="x",IF(OR(Q220=0,N220="NA",N220="",AG220="NA",AG220="",AG220=0,Q220="",Q220="NA"),"NA", (3.1416*Data!$D$56*86400/($AG220*(Data!$D$55+(N220*Data!$D$19/(Q220*1000)))))^0.5),"---")</f>
        <v>NA</v>
      </c>
      <c r="AQ220" s="376" t="str">
        <f>IF(Start!$C$18="x",IF(OR(AH220="NA",AI220="NA",AI220="",AI220=0,AH220=""),"NA", AH220/AI220),"---")</f>
        <v>NA</v>
      </c>
      <c r="AR220" s="376" t="str">
        <f>IF(Start!$C$18="x",IF(OR(AQ220="NA",AP220="NA",$R220="NA",R220=0,R220=""),"NA",(2*AQ220)/(1000*(1/$R220+AP220))),"---")</f>
        <v>NA</v>
      </c>
      <c r="AS220" s="376" t="str">
        <f>IF(Start!$C$18="x",IF(AR220 = "NA", "NA", AR220*(Data!$D$52*Data!$D$53*10000)),"---")</f>
        <v>NA</v>
      </c>
      <c r="AT220" s="376" t="str">
        <f>IF(Start!$C$18="x",IF(AS220 = "NA", "NA", (AS220*1000)/(Data!$D$48*3*Data!$D$53)),"---")</f>
        <v>NA</v>
      </c>
      <c r="AU220" s="498" t="str">
        <f>IF(Start!$C$18="x",IF(AT220="NA","NA",AT220*Data!$D$47),"---")</f>
        <v>NA</v>
      </c>
      <c r="AV220" s="283" t="str">
        <f>IF(Start!$C$18="x",(IF(AND(F220="",G220= "",G220&lt;&gt;"NA"),"",IF(OR(AD220="NA",I220="NA",I220=0),"NA",(AD220/I220)))),"Not Req.")</f>
        <v/>
      </c>
      <c r="AW220" s="284" t="str">
        <f>IF(Start!$C$18="x",(IF(AND(F220="",G220= "",G220&lt;&gt;"NA"),"",IF(OR(AF220="NA",I220="NA",I220=0),"NA",(AF220/I220)))),"Not Req.")</f>
        <v/>
      </c>
      <c r="AX220" s="284" t="str">
        <f>IF(Start!$C$18="x",(IF(F220 ="","",IF(OR(AO220="NA",I220="NA",I220=0),"NA",(AO220/I220)))),"Not Req.")</f>
        <v/>
      </c>
      <c r="AY220" s="344" t="str">
        <f>IF(Start!$C$18="x",(IF(F220 ="","",IF(OR(AU220="NA",I220="NA",I220=0),"NA",(AU220/I220)))),"Not Req.")</f>
        <v/>
      </c>
      <c r="AZ220" s="208"/>
    </row>
    <row r="221" spans="1:52" s="10" customFormat="1" x14ac:dyDescent="0.25">
      <c r="A221" s="405" t="s">
        <v>688</v>
      </c>
      <c r="B221" s="347" t="str">
        <f>IF(Start!$C$18="x",IF(AND(OR(F221="",F221="NA"),OR(G221="",G221="NA")),"",IF(I221="NA","NA",IF(AND(I221="",K221="--"),"NA",IF(AD221="NA","Missing Data",IF(I221="","No Criteria",IF(AD221&gt;=I221,"Needed","No")))))),"---")</f>
        <v/>
      </c>
      <c r="C221" s="501" t="str">
        <f>IF(Start!$C$18="x",IF(AND(OR(F221="",F221="NA"),OR(G221="",G221="NA")),"",IF(I221="NA","NA",IF(AND(I221="",K221="--"),"NA",IF(AF221="NA","Missing Data",IF(I221="","No Criteria",IF(AF221&gt;=I221,"Needed","No")))))),"---")</f>
        <v/>
      </c>
      <c r="D221" s="347" t="str">
        <f>IF(Start!$C$18="x",IF(AND(OR(F221="",F221="NA"),OR(G221="",G221="NA")),"",IF(I221="NA","NA",IF(AND(I221="",K221="--"),"NA",IF(AO221="NA","Missing Data",IF(I221="","No Criteria",IF(AO221&gt;=I221,"Needed","No")))))),"---")</f>
        <v/>
      </c>
      <c r="E221" s="401" t="str">
        <f>IF(Start!$C$18="x",IF(AND(OR(F221="",F221="NA"),OR(G221="",G221="NA")),"",IF(I221="NA","NA",IF(AND(I221="",K221="--"),"NA",IF(AU221="NA","Missing Data",IF(I221="","No Criteria",IF(AU221&gt;=I221,"Needed","No")))))),"---")</f>
        <v/>
      </c>
      <c r="F221" s="431" t="str">
        <f>IF(TRUE=ISBLANK(ChemData!B221),"",(ChemData!B221))</f>
        <v/>
      </c>
      <c r="G221" s="432" t="str">
        <f>IF(TRUE=ISBLANK(ChemData!C221),"",(ChemData!C221))</f>
        <v/>
      </c>
      <c r="H221" s="433" t="str">
        <f>IF(TRUE=ISBLANK(ChemData!D221),"",(ChemData!D221))</f>
        <v/>
      </c>
      <c r="I221" s="919">
        <f>IF(TRUE=ISBLANK(ChemData!K221),"",(ChemData!K221))</f>
        <v>5.0000000000000001E-4</v>
      </c>
      <c r="J221" s="290">
        <f>IF(TRUE=ISBLANK(ChemData!M221),"",(ChemData!M221))</f>
        <v>354.5</v>
      </c>
      <c r="K221" s="290">
        <f>IF(TRUE=ISBLANK(ChemData!N221),"",(ChemData!N221))</f>
        <v>5.13E-4</v>
      </c>
      <c r="L221" s="290">
        <f>IF(TRUE=ISBLANK(ChemData!O221),"",(ChemData!O221))</f>
        <v>1.37E-2</v>
      </c>
      <c r="M221" s="290">
        <f>IF(TRUE=ISBLANK(ChemData!Q221),"",(ChemData!Q221))</f>
        <v>28690.5</v>
      </c>
      <c r="N221" s="290">
        <f>IF(TRUE=ISBLANK(ChemData!R221),"",(ChemData!R221))</f>
        <v>28690.5</v>
      </c>
      <c r="O221" s="290">
        <f>IF(TRUE=ISBLANK(ChemData!S221),"",(ChemData!S221))</f>
        <v>1</v>
      </c>
      <c r="P221" s="291">
        <f>IF(TRUE=ISBLANK(ChemData!T221),"",(ChemData!T221))</f>
        <v>1</v>
      </c>
      <c r="Q221" s="375">
        <f>IF(Start!$C$18="x",IF(OR(K221="NA",K221="",K221="--"),"NA",(K221*1000000/82.1/Data!$D$50)),"---")</f>
        <v>2.0156378924207304E-2</v>
      </c>
      <c r="R221" s="376">
        <f>IF(Start!$C$18="x",IF(OR(J221="NA",J221=0,J221=""),"NA",(0.32*(Data!$D$48+Data!$D$49)*(18/J221)^0.5)),"---")</f>
        <v>0.18567581740184164</v>
      </c>
      <c r="S221" s="376">
        <f>IF(Start!$C$18="x",IF(OR(J221="NA",J221= 0,J221=""),"NA",(0.0065*((Data!$D$49^0.969)/(Data!$D$51^0.673))*(32/J221)^0.5*EXP(0.526*Data!$D$48^-1.9))),"---")</f>
        <v>3.9135375399340638E-4</v>
      </c>
      <c r="T221" s="377">
        <f>IF(Start!$C$18="x",IF(OR(S221="NA",R221="NA",R221=0,Q221="NA",S221=0,Q221=0),"NA",(1/(1/S221+(1/(R221*Q221))))),"---")</f>
        <v>3.5430458911983327E-4</v>
      </c>
      <c r="U221" s="375" t="str">
        <f>IF(Start!$C$18="x",IF(OR(F221="NA",F221="",O221="",O221="NA"),"NA",(F221*$O221)),"---")</f>
        <v>NA</v>
      </c>
      <c r="V221" s="376" t="str">
        <f>IF(Start!$C$18="x",IF(OR(U221="NA",M221="NA",M221="",U221=""),"NA",U221/((Data!$D$18+((1-Data!$D$18)*Data!$D$14*M221))/((1-Data!$D$18)*Data!$D$14*1000))),"---")</f>
        <v>NA</v>
      </c>
      <c r="W221" s="376" t="str">
        <f>IF(Start!$C$18="x",IF(OR(G221="NA",U221="NA",G221="",U221=""),"NA",(U221 +($G221*(Data!$D$19-Data!$D$22)/(Data!$D$19*Data!$D$22)))),"---")</f>
        <v>NA</v>
      </c>
      <c r="X221" s="376" t="str">
        <f>IF(Start!$C$18="x",IF(OR(G221="NA",V221="NA",G221="",V221=""),"NA",(((Data!$D$22*Data!$D$18)*V221)+(Data!$D$19-Data!$D$22)*$G221)/((Data!$D$22*Data!$D$18)+Data!$D$19-Data!$D$22)),"---")</f>
        <v>NA</v>
      </c>
      <c r="Y221" s="376" t="str">
        <f>IF(Start!$C$18="x",IF(OR(W221="NA",W221="",M221="NA",M221=""),"NA",(W221/((Data!$D$23+((1-Data!$D$23)*Data!$D$14*M221)) /((1-Data!$D$23)*Data!$D$14*1000)))),"---")</f>
        <v>NA</v>
      </c>
      <c r="Z221" s="376" t="str">
        <f>IF(Start!$C$18="x",IF(OR(Y221="NA",X221="NA"),"NA",IF(Y221&gt;X221, Y221, X221)),"---")</f>
        <v>NA</v>
      </c>
      <c r="AA221" s="461" t="str">
        <f>IF(Start!$C$18="x",IF(OR(Z221="NA",T221="NA"),"NA",Z221*T221/(1000000000)),"---")</f>
        <v>NA</v>
      </c>
      <c r="AB221" s="1057" t="str">
        <f>IF(Start!$C$18="x",IF(AA221 = "NA", "NA", AA221*(Data!$D$52*Data!$D$53*10000)),"---")</f>
        <v>NA</v>
      </c>
      <c r="AC221" s="375" t="str">
        <f>IF(Start!$C$18="x",IF(AB221="NA", "NA", AB221*Data!$D$54),"---")</f>
        <v>NA</v>
      </c>
      <c r="AD221" s="498" t="str">
        <f>IF(Start!$C$18="x",IF(AC221="NA","NA",AC221*Data!$D$41),"---")</f>
        <v>NA</v>
      </c>
      <c r="AE221" s="376" t="str">
        <f>IF(Start!$C$18="x",IF(AB221 = "NA", "NA", AB221/(Data!$D$53*3*Data!$D$48)*1000),"---")</f>
        <v>NA</v>
      </c>
      <c r="AF221" s="498" t="str">
        <f>IF(Start!$C$18="x",IF(AE221="NA","NA",AE221*Data!$D$46),"---")</f>
        <v>NA</v>
      </c>
      <c r="AG221" s="375">
        <f>IF(Start!$C$18="x",IF(OR($L221="NA",L221=""),"NA",($L221*(Data!$D$55^3.33)/(Data!$D$18^2))),"---")</f>
        <v>1.3956866322797757E-4</v>
      </c>
      <c r="AH221" s="376" t="str">
        <f>IF(Start!$C$18="x",IF(OR(F221="NA",F221="",P221="NA",P221=""),"NA",IF(100/Data!$D$10&gt;Data!$D$13,(F221*$P221),(F221*$P221)*Data!$D$13)),"---")</f>
        <v>NA</v>
      </c>
      <c r="AI221" s="489">
        <f>IF(Start!$C$18="x",IF(OR($N221="NA",$Q221="NA",$Q221=0,Q221="",N221=""),"NA",(1000*$N221/$Q221)),"---")</f>
        <v>1423395546.7836256</v>
      </c>
      <c r="AJ221" s="376">
        <f>IF(Start!$C$18="x",IF(OR(Q221 = "NA",Q221=0,N221 = "NA",N221="",Q221=""), "NA", IF($AG221="NA","NA",(3.1416*Data!$D$57*86400/($AG221*(Data!$D$55+(N221*Data!$D$19/(Q221*1000)))))^0.5)),"---")</f>
        <v>219.67999298161152</v>
      </c>
      <c r="AK221" s="376" t="str">
        <f>IF(Start!$C$18="x",IF(OR(AH221 = "NA",AI221="NA",AI221=0,AI221="",AH221=""), "NA", AH221/AI221),"---")</f>
        <v>NA</v>
      </c>
      <c r="AL221" s="376" t="str">
        <f>IF(Start!$C$18="x",IF(OR(AK221 ="NA",AK221="",AJ221= "NA",R221="NA",R221=0),"NA",(2*AK221)/(1000*(1/$R221+AJ221))),"---")</f>
        <v>NA</v>
      </c>
      <c r="AM221" s="376" t="str">
        <f>IF(Start!$C$18="x",IF(AL221 = "NA", "NA", AL221*(Data!$D$52*Data!$D$53*10000)),"---")</f>
        <v>NA</v>
      </c>
      <c r="AN221" s="376" t="str">
        <f>IF(Start!$C$18="x",IF(AM221 = "NA", "NA", AM221*(Data!$D$54)),"---")</f>
        <v>NA</v>
      </c>
      <c r="AO221" s="498" t="str">
        <f>IF(Start!$C$18="x",IF(AN221="NA","NA",AN221*Data!$D$41),"---")</f>
        <v>NA</v>
      </c>
      <c r="AP221" s="376">
        <f>IF(Start!$C$18="x",IF(OR(Q221=0,N221="NA",N221="",AG221="NA",AG221="",AG221=0,Q221="",Q221="NA"),"NA", (3.1416*Data!$D$56*86400/($AG221*(Data!$D$55+(N221*Data!$D$19/(Q221*1000)))))^0.5),"---")</f>
        <v>219.67999298161152</v>
      </c>
      <c r="AQ221" s="376" t="str">
        <f>IF(Start!$C$18="x",IF(OR(AH221="NA",AI221="NA",AI221="",AI221=0,AH221=""),"NA", AH221/AI221),"---")</f>
        <v>NA</v>
      </c>
      <c r="AR221" s="376" t="str">
        <f>IF(Start!$C$18="x",IF(OR(AQ221="NA",AP221="NA",$R221="NA",R221=0,R221=""),"NA",(2*AQ221)/(1000*(1/$R221+AP221))),"---")</f>
        <v>NA</v>
      </c>
      <c r="AS221" s="376" t="str">
        <f>IF(Start!$C$18="x",IF(AR221 = "NA", "NA", AR221*(Data!$D$52*Data!$D$53*10000)),"---")</f>
        <v>NA</v>
      </c>
      <c r="AT221" s="376" t="str">
        <f>IF(Start!$C$18="x",IF(AS221 = "NA", "NA", (AS221*1000)/(Data!$D$48*3*Data!$D$53)),"---")</f>
        <v>NA</v>
      </c>
      <c r="AU221" s="498" t="str">
        <f>IF(Start!$C$18="x",IF(AT221="NA","NA",AT221*Data!$D$47),"---")</f>
        <v>NA</v>
      </c>
      <c r="AV221" s="283" t="str">
        <f>IF(Start!$C$18="x",(IF(AND(F221="",G221= "",G221&lt;&gt;"NA"),"",IF(OR(AD221="NA",I221="NA",I221=0),"NA",(AD221/I221)))),"Not Req.")</f>
        <v/>
      </c>
      <c r="AW221" s="284" t="str">
        <f>IF(Start!$C$18="x",(IF(AND(F221="",G221= "",G221&lt;&gt;"NA"),"",IF(OR(AF221="NA",I221="NA",I221=0),"NA",(AF221/I221)))),"Not Req.")</f>
        <v/>
      </c>
      <c r="AX221" s="284" t="str">
        <f>IF(Start!$C$18="x",(IF(F221 ="","",IF(OR(AO221="NA",I221="NA",I221=0),"NA",(AO221/I221)))),"Not Req.")</f>
        <v/>
      </c>
      <c r="AY221" s="344" t="str">
        <f>IF(Start!$C$18="x",(IF(F221 ="","",IF(OR(AU221="NA",I221="NA",I221=0),"NA",(AU221/I221)))),"Not Req.")</f>
        <v/>
      </c>
      <c r="AZ221" s="208"/>
    </row>
    <row r="222" spans="1:52" s="10" customFormat="1" x14ac:dyDescent="0.25">
      <c r="A222" s="405" t="s">
        <v>689</v>
      </c>
      <c r="B222" s="347" t="str">
        <f>IF(Start!$C$18="x",IF(AND(OR(F222="",F222="NA"),OR(G222="",G222="NA")),"",IF(I222="NA","NA",IF(AND(I222="",K222="--"),"NA",IF(AD222="NA","Missing Data",IF(I222="","No Criteria",IF(AD222&gt;=I222,"Needed","No")))))),"---")</f>
        <v/>
      </c>
      <c r="C222" s="501" t="str">
        <f>IF(Start!$C$18="x",IF(AND(OR(F222="",F222="NA"),OR(G222="",G222="NA")),"",IF(I222="NA","NA",IF(AND(I222="",K222="--"),"NA",IF(AF222="NA","Missing Data",IF(I222="","No Criteria",IF(AF222&gt;=I222,"Needed","No")))))),"---")</f>
        <v/>
      </c>
      <c r="D222" s="347" t="str">
        <f>IF(Start!$C$18="x",IF(AND(OR(F222="",F222="NA"),OR(G222="",G222="NA")),"",IF(I222="NA","NA",IF(AND(I222="",K222="--"),"NA",IF(AO222="NA","Missing Data",IF(I222="","No Criteria",IF(AO222&gt;=I222,"Needed","No")))))),"---")</f>
        <v/>
      </c>
      <c r="E222" s="401" t="str">
        <f>IF(Start!$C$18="x",IF(AND(OR(F222="",F222="NA"),OR(G222="",G222="NA")),"",IF(I222="NA","NA",IF(AND(I222="",K222="--"),"NA",IF(AU222="NA","Missing Data",IF(I222="","No Criteria",IF(AU222&gt;=I222,"Needed","No")))))),"---")</f>
        <v/>
      </c>
      <c r="F222" s="431" t="str">
        <f>IF(TRUE=ISBLANK(ChemData!B222),"",(ChemData!B222))</f>
        <v/>
      </c>
      <c r="G222" s="432" t="str">
        <f>IF(TRUE=ISBLANK(ChemData!C222),"",(ChemData!C222))</f>
        <v/>
      </c>
      <c r="H222" s="433" t="str">
        <f>IF(TRUE=ISBLANK(ChemData!D222),"",(ChemData!D222))</f>
        <v/>
      </c>
      <c r="I222" s="919" t="str">
        <f>IF(TRUE=ISBLANK(ChemData!K222),"",(ChemData!K222))</f>
        <v>NA</v>
      </c>
      <c r="J222" s="290">
        <f>IF(TRUE=ISBLANK(ChemData!M222),"",(ChemData!M222))</f>
        <v>332</v>
      </c>
      <c r="K222" s="290">
        <f>IF(TRUE=ISBLANK(ChemData!N222),"",(ChemData!N222))</f>
        <v>2.1799999999999999E-6</v>
      </c>
      <c r="L222" s="290">
        <f>IF(TRUE=ISBLANK(ChemData!O222),"",(ChemData!O222))</f>
        <v>0.15004373505063695</v>
      </c>
      <c r="M222" s="290">
        <f>IF(TRUE=ISBLANK(ChemData!Q222),"",(ChemData!Q222))</f>
        <v>464.9501784724244</v>
      </c>
      <c r="N222" s="290">
        <f>IF(TRUE=ISBLANK(ChemData!R222),"",(ChemData!R222))</f>
        <v>464.9501784724244</v>
      </c>
      <c r="O222" s="290">
        <f>IF(TRUE=ISBLANK(ChemData!S222),"",(ChemData!S222))</f>
        <v>1</v>
      </c>
      <c r="P222" s="291">
        <f>IF(TRUE=ISBLANK(ChemData!T222),"",(ChemData!T222))</f>
        <v>1</v>
      </c>
      <c r="Q222" s="375">
        <f>IF(Start!$C$18="x",IF(OR(K222="NA",K222="",K222="--"),"NA",(K222*1000000/82.1/Data!$D$50)),"---")</f>
        <v>8.5654787631134335E-5</v>
      </c>
      <c r="R222" s="376">
        <f>IF(Start!$C$18="x",IF(OR(J222="NA",J222=0,J222=""),"NA",(0.32*(Data!$D$48+Data!$D$49)*(18/J222)^0.5)),"---")</f>
        <v>0.19186440995460552</v>
      </c>
      <c r="S222" s="376">
        <f>IF(Start!$C$18="x",IF(OR(J222="NA",J222= 0,J222=""),"NA",(0.0065*((Data!$D$49^0.969)/(Data!$D$51^0.673))*(32/J222)^0.5*EXP(0.526*Data!$D$48^-1.9))),"---")</f>
        <v>4.043976116230632E-4</v>
      </c>
      <c r="T222" s="377">
        <f>IF(Start!$C$18="x",IF(OR(S222="NA",R222="NA",R222=0,Q222="NA",S222=0,Q222=0),"NA",(1/(1/S222+(1/(R222*Q222))))),"---")</f>
        <v>1.5792329001856802E-5</v>
      </c>
      <c r="U222" s="375" t="str">
        <f>IF(Start!$C$18="x",IF(OR(F222="NA",F222="",O222="",O222="NA"),"NA",(F222*$O222)),"---")</f>
        <v>NA</v>
      </c>
      <c r="V222" s="376" t="str">
        <f>IF(Start!$C$18="x",IF(OR(U222="NA",M222="NA",M222="",U222=""),"NA",U222/((Data!$D$18+((1-Data!$D$18)*Data!$D$14*M222))/((1-Data!$D$18)*Data!$D$14*1000))),"---")</f>
        <v>NA</v>
      </c>
      <c r="W222" s="376" t="str">
        <f>IF(Start!$C$18="x",IF(OR(G222="NA",U222="NA",G222="",U222=""),"NA",(U222 +($G222*(Data!$D$19-Data!$D$22)/(Data!$D$19*Data!$D$22)))),"---")</f>
        <v>NA</v>
      </c>
      <c r="X222" s="376" t="str">
        <f>IF(Start!$C$18="x",IF(OR(G222="NA",V222="NA",G222="",V222=""),"NA",(((Data!$D$22*Data!$D$18)*V222)+(Data!$D$19-Data!$D$22)*$G222)/((Data!$D$22*Data!$D$18)+Data!$D$19-Data!$D$22)),"---")</f>
        <v>NA</v>
      </c>
      <c r="Y222" s="376" t="str">
        <f>IF(Start!$C$18="x",IF(OR(W222="NA",W222="",M222="NA",M222=""),"NA",(W222/((Data!$D$23+((1-Data!$D$23)*Data!$D$14*M222)) /((1-Data!$D$23)*Data!$D$14*1000)))),"---")</f>
        <v>NA</v>
      </c>
      <c r="Z222" s="376" t="str">
        <f>IF(Start!$C$18="x",IF(OR(Y222="NA",X222="NA"),"NA",IF(Y222&gt;X222, Y222, X222)),"---")</f>
        <v>NA</v>
      </c>
      <c r="AA222" s="461" t="str">
        <f>IF(Start!$C$18="x",IF(OR(Z222="NA",T222="NA"),"NA",Z222*T222/(1000000000)),"---")</f>
        <v>NA</v>
      </c>
      <c r="AB222" s="1057" t="str">
        <f>IF(Start!$C$18="x",IF(AA222 = "NA", "NA", AA222*(Data!$D$52*Data!$D$53*10000)),"---")</f>
        <v>NA</v>
      </c>
      <c r="AC222" s="375" t="str">
        <f>IF(Start!$C$18="x",IF(AB222="NA", "NA", AB222*Data!$D$54),"---")</f>
        <v>NA</v>
      </c>
      <c r="AD222" s="498" t="str">
        <f>IF(Start!$C$18="x",IF(AC222="NA","NA",AC222*Data!$D$41),"---")</f>
        <v>NA</v>
      </c>
      <c r="AE222" s="376" t="str">
        <f>IF(Start!$C$18="x",IF(AB222 = "NA", "NA", AB222/(Data!$D$53*3*Data!$D$48)*1000),"---")</f>
        <v>NA</v>
      </c>
      <c r="AF222" s="498" t="str">
        <f>IF(Start!$C$18="x",IF(AE222="NA","NA",AE222*Data!$D$46),"---")</f>
        <v>NA</v>
      </c>
      <c r="AG222" s="375">
        <f>IF(Start!$C$18="x",IF(OR($L222="NA",L222=""),"NA",($L222*(Data!$D$55^3.33)/(Data!$D$18^2))),"---")</f>
        <v>1.5285696004927185E-3</v>
      </c>
      <c r="AH222" s="376" t="str">
        <f>IF(Start!$C$18="x",IF(OR(F222="NA",F222="",P222="NA",P222=""),"NA",IF(100/Data!$D$10&gt;Data!$D$13,(F222*$P222),(F222*$P222)*Data!$D$13)),"---")</f>
        <v>NA</v>
      </c>
      <c r="AI222" s="489">
        <f>IF(Start!$C$18="x",IF(OR($N222="NA",$Q222="NA",$Q222=0,Q222="",N222=""),"NA",(1000*$N222/$Q222)),"---")</f>
        <v>5428186693.7163639</v>
      </c>
      <c r="AJ222" s="376">
        <f>IF(Start!$C$18="x",IF(OR(Q222 = "NA",Q222=0,N222 = "NA",N222="",Q222=""), "NA", IF($AG222="NA","NA",(3.1416*Data!$D$57*86400/($AG222*(Data!$D$55+(N222*Data!$D$19/(Q222*1000)))))^0.5)),"---")</f>
        <v>33.992045245944503</v>
      </c>
      <c r="AK222" s="376" t="str">
        <f>IF(Start!$C$18="x",IF(OR(AH222 = "NA",AI222="NA",AI222=0,AI222="",AH222=""), "NA", AH222/AI222),"---")</f>
        <v>NA</v>
      </c>
      <c r="AL222" s="376" t="str">
        <f>IF(Start!$C$18="x",IF(OR(AK222 ="NA",AK222="",AJ222= "NA",R222="NA",R222=0),"NA",(2*AK222)/(1000*(1/$R222+AJ222))),"---")</f>
        <v>NA</v>
      </c>
      <c r="AM222" s="376" t="str">
        <f>IF(Start!$C$18="x",IF(AL222 = "NA", "NA", AL222*(Data!$D$52*Data!$D$53*10000)),"---")</f>
        <v>NA</v>
      </c>
      <c r="AN222" s="376" t="str">
        <f>IF(Start!$C$18="x",IF(AM222 = "NA", "NA", AM222*(Data!$D$54)),"---")</f>
        <v>NA</v>
      </c>
      <c r="AO222" s="498" t="str">
        <f>IF(Start!$C$18="x",IF(AN222="NA","NA",AN222*Data!$D$41),"---")</f>
        <v>NA</v>
      </c>
      <c r="AP222" s="376">
        <f>IF(Start!$C$18="x",IF(OR(Q222=0,N222="NA",N222="",AG222="NA",AG222="",AG222=0,Q222="",Q222="NA"),"NA", (3.1416*Data!$D$56*86400/($AG222*(Data!$D$55+(N222*Data!$D$19/(Q222*1000)))))^0.5),"---")</f>
        <v>33.992045245944503</v>
      </c>
      <c r="AQ222" s="376" t="str">
        <f>IF(Start!$C$18="x",IF(OR(AH222="NA",AI222="NA",AI222="",AI222=0,AH222=""),"NA", AH222/AI222),"---")</f>
        <v>NA</v>
      </c>
      <c r="AR222" s="376" t="str">
        <f>IF(Start!$C$18="x",IF(OR(AQ222="NA",AP222="NA",$R222="NA",R222=0,R222=""),"NA",(2*AQ222)/(1000*(1/$R222+AP222))),"---")</f>
        <v>NA</v>
      </c>
      <c r="AS222" s="376" t="str">
        <f>IF(Start!$C$18="x",IF(AR222 = "NA", "NA", AR222*(Data!$D$52*Data!$D$53*10000)),"---")</f>
        <v>NA</v>
      </c>
      <c r="AT222" s="376" t="str">
        <f>IF(Start!$C$18="x",IF(AS222 = "NA", "NA", (AS222*1000)/(Data!$D$48*3*Data!$D$53)),"---")</f>
        <v>NA</v>
      </c>
      <c r="AU222" s="498" t="str">
        <f>IF(Start!$C$18="x",IF(AT222="NA","NA",AT222*Data!$D$47),"---")</f>
        <v>NA</v>
      </c>
      <c r="AV222" s="283" t="str">
        <f>IF(Start!$C$18="x",(IF(AND(F222="",G222= "",G222&lt;&gt;"NA"),"",IF(OR(AD222="NA",I222="NA",I222=0),"NA",(AD222/I222)))),"Not Req.")</f>
        <v/>
      </c>
      <c r="AW222" s="284" t="str">
        <f>IF(Start!$C$18="x",(IF(AND(F222="",G222= "",G222&lt;&gt;"NA"),"",IF(OR(AF222="NA",I222="NA",I222=0),"NA",(AF222/I222)))),"Not Req.")</f>
        <v/>
      </c>
      <c r="AX222" s="284" t="str">
        <f>IF(Start!$C$18="x",(IF(F222 ="","",IF(OR(AO222="NA",I222="NA",I222=0),"NA",(AO222/I222)))),"Not Req.")</f>
        <v/>
      </c>
      <c r="AY222" s="344" t="str">
        <f>IF(Start!$C$18="x",(IF(F222 ="","",IF(OR(AU222="NA",I222="NA",I222=0),"NA",(AU222/I222)))),"Not Req.")</f>
        <v/>
      </c>
      <c r="AZ222" s="208"/>
    </row>
    <row r="223" spans="1:52" s="10" customFormat="1" x14ac:dyDescent="0.25">
      <c r="A223" s="405" t="s">
        <v>541</v>
      </c>
      <c r="B223" s="347" t="str">
        <f>IF(Start!$C$18="x",IF(AND(OR(F223="",F223="NA"),OR(G223="",G223="NA")),"",IF(I223="NA","NA",IF(AND(I223="",K223="--"),"NA",IF(AD223="NA","Missing Data",IF(I223="","No Criteria",IF(AD223&gt;=I223,"Needed","No")))))),"---")</f>
        <v/>
      </c>
      <c r="C223" s="501" t="str">
        <f>IF(Start!$C$18="x",IF(AND(OR(F223="",F223="NA"),OR(G223="",G223="NA")),"",IF(I223="NA","NA",IF(AND(I223="",K223="--"),"NA",IF(AF223="NA","Missing Data",IF(I223="","No Criteria",IF(AF223&gt;=I223,"Needed","No")))))),"---")</f>
        <v/>
      </c>
      <c r="D223" s="347" t="str">
        <f>IF(Start!$C$18="x",IF(AND(OR(F223="",F223="NA"),OR(G223="",G223="NA")),"",IF(I223="NA","NA",IF(AND(I223="",K223="--"),"NA",IF(AO223="NA","Missing Data",IF(I223="","No Criteria",IF(AO223&gt;=I223,"Needed","No")))))),"---")</f>
        <v/>
      </c>
      <c r="E223" s="401" t="str">
        <f>IF(Start!$C$18="x",IF(AND(OR(F223="",F223="NA"),OR(G223="",G223="NA")),"",IF(I223="NA","NA",IF(AND(I223="",K223="--"),"NA",IF(AU223="NA","Missing Data",IF(I223="","No Criteria",IF(AU223&gt;=I223,"Needed","No")))))),"---")</f>
        <v/>
      </c>
      <c r="F223" s="431" t="str">
        <f>IF(TRUE=ISBLANK(ChemData!B223),"",(ChemData!B223))</f>
        <v/>
      </c>
      <c r="G223" s="432" t="str">
        <f>IF(TRUE=ISBLANK(ChemData!C223),"",(ChemData!C223))</f>
        <v/>
      </c>
      <c r="H223" s="433" t="str">
        <f>IF(TRUE=ISBLANK(ChemData!D223),"",(ChemData!D223))</f>
        <v/>
      </c>
      <c r="I223" s="919" t="str">
        <f>IF(TRUE=ISBLANK(ChemData!K223),"",(ChemData!K223))</f>
        <v>NA</v>
      </c>
      <c r="J223" s="290">
        <f>IF(TRUE=ISBLANK(ChemData!M223),"",(ChemData!M223))</f>
        <v>221.04</v>
      </c>
      <c r="K223" s="290">
        <f>IF(TRUE=ISBLANK(ChemData!N223),"",(ChemData!N223))</f>
        <v>1.02E-8</v>
      </c>
      <c r="L223" s="290">
        <f>IF(TRUE=ISBLANK(ChemData!O223),"",(ChemData!O223))</f>
        <v>2.3099999999999999E-2</v>
      </c>
      <c r="M223" s="290">
        <f>IF(TRUE=ISBLANK(ChemData!Q223),"",(ChemData!Q223))</f>
        <v>11.950056</v>
      </c>
      <c r="N223" s="290">
        <f>IF(TRUE=ISBLANK(ChemData!R223),"",(ChemData!R223))</f>
        <v>11.950056</v>
      </c>
      <c r="O223" s="290">
        <f>IF(TRUE=ISBLANK(ChemData!S223),"",(ChemData!S223))</f>
        <v>1</v>
      </c>
      <c r="P223" s="291">
        <f>IF(TRUE=ISBLANK(ChemData!T223),"",(ChemData!T223))</f>
        <v>1</v>
      </c>
      <c r="Q223" s="375">
        <f>IF(Start!$C$18="x",IF(OR(K223="NA",K223="",K223="--"),"NA",(K223*1000000/82.1/Data!$D$50)),"---")</f>
        <v>4.007701072649405E-7</v>
      </c>
      <c r="R223" s="376">
        <f>IF(Start!$C$18="x",IF(OR(J223="NA",J223=0,J223=""),"NA",(0.32*(Data!$D$48+Data!$D$49)*(18/J223)^0.5)),"---")</f>
        <v>0.23514081996056407</v>
      </c>
      <c r="S223" s="376">
        <f>IF(Start!$C$18="x",IF(OR(J223="NA",J223= 0,J223=""),"NA",(0.0065*((Data!$D$49^0.969)/(Data!$D$51^0.673))*(32/J223)^0.5*EXP(0.526*Data!$D$48^-1.9))),"---")</f>
        <v>4.9561242759737915E-4</v>
      </c>
      <c r="T223" s="377">
        <f>IF(Start!$C$18="x",IF(OR(S223="NA",R223="NA",R223=0,Q223="NA",S223=0,Q223=0),"NA",(1/(1/S223+(1/(R223*Q223))))),"---")</f>
        <v>9.4219496426447953E-8</v>
      </c>
      <c r="U223" s="375" t="str">
        <f>IF(Start!$C$18="x",IF(OR(F223="NA",F223="",O223="",O223="NA"),"NA",(F223*$O223)),"---")</f>
        <v>NA</v>
      </c>
      <c r="V223" s="376" t="str">
        <f>IF(Start!$C$18="x",IF(OR(U223="NA",M223="NA",M223="",U223=""),"NA",U223/((Data!$D$18+((1-Data!$D$18)*Data!$D$14*M223))/((1-Data!$D$18)*Data!$D$14*1000))),"---")</f>
        <v>NA</v>
      </c>
      <c r="W223" s="376" t="str">
        <f>IF(Start!$C$18="x",IF(OR(G223="NA",U223="NA",G223="",U223=""),"NA",(U223 +($G223*(Data!$D$19-Data!$D$22)/(Data!$D$19*Data!$D$22)))),"---")</f>
        <v>NA</v>
      </c>
      <c r="X223" s="376" t="str">
        <f>IF(Start!$C$18="x",IF(OR(G223="NA",V223="NA",G223="",V223=""),"NA",(((Data!$D$22*Data!$D$18)*V223)+(Data!$D$19-Data!$D$22)*$G223)/((Data!$D$22*Data!$D$18)+Data!$D$19-Data!$D$22)),"---")</f>
        <v>NA</v>
      </c>
      <c r="Y223" s="376" t="str">
        <f>IF(Start!$C$18="x",IF(OR(W223="NA",W223="",M223="NA",M223=""),"NA",(W223/((Data!$D$23+((1-Data!$D$23)*Data!$D$14*M223)) /((1-Data!$D$23)*Data!$D$14*1000)))),"---")</f>
        <v>NA</v>
      </c>
      <c r="Z223" s="376" t="str">
        <f>IF(Start!$C$18="x",IF(OR(Y223="NA",X223="NA"),"NA",IF(Y223&gt;X223, Y223, X223)),"---")</f>
        <v>NA</v>
      </c>
      <c r="AA223" s="461" t="str">
        <f>IF(Start!$C$18="x",IF(OR(Z223="NA",T223="NA"),"NA",Z223*T223/(1000000000)),"---")</f>
        <v>NA</v>
      </c>
      <c r="AB223" s="1057" t="str">
        <f>IF(Start!$C$18="x",IF(AA223 = "NA", "NA", AA223*(Data!$D$52*Data!$D$53*10000)),"---")</f>
        <v>NA</v>
      </c>
      <c r="AC223" s="375" t="str">
        <f>IF(Start!$C$18="x",IF(AB223="NA", "NA", AB223*Data!$D$54),"---")</f>
        <v>NA</v>
      </c>
      <c r="AD223" s="498" t="str">
        <f>IF(Start!$C$18="x",IF(AC223="NA","NA",AC223*Data!$D$41),"---")</f>
        <v>NA</v>
      </c>
      <c r="AE223" s="376" t="str">
        <f>IF(Start!$C$18="x",IF(AB223 = "NA", "NA", AB223/(Data!$D$53*3*Data!$D$48)*1000),"---")</f>
        <v>NA</v>
      </c>
      <c r="AF223" s="498" t="str">
        <f>IF(Start!$C$18="x",IF(AE223="NA","NA",AE223*Data!$D$46),"---")</f>
        <v>NA</v>
      </c>
      <c r="AG223" s="375">
        <f>IF(Start!$C$18="x",IF(OR($L223="NA",L223=""),"NA",($L223*(Data!$D$55^3.33)/(Data!$D$18^2))),"---")</f>
        <v>2.3533110369096947E-4</v>
      </c>
      <c r="AH223" s="376" t="str">
        <f>IF(Start!$C$18="x",IF(OR(F223="NA",F223="",P223="NA",P223=""),"NA",IF(100/Data!$D$10&gt;Data!$D$13,(F223*$P223),(F223*$P223)*Data!$D$13)),"---")</f>
        <v>NA</v>
      </c>
      <c r="AI223" s="489">
        <f>IF(Start!$C$18="x",IF(OR($N223="NA",$Q223="NA",$Q223=0,Q223="",N223=""),"NA",(1000*$N223/$Q223)),"---")</f>
        <v>29817732868.235294</v>
      </c>
      <c r="AJ223" s="376">
        <f>IF(Start!$C$18="x",IF(OR(Q223 = "NA",Q223=0,N223 = "NA",N223="",Q223=""), "NA", IF($AG223="NA","NA",(3.1416*Data!$D$57*86400/($AG223*(Data!$D$55+(N223*Data!$D$19/(Q223*1000)))))^0.5)),"---")</f>
        <v>36.963264959817778</v>
      </c>
      <c r="AK223" s="376" t="str">
        <f>IF(Start!$C$18="x",IF(OR(AH223 = "NA",AI223="NA",AI223=0,AI223="",AH223=""), "NA", AH223/AI223),"---")</f>
        <v>NA</v>
      </c>
      <c r="AL223" s="376" t="str">
        <f>IF(Start!$C$18="x",IF(OR(AK223 ="NA",AK223="",AJ223= "NA",R223="NA",R223=0),"NA",(2*AK223)/(1000*(1/$R223+AJ223))),"---")</f>
        <v>NA</v>
      </c>
      <c r="AM223" s="376" t="str">
        <f>IF(Start!$C$18="x",IF(AL223 = "NA", "NA", AL223*(Data!$D$52*Data!$D$53*10000)),"---")</f>
        <v>NA</v>
      </c>
      <c r="AN223" s="376" t="str">
        <f>IF(Start!$C$18="x",IF(AM223 = "NA", "NA", AM223*(Data!$D$54)),"---")</f>
        <v>NA</v>
      </c>
      <c r="AO223" s="498" t="str">
        <f>IF(Start!$C$18="x",IF(AN223="NA","NA",AN223*Data!$D$41),"---")</f>
        <v>NA</v>
      </c>
      <c r="AP223" s="376">
        <f>IF(Start!$C$18="x",IF(OR(Q223=0,N223="NA",N223="",AG223="NA",AG223="",AG223=0,Q223="",Q223="NA"),"NA", (3.1416*Data!$D$56*86400/($AG223*(Data!$D$55+(N223*Data!$D$19/(Q223*1000)))))^0.5),"---")</f>
        <v>36.963264959817778</v>
      </c>
      <c r="AQ223" s="376" t="str">
        <f>IF(Start!$C$18="x",IF(OR(AH223="NA",AI223="NA",AI223="",AI223=0,AH223=""),"NA", AH223/AI223),"---")</f>
        <v>NA</v>
      </c>
      <c r="AR223" s="376" t="str">
        <f>IF(Start!$C$18="x",IF(OR(AQ223="NA",AP223="NA",$R223="NA",R223=0,R223=""),"NA",(2*AQ223)/(1000*(1/$R223+AP223))),"---")</f>
        <v>NA</v>
      </c>
      <c r="AS223" s="376" t="str">
        <f>IF(Start!$C$18="x",IF(AR223 = "NA", "NA", AR223*(Data!$D$52*Data!$D$53*10000)),"---")</f>
        <v>NA</v>
      </c>
      <c r="AT223" s="376" t="str">
        <f>IF(Start!$C$18="x",IF(AS223 = "NA", "NA", (AS223*1000)/(Data!$D$48*3*Data!$D$53)),"---")</f>
        <v>NA</v>
      </c>
      <c r="AU223" s="498" t="str">
        <f>IF(Start!$C$18="x",IF(AT223="NA","NA",AT223*Data!$D$47),"---")</f>
        <v>NA</v>
      </c>
      <c r="AV223" s="283" t="str">
        <f>IF(Start!$C$18="x",(IF(AND(F223="",G223= "",G223&lt;&gt;"NA"),"",IF(OR(AD223="NA",I223="NA",I223=0),"NA",(AD223/I223)))),"Not Req.")</f>
        <v/>
      </c>
      <c r="AW223" s="284" t="str">
        <f>IF(Start!$C$18="x",(IF(AND(F223="",G223= "",G223&lt;&gt;"NA"),"",IF(OR(AF223="NA",I223="NA",I223=0),"NA",(AF223/I223)))),"Not Req.")</f>
        <v/>
      </c>
      <c r="AX223" s="284" t="str">
        <f>IF(Start!$C$18="x",(IF(F223 ="","",IF(OR(AO223="NA",I223="NA",I223=0),"NA",(AO223/I223)))),"Not Req.")</f>
        <v/>
      </c>
      <c r="AY223" s="344" t="str">
        <f>IF(Start!$C$18="x",(IF(F223 ="","",IF(OR(AU223="NA",I223="NA",I223=0),"NA",(AU223/I223)))),"Not Req.")</f>
        <v/>
      </c>
      <c r="AZ223" s="208"/>
    </row>
    <row r="224" spans="1:52" s="10" customFormat="1" x14ac:dyDescent="0.25">
      <c r="A224" s="405" t="s">
        <v>542</v>
      </c>
      <c r="B224" s="347" t="str">
        <f>IF(Start!$C$18="x",IF(AND(OR(F224="",F224="NA"),OR(G224="",G224="NA")),"",IF(I224="NA","NA",IF(AND(I224="",K224="--"),"NA",IF(AD224="NA","Missing Data",IF(I224="","No Criteria",IF(AD224&gt;=I224,"Needed","No")))))),"---")</f>
        <v/>
      </c>
      <c r="C224" s="501" t="str">
        <f>IF(Start!$C$18="x",IF(AND(OR(F224="",F224="NA"),OR(G224="",G224="NA")),"",IF(I224="NA","NA",IF(AND(I224="",K224="--"),"NA",IF(AF224="NA","Missing Data",IF(I224="","No Criteria",IF(AF224&gt;=I224,"Needed","No")))))),"---")</f>
        <v/>
      </c>
      <c r="D224" s="347" t="str">
        <f>IF(Start!$C$18="x",IF(AND(OR(F224="",F224="NA"),OR(G224="",G224="NA")),"",IF(I224="NA","NA",IF(AND(I224="",K224="--"),"NA",IF(AO224="NA","Missing Data",IF(I224="","No Criteria",IF(AO224&gt;=I224,"Needed","No")))))),"---")</f>
        <v/>
      </c>
      <c r="E224" s="401" t="str">
        <f>IF(Start!$C$18="x",IF(AND(OR(F224="",F224="NA"),OR(G224="",G224="NA")),"",IF(I224="NA","NA",IF(AND(I224="",K224="--"),"NA",IF(AU224="NA","Missing Data",IF(I224="","No Criteria",IF(AU224&gt;=I224,"Needed","No")))))),"---")</f>
        <v/>
      </c>
      <c r="F224" s="431" t="str">
        <f>IF(TRUE=ISBLANK(ChemData!B224),"",(ChemData!B224))</f>
        <v/>
      </c>
      <c r="G224" s="432" t="str">
        <f>IF(TRUE=ISBLANK(ChemData!C224),"",(ChemData!C224))</f>
        <v/>
      </c>
      <c r="H224" s="433" t="str">
        <f>IF(TRUE=ISBLANK(ChemData!D224),"",(ChemData!D224))</f>
        <v/>
      </c>
      <c r="I224" s="919" t="str">
        <f>IF(TRUE=ISBLANK(ChemData!K224),"",(ChemData!K224))</f>
        <v>NA</v>
      </c>
      <c r="J224" s="290">
        <f>IF(TRUE=ISBLANK(ChemData!M224),"",(ChemData!M224))</f>
        <v>370.49</v>
      </c>
      <c r="K224" s="290">
        <f>IF(TRUE=ISBLANK(ChemData!N224),"",(ChemData!N224))</f>
        <v>5.5900000000000003E-10</v>
      </c>
      <c r="L224" s="290">
        <f>IF(TRUE=ISBLANK(ChemData!O224),"",(ChemData!O224))</f>
        <v>0.14941691225708698</v>
      </c>
      <c r="M224" s="290">
        <f>IF(TRUE=ISBLANK(ChemData!Q224),"",(ChemData!Q224))</f>
        <v>1938.234942442215</v>
      </c>
      <c r="N224" s="290">
        <f>IF(TRUE=ISBLANK(ChemData!R224),"",(ChemData!R224))</f>
        <v>1938.234942442215</v>
      </c>
      <c r="O224" s="290">
        <f>IF(TRUE=ISBLANK(ChemData!S224),"",(ChemData!S224))</f>
        <v>1</v>
      </c>
      <c r="P224" s="291">
        <f>IF(TRUE=ISBLANK(ChemData!T224),"",(ChemData!T224))</f>
        <v>1</v>
      </c>
      <c r="Q224" s="375">
        <f>IF(Start!$C$18="x",IF(OR(K224="NA",K224="",K224="--"),"NA",(K224*1000000/82.1/Data!$D$50)),"---")</f>
        <v>2.1963773525598212E-8</v>
      </c>
      <c r="R224" s="376">
        <f>IF(Start!$C$18="x",IF(OR(J224="NA",J224=0,J224=""),"NA",(0.32*(Data!$D$48+Data!$D$49)*(18/J224)^0.5)),"---")</f>
        <v>0.18162482928308094</v>
      </c>
      <c r="S224" s="376">
        <f>IF(Start!$C$18="x",IF(OR(J224="NA",J224= 0,J224=""),"NA",(0.0065*((Data!$D$49^0.969)/(Data!$D$51^0.673))*(32/J224)^0.5*EXP(0.526*Data!$D$48^-1.9))),"---")</f>
        <v>3.8281538087705911E-4</v>
      </c>
      <c r="T224" s="377">
        <f>IF(Start!$C$18="x",IF(OR(S224="NA",R224="NA",R224=0,Q224="NA",S224=0,Q224=0),"NA",(1/(1/S224+(1/(R224*Q224))))),"---")</f>
        <v>3.9891250479156855E-9</v>
      </c>
      <c r="U224" s="375" t="str">
        <f>IF(Start!$C$18="x",IF(OR(F224="NA",F224="",O224="",O224="NA"),"NA",(F224*$O224)),"---")</f>
        <v>NA</v>
      </c>
      <c r="V224" s="376" t="str">
        <f>IF(Start!$C$18="x",IF(OR(U224="NA",M224="NA",M224="",U224=""),"NA",U224/((Data!$D$18+((1-Data!$D$18)*Data!$D$14*M224))/((1-Data!$D$18)*Data!$D$14*1000))),"---")</f>
        <v>NA</v>
      </c>
      <c r="W224" s="376" t="str">
        <f>IF(Start!$C$18="x",IF(OR(G224="NA",U224="NA",G224="",U224=""),"NA",(U224 +($G224*(Data!$D$19-Data!$D$22)/(Data!$D$19*Data!$D$22)))),"---")</f>
        <v>NA</v>
      </c>
      <c r="X224" s="376" t="str">
        <f>IF(Start!$C$18="x",IF(OR(G224="NA",V224="NA",G224="",V224=""),"NA",(((Data!$D$22*Data!$D$18)*V224)+(Data!$D$19-Data!$D$22)*$G224)/((Data!$D$22*Data!$D$18)+Data!$D$19-Data!$D$22)),"---")</f>
        <v>NA</v>
      </c>
      <c r="Y224" s="376" t="str">
        <f>IF(Start!$C$18="x",IF(OR(W224="NA",W224="",M224="NA",M224=""),"NA",(W224/((Data!$D$23+((1-Data!$D$23)*Data!$D$14*M224)) /((1-Data!$D$23)*Data!$D$14*1000)))),"---")</f>
        <v>NA</v>
      </c>
      <c r="Z224" s="376" t="str">
        <f>IF(Start!$C$18="x",IF(OR(Y224="NA",X224="NA"),"NA",IF(Y224&gt;X224, Y224, X224)),"---")</f>
        <v>NA</v>
      </c>
      <c r="AA224" s="461" t="str">
        <f>IF(Start!$C$18="x",IF(OR(Z224="NA",T224="NA"),"NA",Z224*T224/(1000000000)),"---")</f>
        <v>NA</v>
      </c>
      <c r="AB224" s="1057" t="str">
        <f>IF(Start!$C$18="x",IF(AA224 = "NA", "NA", AA224*(Data!$D$52*Data!$D$53*10000)),"---")</f>
        <v>NA</v>
      </c>
      <c r="AC224" s="375" t="str">
        <f>IF(Start!$C$18="x",IF(AB224="NA", "NA", AB224*Data!$D$54),"---")</f>
        <v>NA</v>
      </c>
      <c r="AD224" s="498" t="str">
        <f>IF(Start!$C$18="x",IF(AC224="NA","NA",AC224*Data!$D$41),"---")</f>
        <v>NA</v>
      </c>
      <c r="AE224" s="376" t="str">
        <f>IF(Start!$C$18="x",IF(AB224 = "NA", "NA", AB224/(Data!$D$53*3*Data!$D$48)*1000),"---")</f>
        <v>NA</v>
      </c>
      <c r="AF224" s="498" t="str">
        <f>IF(Start!$C$18="x",IF(AE224="NA","NA",AE224*Data!$D$46),"---")</f>
        <v>NA</v>
      </c>
      <c r="AG224" s="375">
        <f>IF(Start!$C$18="x",IF(OR($L224="NA",L224=""),"NA",($L224*(Data!$D$55^3.33)/(Data!$D$18^2))),"---")</f>
        <v>1.5221838472535508E-3</v>
      </c>
      <c r="AH224" s="376" t="str">
        <f>IF(Start!$C$18="x",IF(OR(F224="NA",F224="",P224="NA",P224=""),"NA",IF(100/Data!$D$10&gt;Data!$D$13,(F224*$P224),(F224*$P224)*Data!$D$13)),"---")</f>
        <v>NA</v>
      </c>
      <c r="AI224" s="489">
        <f>IF(Start!$C$18="x",IF(OR($N224="NA",$Q224="NA",$Q224=0,Q224="",N224=""),"NA",(1000*$N224/$Q224)),"---")</f>
        <v>88246900751514.859</v>
      </c>
      <c r="AJ224" s="376">
        <f>IF(Start!$C$18="x",IF(OR(Q224 = "NA",Q224=0,N224 = "NA",N224="",Q224=""), "NA", IF($AG224="NA","NA",(3.1416*Data!$D$57*86400/($AG224*(Data!$D$55+(N224*Data!$D$19/(Q224*1000)))))^0.5)),"---")</f>
        <v>0.26715543711465245</v>
      </c>
      <c r="AK224" s="376" t="str">
        <f>IF(Start!$C$18="x",IF(OR(AH224 = "NA",AI224="NA",AI224=0,AI224="",AH224=""), "NA", AH224/AI224),"---")</f>
        <v>NA</v>
      </c>
      <c r="AL224" s="376" t="str">
        <f>IF(Start!$C$18="x",IF(OR(AK224 ="NA",AK224="",AJ224= "NA",R224="NA",R224=0),"NA",(2*AK224)/(1000*(1/$R224+AJ224))),"---")</f>
        <v>NA</v>
      </c>
      <c r="AM224" s="376" t="str">
        <f>IF(Start!$C$18="x",IF(AL224 = "NA", "NA", AL224*(Data!$D$52*Data!$D$53*10000)),"---")</f>
        <v>NA</v>
      </c>
      <c r="AN224" s="376" t="str">
        <f>IF(Start!$C$18="x",IF(AM224 = "NA", "NA", AM224*(Data!$D$54)),"---")</f>
        <v>NA</v>
      </c>
      <c r="AO224" s="498" t="str">
        <f>IF(Start!$C$18="x",IF(AN224="NA","NA",AN224*Data!$D$41),"---")</f>
        <v>NA</v>
      </c>
      <c r="AP224" s="376">
        <f>IF(Start!$C$18="x",IF(OR(Q224=0,N224="NA",N224="",AG224="NA",AG224="",AG224=0,Q224="",Q224="NA"),"NA", (3.1416*Data!$D$56*86400/($AG224*(Data!$D$55+(N224*Data!$D$19/(Q224*1000)))))^0.5),"---")</f>
        <v>0.26715543711465245</v>
      </c>
      <c r="AQ224" s="376" t="str">
        <f>IF(Start!$C$18="x",IF(OR(AH224="NA",AI224="NA",AI224="",AI224=0,AH224=""),"NA", AH224/AI224),"---")</f>
        <v>NA</v>
      </c>
      <c r="AR224" s="376" t="str">
        <f>IF(Start!$C$18="x",IF(OR(AQ224="NA",AP224="NA",$R224="NA",R224=0,R224=""),"NA",(2*AQ224)/(1000*(1/$R224+AP224))),"---")</f>
        <v>NA</v>
      </c>
      <c r="AS224" s="376" t="str">
        <f>IF(Start!$C$18="x",IF(AR224 = "NA", "NA", AR224*(Data!$D$52*Data!$D$53*10000)),"---")</f>
        <v>NA</v>
      </c>
      <c r="AT224" s="376" t="str">
        <f>IF(Start!$C$18="x",IF(AS224 = "NA", "NA", (AS224*1000)/(Data!$D$48*3*Data!$D$53)),"---")</f>
        <v>NA</v>
      </c>
      <c r="AU224" s="498" t="str">
        <f>IF(Start!$C$18="x",IF(AT224="NA","NA",AT224*Data!$D$47),"---")</f>
        <v>NA</v>
      </c>
      <c r="AV224" s="283" t="str">
        <f>IF(Start!$C$18="x",(IF(AND(F224="",G224= "",G224&lt;&gt;"NA"),"",IF(OR(AD224="NA",I224="NA",I224=0),"NA",(AD224/I224)))),"Not Req.")</f>
        <v/>
      </c>
      <c r="AW224" s="284" t="str">
        <f>IF(Start!$C$18="x",(IF(AND(F224="",G224= "",G224&lt;&gt;"NA"),"",IF(OR(AF224="NA",I224="NA",I224=0),"NA",(AF224/I224)))),"Not Req.")</f>
        <v/>
      </c>
      <c r="AX224" s="284" t="str">
        <f>IF(Start!$C$18="x",(IF(F224 ="","",IF(OR(AO224="NA",I224="NA",I224=0),"NA",(AO224/I224)))),"Not Req.")</f>
        <v/>
      </c>
      <c r="AY224" s="344" t="str">
        <f>IF(Start!$C$18="x",(IF(F224 ="","",IF(OR(AU224="NA",I224="NA",I224=0),"NA",(AU224/I224)))),"Not Req.")</f>
        <v/>
      </c>
      <c r="AZ224" s="208"/>
    </row>
    <row r="225" spans="1:52" s="10" customFormat="1" x14ac:dyDescent="0.25">
      <c r="A225" s="405" t="s">
        <v>543</v>
      </c>
      <c r="B225" s="347" t="str">
        <f>IF(Start!$C$18="x",IF(AND(OR(F225="",F225="NA"),OR(G225="",G225="NA")),"",IF(I225="NA","NA",IF(AND(I225="",K225="--"),"NA",IF(AD225="NA","Missing Data",IF(I225="","No Criteria",IF(AD225&gt;=I225,"Needed","No")))))),"---")</f>
        <v/>
      </c>
      <c r="C225" s="501" t="str">
        <f>IF(Start!$C$18="x",IF(AND(OR(F225="",F225="NA"),OR(G225="",G225="NA")),"",IF(I225="NA","NA",IF(AND(I225="",K225="--"),"NA",IF(AF225="NA","Missing Data",IF(I225="","No Criteria",IF(AF225&gt;=I225,"Needed","No")))))),"---")</f>
        <v/>
      </c>
      <c r="D225" s="347" t="str">
        <f>IF(Start!$C$18="x",IF(AND(OR(F225="",F225="NA"),OR(G225="",G225="NA")),"",IF(I225="NA","NA",IF(AND(I225="",K225="--"),"NA",IF(AO225="NA","Missing Data",IF(I225="","No Criteria",IF(AO225&gt;=I225,"Needed","No")))))),"---")</f>
        <v/>
      </c>
      <c r="E225" s="401" t="str">
        <f>IF(Start!$C$18="x",IF(AND(OR(F225="",F225="NA"),OR(G225="",G225="NA")),"",IF(I225="NA","NA",IF(AND(I225="",K225="--"),"NA",IF(AU225="NA","Missing Data",IF(I225="","No Criteria",IF(AU225&gt;=I225,"Needed","No")))))),"---")</f>
        <v/>
      </c>
      <c r="F225" s="431" t="str">
        <f>IF(TRUE=ISBLANK(ChemData!B225),"",(ChemData!B225))</f>
        <v/>
      </c>
      <c r="G225" s="432" t="str">
        <f>IF(TRUE=ISBLANK(ChemData!C225),"",(ChemData!C225))</f>
        <v/>
      </c>
      <c r="H225" s="433" t="str">
        <f>IF(TRUE=ISBLANK(ChemData!D225),"",(ChemData!D225))</f>
        <v/>
      </c>
      <c r="I225" s="919">
        <f>IF(TRUE=ISBLANK(ChemData!K225),"",(ChemData!K225))</f>
        <v>5.0000000000000002E-5</v>
      </c>
      <c r="J225" s="290">
        <f>IF(TRUE=ISBLANK(ChemData!M225),"",(ChemData!M225))</f>
        <v>381</v>
      </c>
      <c r="K225" s="290">
        <f>IF(TRUE=ISBLANK(ChemData!N225),"",(ChemData!N225))</f>
        <v>1.5099999999999999E-5</v>
      </c>
      <c r="L225" s="290">
        <f>IF(TRUE=ISBLANK(ChemData!O225),"",(ChemData!O225))</f>
        <v>1.2500000000000001E-2</v>
      </c>
      <c r="M225" s="290">
        <f>IF(TRUE=ISBLANK(ChemData!Q225),"",(ChemData!Q225))</f>
        <v>4339.1675371571837</v>
      </c>
      <c r="N225" s="290">
        <f>IF(TRUE=ISBLANK(ChemData!R225),"",(ChemData!R225))</f>
        <v>4339.1675371571837</v>
      </c>
      <c r="O225" s="290">
        <f>IF(TRUE=ISBLANK(ChemData!S225),"",(ChemData!S225))</f>
        <v>1</v>
      </c>
      <c r="P225" s="291">
        <f>IF(TRUE=ISBLANK(ChemData!T225),"",(ChemData!T225))</f>
        <v>1</v>
      </c>
      <c r="Q225" s="375">
        <f>IF(Start!$C$18="x",IF(OR(K225="NA",K225="",K225="--"),"NA",(K225*1000000/82.1/Data!$D$50)),"---")</f>
        <v>5.9329692350005897E-4</v>
      </c>
      <c r="R225" s="376">
        <f>IF(Start!$C$18="x",IF(OR(J225="NA",J225=0,J225=""),"NA",(0.32*(Data!$D$48+Data!$D$49)*(18/J225)^0.5)),"---")</f>
        <v>0.1791022230437484</v>
      </c>
      <c r="S225" s="376">
        <f>IF(Start!$C$18="x",IF(OR(J225="NA",J225= 0,J225=""),"NA",(0.0065*((Data!$D$49^0.969)/(Data!$D$51^0.673))*(32/J225)^0.5*EXP(0.526*Data!$D$48^-1.9))),"---")</f>
        <v>3.7749841803599399E-4</v>
      </c>
      <c r="T225" s="377">
        <f>IF(Start!$C$18="x",IF(OR(S225="NA",R225="NA",R225=0,Q225="NA",S225=0,Q225=0),"NA",(1/(1/S225+(1/(R225*Q225))))),"---")</f>
        <v>8.2919935769933909E-5</v>
      </c>
      <c r="U225" s="375" t="str">
        <f>IF(Start!$C$18="x",IF(OR(F225="NA",F225="",O225="",O225="NA"),"NA",(F225*$O225)),"---")</f>
        <v>NA</v>
      </c>
      <c r="V225" s="376" t="str">
        <f>IF(Start!$C$18="x",IF(OR(U225="NA",M225="NA",M225="",U225=""),"NA",U225/((Data!$D$18+((1-Data!$D$18)*Data!$D$14*M225))/((1-Data!$D$18)*Data!$D$14*1000))),"---")</f>
        <v>NA</v>
      </c>
      <c r="W225" s="376" t="str">
        <f>IF(Start!$C$18="x",IF(OR(G225="NA",U225="NA",G225="",U225=""),"NA",(U225 +($G225*(Data!$D$19-Data!$D$22)/(Data!$D$19*Data!$D$22)))),"---")</f>
        <v>NA</v>
      </c>
      <c r="X225" s="376" t="str">
        <f>IF(Start!$C$18="x",IF(OR(G225="NA",V225="NA",G225="",V225=""),"NA",(((Data!$D$22*Data!$D$18)*V225)+(Data!$D$19-Data!$D$22)*$G225)/((Data!$D$22*Data!$D$18)+Data!$D$19-Data!$D$22)),"---")</f>
        <v>NA</v>
      </c>
      <c r="Y225" s="376" t="str">
        <f>IF(Start!$C$18="x",IF(OR(W225="NA",W225="",M225="NA",M225=""),"NA",(W225/((Data!$D$23+((1-Data!$D$23)*Data!$D$14*M225)) /((1-Data!$D$23)*Data!$D$14*1000)))),"---")</f>
        <v>NA</v>
      </c>
      <c r="Z225" s="376" t="str">
        <f>IF(Start!$C$18="x",IF(OR(Y225="NA",X225="NA"),"NA",IF(Y225&gt;X225, Y225, X225)),"---")</f>
        <v>NA</v>
      </c>
      <c r="AA225" s="461" t="str">
        <f>IF(Start!$C$18="x",IF(OR(Z225="NA",T225="NA"),"NA",Z225*T225/(1000000000)),"---")</f>
        <v>NA</v>
      </c>
      <c r="AB225" s="1057" t="str">
        <f>IF(Start!$C$18="x",IF(AA225 = "NA", "NA", AA225*(Data!$D$52*Data!$D$53*10000)),"---")</f>
        <v>NA</v>
      </c>
      <c r="AC225" s="375" t="str">
        <f>IF(Start!$C$18="x",IF(AB225="NA", "NA", AB225*Data!$D$54),"---")</f>
        <v>NA</v>
      </c>
      <c r="AD225" s="498" t="str">
        <f>IF(Start!$C$18="x",IF(AC225="NA","NA",AC225*Data!$D$41),"---")</f>
        <v>NA</v>
      </c>
      <c r="AE225" s="376" t="str">
        <f>IF(Start!$C$18="x",IF(AB225 = "NA", "NA", AB225/(Data!$D$53*3*Data!$D$48)*1000),"---")</f>
        <v>NA</v>
      </c>
      <c r="AF225" s="498" t="str">
        <f>IF(Start!$C$18="x",IF(AE225="NA","NA",AE225*Data!$D$46),"---")</f>
        <v>NA</v>
      </c>
      <c r="AG225" s="375">
        <f>IF(Start!$C$18="x",IF(OR($L225="NA",L225=""),"NA",($L225*(Data!$D$55^3.33)/(Data!$D$18^2))),"---")</f>
        <v>1.273436708284467E-4</v>
      </c>
      <c r="AH225" s="376" t="str">
        <f>IF(Start!$C$18="x",IF(OR(F225="NA",F225="",P225="NA",P225=""),"NA",IF(100/Data!$D$10&gt;Data!$D$13,(F225*$P225),(F225*$P225)*Data!$D$13)),"---")</f>
        <v>NA</v>
      </c>
      <c r="AI225" s="489">
        <f>IF(Start!$C$18="x",IF(OR($N225="NA",$Q225="NA",$Q225=0,Q225="",N225=""),"NA",(1000*$N225/$Q225)),"---")</f>
        <v>7313652515.7740049</v>
      </c>
      <c r="AJ225" s="376">
        <f>IF(Start!$C$18="x",IF(OR(Q225 = "NA",Q225=0,N225 = "NA",N225="",Q225=""), "NA", IF($AG225="NA","NA",(3.1416*Data!$D$57*86400/($AG225*(Data!$D$55+(N225*Data!$D$19/(Q225*1000)))))^0.5)),"---")</f>
        <v>101.45920434327124</v>
      </c>
      <c r="AK225" s="376" t="str">
        <f>IF(Start!$C$18="x",IF(OR(AH225 = "NA",AI225="NA",AI225=0,AI225="",AH225=""), "NA", AH225/AI225),"---")</f>
        <v>NA</v>
      </c>
      <c r="AL225" s="376" t="str">
        <f>IF(Start!$C$18="x",IF(OR(AK225 ="NA",AK225="",AJ225= "NA",R225="NA",R225=0),"NA",(2*AK225)/(1000*(1/$R225+AJ225))),"---")</f>
        <v>NA</v>
      </c>
      <c r="AM225" s="376" t="str">
        <f>IF(Start!$C$18="x",IF(AL225 = "NA", "NA", AL225*(Data!$D$52*Data!$D$53*10000)),"---")</f>
        <v>NA</v>
      </c>
      <c r="AN225" s="376" t="str">
        <f>IF(Start!$C$18="x",IF(AM225 = "NA", "NA", AM225*(Data!$D$54)),"---")</f>
        <v>NA</v>
      </c>
      <c r="AO225" s="498" t="str">
        <f>IF(Start!$C$18="x",IF(AN225="NA","NA",AN225*Data!$D$41),"---")</f>
        <v>NA</v>
      </c>
      <c r="AP225" s="376">
        <f>IF(Start!$C$18="x",IF(OR(Q225=0,N225="NA",N225="",AG225="NA",AG225="",AG225=0,Q225="",Q225="NA"),"NA", (3.1416*Data!$D$56*86400/($AG225*(Data!$D$55+(N225*Data!$D$19/(Q225*1000)))))^0.5),"---")</f>
        <v>101.45920434327124</v>
      </c>
      <c r="AQ225" s="376" t="str">
        <f>IF(Start!$C$18="x",IF(OR(AH225="NA",AI225="NA",AI225="",AI225=0,AH225=""),"NA", AH225/AI225),"---")</f>
        <v>NA</v>
      </c>
      <c r="AR225" s="376" t="str">
        <f>IF(Start!$C$18="x",IF(OR(AQ225="NA",AP225="NA",$R225="NA",R225=0,R225=""),"NA",(2*AQ225)/(1000*(1/$R225+AP225))),"---")</f>
        <v>NA</v>
      </c>
      <c r="AS225" s="376" t="str">
        <f>IF(Start!$C$18="x",IF(AR225 = "NA", "NA", AR225*(Data!$D$52*Data!$D$53*10000)),"---")</f>
        <v>NA</v>
      </c>
      <c r="AT225" s="376" t="str">
        <f>IF(Start!$C$18="x",IF(AS225 = "NA", "NA", (AS225*1000)/(Data!$D$48*3*Data!$D$53)),"---")</f>
        <v>NA</v>
      </c>
      <c r="AU225" s="498" t="str">
        <f>IF(Start!$C$18="x",IF(AT225="NA","NA",AT225*Data!$D$47),"---")</f>
        <v>NA</v>
      </c>
      <c r="AV225" s="283" t="str">
        <f>IF(Start!$C$18="x",(IF(AND(F225="",G225= "",G225&lt;&gt;"NA"),"",IF(OR(AD225="NA",I225="NA",I225=0),"NA",(AD225/I225)))),"Not Req.")</f>
        <v/>
      </c>
      <c r="AW225" s="284" t="str">
        <f>IF(Start!$C$18="x",(IF(AND(F225="",G225= "",G225&lt;&gt;"NA"),"",IF(OR(AF225="NA",I225="NA",I225=0),"NA",(AF225/I225)))),"Not Req.")</f>
        <v/>
      </c>
      <c r="AX225" s="284" t="str">
        <f>IF(Start!$C$18="x",(IF(F225 ="","",IF(OR(AO225="NA",I225="NA",I225=0),"NA",(AO225/I225)))),"Not Req.")</f>
        <v/>
      </c>
      <c r="AY225" s="344" t="str">
        <f>IF(Start!$C$18="x",(IF(F225 ="","",IF(OR(AU225="NA",I225="NA",I225=0),"NA",(AU225/I225)))),"Not Req.")</f>
        <v/>
      </c>
      <c r="AZ225" s="208"/>
    </row>
    <row r="226" spans="1:52" s="10" customFormat="1" x14ac:dyDescent="0.25">
      <c r="A226" s="405" t="s">
        <v>544</v>
      </c>
      <c r="B226" s="347" t="str">
        <f>IF(Start!$C$18="x",IF(AND(OR(F226="",F226="NA"),OR(G226="",G226="NA")),"",IF(I226="NA","NA",IF(AND(I226="",K226="--"),"NA",IF(AD226="NA","Missing Data",IF(I226="","No Criteria",IF(AD226&gt;=I226,"Needed","No")))))),"---")</f>
        <v/>
      </c>
      <c r="C226" s="501" t="str">
        <f>IF(Start!$C$18="x",IF(AND(OR(F226="",F226="NA"),OR(G226="",G226="NA")),"",IF(I226="NA","NA",IF(AND(I226="",K226="--"),"NA",IF(AF226="NA","Missing Data",IF(I226="","No Criteria",IF(AF226&gt;=I226,"Needed","No")))))),"---")</f>
        <v/>
      </c>
      <c r="D226" s="347" t="str">
        <f>IF(Start!$C$18="x",IF(AND(OR(F226="",F226="NA"),OR(G226="",G226="NA")),"",IF(I226="NA","NA",IF(AND(I226="",K226="--"),"NA",IF(AO226="NA","Missing Data",IF(I226="","No Criteria",IF(AO226&gt;=I226,"Needed","No")))))),"---")</f>
        <v/>
      </c>
      <c r="E226" s="401" t="str">
        <f>IF(Start!$C$18="x",IF(AND(OR(F226="",F226="NA"),OR(G226="",G226="NA")),"",IF(I226="NA","NA",IF(AND(I226="",K226="--"),"NA",IF(AU226="NA","Missing Data",IF(I226="","No Criteria",IF(AU226&gt;=I226,"Needed","No")))))),"---")</f>
        <v/>
      </c>
      <c r="F226" s="431" t="str">
        <f>IF(TRUE=ISBLANK(ChemData!B226),"",(ChemData!B226))</f>
        <v/>
      </c>
      <c r="G226" s="432" t="str">
        <f>IF(TRUE=ISBLANK(ChemData!C226),"",(ChemData!C226))</f>
        <v/>
      </c>
      <c r="H226" s="433" t="str">
        <f>IF(TRUE=ISBLANK(ChemData!D226),"",(ChemData!D226))</f>
        <v/>
      </c>
      <c r="I226" s="919">
        <f>IF(TRUE=ISBLANK(ChemData!K226),"",(ChemData!K226))</f>
        <v>5.0000000000000002E-5</v>
      </c>
      <c r="J226" s="290">
        <f>IF(TRUE=ISBLANK(ChemData!M226),"",(ChemData!M226))</f>
        <v>406.9</v>
      </c>
      <c r="K226" s="290">
        <f>IF(TRUE=ISBLANK(ChemData!N226),"",(ChemData!N226))</f>
        <v>1.0000000000000001E-5</v>
      </c>
      <c r="L226" s="290">
        <f>IF(TRUE=ISBLANK(ChemData!O226),"",(ChemData!O226))</f>
        <v>1.15E-2</v>
      </c>
      <c r="M226" s="290">
        <f>IF(TRUE=ISBLANK(ChemData!Q226),"",(ChemData!Q226))</f>
        <v>77.162522880359163</v>
      </c>
      <c r="N226" s="290">
        <f>IF(TRUE=ISBLANK(ChemData!R226),"",(ChemData!R226))</f>
        <v>77.162522880359163</v>
      </c>
      <c r="O226" s="290">
        <f>IF(TRUE=ISBLANK(ChemData!S226),"",(ChemData!S226))</f>
        <v>1</v>
      </c>
      <c r="P226" s="291">
        <f>IF(TRUE=ISBLANK(ChemData!T226),"",(ChemData!T226))</f>
        <v>1</v>
      </c>
      <c r="Q226" s="375">
        <f>IF(Start!$C$18="x",IF(OR(K226="NA",K226="",K226="--"),"NA",(K226*1000000/82.1/Data!$D$50)),"---")</f>
        <v>3.9291186986758873E-4</v>
      </c>
      <c r="R226" s="376">
        <f>IF(Start!$C$18="x",IF(OR(J226="NA",J226=0,J226=""),"NA",(0.32*(Data!$D$48+Data!$D$49)*(18/J226)^0.5)),"---")</f>
        <v>0.17330840259045194</v>
      </c>
      <c r="S226" s="376">
        <f>IF(Start!$C$18="x",IF(OR(J226="NA",J226= 0,J226=""),"NA",(0.0065*((Data!$D$49^0.969)/(Data!$D$51^0.673))*(32/J226)^0.5*EXP(0.526*Data!$D$48^-1.9))),"---")</f>
        <v>3.6528663183739527E-4</v>
      </c>
      <c r="T226" s="377">
        <f>IF(Start!$C$18="x",IF(OR(S226="NA",R226="NA",R226=0,Q226="NA",S226=0,Q226=0),"NA",(1/(1/S226+(1/(R226*Q226))))),"---")</f>
        <v>5.7395536315582787E-5</v>
      </c>
      <c r="U226" s="375" t="str">
        <f>IF(Start!$C$18="x",IF(OR(F226="NA",F226="",O226="",O226="NA"),"NA",(F226*$O226)),"---")</f>
        <v>NA</v>
      </c>
      <c r="V226" s="376" t="str">
        <f>IF(Start!$C$18="x",IF(OR(U226="NA",M226="NA",M226="",U226=""),"NA",U226/((Data!$D$18+((1-Data!$D$18)*Data!$D$14*M226))/((1-Data!$D$18)*Data!$D$14*1000))),"---")</f>
        <v>NA</v>
      </c>
      <c r="W226" s="376" t="str">
        <f>IF(Start!$C$18="x",IF(OR(G226="NA",U226="NA",G226="",U226=""),"NA",(U226 +($G226*(Data!$D$19-Data!$D$22)/(Data!$D$19*Data!$D$22)))),"---")</f>
        <v>NA</v>
      </c>
      <c r="X226" s="376" t="str">
        <f>IF(Start!$C$18="x",IF(OR(G226="NA",V226="NA",G226="",V226=""),"NA",(((Data!$D$22*Data!$D$18)*V226)+(Data!$D$19-Data!$D$22)*$G226)/((Data!$D$22*Data!$D$18)+Data!$D$19-Data!$D$22)),"---")</f>
        <v>NA</v>
      </c>
      <c r="Y226" s="376" t="str">
        <f>IF(Start!$C$18="x",IF(OR(W226="NA",W226="",M226="NA",M226=""),"NA",(W226/((Data!$D$23+((1-Data!$D$23)*Data!$D$14*M226)) /((1-Data!$D$23)*Data!$D$14*1000)))),"---")</f>
        <v>NA</v>
      </c>
      <c r="Z226" s="376" t="str">
        <f>IF(Start!$C$18="x",IF(OR(Y226="NA",X226="NA"),"NA",IF(Y226&gt;X226, Y226, X226)),"---")</f>
        <v>NA</v>
      </c>
      <c r="AA226" s="461" t="str">
        <f>IF(Start!$C$18="x",IF(OR(Z226="NA",T226="NA"),"NA",Z226*T226/(1000000000)),"---")</f>
        <v>NA</v>
      </c>
      <c r="AB226" s="1057" t="str">
        <f>IF(Start!$C$18="x",IF(AA226 = "NA", "NA", AA226*(Data!$D$52*Data!$D$53*10000)),"---")</f>
        <v>NA</v>
      </c>
      <c r="AC226" s="375" t="str">
        <f>IF(Start!$C$18="x",IF(AB226="NA", "NA", AB226*Data!$D$54),"---")</f>
        <v>NA</v>
      </c>
      <c r="AD226" s="498" t="str">
        <f>IF(Start!$C$18="x",IF(AC226="NA","NA",AC226*Data!$D$41),"---")</f>
        <v>NA</v>
      </c>
      <c r="AE226" s="376" t="str">
        <f>IF(Start!$C$18="x",IF(AB226 = "NA", "NA", AB226/(Data!$D$53*3*Data!$D$48)*1000),"---")</f>
        <v>NA</v>
      </c>
      <c r="AF226" s="498" t="str">
        <f>IF(Start!$C$18="x",IF(AE226="NA","NA",AE226*Data!$D$46),"---")</f>
        <v>NA</v>
      </c>
      <c r="AG226" s="375">
        <f>IF(Start!$C$18="x",IF(OR($L226="NA",L226=""),"NA",($L226*(Data!$D$55^3.33)/(Data!$D$18^2))),"---")</f>
        <v>1.1715617716217096E-4</v>
      </c>
      <c r="AH226" s="376" t="str">
        <f>IF(Start!$C$18="x",IF(OR(F226="NA",F226="",P226="NA",P226=""),"NA",IF(100/Data!$D$10&gt;Data!$D$13,(F226*$P226),(F226*$P226)*Data!$D$13)),"---")</f>
        <v>NA</v>
      </c>
      <c r="AI226" s="489">
        <f>IF(Start!$C$18="x",IF(OR($N226="NA",$Q226="NA",$Q226=0,Q226="",N226=""),"NA",(1000*$N226/$Q226)),"---")</f>
        <v>196386336.98280209</v>
      </c>
      <c r="AJ226" s="376">
        <f>IF(Start!$C$18="x",IF(OR(Q226 = "NA",Q226=0,N226 = "NA",N226="",Q226=""), "NA", IF($AG226="NA","NA",(3.1416*Data!$D$57*86400/($AG226*(Data!$D$55+(N226*Data!$D$19/(Q226*1000)))))^0.5)),"---")</f>
        <v>645.51867572189792</v>
      </c>
      <c r="AK226" s="376" t="str">
        <f>IF(Start!$C$18="x",IF(OR(AH226 = "NA",AI226="NA",AI226=0,AI226="",AH226=""), "NA", AH226/AI226),"---")</f>
        <v>NA</v>
      </c>
      <c r="AL226" s="376" t="str">
        <f>IF(Start!$C$18="x",IF(OR(AK226 ="NA",AK226="",AJ226= "NA",R226="NA",R226=0),"NA",(2*AK226)/(1000*(1/$R226+AJ226))),"---")</f>
        <v>NA</v>
      </c>
      <c r="AM226" s="376" t="str">
        <f>IF(Start!$C$18="x",IF(AL226 = "NA", "NA", AL226*(Data!$D$52*Data!$D$53*10000)),"---")</f>
        <v>NA</v>
      </c>
      <c r="AN226" s="376" t="str">
        <f>IF(Start!$C$18="x",IF(AM226 = "NA", "NA", AM226*(Data!$D$54)),"---")</f>
        <v>NA</v>
      </c>
      <c r="AO226" s="498" t="str">
        <f>IF(Start!$C$18="x",IF(AN226="NA","NA",AN226*Data!$D$41),"---")</f>
        <v>NA</v>
      </c>
      <c r="AP226" s="376">
        <f>IF(Start!$C$18="x",IF(OR(Q226=0,N226="NA",N226="",AG226="NA",AG226="",AG226=0,Q226="",Q226="NA"),"NA", (3.1416*Data!$D$56*86400/($AG226*(Data!$D$55+(N226*Data!$D$19/(Q226*1000)))))^0.5),"---")</f>
        <v>645.51867572189792</v>
      </c>
      <c r="AQ226" s="376" t="str">
        <f>IF(Start!$C$18="x",IF(OR(AH226="NA",AI226="NA",AI226="",AI226=0,AH226=""),"NA", AH226/AI226),"---")</f>
        <v>NA</v>
      </c>
      <c r="AR226" s="376" t="str">
        <f>IF(Start!$C$18="x",IF(OR(AQ226="NA",AP226="NA",$R226="NA",R226=0,R226=""),"NA",(2*AQ226)/(1000*(1/$R226+AP226))),"---")</f>
        <v>NA</v>
      </c>
      <c r="AS226" s="376" t="str">
        <f>IF(Start!$C$18="x",IF(AR226 = "NA", "NA", AR226*(Data!$D$52*Data!$D$53*10000)),"---")</f>
        <v>NA</v>
      </c>
      <c r="AT226" s="376" t="str">
        <f>IF(Start!$C$18="x",IF(AS226 = "NA", "NA", (AS226*1000)/(Data!$D$48*3*Data!$D$53)),"---")</f>
        <v>NA</v>
      </c>
      <c r="AU226" s="498" t="str">
        <f>IF(Start!$C$18="x",IF(AT226="NA","NA",AT226*Data!$D$47),"---")</f>
        <v>NA</v>
      </c>
      <c r="AV226" s="283" t="str">
        <f>IF(Start!$C$18="x",(IF(AND(F226="",G226= "",G226&lt;&gt;"NA"),"",IF(OR(AD226="NA",I226="NA",I226=0),"NA",(AD226/I226)))),"Not Req.")</f>
        <v/>
      </c>
      <c r="AW226" s="284" t="str">
        <f>IF(Start!$C$18="x",(IF(AND(F226="",G226= "",G226&lt;&gt;"NA"),"",IF(OR(AF226="NA",I226="NA",I226=0),"NA",(AF226/I226)))),"Not Req.")</f>
        <v/>
      </c>
      <c r="AX226" s="284" t="str">
        <f>IF(Start!$C$18="x",(IF(F226 ="","",IF(OR(AO226="NA",I226="NA",I226=0),"NA",(AO226/I226)))),"Not Req.")</f>
        <v/>
      </c>
      <c r="AY226" s="344" t="str">
        <f>IF(Start!$C$18="x",(IF(F226 ="","",IF(OR(AU226="NA",I226="NA",I226=0),"NA",(AU226/I226)))),"Not Req.")</f>
        <v/>
      </c>
      <c r="AZ226" s="208"/>
    </row>
    <row r="227" spans="1:52" s="10" customFormat="1" x14ac:dyDescent="0.25">
      <c r="A227" s="405" t="s">
        <v>545</v>
      </c>
      <c r="B227" s="347" t="str">
        <f>IF(Start!$C$18="x",IF(AND(OR(F227="",F227="NA"),OR(G227="",G227="NA")),"",IF(I227="NA","NA",IF(AND(I227="",K227="--"),"NA",IF(AD227="NA","Missing Data",IF(I227="","No Criteria",IF(AD227&gt;=I227,"Needed","No")))))),"---")</f>
        <v/>
      </c>
      <c r="C227" s="501" t="str">
        <f>IF(Start!$C$18="x",IF(AND(OR(F227="",F227="NA"),OR(G227="",G227="NA")),"",IF(I227="NA","NA",IF(AND(I227="",K227="--"),"NA",IF(AF227="NA","Missing Data",IF(I227="","No Criteria",IF(AF227&gt;=I227,"Needed","No")))))),"---")</f>
        <v/>
      </c>
      <c r="D227" s="347" t="str">
        <f>IF(Start!$C$18="x",IF(AND(OR(F227="",F227="NA"),OR(G227="",G227="NA")),"",IF(I227="NA","NA",IF(AND(I227="",K227="--"),"NA",IF(AO227="NA","Missing Data",IF(I227="","No Criteria",IF(AO227&gt;=I227,"Needed","No")))))),"---")</f>
        <v/>
      </c>
      <c r="E227" s="401" t="str">
        <f>IF(Start!$C$18="x",IF(AND(OR(F227="",F227="NA"),OR(G227="",G227="NA")),"",IF(I227="NA","NA",IF(AND(I227="",K227="--"),"NA",IF(AU227="NA","Missing Data",IF(I227="","No Criteria",IF(AU227&gt;=I227,"Needed","No")))))),"---")</f>
        <v/>
      </c>
      <c r="F227" s="431" t="str">
        <f>IF(TRUE=ISBLANK(ChemData!B227),"",(ChemData!B227))</f>
        <v/>
      </c>
      <c r="G227" s="432" t="str">
        <f>IF(TRUE=ISBLANK(ChemData!C227),"",(ChemData!C227))</f>
        <v/>
      </c>
      <c r="H227" s="433" t="str">
        <f>IF(TRUE=ISBLANK(ChemData!D227),"",(ChemData!D227))</f>
        <v/>
      </c>
      <c r="I227" s="919">
        <f>IF(TRUE=ISBLANK(ChemData!K227),"",(ChemData!K227))</f>
        <v>5.0000000000000002E-5</v>
      </c>
      <c r="J227" s="290">
        <f>IF(TRUE=ISBLANK(ChemData!M227),"",(ChemData!M227))</f>
        <v>406.9</v>
      </c>
      <c r="K227" s="290">
        <f>IF(TRUE=ISBLANK(ChemData!N227),"",(ChemData!N227))</f>
        <v>1.91E-5</v>
      </c>
      <c r="L227" s="290">
        <f>IF(TRUE=ISBLANK(ChemData!O227),"",(ChemData!O227))</f>
        <v>1.15E-2</v>
      </c>
      <c r="M227" s="290">
        <f>IF(TRUE=ISBLANK(ChemData!Q227),"",(ChemData!Q227))</f>
        <v>125.14295874505591</v>
      </c>
      <c r="N227" s="290">
        <f>IF(TRUE=ISBLANK(ChemData!R227),"",(ChemData!R227))</f>
        <v>125.14295874505591</v>
      </c>
      <c r="O227" s="290">
        <f>IF(TRUE=ISBLANK(ChemData!S227),"",(ChemData!S227))</f>
        <v>1</v>
      </c>
      <c r="P227" s="291">
        <f>IF(TRUE=ISBLANK(ChemData!T227),"",(ChemData!T227))</f>
        <v>1</v>
      </c>
      <c r="Q227" s="375">
        <f>IF(Start!$C$18="x",IF(OR(K227="NA",K227="",K227="--"),"NA",(K227*1000000/82.1/Data!$D$50)),"---")</f>
        <v>7.5046167144709455E-4</v>
      </c>
      <c r="R227" s="376">
        <f>IF(Start!$C$18="x",IF(OR(J227="NA",J227=0,J227=""),"NA",(0.32*(Data!$D$48+Data!$D$49)*(18/J227)^0.5)),"---")</f>
        <v>0.17330840259045194</v>
      </c>
      <c r="S227" s="376">
        <f>IF(Start!$C$18="x",IF(OR(J227="NA",J227= 0,J227=""),"NA",(0.0065*((Data!$D$49^0.969)/(Data!$D$51^0.673))*(32/J227)^0.5*EXP(0.526*Data!$D$48^-1.9))),"---")</f>
        <v>3.6528663183739527E-4</v>
      </c>
      <c r="T227" s="377">
        <f>IF(Start!$C$18="x",IF(OR(S227="NA",R227="NA",R227=0,Q227="NA",S227=0,Q227=0),"NA",(1/(1/S227+(1/(R227*Q227))))),"---")</f>
        <v>9.5911691132692089E-5</v>
      </c>
      <c r="U227" s="375" t="str">
        <f>IF(Start!$C$18="x",IF(OR(F227="NA",F227="",O227="",O227="NA"),"NA",(F227*$O227)),"---")</f>
        <v>NA</v>
      </c>
      <c r="V227" s="376" t="str">
        <f>IF(Start!$C$18="x",IF(OR(U227="NA",M227="NA",M227="",U227=""),"NA",U227/((Data!$D$18+((1-Data!$D$18)*Data!$D$14*M227))/((1-Data!$D$18)*Data!$D$14*1000))),"---")</f>
        <v>NA</v>
      </c>
      <c r="W227" s="376" t="str">
        <f>IF(Start!$C$18="x",IF(OR(G227="NA",U227="NA",G227="",U227=""),"NA",(U227 +($G227*(Data!$D$19-Data!$D$22)/(Data!$D$19*Data!$D$22)))),"---")</f>
        <v>NA</v>
      </c>
      <c r="X227" s="376" t="str">
        <f>IF(Start!$C$18="x",IF(OR(G227="NA",V227="NA",G227="",V227=""),"NA",(((Data!$D$22*Data!$D$18)*V227)+(Data!$D$19-Data!$D$22)*$G227)/((Data!$D$22*Data!$D$18)+Data!$D$19-Data!$D$22)),"---")</f>
        <v>NA</v>
      </c>
      <c r="Y227" s="376" t="str">
        <f>IF(Start!$C$18="x",IF(OR(W227="NA",W227="",M227="NA",M227=""),"NA",(W227/((Data!$D$23+((1-Data!$D$23)*Data!$D$14*M227)) /((1-Data!$D$23)*Data!$D$14*1000)))),"---")</f>
        <v>NA</v>
      </c>
      <c r="Z227" s="376" t="str">
        <f>IF(Start!$C$18="x",IF(OR(Y227="NA",X227="NA"),"NA",IF(Y227&gt;X227, Y227, X227)),"---")</f>
        <v>NA</v>
      </c>
      <c r="AA227" s="461" t="str">
        <f>IF(Start!$C$18="x",IF(OR(Z227="NA",T227="NA"),"NA",Z227*T227/(1000000000)),"---")</f>
        <v>NA</v>
      </c>
      <c r="AB227" s="1057" t="str">
        <f>IF(Start!$C$18="x",IF(AA227 = "NA", "NA", AA227*(Data!$D$52*Data!$D$53*10000)),"---")</f>
        <v>NA</v>
      </c>
      <c r="AC227" s="375" t="str">
        <f>IF(Start!$C$18="x",IF(AB227="NA", "NA", AB227*Data!$D$54),"---")</f>
        <v>NA</v>
      </c>
      <c r="AD227" s="498" t="str">
        <f>IF(Start!$C$18="x",IF(AC227="NA","NA",AC227*Data!$D$41),"---")</f>
        <v>NA</v>
      </c>
      <c r="AE227" s="376" t="str">
        <f>IF(Start!$C$18="x",IF(AB227 = "NA", "NA", AB227/(Data!$D$53*3*Data!$D$48)*1000),"---")</f>
        <v>NA</v>
      </c>
      <c r="AF227" s="498" t="str">
        <f>IF(Start!$C$18="x",IF(AE227="NA","NA",AE227*Data!$D$46),"---")</f>
        <v>NA</v>
      </c>
      <c r="AG227" s="375">
        <f>IF(Start!$C$18="x",IF(OR($L227="NA",L227=""),"NA",($L227*(Data!$D$55^3.33)/(Data!$D$18^2))),"---")</f>
        <v>1.1715617716217096E-4</v>
      </c>
      <c r="AH227" s="376" t="str">
        <f>IF(Start!$C$18="x",IF(OR(F227="NA",F227="",P227="NA",P227=""),"NA",IF(100/Data!$D$10&gt;Data!$D$13,(F227*$P227),(F227*$P227)*Data!$D$13)),"---")</f>
        <v>NA</v>
      </c>
      <c r="AI227" s="489">
        <f>IF(Start!$C$18="x",IF(OR($N227="NA",$Q227="NA",$Q227=0,Q227="",N227=""),"NA",(1000*$N227/$Q227)),"---")</f>
        <v>166754630.52462918</v>
      </c>
      <c r="AJ227" s="376">
        <f>IF(Start!$C$18="x",IF(OR(Q227 = "NA",Q227=0,N227 = "NA",N227="",Q227=""), "NA", IF($AG227="NA","NA",(3.1416*Data!$D$57*86400/($AG227*(Data!$D$55+(N227*Data!$D$19/(Q227*1000)))))^0.5)),"---")</f>
        <v>700.52791968762926</v>
      </c>
      <c r="AK227" s="376" t="str">
        <f>IF(Start!$C$18="x",IF(OR(AH227 = "NA",AI227="NA",AI227=0,AI227="",AH227=""), "NA", AH227/AI227),"---")</f>
        <v>NA</v>
      </c>
      <c r="AL227" s="376" t="str">
        <f>IF(Start!$C$18="x",IF(OR(AK227 ="NA",AK227="",AJ227= "NA",R227="NA",R227=0),"NA",(2*AK227)/(1000*(1/$R227+AJ227))),"---")</f>
        <v>NA</v>
      </c>
      <c r="AM227" s="376" t="str">
        <f>IF(Start!$C$18="x",IF(AL227 = "NA", "NA", AL227*(Data!$D$52*Data!$D$53*10000)),"---")</f>
        <v>NA</v>
      </c>
      <c r="AN227" s="376" t="str">
        <f>IF(Start!$C$18="x",IF(AM227 = "NA", "NA", AM227*(Data!$D$54)),"---")</f>
        <v>NA</v>
      </c>
      <c r="AO227" s="498" t="str">
        <f>IF(Start!$C$18="x",IF(AN227="NA","NA",AN227*Data!$D$41),"---")</f>
        <v>NA</v>
      </c>
      <c r="AP227" s="376">
        <f>IF(Start!$C$18="x",IF(OR(Q227=0,N227="NA",N227="",AG227="NA",AG227="",AG227=0,Q227="",Q227="NA"),"NA", (3.1416*Data!$D$56*86400/($AG227*(Data!$D$55+(N227*Data!$D$19/(Q227*1000)))))^0.5),"---")</f>
        <v>700.52791968762926</v>
      </c>
      <c r="AQ227" s="376" t="str">
        <f>IF(Start!$C$18="x",IF(OR(AH227="NA",AI227="NA",AI227="",AI227=0,AH227=""),"NA", AH227/AI227),"---")</f>
        <v>NA</v>
      </c>
      <c r="AR227" s="376" t="str">
        <f>IF(Start!$C$18="x",IF(OR(AQ227="NA",AP227="NA",$R227="NA",R227=0,R227=""),"NA",(2*AQ227)/(1000*(1/$R227+AP227))),"---")</f>
        <v>NA</v>
      </c>
      <c r="AS227" s="376" t="str">
        <f>IF(Start!$C$18="x",IF(AR227 = "NA", "NA", AR227*(Data!$D$52*Data!$D$53*10000)),"---")</f>
        <v>NA</v>
      </c>
      <c r="AT227" s="376" t="str">
        <f>IF(Start!$C$18="x",IF(AS227 = "NA", "NA", (AS227*1000)/(Data!$D$48*3*Data!$D$53)),"---")</f>
        <v>NA</v>
      </c>
      <c r="AU227" s="498" t="str">
        <f>IF(Start!$C$18="x",IF(AT227="NA","NA",AT227*Data!$D$47),"---")</f>
        <v>NA</v>
      </c>
      <c r="AV227" s="283" t="str">
        <f>IF(Start!$C$18="x",(IF(AND(F227="",G227= "",G227&lt;&gt;"NA"),"",IF(OR(AD227="NA",I227="NA",I227=0),"NA",(AD227/I227)))),"Not Req.")</f>
        <v/>
      </c>
      <c r="AW227" s="284" t="str">
        <f>IF(Start!$C$18="x",(IF(AND(F227="",G227= "",G227&lt;&gt;"NA"),"",IF(OR(AF227="NA",I227="NA",I227=0),"NA",(AF227/I227)))),"Not Req.")</f>
        <v/>
      </c>
      <c r="AX227" s="284" t="str">
        <f>IF(Start!$C$18="x",(IF(F227 ="","",IF(OR(AO227="NA",I227="NA",I227=0),"NA",(AO227/I227)))),"Not Req.")</f>
        <v/>
      </c>
      <c r="AY227" s="344" t="str">
        <f>IF(Start!$C$18="x",(IF(F227 ="","",IF(OR(AU227="NA",I227="NA",I227=0),"NA",(AU227/I227)))),"Not Req.")</f>
        <v/>
      </c>
      <c r="AZ227" s="208"/>
    </row>
    <row r="228" spans="1:52" s="10" customFormat="1" x14ac:dyDescent="0.25">
      <c r="A228" s="405" t="s">
        <v>546</v>
      </c>
      <c r="B228" s="347" t="str">
        <f>IF(Start!$C$18="x",IF(AND(OR(F228="",F228="NA"),OR(G228="",G228="NA")),"",IF(I228="NA","NA",IF(AND(I228="",K228="--"),"NA",IF(AD228="NA","Missing Data",IF(I228="","No Criteria",IF(AD228&gt;=I228,"Needed","No")))))),"---")</f>
        <v/>
      </c>
      <c r="C228" s="501" t="str">
        <f>IF(Start!$C$18="x",IF(AND(OR(F228="",F228="NA"),OR(G228="",G228="NA")),"",IF(I228="NA","NA",IF(AND(I228="",K228="--"),"NA",IF(AF228="NA","Missing Data",IF(I228="","No Criteria",IF(AF228&gt;=I228,"Needed","No")))))),"---")</f>
        <v/>
      </c>
      <c r="D228" s="347" t="str">
        <f>IF(Start!$C$18="x",IF(AND(OR(F228="",F228="NA"),OR(G228="",G228="NA")),"",IF(I228="NA","NA",IF(AND(I228="",K228="--"),"NA",IF(AO228="NA","Missing Data",IF(I228="","No Criteria",IF(AO228&gt;=I228,"Needed","No")))))),"---")</f>
        <v/>
      </c>
      <c r="E228" s="401" t="str">
        <f>IF(Start!$C$18="x",IF(AND(OR(F228="",F228="NA"),OR(G228="",G228="NA")),"",IF(I228="NA","NA",IF(AND(I228="",K228="--"),"NA",IF(AU228="NA","Missing Data",IF(I228="","No Criteria",IF(AU228&gt;=I228,"Needed","No")))))),"---")</f>
        <v/>
      </c>
      <c r="F228" s="431" t="str">
        <f>IF(TRUE=ISBLANK(ChemData!B228),"",(ChemData!B228))</f>
        <v/>
      </c>
      <c r="G228" s="432" t="str">
        <f>IF(TRUE=ISBLANK(ChemData!C228),"",(ChemData!C228))</f>
        <v/>
      </c>
      <c r="H228" s="433" t="str">
        <f>IF(TRUE=ISBLANK(ChemData!D228),"",(ChemData!D228))</f>
        <v/>
      </c>
      <c r="I228" s="919" t="str">
        <f>IF(TRUE=ISBLANK(ChemData!K228),"",(ChemData!K228))</f>
        <v>NA</v>
      </c>
      <c r="J228" s="290">
        <f>IF(TRUE=ISBLANK(ChemData!M228),"",(ChemData!M228))</f>
        <v>422.9</v>
      </c>
      <c r="K228" s="290">
        <f>IF(TRUE=ISBLANK(ChemData!N228),"",(ChemData!N228))</f>
        <v>2.5999999999999998E-5</v>
      </c>
      <c r="L228" s="290">
        <f>IF(TRUE=ISBLANK(ChemData!O228),"",(ChemData!O228))</f>
        <v>1.15E-2</v>
      </c>
      <c r="M228" s="290">
        <f>IF(TRUE=ISBLANK(ChemData!Q228),"",(ChemData!Q228))</f>
        <v>84.607023897713418</v>
      </c>
      <c r="N228" s="290">
        <f>IF(TRUE=ISBLANK(ChemData!R228),"",(ChemData!R228))</f>
        <v>84.607023897713418</v>
      </c>
      <c r="O228" s="290">
        <f>IF(TRUE=ISBLANK(ChemData!S228),"",(ChemData!S228))</f>
        <v>1</v>
      </c>
      <c r="P228" s="291">
        <f>IF(TRUE=ISBLANK(ChemData!T228),"",(ChemData!T228))</f>
        <v>1</v>
      </c>
      <c r="Q228" s="375">
        <f>IF(Start!$C$18="x",IF(OR(K228="NA",K228="",K228="--"),"NA",(K228*1000000/82.1/Data!$D$50)),"---")</f>
        <v>1.0215708616557308E-3</v>
      </c>
      <c r="R228" s="376">
        <f>IF(Start!$C$18="x",IF(OR(J228="NA",J228=0,J228=""),"NA",(0.32*(Data!$D$48+Data!$D$49)*(18/J228)^0.5)),"---")</f>
        <v>0.16999831693490361</v>
      </c>
      <c r="S228" s="376">
        <f>IF(Start!$C$18="x",IF(OR(J228="NA",J228= 0,J228=""),"NA",(0.0065*((Data!$D$49^0.969)/(Data!$D$51^0.673))*(32/J228)^0.5*EXP(0.526*Data!$D$48^-1.9))),"---")</f>
        <v>3.5830987813050295E-4</v>
      </c>
      <c r="T228" s="377">
        <f>IF(Start!$C$18="x",IF(OR(S228="NA",R228="NA",R228=0,Q228="NA",S228=0,Q228=0),"NA",(1/(1/S228+(1/(R228*Q228))))),"---")</f>
        <v>1.1697162119508722E-4</v>
      </c>
      <c r="U228" s="375" t="str">
        <f>IF(Start!$C$18="x",IF(OR(F228="NA",F228="",O228="",O228="NA"),"NA",(F228*$O228)),"---")</f>
        <v>NA</v>
      </c>
      <c r="V228" s="376" t="str">
        <f>IF(Start!$C$18="x",IF(OR(U228="NA",M228="NA",M228="",U228=""),"NA",U228/((Data!$D$18+((1-Data!$D$18)*Data!$D$14*M228))/((1-Data!$D$18)*Data!$D$14*1000))),"---")</f>
        <v>NA</v>
      </c>
      <c r="W228" s="376" t="str">
        <f>IF(Start!$C$18="x",IF(OR(G228="NA",U228="NA",G228="",U228=""),"NA",(U228 +($G228*(Data!$D$19-Data!$D$22)/(Data!$D$19*Data!$D$22)))),"---")</f>
        <v>NA</v>
      </c>
      <c r="X228" s="376" t="str">
        <f>IF(Start!$C$18="x",IF(OR(G228="NA",V228="NA",G228="",V228=""),"NA",(((Data!$D$22*Data!$D$18)*V228)+(Data!$D$19-Data!$D$22)*$G228)/((Data!$D$22*Data!$D$18)+Data!$D$19-Data!$D$22)),"---")</f>
        <v>NA</v>
      </c>
      <c r="Y228" s="376" t="str">
        <f>IF(Start!$C$18="x",IF(OR(W228="NA",W228="",M228="NA",M228=""),"NA",(W228/((Data!$D$23+((1-Data!$D$23)*Data!$D$14*M228)) /((1-Data!$D$23)*Data!$D$14*1000)))),"---")</f>
        <v>NA</v>
      </c>
      <c r="Z228" s="376" t="str">
        <f>IF(Start!$C$18="x",IF(OR(Y228="NA",X228="NA"),"NA",IF(Y228&gt;X228, Y228, X228)),"---")</f>
        <v>NA</v>
      </c>
      <c r="AA228" s="461" t="str">
        <f>IF(Start!$C$18="x",IF(OR(Z228="NA",T228="NA"),"NA",Z228*T228/(1000000000)),"---")</f>
        <v>NA</v>
      </c>
      <c r="AB228" s="1057" t="str">
        <f>IF(Start!$C$18="x",IF(AA228 = "NA", "NA", AA228*(Data!$D$52*Data!$D$53*10000)),"---")</f>
        <v>NA</v>
      </c>
      <c r="AC228" s="375" t="str">
        <f>IF(Start!$C$18="x",IF(AB228="NA", "NA", AB228*Data!$D$54),"---")</f>
        <v>NA</v>
      </c>
      <c r="AD228" s="498" t="str">
        <f>IF(Start!$C$18="x",IF(AC228="NA","NA",AC228*Data!$D$41),"---")</f>
        <v>NA</v>
      </c>
      <c r="AE228" s="376" t="str">
        <f>IF(Start!$C$18="x",IF(AB228 = "NA", "NA", AB228/(Data!$D$53*3*Data!$D$48)*1000),"---")</f>
        <v>NA</v>
      </c>
      <c r="AF228" s="498" t="str">
        <f>IF(Start!$C$18="x",IF(AE228="NA","NA",AE228*Data!$D$46),"---")</f>
        <v>NA</v>
      </c>
      <c r="AG228" s="375">
        <f>IF(Start!$C$18="x",IF(OR($L228="NA",L228=""),"NA",($L228*(Data!$D$55^3.33)/(Data!$D$18^2))),"---")</f>
        <v>1.1715617716217096E-4</v>
      </c>
      <c r="AH228" s="376" t="str">
        <f>IF(Start!$C$18="x",IF(OR(F228="NA",F228="",P228="NA",P228=""),"NA",IF(100/Data!$D$10&gt;Data!$D$13,(F228*$P228),(F228*$P228)*Data!$D$13)),"---")</f>
        <v>NA</v>
      </c>
      <c r="AI228" s="489">
        <f>IF(Start!$C$18="x",IF(OR($N228="NA",$Q228="NA",$Q228=0,Q228="",N228=""),"NA",(1000*$N228/$Q228)),"---")</f>
        <v>82820514.046950147</v>
      </c>
      <c r="AJ228" s="376">
        <f>IF(Start!$C$18="x",IF(OR(Q228 = "NA",Q228=0,N228 = "NA",N228="",Q228=""), "NA", IF($AG228="NA","NA",(3.1416*Data!$D$57*86400/($AG228*(Data!$D$55+(N228*Data!$D$19/(Q228*1000)))))^0.5)),"---")</f>
        <v>994.02001337730201</v>
      </c>
      <c r="AK228" s="376" t="str">
        <f>IF(Start!$C$18="x",IF(OR(AH228 = "NA",AI228="NA",AI228=0,AI228="",AH228=""), "NA", AH228/AI228),"---")</f>
        <v>NA</v>
      </c>
      <c r="AL228" s="376" t="str">
        <f>IF(Start!$C$18="x",IF(OR(AK228 ="NA",AK228="",AJ228= "NA",R228="NA",R228=0),"NA",(2*AK228)/(1000*(1/$R228+AJ228))),"---")</f>
        <v>NA</v>
      </c>
      <c r="AM228" s="376" t="str">
        <f>IF(Start!$C$18="x",IF(AL228 = "NA", "NA", AL228*(Data!$D$52*Data!$D$53*10000)),"---")</f>
        <v>NA</v>
      </c>
      <c r="AN228" s="376" t="str">
        <f>IF(Start!$C$18="x",IF(AM228 = "NA", "NA", AM228*(Data!$D$54)),"---")</f>
        <v>NA</v>
      </c>
      <c r="AO228" s="498" t="str">
        <f>IF(Start!$C$18="x",IF(AN228="NA","NA",AN228*Data!$D$41),"---")</f>
        <v>NA</v>
      </c>
      <c r="AP228" s="376">
        <f>IF(Start!$C$18="x",IF(OR(Q228=0,N228="NA",N228="",AG228="NA",AG228="",AG228=0,Q228="",Q228="NA"),"NA", (3.1416*Data!$D$56*86400/($AG228*(Data!$D$55+(N228*Data!$D$19/(Q228*1000)))))^0.5),"---")</f>
        <v>994.02001337730201</v>
      </c>
      <c r="AQ228" s="376" t="str">
        <f>IF(Start!$C$18="x",IF(OR(AH228="NA",AI228="NA",AI228="",AI228=0,AH228=""),"NA", AH228/AI228),"---")</f>
        <v>NA</v>
      </c>
      <c r="AR228" s="376" t="str">
        <f>IF(Start!$C$18="x",IF(OR(AQ228="NA",AP228="NA",$R228="NA",R228=0,R228=""),"NA",(2*AQ228)/(1000*(1/$R228+AP228))),"---")</f>
        <v>NA</v>
      </c>
      <c r="AS228" s="376" t="str">
        <f>IF(Start!$C$18="x",IF(AR228 = "NA", "NA", AR228*(Data!$D$52*Data!$D$53*10000)),"---")</f>
        <v>NA</v>
      </c>
      <c r="AT228" s="376" t="str">
        <f>IF(Start!$C$18="x",IF(AS228 = "NA", "NA", (AS228*1000)/(Data!$D$48*3*Data!$D$53)),"---")</f>
        <v>NA</v>
      </c>
      <c r="AU228" s="498" t="str">
        <f>IF(Start!$C$18="x",IF(AT228="NA","NA",AT228*Data!$D$47),"---")</f>
        <v>NA</v>
      </c>
      <c r="AV228" s="283" t="str">
        <f>IF(Start!$C$18="x",(IF(AND(F228="",G228= "",G228&lt;&gt;"NA"),"",IF(OR(AD228="NA",I228="NA",I228=0),"NA",(AD228/I228)))),"Not Req.")</f>
        <v/>
      </c>
      <c r="AW228" s="284" t="str">
        <f>IF(Start!$C$18="x",(IF(AND(F228="",G228= "",G228&lt;&gt;"NA"),"",IF(OR(AF228="NA",I228="NA",I228=0),"NA",(AF228/I228)))),"Not Req.")</f>
        <v/>
      </c>
      <c r="AX228" s="284" t="str">
        <f>IF(Start!$C$18="x",(IF(F228 ="","",IF(OR(AO228="NA",I228="NA",I228=0),"NA",(AO228/I228)))),"Not Req.")</f>
        <v/>
      </c>
      <c r="AY228" s="344" t="str">
        <f>IF(Start!$C$18="x",(IF(F228 ="","",IF(OR(AU228="NA",I228="NA",I228=0),"NA",(AU228/I228)))),"Not Req.")</f>
        <v/>
      </c>
      <c r="AZ228" s="208"/>
    </row>
    <row r="229" spans="1:52" s="10" customFormat="1" x14ac:dyDescent="0.25">
      <c r="A229" s="405" t="s">
        <v>547</v>
      </c>
      <c r="B229" s="347" t="str">
        <f>IF(Start!$C$18="x",IF(AND(OR(F229="",F229="NA"),OR(G229="",G229="NA")),"",IF(I229="NA","NA",IF(AND(I229="",K229="--"),"NA",IF(AD229="NA","Missing Data",IF(I229="","No Criteria",IF(AD229&gt;=I229,"Needed","No")))))),"---")</f>
        <v/>
      </c>
      <c r="C229" s="501" t="str">
        <f>IF(Start!$C$18="x",IF(AND(OR(F229="",F229="NA"),OR(G229="",G229="NA")),"",IF(I229="NA","NA",IF(AND(I229="",K229="--"),"NA",IF(AF229="NA","Missing Data",IF(I229="","No Criteria",IF(AF229&gt;=I229,"Needed","No")))))),"---")</f>
        <v/>
      </c>
      <c r="D229" s="347" t="str">
        <f>IF(Start!$C$18="x",IF(AND(OR(F229="",F229="NA"),OR(G229="",G229="NA")),"",IF(I229="NA","NA",IF(AND(I229="",K229="--"),"NA",IF(AO229="NA","Missing Data",IF(I229="","No Criteria",IF(AO229&gt;=I229,"Needed","No")))))),"---")</f>
        <v/>
      </c>
      <c r="E229" s="401" t="str">
        <f>IF(Start!$C$18="x",IF(AND(OR(F229="",F229="NA"),OR(G229="",G229="NA")),"",IF(I229="NA","NA",IF(AND(I229="",K229="--"),"NA",IF(AU229="NA","Missing Data",IF(I229="","No Criteria",IF(AU229&gt;=I229,"Needed","No")))))),"---")</f>
        <v/>
      </c>
      <c r="F229" s="431" t="str">
        <f>IF(TRUE=ISBLANK(ChemData!B229),"",(ChemData!B229))</f>
        <v/>
      </c>
      <c r="G229" s="432" t="str">
        <f>IF(TRUE=ISBLANK(ChemData!C229),"",(ChemData!C229))</f>
        <v/>
      </c>
      <c r="H229" s="433" t="str">
        <f>IF(TRUE=ISBLANK(ChemData!D229),"",(ChemData!D229))</f>
        <v/>
      </c>
      <c r="I229" s="919">
        <f>IF(TRUE=ISBLANK(ChemData!K229),"",(ChemData!K229))</f>
        <v>2.9999999999999997E-4</v>
      </c>
      <c r="J229" s="290">
        <f>IF(TRUE=ISBLANK(ChemData!M229),"",(ChemData!M229))</f>
        <v>380.9</v>
      </c>
      <c r="K229" s="290">
        <f>IF(TRUE=ISBLANK(ChemData!N229),"",(ChemData!N229))</f>
        <v>3.9999999999999998E-7</v>
      </c>
      <c r="L229" s="290">
        <f>IF(TRUE=ISBLANK(ChemData!O229),"",(ChemData!O229))</f>
        <v>1.2500000000000001E-2</v>
      </c>
      <c r="M229" s="290">
        <f>IF(TRUE=ISBLANK(ChemData!Q229),"",(ChemData!Q229))</f>
        <v>2933.6372992455267</v>
      </c>
      <c r="N229" s="290">
        <f>IF(TRUE=ISBLANK(ChemData!R229),"",(ChemData!R229))</f>
        <v>2933.6372992455267</v>
      </c>
      <c r="O229" s="290">
        <f>IF(TRUE=ISBLANK(ChemData!S229),"",(ChemData!S229))</f>
        <v>1</v>
      </c>
      <c r="P229" s="291">
        <f>IF(TRUE=ISBLANK(ChemData!T229),"",(ChemData!T229))</f>
        <v>1</v>
      </c>
      <c r="Q229" s="375">
        <f>IF(Start!$C$18="x",IF(OR(K229="NA",K229="",K229="--"),"NA",(K229*1000000/82.1/Data!$D$50)),"---")</f>
        <v>1.5716474794703546E-5</v>
      </c>
      <c r="R229" s="376">
        <f>IF(Start!$C$18="x",IF(OR(J229="NA",J229=0,J229=""),"NA",(0.32*(Data!$D$48+Data!$D$49)*(18/J229)^0.5)),"---")</f>
        <v>0.17912573190032322</v>
      </c>
      <c r="S229" s="376">
        <f>IF(Start!$C$18="x",IF(OR(J229="NA",J229= 0,J229=""),"NA",(0.0065*((Data!$D$49^0.969)/(Data!$D$51^0.673))*(32/J229)^0.5*EXP(0.526*Data!$D$48^-1.9))),"---")</f>
        <v>3.7754796826499742E-4</v>
      </c>
      <c r="T229" s="377">
        <f>IF(Start!$C$18="x",IF(OR(S229="NA",R229="NA",R229=0,Q229="NA",S229=0,Q229=0),"NA",(1/(1/S229+(1/(R229*Q229))))),"---")</f>
        <v>2.7943884074535686E-6</v>
      </c>
      <c r="U229" s="375" t="str">
        <f>IF(Start!$C$18="x",IF(OR(F229="NA",F229="",O229="",O229="NA"),"NA",(F229*$O229)),"---")</f>
        <v>NA</v>
      </c>
      <c r="V229" s="376" t="str">
        <f>IF(Start!$C$18="x",IF(OR(U229="NA",M229="NA",M229="",U229=""),"NA",U229/((Data!$D$18+((1-Data!$D$18)*Data!$D$14*M229))/((1-Data!$D$18)*Data!$D$14*1000))),"---")</f>
        <v>NA</v>
      </c>
      <c r="W229" s="376" t="str">
        <f>IF(Start!$C$18="x",IF(OR(G229="NA",U229="NA",G229="",U229=""),"NA",(U229 +($G229*(Data!$D$19-Data!$D$22)/(Data!$D$19*Data!$D$22)))),"---")</f>
        <v>NA</v>
      </c>
      <c r="X229" s="376" t="str">
        <f>IF(Start!$C$18="x",IF(OR(G229="NA",V229="NA",G229="",V229=""),"NA",(((Data!$D$22*Data!$D$18)*V229)+(Data!$D$19-Data!$D$22)*$G229)/((Data!$D$22*Data!$D$18)+Data!$D$19-Data!$D$22)),"---")</f>
        <v>NA</v>
      </c>
      <c r="Y229" s="376" t="str">
        <f>IF(Start!$C$18="x",IF(OR(W229="NA",W229="",M229="NA",M229=""),"NA",(W229/((Data!$D$23+((1-Data!$D$23)*Data!$D$14*M229)) /((1-Data!$D$23)*Data!$D$14*1000)))),"---")</f>
        <v>NA</v>
      </c>
      <c r="Z229" s="376" t="str">
        <f>IF(Start!$C$18="x",IF(OR(Y229="NA",X229="NA"),"NA",IF(Y229&gt;X229, Y229, X229)),"---")</f>
        <v>NA</v>
      </c>
      <c r="AA229" s="461" t="str">
        <f>IF(Start!$C$18="x",IF(OR(Z229="NA",T229="NA"),"NA",Z229*T229/(1000000000)),"---")</f>
        <v>NA</v>
      </c>
      <c r="AB229" s="1057" t="str">
        <f>IF(Start!$C$18="x",IF(AA229 = "NA", "NA", AA229*(Data!$D$52*Data!$D$53*10000)),"---")</f>
        <v>NA</v>
      </c>
      <c r="AC229" s="375" t="str">
        <f>IF(Start!$C$18="x",IF(AB229="NA", "NA", AB229*Data!$D$54),"---")</f>
        <v>NA</v>
      </c>
      <c r="AD229" s="498" t="str">
        <f>IF(Start!$C$18="x",IF(AC229="NA","NA",AC229*Data!$D$41),"---")</f>
        <v>NA</v>
      </c>
      <c r="AE229" s="376" t="str">
        <f>IF(Start!$C$18="x",IF(AB229 = "NA", "NA", AB229/(Data!$D$53*3*Data!$D$48)*1000),"---")</f>
        <v>NA</v>
      </c>
      <c r="AF229" s="498" t="str">
        <f>IF(Start!$C$18="x",IF(AE229="NA","NA",AE229*Data!$D$46),"---")</f>
        <v>NA</v>
      </c>
      <c r="AG229" s="375">
        <f>IF(Start!$C$18="x",IF(OR($L229="NA",L229=""),"NA",($L229*(Data!$D$55^3.33)/(Data!$D$18^2))),"---")</f>
        <v>1.273436708284467E-4</v>
      </c>
      <c r="AH229" s="376" t="str">
        <f>IF(Start!$C$18="x",IF(OR(F229="NA",F229="",P229="NA",P229=""),"NA",IF(100/Data!$D$10&gt;Data!$D$13,(F229*$P229),(F229*$P229)*Data!$D$13)),"---")</f>
        <v>NA</v>
      </c>
      <c r="AI229" s="489">
        <f>IF(Start!$C$18="x",IF(OR($N229="NA",$Q229="NA",$Q229=0,Q229="",N229=""),"NA",(1000*$N229/$Q229)),"---")</f>
        <v>186660007257.74475</v>
      </c>
      <c r="AJ229" s="376">
        <f>IF(Start!$C$18="x",IF(OR(Q229 = "NA",Q229=0,N229 = "NA",N229="",Q229=""), "NA", IF($AG229="NA","NA",(3.1416*Data!$D$57*86400/($AG229*(Data!$D$55+(N229*Data!$D$19/(Q229*1000)))))^0.5)),"---")</f>
        <v>20.083203130622167</v>
      </c>
      <c r="AK229" s="376" t="str">
        <f>IF(Start!$C$18="x",IF(OR(AH229 = "NA",AI229="NA",AI229=0,AI229="",AH229=""), "NA", AH229/AI229),"---")</f>
        <v>NA</v>
      </c>
      <c r="AL229" s="376" t="str">
        <f>IF(Start!$C$18="x",IF(OR(AK229 ="NA",AK229="",AJ229= "NA",R229="NA",R229=0),"NA",(2*AK229)/(1000*(1/$R229+AJ229))),"---")</f>
        <v>NA</v>
      </c>
      <c r="AM229" s="376" t="str">
        <f>IF(Start!$C$18="x",IF(AL229 = "NA", "NA", AL229*(Data!$D$52*Data!$D$53*10000)),"---")</f>
        <v>NA</v>
      </c>
      <c r="AN229" s="376" t="str">
        <f>IF(Start!$C$18="x",IF(AM229 = "NA", "NA", AM229*(Data!$D$54)),"---")</f>
        <v>NA</v>
      </c>
      <c r="AO229" s="498" t="str">
        <f>IF(Start!$C$18="x",IF(AN229="NA","NA",AN229*Data!$D$41),"---")</f>
        <v>NA</v>
      </c>
      <c r="AP229" s="376">
        <f>IF(Start!$C$18="x",IF(OR(Q229=0,N229="NA",N229="",AG229="NA",AG229="",AG229=0,Q229="",Q229="NA"),"NA", (3.1416*Data!$D$56*86400/($AG229*(Data!$D$55+(N229*Data!$D$19/(Q229*1000)))))^0.5),"---")</f>
        <v>20.083203130622167</v>
      </c>
      <c r="AQ229" s="376" t="str">
        <f>IF(Start!$C$18="x",IF(OR(AH229="NA",AI229="NA",AI229="",AI229=0,AH229=""),"NA", AH229/AI229),"---")</f>
        <v>NA</v>
      </c>
      <c r="AR229" s="376" t="str">
        <f>IF(Start!$C$18="x",IF(OR(AQ229="NA",AP229="NA",$R229="NA",R229=0,R229=""),"NA",(2*AQ229)/(1000*(1/$R229+AP229))),"---")</f>
        <v>NA</v>
      </c>
      <c r="AS229" s="376" t="str">
        <f>IF(Start!$C$18="x",IF(AR229 = "NA", "NA", AR229*(Data!$D$52*Data!$D$53*10000)),"---")</f>
        <v>NA</v>
      </c>
      <c r="AT229" s="376" t="str">
        <f>IF(Start!$C$18="x",IF(AS229 = "NA", "NA", (AS229*1000)/(Data!$D$48*3*Data!$D$53)),"---")</f>
        <v>NA</v>
      </c>
      <c r="AU229" s="498" t="str">
        <f>IF(Start!$C$18="x",IF(AT229="NA","NA",AT229*Data!$D$47),"---")</f>
        <v>NA</v>
      </c>
      <c r="AV229" s="283" t="str">
        <f>IF(Start!$C$18="x",(IF(AND(F229="",G229= "",G229&lt;&gt;"NA"),"",IF(OR(AD229="NA",I229="NA",I229=0),"NA",(AD229/I229)))),"Not Req.")</f>
        <v/>
      </c>
      <c r="AW229" s="284" t="str">
        <f>IF(Start!$C$18="x",(IF(AND(F229="",G229= "",G229&lt;&gt;"NA"),"",IF(OR(AF229="NA",I229="NA",I229=0),"NA",(AF229/I229)))),"Not Req.")</f>
        <v/>
      </c>
      <c r="AX229" s="284" t="str">
        <f>IF(Start!$C$18="x",(IF(F229 ="","",IF(OR(AO229="NA",I229="NA",I229=0),"NA",(AO229/I229)))),"Not Req.")</f>
        <v/>
      </c>
      <c r="AY229" s="344" t="str">
        <f>IF(Start!$C$18="x",(IF(F229 ="","",IF(OR(AU229="NA",I229="NA",I229=0),"NA",(AU229/I229)))),"Not Req.")</f>
        <v/>
      </c>
      <c r="AZ229" s="208"/>
    </row>
    <row r="230" spans="1:52" s="10" customFormat="1" x14ac:dyDescent="0.25">
      <c r="A230" s="405" t="s">
        <v>548</v>
      </c>
      <c r="B230" s="347" t="str">
        <f>IF(Start!$C$18="x",IF(AND(OR(F230="",F230="NA"),OR(G230="",G230="NA")),"",IF(I230="NA","NA",IF(AND(I230="",K230="--"),"NA",IF(AD230="NA","Missing Data",IF(I230="","No Criteria",IF(AD230&gt;=I230,"Needed","No")))))),"---")</f>
        <v/>
      </c>
      <c r="C230" s="501" t="str">
        <f>IF(Start!$C$18="x",IF(AND(OR(F230="",F230="NA"),OR(G230="",G230="NA")),"",IF(I230="NA","NA",IF(AND(I230="",K230="--"),"NA",IF(AF230="NA","Missing Data",IF(I230="","No Criteria",IF(AF230&gt;=I230,"Needed","No")))))),"---")</f>
        <v/>
      </c>
      <c r="D230" s="347" t="str">
        <f>IF(Start!$C$18="x",IF(AND(OR(F230="",F230="NA"),OR(G230="",G230="NA")),"",IF(I230="NA","NA",IF(AND(I230="",K230="--"),"NA",IF(AO230="NA","Missing Data",IF(I230="","No Criteria",IF(AO230&gt;=I230,"Needed","No")))))),"---")</f>
        <v/>
      </c>
      <c r="E230" s="401" t="str">
        <f>IF(Start!$C$18="x",IF(AND(OR(F230="",F230="NA"),OR(G230="",G230="NA")),"",IF(I230="NA","NA",IF(AND(I230="",K230="--"),"NA",IF(AU230="NA","Missing Data",IF(I230="","No Criteria",IF(AU230&gt;=I230,"Needed","No")))))),"---")</f>
        <v/>
      </c>
      <c r="F230" s="431" t="str">
        <f>IF(TRUE=ISBLANK(ChemData!B230),"",(ChemData!B230))</f>
        <v/>
      </c>
      <c r="G230" s="432" t="str">
        <f>IF(TRUE=ISBLANK(ChemData!C230),"",(ChemData!C230))</f>
        <v/>
      </c>
      <c r="H230" s="433" t="str">
        <f>IF(TRUE=ISBLANK(ChemData!D230),"",(ChemData!D230))</f>
        <v/>
      </c>
      <c r="I230" s="919" t="str">
        <f>IF(TRUE=ISBLANK(ChemData!K230),"",(ChemData!K230))</f>
        <v>NA</v>
      </c>
      <c r="J230" s="290">
        <f>IF(TRUE=ISBLANK(ChemData!M230),"",(ChemData!M230))</f>
        <v>381</v>
      </c>
      <c r="K230" s="290">
        <f>IF(TRUE=ISBLANK(ChemData!N230),"",(ChemData!N230))</f>
        <v>2.0000000000000001E-9</v>
      </c>
      <c r="L230" s="290">
        <f>IF(TRUE=ISBLANK(ChemData!O230),"",(ChemData!O230))</f>
        <v>0.14926737821553512</v>
      </c>
      <c r="M230" s="290">
        <f>IF(TRUE=ISBLANK(ChemData!Q230),"",(ChemData!Q230))</f>
        <v>185.1</v>
      </c>
      <c r="N230" s="290">
        <f>IF(TRUE=ISBLANK(ChemData!R230),"",(ChemData!R230))</f>
        <v>185.1</v>
      </c>
      <c r="O230" s="290">
        <f>IF(TRUE=ISBLANK(ChemData!S230),"",(ChemData!S230))</f>
        <v>1</v>
      </c>
      <c r="P230" s="291">
        <f>IF(TRUE=ISBLANK(ChemData!T230),"",(ChemData!T230))</f>
        <v>1</v>
      </c>
      <c r="Q230" s="375">
        <f>IF(Start!$C$18="x",IF(OR(K230="NA",K230="",K230="--"),"NA",(K230*1000000/82.1/Data!$D$50)),"---")</f>
        <v>7.8582373973517742E-8</v>
      </c>
      <c r="R230" s="376">
        <f>IF(Start!$C$18="x",IF(OR(J230="NA",J230=0,J230=""),"NA",(0.32*(Data!$D$48+Data!$D$49)*(18/J230)^0.5)),"---")</f>
        <v>0.1791022230437484</v>
      </c>
      <c r="S230" s="376">
        <f>IF(Start!$C$18="x",IF(OR(J230="NA",J230= 0,J230=""),"NA",(0.0065*((Data!$D$49^0.969)/(Data!$D$51^0.673))*(32/J230)^0.5*EXP(0.526*Data!$D$48^-1.9))),"---")</f>
        <v>3.7749841803599399E-4</v>
      </c>
      <c r="T230" s="377">
        <f>IF(Start!$C$18="x",IF(OR(S230="NA",R230="NA",R230=0,Q230="NA",S230=0,Q230=0),"NA",(1/(1/S230+(1/(R230*Q230))))),"---")</f>
        <v>1.4073753158810988E-8</v>
      </c>
      <c r="U230" s="375" t="str">
        <f>IF(Start!$C$18="x",IF(OR(F230="NA",F230="",O230="",O230="NA"),"NA",(F230*$O230)),"---")</f>
        <v>NA</v>
      </c>
      <c r="V230" s="376" t="str">
        <f>IF(Start!$C$18="x",IF(OR(U230="NA",M230="NA",M230="",U230=""),"NA",U230/((Data!$D$18+((1-Data!$D$18)*Data!$D$14*M230))/((1-Data!$D$18)*Data!$D$14*1000))),"---")</f>
        <v>NA</v>
      </c>
      <c r="W230" s="376" t="str">
        <f>IF(Start!$C$18="x",IF(OR(G230="NA",U230="NA",G230="",U230=""),"NA",(U230 +($G230*(Data!$D$19-Data!$D$22)/(Data!$D$19*Data!$D$22)))),"---")</f>
        <v>NA</v>
      </c>
      <c r="X230" s="376" t="str">
        <f>IF(Start!$C$18="x",IF(OR(G230="NA",V230="NA",G230="",V230=""),"NA",(((Data!$D$22*Data!$D$18)*V230)+(Data!$D$19-Data!$D$22)*$G230)/((Data!$D$22*Data!$D$18)+Data!$D$19-Data!$D$22)),"---")</f>
        <v>NA</v>
      </c>
      <c r="Y230" s="376" t="str">
        <f>IF(Start!$C$18="x",IF(OR(W230="NA",W230="",M230="NA",M230=""),"NA",(W230/((Data!$D$23+((1-Data!$D$23)*Data!$D$14*M230)) /((1-Data!$D$23)*Data!$D$14*1000)))),"---")</f>
        <v>NA</v>
      </c>
      <c r="Z230" s="376" t="str">
        <f>IF(Start!$C$18="x",IF(OR(Y230="NA",X230="NA"),"NA",IF(Y230&gt;X230, Y230, X230)),"---")</f>
        <v>NA</v>
      </c>
      <c r="AA230" s="461" t="str">
        <f>IF(Start!$C$18="x",IF(OR(Z230="NA",T230="NA"),"NA",Z230*T230/(1000000000)),"---")</f>
        <v>NA</v>
      </c>
      <c r="AB230" s="1057" t="str">
        <f>IF(Start!$C$18="x",IF(AA230 = "NA", "NA", AA230*(Data!$D$52*Data!$D$53*10000)),"---")</f>
        <v>NA</v>
      </c>
      <c r="AC230" s="375" t="str">
        <f>IF(Start!$C$18="x",IF(AB230="NA", "NA", AB230*Data!$D$54),"---")</f>
        <v>NA</v>
      </c>
      <c r="AD230" s="498" t="str">
        <f>IF(Start!$C$18="x",IF(AC230="NA","NA",AC230*Data!$D$41),"---")</f>
        <v>NA</v>
      </c>
      <c r="AE230" s="376" t="str">
        <f>IF(Start!$C$18="x",IF(AB230 = "NA", "NA", AB230/(Data!$D$53*3*Data!$D$48)*1000),"---")</f>
        <v>NA</v>
      </c>
      <c r="AF230" s="498" t="str">
        <f>IF(Start!$C$18="x",IF(AE230="NA","NA",AE230*Data!$D$46),"---")</f>
        <v>NA</v>
      </c>
      <c r="AG230" s="375">
        <f>IF(Start!$C$18="x",IF(OR($L230="NA",L230=""),"NA",($L230*(Data!$D$55^3.33)/(Data!$D$18^2))),"---")</f>
        <v>1.5206604701523485E-3</v>
      </c>
      <c r="AH230" s="376" t="str">
        <f>IF(Start!$C$18="x",IF(OR(F230="NA",F230="",P230="NA",P230=""),"NA",IF(100/Data!$D$10&gt;Data!$D$13,(F230*$P230),(F230*$P230)*Data!$D$13)),"---")</f>
        <v>NA</v>
      </c>
      <c r="AI230" s="489">
        <f>IF(Start!$C$18="x",IF(OR($N230="NA",$Q230="NA",$Q230=0,Q230="",N230=""),"NA",(1000*$N230/$Q230)),"---")</f>
        <v>2355490050000</v>
      </c>
      <c r="AJ230" s="376">
        <f>IF(Start!$C$18="x",IF(OR(Q230 = "NA",Q230=0,N230 = "NA",N230="",Q230=""), "NA", IF($AG230="NA","NA",(3.1416*Data!$D$57*86400/($AG230*(Data!$D$55+(N230*Data!$D$19/(Q230*1000)))))^0.5)),"---")</f>
        <v>1.6360272664757898</v>
      </c>
      <c r="AK230" s="376" t="str">
        <f>IF(Start!$C$18="x",IF(OR(AH230 = "NA",AI230="NA",AI230=0,AI230="",AH230=""), "NA", AH230/AI230),"---")</f>
        <v>NA</v>
      </c>
      <c r="AL230" s="376" t="str">
        <f>IF(Start!$C$18="x",IF(OR(AK230 ="NA",AK230="",AJ230= "NA",R230="NA",R230=0),"NA",(2*AK230)/(1000*(1/$R230+AJ230))),"---")</f>
        <v>NA</v>
      </c>
      <c r="AM230" s="376" t="str">
        <f>IF(Start!$C$18="x",IF(AL230 = "NA", "NA", AL230*(Data!$D$52*Data!$D$53*10000)),"---")</f>
        <v>NA</v>
      </c>
      <c r="AN230" s="376" t="str">
        <f>IF(Start!$C$18="x",IF(AM230 = "NA", "NA", AM230*(Data!$D$54)),"---")</f>
        <v>NA</v>
      </c>
      <c r="AO230" s="498" t="str">
        <f>IF(Start!$C$18="x",IF(AN230="NA","NA",AN230*Data!$D$41),"---")</f>
        <v>NA</v>
      </c>
      <c r="AP230" s="376">
        <f>IF(Start!$C$18="x",IF(OR(Q230=0,N230="NA",N230="",AG230="NA",AG230="",AG230=0,Q230="",Q230="NA"),"NA", (3.1416*Data!$D$56*86400/($AG230*(Data!$D$55+(N230*Data!$D$19/(Q230*1000)))))^0.5),"---")</f>
        <v>1.6360272664757898</v>
      </c>
      <c r="AQ230" s="376" t="str">
        <f>IF(Start!$C$18="x",IF(OR(AH230="NA",AI230="NA",AI230="",AI230=0,AH230=""),"NA", AH230/AI230),"---")</f>
        <v>NA</v>
      </c>
      <c r="AR230" s="376" t="str">
        <f>IF(Start!$C$18="x",IF(OR(AQ230="NA",AP230="NA",$R230="NA",R230=0,R230=""),"NA",(2*AQ230)/(1000*(1/$R230+AP230))),"---")</f>
        <v>NA</v>
      </c>
      <c r="AS230" s="376" t="str">
        <f>IF(Start!$C$18="x",IF(AR230 = "NA", "NA", AR230*(Data!$D$52*Data!$D$53*10000)),"---")</f>
        <v>NA</v>
      </c>
      <c r="AT230" s="376" t="str">
        <f>IF(Start!$C$18="x",IF(AS230 = "NA", "NA", (AS230*1000)/(Data!$D$48*3*Data!$D$53)),"---")</f>
        <v>NA</v>
      </c>
      <c r="AU230" s="498" t="str">
        <f>IF(Start!$C$18="x",IF(AT230="NA","NA",AT230*Data!$D$47),"---")</f>
        <v>NA</v>
      </c>
      <c r="AV230" s="283" t="str">
        <f>IF(Start!$C$18="x",(IF(AND(F230="",G230= "",G230&lt;&gt;"NA"),"",IF(OR(AD230="NA",I230="NA",I230=0),"NA",(AD230/I230)))),"Not Req.")</f>
        <v/>
      </c>
      <c r="AW230" s="284" t="str">
        <f>IF(Start!$C$18="x",(IF(AND(F230="",G230= "",G230&lt;&gt;"NA"),"",IF(OR(AF230="NA",I230="NA",I230=0),"NA",(AF230/I230)))),"Not Req.")</f>
        <v/>
      </c>
      <c r="AX230" s="284" t="str">
        <f>IF(Start!$C$18="x",(IF(F230 ="","",IF(OR(AO230="NA",I230="NA",I230=0),"NA",(AO230/I230)))),"Not Req.")</f>
        <v/>
      </c>
      <c r="AY230" s="344" t="str">
        <f>IF(Start!$C$18="x",(IF(F230 ="","",IF(OR(AU230="NA",I230="NA",I230=0),"NA",(AU230/I230)))),"Not Req.")</f>
        <v/>
      </c>
      <c r="AZ230" s="208"/>
    </row>
    <row r="231" spans="1:52" s="10" customFormat="1" x14ac:dyDescent="0.25">
      <c r="A231" s="405" t="s">
        <v>549</v>
      </c>
      <c r="B231" s="347" t="str">
        <f>IF(Start!$C$18="x",IF(AND(OR(F231="",F231="NA"),OR(G231="",G231="NA")),"",IF(I231="NA","NA",IF(AND(I231="",K231="--"),"NA",IF(AD231="NA","Missing Data",IF(I231="","No Criteria",IF(AD231&gt;=I231,"Needed","No")))))),"---")</f>
        <v/>
      </c>
      <c r="C231" s="501" t="str">
        <f>IF(Start!$C$18="x",IF(AND(OR(F231="",F231="NA"),OR(G231="",G231="NA")),"",IF(I231="NA","NA",IF(AND(I231="",K231="--"),"NA",IF(AF231="NA","Missing Data",IF(I231="","No Criteria",IF(AF231&gt;=I231,"Needed","No")))))),"---")</f>
        <v/>
      </c>
      <c r="D231" s="347" t="str">
        <f>IF(Start!$C$18="x",IF(AND(OR(F231="",F231="NA"),OR(G231="",G231="NA")),"",IF(I231="NA","NA",IF(AND(I231="",K231="--"),"NA",IF(AO231="NA","Missing Data",IF(I231="","No Criteria",IF(AO231&gt;=I231,"Needed","No")))))),"---")</f>
        <v/>
      </c>
      <c r="E231" s="401" t="str">
        <f>IF(Start!$C$18="x",IF(AND(OR(F231="",F231="NA"),OR(G231="",G231="NA")),"",IF(I231="NA","NA",IF(AND(I231="",K231="--"),"NA",IF(AU231="NA","Missing Data",IF(I231="","No Criteria",IF(AU231&gt;=I231,"Needed","No")))))),"---")</f>
        <v/>
      </c>
      <c r="F231" s="431" t="str">
        <f>IF(TRUE=ISBLANK(ChemData!B231),"",(ChemData!B231))</f>
        <v/>
      </c>
      <c r="G231" s="432" t="str">
        <f>IF(TRUE=ISBLANK(ChemData!C231),"",(ChemData!C231))</f>
        <v/>
      </c>
      <c r="H231" s="433" t="str">
        <f>IF(TRUE=ISBLANK(ChemData!D231),"",(ChemData!D231))</f>
        <v/>
      </c>
      <c r="I231" s="919" t="str">
        <f>IF(TRUE=ISBLANK(ChemData!K231),"",(ChemData!K231))</f>
        <v>NA</v>
      </c>
      <c r="J231" s="290">
        <f>IF(TRUE=ISBLANK(ChemData!M231),"",(ChemData!M231))</f>
        <v>381</v>
      </c>
      <c r="K231" s="290">
        <f>IF(TRUE=ISBLANK(ChemData!N231),"",(ChemData!N231))</f>
        <v>2.0199999999999999E-8</v>
      </c>
      <c r="L231" s="290">
        <f>IF(TRUE=ISBLANK(ChemData!O231),"",(ChemData!O231))</f>
        <v>3.1E-2</v>
      </c>
      <c r="M231" s="290">
        <f>IF(TRUE=ISBLANK(ChemData!Q231),"",(ChemData!Q231))</f>
        <v>1808.866095989209</v>
      </c>
      <c r="N231" s="290">
        <f>IF(TRUE=ISBLANK(ChemData!R231),"",(ChemData!R231))</f>
        <v>1808.866095989209</v>
      </c>
      <c r="O231" s="290">
        <f>IF(TRUE=ISBLANK(ChemData!S231),"",(ChemData!S231))</f>
        <v>1</v>
      </c>
      <c r="P231" s="291">
        <f>IF(TRUE=ISBLANK(ChemData!T231),"",(ChemData!T231))</f>
        <v>1</v>
      </c>
      <c r="Q231" s="375">
        <f>IF(Start!$C$18="x",IF(OR(K231="NA",K231="",K231="--"),"NA",(K231*1000000/82.1/Data!$D$50)),"---")</f>
        <v>7.9368197713252907E-7</v>
      </c>
      <c r="R231" s="376">
        <f>IF(Start!$C$18="x",IF(OR(J231="NA",J231=0,J231=""),"NA",(0.32*(Data!$D$48+Data!$D$49)*(18/J231)^0.5)),"---")</f>
        <v>0.1791022230437484</v>
      </c>
      <c r="S231" s="376">
        <f>IF(Start!$C$18="x",IF(OR(J231="NA",J231= 0,J231=""),"NA",(0.0065*((Data!$D$49^0.969)/(Data!$D$51^0.673))*(32/J231)^0.5*EXP(0.526*Data!$D$48^-1.9))),"---")</f>
        <v>3.7749841803599399E-4</v>
      </c>
      <c r="T231" s="377">
        <f>IF(Start!$C$18="x",IF(OR(S231="NA",R231="NA",R231=0,Q231="NA",S231=0,Q231=0),"NA",(1/(1/S231+(1/(R231*Q231))))),"---")</f>
        <v>1.420966987863209E-7</v>
      </c>
      <c r="U231" s="375" t="str">
        <f>IF(Start!$C$18="x",IF(OR(F231="NA",F231="",O231="",O231="NA"),"NA",(F231*$O231)),"---")</f>
        <v>NA</v>
      </c>
      <c r="V231" s="376" t="str">
        <f>IF(Start!$C$18="x",IF(OR(U231="NA",M231="NA",M231="",U231=""),"NA",U231/((Data!$D$18+((1-Data!$D$18)*Data!$D$14*M231))/((1-Data!$D$18)*Data!$D$14*1000))),"---")</f>
        <v>NA</v>
      </c>
      <c r="W231" s="376" t="str">
        <f>IF(Start!$C$18="x",IF(OR(G231="NA",U231="NA",G231="",U231=""),"NA",(U231 +($G231*(Data!$D$19-Data!$D$22)/(Data!$D$19*Data!$D$22)))),"---")</f>
        <v>NA</v>
      </c>
      <c r="X231" s="376" t="str">
        <f>IF(Start!$C$18="x",IF(OR(G231="NA",V231="NA",G231="",V231=""),"NA",(((Data!$D$22*Data!$D$18)*V231)+(Data!$D$19-Data!$D$22)*$G231)/((Data!$D$22*Data!$D$18)+Data!$D$19-Data!$D$22)),"---")</f>
        <v>NA</v>
      </c>
      <c r="Y231" s="376" t="str">
        <f>IF(Start!$C$18="x",IF(OR(W231="NA",W231="",M231="NA",M231=""),"NA",(W231/((Data!$D$23+((1-Data!$D$23)*Data!$D$14*M231)) /((1-Data!$D$23)*Data!$D$14*1000)))),"---")</f>
        <v>NA</v>
      </c>
      <c r="Z231" s="376" t="str">
        <f>IF(Start!$C$18="x",IF(OR(Y231="NA",X231="NA"),"NA",IF(Y231&gt;X231, Y231, X231)),"---")</f>
        <v>NA</v>
      </c>
      <c r="AA231" s="461" t="str">
        <f>IF(Start!$C$18="x",IF(OR(Z231="NA",T231="NA"),"NA",Z231*T231/(1000000000)),"---")</f>
        <v>NA</v>
      </c>
      <c r="AB231" s="1057" t="str">
        <f>IF(Start!$C$18="x",IF(AA231 = "NA", "NA", AA231*(Data!$D$52*Data!$D$53*10000)),"---")</f>
        <v>NA</v>
      </c>
      <c r="AC231" s="375" t="str">
        <f>IF(Start!$C$18="x",IF(AB231="NA", "NA", AB231*Data!$D$54),"---")</f>
        <v>NA</v>
      </c>
      <c r="AD231" s="498" t="str">
        <f>IF(Start!$C$18="x",IF(AC231="NA","NA",AC231*Data!$D$41),"---")</f>
        <v>NA</v>
      </c>
      <c r="AE231" s="376" t="str">
        <f>IF(Start!$C$18="x",IF(AB231 = "NA", "NA", AB231/(Data!$D$53*3*Data!$D$48)*1000),"---")</f>
        <v>NA</v>
      </c>
      <c r="AF231" s="498" t="str">
        <f>IF(Start!$C$18="x",IF(AE231="NA","NA",AE231*Data!$D$46),"---")</f>
        <v>NA</v>
      </c>
      <c r="AG231" s="375">
        <f>IF(Start!$C$18="x",IF(OR($L231="NA",L231=""),"NA",($L231*(Data!$D$55^3.33)/(Data!$D$18^2))),"---")</f>
        <v>3.158123036545478E-4</v>
      </c>
      <c r="AH231" s="376" t="str">
        <f>IF(Start!$C$18="x",IF(OR(F231="NA",F231="",P231="NA",P231=""),"NA",IF(100/Data!$D$10&gt;Data!$D$13,(F231*$P231),(F231*$P231)*Data!$D$13)),"---")</f>
        <v>NA</v>
      </c>
      <c r="AI231" s="489">
        <f>IF(Start!$C$18="x",IF(OR($N231="NA",$Q231="NA",$Q231=0,Q231="",N231=""),"NA",(1000*$N231/$Q231)),"---")</f>
        <v>2279081733119.8696</v>
      </c>
      <c r="AJ231" s="376">
        <f>IF(Start!$C$18="x",IF(OR(Q231 = "NA",Q231=0,N231 = "NA",N231="",Q231=""), "NA", IF($AG231="NA","NA",(3.1416*Data!$D$57*86400/($AG231*(Data!$D$55+(N231*Data!$D$19/(Q231*1000)))))^0.5)),"---")</f>
        <v>3.649663547080825</v>
      </c>
      <c r="AK231" s="376" t="str">
        <f>IF(Start!$C$18="x",IF(OR(AH231 = "NA",AI231="NA",AI231=0,AI231="",AH231=""), "NA", AH231/AI231),"---")</f>
        <v>NA</v>
      </c>
      <c r="AL231" s="376" t="str">
        <f>IF(Start!$C$18="x",IF(OR(AK231 ="NA",AK231="",AJ231= "NA",R231="NA",R231=0),"NA",(2*AK231)/(1000*(1/$R231+AJ231))),"---")</f>
        <v>NA</v>
      </c>
      <c r="AM231" s="376" t="str">
        <f>IF(Start!$C$18="x",IF(AL231 = "NA", "NA", AL231*(Data!$D$52*Data!$D$53*10000)),"---")</f>
        <v>NA</v>
      </c>
      <c r="AN231" s="376" t="str">
        <f>IF(Start!$C$18="x",IF(AM231 = "NA", "NA", AM231*(Data!$D$54)),"---")</f>
        <v>NA</v>
      </c>
      <c r="AO231" s="498" t="str">
        <f>IF(Start!$C$18="x",IF(AN231="NA","NA",AN231*Data!$D$41),"---")</f>
        <v>NA</v>
      </c>
      <c r="AP231" s="376">
        <f>IF(Start!$C$18="x",IF(OR(Q231=0,N231="NA",N231="",AG231="NA",AG231="",AG231=0,Q231="",Q231="NA"),"NA", (3.1416*Data!$D$56*86400/($AG231*(Data!$D$55+(N231*Data!$D$19/(Q231*1000)))))^0.5),"---")</f>
        <v>3.649663547080825</v>
      </c>
      <c r="AQ231" s="376" t="str">
        <f>IF(Start!$C$18="x",IF(OR(AH231="NA",AI231="NA",AI231="",AI231=0,AH231=""),"NA", AH231/AI231),"---")</f>
        <v>NA</v>
      </c>
      <c r="AR231" s="376" t="str">
        <f>IF(Start!$C$18="x",IF(OR(AQ231="NA",AP231="NA",$R231="NA",R231=0,R231=""),"NA",(2*AQ231)/(1000*(1/$R231+AP231))),"---")</f>
        <v>NA</v>
      </c>
      <c r="AS231" s="376" t="str">
        <f>IF(Start!$C$18="x",IF(AR231 = "NA", "NA", AR231*(Data!$D$52*Data!$D$53*10000)),"---")</f>
        <v>NA</v>
      </c>
      <c r="AT231" s="376" t="str">
        <f>IF(Start!$C$18="x",IF(AS231 = "NA", "NA", (AS231*1000)/(Data!$D$48*3*Data!$D$53)),"---")</f>
        <v>NA</v>
      </c>
      <c r="AU231" s="498" t="str">
        <f>IF(Start!$C$18="x",IF(AT231="NA","NA",AT231*Data!$D$47),"---")</f>
        <v>NA</v>
      </c>
      <c r="AV231" s="283" t="str">
        <f>IF(Start!$C$18="x",(IF(AND(F231="",G231= "",G231&lt;&gt;"NA"),"",IF(OR(AD231="NA",I231="NA",I231=0),"NA",(AD231/I231)))),"Not Req.")</f>
        <v/>
      </c>
      <c r="AW231" s="284" t="str">
        <f>IF(Start!$C$18="x",(IF(AND(F231="",G231= "",G231&lt;&gt;"NA"),"",IF(OR(AF231="NA",I231="NA",I231=0),"NA",(AF231/I231)))),"Not Req.")</f>
        <v/>
      </c>
      <c r="AX231" s="284" t="str">
        <f>IF(Start!$C$18="x",(IF(F231 ="","",IF(OR(AO231="NA",I231="NA",I231=0),"NA",(AO231/I231)))),"Not Req.")</f>
        <v/>
      </c>
      <c r="AY231" s="344" t="str">
        <f>IF(Start!$C$18="x",(IF(F231 ="","",IF(OR(AU231="NA",I231="NA",I231=0),"NA",(AU231/I231)))),"Not Req.")</f>
        <v/>
      </c>
      <c r="AZ231" s="208"/>
    </row>
    <row r="232" spans="1:52" s="10" customFormat="1" x14ac:dyDescent="0.25">
      <c r="A232" s="405" t="s">
        <v>550</v>
      </c>
      <c r="B232" s="347" t="str">
        <f>IF(Start!$C$18="x",IF(AND(OR(F232="",F232="NA"),OR(G232="",G232="NA")),"",IF(I232="NA","NA",IF(AND(I232="",K232="--"),"NA",IF(AD232="NA","Missing Data",IF(I232="","No Criteria",IF(AD232&gt;=I232,"Needed","No")))))),"---")</f>
        <v/>
      </c>
      <c r="C232" s="501" t="str">
        <f>IF(Start!$C$18="x",IF(AND(OR(F232="",F232="NA"),OR(G232="",G232="NA")),"",IF(I232="NA","NA",IF(AND(I232="",K232="--"),"NA",IF(AF232="NA","Missing Data",IF(I232="","No Criteria",IF(AF232&gt;=I232,"Needed","No")))))),"---")</f>
        <v/>
      </c>
      <c r="D232" s="347" t="str">
        <f>IF(Start!$C$18="x",IF(AND(OR(F232="",F232="NA"),OR(G232="",G232="NA")),"",IF(I232="NA","NA",IF(AND(I232="",K232="--"),"NA",IF(AO232="NA","Missing Data",IF(I232="","No Criteria",IF(AO232&gt;=I232,"Needed","No")))))),"---")</f>
        <v/>
      </c>
      <c r="E232" s="401" t="str">
        <f>IF(Start!$C$18="x",IF(AND(OR(F232="",F232="NA"),OR(G232="",G232="NA")),"",IF(I232="NA","NA",IF(AND(I232="",K232="--"),"NA",IF(AU232="NA","Missing Data",IF(I232="","No Criteria",IF(AU232&gt;=I232,"Needed","No")))))),"---")</f>
        <v/>
      </c>
      <c r="F232" s="431" t="str">
        <f>IF(TRUE=ISBLANK(ChemData!B232),"",(ChemData!B232))</f>
        <v/>
      </c>
      <c r="G232" s="432" t="str">
        <f>IF(TRUE=ISBLANK(ChemData!C232),"",(ChemData!C232))</f>
        <v/>
      </c>
      <c r="H232" s="433" t="str">
        <f>IF(TRUE=ISBLANK(ChemData!D232),"",(ChemData!D232))</f>
        <v/>
      </c>
      <c r="I232" s="919">
        <f>IF(TRUE=ISBLANK(ChemData!K232),"",(ChemData!K232))</f>
        <v>5.0000000000000001E-4</v>
      </c>
      <c r="J232" s="290">
        <f>IF(TRUE=ISBLANK(ChemData!M232),"",(ChemData!M232))</f>
        <v>373.5</v>
      </c>
      <c r="K232" s="290">
        <f>IF(TRUE=ISBLANK(ChemData!N232),"",(ChemData!N232))</f>
        <v>3.49E-3</v>
      </c>
      <c r="L232" s="290">
        <f>IF(TRUE=ISBLANK(ChemData!O232),"",(ChemData!O232))</f>
        <v>1.12E-2</v>
      </c>
      <c r="M232" s="290">
        <f>IF(TRUE=ISBLANK(ChemData!Q232),"",(ChemData!Q232))</f>
        <v>3446.7232899629657</v>
      </c>
      <c r="N232" s="290">
        <f>IF(TRUE=ISBLANK(ChemData!R232),"",(ChemData!R232))</f>
        <v>3446.7232899629657</v>
      </c>
      <c r="O232" s="290">
        <f>IF(TRUE=ISBLANK(ChemData!S232),"",(ChemData!S232))</f>
        <v>1</v>
      </c>
      <c r="P232" s="291">
        <f>IF(TRUE=ISBLANK(ChemData!T232),"",(ChemData!T232))</f>
        <v>1</v>
      </c>
      <c r="Q232" s="375">
        <f>IF(Start!$C$18="x",IF(OR(K232="NA",K232="",K232="--"),"NA",(K232*1000000/82.1/Data!$D$50)),"---")</f>
        <v>0.13712624258378847</v>
      </c>
      <c r="R232" s="376">
        <f>IF(Start!$C$18="x",IF(OR(J232="NA",J232=0,J232=""),"NA",(0.32*(Data!$D$48+Data!$D$49)*(18/J232)^0.5)),"---")</f>
        <v>0.1808915004630097</v>
      </c>
      <c r="S232" s="376">
        <f>IF(Start!$C$18="x",IF(OR(J232="NA",J232= 0,J232=""),"NA",(0.0065*((Data!$D$49^0.969)/(Data!$D$51^0.673))*(32/J232)^0.5*EXP(0.526*Data!$D$48^-1.9))),"---")</f>
        <v>3.8126972463241565E-4</v>
      </c>
      <c r="T232" s="377">
        <f>IF(Start!$C$18="x",IF(OR(S232="NA",R232="NA",R232=0,Q232="NA",S232=0,Q232=0),"NA",(1/(1/S232+(1/(R232*Q232))))),"---")</f>
        <v>3.7549805747318045E-4</v>
      </c>
      <c r="U232" s="375" t="str">
        <f>IF(Start!$C$18="x",IF(OR(F232="NA",F232="",O232="",O232="NA"),"NA",(F232*$O232)),"---")</f>
        <v>NA</v>
      </c>
      <c r="V232" s="376" t="str">
        <f>IF(Start!$C$18="x",IF(OR(U232="NA",M232="NA",M232="",U232=""),"NA",U232/((Data!$D$18+((1-Data!$D$18)*Data!$D$14*M232))/((1-Data!$D$18)*Data!$D$14*1000))),"---")</f>
        <v>NA</v>
      </c>
      <c r="W232" s="376" t="str">
        <f>IF(Start!$C$18="x",IF(OR(G232="NA",U232="NA",G232="",U232=""),"NA",(U232 +($G232*(Data!$D$19-Data!$D$22)/(Data!$D$19*Data!$D$22)))),"---")</f>
        <v>NA</v>
      </c>
      <c r="X232" s="376" t="str">
        <f>IF(Start!$C$18="x",IF(OR(G232="NA",V232="NA",G232="",V232=""),"NA",(((Data!$D$22*Data!$D$18)*V232)+(Data!$D$19-Data!$D$22)*$G232)/((Data!$D$22*Data!$D$18)+Data!$D$19-Data!$D$22)),"---")</f>
        <v>NA</v>
      </c>
      <c r="Y232" s="376" t="str">
        <f>IF(Start!$C$18="x",IF(OR(W232="NA",W232="",M232="NA",M232=""),"NA",(W232/((Data!$D$23+((1-Data!$D$23)*Data!$D$14*M232)) /((1-Data!$D$23)*Data!$D$14*1000)))),"---")</f>
        <v>NA</v>
      </c>
      <c r="Z232" s="376" t="str">
        <f>IF(Start!$C$18="x",IF(OR(Y232="NA",X232="NA"),"NA",IF(Y232&gt;X232, Y232, X232)),"---")</f>
        <v>NA</v>
      </c>
      <c r="AA232" s="461" t="str">
        <f>IF(Start!$C$18="x",IF(OR(Z232="NA",T232="NA"),"NA",Z232*T232/(1000000000)),"---")</f>
        <v>NA</v>
      </c>
      <c r="AB232" s="1057" t="str">
        <f>IF(Start!$C$18="x",IF(AA232 = "NA", "NA", AA232*(Data!$D$52*Data!$D$53*10000)),"---")</f>
        <v>NA</v>
      </c>
      <c r="AC232" s="375" t="str">
        <f>IF(Start!$C$18="x",IF(AB232="NA", "NA", AB232*Data!$D$54),"---")</f>
        <v>NA</v>
      </c>
      <c r="AD232" s="498" t="str">
        <f>IF(Start!$C$18="x",IF(AC232="NA","NA",AC232*Data!$D$41),"---")</f>
        <v>NA</v>
      </c>
      <c r="AE232" s="376" t="str">
        <f>IF(Start!$C$18="x",IF(AB232 = "NA", "NA", AB232/(Data!$D$53*3*Data!$D$48)*1000),"---")</f>
        <v>NA</v>
      </c>
      <c r="AF232" s="498" t="str">
        <f>IF(Start!$C$18="x",IF(AE232="NA","NA",AE232*Data!$D$46),"---")</f>
        <v>NA</v>
      </c>
      <c r="AG232" s="375">
        <f>IF(Start!$C$18="x",IF(OR($L232="NA",L232=""),"NA",($L232*(Data!$D$55^3.33)/(Data!$D$18^2))),"---")</f>
        <v>1.1409992906228824E-4</v>
      </c>
      <c r="AH232" s="376" t="str">
        <f>IF(Start!$C$18="x",IF(OR(F232="NA",F232="",P232="NA",P232=""),"NA",IF(100/Data!$D$10&gt;Data!$D$13,(F232*$P232),(F232*$P232)*Data!$D$13)),"---")</f>
        <v>NA</v>
      </c>
      <c r="AI232" s="489">
        <f>IF(Start!$C$18="x",IF(OR($N232="NA",$Q232="NA",$Q232=0,Q232="",N232=""),"NA",(1000*$N232/$Q232)),"---")</f>
        <v>25135402.422019321</v>
      </c>
      <c r="AJ232" s="376">
        <f>IF(Start!$C$18="x",IF(OR(Q232 = "NA",Q232=0,N232 = "NA",N232="",Q232=""), "NA", IF($AG232="NA","NA",(3.1416*Data!$D$57*86400/($AG232*(Data!$D$55+(N232*Data!$D$19/(Q232*1000)))))^0.5)),"---")</f>
        <v>1828.3513633304181</v>
      </c>
      <c r="AK232" s="376" t="str">
        <f>IF(Start!$C$18="x",IF(OR(AH232 = "NA",AI232="NA",AI232=0,AI232="",AH232=""), "NA", AH232/AI232),"---")</f>
        <v>NA</v>
      </c>
      <c r="AL232" s="376" t="str">
        <f>IF(Start!$C$18="x",IF(OR(AK232 ="NA",AK232="",AJ232= "NA",R232="NA",R232=0),"NA",(2*AK232)/(1000*(1/$R232+AJ232))),"---")</f>
        <v>NA</v>
      </c>
      <c r="AM232" s="376" t="str">
        <f>IF(Start!$C$18="x",IF(AL232 = "NA", "NA", AL232*(Data!$D$52*Data!$D$53*10000)),"---")</f>
        <v>NA</v>
      </c>
      <c r="AN232" s="376" t="str">
        <f>IF(Start!$C$18="x",IF(AM232 = "NA", "NA", AM232*(Data!$D$54)),"---")</f>
        <v>NA</v>
      </c>
      <c r="AO232" s="498" t="str">
        <f>IF(Start!$C$18="x",IF(AN232="NA","NA",AN232*Data!$D$41),"---")</f>
        <v>NA</v>
      </c>
      <c r="AP232" s="376">
        <f>IF(Start!$C$18="x",IF(OR(Q232=0,N232="NA",N232="",AG232="NA",AG232="",AG232=0,Q232="",Q232="NA"),"NA", (3.1416*Data!$D$56*86400/($AG232*(Data!$D$55+(N232*Data!$D$19/(Q232*1000)))))^0.5),"---")</f>
        <v>1828.3513633304181</v>
      </c>
      <c r="AQ232" s="376" t="str">
        <f>IF(Start!$C$18="x",IF(OR(AH232="NA",AI232="NA",AI232="",AI232=0,AH232=""),"NA", AH232/AI232),"---")</f>
        <v>NA</v>
      </c>
      <c r="AR232" s="376" t="str">
        <f>IF(Start!$C$18="x",IF(OR(AQ232="NA",AP232="NA",$R232="NA",R232=0,R232=""),"NA",(2*AQ232)/(1000*(1/$R232+AP232))),"---")</f>
        <v>NA</v>
      </c>
      <c r="AS232" s="376" t="str">
        <f>IF(Start!$C$18="x",IF(AR232 = "NA", "NA", AR232*(Data!$D$52*Data!$D$53*10000)),"---")</f>
        <v>NA</v>
      </c>
      <c r="AT232" s="376" t="str">
        <f>IF(Start!$C$18="x",IF(AS232 = "NA", "NA", (AS232*1000)/(Data!$D$48*3*Data!$D$53)),"---")</f>
        <v>NA</v>
      </c>
      <c r="AU232" s="498" t="str">
        <f>IF(Start!$C$18="x",IF(AT232="NA","NA",AT232*Data!$D$47),"---")</f>
        <v>NA</v>
      </c>
      <c r="AV232" s="283" t="str">
        <f>IF(Start!$C$18="x",(IF(AND(F232="",G232= "",G232&lt;&gt;"NA"),"",IF(OR(AD232="NA",I232="NA",I232=0),"NA",(AD232/I232)))),"Not Req.")</f>
        <v/>
      </c>
      <c r="AW232" s="284" t="str">
        <f>IF(Start!$C$18="x",(IF(AND(F232="",G232= "",G232&lt;&gt;"NA"),"",IF(OR(AF232="NA",I232="NA",I232=0),"NA",(AF232/I232)))),"Not Req.")</f>
        <v/>
      </c>
      <c r="AX232" s="284" t="str">
        <f>IF(Start!$C$18="x",(IF(F232 ="","",IF(OR(AO232="NA",I232="NA",I232=0),"NA",(AO232/I232)))),"Not Req.")</f>
        <v/>
      </c>
      <c r="AY232" s="344" t="str">
        <f>IF(Start!$C$18="x",(IF(F232 ="","",IF(OR(AU232="NA",I232="NA",I232=0),"NA",(AU232/I232)))),"Not Req.")</f>
        <v/>
      </c>
      <c r="AZ232" s="208"/>
    </row>
    <row r="233" spans="1:52" s="10" customFormat="1" x14ac:dyDescent="0.25">
      <c r="A233" s="405" t="s">
        <v>551</v>
      </c>
      <c r="B233" s="347" t="str">
        <f>IF(Start!$C$18="x",IF(AND(OR(F233="",F233="NA"),OR(G233="",G233="NA")),"",IF(I233="NA","NA",IF(AND(I233="",K233="--"),"NA",IF(AD233="NA","Missing Data",IF(I233="","No Criteria",IF(AD233&gt;=I233,"Needed","No")))))),"---")</f>
        <v/>
      </c>
      <c r="C233" s="501" t="str">
        <f>IF(Start!$C$18="x",IF(AND(OR(F233="",F233="NA"),OR(G233="",G233="NA")),"",IF(I233="NA","NA",IF(AND(I233="",K233="--"),"NA",IF(AF233="NA","Missing Data",IF(I233="","No Criteria",IF(AF233&gt;=I233,"Needed","No")))))),"---")</f>
        <v/>
      </c>
      <c r="D233" s="347" t="str">
        <f>IF(Start!$C$18="x",IF(AND(OR(F233="",F233="NA"),OR(G233="",G233="NA")),"",IF(I233="NA","NA",IF(AND(I233="",K233="--"),"NA",IF(AO233="NA","Missing Data",IF(I233="","No Criteria",IF(AO233&gt;=I233,"Needed","No")))))),"---")</f>
        <v/>
      </c>
      <c r="E233" s="401" t="str">
        <f>IF(Start!$C$18="x",IF(AND(OR(F233="",F233="NA"),OR(G233="",G233="NA")),"",IF(I233="NA","NA",IF(AND(I233="",K233="--"),"NA",IF(AU233="NA","Missing Data",IF(I233="","No Criteria",IF(AU233&gt;=I233,"Needed","No")))))),"---")</f>
        <v/>
      </c>
      <c r="F233" s="431" t="str">
        <f>IF(TRUE=ISBLANK(ChemData!B233),"",(ChemData!B233))</f>
        <v/>
      </c>
      <c r="G233" s="432" t="str">
        <f>IF(TRUE=ISBLANK(ChemData!C233),"",(ChemData!C233))</f>
        <v/>
      </c>
      <c r="H233" s="433" t="str">
        <f>IF(TRUE=ISBLANK(ChemData!D233),"",(ChemData!D233))</f>
        <v/>
      </c>
      <c r="I233" s="919">
        <f>IF(TRUE=ISBLANK(ChemData!K233),"",(ChemData!K233))</f>
        <v>1.2999999999999999E-5</v>
      </c>
      <c r="J233" s="290">
        <f>IF(TRUE=ISBLANK(ChemData!M233),"",(ChemData!M233))</f>
        <v>389.2</v>
      </c>
      <c r="K233" s="290">
        <f>IF(TRUE=ISBLANK(ChemData!N233),"",(ChemData!N233))</f>
        <v>3.1999999999999999E-5</v>
      </c>
      <c r="L233" s="290">
        <f>IF(TRUE=ISBLANK(ChemData!O233),"",(ChemData!O233))</f>
        <v>1.32E-2</v>
      </c>
      <c r="M233" s="290">
        <f>IF(TRUE=ISBLANK(ChemData!Q233),"",(ChemData!Q233))</f>
        <v>1851</v>
      </c>
      <c r="N233" s="290">
        <f>IF(TRUE=ISBLANK(ChemData!R233),"",(ChemData!R233))</f>
        <v>1851</v>
      </c>
      <c r="O233" s="290">
        <f>IF(TRUE=ISBLANK(ChemData!S233),"",(ChemData!S233))</f>
        <v>1</v>
      </c>
      <c r="P233" s="291">
        <f>IF(TRUE=ISBLANK(ChemData!T233),"",(ChemData!T233))</f>
        <v>1</v>
      </c>
      <c r="Q233" s="375">
        <f>IF(Start!$C$18="x",IF(OR(K233="NA",K233="",K233="--"),"NA",(K233*1000000/82.1/Data!$D$50)),"---")</f>
        <v>1.257317983576284E-3</v>
      </c>
      <c r="R233" s="376">
        <f>IF(Start!$C$18="x",IF(OR(J233="NA",J233=0,J233=""),"NA",(0.32*(Data!$D$48+Data!$D$49)*(18/J233)^0.5)),"---")</f>
        <v>0.17720543933151209</v>
      </c>
      <c r="S233" s="376">
        <f>IF(Start!$C$18="x",IF(OR(J233="NA",J233= 0,J233=""),"NA",(0.0065*((Data!$D$49^0.969)/(Data!$D$51^0.673))*(32/J233)^0.5*EXP(0.526*Data!$D$48^-1.9))),"---")</f>
        <v>3.7350051762718252E-4</v>
      </c>
      <c r="T233" s="377">
        <f>IF(Start!$C$18="x",IF(OR(S233="NA",R233="NA",R233=0,Q233="NA",S233=0,Q233=0),"NA",(1/(1/S233+(1/(R233*Q233))))),"---")</f>
        <v>1.3955505943064324E-4</v>
      </c>
      <c r="U233" s="375" t="str">
        <f>IF(Start!$C$18="x",IF(OR(F233="NA",F233="",O233="",O233="NA"),"NA",(F233*$O233)),"---")</f>
        <v>NA</v>
      </c>
      <c r="V233" s="376" t="str">
        <f>IF(Start!$C$18="x",IF(OR(U233="NA",M233="NA",M233="",U233=""),"NA",U233/((Data!$D$18+((1-Data!$D$18)*Data!$D$14*M233))/((1-Data!$D$18)*Data!$D$14*1000))),"---")</f>
        <v>NA</v>
      </c>
      <c r="W233" s="376" t="str">
        <f>IF(Start!$C$18="x",IF(OR(G233="NA",U233="NA",G233="",U233=""),"NA",(U233 +($G233*(Data!$D$19-Data!$D$22)/(Data!$D$19*Data!$D$22)))),"---")</f>
        <v>NA</v>
      </c>
      <c r="X233" s="376" t="str">
        <f>IF(Start!$C$18="x",IF(OR(G233="NA",V233="NA",G233="",V233=""),"NA",(((Data!$D$22*Data!$D$18)*V233)+(Data!$D$19-Data!$D$22)*$G233)/((Data!$D$22*Data!$D$18)+Data!$D$19-Data!$D$22)),"---")</f>
        <v>NA</v>
      </c>
      <c r="Y233" s="376" t="str">
        <f>IF(Start!$C$18="x",IF(OR(W233="NA",W233="",M233="NA",M233=""),"NA",(W233/((Data!$D$23+((1-Data!$D$23)*Data!$D$14*M233)) /((1-Data!$D$23)*Data!$D$14*1000)))),"---")</f>
        <v>NA</v>
      </c>
      <c r="Z233" s="376" t="str">
        <f>IF(Start!$C$18="x",IF(OR(Y233="NA",X233="NA"),"NA",IF(Y233&gt;X233, Y233, X233)),"---")</f>
        <v>NA</v>
      </c>
      <c r="AA233" s="461" t="str">
        <f>IF(Start!$C$18="x",IF(OR(Z233="NA",T233="NA"),"NA",Z233*T233/(1000000000)),"---")</f>
        <v>NA</v>
      </c>
      <c r="AB233" s="1057" t="str">
        <f>IF(Start!$C$18="x",IF(AA233 = "NA", "NA", AA233*(Data!$D$52*Data!$D$53*10000)),"---")</f>
        <v>NA</v>
      </c>
      <c r="AC233" s="375" t="str">
        <f>IF(Start!$C$18="x",IF(AB233="NA", "NA", AB233*Data!$D$54),"---")</f>
        <v>NA</v>
      </c>
      <c r="AD233" s="498" t="str">
        <f>IF(Start!$C$18="x",IF(AC233="NA","NA",AC233*Data!$D$41),"---")</f>
        <v>NA</v>
      </c>
      <c r="AE233" s="376" t="str">
        <f>IF(Start!$C$18="x",IF(AB233 = "NA", "NA", AB233/(Data!$D$53*3*Data!$D$48)*1000),"---")</f>
        <v>NA</v>
      </c>
      <c r="AF233" s="498" t="str">
        <f>IF(Start!$C$18="x",IF(AE233="NA","NA",AE233*Data!$D$46),"---")</f>
        <v>NA</v>
      </c>
      <c r="AG233" s="375">
        <f>IF(Start!$C$18="x",IF(OR($L233="NA",L233=""),"NA",($L233*(Data!$D$55^3.33)/(Data!$D$18^2))),"---")</f>
        <v>1.3447491639483969E-4</v>
      </c>
      <c r="AH233" s="376" t="str">
        <f>IF(Start!$C$18="x",IF(OR(F233="NA",F233="",P233="NA",P233=""),"NA",IF(100/Data!$D$10&gt;Data!$D$13,(F233*$P233),(F233*$P233)*Data!$D$13)),"---")</f>
        <v>NA</v>
      </c>
      <c r="AI233" s="489">
        <f>IF(Start!$C$18="x",IF(OR($N233="NA",$Q233="NA",$Q233=0,Q233="",N233=""),"NA",(1000*$N233/$Q233)),"---")</f>
        <v>1472181281.2499998</v>
      </c>
      <c r="AJ233" s="376">
        <f>IF(Start!$C$18="x",IF(OR(Q233 = "NA",Q233=0,N233 = "NA",N233="",Q233=""), "NA", IF($AG233="NA","NA",(3.1416*Data!$D$57*86400/($AG233*(Data!$D$55+(N233*Data!$D$19/(Q233*1000)))))^0.5)),"---")</f>
        <v>220.0624688160774</v>
      </c>
      <c r="AK233" s="376" t="str">
        <f>IF(Start!$C$18="x",IF(OR(AH233 = "NA",AI233="NA",AI233=0,AI233="",AH233=""), "NA", AH233/AI233),"---")</f>
        <v>NA</v>
      </c>
      <c r="AL233" s="376" t="str">
        <f>IF(Start!$C$18="x",IF(OR(AK233 ="NA",AK233="",AJ233= "NA",R233="NA",R233=0),"NA",(2*AK233)/(1000*(1/$R233+AJ233))),"---")</f>
        <v>NA</v>
      </c>
      <c r="AM233" s="376" t="str">
        <f>IF(Start!$C$18="x",IF(AL233 = "NA", "NA", AL233*(Data!$D$52*Data!$D$53*10000)),"---")</f>
        <v>NA</v>
      </c>
      <c r="AN233" s="376" t="str">
        <f>IF(Start!$C$18="x",IF(AM233 = "NA", "NA", AM233*(Data!$D$54)),"---")</f>
        <v>NA</v>
      </c>
      <c r="AO233" s="498" t="str">
        <f>IF(Start!$C$18="x",IF(AN233="NA","NA",AN233*Data!$D$41),"---")</f>
        <v>NA</v>
      </c>
      <c r="AP233" s="376">
        <f>IF(Start!$C$18="x",IF(OR(Q233=0,N233="NA",N233="",AG233="NA",AG233="",AG233=0,Q233="",Q233="NA"),"NA", (3.1416*Data!$D$56*86400/($AG233*(Data!$D$55+(N233*Data!$D$19/(Q233*1000)))))^0.5),"---")</f>
        <v>220.0624688160774</v>
      </c>
      <c r="AQ233" s="376" t="str">
        <f>IF(Start!$C$18="x",IF(OR(AH233="NA",AI233="NA",AI233="",AI233=0,AH233=""),"NA", AH233/AI233),"---")</f>
        <v>NA</v>
      </c>
      <c r="AR233" s="376" t="str">
        <f>IF(Start!$C$18="x",IF(OR(AQ233="NA",AP233="NA",$R233="NA",R233=0,R233=""),"NA",(2*AQ233)/(1000*(1/$R233+AP233))),"---")</f>
        <v>NA</v>
      </c>
      <c r="AS233" s="376" t="str">
        <f>IF(Start!$C$18="x",IF(AR233 = "NA", "NA", AR233*(Data!$D$52*Data!$D$53*10000)),"---")</f>
        <v>NA</v>
      </c>
      <c r="AT233" s="376" t="str">
        <f>IF(Start!$C$18="x",IF(AS233 = "NA", "NA", (AS233*1000)/(Data!$D$48*3*Data!$D$53)),"---")</f>
        <v>NA</v>
      </c>
      <c r="AU233" s="498" t="str">
        <f>IF(Start!$C$18="x",IF(AT233="NA","NA",AT233*Data!$D$47),"---")</f>
        <v>NA</v>
      </c>
      <c r="AV233" s="283" t="str">
        <f>IF(Start!$C$18="x",(IF(AND(F233="",G233= "",G233&lt;&gt;"NA"),"",IF(OR(AD233="NA",I233="NA",I233=0),"NA",(AD233/I233)))),"Not Req.")</f>
        <v/>
      </c>
      <c r="AW233" s="284" t="str">
        <f>IF(Start!$C$18="x",(IF(AND(F233="",G233= "",G233&lt;&gt;"NA"),"",IF(OR(AF233="NA",I233="NA",I233=0),"NA",(AF233/I233)))),"Not Req.")</f>
        <v/>
      </c>
      <c r="AX233" s="284" t="str">
        <f>IF(Start!$C$18="x",(IF(F233 ="","",IF(OR(AO233="NA",I233="NA",I233=0),"NA",(AO233/I233)))),"Not Req.")</f>
        <v/>
      </c>
      <c r="AY233" s="344" t="str">
        <f>IF(Start!$C$18="x",(IF(F233 ="","",IF(OR(AU233="NA",I233="NA",I233=0),"NA",(AU233/I233)))),"Not Req.")</f>
        <v/>
      </c>
      <c r="AZ233" s="208"/>
    </row>
    <row r="234" spans="1:52" s="10" customFormat="1" x14ac:dyDescent="0.25">
      <c r="A234" s="405" t="s">
        <v>552</v>
      </c>
      <c r="B234" s="347" t="str">
        <f>IF(Start!$C$18="x",IF(AND(OR(F234="",F234="NA"),OR(G234="",G234="NA")),"",IF(I234="NA","NA",IF(AND(I234="",K234="--"),"NA",IF(AD234="NA","Missing Data",IF(I234="","No Criteria",IF(AD234&gt;=I234,"Needed","No")))))),"---")</f>
        <v/>
      </c>
      <c r="C234" s="501" t="str">
        <f>IF(Start!$C$18="x",IF(AND(OR(F234="",F234="NA"),OR(G234="",G234="NA")),"",IF(I234="NA","NA",IF(AND(I234="",K234="--"),"NA",IF(AF234="NA","Missing Data",IF(I234="","No Criteria",IF(AF234&gt;=I234,"Needed","No")))))),"---")</f>
        <v/>
      </c>
      <c r="D234" s="347" t="str">
        <f>IF(Start!$C$18="x",IF(AND(OR(F234="",F234="NA"),OR(G234="",G234="NA")),"",IF(I234="NA","NA",IF(AND(I234="",K234="--"),"NA",IF(AO234="NA","Missing Data",IF(I234="","No Criteria",IF(AO234&gt;=I234,"Needed","No")))))),"---")</f>
        <v/>
      </c>
      <c r="E234" s="401" t="str">
        <f>IF(Start!$C$18="x",IF(AND(OR(F234="",F234="NA"),OR(G234="",G234="NA")),"",IF(I234="NA","NA",IF(AND(I234="",K234="--"),"NA",IF(AU234="NA","Missing Data",IF(I234="","No Criteria",IF(AU234&gt;=I234,"Needed","No")))))),"---")</f>
        <v/>
      </c>
      <c r="F234" s="431" t="str">
        <f>IF(TRUE=ISBLANK(ChemData!B234),"",(ChemData!B234))</f>
        <v/>
      </c>
      <c r="G234" s="432" t="str">
        <f>IF(TRUE=ISBLANK(ChemData!C234),"",(ChemData!C234))</f>
        <v/>
      </c>
      <c r="H234" s="433" t="str">
        <f>IF(TRUE=ISBLANK(ChemData!D234),"",(ChemData!D234))</f>
        <v/>
      </c>
      <c r="I234" s="919" t="str">
        <f>IF(TRUE=ISBLANK(ChemData!K234),"",(ChemData!K234))</f>
        <v>NA</v>
      </c>
      <c r="J234" s="290">
        <f>IF(TRUE=ISBLANK(ChemData!M234),"",(ChemData!M234))</f>
        <v>364.9</v>
      </c>
      <c r="K234" s="290">
        <f>IF(TRUE=ISBLANK(ChemData!N234),"",(ChemData!N234))</f>
        <v>2.49E-3</v>
      </c>
      <c r="L234" s="290">
        <f>IF(TRUE=ISBLANK(ChemData!O234),"",(ChemData!O234))</f>
        <v>0.14949989013595408</v>
      </c>
      <c r="M234" s="290">
        <f>IF(TRUE=ISBLANK(ChemData!Q234),"",(ChemData!Q234))</f>
        <v>7.5406089421541254E-3</v>
      </c>
      <c r="N234" s="290">
        <f>IF(TRUE=ISBLANK(ChemData!R234),"",(ChemData!R234))</f>
        <v>7.5406089421541254E-3</v>
      </c>
      <c r="O234" s="290">
        <f>IF(TRUE=ISBLANK(ChemData!S234),"",(ChemData!S234))</f>
        <v>1</v>
      </c>
      <c r="P234" s="291">
        <f>IF(TRUE=ISBLANK(ChemData!T234),"",(ChemData!T234))</f>
        <v>1</v>
      </c>
      <c r="Q234" s="375">
        <f>IF(Start!$C$18="x",IF(OR(K234="NA",K234="",K234="--"),"NA",(K234*1000000/82.1/Data!$D$50)),"---")</f>
        <v>9.7835055597029597E-2</v>
      </c>
      <c r="R234" s="376">
        <f>IF(Start!$C$18="x",IF(OR(J234="NA",J234=0,J234=""),"NA",(0.32*(Data!$D$48+Data!$D$49)*(18/J234)^0.5)),"---")</f>
        <v>0.18301072124001769</v>
      </c>
      <c r="S234" s="376">
        <f>IF(Start!$C$18="x",IF(OR(J234="NA",J234= 0,J234=""),"NA",(0.0065*((Data!$D$49^0.969)/(Data!$D$51^0.673))*(32/J234)^0.5*EXP(0.526*Data!$D$48^-1.9))),"---")</f>
        <v>3.8573646143329893E-4</v>
      </c>
      <c r="T234" s="377">
        <f>IF(Start!$C$18="x",IF(OR(S234="NA",R234="NA",R234=0,Q234="NA",S234=0,Q234=0),"NA",(1/(1/S234+(1/(R234*Q234))))),"---")</f>
        <v>3.7760153894772632E-4</v>
      </c>
      <c r="U234" s="375" t="str">
        <f>IF(Start!$C$18="x",IF(OR(F234="NA",F234="",O234="",O234="NA"),"NA",(F234*$O234)),"---")</f>
        <v>NA</v>
      </c>
      <c r="V234" s="376" t="str">
        <f>IF(Start!$C$18="x",IF(OR(U234="NA",M234="NA",M234="",U234=""),"NA",U234/((Data!$D$18+((1-Data!$D$18)*Data!$D$14*M234))/((1-Data!$D$18)*Data!$D$14*1000))),"---")</f>
        <v>NA</v>
      </c>
      <c r="W234" s="376" t="str">
        <f>IF(Start!$C$18="x",IF(OR(G234="NA",U234="NA",G234="",U234=""),"NA",(U234 +($G234*(Data!$D$19-Data!$D$22)/(Data!$D$19*Data!$D$22)))),"---")</f>
        <v>NA</v>
      </c>
      <c r="X234" s="376" t="str">
        <f>IF(Start!$C$18="x",IF(OR(G234="NA",V234="NA",G234="",V234=""),"NA",(((Data!$D$22*Data!$D$18)*V234)+(Data!$D$19-Data!$D$22)*$G234)/((Data!$D$22*Data!$D$18)+Data!$D$19-Data!$D$22)),"---")</f>
        <v>NA</v>
      </c>
      <c r="Y234" s="376" t="str">
        <f>IF(Start!$C$18="x",IF(OR(W234="NA",W234="",M234="NA",M234=""),"NA",(W234/((Data!$D$23+((1-Data!$D$23)*Data!$D$14*M234)) /((1-Data!$D$23)*Data!$D$14*1000)))),"---")</f>
        <v>NA</v>
      </c>
      <c r="Z234" s="376" t="str">
        <f>IF(Start!$C$18="x",IF(OR(Y234="NA",X234="NA"),"NA",IF(Y234&gt;X234, Y234, X234)),"---")</f>
        <v>NA</v>
      </c>
      <c r="AA234" s="461" t="str">
        <f>IF(Start!$C$18="x",IF(OR(Z234="NA",T234="NA"),"NA",Z234*T234/(1000000000)),"---")</f>
        <v>NA</v>
      </c>
      <c r="AB234" s="1057" t="str">
        <f>IF(Start!$C$18="x",IF(AA234 = "NA", "NA", AA234*(Data!$D$52*Data!$D$53*10000)),"---")</f>
        <v>NA</v>
      </c>
      <c r="AC234" s="375" t="str">
        <f>IF(Start!$C$18="x",IF(AB234="NA", "NA", AB234*Data!$D$54),"---")</f>
        <v>NA</v>
      </c>
      <c r="AD234" s="498" t="str">
        <f>IF(Start!$C$18="x",IF(AC234="NA","NA",AC234*Data!$D$41),"---")</f>
        <v>NA</v>
      </c>
      <c r="AE234" s="376" t="str">
        <f>IF(Start!$C$18="x",IF(AB234 = "NA", "NA", AB234/(Data!$D$53*3*Data!$D$48)*1000),"---")</f>
        <v>NA</v>
      </c>
      <c r="AF234" s="498" t="str">
        <f>IF(Start!$C$18="x",IF(AE234="NA","NA",AE234*Data!$D$46),"---")</f>
        <v>NA</v>
      </c>
      <c r="AG234" s="375">
        <f>IF(Start!$C$18="x",IF(OR($L234="NA",L234=""),"NA",($L234*(Data!$D$55^3.33)/(Data!$D$18^2))),"---")</f>
        <v>1.5230291838689504E-3</v>
      </c>
      <c r="AH234" s="376" t="str">
        <f>IF(Start!$C$18="x",IF(OR(F234="NA",F234="",P234="NA",P234=""),"NA",IF(100/Data!$D$10&gt;Data!$D$13,(F234*$P234),(F234*$P234)*Data!$D$13)),"---")</f>
        <v>NA</v>
      </c>
      <c r="AI234" s="489">
        <f>IF(Start!$C$18="x",IF(OR($N234="NA",$Q234="NA",$Q234=0,Q234="",N234=""),"NA",(1000*$N234/$Q234)),"---")</f>
        <v>77.074714131230778</v>
      </c>
      <c r="AJ234" s="376">
        <f>IF(Start!$C$18="x",IF(OR(Q234 = "NA",Q234=0,N234 = "NA",N234="",Q234=""), "NA", IF($AG234="NA","NA",(3.1416*Data!$D$57*86400/($AG234*(Data!$D$55+(N234*Data!$D$19/(Q234*1000)))))^0.5)),"---")</f>
        <v>141917.49316731456</v>
      </c>
      <c r="AK234" s="376" t="str">
        <f>IF(Start!$C$18="x",IF(OR(AH234 = "NA",AI234="NA",AI234=0,AI234="",AH234=""), "NA", AH234/AI234),"---")</f>
        <v>NA</v>
      </c>
      <c r="AL234" s="376" t="str">
        <f>IF(Start!$C$18="x",IF(OR(AK234 ="NA",AK234="",AJ234= "NA",R234="NA",R234=0),"NA",(2*AK234)/(1000*(1/$R234+AJ234))),"---")</f>
        <v>NA</v>
      </c>
      <c r="AM234" s="376" t="str">
        <f>IF(Start!$C$18="x",IF(AL234 = "NA", "NA", AL234*(Data!$D$52*Data!$D$53*10000)),"---")</f>
        <v>NA</v>
      </c>
      <c r="AN234" s="376" t="str">
        <f>IF(Start!$C$18="x",IF(AM234 = "NA", "NA", AM234*(Data!$D$54)),"---")</f>
        <v>NA</v>
      </c>
      <c r="AO234" s="498" t="str">
        <f>IF(Start!$C$18="x",IF(AN234="NA","NA",AN234*Data!$D$41),"---")</f>
        <v>NA</v>
      </c>
      <c r="AP234" s="376">
        <f>IF(Start!$C$18="x",IF(OR(Q234=0,N234="NA",N234="",AG234="NA",AG234="",AG234=0,Q234="",Q234="NA"),"NA", (3.1416*Data!$D$56*86400/($AG234*(Data!$D$55+(N234*Data!$D$19/(Q234*1000)))))^0.5),"---")</f>
        <v>141917.49316731456</v>
      </c>
      <c r="AQ234" s="376" t="str">
        <f>IF(Start!$C$18="x",IF(OR(AH234="NA",AI234="NA",AI234="",AI234=0,AH234=""),"NA", AH234/AI234),"---")</f>
        <v>NA</v>
      </c>
      <c r="AR234" s="376" t="str">
        <f>IF(Start!$C$18="x",IF(OR(AQ234="NA",AP234="NA",$R234="NA",R234=0,R234=""),"NA",(2*AQ234)/(1000*(1/$R234+AP234))),"---")</f>
        <v>NA</v>
      </c>
      <c r="AS234" s="376" t="str">
        <f>IF(Start!$C$18="x",IF(AR234 = "NA", "NA", AR234*(Data!$D$52*Data!$D$53*10000)),"---")</f>
        <v>NA</v>
      </c>
      <c r="AT234" s="376" t="str">
        <f>IF(Start!$C$18="x",IF(AS234 = "NA", "NA", (AS234*1000)/(Data!$D$48*3*Data!$D$53)),"---")</f>
        <v>NA</v>
      </c>
      <c r="AU234" s="498" t="str">
        <f>IF(Start!$C$18="x",IF(AT234="NA","NA",AT234*Data!$D$47),"---")</f>
        <v>NA</v>
      </c>
      <c r="AV234" s="283" t="str">
        <f>IF(Start!$C$18="x",(IF(AND(F234="",G234= "",G234&lt;&gt;"NA"),"",IF(OR(AD234="NA",I234="NA",I234=0),"NA",(AD234/I234)))),"Not Req.")</f>
        <v/>
      </c>
      <c r="AW234" s="284" t="str">
        <f>IF(Start!$C$18="x",(IF(AND(F234="",G234= "",G234&lt;&gt;"NA"),"",IF(OR(AF234="NA",I234="NA",I234=0),"NA",(AF234/I234)))),"Not Req.")</f>
        <v/>
      </c>
      <c r="AX234" s="284" t="str">
        <f>IF(Start!$C$18="x",(IF(F234 ="","",IF(OR(AO234="NA",I234="NA",I234=0),"NA",(AO234/I234)))),"Not Req.")</f>
        <v/>
      </c>
      <c r="AY234" s="344" t="str">
        <f>IF(Start!$C$18="x",(IF(F234 ="","",IF(OR(AU234="NA",I234="NA",I234=0),"NA",(AU234/I234)))),"Not Req.")</f>
        <v/>
      </c>
      <c r="AZ234" s="208"/>
    </row>
    <row r="235" spans="1:52" s="10" customFormat="1" x14ac:dyDescent="0.25">
      <c r="A235" s="405" t="s">
        <v>553</v>
      </c>
      <c r="B235" s="347" t="str">
        <f>IF(Start!$C$18="x",IF(AND(OR(F235="",F235="NA"),OR(G235="",G235="NA")),"",IF(I235="NA","NA",IF(AND(I235="",K235="--"),"NA",IF(AD235="NA","Missing Data",IF(I235="","No Criteria",IF(AD235&gt;=I235,"Needed","No")))))),"---")</f>
        <v/>
      </c>
      <c r="C235" s="501" t="str">
        <f>IF(Start!$C$18="x",IF(AND(OR(F235="",F235="NA"),OR(G235="",G235="NA")),"",IF(I235="NA","NA",IF(AND(I235="",K235="--"),"NA",IF(AF235="NA","Missing Data",IF(I235="","No Criteria",IF(AF235&gt;=I235,"Needed","No")))))),"---")</f>
        <v/>
      </c>
      <c r="D235" s="347" t="str">
        <f>IF(Start!$C$18="x",IF(AND(OR(F235="",F235="NA"),OR(G235="",G235="NA")),"",IF(I235="NA","NA",IF(AND(I235="",K235="--"),"NA",IF(AO235="NA","Missing Data",IF(I235="","No Criteria",IF(AO235&gt;=I235,"Needed","No")))))),"---")</f>
        <v/>
      </c>
      <c r="E235" s="401" t="str">
        <f>IF(Start!$C$18="x",IF(AND(OR(F235="",F235="NA"),OR(G235="",G235="NA")),"",IF(I235="NA","NA",IF(AND(I235="",K235="--"),"NA",IF(AU235="NA","Missing Data",IF(I235="","No Criteria",IF(AU235&gt;=I235,"Needed","No")))))),"---")</f>
        <v/>
      </c>
      <c r="F235" s="431" t="str">
        <f>IF(TRUE=ISBLANK(ChemData!B235),"",(ChemData!B235))</f>
        <v/>
      </c>
      <c r="G235" s="432" t="str">
        <f>IF(TRUE=ISBLANK(ChemData!C235),"",(ChemData!C235))</f>
        <v/>
      </c>
      <c r="H235" s="433" t="str">
        <f>IF(TRUE=ISBLANK(ChemData!D235),"",(ChemData!D235))</f>
        <v/>
      </c>
      <c r="I235" s="919" t="str">
        <f>IF(TRUE=ISBLANK(ChemData!K235),"",(ChemData!K235))</f>
        <v>NA</v>
      </c>
      <c r="J235" s="290">
        <f>IF(TRUE=ISBLANK(ChemData!M235),"",(ChemData!M235))</f>
        <v>490.68</v>
      </c>
      <c r="K235" s="290">
        <f>IF(TRUE=ISBLANK(ChemData!N235),"",(ChemData!N235))</f>
        <v>2.4999999999999999E-8</v>
      </c>
      <c r="L235" s="290">
        <f>IF(TRUE=ISBLANK(ChemData!O235),"",(ChemData!O235))</f>
        <v>4.2000000000000003E-2</v>
      </c>
      <c r="M235" s="290">
        <f>IF(TRUE=ISBLANK(ChemData!Q235),"",(ChemData!Q235))</f>
        <v>8.3294999999999994E-2</v>
      </c>
      <c r="N235" s="290">
        <f>IF(TRUE=ISBLANK(ChemData!R235),"",(ChemData!R235))</f>
        <v>8.3294999999999994E-2</v>
      </c>
      <c r="O235" s="290">
        <f>IF(TRUE=ISBLANK(ChemData!S235),"",(ChemData!S235))</f>
        <v>1</v>
      </c>
      <c r="P235" s="291">
        <f>IF(TRUE=ISBLANK(ChemData!T235),"",(ChemData!T235))</f>
        <v>1</v>
      </c>
      <c r="Q235" s="375">
        <f>IF(Start!$C$18="x",IF(OR(K235="NA",K235="",K235="--"),"NA",(K235*1000000/82.1/Data!$D$50)),"---")</f>
        <v>9.8227967466897165E-7</v>
      </c>
      <c r="R235" s="376">
        <f>IF(Start!$C$18="x",IF(OR(J235="NA",J235=0,J235=""),"NA",(0.32*(Data!$D$48+Data!$D$49)*(18/J235)^0.5)),"---")</f>
        <v>0.15782081651266691</v>
      </c>
      <c r="S235" s="376">
        <f>IF(Start!$C$18="x",IF(OR(J235="NA",J235= 0,J235=""),"NA",(0.0065*((Data!$D$49^0.969)/(Data!$D$51^0.673))*(32/J235)^0.5*EXP(0.526*Data!$D$48^-1.9))),"---")</f>
        <v>3.3264304347650688E-4</v>
      </c>
      <c r="T235" s="377">
        <f>IF(Start!$C$18="x",IF(OR(S235="NA",R235="NA",R235=0,Q235="NA",S235=0,Q235=0),"NA",(1/(1/S235+(1/(R235*Q235))))),"---")</f>
        <v>1.5495196685047799E-7</v>
      </c>
      <c r="U235" s="375" t="str">
        <f>IF(Start!$C$18="x",IF(OR(F235="NA",F235="",O235="",O235="NA"),"NA",(F235*$O235)),"---")</f>
        <v>NA</v>
      </c>
      <c r="V235" s="376" t="str">
        <f>IF(Start!$C$18="x",IF(OR(U235="NA",M235="NA",M235="",U235=""),"NA",U235/((Data!$D$18+((1-Data!$D$18)*Data!$D$14*M235))/((1-Data!$D$18)*Data!$D$14*1000))),"---")</f>
        <v>NA</v>
      </c>
      <c r="W235" s="376" t="str">
        <f>IF(Start!$C$18="x",IF(OR(G235="NA",U235="NA",G235="",U235=""),"NA",(U235 +($G235*(Data!$D$19-Data!$D$22)/(Data!$D$19*Data!$D$22)))),"---")</f>
        <v>NA</v>
      </c>
      <c r="X235" s="376" t="str">
        <f>IF(Start!$C$18="x",IF(OR(G235="NA",V235="NA",G235="",V235=""),"NA",(((Data!$D$22*Data!$D$18)*V235)+(Data!$D$19-Data!$D$22)*$G235)/((Data!$D$22*Data!$D$18)+Data!$D$19-Data!$D$22)),"---")</f>
        <v>NA</v>
      </c>
      <c r="Y235" s="376" t="str">
        <f>IF(Start!$C$18="x",IF(OR(W235="NA",W235="",M235="NA",M235=""),"NA",(W235/((Data!$D$23+((1-Data!$D$23)*Data!$D$14*M235)) /((1-Data!$D$23)*Data!$D$14*1000)))),"---")</f>
        <v>NA</v>
      </c>
      <c r="Z235" s="376" t="str">
        <f>IF(Start!$C$18="x",IF(OR(Y235="NA",X235="NA"),"NA",IF(Y235&gt;X235, Y235, X235)),"---")</f>
        <v>NA</v>
      </c>
      <c r="AA235" s="461" t="str">
        <f>IF(Start!$C$18="x",IF(OR(Z235="NA",T235="NA"),"NA",Z235*T235/(1000000000)),"---")</f>
        <v>NA</v>
      </c>
      <c r="AB235" s="1057" t="str">
        <f>IF(Start!$C$18="x",IF(AA235 = "NA", "NA", AA235*(Data!$D$52*Data!$D$53*10000)),"---")</f>
        <v>NA</v>
      </c>
      <c r="AC235" s="375" t="str">
        <f>IF(Start!$C$18="x",IF(AB235="NA", "NA", AB235*Data!$D$54),"---")</f>
        <v>NA</v>
      </c>
      <c r="AD235" s="498" t="str">
        <f>IF(Start!$C$18="x",IF(AC235="NA","NA",AC235*Data!$D$41),"---")</f>
        <v>NA</v>
      </c>
      <c r="AE235" s="376" t="str">
        <f>IF(Start!$C$18="x",IF(AB235 = "NA", "NA", AB235/(Data!$D$53*3*Data!$D$48)*1000),"---")</f>
        <v>NA</v>
      </c>
      <c r="AF235" s="498" t="str">
        <f>IF(Start!$C$18="x",IF(AE235="NA","NA",AE235*Data!$D$46),"---")</f>
        <v>NA</v>
      </c>
      <c r="AG235" s="375">
        <f>IF(Start!$C$18="x",IF(OR($L235="NA",L235=""),"NA",($L235*(Data!$D$55^3.33)/(Data!$D$18^2))),"---")</f>
        <v>4.2787473398358091E-4</v>
      </c>
      <c r="AH235" s="376" t="str">
        <f>IF(Start!$C$18="x",IF(OR(F235="NA",F235="",P235="NA",P235=""),"NA",IF(100/Data!$D$10&gt;Data!$D$13,(F235*$P235),(F235*$P235)*Data!$D$13)),"---")</f>
        <v>NA</v>
      </c>
      <c r="AI235" s="489">
        <f>IF(Start!$C$18="x",IF(OR($N235="NA",$Q235="NA",$Q235=0,Q235="",N235=""),"NA",(1000*$N235/$Q235)),"---")</f>
        <v>84797641.799999997</v>
      </c>
      <c r="AJ235" s="376">
        <f>IF(Start!$C$18="x",IF(OR(Q235 = "NA",Q235=0,N235 = "NA",N235="",Q235=""), "NA", IF($AG235="NA","NA",(3.1416*Data!$D$57*86400/($AG235*(Data!$D$55+(N235*Data!$D$19/(Q235*1000)))))^0.5)),"---")</f>
        <v>514.03949861010449</v>
      </c>
      <c r="AK235" s="376" t="str">
        <f>IF(Start!$C$18="x",IF(OR(AH235 = "NA",AI235="NA",AI235=0,AI235="",AH235=""), "NA", AH235/AI235),"---")</f>
        <v>NA</v>
      </c>
      <c r="AL235" s="376" t="str">
        <f>IF(Start!$C$18="x",IF(OR(AK235 ="NA",AK235="",AJ235= "NA",R235="NA",R235=0),"NA",(2*AK235)/(1000*(1/$R235+AJ235))),"---")</f>
        <v>NA</v>
      </c>
      <c r="AM235" s="376" t="str">
        <f>IF(Start!$C$18="x",IF(AL235 = "NA", "NA", AL235*(Data!$D$52*Data!$D$53*10000)),"---")</f>
        <v>NA</v>
      </c>
      <c r="AN235" s="376" t="str">
        <f>IF(Start!$C$18="x",IF(AM235 = "NA", "NA", AM235*(Data!$D$54)),"---")</f>
        <v>NA</v>
      </c>
      <c r="AO235" s="498" t="str">
        <f>IF(Start!$C$18="x",IF(AN235="NA","NA",AN235*Data!$D$41),"---")</f>
        <v>NA</v>
      </c>
      <c r="AP235" s="376">
        <f>IF(Start!$C$18="x",IF(OR(Q235=0,N235="NA",N235="",AG235="NA",AG235="",AG235=0,Q235="",Q235="NA"),"NA", (3.1416*Data!$D$56*86400/($AG235*(Data!$D$55+(N235*Data!$D$19/(Q235*1000)))))^0.5),"---")</f>
        <v>514.03949861010449</v>
      </c>
      <c r="AQ235" s="376" t="str">
        <f>IF(Start!$C$18="x",IF(OR(AH235="NA",AI235="NA",AI235="",AI235=0,AH235=""),"NA", AH235/AI235),"---")</f>
        <v>NA</v>
      </c>
      <c r="AR235" s="376" t="str">
        <f>IF(Start!$C$18="x",IF(OR(AQ235="NA",AP235="NA",$R235="NA",R235=0,R235=""),"NA",(2*AQ235)/(1000*(1/$R235+AP235))),"---")</f>
        <v>NA</v>
      </c>
      <c r="AS235" s="376" t="str">
        <f>IF(Start!$C$18="x",IF(AR235 = "NA", "NA", AR235*(Data!$D$52*Data!$D$53*10000)),"---")</f>
        <v>NA</v>
      </c>
      <c r="AT235" s="376" t="str">
        <f>IF(Start!$C$18="x",IF(AS235 = "NA", "NA", (AS235*1000)/(Data!$D$48*3*Data!$D$53)),"---")</f>
        <v>NA</v>
      </c>
      <c r="AU235" s="498" t="str">
        <f>IF(Start!$C$18="x",IF(AT235="NA","NA",AT235*Data!$D$47),"---")</f>
        <v>NA</v>
      </c>
      <c r="AV235" s="283" t="str">
        <f>IF(Start!$C$18="x",(IF(AND(F235="",G235= "",G235&lt;&gt;"NA"),"",IF(OR(AD235="NA",I235="NA",I235=0),"NA",(AD235/I235)))),"Not Req.")</f>
        <v/>
      </c>
      <c r="AW235" s="284" t="str">
        <f>IF(Start!$C$18="x",(IF(AND(F235="",G235= "",G235&lt;&gt;"NA"),"",IF(OR(AF235="NA",I235="NA",I235=0),"NA",(AF235/I235)))),"Not Req.")</f>
        <v/>
      </c>
      <c r="AX235" s="284" t="str">
        <f>IF(Start!$C$18="x",(IF(F235 ="","",IF(OR(AO235="NA",I235="NA",I235=0),"NA",(AO235/I235)))),"Not Req.")</f>
        <v/>
      </c>
      <c r="AY235" s="344" t="str">
        <f>IF(Start!$C$18="x",(IF(F235 ="","",IF(OR(AU235="NA",I235="NA",I235=0),"NA",(AU235/I235)))),"Not Req.")</f>
        <v/>
      </c>
      <c r="AZ235" s="208"/>
    </row>
    <row r="236" spans="1:52" s="10" customFormat="1" x14ac:dyDescent="0.25">
      <c r="A236" s="405" t="s">
        <v>554</v>
      </c>
      <c r="B236" s="347" t="str">
        <f>IF(Start!$C$18="x",IF(AND(OR(F236="",F236="NA"),OR(G236="",G236="NA")),"",IF(I236="NA","NA",IF(AND(I236="",K236="--"),"NA",IF(AD236="NA","Missing Data",IF(I236="","No Criteria",IF(AD236&gt;=I236,"Needed","No")))))),"---")</f>
        <v/>
      </c>
      <c r="C236" s="501" t="str">
        <f>IF(Start!$C$18="x",IF(AND(OR(F236="",F236="NA"),OR(G236="",G236="NA")),"",IF(I236="NA","NA",IF(AND(I236="",K236="--"),"NA",IF(AF236="NA","Missing Data",IF(I236="","No Criteria",IF(AF236&gt;=I236,"Needed","No")))))),"---")</f>
        <v/>
      </c>
      <c r="D236" s="347" t="str">
        <f>IF(Start!$C$18="x",IF(AND(OR(F236="",F236="NA"),OR(G236="",G236="NA")),"",IF(I236="NA","NA",IF(AND(I236="",K236="--"),"NA",IF(AO236="NA","Missing Data",IF(I236="","No Criteria",IF(AO236&gt;=I236,"Needed","No")))))),"---")</f>
        <v/>
      </c>
      <c r="E236" s="401" t="str">
        <f>IF(Start!$C$18="x",IF(AND(OR(F236="",F236="NA"),OR(G236="",G236="NA")),"",IF(I236="NA","NA",IF(AND(I236="",K236="--"),"NA",IF(AU236="NA","Missing Data",IF(I236="","No Criteria",IF(AU236&gt;=I236,"Needed","No")))))),"---")</f>
        <v/>
      </c>
      <c r="F236" s="431" t="str">
        <f>IF(TRUE=ISBLANK(ChemData!B236),"",(ChemData!B236))</f>
        <v/>
      </c>
      <c r="G236" s="432" t="str">
        <f>IF(TRUE=ISBLANK(ChemData!C236),"",(ChemData!C236))</f>
        <v/>
      </c>
      <c r="H236" s="433" t="str">
        <f>IF(TRUE=ISBLANK(ChemData!D236),"",(ChemData!D236))</f>
        <v/>
      </c>
      <c r="I236" s="919">
        <f>IF(TRUE=ISBLANK(ChemData!K236),"",(ChemData!K236))</f>
        <v>5.0000000000000001E-3</v>
      </c>
      <c r="J236" s="290">
        <f>IF(TRUE=ISBLANK(ChemData!M236),"",(ChemData!M236))</f>
        <v>345.6</v>
      </c>
      <c r="K236" s="290">
        <f>IF(TRUE=ISBLANK(ChemData!N236),"",(ChemData!N236))</f>
        <v>1.5800000000000001E-5</v>
      </c>
      <c r="L236" s="290">
        <f>IF(TRUE=ISBLANK(ChemData!O236),"",(ChemData!O236))</f>
        <v>1.5599999999999999E-2</v>
      </c>
      <c r="M236" s="290">
        <f>IF(TRUE=ISBLANK(ChemData!Q236),"",(ChemData!Q236))</f>
        <v>2225.3914684768338</v>
      </c>
      <c r="N236" s="290">
        <f>IF(TRUE=ISBLANK(ChemData!R236),"",(ChemData!R236))</f>
        <v>2225.3914684768338</v>
      </c>
      <c r="O236" s="290">
        <f>IF(TRUE=ISBLANK(ChemData!S236),"",(ChemData!S236))</f>
        <v>1</v>
      </c>
      <c r="P236" s="291">
        <f>IF(TRUE=ISBLANK(ChemData!T236),"",(ChemData!T236))</f>
        <v>1</v>
      </c>
      <c r="Q236" s="375">
        <f>IF(Start!$C$18="x",IF(OR(K236="NA",K236="",K236="--"),"NA",(K236*1000000/82.1/Data!$D$50)),"---")</f>
        <v>6.208007543907902E-4</v>
      </c>
      <c r="R236" s="376">
        <f>IF(Start!$C$18="x",IF(OR(J236="NA",J236=0,J236=""),"NA",(0.32*(Data!$D$48+Data!$D$49)*(18/J236)^0.5)),"---")</f>
        <v>0.18805141141010703</v>
      </c>
      <c r="S236" s="376">
        <f>IF(Start!$C$18="x",IF(OR(J236="NA",J236= 0,J236=""),"NA",(0.0065*((Data!$D$49^0.969)/(Data!$D$51^0.673))*(32/J236)^0.5*EXP(0.526*Data!$D$48^-1.9))),"---")</f>
        <v>3.9636085532791592E-4</v>
      </c>
      <c r="T236" s="377">
        <f>IF(Start!$C$18="x",IF(OR(S236="NA",R236="NA",R236=0,Q236="NA",S236=0,Q236=0),"NA",(1/(1/S236+(1/(R236*Q236))))),"---")</f>
        <v>9.018094275509733E-5</v>
      </c>
      <c r="U236" s="375" t="str">
        <f>IF(Start!$C$18="x",IF(OR(F236="NA",F236="",O236="",O236="NA"),"NA",(F236*$O236)),"---")</f>
        <v>NA</v>
      </c>
      <c r="V236" s="376" t="str">
        <f>IF(Start!$C$18="x",IF(OR(U236="NA",M236="NA",M236="",U236=""),"NA",U236/((Data!$D$18+((1-Data!$D$18)*Data!$D$14*M236))/((1-Data!$D$18)*Data!$D$14*1000))),"---")</f>
        <v>NA</v>
      </c>
      <c r="W236" s="376" t="str">
        <f>IF(Start!$C$18="x",IF(OR(G236="NA",U236="NA",G236="",U236=""),"NA",(U236 +($G236*(Data!$D$19-Data!$D$22)/(Data!$D$19*Data!$D$22)))),"---")</f>
        <v>NA</v>
      </c>
      <c r="X236" s="376" t="str">
        <f>IF(Start!$C$18="x",IF(OR(G236="NA",V236="NA",G236="",V236=""),"NA",(((Data!$D$22*Data!$D$18)*V236)+(Data!$D$19-Data!$D$22)*$G236)/((Data!$D$22*Data!$D$18)+Data!$D$19-Data!$D$22)),"---")</f>
        <v>NA</v>
      </c>
      <c r="Y236" s="376" t="str">
        <f>IF(Start!$C$18="x",IF(OR(W236="NA",W236="",M236="NA",M236=""),"NA",(W236/((Data!$D$23+((1-Data!$D$23)*Data!$D$14*M236)) /((1-Data!$D$23)*Data!$D$14*1000)))),"---")</f>
        <v>NA</v>
      </c>
      <c r="Z236" s="376" t="str">
        <f>IF(Start!$C$18="x",IF(OR(Y236="NA",X236="NA"),"NA",IF(Y236&gt;X236, Y236, X236)),"---")</f>
        <v>NA</v>
      </c>
      <c r="AA236" s="461" t="str">
        <f>IF(Start!$C$18="x",IF(OR(Z236="NA",T236="NA"),"NA",Z236*T236/(1000000000)),"---")</f>
        <v>NA</v>
      </c>
      <c r="AB236" s="1057" t="str">
        <f>IF(Start!$C$18="x",IF(AA236 = "NA", "NA", AA236*(Data!$D$52*Data!$D$53*10000)),"---")</f>
        <v>NA</v>
      </c>
      <c r="AC236" s="375" t="str">
        <f>IF(Start!$C$18="x",IF(AB236="NA", "NA", AB236*Data!$D$54),"---")</f>
        <v>NA</v>
      </c>
      <c r="AD236" s="498" t="str">
        <f>IF(Start!$C$18="x",IF(AC236="NA","NA",AC236*Data!$D$41),"---")</f>
        <v>NA</v>
      </c>
      <c r="AE236" s="376" t="str">
        <f>IF(Start!$C$18="x",IF(AB236 = "NA", "NA", AB236/(Data!$D$53*3*Data!$D$48)*1000),"---")</f>
        <v>NA</v>
      </c>
      <c r="AF236" s="498" t="str">
        <f>IF(Start!$C$18="x",IF(AE236="NA","NA",AE236*Data!$D$46),"---")</f>
        <v>NA</v>
      </c>
      <c r="AG236" s="375">
        <f>IF(Start!$C$18="x",IF(OR($L236="NA",L236=""),"NA",($L236*(Data!$D$55^3.33)/(Data!$D$18^2))),"---")</f>
        <v>1.5892490119390147E-4</v>
      </c>
      <c r="AH236" s="376" t="str">
        <f>IF(Start!$C$18="x",IF(OR(F236="NA",F236="",P236="NA",P236=""),"NA",IF(100/Data!$D$10&gt;Data!$D$13,(F236*$P236),(F236*$P236)*Data!$D$13)),"---")</f>
        <v>NA</v>
      </c>
      <c r="AI236" s="489">
        <f>IF(Start!$C$18="x",IF(OR($N236="NA",$Q236="NA",$Q236=0,Q236="",N236=""),"NA",(1000*$N236/$Q236)),"---")</f>
        <v>3584711282.5445499</v>
      </c>
      <c r="AJ236" s="376">
        <f>IF(Start!$C$18="x",IF(OR(Q236 = "NA",Q236=0,N236 = "NA",N236="",Q236=""), "NA", IF($AG236="NA","NA",(3.1416*Data!$D$57*86400/($AG236*(Data!$D$55+(N236*Data!$D$19/(Q236*1000)))))^0.5)),"---")</f>
        <v>129.72516211117022</v>
      </c>
      <c r="AK236" s="376" t="str">
        <f>IF(Start!$C$18="x",IF(OR(AH236 = "NA",AI236="NA",AI236=0,AI236="",AH236=""), "NA", AH236/AI236),"---")</f>
        <v>NA</v>
      </c>
      <c r="AL236" s="376" t="str">
        <f>IF(Start!$C$18="x",IF(OR(AK236 ="NA",AK236="",AJ236= "NA",R236="NA",R236=0),"NA",(2*AK236)/(1000*(1/$R236+AJ236))),"---")</f>
        <v>NA</v>
      </c>
      <c r="AM236" s="376" t="str">
        <f>IF(Start!$C$18="x",IF(AL236 = "NA", "NA", AL236*(Data!$D$52*Data!$D$53*10000)),"---")</f>
        <v>NA</v>
      </c>
      <c r="AN236" s="376" t="str">
        <f>IF(Start!$C$18="x",IF(AM236 = "NA", "NA", AM236*(Data!$D$54)),"---")</f>
        <v>NA</v>
      </c>
      <c r="AO236" s="498" t="str">
        <f>IF(Start!$C$18="x",IF(AN236="NA","NA",AN236*Data!$D$41),"---")</f>
        <v>NA</v>
      </c>
      <c r="AP236" s="376">
        <f>IF(Start!$C$18="x",IF(OR(Q236=0,N236="NA",N236="",AG236="NA",AG236="",AG236=0,Q236="",Q236="NA"),"NA", (3.1416*Data!$D$56*86400/($AG236*(Data!$D$55+(N236*Data!$D$19/(Q236*1000)))))^0.5),"---")</f>
        <v>129.72516211117022</v>
      </c>
      <c r="AQ236" s="376" t="str">
        <f>IF(Start!$C$18="x",IF(OR(AH236="NA",AI236="NA",AI236="",AI236=0,AH236=""),"NA", AH236/AI236),"---")</f>
        <v>NA</v>
      </c>
      <c r="AR236" s="376" t="str">
        <f>IF(Start!$C$18="x",IF(OR(AQ236="NA",AP236="NA",$R236="NA",R236=0,R236=""),"NA",(2*AQ236)/(1000*(1/$R236+AP236))),"---")</f>
        <v>NA</v>
      </c>
      <c r="AS236" s="376" t="str">
        <f>IF(Start!$C$18="x",IF(AR236 = "NA", "NA", AR236*(Data!$D$52*Data!$D$53*10000)),"---")</f>
        <v>NA</v>
      </c>
      <c r="AT236" s="376" t="str">
        <f>IF(Start!$C$18="x",IF(AS236 = "NA", "NA", (AS236*1000)/(Data!$D$48*3*Data!$D$53)),"---")</f>
        <v>NA</v>
      </c>
      <c r="AU236" s="498" t="str">
        <f>IF(Start!$C$18="x",IF(AT236="NA","NA",AT236*Data!$D$47),"---")</f>
        <v>NA</v>
      </c>
      <c r="AV236" s="283" t="str">
        <f>IF(Start!$C$18="x",(IF(AND(F236="",G236= "",G236&lt;&gt;"NA"),"",IF(OR(AD236="NA",I236="NA",I236=0),"NA",(AD236/I236)))),"Not Req.")</f>
        <v/>
      </c>
      <c r="AW236" s="284" t="str">
        <f>IF(Start!$C$18="x",(IF(AND(F236="",G236= "",G236&lt;&gt;"NA"),"",IF(OR(AF236="NA",I236="NA",I236=0),"NA",(AF236/I236)))),"Not Req.")</f>
        <v/>
      </c>
      <c r="AX236" s="284" t="str">
        <f>IF(Start!$C$18="x",(IF(F236 ="","",IF(OR(AO236="NA",I236="NA",I236=0),"NA",(AO236/I236)))),"Not Req.")</f>
        <v/>
      </c>
      <c r="AY236" s="344" t="str">
        <f>IF(Start!$C$18="x",(IF(F236 ="","",IF(OR(AU236="NA",I236="NA",I236=0),"NA",(AU236/I236)))),"Not Req.")</f>
        <v/>
      </c>
      <c r="AZ236" s="208"/>
    </row>
    <row r="237" spans="1:52" s="10" customFormat="1" x14ac:dyDescent="0.25">
      <c r="A237" s="405" t="s">
        <v>555</v>
      </c>
      <c r="B237" s="347" t="str">
        <f>IF(Start!$C$18="x",IF(AND(OR(F237="",F237="NA"),OR(G237="",G237="NA")),"",IF(I237="NA","NA",IF(AND(I237="",K237="--"),"NA",IF(AD237="NA","Missing Data",IF(I237="","No Criteria",IF(AD237&gt;=I237,"Needed","No")))))),"---")</f>
        <v/>
      </c>
      <c r="C237" s="501" t="str">
        <f>IF(Start!$C$18="x",IF(AND(OR(F237="",F237="NA"),OR(G237="",G237="NA")),"",IF(I237="NA","NA",IF(AND(I237="",K237="--"),"NA",IF(AF237="NA","Missing Data",IF(I237="","No Criteria",IF(AF237&gt;=I237,"Needed","No")))))),"---")</f>
        <v/>
      </c>
      <c r="D237" s="347" t="str">
        <f>IF(Start!$C$18="x",IF(AND(OR(F237="",F237="NA"),OR(G237="",G237="NA")),"",IF(I237="NA","NA",IF(AND(I237="",K237="--"),"NA",IF(AO237="NA","Missing Data",IF(I237="","No Criteria",IF(AO237&gt;=I237,"Needed","No")))))),"---")</f>
        <v/>
      </c>
      <c r="E237" s="401" t="str">
        <f>IF(Start!$C$18="x",IF(AND(OR(F237="",F237="NA"),OR(G237="",G237="NA")),"",IF(I237="NA","NA",IF(AND(I237="",K237="--"),"NA",IF(AU237="NA","Missing Data",IF(I237="","No Criteria",IF(AU237&gt;=I237,"Needed","No")))))),"---")</f>
        <v/>
      </c>
      <c r="F237" s="431" t="str">
        <f>IF(TRUE=ISBLANK(ChemData!B237),"",(ChemData!B237))</f>
        <v/>
      </c>
      <c r="G237" s="432" t="str">
        <f>IF(TRUE=ISBLANK(ChemData!C237),"",(ChemData!C237))</f>
        <v/>
      </c>
      <c r="H237" s="433" t="str">
        <f>IF(TRUE=ISBLANK(ChemData!D237),"",(ChemData!D237))</f>
        <v/>
      </c>
      <c r="I237" s="919" t="str">
        <f>IF(TRUE=ISBLANK(ChemData!K237),"",(ChemData!K237))</f>
        <v>NA</v>
      </c>
      <c r="J237" s="290">
        <f>IF(TRUE=ISBLANK(ChemData!M237),"",(ChemData!M237))</f>
        <v>545.6</v>
      </c>
      <c r="K237" s="290">
        <f>IF(TRUE=ISBLANK(ChemData!N237),"",(ChemData!N237))</f>
        <v>8.2799999999999992E-3</v>
      </c>
      <c r="L237" s="290">
        <f>IF(TRUE=ISBLANK(ChemData!O237),"",(ChemData!O237))</f>
        <v>0.14766774606977576</v>
      </c>
      <c r="M237" s="290">
        <f>IF(TRUE=ISBLANK(ChemData!Q237),"",(ChemData!Q237))</f>
        <v>147030.15624746474</v>
      </c>
      <c r="N237" s="290">
        <f>IF(TRUE=ISBLANK(ChemData!R237),"",(ChemData!R237))</f>
        <v>147030.15624746474</v>
      </c>
      <c r="O237" s="290">
        <f>IF(TRUE=ISBLANK(ChemData!S237),"",(ChemData!S237))</f>
        <v>1</v>
      </c>
      <c r="P237" s="291">
        <f>IF(TRUE=ISBLANK(ChemData!T237),"",(ChemData!T237))</f>
        <v>1</v>
      </c>
      <c r="Q237" s="375">
        <f>IF(Start!$C$18="x",IF(OR(K237="NA",K237="",K237="--"),"NA",(K237*1000000/82.1/Data!$D$50)),"---")</f>
        <v>0.32533102825036347</v>
      </c>
      <c r="R237" s="376">
        <f>IF(Start!$C$18="x",IF(OR(J237="NA",J237=0,J237=""),"NA",(0.32*(Data!$D$48+Data!$D$49)*(18/J237)^0.5)),"---")</f>
        <v>0.14966707922621317</v>
      </c>
      <c r="S237" s="376">
        <f>IF(Start!$C$18="x",IF(OR(J237="NA",J237= 0,J237=""),"NA",(0.0065*((Data!$D$49^0.969)/(Data!$D$51^0.673))*(32/J237)^0.5*EXP(0.526*Data!$D$48^-1.9))),"---")</f>
        <v>3.1545719913349436E-4</v>
      </c>
      <c r="T237" s="377">
        <f>IF(Start!$C$18="x",IF(OR(S237="NA",R237="NA",R237=0,Q237="NA",S237=0,Q237=0),"NA",(1/(1/S237+(1/(R237*Q237))))),"---")</f>
        <v>3.1342659847263636E-4</v>
      </c>
      <c r="U237" s="375" t="str">
        <f>IF(Start!$C$18="x",IF(OR(F237="NA",F237="",O237="",O237="NA"),"NA",(F237*$O237)),"---")</f>
        <v>NA</v>
      </c>
      <c r="V237" s="376" t="str">
        <f>IF(Start!$C$18="x",IF(OR(U237="NA",M237="NA",M237="",U237=""),"NA",U237/((Data!$D$18+((1-Data!$D$18)*Data!$D$14*M237))/((1-Data!$D$18)*Data!$D$14*1000))),"---")</f>
        <v>NA</v>
      </c>
      <c r="W237" s="376" t="str">
        <f>IF(Start!$C$18="x",IF(OR(G237="NA",U237="NA",G237="",U237=""),"NA",(U237 +($G237*(Data!$D$19-Data!$D$22)/(Data!$D$19*Data!$D$22)))),"---")</f>
        <v>NA</v>
      </c>
      <c r="X237" s="376" t="str">
        <f>IF(Start!$C$18="x",IF(OR(G237="NA",V237="NA",G237="",V237=""),"NA",(((Data!$D$22*Data!$D$18)*V237)+(Data!$D$19-Data!$D$22)*$G237)/((Data!$D$22*Data!$D$18)+Data!$D$19-Data!$D$22)),"---")</f>
        <v>NA</v>
      </c>
      <c r="Y237" s="376" t="str">
        <f>IF(Start!$C$18="x",IF(OR(W237="NA",W237="",M237="NA",M237=""),"NA",(W237/((Data!$D$23+((1-Data!$D$23)*Data!$D$14*M237)) /((1-Data!$D$23)*Data!$D$14*1000)))),"---")</f>
        <v>NA</v>
      </c>
      <c r="Z237" s="376" t="str">
        <f>IF(Start!$C$18="x",IF(OR(Y237="NA",X237="NA"),"NA",IF(Y237&gt;X237, Y237, X237)),"---")</f>
        <v>NA</v>
      </c>
      <c r="AA237" s="461" t="str">
        <f>IF(Start!$C$18="x",IF(OR(Z237="NA",T237="NA"),"NA",Z237*T237/(1000000000)),"---")</f>
        <v>NA</v>
      </c>
      <c r="AB237" s="1057" t="str">
        <f>IF(Start!$C$18="x",IF(AA237 = "NA", "NA", AA237*(Data!$D$52*Data!$D$53*10000)),"---")</f>
        <v>NA</v>
      </c>
      <c r="AC237" s="375" t="str">
        <f>IF(Start!$C$18="x",IF(AB237="NA", "NA", AB237*Data!$D$54),"---")</f>
        <v>NA</v>
      </c>
      <c r="AD237" s="498" t="str">
        <f>IF(Start!$C$18="x",IF(AC237="NA","NA",AC237*Data!$D$41),"---")</f>
        <v>NA</v>
      </c>
      <c r="AE237" s="376" t="str">
        <f>IF(Start!$C$18="x",IF(AB237 = "NA", "NA", AB237/(Data!$D$53*3*Data!$D$48)*1000),"---")</f>
        <v>NA</v>
      </c>
      <c r="AF237" s="498" t="str">
        <f>IF(Start!$C$18="x",IF(AE237="NA","NA",AE237*Data!$D$46),"---")</f>
        <v>NA</v>
      </c>
      <c r="AG237" s="375">
        <f>IF(Start!$C$18="x",IF(OR($L237="NA",L237=""),"NA",($L237*(Data!$D$55^3.33)/(Data!$D$18^2))),"---")</f>
        <v>1.5043642277990541E-3</v>
      </c>
      <c r="AH237" s="376" t="str">
        <f>IF(Start!$C$18="x",IF(OR(F237="NA",F237="",P237="NA",P237=""),"NA",IF(100/Data!$D$10&gt;Data!$D$13,(F237*$P237),(F237*$P237)*Data!$D$13)),"---")</f>
        <v>NA</v>
      </c>
      <c r="AI237" s="489">
        <f>IF(Start!$C$18="x",IF(OR($N237="NA",$Q237="NA",$Q237=0,Q237="",N237=""),"NA",(1000*$N237/$Q237)),"---")</f>
        <v>451940157.80848128</v>
      </c>
      <c r="AJ237" s="376">
        <f>IF(Start!$C$18="x",IF(OR(Q237 = "NA",Q237=0,N237 = "NA",N237="",Q237=""), "NA", IF($AG237="NA","NA",(3.1416*Data!$D$57*86400/($AG237*(Data!$D$55+(N237*Data!$D$19/(Q237*1000)))))^0.5)),"---")</f>
        <v>118.74907196763704</v>
      </c>
      <c r="AK237" s="376" t="str">
        <f>IF(Start!$C$18="x",IF(OR(AH237 = "NA",AI237="NA",AI237=0,AI237="",AH237=""), "NA", AH237/AI237),"---")</f>
        <v>NA</v>
      </c>
      <c r="AL237" s="376" t="str">
        <f>IF(Start!$C$18="x",IF(OR(AK237 ="NA",AK237="",AJ237= "NA",R237="NA",R237=0),"NA",(2*AK237)/(1000*(1/$R237+AJ237))),"---")</f>
        <v>NA</v>
      </c>
      <c r="AM237" s="376" t="str">
        <f>IF(Start!$C$18="x",IF(AL237 = "NA", "NA", AL237*(Data!$D$52*Data!$D$53*10000)),"---")</f>
        <v>NA</v>
      </c>
      <c r="AN237" s="376" t="str">
        <f>IF(Start!$C$18="x",IF(AM237 = "NA", "NA", AM237*(Data!$D$54)),"---")</f>
        <v>NA</v>
      </c>
      <c r="AO237" s="498" t="str">
        <f>IF(Start!$C$18="x",IF(AN237="NA","NA",AN237*Data!$D$41),"---")</f>
        <v>NA</v>
      </c>
      <c r="AP237" s="376">
        <f>IF(Start!$C$18="x",IF(OR(Q237=0,N237="NA",N237="",AG237="NA",AG237="",AG237=0,Q237="",Q237="NA"),"NA", (3.1416*Data!$D$56*86400/($AG237*(Data!$D$55+(N237*Data!$D$19/(Q237*1000)))))^0.5),"---")</f>
        <v>118.74907196763704</v>
      </c>
      <c r="AQ237" s="376" t="str">
        <f>IF(Start!$C$18="x",IF(OR(AH237="NA",AI237="NA",AI237="",AI237=0,AH237=""),"NA", AH237/AI237),"---")</f>
        <v>NA</v>
      </c>
      <c r="AR237" s="376" t="str">
        <f>IF(Start!$C$18="x",IF(OR(AQ237="NA",AP237="NA",$R237="NA",R237=0,R237=""),"NA",(2*AQ237)/(1000*(1/$R237+AP237))),"---")</f>
        <v>NA</v>
      </c>
      <c r="AS237" s="376" t="str">
        <f>IF(Start!$C$18="x",IF(AR237 = "NA", "NA", AR237*(Data!$D$52*Data!$D$53*10000)),"---")</f>
        <v>NA</v>
      </c>
      <c r="AT237" s="376" t="str">
        <f>IF(Start!$C$18="x",IF(AS237 = "NA", "NA", (AS237*1000)/(Data!$D$48*3*Data!$D$53)),"---")</f>
        <v>NA</v>
      </c>
      <c r="AU237" s="498" t="str">
        <f>IF(Start!$C$18="x",IF(AT237="NA","NA",AT237*Data!$D$47),"---")</f>
        <v>NA</v>
      </c>
      <c r="AV237" s="283" t="str">
        <f>IF(Start!$C$18="x",(IF(AND(F237="",G237= "",G237&lt;&gt;"NA"),"",IF(OR(AD237="NA",I237="NA",I237=0),"NA",(AD237/I237)))),"Not Req.")</f>
        <v/>
      </c>
      <c r="AW237" s="284" t="str">
        <f>IF(Start!$C$18="x",(IF(AND(F237="",G237= "",G237&lt;&gt;"NA"),"",IF(OR(AF237="NA",I237="NA",I237=0),"NA",(AF237/I237)))),"Not Req.")</f>
        <v/>
      </c>
      <c r="AX237" s="284" t="str">
        <f>IF(Start!$C$18="x",(IF(F237 ="","",IF(OR(AO237="NA",I237="NA",I237=0),"NA",(AO237/I237)))),"Not Req.")</f>
        <v/>
      </c>
      <c r="AY237" s="344" t="str">
        <f>IF(Start!$C$18="x",(IF(F237 ="","",IF(OR(AU237="NA",I237="NA",I237=0),"NA",(AU237/I237)))),"Not Req.")</f>
        <v/>
      </c>
      <c r="AZ237" s="208"/>
    </row>
    <row r="238" spans="1:52" s="10" customFormat="1" x14ac:dyDescent="0.25">
      <c r="A238" s="405" t="s">
        <v>556</v>
      </c>
      <c r="B238" s="347" t="str">
        <f>IF(Start!$C$18="x",IF(AND(OR(F238="",F238="NA"),OR(G238="",G238="NA")),"",IF(I238="NA","NA",IF(AND(I238="",K238="--"),"NA",IF(AD238="NA","Missing Data",IF(I238="","No Criteria",IF(AD238&gt;=I238,"Needed","No")))))),"---")</f>
        <v/>
      </c>
      <c r="C238" s="501" t="str">
        <f>IF(Start!$C$18="x",IF(AND(OR(F238="",F238="NA"),OR(G238="",G238="NA")),"",IF(I238="NA","NA",IF(AND(I238="",K238="--"),"NA",IF(AF238="NA","Missing Data",IF(I238="","No Criteria",IF(AF238&gt;=I238,"Needed","No")))))),"---")</f>
        <v/>
      </c>
      <c r="D238" s="347" t="str">
        <f>IF(Start!$C$18="x",IF(AND(OR(F238="",F238="NA"),OR(G238="",G238="NA")),"",IF(I238="NA","NA",IF(AND(I238="",K238="--"),"NA",IF(AO238="NA","Missing Data",IF(I238="","No Criteria",IF(AO238&gt;=I238,"Needed","No")))))),"---")</f>
        <v/>
      </c>
      <c r="E238" s="401" t="str">
        <f>IF(Start!$C$18="x",IF(AND(OR(F238="",F238="NA"),OR(G238="",G238="NA")),"",IF(I238="NA","NA",IF(AND(I238="",K238="--"),"NA",IF(AU238="NA","Missing Data",IF(I238="","No Criteria",IF(AU238&gt;=I238,"Needed","No")))))),"---")</f>
        <v/>
      </c>
      <c r="F238" s="431" t="str">
        <f>IF(TRUE=ISBLANK(ChemData!B238),"",(ChemData!B238))</f>
        <v/>
      </c>
      <c r="G238" s="432" t="str">
        <f>IF(TRUE=ISBLANK(ChemData!C238),"",(ChemData!C238))</f>
        <v/>
      </c>
      <c r="H238" s="433" t="str">
        <f>IF(TRUE=ISBLANK(ChemData!D238),"",(ChemData!D238))</f>
        <v/>
      </c>
      <c r="I238" s="919" t="str">
        <f>IF(TRUE=ISBLANK(ChemData!K238),"",(ChemData!K238))</f>
        <v>NA</v>
      </c>
      <c r="J238" s="290">
        <f>IF(TRUE=ISBLANK(ChemData!M238),"",(ChemData!M238))</f>
        <v>444</v>
      </c>
      <c r="K238" s="290">
        <f>IF(TRUE=ISBLANK(ChemData!N238),"",(ChemData!N238))</f>
        <v>4.87E-12</v>
      </c>
      <c r="L238" s="290">
        <f>IF(TRUE=ISBLANK(ChemData!O238),"",(ChemData!O238))</f>
        <v>0.14851717029169345</v>
      </c>
      <c r="M238" s="290">
        <f>IF(TRUE=ISBLANK(ChemData!Q238),"",(ChemData!Q238))</f>
        <v>22253.914684768366</v>
      </c>
      <c r="N238" s="290">
        <f>IF(TRUE=ISBLANK(ChemData!R238),"",(ChemData!R238))</f>
        <v>22253.914684768366</v>
      </c>
      <c r="O238" s="290">
        <f>IF(TRUE=ISBLANK(ChemData!S238),"",(ChemData!S238))</f>
        <v>1</v>
      </c>
      <c r="P238" s="291">
        <f>IF(TRUE=ISBLANK(ChemData!T238),"",(ChemData!T238))</f>
        <v>1</v>
      </c>
      <c r="Q238" s="375">
        <f>IF(Start!$C$18="x",IF(OR(K238="NA",K238="",K238="--"),"NA",(K238*1000000/82.1/Data!$D$50)),"---")</f>
        <v>1.913480806255157E-10</v>
      </c>
      <c r="R238" s="376">
        <f>IF(Start!$C$18="x",IF(OR(J238="NA",J238=0,J238=""),"NA",(0.32*(Data!$D$48+Data!$D$49)*(18/J238)^0.5)),"---")</f>
        <v>0.16590977684890684</v>
      </c>
      <c r="S238" s="376">
        <f>IF(Start!$C$18="x",IF(OR(J238="NA",J238= 0,J238=""),"NA",(0.0065*((Data!$D$49^0.969)/(Data!$D$51^0.673))*(32/J238)^0.5*EXP(0.526*Data!$D$48^-1.9))),"---")</f>
        <v>3.4969235575523053E-4</v>
      </c>
      <c r="T238" s="377">
        <f>IF(Start!$C$18="x",IF(OR(S238="NA",R238="NA",R238=0,Q238="NA",S238=0,Q238=0),"NA",(1/(1/S238+(1/(R238*Q238))))),"---")</f>
        <v>3.1746514474966149E-11</v>
      </c>
      <c r="U238" s="375" t="str">
        <f>IF(Start!$C$18="x",IF(OR(F238="NA",F238="",O238="",O238="NA"),"NA",(F238*$O238)),"---")</f>
        <v>NA</v>
      </c>
      <c r="V238" s="376" t="str">
        <f>IF(Start!$C$18="x",IF(OR(U238="NA",M238="NA",M238="",U238=""),"NA",U238/((Data!$D$18+((1-Data!$D$18)*Data!$D$14*M238))/((1-Data!$D$18)*Data!$D$14*1000))),"---")</f>
        <v>NA</v>
      </c>
      <c r="W238" s="376" t="str">
        <f>IF(Start!$C$18="x",IF(OR(G238="NA",U238="NA",G238="",U238=""),"NA",(U238 +($G238*(Data!$D$19-Data!$D$22)/(Data!$D$19*Data!$D$22)))),"---")</f>
        <v>NA</v>
      </c>
      <c r="X238" s="376" t="str">
        <f>IF(Start!$C$18="x",IF(OR(G238="NA",V238="NA",G238="",V238=""),"NA",(((Data!$D$22*Data!$D$18)*V238)+(Data!$D$19-Data!$D$22)*$G238)/((Data!$D$22*Data!$D$18)+Data!$D$19-Data!$D$22)),"---")</f>
        <v>NA</v>
      </c>
      <c r="Y238" s="376" t="str">
        <f>IF(Start!$C$18="x",IF(OR(W238="NA",W238="",M238="NA",M238=""),"NA",(W238/((Data!$D$23+((1-Data!$D$23)*Data!$D$14*M238)) /((1-Data!$D$23)*Data!$D$14*1000)))),"---")</f>
        <v>NA</v>
      </c>
      <c r="Z238" s="376" t="str">
        <f>IF(Start!$C$18="x",IF(OR(Y238="NA",X238="NA"),"NA",IF(Y238&gt;X238, Y238, X238)),"---")</f>
        <v>NA</v>
      </c>
      <c r="AA238" s="461" t="str">
        <f>IF(Start!$C$18="x",IF(OR(Z238="NA",T238="NA"),"NA",Z238*T238/(1000000000)),"---")</f>
        <v>NA</v>
      </c>
      <c r="AB238" s="1057" t="str">
        <f>IF(Start!$C$18="x",IF(AA238 = "NA", "NA", AA238*(Data!$D$52*Data!$D$53*10000)),"---")</f>
        <v>NA</v>
      </c>
      <c r="AC238" s="375" t="str">
        <f>IF(Start!$C$18="x",IF(AB238="NA", "NA", AB238*Data!$D$54),"---")</f>
        <v>NA</v>
      </c>
      <c r="AD238" s="498" t="str">
        <f>IF(Start!$C$18="x",IF(AC238="NA","NA",AC238*Data!$D$41),"---")</f>
        <v>NA</v>
      </c>
      <c r="AE238" s="376" t="str">
        <f>IF(Start!$C$18="x",IF(AB238 = "NA", "NA", AB238/(Data!$D$53*3*Data!$D$48)*1000),"---")</f>
        <v>NA</v>
      </c>
      <c r="AF238" s="498" t="str">
        <f>IF(Start!$C$18="x",IF(AE238="NA","NA",AE238*Data!$D$46),"---")</f>
        <v>NA</v>
      </c>
      <c r="AG238" s="375">
        <f>IF(Start!$C$18="x",IF(OR($L238="NA",L238=""),"NA",($L238*(Data!$D$55^3.33)/(Data!$D$18^2))),"---")</f>
        <v>1.5130177316798219E-3</v>
      </c>
      <c r="AH238" s="376" t="str">
        <f>IF(Start!$C$18="x",IF(OR(F238="NA",F238="",P238="NA",P238=""),"NA",IF(100/Data!$D$10&gt;Data!$D$13,(F238*$P238),(F238*$P238)*Data!$D$13)),"---")</f>
        <v>NA</v>
      </c>
      <c r="AI238" s="489">
        <f>IF(Start!$C$18="x",IF(OR($N238="NA",$Q238="NA",$Q238=0,Q238="",N238=""),"NA",(1000*$N238/$Q238)),"---")</f>
        <v>1.1630069458768782E+17</v>
      </c>
      <c r="AJ238" s="376">
        <f>IF(Start!$C$18="x",IF(OR(Q238 = "NA",Q238=0,N238 = "NA",N238="",Q238=""), "NA", IF($AG238="NA","NA",(3.1416*Data!$D$57*86400/($AG238*(Data!$D$55+(N238*Data!$D$19/(Q238*1000)))))^0.5)),"---")</f>
        <v>7.3813218032159249E-3</v>
      </c>
      <c r="AK238" s="376" t="str">
        <f>IF(Start!$C$18="x",IF(OR(AH238 = "NA",AI238="NA",AI238=0,AI238="",AH238=""), "NA", AH238/AI238),"---")</f>
        <v>NA</v>
      </c>
      <c r="AL238" s="376" t="str">
        <f>IF(Start!$C$18="x",IF(OR(AK238 ="NA",AK238="",AJ238= "NA",R238="NA",R238=0),"NA",(2*AK238)/(1000*(1/$R238+AJ238))),"---")</f>
        <v>NA</v>
      </c>
      <c r="AM238" s="376" t="str">
        <f>IF(Start!$C$18="x",IF(AL238 = "NA", "NA", AL238*(Data!$D$52*Data!$D$53*10000)),"---")</f>
        <v>NA</v>
      </c>
      <c r="AN238" s="376" t="str">
        <f>IF(Start!$C$18="x",IF(AM238 = "NA", "NA", AM238*(Data!$D$54)),"---")</f>
        <v>NA</v>
      </c>
      <c r="AO238" s="498" t="str">
        <f>IF(Start!$C$18="x",IF(AN238="NA","NA",AN238*Data!$D$41),"---")</f>
        <v>NA</v>
      </c>
      <c r="AP238" s="376">
        <f>IF(Start!$C$18="x",IF(OR(Q238=0,N238="NA",N238="",AG238="NA",AG238="",AG238=0,Q238="",Q238="NA"),"NA", (3.1416*Data!$D$56*86400/($AG238*(Data!$D$55+(N238*Data!$D$19/(Q238*1000)))))^0.5),"---")</f>
        <v>7.3813218032159249E-3</v>
      </c>
      <c r="AQ238" s="376" t="str">
        <f>IF(Start!$C$18="x",IF(OR(AH238="NA",AI238="NA",AI238="",AI238=0,AH238=""),"NA", AH238/AI238),"---")</f>
        <v>NA</v>
      </c>
      <c r="AR238" s="376" t="str">
        <f>IF(Start!$C$18="x",IF(OR(AQ238="NA",AP238="NA",$R238="NA",R238=0,R238=""),"NA",(2*AQ238)/(1000*(1/$R238+AP238))),"---")</f>
        <v>NA</v>
      </c>
      <c r="AS238" s="376" t="str">
        <f>IF(Start!$C$18="x",IF(AR238 = "NA", "NA", AR238*(Data!$D$52*Data!$D$53*10000)),"---")</f>
        <v>NA</v>
      </c>
      <c r="AT238" s="376" t="str">
        <f>IF(Start!$C$18="x",IF(AS238 = "NA", "NA", (AS238*1000)/(Data!$D$48*3*Data!$D$53)),"---")</f>
        <v>NA</v>
      </c>
      <c r="AU238" s="498" t="str">
        <f>IF(Start!$C$18="x",IF(AT238="NA","NA",AT238*Data!$D$47),"---")</f>
        <v>NA</v>
      </c>
      <c r="AV238" s="283" t="str">
        <f>IF(Start!$C$18="x",(IF(AND(F238="",G238= "",G238&lt;&gt;"NA"),"",IF(OR(AD238="NA",I238="NA",I238=0),"NA",(AD238/I238)))),"Not Req.")</f>
        <v/>
      </c>
      <c r="AW238" s="284" t="str">
        <f>IF(Start!$C$18="x",(IF(AND(F238="",G238= "",G238&lt;&gt;"NA"),"",IF(OR(AF238="NA",I238="NA",I238=0),"NA",(AF238/I238)))),"Not Req.")</f>
        <v/>
      </c>
      <c r="AX238" s="284" t="str">
        <f>IF(Start!$C$18="x",(IF(F238 ="","",IF(OR(AO238="NA",I238="NA",I238=0),"NA",(AO238/I238)))),"Not Req.")</f>
        <v/>
      </c>
      <c r="AY238" s="344" t="str">
        <f>IF(Start!$C$18="x",(IF(F238 ="","",IF(OR(AU238="NA",I238="NA",I238=0),"NA",(AU238/I238)))),"Not Req.")</f>
        <v/>
      </c>
      <c r="AZ238" s="208"/>
    </row>
    <row r="239" spans="1:52" s="10" customFormat="1" x14ac:dyDescent="0.25">
      <c r="A239" s="405" t="s">
        <v>557</v>
      </c>
      <c r="B239" s="347" t="str">
        <f>IF(Start!$C$18="x",IF(AND(OR(F239="",F239="NA"),OR(G239="",G239="NA")),"",IF(I239="NA","NA",IF(AND(I239="",K239="--"),"NA",IF(AD239="NA","Missing Data",IF(I239="","No Criteria",IF(AD239&gt;=I239,"Needed","No")))))),"---")</f>
        <v/>
      </c>
      <c r="C239" s="501" t="str">
        <f>IF(Start!$C$18="x",IF(AND(OR(F239="",F239="NA"),OR(G239="",G239="NA")),"",IF(I239="NA","NA",IF(AND(I239="",K239="--"),"NA",IF(AF239="NA","Missing Data",IF(I239="","No Criteria",IF(AF239&gt;=I239,"Needed","No")))))),"---")</f>
        <v/>
      </c>
      <c r="D239" s="347" t="str">
        <f>IF(Start!$C$18="x",IF(AND(OR(F239="",F239="NA"),OR(G239="",G239="NA")),"",IF(I239="NA","NA",IF(AND(I239="",K239="--"),"NA",IF(AO239="NA","Missing Data",IF(I239="","No Criteria",IF(AO239&gt;=I239,"Needed","No")))))),"---")</f>
        <v/>
      </c>
      <c r="E239" s="401" t="str">
        <f>IF(Start!$C$18="x",IF(AND(OR(F239="",F239="NA"),OR(G239="",G239="NA")),"",IF(I239="NA","NA",IF(AND(I239="",K239="--"),"NA",IF(AU239="NA","Missing Data",IF(I239="","No Criteria",IF(AU239&gt;=I239,"Needed","No")))))),"---")</f>
        <v/>
      </c>
      <c r="F239" s="431" t="str">
        <f>IF(TRUE=ISBLANK(ChemData!B239),"",(ChemData!B239))</f>
        <v/>
      </c>
      <c r="G239" s="432" t="str">
        <f>IF(TRUE=ISBLANK(ChemData!C239),"",(ChemData!C239))</f>
        <v/>
      </c>
      <c r="H239" s="433" t="str">
        <f>IF(TRUE=ISBLANK(ChemData!D239),"",(ChemData!D239))</f>
        <v/>
      </c>
      <c r="I239" s="919" t="str">
        <f>IF(TRUE=ISBLANK(ChemData!K239),"",(ChemData!K239))</f>
        <v>NA</v>
      </c>
      <c r="J239" s="290">
        <f>IF(TRUE=ISBLANK(ChemData!M239),"",(ChemData!M239))</f>
        <v>444</v>
      </c>
      <c r="K239" s="290">
        <f>IF(TRUE=ISBLANK(ChemData!N239),"",(ChemData!N239))</f>
        <v>4.87E-12</v>
      </c>
      <c r="L239" s="290">
        <f>IF(TRUE=ISBLANK(ChemData!O239),"",(ChemData!O239))</f>
        <v>0.14851717029169345</v>
      </c>
      <c r="M239" s="290">
        <f>IF(TRUE=ISBLANK(ChemData!Q239),"",(ChemData!Q239))</f>
        <v>41438.728274899957</v>
      </c>
      <c r="N239" s="290">
        <f>IF(TRUE=ISBLANK(ChemData!R239),"",(ChemData!R239))</f>
        <v>41438.728274899957</v>
      </c>
      <c r="O239" s="290">
        <f>IF(TRUE=ISBLANK(ChemData!S239),"",(ChemData!S239))</f>
        <v>1</v>
      </c>
      <c r="P239" s="291">
        <f>IF(TRUE=ISBLANK(ChemData!T239),"",(ChemData!T239))</f>
        <v>1</v>
      </c>
      <c r="Q239" s="375">
        <f>IF(Start!$C$18="x",IF(OR(K239="NA",K239="",K239="--"),"NA",(K239*1000000/82.1/Data!$D$50)),"---")</f>
        <v>1.913480806255157E-10</v>
      </c>
      <c r="R239" s="376">
        <f>IF(Start!$C$18="x",IF(OR(J239="NA",J239=0,J239=""),"NA",(0.32*(Data!$D$48+Data!$D$49)*(18/J239)^0.5)),"---")</f>
        <v>0.16590977684890684</v>
      </c>
      <c r="S239" s="376">
        <f>IF(Start!$C$18="x",IF(OR(J239="NA",J239= 0,J239=""),"NA",(0.0065*((Data!$D$49^0.969)/(Data!$D$51^0.673))*(32/J239)^0.5*EXP(0.526*Data!$D$48^-1.9))),"---")</f>
        <v>3.4969235575523053E-4</v>
      </c>
      <c r="T239" s="377">
        <f>IF(Start!$C$18="x",IF(OR(S239="NA",R239="NA",R239=0,Q239="NA",S239=0,Q239=0),"NA",(1/(1/S239+(1/(R239*Q239))))),"---")</f>
        <v>3.1746514474966149E-11</v>
      </c>
      <c r="U239" s="375" t="str">
        <f>IF(Start!$C$18="x",IF(OR(F239="NA",F239="",O239="",O239="NA"),"NA",(F239*$O239)),"---")</f>
        <v>NA</v>
      </c>
      <c r="V239" s="376" t="str">
        <f>IF(Start!$C$18="x",IF(OR(U239="NA",M239="NA",M239="",U239=""),"NA",U239/((Data!$D$18+((1-Data!$D$18)*Data!$D$14*M239))/((1-Data!$D$18)*Data!$D$14*1000))),"---")</f>
        <v>NA</v>
      </c>
      <c r="W239" s="376" t="str">
        <f>IF(Start!$C$18="x",IF(OR(G239="NA",U239="NA",G239="",U239=""),"NA",(U239 +($G239*(Data!$D$19-Data!$D$22)/(Data!$D$19*Data!$D$22)))),"---")</f>
        <v>NA</v>
      </c>
      <c r="X239" s="376" t="str">
        <f>IF(Start!$C$18="x",IF(OR(G239="NA",V239="NA",G239="",V239=""),"NA",(((Data!$D$22*Data!$D$18)*V239)+(Data!$D$19-Data!$D$22)*$G239)/((Data!$D$22*Data!$D$18)+Data!$D$19-Data!$D$22)),"---")</f>
        <v>NA</v>
      </c>
      <c r="Y239" s="376" t="str">
        <f>IF(Start!$C$18="x",IF(OR(W239="NA",W239="",M239="NA",M239=""),"NA",(W239/((Data!$D$23+((1-Data!$D$23)*Data!$D$14*M239)) /((1-Data!$D$23)*Data!$D$14*1000)))),"---")</f>
        <v>NA</v>
      </c>
      <c r="Z239" s="376" t="str">
        <f>IF(Start!$C$18="x",IF(OR(Y239="NA",X239="NA"),"NA",IF(Y239&gt;X239, Y239, X239)),"---")</f>
        <v>NA</v>
      </c>
      <c r="AA239" s="461" t="str">
        <f>IF(Start!$C$18="x",IF(OR(Z239="NA",T239="NA"),"NA",Z239*T239/(1000000000)),"---")</f>
        <v>NA</v>
      </c>
      <c r="AB239" s="1057" t="str">
        <f>IF(Start!$C$18="x",IF(AA239 = "NA", "NA", AA239*(Data!$D$52*Data!$D$53*10000)),"---")</f>
        <v>NA</v>
      </c>
      <c r="AC239" s="375" t="str">
        <f>IF(Start!$C$18="x",IF(AB239="NA", "NA", AB239*Data!$D$54),"---")</f>
        <v>NA</v>
      </c>
      <c r="AD239" s="498" t="str">
        <f>IF(Start!$C$18="x",IF(AC239="NA","NA",AC239*Data!$D$41),"---")</f>
        <v>NA</v>
      </c>
      <c r="AE239" s="376" t="str">
        <f>IF(Start!$C$18="x",IF(AB239 = "NA", "NA", AB239/(Data!$D$53*3*Data!$D$48)*1000),"---")</f>
        <v>NA</v>
      </c>
      <c r="AF239" s="498" t="str">
        <f>IF(Start!$C$18="x",IF(AE239="NA","NA",AE239*Data!$D$46),"---")</f>
        <v>NA</v>
      </c>
      <c r="AG239" s="375">
        <f>IF(Start!$C$18="x",IF(OR($L239="NA",L239=""),"NA",($L239*(Data!$D$55^3.33)/(Data!$D$18^2))),"---")</f>
        <v>1.5130177316798219E-3</v>
      </c>
      <c r="AH239" s="376" t="str">
        <f>IF(Start!$C$18="x",IF(OR(F239="NA",F239="",P239="NA",P239=""),"NA",IF(100/Data!$D$10&gt;Data!$D$13,(F239*$P239),(F239*$P239)*Data!$D$13)),"---")</f>
        <v>NA</v>
      </c>
      <c r="AI239" s="489">
        <f>IF(Start!$C$18="x",IF(OR($N239="NA",$Q239="NA",$Q239=0,Q239="",N239=""),"NA",(1000*$N239/$Q239)),"---")</f>
        <v>2.165620273766897E+17</v>
      </c>
      <c r="AJ239" s="376">
        <f>IF(Start!$C$18="x",IF(OR(Q239 = "NA",Q239=0,N239 = "NA",N239="",Q239=""), "NA", IF($AG239="NA","NA",(3.1416*Data!$D$57*86400/($AG239*(Data!$D$55+(N239*Data!$D$19/(Q239*1000)))))^0.5)),"---")</f>
        <v>5.4092137043897336E-3</v>
      </c>
      <c r="AK239" s="376" t="str">
        <f>IF(Start!$C$18="x",IF(OR(AH239 = "NA",AI239="NA",AI239=0,AI239="",AH239=""), "NA", AH239/AI239),"---")</f>
        <v>NA</v>
      </c>
      <c r="AL239" s="376" t="str">
        <f>IF(Start!$C$18="x",IF(OR(AK239 ="NA",AK239="",AJ239= "NA",R239="NA",R239=0),"NA",(2*AK239)/(1000*(1/$R239+AJ239))),"---")</f>
        <v>NA</v>
      </c>
      <c r="AM239" s="376" t="str">
        <f>IF(Start!$C$18="x",IF(AL239 = "NA", "NA", AL239*(Data!$D$52*Data!$D$53*10000)),"---")</f>
        <v>NA</v>
      </c>
      <c r="AN239" s="376" t="str">
        <f>IF(Start!$C$18="x",IF(AM239 = "NA", "NA", AM239*(Data!$D$54)),"---")</f>
        <v>NA</v>
      </c>
      <c r="AO239" s="498" t="str">
        <f>IF(Start!$C$18="x",IF(AN239="NA","NA",AN239*Data!$D$41),"---")</f>
        <v>NA</v>
      </c>
      <c r="AP239" s="376">
        <f>IF(Start!$C$18="x",IF(OR(Q239=0,N239="NA",N239="",AG239="NA",AG239="",AG239=0,Q239="",Q239="NA"),"NA", (3.1416*Data!$D$56*86400/($AG239*(Data!$D$55+(N239*Data!$D$19/(Q239*1000)))))^0.5),"---")</f>
        <v>5.4092137043897336E-3</v>
      </c>
      <c r="AQ239" s="376" t="str">
        <f>IF(Start!$C$18="x",IF(OR(AH239="NA",AI239="NA",AI239="",AI239=0,AH239=""),"NA", AH239/AI239),"---")</f>
        <v>NA</v>
      </c>
      <c r="AR239" s="376" t="str">
        <f>IF(Start!$C$18="x",IF(OR(AQ239="NA",AP239="NA",$R239="NA",R239=0,R239=""),"NA",(2*AQ239)/(1000*(1/$R239+AP239))),"---")</f>
        <v>NA</v>
      </c>
      <c r="AS239" s="376" t="str">
        <f>IF(Start!$C$18="x",IF(AR239 = "NA", "NA", AR239*(Data!$D$52*Data!$D$53*10000)),"---")</f>
        <v>NA</v>
      </c>
      <c r="AT239" s="376" t="str">
        <f>IF(Start!$C$18="x",IF(AS239 = "NA", "NA", (AS239*1000)/(Data!$D$48*3*Data!$D$53)),"---")</f>
        <v>NA</v>
      </c>
      <c r="AU239" s="498" t="str">
        <f>IF(Start!$C$18="x",IF(AT239="NA","NA",AT239*Data!$D$47),"---")</f>
        <v>NA</v>
      </c>
      <c r="AV239" s="283" t="str">
        <f>IF(Start!$C$18="x",(IF(AND(F239="",G239= "",G239&lt;&gt;"NA"),"",IF(OR(AD239="NA",I239="NA",I239=0),"NA",(AD239/I239)))),"Not Req.")</f>
        <v/>
      </c>
      <c r="AW239" s="284" t="str">
        <f>IF(Start!$C$18="x",(IF(AND(F239="",G239= "",G239&lt;&gt;"NA"),"",IF(OR(AF239="NA",I239="NA",I239=0),"NA",(AF239/I239)))),"Not Req.")</f>
        <v/>
      </c>
      <c r="AX239" s="284" t="str">
        <f>IF(Start!$C$18="x",(IF(F239 ="","",IF(OR(AO239="NA",I239="NA",I239=0),"NA",(AO239/I239)))),"Not Req.")</f>
        <v/>
      </c>
      <c r="AY239" s="344" t="str">
        <f>IF(Start!$C$18="x",(IF(F239 ="","",IF(OR(AU239="NA",I239="NA",I239=0),"NA",(AU239/I239)))),"Not Req.")</f>
        <v/>
      </c>
      <c r="AZ239" s="208"/>
    </row>
    <row r="240" spans="1:52" s="10" customFormat="1" x14ac:dyDescent="0.25">
      <c r="A240" s="405" t="s">
        <v>558</v>
      </c>
      <c r="B240" s="347" t="str">
        <f>IF(Start!$C$18="x",IF(AND(OR(F240="",F240="NA"),OR(G240="",G240="NA")),"",IF(I240="NA","NA",IF(AND(I240="",K240="--"),"NA",IF(AD240="NA","Missing Data",IF(I240="","No Criteria",IF(AD240&gt;=I240,"Needed","No")))))),"---")</f>
        <v/>
      </c>
      <c r="C240" s="501" t="str">
        <f>IF(Start!$C$18="x",IF(AND(OR(F240="",F240="NA"),OR(G240="",G240="NA")),"",IF(I240="NA","NA",IF(AND(I240="",K240="--"),"NA",IF(AF240="NA","Missing Data",IF(I240="","No Criteria",IF(AF240&gt;=I240,"Needed","No")))))),"---")</f>
        <v/>
      </c>
      <c r="D240" s="347" t="str">
        <f>IF(Start!$C$18="x",IF(AND(OR(F240="",F240="NA"),OR(G240="",G240="NA")),"",IF(I240="NA","NA",IF(AND(I240="",K240="--"),"NA",IF(AO240="NA","Missing Data",IF(I240="","No Criteria",IF(AO240&gt;=I240,"Needed","No")))))),"---")</f>
        <v/>
      </c>
      <c r="E240" s="401" t="str">
        <f>IF(Start!$C$18="x",IF(AND(OR(F240="",F240="NA"),OR(G240="",G240="NA")),"",IF(I240="NA","NA",IF(AND(I240="",K240="--"),"NA",IF(AU240="NA","Missing Data",IF(I240="","No Criteria",IF(AU240&gt;=I240,"Needed","No")))))),"---")</f>
        <v/>
      </c>
      <c r="F240" s="431" t="str">
        <f>IF(TRUE=ISBLANK(ChemData!B240),"",(ChemData!B240))</f>
        <v/>
      </c>
      <c r="G240" s="432" t="str">
        <f>IF(TRUE=ISBLANK(ChemData!C240),"",(ChemData!C240))</f>
        <v/>
      </c>
      <c r="H240" s="433" t="str">
        <f>IF(TRUE=ISBLANK(ChemData!D240),"",(ChemData!D240))</f>
        <v/>
      </c>
      <c r="I240" s="919" t="str">
        <f>IF(TRUE=ISBLANK(ChemData!K240),"",(ChemData!K240))</f>
        <v>NA</v>
      </c>
      <c r="J240" s="290">
        <f>IF(TRUE=ISBLANK(ChemData!M240),"",(ChemData!M240))</f>
        <v>424</v>
      </c>
      <c r="K240" s="290">
        <f>IF(TRUE=ISBLANK(ChemData!N240),"",(ChemData!N240))</f>
        <v>8.6000000000000002E-8</v>
      </c>
      <c r="L240" s="290">
        <f>IF(TRUE=ISBLANK(ChemData!O240),"",(ChemData!O240))</f>
        <v>0.14873156415847416</v>
      </c>
      <c r="M240" s="290">
        <f>IF(TRUE=ISBLANK(ChemData!Q240),"",(ChemData!Q240))</f>
        <v>12514.295874505597</v>
      </c>
      <c r="N240" s="290">
        <f>IF(TRUE=ISBLANK(ChemData!R240),"",(ChemData!R240))</f>
        <v>12514.295874505597</v>
      </c>
      <c r="O240" s="290">
        <f>IF(TRUE=ISBLANK(ChemData!S240),"",(ChemData!S240))</f>
        <v>1</v>
      </c>
      <c r="P240" s="291">
        <f>IF(TRUE=ISBLANK(ChemData!T240),"",(ChemData!T240))</f>
        <v>1</v>
      </c>
      <c r="Q240" s="375">
        <f>IF(Start!$C$18="x",IF(OR(K240="NA",K240="",K240="--"),"NA",(K240*1000000/82.1/Data!$D$50)),"---")</f>
        <v>3.379042080861263E-6</v>
      </c>
      <c r="R240" s="376">
        <f>IF(Start!$C$18="x",IF(OR(J240="NA",J240=0,J240=""),"NA",(0.32*(Data!$D$48+Data!$D$49)*(18/J240)^0.5)),"---")</f>
        <v>0.16977765704057965</v>
      </c>
      <c r="S240" s="376">
        <f>IF(Start!$C$18="x",IF(OR(J240="NA",J240= 0,J240=""),"NA",(0.0065*((Data!$D$49^0.969)/(Data!$D$51^0.673))*(32/J240)^0.5*EXP(0.526*Data!$D$48^-1.9))),"---")</f>
        <v>3.5784478752684843E-4</v>
      </c>
      <c r="T240" s="377">
        <f>IF(Start!$C$18="x",IF(OR(S240="NA",R240="NA",R240=0,Q240="NA",S240=0,Q240=0),"NA",(1/(1/S240+(1/(R240*Q240))))),"---")</f>
        <v>5.7276760397937025E-7</v>
      </c>
      <c r="U240" s="375" t="str">
        <f>IF(Start!$C$18="x",IF(OR(F240="NA",F240="",O240="",O240="NA"),"NA",(F240*$O240)),"---")</f>
        <v>NA</v>
      </c>
      <c r="V240" s="376" t="str">
        <f>IF(Start!$C$18="x",IF(OR(U240="NA",M240="NA",M240="",U240=""),"NA",U240/((Data!$D$18+((1-Data!$D$18)*Data!$D$14*M240))/((1-Data!$D$18)*Data!$D$14*1000))),"---")</f>
        <v>NA</v>
      </c>
      <c r="W240" s="376" t="str">
        <f>IF(Start!$C$18="x",IF(OR(G240="NA",U240="NA",G240="",U240=""),"NA",(U240 +($G240*(Data!$D$19-Data!$D$22)/(Data!$D$19*Data!$D$22)))),"---")</f>
        <v>NA</v>
      </c>
      <c r="X240" s="376" t="str">
        <f>IF(Start!$C$18="x",IF(OR(G240="NA",V240="NA",G240="",V240=""),"NA",(((Data!$D$22*Data!$D$18)*V240)+(Data!$D$19-Data!$D$22)*$G240)/((Data!$D$22*Data!$D$18)+Data!$D$19-Data!$D$22)),"---")</f>
        <v>NA</v>
      </c>
      <c r="Y240" s="376" t="str">
        <f>IF(Start!$C$18="x",IF(OR(W240="NA",W240="",M240="NA",M240=""),"NA",(W240/((Data!$D$23+((1-Data!$D$23)*Data!$D$14*M240)) /((1-Data!$D$23)*Data!$D$14*1000)))),"---")</f>
        <v>NA</v>
      </c>
      <c r="Z240" s="376" t="str">
        <f>IF(Start!$C$18="x",IF(OR(Y240="NA",X240="NA"),"NA",IF(Y240&gt;X240, Y240, X240)),"---")</f>
        <v>NA</v>
      </c>
      <c r="AA240" s="461" t="str">
        <f>IF(Start!$C$18="x",IF(OR(Z240="NA",T240="NA"),"NA",Z240*T240/(1000000000)),"---")</f>
        <v>NA</v>
      </c>
      <c r="AB240" s="1057" t="str">
        <f>IF(Start!$C$18="x",IF(AA240 = "NA", "NA", AA240*(Data!$D$52*Data!$D$53*10000)),"---")</f>
        <v>NA</v>
      </c>
      <c r="AC240" s="375" t="str">
        <f>IF(Start!$C$18="x",IF(AB240="NA", "NA", AB240*Data!$D$54),"---")</f>
        <v>NA</v>
      </c>
      <c r="AD240" s="498" t="str">
        <f>IF(Start!$C$18="x",IF(AC240="NA","NA",AC240*Data!$D$41),"---")</f>
        <v>NA</v>
      </c>
      <c r="AE240" s="376" t="str">
        <f>IF(Start!$C$18="x",IF(AB240 = "NA", "NA", AB240/(Data!$D$53*3*Data!$D$48)*1000),"---")</f>
        <v>NA</v>
      </c>
      <c r="AF240" s="498" t="str">
        <f>IF(Start!$C$18="x",IF(AE240="NA","NA",AE240*Data!$D$46),"---")</f>
        <v>NA</v>
      </c>
      <c r="AG240" s="375">
        <f>IF(Start!$C$18="x",IF(OR($L240="NA",L240=""),"NA",($L240*(Data!$D$55^3.33)/(Data!$D$18^2))),"---")</f>
        <v>1.5152018678397385E-3</v>
      </c>
      <c r="AH240" s="376" t="str">
        <f>IF(Start!$C$18="x",IF(OR(F240="NA",F240="",P240="NA",P240=""),"NA",IF(100/Data!$D$10&gt;Data!$D$13,(F240*$P240),(F240*$P240)*Data!$D$13)),"---")</f>
        <v>NA</v>
      </c>
      <c r="AI240" s="489">
        <f>IF(Start!$C$18="x",IF(OR($N240="NA",$Q240="NA",$Q240=0,Q240="",N240=""),"NA",(1000*$N240/$Q240)),"---")</f>
        <v>3703504003512.1152</v>
      </c>
      <c r="AJ240" s="376">
        <f>IF(Start!$C$18="x",IF(OR(Q240 = "NA",Q240=0,N240 = "NA",N240="",Q240=""), "NA", IF($AG240="NA","NA",(3.1416*Data!$D$57*86400/($AG240*(Data!$D$55+(N240*Data!$D$19/(Q240*1000)))))^0.5)),"---")</f>
        <v>1.307090460329233</v>
      </c>
      <c r="AK240" s="376" t="str">
        <f>IF(Start!$C$18="x",IF(OR(AH240 = "NA",AI240="NA",AI240=0,AI240="",AH240=""), "NA", AH240/AI240),"---")</f>
        <v>NA</v>
      </c>
      <c r="AL240" s="376" t="str">
        <f>IF(Start!$C$18="x",IF(OR(AK240 ="NA",AK240="",AJ240= "NA",R240="NA",R240=0),"NA",(2*AK240)/(1000*(1/$R240+AJ240))),"---")</f>
        <v>NA</v>
      </c>
      <c r="AM240" s="376" t="str">
        <f>IF(Start!$C$18="x",IF(AL240 = "NA", "NA", AL240*(Data!$D$52*Data!$D$53*10000)),"---")</f>
        <v>NA</v>
      </c>
      <c r="AN240" s="376" t="str">
        <f>IF(Start!$C$18="x",IF(AM240 = "NA", "NA", AM240*(Data!$D$54)),"---")</f>
        <v>NA</v>
      </c>
      <c r="AO240" s="498" t="str">
        <f>IF(Start!$C$18="x",IF(AN240="NA","NA",AN240*Data!$D$41),"---")</f>
        <v>NA</v>
      </c>
      <c r="AP240" s="376">
        <f>IF(Start!$C$18="x",IF(OR(Q240=0,N240="NA",N240="",AG240="NA",AG240="",AG240=0,Q240="",Q240="NA"),"NA", (3.1416*Data!$D$56*86400/($AG240*(Data!$D$55+(N240*Data!$D$19/(Q240*1000)))))^0.5),"---")</f>
        <v>1.307090460329233</v>
      </c>
      <c r="AQ240" s="376" t="str">
        <f>IF(Start!$C$18="x",IF(OR(AH240="NA",AI240="NA",AI240="",AI240=0,AH240=""),"NA", AH240/AI240),"---")</f>
        <v>NA</v>
      </c>
      <c r="AR240" s="376" t="str">
        <f>IF(Start!$C$18="x",IF(OR(AQ240="NA",AP240="NA",$R240="NA",R240=0,R240=""),"NA",(2*AQ240)/(1000*(1/$R240+AP240))),"---")</f>
        <v>NA</v>
      </c>
      <c r="AS240" s="376" t="str">
        <f>IF(Start!$C$18="x",IF(AR240 = "NA", "NA", AR240*(Data!$D$52*Data!$D$53*10000)),"---")</f>
        <v>NA</v>
      </c>
      <c r="AT240" s="376" t="str">
        <f>IF(Start!$C$18="x",IF(AS240 = "NA", "NA", (AS240*1000)/(Data!$D$48*3*Data!$D$53)),"---")</f>
        <v>NA</v>
      </c>
      <c r="AU240" s="498" t="str">
        <f>IF(Start!$C$18="x",IF(AT240="NA","NA",AT240*Data!$D$47),"---")</f>
        <v>NA</v>
      </c>
      <c r="AV240" s="283" t="str">
        <f>IF(Start!$C$18="x",(IF(AND(F240="",G240= "",G240&lt;&gt;"NA"),"",IF(OR(AD240="NA",I240="NA",I240=0),"NA",(AD240/I240)))),"Not Req.")</f>
        <v/>
      </c>
      <c r="AW240" s="284" t="str">
        <f>IF(Start!$C$18="x",(IF(AND(F240="",G240= "",G240&lt;&gt;"NA"),"",IF(OR(AF240="NA",I240="NA",I240=0),"NA",(AF240/I240)))),"Not Req.")</f>
        <v/>
      </c>
      <c r="AX240" s="284" t="str">
        <f>IF(Start!$C$18="x",(IF(F240 ="","",IF(OR(AO240="NA",I240="NA",I240=0),"NA",(AO240/I240)))),"Not Req.")</f>
        <v/>
      </c>
      <c r="AY240" s="344" t="str">
        <f>IF(Start!$C$18="x",(IF(F240 ="","",IF(OR(AU240="NA",I240="NA",I240=0),"NA",(AU240/I240)))),"Not Req.")</f>
        <v/>
      </c>
      <c r="AZ240" s="208"/>
    </row>
    <row r="241" spans="1:52" s="10" customFormat="1" x14ac:dyDescent="0.25">
      <c r="A241" s="405" t="s">
        <v>559</v>
      </c>
      <c r="B241" s="347" t="str">
        <f>IF(Start!$C$18="x",IF(AND(OR(F241="",F241="NA"),OR(G241="",G241="NA")),"",IF(I241="NA","NA",IF(AND(I241="",K241="--"),"NA",IF(AD241="NA","Missing Data",IF(I241="","No Criteria",IF(AD241&gt;=I241,"Needed","No")))))),"---")</f>
        <v/>
      </c>
      <c r="C241" s="501" t="str">
        <f>IF(Start!$C$18="x",IF(AND(OR(F241="",F241="NA"),OR(G241="",G241="NA")),"",IF(I241="NA","NA",IF(AND(I241="",K241="--"),"NA",IF(AF241="NA","Missing Data",IF(I241="","No Criteria",IF(AF241&gt;=I241,"Needed","No")))))),"---")</f>
        <v/>
      </c>
      <c r="D241" s="347" t="str">
        <f>IF(Start!$C$18="x",IF(AND(OR(F241="",F241="NA"),OR(G241="",G241="NA")),"",IF(I241="NA","NA",IF(AND(I241="",K241="--"),"NA",IF(AO241="NA","Missing Data",IF(I241="","No Criteria",IF(AO241&gt;=I241,"Needed","No")))))),"---")</f>
        <v/>
      </c>
      <c r="E241" s="401" t="str">
        <f>IF(Start!$C$18="x",IF(AND(OR(F241="",F241="NA"),OR(G241="",G241="NA")),"",IF(I241="NA","NA",IF(AND(I241="",K241="--"),"NA",IF(AU241="NA","Missing Data",IF(I241="","No Criteria",IF(AU241&gt;=I241,"Needed","No")))))),"---")</f>
        <v/>
      </c>
      <c r="F241" s="431" t="str">
        <f>IF(TRUE=ISBLANK(ChemData!B241),"",(ChemData!B241))</f>
        <v/>
      </c>
      <c r="G241" s="432" t="str">
        <f>IF(TRUE=ISBLANK(ChemData!C241),"",(ChemData!C241))</f>
        <v/>
      </c>
      <c r="H241" s="433" t="str">
        <f>IF(TRUE=ISBLANK(ChemData!D241),"",(ChemData!D241))</f>
        <v/>
      </c>
      <c r="I241" s="919" t="str">
        <f>IF(TRUE=ISBLANK(ChemData!K241),"",(ChemData!K241))</f>
        <v>NA</v>
      </c>
      <c r="J241" s="290">
        <f>IF(TRUE=ISBLANK(ChemData!M241),"",(ChemData!M241))</f>
        <v>391.29</v>
      </c>
      <c r="K241" s="290">
        <f>IF(TRUE=ISBLANK(ChemData!N241),"",(ChemData!N241))</f>
        <v>1.0950000000000001E-6</v>
      </c>
      <c r="L241" s="290">
        <f>IF(TRUE=ISBLANK(ChemData!O241),"",(ChemData!O241))</f>
        <v>0.14912862282823566</v>
      </c>
      <c r="M241" s="290">
        <f>IF(TRUE=ISBLANK(ChemData!Q241),"",(ChemData!Q241))</f>
        <v>23302.709372310041</v>
      </c>
      <c r="N241" s="290">
        <f>IF(TRUE=ISBLANK(ChemData!R241),"",(ChemData!R241))</f>
        <v>23302.709372310041</v>
      </c>
      <c r="O241" s="290">
        <f>IF(TRUE=ISBLANK(ChemData!S241),"",(ChemData!S241))</f>
        <v>1</v>
      </c>
      <c r="P241" s="291">
        <f>IF(TRUE=ISBLANK(ChemData!T241),"",(ChemData!T241))</f>
        <v>1</v>
      </c>
      <c r="Q241" s="375">
        <f>IF(Start!$C$18="x",IF(OR(K241="NA",K241="",K241="--"),"NA",(K241*1000000/82.1/Data!$D$50)),"---")</f>
        <v>4.3023849750500973E-5</v>
      </c>
      <c r="R241" s="376">
        <f>IF(Start!$C$18="x",IF(OR(J241="NA",J241=0,J241=""),"NA",(0.32*(Data!$D$48+Data!$D$49)*(18/J241)^0.5)),"---")</f>
        <v>0.17673155136584723</v>
      </c>
      <c r="S241" s="376">
        <f>IF(Start!$C$18="x",IF(OR(J241="NA",J241= 0,J241=""),"NA",(0.0065*((Data!$D$49^0.969)/(Data!$D$51^0.673))*(32/J241)^0.5*EXP(0.526*Data!$D$48^-1.9))),"---")</f>
        <v>3.7250169162533515E-4</v>
      </c>
      <c r="T241" s="377">
        <f>IF(Start!$C$18="x",IF(OR(S241="NA",R241="NA",R241=0,Q241="NA",S241=0,Q241=0),"NA",(1/(1/S241+(1/(R241*Q241))))),"---")</f>
        <v>7.4515669825476837E-6</v>
      </c>
      <c r="U241" s="375" t="str">
        <f>IF(Start!$C$18="x",IF(OR(F241="NA",F241="",O241="",O241="NA"),"NA",(F241*$O241)),"---")</f>
        <v>NA</v>
      </c>
      <c r="V241" s="376" t="str">
        <f>IF(Start!$C$18="x",IF(OR(U241="NA",M241="NA",M241="",U241=""),"NA",U241/((Data!$D$18+((1-Data!$D$18)*Data!$D$14*M241))/((1-Data!$D$18)*Data!$D$14*1000))),"---")</f>
        <v>NA</v>
      </c>
      <c r="W241" s="376" t="str">
        <f>IF(Start!$C$18="x",IF(OR(G241="NA",U241="NA",G241="",U241=""),"NA",(U241 +($G241*(Data!$D$19-Data!$D$22)/(Data!$D$19*Data!$D$22)))),"---")</f>
        <v>NA</v>
      </c>
      <c r="X241" s="376" t="str">
        <f>IF(Start!$C$18="x",IF(OR(G241="NA",V241="NA",G241="",V241=""),"NA",(((Data!$D$22*Data!$D$18)*V241)+(Data!$D$19-Data!$D$22)*$G241)/((Data!$D$22*Data!$D$18)+Data!$D$19-Data!$D$22)),"---")</f>
        <v>NA</v>
      </c>
      <c r="Y241" s="376" t="str">
        <f>IF(Start!$C$18="x",IF(OR(W241="NA",W241="",M241="NA",M241=""),"NA",(W241/((Data!$D$23+((1-Data!$D$23)*Data!$D$14*M241)) /((1-Data!$D$23)*Data!$D$14*1000)))),"---")</f>
        <v>NA</v>
      </c>
      <c r="Z241" s="376" t="str">
        <f>IF(Start!$C$18="x",IF(OR(Y241="NA",X241="NA"),"NA",IF(Y241&gt;X241, Y241, X241)),"---")</f>
        <v>NA</v>
      </c>
      <c r="AA241" s="461" t="str">
        <f>IF(Start!$C$18="x",IF(OR(Z241="NA",T241="NA"),"NA",Z241*T241/(1000000000)),"---")</f>
        <v>NA</v>
      </c>
      <c r="AB241" s="1057" t="str">
        <f>IF(Start!$C$18="x",IF(AA241 = "NA", "NA", AA241*(Data!$D$52*Data!$D$53*10000)),"---")</f>
        <v>NA</v>
      </c>
      <c r="AC241" s="375" t="str">
        <f>IF(Start!$C$18="x",IF(AB241="NA", "NA", AB241*Data!$D$54),"---")</f>
        <v>NA</v>
      </c>
      <c r="AD241" s="498" t="str">
        <f>IF(Start!$C$18="x",IF(AC241="NA","NA",AC241*Data!$D$41),"---")</f>
        <v>NA</v>
      </c>
      <c r="AE241" s="376" t="str">
        <f>IF(Start!$C$18="x",IF(AB241 = "NA", "NA", AB241/(Data!$D$53*3*Data!$D$48)*1000),"---")</f>
        <v>NA</v>
      </c>
      <c r="AF241" s="498" t="str">
        <f>IF(Start!$C$18="x",IF(AE241="NA","NA",AE241*Data!$D$46),"---")</f>
        <v>NA</v>
      </c>
      <c r="AG241" s="375">
        <f>IF(Start!$C$18="x",IF(OR($L241="NA",L241=""),"NA",($L241*(Data!$D$55^3.33)/(Data!$D$18^2))),"---")</f>
        <v>1.5192469005230738E-3</v>
      </c>
      <c r="AH241" s="376" t="str">
        <f>IF(Start!$C$18="x",IF(OR(F241="NA",F241="",P241="NA",P241=""),"NA",IF(100/Data!$D$10&gt;Data!$D$13,(F241*$P241),(F241*$P241)*Data!$D$13)),"---")</f>
        <v>NA</v>
      </c>
      <c r="AI241" s="489">
        <f>IF(Start!$C$18="x",IF(OR($N241="NA",$Q241="NA",$Q241=0,Q241="",N241=""),"NA",(1000*$N241/$Q241)),"---")</f>
        <v>541623065054.48651</v>
      </c>
      <c r="AJ241" s="376">
        <f>IF(Start!$C$18="x",IF(OR(Q241 = "NA",Q241=0,N241 = "NA",N241="",Q241=""), "NA", IF($AG241="NA","NA",(3.1416*Data!$D$57*86400/($AG241*(Data!$D$55+(N241*Data!$D$19/(Q241*1000)))))^0.5)),"---")</f>
        <v>3.4133792801624767</v>
      </c>
      <c r="AK241" s="376" t="str">
        <f>IF(Start!$C$18="x",IF(OR(AH241 = "NA",AI241="NA",AI241=0,AI241="",AH241=""), "NA", AH241/AI241),"---")</f>
        <v>NA</v>
      </c>
      <c r="AL241" s="376" t="str">
        <f>IF(Start!$C$18="x",IF(OR(AK241 ="NA",AK241="",AJ241= "NA",R241="NA",R241=0),"NA",(2*AK241)/(1000*(1/$R241+AJ241))),"---")</f>
        <v>NA</v>
      </c>
      <c r="AM241" s="376" t="str">
        <f>IF(Start!$C$18="x",IF(AL241 = "NA", "NA", AL241*(Data!$D$52*Data!$D$53*10000)),"---")</f>
        <v>NA</v>
      </c>
      <c r="AN241" s="376" t="str">
        <f>IF(Start!$C$18="x",IF(AM241 = "NA", "NA", AM241*(Data!$D$54)),"---")</f>
        <v>NA</v>
      </c>
      <c r="AO241" s="498" t="str">
        <f>IF(Start!$C$18="x",IF(AN241="NA","NA",AN241*Data!$D$41),"---")</f>
        <v>NA</v>
      </c>
      <c r="AP241" s="376">
        <f>IF(Start!$C$18="x",IF(OR(Q241=0,N241="NA",N241="",AG241="NA",AG241="",AG241=0,Q241="",Q241="NA"),"NA", (3.1416*Data!$D$56*86400/($AG241*(Data!$D$55+(N241*Data!$D$19/(Q241*1000)))))^0.5),"---")</f>
        <v>3.4133792801624767</v>
      </c>
      <c r="AQ241" s="376" t="str">
        <f>IF(Start!$C$18="x",IF(OR(AH241="NA",AI241="NA",AI241="",AI241=0,AH241=""),"NA", AH241/AI241),"---")</f>
        <v>NA</v>
      </c>
      <c r="AR241" s="376" t="str">
        <f>IF(Start!$C$18="x",IF(OR(AQ241="NA",AP241="NA",$R241="NA",R241=0,R241=""),"NA",(2*AQ241)/(1000*(1/$R241+AP241))),"---")</f>
        <v>NA</v>
      </c>
      <c r="AS241" s="376" t="str">
        <f>IF(Start!$C$18="x",IF(AR241 = "NA", "NA", AR241*(Data!$D$52*Data!$D$53*10000)),"---")</f>
        <v>NA</v>
      </c>
      <c r="AT241" s="376" t="str">
        <f>IF(Start!$C$18="x",IF(AS241 = "NA", "NA", (AS241*1000)/(Data!$D$48*3*Data!$D$53)),"---")</f>
        <v>NA</v>
      </c>
      <c r="AU241" s="498" t="str">
        <f>IF(Start!$C$18="x",IF(AT241="NA","NA",AT241*Data!$D$47),"---")</f>
        <v>NA</v>
      </c>
      <c r="AV241" s="283" t="str">
        <f>IF(Start!$C$18="x",(IF(AND(F241="",G241= "",G241&lt;&gt;"NA"),"",IF(OR(AD241="NA",I241="NA",I241=0),"NA",(AD241/I241)))),"Not Req.")</f>
        <v/>
      </c>
      <c r="AW241" s="284" t="str">
        <f>IF(Start!$C$18="x",(IF(AND(F241="",G241= "",G241&lt;&gt;"NA"),"",IF(OR(AF241="NA",I241="NA",I241=0),"NA",(AF241/I241)))),"Not Req.")</f>
        <v/>
      </c>
      <c r="AX241" s="284" t="str">
        <f>IF(Start!$C$18="x",(IF(F241 ="","",IF(OR(AO241="NA",I241="NA",I241=0),"NA",(AO241/I241)))),"Not Req.")</f>
        <v/>
      </c>
      <c r="AY241" s="344" t="str">
        <f>IF(Start!$C$18="x",(IF(F241 ="","",IF(OR(AU241="NA",I241="NA",I241=0),"NA",(AU241/I241)))),"Not Req.")</f>
        <v/>
      </c>
      <c r="AZ241" s="208"/>
    </row>
    <row r="242" spans="1:52" s="10" customFormat="1" x14ac:dyDescent="0.25">
      <c r="A242" s="405" t="s">
        <v>560</v>
      </c>
      <c r="B242" s="347" t="str">
        <f>IF(Start!$C$18="x",IF(AND(OR(F242="",F242="NA"),OR(G242="",G242="NA")),"",IF(I242="NA","NA",IF(AND(I242="",K242="--"),"NA",IF(AD242="NA","Missing Data",IF(I242="","No Criteria",IF(AD242&gt;=I242,"Needed","No")))))),"---")</f>
        <v/>
      </c>
      <c r="C242" s="501" t="str">
        <f>IF(Start!$C$18="x",IF(AND(OR(F242="",F242="NA"),OR(G242="",G242="NA")),"",IF(I242="NA","NA",IF(AND(I242="",K242="--"),"NA",IF(AF242="NA","Missing Data",IF(I242="","No Criteria",IF(AF242&gt;=I242,"Needed","No")))))),"---")</f>
        <v/>
      </c>
      <c r="D242" s="347" t="str">
        <f>IF(Start!$C$18="x",IF(AND(OR(F242="",F242="NA"),OR(G242="",G242="NA")),"",IF(I242="NA","NA",IF(AND(I242="",K242="--"),"NA",IF(AO242="NA","Missing Data",IF(I242="","No Criteria",IF(AO242&gt;=I242,"Needed","No")))))),"---")</f>
        <v/>
      </c>
      <c r="E242" s="401" t="str">
        <f>IF(Start!$C$18="x",IF(AND(OR(F242="",F242="NA"),OR(G242="",G242="NA")),"",IF(I242="NA","NA",IF(AND(I242="",K242="--"),"NA",IF(AU242="NA","Missing Data",IF(I242="","No Criteria",IF(AU242&gt;=I242,"Needed","No")))))),"---")</f>
        <v/>
      </c>
      <c r="F242" s="431" t="str">
        <f>IF(TRUE=ISBLANK(ChemData!B242),"",(ChemData!B242))</f>
        <v/>
      </c>
      <c r="G242" s="432" t="str">
        <f>IF(TRUE=ISBLANK(ChemData!C242),"",(ChemData!C242))</f>
        <v/>
      </c>
      <c r="H242" s="433" t="str">
        <f>IF(TRUE=ISBLANK(ChemData!D242),"",(ChemData!D242))</f>
        <v/>
      </c>
      <c r="I242" s="919" t="str">
        <f>IF(TRUE=ISBLANK(ChemData!K242),"",(ChemData!K242))</f>
        <v>NA</v>
      </c>
      <c r="J242" s="290">
        <f>IF(TRUE=ISBLANK(ChemData!M242),"",(ChemData!M242))</f>
        <v>391.29</v>
      </c>
      <c r="K242" s="290">
        <f>IF(TRUE=ISBLANK(ChemData!N242),"",(ChemData!N242))</f>
        <v>1.0950000000000001E-6</v>
      </c>
      <c r="L242" s="290">
        <f>IF(TRUE=ISBLANK(ChemData!O242),"",(ChemData!O242))</f>
        <v>0.14912862282823566</v>
      </c>
      <c r="M242" s="290">
        <f>IF(TRUE=ISBLANK(ChemData!Q242),"",(ChemData!Q242))</f>
        <v>23302.709372310041</v>
      </c>
      <c r="N242" s="290">
        <f>IF(TRUE=ISBLANK(ChemData!R242),"",(ChemData!R242))</f>
        <v>23302.709372310041</v>
      </c>
      <c r="O242" s="290">
        <f>IF(TRUE=ISBLANK(ChemData!S242),"",(ChemData!S242))</f>
        <v>1</v>
      </c>
      <c r="P242" s="291">
        <f>IF(TRUE=ISBLANK(ChemData!T242),"",(ChemData!T242))</f>
        <v>1</v>
      </c>
      <c r="Q242" s="375">
        <f>IF(Start!$C$18="x",IF(OR(K242="NA",K242="",K242="--"),"NA",(K242*1000000/82.1/Data!$D$50)),"---")</f>
        <v>4.3023849750500973E-5</v>
      </c>
      <c r="R242" s="376">
        <f>IF(Start!$C$18="x",IF(OR(J242="NA",J242=0,J242=""),"NA",(0.32*(Data!$D$48+Data!$D$49)*(18/J242)^0.5)),"---")</f>
        <v>0.17673155136584723</v>
      </c>
      <c r="S242" s="376">
        <f>IF(Start!$C$18="x",IF(OR(J242="NA",J242= 0,J242=""),"NA",(0.0065*((Data!$D$49^0.969)/(Data!$D$51^0.673))*(32/J242)^0.5*EXP(0.526*Data!$D$48^-1.9))),"---")</f>
        <v>3.7250169162533515E-4</v>
      </c>
      <c r="T242" s="377">
        <f>IF(Start!$C$18="x",IF(OR(S242="NA",R242="NA",R242=0,Q242="NA",S242=0,Q242=0),"NA",(1/(1/S242+(1/(R242*Q242))))),"---")</f>
        <v>7.4515669825476837E-6</v>
      </c>
      <c r="U242" s="375" t="str">
        <f>IF(Start!$C$18="x",IF(OR(F242="NA",F242="",O242="",O242="NA"),"NA",(F242*$O242)),"---")</f>
        <v>NA</v>
      </c>
      <c r="V242" s="376" t="str">
        <f>IF(Start!$C$18="x",IF(OR(U242="NA",M242="NA",M242="",U242=""),"NA",U242/((Data!$D$18+((1-Data!$D$18)*Data!$D$14*M242))/((1-Data!$D$18)*Data!$D$14*1000))),"---")</f>
        <v>NA</v>
      </c>
      <c r="W242" s="376" t="str">
        <f>IF(Start!$C$18="x",IF(OR(G242="NA",U242="NA",G242="",U242=""),"NA",(U242 +($G242*(Data!$D$19-Data!$D$22)/(Data!$D$19*Data!$D$22)))),"---")</f>
        <v>NA</v>
      </c>
      <c r="X242" s="376" t="str">
        <f>IF(Start!$C$18="x",IF(OR(G242="NA",V242="NA",G242="",V242=""),"NA",(((Data!$D$22*Data!$D$18)*V242)+(Data!$D$19-Data!$D$22)*$G242)/((Data!$D$22*Data!$D$18)+Data!$D$19-Data!$D$22)),"---")</f>
        <v>NA</v>
      </c>
      <c r="Y242" s="376" t="str">
        <f>IF(Start!$C$18="x",IF(OR(W242="NA",W242="",M242="NA",M242=""),"NA",(W242/((Data!$D$23+((1-Data!$D$23)*Data!$D$14*M242)) /((1-Data!$D$23)*Data!$D$14*1000)))),"---")</f>
        <v>NA</v>
      </c>
      <c r="Z242" s="376" t="str">
        <f>IF(Start!$C$18="x",IF(OR(Y242="NA",X242="NA"),"NA",IF(Y242&gt;X242, Y242, X242)),"---")</f>
        <v>NA</v>
      </c>
      <c r="AA242" s="461" t="str">
        <f>IF(Start!$C$18="x",IF(OR(Z242="NA",T242="NA"),"NA",Z242*T242/(1000000000)),"---")</f>
        <v>NA</v>
      </c>
      <c r="AB242" s="1057" t="str">
        <f>IF(Start!$C$18="x",IF(AA242 = "NA", "NA", AA242*(Data!$D$52*Data!$D$53*10000)),"---")</f>
        <v>NA</v>
      </c>
      <c r="AC242" s="375" t="str">
        <f>IF(Start!$C$18="x",IF(AB242="NA", "NA", AB242*Data!$D$54),"---")</f>
        <v>NA</v>
      </c>
      <c r="AD242" s="498" t="str">
        <f>IF(Start!$C$18="x",IF(AC242="NA","NA",AC242*Data!$D$41),"---")</f>
        <v>NA</v>
      </c>
      <c r="AE242" s="376" t="str">
        <f>IF(Start!$C$18="x",IF(AB242 = "NA", "NA", AB242/(Data!$D$53*3*Data!$D$48)*1000),"---")</f>
        <v>NA</v>
      </c>
      <c r="AF242" s="498" t="str">
        <f>IF(Start!$C$18="x",IF(AE242="NA","NA",AE242*Data!$D$46),"---")</f>
        <v>NA</v>
      </c>
      <c r="AG242" s="375">
        <f>IF(Start!$C$18="x",IF(OR($L242="NA",L242=""),"NA",($L242*(Data!$D$55^3.33)/(Data!$D$18^2))),"---")</f>
        <v>1.5192469005230738E-3</v>
      </c>
      <c r="AH242" s="376" t="str">
        <f>IF(Start!$C$18="x",IF(OR(F242="NA",F242="",P242="NA",P242=""),"NA",IF(100/Data!$D$10&gt;Data!$D$13,(F242*$P242),(F242*$P242)*Data!$D$13)),"---")</f>
        <v>NA</v>
      </c>
      <c r="AI242" s="489">
        <f>IF(Start!$C$18="x",IF(OR($N242="NA",$Q242="NA",$Q242=0,Q242="",N242=""),"NA",(1000*$N242/$Q242)),"---")</f>
        <v>541623065054.48651</v>
      </c>
      <c r="AJ242" s="376">
        <f>IF(Start!$C$18="x",IF(OR(Q242 = "NA",Q242=0,N242 = "NA",N242="",Q242=""), "NA", IF($AG242="NA","NA",(3.1416*Data!$D$57*86400/($AG242*(Data!$D$55+(N242*Data!$D$19/(Q242*1000)))))^0.5)),"---")</f>
        <v>3.4133792801624767</v>
      </c>
      <c r="AK242" s="376" t="str">
        <f>IF(Start!$C$18="x",IF(OR(AH242 = "NA",AI242="NA",AI242=0,AI242="",AH242=""), "NA", AH242/AI242),"---")</f>
        <v>NA</v>
      </c>
      <c r="AL242" s="376" t="str">
        <f>IF(Start!$C$18="x",IF(OR(AK242 ="NA",AK242="",AJ242= "NA",R242="NA",R242=0),"NA",(2*AK242)/(1000*(1/$R242+AJ242))),"---")</f>
        <v>NA</v>
      </c>
      <c r="AM242" s="376" t="str">
        <f>IF(Start!$C$18="x",IF(AL242 = "NA", "NA", AL242*(Data!$D$52*Data!$D$53*10000)),"---")</f>
        <v>NA</v>
      </c>
      <c r="AN242" s="376" t="str">
        <f>IF(Start!$C$18="x",IF(AM242 = "NA", "NA", AM242*(Data!$D$54)),"---")</f>
        <v>NA</v>
      </c>
      <c r="AO242" s="498" t="str">
        <f>IF(Start!$C$18="x",IF(AN242="NA","NA",AN242*Data!$D$41),"---")</f>
        <v>NA</v>
      </c>
      <c r="AP242" s="376">
        <f>IF(Start!$C$18="x",IF(OR(Q242=0,N242="NA",N242="",AG242="NA",AG242="",AG242=0,Q242="",Q242="NA"),"NA", (3.1416*Data!$D$56*86400/($AG242*(Data!$D$55+(N242*Data!$D$19/(Q242*1000)))))^0.5),"---")</f>
        <v>3.4133792801624767</v>
      </c>
      <c r="AQ242" s="376" t="str">
        <f>IF(Start!$C$18="x",IF(OR(AH242="NA",AI242="NA",AI242="",AI242=0,AH242=""),"NA", AH242/AI242),"---")</f>
        <v>NA</v>
      </c>
      <c r="AR242" s="376" t="str">
        <f>IF(Start!$C$18="x",IF(OR(AQ242="NA",AP242="NA",$R242="NA",R242=0,R242=""),"NA",(2*AQ242)/(1000*(1/$R242+AP242))),"---")</f>
        <v>NA</v>
      </c>
      <c r="AS242" s="376" t="str">
        <f>IF(Start!$C$18="x",IF(AR242 = "NA", "NA", AR242*(Data!$D$52*Data!$D$53*10000)),"---")</f>
        <v>NA</v>
      </c>
      <c r="AT242" s="376" t="str">
        <f>IF(Start!$C$18="x",IF(AS242 = "NA", "NA", (AS242*1000)/(Data!$D$48*3*Data!$D$53)),"---")</f>
        <v>NA</v>
      </c>
      <c r="AU242" s="498" t="str">
        <f>IF(Start!$C$18="x",IF(AT242="NA","NA",AT242*Data!$D$47),"---")</f>
        <v>NA</v>
      </c>
      <c r="AV242" s="283" t="str">
        <f>IF(Start!$C$18="x",(IF(AND(F242="",G242= "",G242&lt;&gt;"NA"),"",IF(OR(AD242="NA",I242="NA",I242=0),"NA",(AD242/I242)))),"Not Req.")</f>
        <v/>
      </c>
      <c r="AW242" s="284" t="str">
        <f>IF(Start!$C$18="x",(IF(AND(F242="",G242= "",G242&lt;&gt;"NA"),"",IF(OR(AF242="NA",I242="NA",I242=0),"NA",(AF242/I242)))),"Not Req.")</f>
        <v/>
      </c>
      <c r="AX242" s="284" t="str">
        <f>IF(Start!$C$18="x",(IF(F242 ="","",IF(OR(AO242="NA",I242="NA",I242=0),"NA",(AO242/I242)))),"Not Req.")</f>
        <v/>
      </c>
      <c r="AY242" s="344" t="str">
        <f>IF(Start!$C$18="x",(IF(F242 ="","",IF(OR(AU242="NA",I242="NA",I242=0),"NA",(AU242/I242)))),"Not Req.")</f>
        <v/>
      </c>
      <c r="AZ242" s="208"/>
    </row>
    <row r="243" spans="1:52" s="10" customFormat="1" x14ac:dyDescent="0.25">
      <c r="A243" s="405" t="s">
        <v>690</v>
      </c>
      <c r="B243" s="347" t="str">
        <f>IF(Start!$C$18="x",IF(AND(OR(F243="",F243="NA"),OR(G243="",G243="NA")),"",IF(I243="NA","NA",IF(AND(I243="",K243="--"),"NA",IF(AD243="NA","Missing Data",IF(I243="","No Criteria",IF(AD243&gt;=I243,"Needed","No")))))),"---")</f>
        <v/>
      </c>
      <c r="C243" s="501" t="str">
        <f>IF(Start!$C$18="x",IF(AND(OR(F243="",F243="NA"),OR(G243="",G243="NA")),"",IF(I243="NA","NA",IF(AND(I243="",K243="--"),"NA",IF(AF243="NA","Missing Data",IF(I243="","No Criteria",IF(AF243&gt;=I243,"Needed","No")))))),"---")</f>
        <v/>
      </c>
      <c r="D243" s="347" t="str">
        <f>IF(Start!$C$18="x",IF(AND(OR(F243="",F243="NA"),OR(G243="",G243="NA")),"",IF(I243="NA","NA",IF(AND(I243="",K243="--"),"NA",IF(AO243="NA","Missing Data",IF(I243="","No Criteria",IF(AO243&gt;=I243,"Needed","No")))))),"---")</f>
        <v/>
      </c>
      <c r="E243" s="401" t="str">
        <f>IF(Start!$C$18="x",IF(AND(OR(F243="",F243="NA"),OR(G243="",G243="NA")),"",IF(I243="NA","NA",IF(AND(I243="",K243="--"),"NA",IF(AU243="NA","Missing Data",IF(I243="","No Criteria",IF(AU243&gt;=I243,"Needed","No")))))),"---")</f>
        <v/>
      </c>
      <c r="F243" s="431" t="str">
        <f>IF(TRUE=ISBLANK(ChemData!B243),"",(ChemData!B243))</f>
        <v/>
      </c>
      <c r="G243" s="432" t="str">
        <f>IF(TRUE=ISBLANK(ChemData!C243),"",(ChemData!C243))</f>
        <v/>
      </c>
      <c r="H243" s="433" t="str">
        <f>IF(TRUE=ISBLANK(ChemData!D243),"",(ChemData!D243))</f>
        <v/>
      </c>
      <c r="I243" s="919" t="str">
        <f>IF(TRUE=ISBLANK(ChemData!K243),"",(ChemData!K243))</f>
        <v>NA</v>
      </c>
      <c r="J243" s="290">
        <f>IF(TRUE=ISBLANK(ChemData!M243),"",(ChemData!M243))</f>
        <v>269.5</v>
      </c>
      <c r="K243" s="290">
        <f>IF(TRUE=ISBLANK(ChemData!N243),"",(ChemData!N243))</f>
        <v>1.31E-8</v>
      </c>
      <c r="L243" s="290">
        <f>IF(TRUE=ISBLANK(ChemData!O243),"",(ChemData!O243))</f>
        <v>1.9400000000000001E-2</v>
      </c>
      <c r="M243" s="290">
        <f>IF(TRUE=ISBLANK(ChemData!Q243),"",(ChemData!Q243))</f>
        <v>47.570699999999995</v>
      </c>
      <c r="N243" s="290">
        <f>IF(TRUE=ISBLANK(ChemData!R243),"",(ChemData!R243))</f>
        <v>47.570699999999995</v>
      </c>
      <c r="O243" s="290">
        <f>IF(TRUE=ISBLANK(ChemData!S243),"",(ChemData!S243))</f>
        <v>1</v>
      </c>
      <c r="P243" s="291">
        <f>IF(TRUE=ISBLANK(ChemData!T243),"",(ChemData!T243))</f>
        <v>1</v>
      </c>
      <c r="Q243" s="375">
        <f>IF(Start!$C$18="x",IF(OR(K243="NA",K243="",K243="--"),"NA",(K243*1000000/82.1/Data!$D$50)),"---")</f>
        <v>5.1471454952654127E-7</v>
      </c>
      <c r="R243" s="376">
        <f>IF(Start!$C$18="x",IF(OR(J243="NA",J243=0,J243=""),"NA",(0.32*(Data!$D$48+Data!$D$49)*(18/J243)^0.5)),"---")</f>
        <v>0.21295315537035195</v>
      </c>
      <c r="S243" s="376">
        <f>IF(Start!$C$18="x",IF(OR(J243="NA",J243= 0,J243=""),"NA",(0.0065*((Data!$D$49^0.969)/(Data!$D$51^0.673))*(32/J243)^0.5*EXP(0.526*Data!$D$48^-1.9))),"---")</f>
        <v>4.4884690933425631E-4</v>
      </c>
      <c r="T243" s="377">
        <f>IF(Start!$C$18="x",IF(OR(S243="NA",R243="NA",R243=0,Q243="NA",S243=0,Q243=0),"NA",(1/(1/S243+(1/(R243*Q243))))),"---")</f>
        <v>1.0958332678005433E-7</v>
      </c>
      <c r="U243" s="375" t="str">
        <f>IF(Start!$C$18="x",IF(OR(F243="NA",F243="",O243="",O243="NA"),"NA",(F243*$O243)),"---")</f>
        <v>NA</v>
      </c>
      <c r="V243" s="376" t="str">
        <f>IF(Start!$C$18="x",IF(OR(U243="NA",M243="NA",M243="",U243=""),"NA",U243/((Data!$D$18+((1-Data!$D$18)*Data!$D$14*M243))/((1-Data!$D$18)*Data!$D$14*1000))),"---")</f>
        <v>NA</v>
      </c>
      <c r="W243" s="376" t="str">
        <f>IF(Start!$C$18="x",IF(OR(G243="NA",U243="NA",G243="",U243=""),"NA",(U243 +($G243*(Data!$D$19-Data!$D$22)/(Data!$D$19*Data!$D$22)))),"---")</f>
        <v>NA</v>
      </c>
      <c r="X243" s="376" t="str">
        <f>IF(Start!$C$18="x",IF(OR(G243="NA",V243="NA",G243="",V243=""),"NA",(((Data!$D$22*Data!$D$18)*V243)+(Data!$D$19-Data!$D$22)*$G243)/((Data!$D$22*Data!$D$18)+Data!$D$19-Data!$D$22)),"---")</f>
        <v>NA</v>
      </c>
      <c r="Y243" s="376" t="str">
        <f>IF(Start!$C$18="x",IF(OR(W243="NA",W243="",M243="NA",M243=""),"NA",(W243/((Data!$D$23+((1-Data!$D$23)*Data!$D$14*M243)) /((1-Data!$D$23)*Data!$D$14*1000)))),"---")</f>
        <v>NA</v>
      </c>
      <c r="Z243" s="376" t="str">
        <f>IF(Start!$C$18="x",IF(OR(Y243="NA",X243="NA"),"NA",IF(Y243&gt;X243, Y243, X243)),"---")</f>
        <v>NA</v>
      </c>
      <c r="AA243" s="461" t="str">
        <f>IF(Start!$C$18="x",IF(OR(Z243="NA",T243="NA"),"NA",Z243*T243/(1000000000)),"---")</f>
        <v>NA</v>
      </c>
      <c r="AB243" s="1057" t="str">
        <f>IF(Start!$C$18="x",IF(AA243 = "NA", "NA", AA243*(Data!$D$52*Data!$D$53*10000)),"---")</f>
        <v>NA</v>
      </c>
      <c r="AC243" s="375" t="str">
        <f>IF(Start!$C$18="x",IF(AB243="NA", "NA", AB243*Data!$D$54),"---")</f>
        <v>NA</v>
      </c>
      <c r="AD243" s="498" t="str">
        <f>IF(Start!$C$18="x",IF(AC243="NA","NA",AC243*Data!$D$41),"---")</f>
        <v>NA</v>
      </c>
      <c r="AE243" s="376" t="str">
        <f>IF(Start!$C$18="x",IF(AB243 = "NA", "NA", AB243/(Data!$D$53*3*Data!$D$48)*1000),"---")</f>
        <v>NA</v>
      </c>
      <c r="AF243" s="498" t="str">
        <f>IF(Start!$C$18="x",IF(AE243="NA","NA",AE243*Data!$D$46),"---")</f>
        <v>NA</v>
      </c>
      <c r="AG243" s="375">
        <f>IF(Start!$C$18="x",IF(OR($L243="NA",L243=""),"NA",($L243*(Data!$D$55^3.33)/(Data!$D$18^2))),"---")</f>
        <v>1.9763737712574927E-4</v>
      </c>
      <c r="AH243" s="376" t="str">
        <f>IF(Start!$C$18="x",IF(OR(F243="NA",F243="",P243="NA",P243=""),"NA",IF(100/Data!$D$10&gt;Data!$D$13,(F243*$P243),(F243*$P243)*Data!$D$13)),"---")</f>
        <v>NA</v>
      </c>
      <c r="AI243" s="489">
        <f>IF(Start!$C$18="x",IF(OR($N243="NA",$Q243="NA",$Q243=0,Q243="",N243=""),"NA",(1000*$N243/$Q243)),"---")</f>
        <v>92421517992.366394</v>
      </c>
      <c r="AJ243" s="376">
        <f>IF(Start!$C$18="x",IF(OR(Q243 = "NA",Q243=0,N243 = "NA",N243="",Q243=""), "NA", IF($AG243="NA","NA",(3.1416*Data!$D$57*86400/($AG243*(Data!$D$55+(N243*Data!$D$19/(Q243*1000)))))^0.5)),"---")</f>
        <v>22.910059267318172</v>
      </c>
      <c r="AK243" s="376" t="str">
        <f>IF(Start!$C$18="x",IF(OR(AH243 = "NA",AI243="NA",AI243=0,AI243="",AH243=""), "NA", AH243/AI243),"---")</f>
        <v>NA</v>
      </c>
      <c r="AL243" s="376" t="str">
        <f>IF(Start!$C$18="x",IF(OR(AK243 ="NA",AK243="",AJ243= "NA",R243="NA",R243=0),"NA",(2*AK243)/(1000*(1/$R243+AJ243))),"---")</f>
        <v>NA</v>
      </c>
      <c r="AM243" s="376" t="str">
        <f>IF(Start!$C$18="x",IF(AL243 = "NA", "NA", AL243*(Data!$D$52*Data!$D$53*10000)),"---")</f>
        <v>NA</v>
      </c>
      <c r="AN243" s="376" t="str">
        <f>IF(Start!$C$18="x",IF(AM243 = "NA", "NA", AM243*(Data!$D$54)),"---")</f>
        <v>NA</v>
      </c>
      <c r="AO243" s="498" t="str">
        <f>IF(Start!$C$18="x",IF(AN243="NA","NA",AN243*Data!$D$41),"---")</f>
        <v>NA</v>
      </c>
      <c r="AP243" s="376">
        <f>IF(Start!$C$18="x",IF(OR(Q243=0,N243="NA",N243="",AG243="NA",AG243="",AG243=0,Q243="",Q243="NA"),"NA", (3.1416*Data!$D$56*86400/($AG243*(Data!$D$55+(N243*Data!$D$19/(Q243*1000)))))^0.5),"---")</f>
        <v>22.910059267318172</v>
      </c>
      <c r="AQ243" s="376" t="str">
        <f>IF(Start!$C$18="x",IF(OR(AH243="NA",AI243="NA",AI243="",AI243=0,AH243=""),"NA", AH243/AI243),"---")</f>
        <v>NA</v>
      </c>
      <c r="AR243" s="376" t="str">
        <f>IF(Start!$C$18="x",IF(OR(AQ243="NA",AP243="NA",$R243="NA",R243=0,R243=""),"NA",(2*AQ243)/(1000*(1/$R243+AP243))),"---")</f>
        <v>NA</v>
      </c>
      <c r="AS243" s="376" t="str">
        <f>IF(Start!$C$18="x",IF(AR243 = "NA", "NA", AR243*(Data!$D$52*Data!$D$53*10000)),"---")</f>
        <v>NA</v>
      </c>
      <c r="AT243" s="376" t="str">
        <f>IF(Start!$C$18="x",IF(AS243 = "NA", "NA", (AS243*1000)/(Data!$D$48*3*Data!$D$53)),"---")</f>
        <v>NA</v>
      </c>
      <c r="AU243" s="498" t="str">
        <f>IF(Start!$C$18="x",IF(AT243="NA","NA",AT243*Data!$D$47),"---")</f>
        <v>NA</v>
      </c>
      <c r="AV243" s="283" t="str">
        <f>IF(Start!$C$18="x",(IF(AND(F243="",G243= "",G243&lt;&gt;"NA"),"",IF(OR(AD243="NA",I243="NA",I243=0),"NA",(AD243/I243)))),"Not Req.")</f>
        <v/>
      </c>
      <c r="AW243" s="284" t="str">
        <f>IF(Start!$C$18="x",(IF(AND(F243="",G243= "",G243&lt;&gt;"NA"),"",IF(OR(AF243="NA",I243="NA",I243=0),"NA",(AF243/I243)))),"Not Req.")</f>
        <v/>
      </c>
      <c r="AX243" s="284" t="str">
        <f>IF(Start!$C$18="x",(IF(F243 ="","",IF(OR(AO243="NA",I243="NA",I243=0),"NA",(AO243/I243)))),"Not Req.")</f>
        <v/>
      </c>
      <c r="AY243" s="344" t="str">
        <f>IF(Start!$C$18="x",(IF(F243 ="","",IF(OR(AU243="NA",I243="NA",I243=0),"NA",(AU243/I243)))),"Not Req.")</f>
        <v/>
      </c>
      <c r="AZ243" s="208"/>
    </row>
    <row r="244" spans="1:52" s="183" customFormat="1" ht="13.8" thickBot="1" x14ac:dyDescent="0.3">
      <c r="A244" s="405" t="s">
        <v>562</v>
      </c>
      <c r="B244" s="347" t="str">
        <f>IF(Start!$C$18="x",IF(AND(OR(F244="",F244="NA"),OR(G244="",G244="NA")),"",IF(I244="NA","NA",IF(AND(I244="",K244="--"),"NA",IF(AD244="NA","Missing Data",IF(I244="","No Criteria",IF(AD244&gt;=I244,"Needed","No")))))),"---")</f>
        <v/>
      </c>
      <c r="C244" s="501" t="str">
        <f>IF(Start!$C$18="x",IF(AND(OR(F244="",F244="NA"),OR(G244="",G244="NA")),"",IF(I244="NA","NA",IF(AND(I244="",K244="--"),"NA",IF(AF244="NA","Missing Data",IF(I244="","No Criteria",IF(AF244&gt;=I244,"Needed","No")))))),"---")</f>
        <v/>
      </c>
      <c r="D244" s="347" t="str">
        <f>IF(Start!$C$18="x",IF(AND(OR(F244="",F244="NA"),OR(G244="",G244="NA")),"",IF(I244="NA","NA",IF(AND(I244="",K244="--"),"NA",IF(AO244="NA","Missing Data",IF(I244="","No Criteria",IF(AO244&gt;=I244,"Needed","No")))))),"---")</f>
        <v/>
      </c>
      <c r="E244" s="401" t="str">
        <f>IF(Start!$C$18="x",IF(AND(OR(F244="",F244="NA"),OR(G244="",G244="NA")),"",IF(I244="NA","NA",IF(AND(I244="",K244="--"),"NA",IF(AU244="NA","Missing Data",IF(I244="","No Criteria",IF(AU244&gt;=I244,"Needed","No")))))),"---")</f>
        <v/>
      </c>
      <c r="F244" s="431" t="str">
        <f>IF(TRUE=ISBLANK(ChemData!B244),"",(ChemData!B244))</f>
        <v/>
      </c>
      <c r="G244" s="432" t="str">
        <f>IF(TRUE=ISBLANK(ChemData!C244),"",(ChemData!C244))</f>
        <v/>
      </c>
      <c r="H244" s="433" t="str">
        <f>IF(TRUE=ISBLANK(ChemData!D244),"",(ChemData!D244))</f>
        <v/>
      </c>
      <c r="I244" s="919" t="str">
        <f>IF(TRUE=ISBLANK(ChemData!K244),"",(ChemData!K244))</f>
        <v>NA</v>
      </c>
      <c r="J244" s="290">
        <f>IF(TRUE=ISBLANK(ChemData!M244),"",(ChemData!M244))</f>
        <v>414</v>
      </c>
      <c r="K244" s="290">
        <f>IF(TRUE=ISBLANK(ChemData!N244),"",(ChemData!N244))</f>
        <v>4.8999999999999998E-3</v>
      </c>
      <c r="L244" s="290">
        <f>IF(TRUE=ISBLANK(ChemData!O244),"",(ChemData!O244))</f>
        <v>1.1599999999999999E-2</v>
      </c>
      <c r="M244" s="290">
        <f>IF(TRUE=ISBLANK(ChemData!Q244),"",(ChemData!Q244))</f>
        <v>5853.3759489716749</v>
      </c>
      <c r="N244" s="290">
        <f>IF(TRUE=ISBLANK(ChemData!R244),"",(ChemData!R244))</f>
        <v>5853.3759489716749</v>
      </c>
      <c r="O244" s="290">
        <f>IF(TRUE=ISBLANK(ChemData!S244),"",(ChemData!S244))</f>
        <v>1</v>
      </c>
      <c r="P244" s="291">
        <f>IF(TRUE=ISBLANK(ChemData!T244),"",(ChemData!T244))</f>
        <v>1</v>
      </c>
      <c r="Q244" s="375">
        <f>IF(Start!$C$18="x",IF(OR(K244="NA",K244="",K244="--"),"NA",(K244*1000000/82.1/Data!$D$50)),"---")</f>
        <v>0.19252681623511847</v>
      </c>
      <c r="R244" s="376">
        <f>IF(Start!$C$18="x",IF(OR(J244="NA",J244=0,J244=""),"NA",(0.32*(Data!$D$48+Data!$D$49)*(18/J244)^0.5)),"---")</f>
        <v>0.17181587718302962</v>
      </c>
      <c r="S244" s="376">
        <f>IF(Start!$C$18="x",IF(OR(J244="NA",J244= 0,J244=""),"NA",(0.0065*((Data!$D$49^0.969)/(Data!$D$51^0.673))*(32/J244)^0.5*EXP(0.526*Data!$D$48^-1.9))),"---")</f>
        <v>3.6214079718160306E-4</v>
      </c>
      <c r="T244" s="377">
        <f>IF(Start!$C$18="x",IF(OR(S244="NA",R244="NA",R244=0,Q244="NA",S244=0,Q244=0),"NA",(1/(1/S244+(1/(R244*Q244))))),"---")</f>
        <v>3.5821912132256366E-4</v>
      </c>
      <c r="U244" s="375" t="str">
        <f>IF(Start!$C$18="x",IF(OR(F244="NA",F244="",O244="",O244="NA"),"NA",(F244*$O244)),"---")</f>
        <v>NA</v>
      </c>
      <c r="V244" s="376" t="str">
        <f>IF(Start!$C$18="x",IF(OR(U244="NA",M244="NA",M244="",U244=""),"NA",U244/((Data!$D$18+((1-Data!$D$18)*Data!$D$14*M244))/((1-Data!$D$18)*Data!$D$14*1000))),"---")</f>
        <v>NA</v>
      </c>
      <c r="W244" s="376" t="str">
        <f>IF(Start!$C$18="x",IF(OR(G244="NA",U244="NA",G244="",U244=""),"NA",(U244 +($G244*(Data!$D$19-Data!$D$22)/(Data!$D$19*Data!$D$22)))),"---")</f>
        <v>NA</v>
      </c>
      <c r="X244" s="376" t="str">
        <f>IF(Start!$C$18="x",IF(OR(G244="NA",V244="NA",G244="",V244=""),"NA",(((Data!$D$22*Data!$D$18)*V244)+(Data!$D$19-Data!$D$22)*$G244)/((Data!$D$22*Data!$D$18)+Data!$D$19-Data!$D$22)),"---")</f>
        <v>NA</v>
      </c>
      <c r="Y244" s="376" t="str">
        <f>IF(Start!$C$18="x",IF(OR(W244="NA",W244="",M244="NA",M244=""),"NA",(W244/((Data!$D$23+((1-Data!$D$23)*Data!$D$14*M244)) /((1-Data!$D$23)*Data!$D$14*1000)))),"---")</f>
        <v>NA</v>
      </c>
      <c r="Z244" s="376" t="str">
        <f>IF(Start!$C$18="x",IF(OR(Y244="NA",X244="NA"),"NA",IF(Y244&gt;X244, Y244, X244)),"---")</f>
        <v>NA</v>
      </c>
      <c r="AA244" s="461" t="str">
        <f>IF(Start!$C$18="x",IF(OR(Z244="NA",T244="NA"),"NA",Z244*T244/(1000000000)),"---")</f>
        <v>NA</v>
      </c>
      <c r="AB244" s="1057" t="str">
        <f>IF(Start!$C$18="x",IF(AA244 = "NA", "NA", AA244*(Data!$D$52*Data!$D$53*10000)),"---")</f>
        <v>NA</v>
      </c>
      <c r="AC244" s="375" t="str">
        <f>IF(Start!$C$18="x",IF(AB244="NA", "NA", AB244*Data!$D$54),"---")</f>
        <v>NA</v>
      </c>
      <c r="AD244" s="498" t="str">
        <f>IF(Start!$C$18="x",IF(AC244="NA","NA",AC244*Data!$D$41),"---")</f>
        <v>NA</v>
      </c>
      <c r="AE244" s="376" t="str">
        <f>IF(Start!$C$18="x",IF(AB244 = "NA", "NA", AB244/(Data!$D$53*3*Data!$D$48)*1000),"---")</f>
        <v>NA</v>
      </c>
      <c r="AF244" s="498" t="str">
        <f>IF(Start!$C$18="x",IF(AE244="NA","NA",AE244*Data!$D$46),"---")</f>
        <v>NA</v>
      </c>
      <c r="AG244" s="375">
        <f>IF(Start!$C$18="x",IF(OR($L244="NA",L244=""),"NA",($L244*(Data!$D$55^3.33)/(Data!$D$18^2))),"---")</f>
        <v>1.1817492652879852E-4</v>
      </c>
      <c r="AH244" s="376" t="str">
        <f>IF(Start!$C$18="x",IF(OR(F244="NA",F244="",P244="NA",P244=""),"NA",IF(100/Data!$D$10&gt;Data!$D$13,(F244*$P244),(F244*$P244)*Data!$D$13)),"---")</f>
        <v>NA</v>
      </c>
      <c r="AI244" s="489">
        <f>IF(Start!$C$18="x",IF(OR($N244="NA",$Q244="NA",$Q244=0,Q244="",N244=""),"NA",(1000*$N244/$Q244)),"---")</f>
        <v>30402912.505566958</v>
      </c>
      <c r="AJ244" s="376">
        <f>IF(Start!$C$18="x",IF(OR(Q244 = "NA",Q244=0,N244 = "NA",N244="",Q244=""), "NA", IF($AG244="NA","NA",(3.1416*Data!$D$57*86400/($AG244*(Data!$D$55+(N244*Data!$D$19/(Q244*1000)))))^0.5)),"---")</f>
        <v>1633.5233833609036</v>
      </c>
      <c r="AK244" s="376" t="str">
        <f>IF(Start!$C$18="x",IF(OR(AH244 = "NA",AI244="NA",AI244=0,AI244="",AH244=""), "NA", AH244/AI244),"---")</f>
        <v>NA</v>
      </c>
      <c r="AL244" s="376" t="str">
        <f>IF(Start!$C$18="x",IF(OR(AK244 ="NA",AK244="",AJ244= "NA",R244="NA",R244=0),"NA",(2*AK244)/(1000*(1/$R244+AJ244))),"---")</f>
        <v>NA</v>
      </c>
      <c r="AM244" s="376" t="str">
        <f>IF(Start!$C$18="x",IF(AL244 = "NA", "NA", AL244*(Data!$D$52*Data!$D$53*10000)),"---")</f>
        <v>NA</v>
      </c>
      <c r="AN244" s="376" t="str">
        <f>IF(Start!$C$18="x",IF(AM244 = "NA", "NA", AM244*(Data!$D$54)),"---")</f>
        <v>NA</v>
      </c>
      <c r="AO244" s="498" t="str">
        <f>IF(Start!$C$18="x",IF(AN244="NA","NA",AN244*Data!$D$41),"---")</f>
        <v>NA</v>
      </c>
      <c r="AP244" s="376">
        <f>IF(Start!$C$18="x",IF(OR(Q244=0,N244="NA",N244="",AG244="NA",AG244="",AG244=0,Q244="",Q244="NA"),"NA", (3.1416*Data!$D$56*86400/($AG244*(Data!$D$55+(N244*Data!$D$19/(Q244*1000)))))^0.5),"---")</f>
        <v>1633.5233833609036</v>
      </c>
      <c r="AQ244" s="376" t="str">
        <f>IF(Start!$C$18="x",IF(OR(AH244="NA",AI244="NA",AI244="",AI244=0,AH244=""),"NA", AH244/AI244),"---")</f>
        <v>NA</v>
      </c>
      <c r="AR244" s="376" t="str">
        <f>IF(Start!$C$18="x",IF(OR(AQ244="NA",AP244="NA",$R244="NA",R244=0,R244=""),"NA",(2*AQ244)/(1000*(1/$R244+AP244))),"---")</f>
        <v>NA</v>
      </c>
      <c r="AS244" s="376" t="str">
        <f>IF(Start!$C$18="x",IF(AR244 = "NA", "NA", AR244*(Data!$D$52*Data!$D$53*10000)),"---")</f>
        <v>NA</v>
      </c>
      <c r="AT244" s="376" t="str">
        <f>IF(Start!$C$18="x",IF(AS244 = "NA", "NA", (AS244*1000)/(Data!$D$48*3*Data!$D$53)),"---")</f>
        <v>NA</v>
      </c>
      <c r="AU244" s="498" t="str">
        <f>IF(Start!$C$18="x",IF(AT244="NA","NA",AT244*Data!$D$47),"---")</f>
        <v>NA</v>
      </c>
      <c r="AV244" s="283" t="str">
        <f>IF(Start!$C$18="x",(IF(AND(F244="",G244= "",G244&lt;&gt;"NA"),"",IF(OR(AD244="NA",I244="NA",I244=0),"NA",(AD244/I244)))),"Not Req.")</f>
        <v/>
      </c>
      <c r="AW244" s="284" t="str">
        <f>IF(Start!$C$18="x",(IF(AND(F244="",G244= "",G244&lt;&gt;"NA"),"",IF(OR(AF244="NA",I244="NA",I244=0),"NA",(AF244/I244)))),"Not Req.")</f>
        <v/>
      </c>
      <c r="AX244" s="284" t="str">
        <f>IF(Start!$C$18="x",(IF(F244 ="","",IF(OR(AO244="NA",I244="NA",I244=0),"NA",(AO244/I244)))),"Not Req.")</f>
        <v/>
      </c>
      <c r="AY244" s="344" t="str">
        <f>IF(Start!$C$18="x",(IF(F244 ="","",IF(OR(AU244="NA",I244="NA",I244=0),"NA",(AU244/I244)))),"Not Req.")</f>
        <v/>
      </c>
      <c r="AZ244" s="208"/>
    </row>
    <row r="245" spans="1:52" s="10" customFormat="1" x14ac:dyDescent="0.25">
      <c r="A245" s="505" t="s">
        <v>563</v>
      </c>
      <c r="B245" s="530"/>
      <c r="C245" s="531"/>
      <c r="D245" s="530"/>
      <c r="E245" s="526"/>
      <c r="F245" s="508"/>
      <c r="G245" s="509"/>
      <c r="H245" s="510"/>
      <c r="I245" s="800"/>
      <c r="J245" s="512"/>
      <c r="K245" s="512"/>
      <c r="L245" s="512"/>
      <c r="M245" s="512"/>
      <c r="N245" s="512"/>
      <c r="O245" s="512"/>
      <c r="P245" s="513"/>
      <c r="Q245" s="511"/>
      <c r="R245" s="512"/>
      <c r="S245" s="512"/>
      <c r="T245" s="513"/>
      <c r="U245" s="511"/>
      <c r="V245" s="512"/>
      <c r="W245" s="512"/>
      <c r="X245" s="512"/>
      <c r="Y245" s="512"/>
      <c r="Z245" s="512"/>
      <c r="AA245" s="512"/>
      <c r="AB245" s="512"/>
      <c r="AC245" s="511"/>
      <c r="AD245" s="533"/>
      <c r="AE245" s="512"/>
      <c r="AF245" s="533"/>
      <c r="AG245" s="511"/>
      <c r="AH245" s="512"/>
      <c r="AI245" s="534"/>
      <c r="AJ245" s="512"/>
      <c r="AK245" s="512"/>
      <c r="AL245" s="512"/>
      <c r="AM245" s="512"/>
      <c r="AN245" s="512"/>
      <c r="AO245" s="533"/>
      <c r="AP245" s="512"/>
      <c r="AQ245" s="512"/>
      <c r="AR245" s="512"/>
      <c r="AS245" s="512"/>
      <c r="AT245" s="512"/>
      <c r="AU245" s="533"/>
      <c r="AV245" s="511"/>
      <c r="AW245" s="512"/>
      <c r="AX245" s="512"/>
      <c r="AY245" s="513"/>
      <c r="AZ245" s="208"/>
    </row>
    <row r="246" spans="1:52" s="10" customFormat="1" x14ac:dyDescent="0.25">
      <c r="A246" s="405" t="s">
        <v>564</v>
      </c>
      <c r="B246" s="347" t="str">
        <f>IF(Start!$C$18="x",IF(AND(OR(F246="",F246="NA"),OR(G246="",G246="NA")),"",IF(I246="NA","NA",IF(AND(I246="",K246="--"),"NA",IF(AD246="NA","Missing Data",IF(I246="","No Criteria",IF(AD246&gt;=I246,"Needed","No")))))),"---")</f>
        <v/>
      </c>
      <c r="C246" s="501" t="str">
        <f>IF(Start!$C$18="x",IF(AND(OR(F246="",F246="NA"),OR(G246="",G246="NA")),"",IF(I246="NA","NA",IF(AND(I246="",K246="--"),"NA",IF(AF246="NA","Missing Data",IF(I246="","No Criteria",IF(AF246&gt;=I246,"Needed","No")))))),"---")</f>
        <v/>
      </c>
      <c r="D246" s="347" t="str">
        <f>IF(Start!$C$18="x",IF(AND(OR(F246="",F246="NA"),OR(G246="",G246="NA")),"",IF(I246="NA","NA",IF(AND(I246="",K246="--"),"NA",IF(AO246="NA","Missing Data",IF(I246="","No Criteria",IF(AO246&gt;=I246,"Needed","No")))))),"---")</f>
        <v/>
      </c>
      <c r="E246" s="401" t="str">
        <f>IF(Start!$C$18="x",IF(AND(OR(F246="",F246="NA"),OR(G246="",G246="NA")),"",IF(I246="NA","NA",IF(AND(I246="",K246="--"),"NA",IF(AU246="NA","Missing Data",IF(I246="","No Criteria",IF(AU246&gt;=I246,"Needed","No")))))),"---")</f>
        <v/>
      </c>
      <c r="F246" s="431" t="str">
        <f>IF(TRUE=ISBLANK(ChemData!B246),"",(ChemData!B246))</f>
        <v/>
      </c>
      <c r="G246" s="432" t="str">
        <f>IF(TRUE=ISBLANK(ChemData!C246),"",(ChemData!C246))</f>
        <v/>
      </c>
      <c r="H246" s="433" t="str">
        <f>IF(TRUE=ISBLANK(ChemData!D246),"",(ChemData!D246))</f>
        <v/>
      </c>
      <c r="I246" s="919" t="str">
        <f>IF(TRUE=ISBLANK(ChemData!K246),"",(ChemData!K246))</f>
        <v>NA</v>
      </c>
      <c r="J246" s="290">
        <f>IF(TRUE=ISBLANK(ChemData!M246),"",(ChemData!M246))</f>
        <v>425.28</v>
      </c>
      <c r="K246" s="290">
        <f>IF(TRUE=ISBLANK(ChemData!N246),"",(ChemData!N246))</f>
        <v>1.3120000000000001E-6</v>
      </c>
      <c r="L246" s="290">
        <f>IF(TRUE=ISBLANK(ChemData!O246),"",(ChemData!O246))</f>
        <v>0.14871724860589197</v>
      </c>
      <c r="M246" s="290">
        <f>IF(TRUE=ISBLANK(ChemData!Q246),"",(ChemData!Q246))</f>
        <v>1851000</v>
      </c>
      <c r="N246" s="290">
        <f>IF(TRUE=ISBLANK(ChemData!R246),"",(ChemData!R246))</f>
        <v>1851000</v>
      </c>
      <c r="O246" s="290">
        <f>IF(TRUE=ISBLANK(ChemData!S246),"",(ChemData!S246))</f>
        <v>1</v>
      </c>
      <c r="P246" s="291">
        <f>IF(TRUE=ISBLANK(ChemData!T246),"",(ChemData!T246))</f>
        <v>1</v>
      </c>
      <c r="Q246" s="375">
        <f>IF(Start!$C$18="x",IF(OR(K246="NA",K246="",K246="--"),"NA",(K246*1000000/82.1/Data!$D$50)),"---")</f>
        <v>5.1550037326627648E-5</v>
      </c>
      <c r="R246" s="376">
        <f>IF(Start!$C$18="x",IF(OR(J246="NA",J246=0,J246=""),"NA",(0.32*(Data!$D$48+Data!$D$49)*(18/J246)^0.5)),"---")</f>
        <v>0.16952196765295649</v>
      </c>
      <c r="S246" s="376">
        <f>IF(Start!$C$18="x",IF(OR(J246="NA",J246= 0,J246=""),"NA",(0.0065*((Data!$D$49^0.969)/(Data!$D$51^0.673))*(32/J246)^0.5*EXP(0.526*Data!$D$48^-1.9))),"---")</f>
        <v>3.5730586434825246E-4</v>
      </c>
      <c r="T246" s="377">
        <f>IF(Start!$C$18="x",IF(OR(S246="NA",R246="NA",R246=0,Q246="NA",S246=0,Q246=0),"NA",(1/(1/S246+(1/(R246*Q246))))),"---")</f>
        <v>8.5302342295513376E-6</v>
      </c>
      <c r="U246" s="375" t="str">
        <f>IF(Start!$C$18="x",IF(OR(F246="NA",F246="",O246="",O246="NA"),"NA",(F246*$O246)),"---")</f>
        <v>NA</v>
      </c>
      <c r="V246" s="376" t="str">
        <f>IF(Start!$C$18="x",IF(OR(U246="NA",M246="NA",M246="",U246=""),"NA",U246/((Data!$D$18+((1-Data!$D$18)*Data!$D$14*M246))/((1-Data!$D$18)*Data!$D$14*1000))),"---")</f>
        <v>NA</v>
      </c>
      <c r="W246" s="376" t="str">
        <f>IF(Start!$C$18="x",IF(OR(G246="NA",U246="NA",G246="",U246=""),"NA",(U246 +($G246*(Data!$D$19-Data!$D$22)/(Data!$D$19*Data!$D$22)))),"---")</f>
        <v>NA</v>
      </c>
      <c r="X246" s="376" t="str">
        <f>IF(Start!$C$18="x",IF(OR(G246="NA",V246="NA",G246="",V246=""),"NA",(((Data!$D$22*Data!$D$18)*V246)+(Data!$D$19-Data!$D$22)*$G246)/((Data!$D$22*Data!$D$18)+Data!$D$19-Data!$D$22)),"---")</f>
        <v>NA</v>
      </c>
      <c r="Y246" s="376" t="str">
        <f>IF(Start!$C$18="x",IF(OR(W246="NA",W246="",M246="NA",M246=""),"NA",(W246/((Data!$D$23+((1-Data!$D$23)*Data!$D$14*M246)) /((1-Data!$D$23)*Data!$D$14*1000)))),"---")</f>
        <v>NA</v>
      </c>
      <c r="Z246" s="376" t="str">
        <f>IF(Start!$C$18="x",IF(OR(Y246="NA",X246="NA"),"NA",IF(Y246&gt;X246, Y246, X246)),"---")</f>
        <v>NA</v>
      </c>
      <c r="AA246" s="461" t="str">
        <f>IF(Start!$C$18="x",IF(OR(Z246="NA",T246="NA"),"NA",Z246*T246/(1000000000)),"---")</f>
        <v>NA</v>
      </c>
      <c r="AB246" s="1057" t="str">
        <f>IF(Start!$C$18="x",IF(AA246 = "NA", "NA", AA246*(Data!$D$52*Data!$D$53*10000)),"---")</f>
        <v>NA</v>
      </c>
      <c r="AC246" s="375" t="str">
        <f>IF(Start!$C$18="x",IF(AB246="NA", "NA", AB246*Data!$D$54),"---")</f>
        <v>NA</v>
      </c>
      <c r="AD246" s="498" t="str">
        <f>IF(Start!$C$18="x",IF(AC246="NA","NA",AC246*Data!$D$41),"---")</f>
        <v>NA</v>
      </c>
      <c r="AE246" s="376" t="str">
        <f>IF(Start!$C$18="x",IF(AB246 = "NA", "NA", AB246/(Data!$D$53*3*Data!$D$48)*1000),"---")</f>
        <v>NA</v>
      </c>
      <c r="AF246" s="498" t="str">
        <f>IF(Start!$C$18="x",IF(AE246="NA","NA",AE246*Data!$D$46),"---")</f>
        <v>NA</v>
      </c>
      <c r="AG246" s="375">
        <f>IF(Start!$C$18="x",IF(OR($L246="NA",L246=""),"NA",($L246*(Data!$D$55^3.33)/(Data!$D$18^2))),"---")</f>
        <v>1.5150560282384785E-3</v>
      </c>
      <c r="AH246" s="376" t="str">
        <f>IF(Start!$C$18="x",IF(OR(F246="NA",F246="",P246="NA",P246=""),"NA",IF(100/Data!$D$10&gt;Data!$D$13,(F246*$P246),(F246*$P246)*Data!$D$13)),"---")</f>
        <v>NA</v>
      </c>
      <c r="AI246" s="489">
        <f>IF(Start!$C$18="x",IF(OR($N246="NA",$Q246="NA",$Q246=0,Q246="",N246=""),"NA",(1000*$N246/$Q246)),"---")</f>
        <v>35906860518292.672</v>
      </c>
      <c r="AJ246" s="376">
        <f>IF(Start!$C$18="x",IF(OR(Q246 = "NA",Q246=0,N246 = "NA",N246="",Q246=""), "NA", IF($AG246="NA","NA",(3.1416*Data!$D$57*86400/($AG246*(Data!$D$55+(N246*Data!$D$19/(Q246*1000)))))^0.5)),"---")</f>
        <v>0.41980174409243848</v>
      </c>
      <c r="AK246" s="376" t="str">
        <f>IF(Start!$C$18="x",IF(OR(AH246 = "NA",AI246="NA",AI246=0,AI246="",AH246=""), "NA", AH246/AI246),"---")</f>
        <v>NA</v>
      </c>
      <c r="AL246" s="376" t="str">
        <f>IF(Start!$C$18="x",IF(OR(AK246 ="NA",AK246="",AJ246= "NA",R246="NA",R246=0),"NA",(2*AK246)/(1000*(1/$R246+AJ246))),"---")</f>
        <v>NA</v>
      </c>
      <c r="AM246" s="376" t="str">
        <f>IF(Start!$C$18="x",IF(AL246 = "NA", "NA", AL246*(Data!$D$52*Data!$D$53*10000)),"---")</f>
        <v>NA</v>
      </c>
      <c r="AN246" s="376" t="str">
        <f>IF(Start!$C$18="x",IF(AM246 = "NA", "NA", AM246*(Data!$D$54)),"---")</f>
        <v>NA</v>
      </c>
      <c r="AO246" s="498" t="str">
        <f>IF(Start!$C$18="x",IF(AN246="NA","NA",AN246*Data!$D$41),"---")</f>
        <v>NA</v>
      </c>
      <c r="AP246" s="376">
        <f>IF(Start!$C$18="x",IF(OR(Q246=0,N246="NA",N246="",AG246="NA",AG246="",AG246=0,Q246="",Q246="NA"),"NA", (3.1416*Data!$D$56*86400/($AG246*(Data!$D$55+(N246*Data!$D$19/(Q246*1000)))))^0.5),"---")</f>
        <v>0.41980174409243848</v>
      </c>
      <c r="AQ246" s="376" t="str">
        <f>IF(Start!$C$18="x",IF(OR(AH246="NA",AI246="NA",AI246="",AI246=0,AH246=""),"NA", AH246/AI246),"---")</f>
        <v>NA</v>
      </c>
      <c r="AR246" s="376" t="str">
        <f>IF(Start!$C$18="x",IF(OR(AQ246="NA",AP246="NA",$R246="NA",R246=0,R246=""),"NA",(2*AQ246)/(1000*(1/$R246+AP246))),"---")</f>
        <v>NA</v>
      </c>
      <c r="AS246" s="376" t="str">
        <f>IF(Start!$C$18="x",IF(AR246 = "NA", "NA", AR246*(Data!$D$52*Data!$D$53*10000)),"---")</f>
        <v>NA</v>
      </c>
      <c r="AT246" s="376" t="str">
        <f>IF(Start!$C$18="x",IF(AS246 = "NA", "NA", (AS246*1000)/(Data!$D$48*3*Data!$D$53)),"---")</f>
        <v>NA</v>
      </c>
      <c r="AU246" s="498" t="str">
        <f>IF(Start!$C$18="x",IF(AT246="NA","NA",AT246*Data!$D$47),"---")</f>
        <v>NA</v>
      </c>
      <c r="AV246" s="283" t="str">
        <f>IF(Start!$C$18="x",(IF(AND(F246="",G246= "",G246&lt;&gt;"NA"),"",IF(OR(AD246="NA",I246="NA",I246=0),"NA",(AD246/I246)))),"Not Req.")</f>
        <v/>
      </c>
      <c r="AW246" s="284" t="str">
        <f>IF(Start!$C$18="x",(IF(AND(F246="",G246= "",G246&lt;&gt;"NA"),"",IF(OR(AF246="NA",I246="NA",I246=0),"NA",(AF246/I246)))),"Not Req.")</f>
        <v/>
      </c>
      <c r="AX246" s="284" t="str">
        <f>IF(Start!$C$18="x",(IF(F246 ="","",IF(OR(AO246="NA",I246="NA",I246=0),"NA",(AO246/I246)))),"Not Req.")</f>
        <v/>
      </c>
      <c r="AY246" s="344" t="str">
        <f>IF(Start!$C$18="x",(IF(F246 ="","",IF(OR(AU246="NA",I246="NA",I246=0),"NA",(AU246/I246)))),"Not Req.")</f>
        <v/>
      </c>
      <c r="AZ246" s="208"/>
    </row>
    <row r="247" spans="1:52" s="183" customFormat="1" x14ac:dyDescent="0.25">
      <c r="A247" s="405" t="s">
        <v>565</v>
      </c>
      <c r="B247" s="347" t="str">
        <f>IF(Start!$C$18="x",IF(AND(OR(F247="",F247="NA"),OR(G247="",G247="NA")),"",IF(I247="NA","NA",IF(AND(I247="",K247="--"),"NA",IF(AD247="NA","Missing Data",IF(I247="","No Criteria",IF(AD247&gt;=I247,"Needed","No")))))),"---")</f>
        <v/>
      </c>
      <c r="C247" s="501" t="str">
        <f>IF(Start!$C$18="x",IF(AND(OR(F247="",F247="NA"),OR(G247="",G247="NA")),"",IF(I247="NA","NA",IF(AND(I247="",K247="--"),"NA",IF(AF247="NA","Missing Data",IF(I247="","No Criteria",IF(AF247&gt;=I247,"Needed","No")))))),"---")</f>
        <v/>
      </c>
      <c r="D247" s="347" t="str">
        <f>IF(Start!$C$18="x",IF(AND(OR(F247="",F247="NA"),OR(G247="",G247="NA")),"",IF(I247="NA","NA",IF(AND(I247="",K247="--"),"NA",IF(AO247="NA","Missing Data",IF(I247="","No Criteria",IF(AO247&gt;=I247,"Needed","No")))))),"---")</f>
        <v/>
      </c>
      <c r="E247" s="401" t="str">
        <f>IF(Start!$C$18="x",IF(AND(OR(F247="",F247="NA"),OR(G247="",G247="NA")),"",IF(I247="NA","NA",IF(AND(I247="",K247="--"),"NA",IF(AU247="NA","Missing Data",IF(I247="","No Criteria",IF(AU247&gt;=I247,"Needed","No")))))),"---")</f>
        <v/>
      </c>
      <c r="F247" s="431" t="str">
        <f>IF(TRUE=ISBLANK(ChemData!B247),"",(ChemData!B247))</f>
        <v/>
      </c>
      <c r="G247" s="432" t="str">
        <f>IF(TRUE=ISBLANK(ChemData!C247),"",(ChemData!C247))</f>
        <v/>
      </c>
      <c r="H247" s="433" t="str">
        <f>IF(TRUE=ISBLANK(ChemData!D247),"",(ChemData!D247))</f>
        <v/>
      </c>
      <c r="I247" s="919" t="str">
        <f>IF(TRUE=ISBLANK(ChemData!K247),"",(ChemData!K247))</f>
        <v>NA</v>
      </c>
      <c r="J247" s="290">
        <f>IF(TRUE=ISBLANK(ChemData!M247),"",(ChemData!M247))</f>
        <v>409.3</v>
      </c>
      <c r="K247" s="290">
        <f>IF(TRUE=ISBLANK(ChemData!N247),"",(ChemData!N247))</f>
        <v>1.4E-5</v>
      </c>
      <c r="L247" s="290">
        <f>IF(TRUE=ISBLANK(ChemData!O247),"",(ChemData!O247))</f>
        <v>0.14890228188544158</v>
      </c>
      <c r="M247" s="290">
        <f>IF(TRUE=ISBLANK(ChemData!Q247),"",(ChemData!Q247))</f>
        <v>1539594.740311048</v>
      </c>
      <c r="N247" s="290">
        <f>IF(TRUE=ISBLANK(ChemData!R247),"",(ChemData!R247))</f>
        <v>1539594.740311048</v>
      </c>
      <c r="O247" s="290">
        <f>IF(TRUE=ISBLANK(ChemData!S247),"",(ChemData!S247))</f>
        <v>1</v>
      </c>
      <c r="P247" s="291">
        <f>IF(TRUE=ISBLANK(ChemData!T247),"",(ChemData!T247))</f>
        <v>1</v>
      </c>
      <c r="Q247" s="375">
        <f>IF(Start!$C$18="x",IF(OR(K247="NA",K247="",K247="--"),"NA",(K247*1000000/82.1/Data!$D$50)),"---")</f>
        <v>5.5007661781462426E-4</v>
      </c>
      <c r="R247" s="376">
        <f>IF(Start!$C$18="x",IF(OR(J247="NA",J247=0,J247=""),"NA",(0.32*(Data!$D$48+Data!$D$49)*(18/J247)^0.5)),"---")</f>
        <v>0.17279954393620087</v>
      </c>
      <c r="S247" s="376">
        <f>IF(Start!$C$18="x",IF(OR(J247="NA",J247= 0,J247=""),"NA",(0.0065*((Data!$D$49^0.969)/(Data!$D$51^0.673))*(32/J247)^0.5*EXP(0.526*Data!$D$48^-1.9))),"---")</f>
        <v>3.6421409720483074E-4</v>
      </c>
      <c r="T247" s="377">
        <f>IF(Start!$C$18="x",IF(OR(S247="NA",R247="NA",R247=0,Q247="NA",S247=0,Q247=0),"NA",(1/(1/S247+(1/(R247*Q247))))),"---")</f>
        <v>7.538018622522426E-5</v>
      </c>
      <c r="U247" s="375" t="str">
        <f>IF(Start!$C$18="x",IF(OR(F247="NA",F247="",O247="",O247="NA"),"NA",(F247*$O247)),"---")</f>
        <v>NA</v>
      </c>
      <c r="V247" s="376" t="str">
        <f>IF(Start!$C$18="x",IF(OR(U247="NA",M247="NA",M247="",U247=""),"NA",U247/((Data!$D$18+((1-Data!$D$18)*Data!$D$14*M247))/((1-Data!$D$18)*Data!$D$14*1000))),"---")</f>
        <v>NA</v>
      </c>
      <c r="W247" s="376" t="str">
        <f>IF(Start!$C$18="x",IF(OR(G247="NA",U247="NA",G247="",U247=""),"NA",(U247 +($G247*(Data!$D$19-Data!$D$22)/(Data!$D$19*Data!$D$22)))),"---")</f>
        <v>NA</v>
      </c>
      <c r="X247" s="376" t="str">
        <f>IF(Start!$C$18="x",IF(OR(G247="NA",V247="NA",G247="",V247=""),"NA",(((Data!$D$22*Data!$D$18)*V247)+(Data!$D$19-Data!$D$22)*$G247)/((Data!$D$22*Data!$D$18)+Data!$D$19-Data!$D$22)),"---")</f>
        <v>NA</v>
      </c>
      <c r="Y247" s="376" t="str">
        <f>IF(Start!$C$18="x",IF(OR(W247="NA",W247="",M247="NA",M247=""),"NA",(W247/((Data!$D$23+((1-Data!$D$23)*Data!$D$14*M247)) /((1-Data!$D$23)*Data!$D$14*1000)))),"---")</f>
        <v>NA</v>
      </c>
      <c r="Z247" s="376" t="str">
        <f>IF(Start!$C$18="x",IF(OR(Y247="NA",X247="NA"),"NA",IF(Y247&gt;X247, Y247, X247)),"---")</f>
        <v>NA</v>
      </c>
      <c r="AA247" s="461" t="str">
        <f>IF(Start!$C$18="x",IF(OR(Z247="NA",T247="NA"),"NA",Z247*T247/(1000000000)),"---")</f>
        <v>NA</v>
      </c>
      <c r="AB247" s="1057" t="str">
        <f>IF(Start!$C$18="x",IF(AA247 = "NA", "NA", AA247*(Data!$D$52*Data!$D$53*10000)),"---")</f>
        <v>NA</v>
      </c>
      <c r="AC247" s="375" t="str">
        <f>IF(Start!$C$18="x",IF(AB247="NA", "NA", AB247*Data!$D$54),"---")</f>
        <v>NA</v>
      </c>
      <c r="AD247" s="498" t="str">
        <f>IF(Start!$C$18="x",IF(AC247="NA","NA",AC247*Data!$D$41),"---")</f>
        <v>NA</v>
      </c>
      <c r="AE247" s="376" t="str">
        <f>IF(Start!$C$18="x",IF(AB247 = "NA", "NA", AB247/(Data!$D$53*3*Data!$D$48)*1000),"---")</f>
        <v>NA</v>
      </c>
      <c r="AF247" s="498" t="str">
        <f>IF(Start!$C$18="x",IF(AE247="NA","NA",AE247*Data!$D$46),"---")</f>
        <v>NA</v>
      </c>
      <c r="AG247" s="375">
        <f>IF(Start!$C$18="x",IF(OR($L247="NA",L247=""),"NA",($L247*(Data!$D$55^3.33)/(Data!$D$18^2))),"---")</f>
        <v>1.5169410536019401E-3</v>
      </c>
      <c r="AH247" s="376" t="str">
        <f>IF(Start!$C$18="x",IF(OR(F247="NA",F247="",P247="NA",P247=""),"NA",IF(100/Data!$D$10&gt;Data!$D$13,(F247*$P247),(F247*$P247)*Data!$D$13)),"---")</f>
        <v>NA</v>
      </c>
      <c r="AI247" s="489">
        <f>IF(Start!$C$18="x",IF(OR($N247="NA",$Q247="NA",$Q247=0,Q247="",N247=""),"NA",(1000*$N247/$Q247)),"---")</f>
        <v>2798873266832.6055</v>
      </c>
      <c r="AJ247" s="376">
        <f>IF(Start!$C$18="x",IF(OR(Q247 = "NA",Q247=0,N247 = "NA",N247="",Q247=""), "NA", IF($AG247="NA","NA",(3.1416*Data!$D$57*86400/($AG247*(Data!$D$55+(N247*Data!$D$19/(Q247*1000)))))^0.5)),"---")</f>
        <v>1.5026967019717252</v>
      </c>
      <c r="AK247" s="376" t="str">
        <f>IF(Start!$C$18="x",IF(OR(AH247 = "NA",AI247="NA",AI247=0,AI247="",AH247=""), "NA", AH247/AI247),"---")</f>
        <v>NA</v>
      </c>
      <c r="AL247" s="376" t="str">
        <f>IF(Start!$C$18="x",IF(OR(AK247 ="NA",AK247="",AJ247= "NA",R247="NA",R247=0),"NA",(2*AK247)/(1000*(1/$R247+AJ247))),"---")</f>
        <v>NA</v>
      </c>
      <c r="AM247" s="376" t="str">
        <f>IF(Start!$C$18="x",IF(AL247 = "NA", "NA", AL247*(Data!$D$52*Data!$D$53*10000)),"---")</f>
        <v>NA</v>
      </c>
      <c r="AN247" s="376" t="str">
        <f>IF(Start!$C$18="x",IF(AM247 = "NA", "NA", AM247*(Data!$D$54)),"---")</f>
        <v>NA</v>
      </c>
      <c r="AO247" s="498" t="str">
        <f>IF(Start!$C$18="x",IF(AN247="NA","NA",AN247*Data!$D$41),"---")</f>
        <v>NA</v>
      </c>
      <c r="AP247" s="376">
        <f>IF(Start!$C$18="x",IF(OR(Q247=0,N247="NA",N247="",AG247="NA",AG247="",AG247=0,Q247="",Q247="NA"),"NA", (3.1416*Data!$D$56*86400/($AG247*(Data!$D$55+(N247*Data!$D$19/(Q247*1000)))))^0.5),"---")</f>
        <v>1.5026967019717252</v>
      </c>
      <c r="AQ247" s="376" t="str">
        <f>IF(Start!$C$18="x",IF(OR(AH247="NA",AI247="NA",AI247="",AI247=0,AH247=""),"NA", AH247/AI247),"---")</f>
        <v>NA</v>
      </c>
      <c r="AR247" s="376" t="str">
        <f>IF(Start!$C$18="x",IF(OR(AQ247="NA",AP247="NA",$R247="NA",R247=0,R247=""),"NA",(2*AQ247)/(1000*(1/$R247+AP247))),"---")</f>
        <v>NA</v>
      </c>
      <c r="AS247" s="376" t="str">
        <f>IF(Start!$C$18="x",IF(AR247 = "NA", "NA", AR247*(Data!$D$52*Data!$D$53*10000)),"---")</f>
        <v>NA</v>
      </c>
      <c r="AT247" s="376" t="str">
        <f>IF(Start!$C$18="x",IF(AS247 = "NA", "NA", (AS247*1000)/(Data!$D$48*3*Data!$D$53)),"---")</f>
        <v>NA</v>
      </c>
      <c r="AU247" s="498" t="str">
        <f>IF(Start!$C$18="x",IF(AT247="NA","NA",AT247*Data!$D$47),"---")</f>
        <v>NA</v>
      </c>
      <c r="AV247" s="283" t="str">
        <f>IF(Start!$C$18="x",(IF(AND(F247="",G247= "",G247&lt;&gt;"NA"),"",IF(OR(AD247="NA",I247="NA",I247=0),"NA",(AD247/I247)))),"Not Req.")</f>
        <v/>
      </c>
      <c r="AW247" s="284" t="str">
        <f>IF(Start!$C$18="x",(IF(AND(F247="",G247= "",G247&lt;&gt;"NA"),"",IF(OR(AF247="NA",I247="NA",I247=0),"NA",(AF247/I247)))),"Not Req.")</f>
        <v/>
      </c>
      <c r="AX247" s="284" t="str">
        <f>IF(Start!$C$18="x",(IF(F247 ="","",IF(OR(AO247="NA",I247="NA",I247=0),"NA",(AO247/I247)))),"Not Req.")</f>
        <v/>
      </c>
      <c r="AY247" s="344" t="str">
        <f>IF(Start!$C$18="x",(IF(F247 ="","",IF(OR(AU247="NA",I247="NA",I247=0),"NA",(AU247/I247)))),"Not Req.")</f>
        <v/>
      </c>
      <c r="AZ247" s="208"/>
    </row>
    <row r="248" spans="1:52" s="183" customFormat="1" x14ac:dyDescent="0.25">
      <c r="A248" s="405" t="s">
        <v>566</v>
      </c>
      <c r="B248" s="347" t="str">
        <f>IF(Start!$C$18="x",IF(AND(OR(F248="",F248="NA"),OR(G248="",G248="NA")),"",IF(I248="NA","NA",IF(AND(I248="",K248="--"),"NA",IF(AD248="NA","Missing Data",IF(I248="","No Criteria",IF(AD248&gt;=I248,"Needed","No")))))),"---")</f>
        <v/>
      </c>
      <c r="C248" s="501" t="str">
        <f>IF(Start!$C$18="x",IF(AND(OR(F248="",F248="NA"),OR(G248="",G248="NA")),"",IF(I248="NA","NA",IF(AND(I248="",K248="--"),"NA",IF(AF248="NA","Missing Data",IF(I248="","No Criteria",IF(AF248&gt;=I248,"Needed","No")))))),"---")</f>
        <v/>
      </c>
      <c r="D248" s="347" t="str">
        <f>IF(Start!$C$18="x",IF(AND(OR(F248="",F248="NA"),OR(G248="",G248="NA")),"",IF(I248="NA","NA",IF(AND(I248="",K248="--"),"NA",IF(AO248="NA","Missing Data",IF(I248="","No Criteria",IF(AO248&gt;=I248,"Needed","No")))))),"---")</f>
        <v/>
      </c>
      <c r="E248" s="401" t="str">
        <f>IF(Start!$C$18="x",IF(AND(OR(F248="",F248="NA"),OR(G248="",G248="NA")),"",IF(I248="NA","NA",IF(AND(I248="",K248="--"),"NA",IF(AU248="NA","Missing Data",IF(I248="","No Criteria",IF(AU248&gt;=I248,"Needed","No")))))),"---")</f>
        <v/>
      </c>
      <c r="F248" s="431" t="str">
        <f>IF(TRUE=ISBLANK(ChemData!B248),"",(ChemData!B248))</f>
        <v/>
      </c>
      <c r="G248" s="432" t="str">
        <f>IF(TRUE=ISBLANK(ChemData!C248),"",(ChemData!C248))</f>
        <v/>
      </c>
      <c r="H248" s="433" t="str">
        <f>IF(TRUE=ISBLANK(ChemData!D248),"",(ChemData!D248))</f>
        <v/>
      </c>
      <c r="I248" s="919" t="str">
        <f>IF(TRUE=ISBLANK(ChemData!K248),"",(ChemData!K248))</f>
        <v>NA</v>
      </c>
      <c r="J248" s="290" t="str">
        <f>IF(TRUE=ISBLANK(ChemData!M248),"",(ChemData!M248))</f>
        <v>NA</v>
      </c>
      <c r="K248" s="290" t="str">
        <f>IF(TRUE=ISBLANK(ChemData!N248),"",(ChemData!N248))</f>
        <v>NA</v>
      </c>
      <c r="L248" s="290" t="str">
        <f>IF(TRUE=ISBLANK(ChemData!O248),"",(ChemData!O248))</f>
        <v>NA</v>
      </c>
      <c r="M248" s="290" t="str">
        <f>IF(TRUE=ISBLANK(ChemData!Q248),"",(ChemData!Q248))</f>
        <v>NA</v>
      </c>
      <c r="N248" s="290" t="str">
        <f>IF(TRUE=ISBLANK(ChemData!R248),"",(ChemData!R248))</f>
        <v>NA</v>
      </c>
      <c r="O248" s="290">
        <f>IF(TRUE=ISBLANK(ChemData!S248),"",(ChemData!S248))</f>
        <v>1</v>
      </c>
      <c r="P248" s="291">
        <f>IF(TRUE=ISBLANK(ChemData!T248),"",(ChemData!T248))</f>
        <v>1</v>
      </c>
      <c r="Q248" s="375" t="str">
        <f>IF(Start!$C$18="x",IF(OR(K248="NA",K248="",K248="--"),"NA",(K248*1000000/82.1/Data!$D$50)),"---")</f>
        <v>NA</v>
      </c>
      <c r="R248" s="376" t="str">
        <f>IF(Start!$C$18="x",IF(OR(J248="NA",J248=0,J248=""),"NA",(0.32*(Data!$D$48+Data!$D$49)*(18/J248)^0.5)),"---")</f>
        <v>NA</v>
      </c>
      <c r="S248" s="376" t="str">
        <f>IF(Start!$C$18="x",IF(OR(J248="NA",J248= 0,J248=""),"NA",(0.0065*((Data!$D$49^0.969)/(Data!$D$51^0.673))*(32/J248)^0.5*EXP(0.526*Data!$D$48^-1.9))),"---")</f>
        <v>NA</v>
      </c>
      <c r="T248" s="377" t="str">
        <f>IF(Start!$C$18="x",IF(OR(S248="NA",R248="NA",R248=0,Q248="NA",S248=0,Q248=0),"NA",(1/(1/S248+(1/(R248*Q248))))),"---")</f>
        <v>NA</v>
      </c>
      <c r="U248" s="375" t="str">
        <f>IF(Start!$C$18="x",IF(OR(F248="NA",F248="",O248="",O248="NA"),"NA",(F248*$O248)),"---")</f>
        <v>NA</v>
      </c>
      <c r="V248" s="376" t="str">
        <f>IF(Start!$C$18="x",IF(OR(U248="NA",M248="NA",M248="",U248=""),"NA",U248/((Data!$D$18+((1-Data!$D$18)*Data!$D$14*M248))/((1-Data!$D$18)*Data!$D$14*1000))),"---")</f>
        <v>NA</v>
      </c>
      <c r="W248" s="376" t="str">
        <f>IF(Start!$C$18="x",IF(OR(G248="NA",U248="NA",G248="",U248=""),"NA",(U248 +($G248*(Data!$D$19-Data!$D$22)/(Data!$D$19*Data!$D$22)))),"---")</f>
        <v>NA</v>
      </c>
      <c r="X248" s="376" t="str">
        <f>IF(Start!$C$18="x",IF(OR(G248="NA",V248="NA",G248="",V248=""),"NA",(((Data!$D$22*Data!$D$18)*V248)+(Data!$D$19-Data!$D$22)*$G248)/((Data!$D$22*Data!$D$18)+Data!$D$19-Data!$D$22)),"---")</f>
        <v>NA</v>
      </c>
      <c r="Y248" s="376" t="str">
        <f>IF(Start!$C$18="x",IF(OR(W248="NA",W248="",M248="NA",M248=""),"NA",(W248/((Data!$D$23+((1-Data!$D$23)*Data!$D$14*M248)) /((1-Data!$D$23)*Data!$D$14*1000)))),"---")</f>
        <v>NA</v>
      </c>
      <c r="Z248" s="376" t="str">
        <f>IF(Start!$C$18="x",IF(OR(Y248="NA",X248="NA"),"NA",IF(Y248&gt;X248, Y248, X248)),"---")</f>
        <v>NA</v>
      </c>
      <c r="AA248" s="461" t="str">
        <f>IF(Start!$C$18="x",IF(OR(Z248="NA",T248="NA"),"NA",Z248*T248/(1000000000)),"---")</f>
        <v>NA</v>
      </c>
      <c r="AB248" s="1057" t="str">
        <f>IF(Start!$C$18="x",IF(AA248 = "NA", "NA", AA248*(Data!$D$52*Data!$D$53*10000)),"---")</f>
        <v>NA</v>
      </c>
      <c r="AC248" s="375" t="str">
        <f>IF(Start!$C$18="x",IF(AB248="NA", "NA", AB248*Data!$D$54),"---")</f>
        <v>NA</v>
      </c>
      <c r="AD248" s="498" t="str">
        <f>IF(Start!$C$18="x",IF(AC248="NA","NA",AC248*Data!$D$41),"---")</f>
        <v>NA</v>
      </c>
      <c r="AE248" s="376" t="str">
        <f>IF(Start!$C$18="x",IF(AB248 = "NA", "NA", AB248/(Data!$D$53*3*Data!$D$48)*1000),"---")</f>
        <v>NA</v>
      </c>
      <c r="AF248" s="498" t="str">
        <f>IF(Start!$C$18="x",IF(AE248="NA","NA",AE248*Data!$D$46),"---")</f>
        <v>NA</v>
      </c>
      <c r="AG248" s="375" t="str">
        <f>IF(Start!$C$18="x",IF(OR($L248="NA",L248=""),"NA",($L248*(Data!$D$55^3.33)/(Data!$D$18^2))),"---")</f>
        <v>NA</v>
      </c>
      <c r="AH248" s="376" t="str">
        <f>IF(Start!$C$18="x",IF(OR(F248="NA",F248="",P248="NA",P248=""),"NA",IF(100/Data!$D$10&gt;Data!$D$13,(F248*$P248),(F248*$P248)*Data!$D$13)),"---")</f>
        <v>NA</v>
      </c>
      <c r="AI248" s="489" t="str">
        <f>IF(Start!$C$18="x",IF(OR($N248="NA",$Q248="NA",$Q248=0,Q248="",N248=""),"NA",(1000*$N248/$Q248)),"---")</f>
        <v>NA</v>
      </c>
      <c r="AJ248" s="376" t="str">
        <f>IF(Start!$C$18="x",IF(OR(Q248 = "NA",Q248=0,N248 = "NA",N248="",Q248=""), "NA", IF($AG248="NA","NA",(3.1416*Data!$D$57*86400/($AG248*(Data!$D$55+(N248*Data!$D$19/(Q248*1000)))))^0.5)),"---")</f>
        <v>NA</v>
      </c>
      <c r="AK248" s="376" t="str">
        <f>IF(Start!$C$18="x",IF(OR(AH248 = "NA",AI248="NA",AI248=0,AI248="",AH248=""), "NA", AH248/AI248),"---")</f>
        <v>NA</v>
      </c>
      <c r="AL248" s="376" t="str">
        <f>IF(Start!$C$18="x",IF(OR(AK248 ="NA",AK248="",AJ248= "NA",R248="NA",R248=0),"NA",(2*AK248)/(1000*(1/$R248+AJ248))),"---")</f>
        <v>NA</v>
      </c>
      <c r="AM248" s="376" t="str">
        <f>IF(Start!$C$18="x",IF(AL248 = "NA", "NA", AL248*(Data!$D$52*Data!$D$53*10000)),"---")</f>
        <v>NA</v>
      </c>
      <c r="AN248" s="376" t="str">
        <f>IF(Start!$C$18="x",IF(AM248 = "NA", "NA", AM248*(Data!$D$54)),"---")</f>
        <v>NA</v>
      </c>
      <c r="AO248" s="498" t="str">
        <f>IF(Start!$C$18="x",IF(AN248="NA","NA",AN248*Data!$D$41),"---")</f>
        <v>NA</v>
      </c>
      <c r="AP248" s="376" t="str">
        <f>IF(Start!$C$18="x",IF(OR(Q248=0,N248="NA",N248="",AG248="NA",AG248="",AG248=0,Q248="",Q248="NA"),"NA", (3.1416*Data!$D$56*86400/($AG248*(Data!$D$55+(N248*Data!$D$19/(Q248*1000)))))^0.5),"---")</f>
        <v>NA</v>
      </c>
      <c r="AQ248" s="376" t="str">
        <f>IF(Start!$C$18="x",IF(OR(AH248="NA",AI248="NA",AI248="",AI248=0,AH248=""),"NA", AH248/AI248),"---")</f>
        <v>NA</v>
      </c>
      <c r="AR248" s="376" t="str">
        <f>IF(Start!$C$18="x",IF(OR(AQ248="NA",AP248="NA",$R248="NA",R248=0,R248=""),"NA",(2*AQ248)/(1000*(1/$R248+AP248))),"---")</f>
        <v>NA</v>
      </c>
      <c r="AS248" s="376" t="str">
        <f>IF(Start!$C$18="x",IF(AR248 = "NA", "NA", AR248*(Data!$D$52*Data!$D$53*10000)),"---")</f>
        <v>NA</v>
      </c>
      <c r="AT248" s="376" t="str">
        <f>IF(Start!$C$18="x",IF(AS248 = "NA", "NA", (AS248*1000)/(Data!$D$48*3*Data!$D$53)),"---")</f>
        <v>NA</v>
      </c>
      <c r="AU248" s="498" t="str">
        <f>IF(Start!$C$18="x",IF(AT248="NA","NA",AT248*Data!$D$47),"---")</f>
        <v>NA</v>
      </c>
      <c r="AV248" s="283" t="str">
        <f>IF(Start!$C$18="x",(IF(AND(F248="",G248= "",G248&lt;&gt;"NA"),"",IF(OR(AD248="NA",I248="NA",I248=0),"NA",(AD248/I248)))),"Not Req.")</f>
        <v/>
      </c>
      <c r="AW248" s="284" t="str">
        <f>IF(Start!$C$18="x",(IF(AND(F248="",G248= "",G248&lt;&gt;"NA"),"",IF(OR(AF248="NA",I248="NA",I248=0),"NA",(AF248/I248)))),"Not Req.")</f>
        <v/>
      </c>
      <c r="AX248" s="284" t="str">
        <f>IF(Start!$C$18="x",(IF(F248 ="","",IF(OR(AO248="NA",I248="NA",I248=0),"NA",(AO248/I248)))),"Not Req.")</f>
        <v/>
      </c>
      <c r="AY248" s="344" t="str">
        <f>IF(Start!$C$18="x",(IF(F248 ="","",IF(OR(AU248="NA",I248="NA",I248=0),"NA",(AU248/I248)))),"Not Req.")</f>
        <v/>
      </c>
      <c r="AZ248" s="208"/>
    </row>
    <row r="249" spans="1:52" s="183" customFormat="1" x14ac:dyDescent="0.25">
      <c r="A249" s="405" t="s">
        <v>567</v>
      </c>
      <c r="B249" s="347" t="str">
        <f>IF(Start!$C$18="x",IF(AND(OR(F249="",F249="NA"),OR(G249="",G249="NA")),"",IF(I249="NA","NA",IF(AND(I249="",K249="--"),"NA",IF(AD249="NA","Missing Data",IF(I249="","No Criteria",IF(AD249&gt;=I249,"Needed","No")))))),"---")</f>
        <v/>
      </c>
      <c r="C249" s="501" t="str">
        <f>IF(Start!$C$18="x",IF(AND(OR(F249="",F249="NA"),OR(G249="",G249="NA")),"",IF(I249="NA","NA",IF(AND(I249="",K249="--"),"NA",IF(AF249="NA","Missing Data",IF(I249="","No Criteria",IF(AF249&gt;=I249,"Needed","No")))))),"---")</f>
        <v/>
      </c>
      <c r="D249" s="347" t="str">
        <f>IF(Start!$C$18="x",IF(AND(OR(F249="",F249="NA"),OR(G249="",G249="NA")),"",IF(I249="NA","NA",IF(AND(I249="",K249="--"),"NA",IF(AO249="NA","Missing Data",IF(I249="","No Criteria",IF(AO249&gt;=I249,"Needed","No")))))),"---")</f>
        <v/>
      </c>
      <c r="E249" s="401" t="str">
        <f>IF(Start!$C$18="x",IF(AND(OR(F249="",F249="NA"),OR(G249="",G249="NA")),"",IF(I249="NA","NA",IF(AND(I249="",K249="--"),"NA",IF(AU249="NA","Missing Data",IF(I249="","No Criteria",IF(AU249&gt;=I249,"Needed","No")))))),"---")</f>
        <v/>
      </c>
      <c r="F249" s="431" t="str">
        <f>IF(TRUE=ISBLANK(ChemData!B249),"",(ChemData!B249))</f>
        <v/>
      </c>
      <c r="G249" s="432" t="str">
        <f>IF(TRUE=ISBLANK(ChemData!C249),"",(ChemData!C249))</f>
        <v/>
      </c>
      <c r="H249" s="433" t="str">
        <f>IF(TRUE=ISBLANK(ChemData!D249),"",(ChemData!D249))</f>
        <v/>
      </c>
      <c r="I249" s="919" t="str">
        <f>IF(TRUE=ISBLANK(ChemData!K249),"",(ChemData!K249))</f>
        <v>NA</v>
      </c>
      <c r="J249" s="290">
        <f>IF(TRUE=ISBLANK(ChemData!M249),"",(ChemData!M249))</f>
        <v>391</v>
      </c>
      <c r="K249" s="290">
        <f>IF(TRUE=ISBLANK(ChemData!N249),"",(ChemData!N249))</f>
        <v>1.0699999999999999E-5</v>
      </c>
      <c r="L249" s="290">
        <f>IF(TRUE=ISBLANK(ChemData!O249),"",(ChemData!O249))</f>
        <v>0.14913243504107906</v>
      </c>
      <c r="M249" s="290">
        <f>IF(TRUE=ISBLANK(ChemData!Q249),"",(ChemData!Q249))</f>
        <v>1167902.0446328379</v>
      </c>
      <c r="N249" s="290">
        <f>IF(TRUE=ISBLANK(ChemData!R249),"",(ChemData!R249))</f>
        <v>1167902.0446328379</v>
      </c>
      <c r="O249" s="290">
        <f>IF(TRUE=ISBLANK(ChemData!S249),"",(ChemData!S249))</f>
        <v>1</v>
      </c>
      <c r="P249" s="291">
        <f>IF(TRUE=ISBLANK(ChemData!T249),"",(ChemData!T249))</f>
        <v>1</v>
      </c>
      <c r="Q249" s="375">
        <f>IF(Start!$C$18="x",IF(OR(K249="NA",K249="",K249="--"),"NA",(K249*1000000/82.1/Data!$D$50)),"---")</f>
        <v>4.2041570075831991E-4</v>
      </c>
      <c r="R249" s="376">
        <f>IF(Start!$C$18="x",IF(OR(J249="NA",J249=0,J249=""),"NA",(0.32*(Data!$D$48+Data!$D$49)*(18/J249)^0.5)),"---")</f>
        <v>0.17679707905145187</v>
      </c>
      <c r="S249" s="376">
        <f>IF(Start!$C$18="x",IF(OR(J249="NA",J249= 0,J249=""),"NA",(0.0065*((Data!$D$49^0.969)/(Data!$D$51^0.673))*(32/J249)^0.5*EXP(0.526*Data!$D$48^-1.9))),"---")</f>
        <v>3.7263980603415101E-4</v>
      </c>
      <c r="T249" s="377">
        <f>IF(Start!$C$18="x",IF(OR(S249="NA",R249="NA",R249=0,Q249="NA",S249=0,Q249=0),"NA",(1/(1/S249+(1/(R249*Q249))))),"---")</f>
        <v>6.1967896461940432E-5</v>
      </c>
      <c r="U249" s="375" t="str">
        <f>IF(Start!$C$18="x",IF(OR(F249="NA",F249="",O249="",O249="NA"),"NA",(F249*$O249)),"---")</f>
        <v>NA</v>
      </c>
      <c r="V249" s="376" t="str">
        <f>IF(Start!$C$18="x",IF(OR(U249="NA",M249="NA",M249="",U249=""),"NA",U249/((Data!$D$18+((1-Data!$D$18)*Data!$D$14*M249))/((1-Data!$D$18)*Data!$D$14*1000))),"---")</f>
        <v>NA</v>
      </c>
      <c r="W249" s="376" t="str">
        <f>IF(Start!$C$18="x",IF(OR(G249="NA",U249="NA",G249="",U249=""),"NA",(U249 +($G249*(Data!$D$19-Data!$D$22)/(Data!$D$19*Data!$D$22)))),"---")</f>
        <v>NA</v>
      </c>
      <c r="X249" s="376" t="str">
        <f>IF(Start!$C$18="x",IF(OR(G249="NA",V249="NA",G249="",V249=""),"NA",(((Data!$D$22*Data!$D$18)*V249)+(Data!$D$19-Data!$D$22)*$G249)/((Data!$D$22*Data!$D$18)+Data!$D$19-Data!$D$22)),"---")</f>
        <v>NA</v>
      </c>
      <c r="Y249" s="376" t="str">
        <f>IF(Start!$C$18="x",IF(OR(W249="NA",W249="",M249="NA",M249=""),"NA",(W249/((Data!$D$23+((1-Data!$D$23)*Data!$D$14*M249)) /((1-Data!$D$23)*Data!$D$14*1000)))),"---")</f>
        <v>NA</v>
      </c>
      <c r="Z249" s="376" t="str">
        <f>IF(Start!$C$18="x",IF(OR(Y249="NA",X249="NA"),"NA",IF(Y249&gt;X249, Y249, X249)),"---")</f>
        <v>NA</v>
      </c>
      <c r="AA249" s="461" t="str">
        <f>IF(Start!$C$18="x",IF(OR(Z249="NA",T249="NA"),"NA",Z249*T249/(1000000000)),"---")</f>
        <v>NA</v>
      </c>
      <c r="AB249" s="1057" t="str">
        <f>IF(Start!$C$18="x",IF(AA249 = "NA", "NA", AA249*(Data!$D$52*Data!$D$53*10000)),"---")</f>
        <v>NA</v>
      </c>
      <c r="AC249" s="375" t="str">
        <f>IF(Start!$C$18="x",IF(AB249="NA", "NA", AB249*Data!$D$54),"---")</f>
        <v>NA</v>
      </c>
      <c r="AD249" s="498" t="str">
        <f>IF(Start!$C$18="x",IF(AC249="NA","NA",AC249*Data!$D$41),"---")</f>
        <v>NA</v>
      </c>
      <c r="AE249" s="376" t="str">
        <f>IF(Start!$C$18="x",IF(AB249 = "NA", "NA", AB249/(Data!$D$53*3*Data!$D$48)*1000),"---")</f>
        <v>NA</v>
      </c>
      <c r="AF249" s="498" t="str">
        <f>IF(Start!$C$18="x",IF(AE249="NA","NA",AE249*Data!$D$46),"---")</f>
        <v>NA</v>
      </c>
      <c r="AG249" s="375">
        <f>IF(Start!$C$18="x",IF(OR($L249="NA",L249=""),"NA",($L249*(Data!$D$55^3.33)/(Data!$D$18^2))),"---")</f>
        <v>1.5192857374172705E-3</v>
      </c>
      <c r="AH249" s="376" t="str">
        <f>IF(Start!$C$18="x",IF(OR(F249="NA",F249="",P249="NA",P249=""),"NA",IF(100/Data!$D$10&gt;Data!$D$13,(F249*$P249),(F249*$P249)*Data!$D$13)),"---")</f>
        <v>NA</v>
      </c>
      <c r="AI249" s="489">
        <f>IF(Start!$C$18="x",IF(OR($N249="NA",$Q249="NA",$Q249=0,Q249="",N249=""),"NA",(1000*$N249/$Q249)),"---")</f>
        <v>2777969620369.1919</v>
      </c>
      <c r="AJ249" s="376">
        <f>IF(Start!$C$18="x",IF(OR(Q249 = "NA",Q249=0,N249 = "NA",N249="",Q249=""), "NA", IF($AG249="NA","NA",(3.1416*Data!$D$57*86400/($AG249*(Data!$D$55+(N249*Data!$D$19/(Q249*1000)))))^0.5)),"---")</f>
        <v>1.5071755018145747</v>
      </c>
      <c r="AK249" s="376" t="str">
        <f>IF(Start!$C$18="x",IF(OR(AH249 = "NA",AI249="NA",AI249=0,AI249="",AH249=""), "NA", AH249/AI249),"---")</f>
        <v>NA</v>
      </c>
      <c r="AL249" s="376" t="str">
        <f>IF(Start!$C$18="x",IF(OR(AK249 ="NA",AK249="",AJ249= "NA",R249="NA",R249=0),"NA",(2*AK249)/(1000*(1/$R249+AJ249))),"---")</f>
        <v>NA</v>
      </c>
      <c r="AM249" s="376" t="str">
        <f>IF(Start!$C$18="x",IF(AL249 = "NA", "NA", AL249*(Data!$D$52*Data!$D$53*10000)),"---")</f>
        <v>NA</v>
      </c>
      <c r="AN249" s="376" t="str">
        <f>IF(Start!$C$18="x",IF(AM249 = "NA", "NA", AM249*(Data!$D$54)),"---")</f>
        <v>NA</v>
      </c>
      <c r="AO249" s="498" t="str">
        <f>IF(Start!$C$18="x",IF(AN249="NA","NA",AN249*Data!$D$41),"---")</f>
        <v>NA</v>
      </c>
      <c r="AP249" s="376">
        <f>IF(Start!$C$18="x",IF(OR(Q249=0,N249="NA",N249="",AG249="NA",AG249="",AG249=0,Q249="",Q249="NA"),"NA", (3.1416*Data!$D$56*86400/($AG249*(Data!$D$55+(N249*Data!$D$19/(Q249*1000)))))^0.5),"---")</f>
        <v>1.5071755018145747</v>
      </c>
      <c r="AQ249" s="376" t="str">
        <f>IF(Start!$C$18="x",IF(OR(AH249="NA",AI249="NA",AI249="",AI249=0,AH249=""),"NA", AH249/AI249),"---")</f>
        <v>NA</v>
      </c>
      <c r="AR249" s="376" t="str">
        <f>IF(Start!$C$18="x",IF(OR(AQ249="NA",AP249="NA",$R249="NA",R249=0,R249=""),"NA",(2*AQ249)/(1000*(1/$R249+AP249))),"---")</f>
        <v>NA</v>
      </c>
      <c r="AS249" s="376" t="str">
        <f>IF(Start!$C$18="x",IF(AR249 = "NA", "NA", AR249*(Data!$D$52*Data!$D$53*10000)),"---")</f>
        <v>NA</v>
      </c>
      <c r="AT249" s="376" t="str">
        <f>IF(Start!$C$18="x",IF(AS249 = "NA", "NA", (AS249*1000)/(Data!$D$48*3*Data!$D$53)),"---")</f>
        <v>NA</v>
      </c>
      <c r="AU249" s="498" t="str">
        <f>IF(Start!$C$18="x",IF(AT249="NA","NA",AT249*Data!$D$47),"---")</f>
        <v>NA</v>
      </c>
      <c r="AV249" s="283" t="str">
        <f>IF(Start!$C$18="x",(IF(AND(F249="",G249= "",G249&lt;&gt;"NA"),"",IF(OR(AD249="NA",I249="NA",I249=0),"NA",(AD249/I249)))),"Not Req.")</f>
        <v/>
      </c>
      <c r="AW249" s="284" t="str">
        <f>IF(Start!$C$18="x",(IF(AND(F249="",G249= "",G249&lt;&gt;"NA"),"",IF(OR(AF249="NA",I249="NA",I249=0),"NA",(AF249/I249)))),"Not Req.")</f>
        <v/>
      </c>
      <c r="AX249" s="284" t="str">
        <f>IF(Start!$C$18="x",(IF(F249 ="","",IF(OR(AO249="NA",I249="NA",I249=0),"NA",(AO249/I249)))),"Not Req.")</f>
        <v/>
      </c>
      <c r="AY249" s="344" t="str">
        <f>IF(Start!$C$18="x",(IF(F249 ="","",IF(OR(AU249="NA",I249="NA",I249=0),"NA",(AU249/I249)))),"Not Req.")</f>
        <v/>
      </c>
      <c r="AZ249" s="208"/>
    </row>
    <row r="250" spans="1:52" s="183" customFormat="1" x14ac:dyDescent="0.25">
      <c r="A250" s="405" t="s">
        <v>568</v>
      </c>
      <c r="B250" s="347" t="str">
        <f>IF(Start!$C$18="x",IF(AND(OR(F250="",F250="NA"),OR(G250="",G250="NA")),"",IF(I250="NA","NA",IF(AND(I250="",K250="--"),"NA",IF(AD250="NA","Missing Data",IF(I250="","No Criteria",IF(AD250&gt;=I250,"Needed","No")))))),"---")</f>
        <v/>
      </c>
      <c r="C250" s="501" t="str">
        <f>IF(Start!$C$18="x",IF(AND(OR(F250="",F250="NA"),OR(G250="",G250="NA")),"",IF(I250="NA","NA",IF(AND(I250="",K250="--"),"NA",IF(AF250="NA","Missing Data",IF(I250="","No Criteria",IF(AF250&gt;=I250,"Needed","No")))))),"---")</f>
        <v/>
      </c>
      <c r="D250" s="347" t="str">
        <f>IF(Start!$C$18="x",IF(AND(OR(F250="",F250="NA"),OR(G250="",G250="NA")),"",IF(I250="NA","NA",IF(AND(I250="",K250="--"),"NA",IF(AO250="NA","Missing Data",IF(I250="","No Criteria",IF(AO250&gt;=I250,"Needed","No")))))),"---")</f>
        <v/>
      </c>
      <c r="E250" s="401" t="str">
        <f>IF(Start!$C$18="x",IF(AND(OR(F250="",F250="NA"),OR(G250="",G250="NA")),"",IF(I250="NA","NA",IF(AND(I250="",K250="--"),"NA",IF(AU250="NA","Missing Data",IF(I250="","No Criteria",IF(AU250&gt;=I250,"Needed","No")))))),"---")</f>
        <v/>
      </c>
      <c r="F250" s="431" t="str">
        <f>IF(TRUE=ISBLANK(ChemData!B250),"",(ChemData!B250))</f>
        <v/>
      </c>
      <c r="G250" s="432" t="str">
        <f>IF(TRUE=ISBLANK(ChemData!C250),"",(ChemData!C250))</f>
        <v/>
      </c>
      <c r="H250" s="433" t="str">
        <f>IF(TRUE=ISBLANK(ChemData!D250),"",(ChemData!D250))</f>
        <v/>
      </c>
      <c r="I250" s="919" t="str">
        <f>IF(TRUE=ISBLANK(ChemData!K250),"",(ChemData!K250))</f>
        <v>NA</v>
      </c>
      <c r="J250" s="290">
        <f>IF(TRUE=ISBLANK(ChemData!M250),"",(ChemData!M250))</f>
        <v>374.8</v>
      </c>
      <c r="K250" s="290">
        <f>IF(TRUE=ISBLANK(ChemData!N250),"",(ChemData!N250))</f>
        <v>1.43E-5</v>
      </c>
      <c r="L250" s="290">
        <f>IF(TRUE=ISBLANK(ChemData!O250),"",(ChemData!O250))</f>
        <v>0.14935459429780004</v>
      </c>
      <c r="M250" s="290">
        <f>IF(TRUE=ISBLANK(ChemData!Q250),"",(ChemData!Q250))</f>
        <v>62720053.301366471</v>
      </c>
      <c r="N250" s="290">
        <f>IF(TRUE=ISBLANK(ChemData!R250),"",(ChemData!R250))</f>
        <v>62720053.301366471</v>
      </c>
      <c r="O250" s="290">
        <f>IF(TRUE=ISBLANK(ChemData!S250),"",(ChemData!S250))</f>
        <v>1</v>
      </c>
      <c r="P250" s="291">
        <f>IF(TRUE=ISBLANK(ChemData!T250),"",(ChemData!T250))</f>
        <v>1</v>
      </c>
      <c r="Q250" s="375">
        <f>IF(Start!$C$18="x",IF(OR(K250="NA",K250="",K250="--"),"NA",(K250*1000000/82.1/Data!$D$50)),"---")</f>
        <v>5.618639739106519E-4</v>
      </c>
      <c r="R250" s="376">
        <f>IF(Start!$C$18="x",IF(OR(J250="NA",J250=0,J250=""),"NA",(0.32*(Data!$D$48+Data!$D$49)*(18/J250)^0.5)),"---")</f>
        <v>0.18057751538005071</v>
      </c>
      <c r="S250" s="376">
        <f>IF(Start!$C$18="x",IF(OR(J250="NA",J250= 0,J250=""),"NA",(0.0065*((Data!$D$49^0.969)/(Data!$D$51^0.673))*(32/J250)^0.5*EXP(0.526*Data!$D$48^-1.9))),"---")</f>
        <v>3.8060793009916211E-4</v>
      </c>
      <c r="T250" s="377">
        <f>IF(Start!$C$18="x",IF(OR(S250="NA",R250="NA",R250=0,Q250="NA",S250=0,Q250=0),"NA",(1/(1/S250+(1/(R250*Q250))))),"---")</f>
        <v>8.0105890257453199E-5</v>
      </c>
      <c r="U250" s="375" t="str">
        <f>IF(Start!$C$18="x",IF(OR(F250="NA",F250="",O250="",O250="NA"),"NA",(F250*$O250)),"---")</f>
        <v>NA</v>
      </c>
      <c r="V250" s="376" t="str">
        <f>IF(Start!$C$18="x",IF(OR(U250="NA",M250="NA",M250="",U250=""),"NA",U250/((Data!$D$18+((1-Data!$D$18)*Data!$D$14*M250))/((1-Data!$D$18)*Data!$D$14*1000))),"---")</f>
        <v>NA</v>
      </c>
      <c r="W250" s="376" t="str">
        <f>IF(Start!$C$18="x",IF(OR(G250="NA",U250="NA",G250="",U250=""),"NA",(U250 +($G250*(Data!$D$19-Data!$D$22)/(Data!$D$19*Data!$D$22)))),"---")</f>
        <v>NA</v>
      </c>
      <c r="X250" s="376" t="str">
        <f>IF(Start!$C$18="x",IF(OR(G250="NA",V250="NA",G250="",V250=""),"NA",(((Data!$D$22*Data!$D$18)*V250)+(Data!$D$19-Data!$D$22)*$G250)/((Data!$D$22*Data!$D$18)+Data!$D$19-Data!$D$22)),"---")</f>
        <v>NA</v>
      </c>
      <c r="Y250" s="376" t="str">
        <f>IF(Start!$C$18="x",IF(OR(W250="NA",W250="",M250="NA",M250=""),"NA",(W250/((Data!$D$23+((1-Data!$D$23)*Data!$D$14*M250)) /((1-Data!$D$23)*Data!$D$14*1000)))),"---")</f>
        <v>NA</v>
      </c>
      <c r="Z250" s="376" t="str">
        <f>IF(Start!$C$18="x",IF(OR(Y250="NA",X250="NA"),"NA",IF(Y250&gt;X250, Y250, X250)),"---")</f>
        <v>NA</v>
      </c>
      <c r="AA250" s="461" t="str">
        <f>IF(Start!$C$18="x",IF(OR(Z250="NA",T250="NA"),"NA",Z250*T250/(1000000000)),"---")</f>
        <v>NA</v>
      </c>
      <c r="AB250" s="1057" t="str">
        <f>IF(Start!$C$18="x",IF(AA250 = "NA", "NA", AA250*(Data!$D$52*Data!$D$53*10000)),"---")</f>
        <v>NA</v>
      </c>
      <c r="AC250" s="375" t="str">
        <f>IF(Start!$C$18="x",IF(AB250="NA", "NA", AB250*Data!$D$54),"---")</f>
        <v>NA</v>
      </c>
      <c r="AD250" s="498" t="str">
        <f>IF(Start!$C$18="x",IF(AC250="NA","NA",AC250*Data!$D$41),"---")</f>
        <v>NA</v>
      </c>
      <c r="AE250" s="376" t="str">
        <f>IF(Start!$C$18="x",IF(AB250 = "NA", "NA", AB250/(Data!$D$53*3*Data!$D$48)*1000),"---")</f>
        <v>NA</v>
      </c>
      <c r="AF250" s="498" t="str">
        <f>IF(Start!$C$18="x",IF(AE250="NA","NA",AE250*Data!$D$46),"---")</f>
        <v>NA</v>
      </c>
      <c r="AG250" s="375">
        <f>IF(Start!$C$18="x",IF(OR($L250="NA",L250=""),"NA",($L250*(Data!$D$55^3.33)/(Data!$D$18^2))),"---")</f>
        <v>1.52154898343802E-3</v>
      </c>
      <c r="AH250" s="376" t="str">
        <f>IF(Start!$C$18="x",IF(OR(F250="NA",F250="",P250="NA",P250=""),"NA",IF(100/Data!$D$10&gt;Data!$D$13,(F250*$P250),(F250*$P250)*Data!$D$13)),"---")</f>
        <v>NA</v>
      </c>
      <c r="AI250" s="489">
        <f>IF(Start!$C$18="x",IF(OR($N250="NA",$Q250="NA",$Q250=0,Q250="",N250=""),"NA",(1000*$N250/$Q250)),"---")</f>
        <v>111628536823292.16</v>
      </c>
      <c r="AJ250" s="376">
        <f>IF(Start!$C$18="x",IF(OR(Q250 = "NA",Q250=0,N250 = "NA",N250="",Q250=""), "NA", IF($AG250="NA","NA",(3.1416*Data!$D$57*86400/($AG250*(Data!$D$55+(N250*Data!$D$19/(Q250*1000)))))^0.5)),"---")</f>
        <v>0.23758374158901774</v>
      </c>
      <c r="AK250" s="376" t="str">
        <f>IF(Start!$C$18="x",IF(OR(AH250 = "NA",AI250="NA",AI250=0,AI250="",AH250=""), "NA", AH250/AI250),"---")</f>
        <v>NA</v>
      </c>
      <c r="AL250" s="376" t="str">
        <f>IF(Start!$C$18="x",IF(OR(AK250 ="NA",AK250="",AJ250= "NA",R250="NA",R250=0),"NA",(2*AK250)/(1000*(1/$R250+AJ250))),"---")</f>
        <v>NA</v>
      </c>
      <c r="AM250" s="376" t="str">
        <f>IF(Start!$C$18="x",IF(AL250 = "NA", "NA", AL250*(Data!$D$52*Data!$D$53*10000)),"---")</f>
        <v>NA</v>
      </c>
      <c r="AN250" s="376" t="str">
        <f>IF(Start!$C$18="x",IF(AM250 = "NA", "NA", AM250*(Data!$D$54)),"---")</f>
        <v>NA</v>
      </c>
      <c r="AO250" s="498" t="str">
        <f>IF(Start!$C$18="x",IF(AN250="NA","NA",AN250*Data!$D$41),"---")</f>
        <v>NA</v>
      </c>
      <c r="AP250" s="376">
        <f>IF(Start!$C$18="x",IF(OR(Q250=0,N250="NA",N250="",AG250="NA",AG250="",AG250=0,Q250="",Q250="NA"),"NA", (3.1416*Data!$D$56*86400/($AG250*(Data!$D$55+(N250*Data!$D$19/(Q250*1000)))))^0.5),"---")</f>
        <v>0.23758374158901774</v>
      </c>
      <c r="AQ250" s="376" t="str">
        <f>IF(Start!$C$18="x",IF(OR(AH250="NA",AI250="NA",AI250="",AI250=0,AH250=""),"NA", AH250/AI250),"---")</f>
        <v>NA</v>
      </c>
      <c r="AR250" s="376" t="str">
        <f>IF(Start!$C$18="x",IF(OR(AQ250="NA",AP250="NA",$R250="NA",R250=0,R250=""),"NA",(2*AQ250)/(1000*(1/$R250+AP250))),"---")</f>
        <v>NA</v>
      </c>
      <c r="AS250" s="376" t="str">
        <f>IF(Start!$C$18="x",IF(AR250 = "NA", "NA", AR250*(Data!$D$52*Data!$D$53*10000)),"---")</f>
        <v>NA</v>
      </c>
      <c r="AT250" s="376" t="str">
        <f>IF(Start!$C$18="x",IF(AS250 = "NA", "NA", (AS250*1000)/(Data!$D$48*3*Data!$D$53)),"---")</f>
        <v>NA</v>
      </c>
      <c r="AU250" s="498" t="str">
        <f>IF(Start!$C$18="x",IF(AT250="NA","NA",AT250*Data!$D$47),"---")</f>
        <v>NA</v>
      </c>
      <c r="AV250" s="283" t="str">
        <f>IF(Start!$C$18="x",(IF(AND(F250="",G250= "",G250&lt;&gt;"NA"),"",IF(OR(AD250="NA",I250="NA",I250=0),"NA",(AD250/I250)))),"Not Req.")</f>
        <v/>
      </c>
      <c r="AW250" s="284" t="str">
        <f>IF(Start!$C$18="x",(IF(AND(F250="",G250= "",G250&lt;&gt;"NA"),"",IF(OR(AF250="NA",I250="NA",I250=0),"NA",(AF250/I250)))),"Not Req.")</f>
        <v/>
      </c>
      <c r="AX250" s="284" t="str">
        <f>IF(Start!$C$18="x",(IF(F250 ="","",IF(OR(AO250="NA",I250="NA",I250=0),"NA",(AO250/I250)))),"Not Req.")</f>
        <v/>
      </c>
      <c r="AY250" s="344" t="str">
        <f>IF(Start!$C$18="x",(IF(F250 ="","",IF(OR(AU250="NA",I250="NA",I250=0),"NA",(AU250/I250)))),"Not Req.")</f>
        <v/>
      </c>
      <c r="AZ250" s="208"/>
    </row>
    <row r="251" spans="1:52" s="183" customFormat="1" x14ac:dyDescent="0.25">
      <c r="A251" s="405" t="s">
        <v>569</v>
      </c>
      <c r="B251" s="347" t="str">
        <f>IF(Start!$C$18="x",IF(AND(OR(F251="",F251="NA"),OR(G251="",G251="NA")),"",IF(I251="NA","NA",IF(AND(I251="",K251="--"),"NA",IF(AD251="NA","Missing Data",IF(I251="","No Criteria",IF(AD251&gt;=I251,"Needed","No")))))),"---")</f>
        <v/>
      </c>
      <c r="C251" s="501" t="str">
        <f>IF(Start!$C$18="x",IF(AND(OR(F251="",F251="NA"),OR(G251="",G251="NA")),"",IF(I251="NA","NA",IF(AND(I251="",K251="--"),"NA",IF(AF251="NA","Missing Data",IF(I251="","No Criteria",IF(AF251&gt;=I251,"Needed","No")))))),"---")</f>
        <v/>
      </c>
      <c r="D251" s="347" t="str">
        <f>IF(Start!$C$18="x",IF(AND(OR(F251="",F251="NA"),OR(G251="",G251="NA")),"",IF(I251="NA","NA",IF(AND(I251="",K251="--"),"NA",IF(AO251="NA","Missing Data",IF(I251="","No Criteria",IF(AO251&gt;=I251,"Needed","No")))))),"---")</f>
        <v/>
      </c>
      <c r="E251" s="401" t="str">
        <f>IF(Start!$C$18="x",IF(AND(OR(F251="",F251="NA"),OR(G251="",G251="NA")),"",IF(I251="NA","NA",IF(AND(I251="",K251="--"),"NA",IF(AU251="NA","Missing Data",IF(I251="","No Criteria",IF(AU251&gt;=I251,"Needed","No")))))),"---")</f>
        <v/>
      </c>
      <c r="F251" s="431" t="str">
        <f>IF(TRUE=ISBLANK(ChemData!B251),"",(ChemData!B251))</f>
        <v/>
      </c>
      <c r="G251" s="432" t="str">
        <f>IF(TRUE=ISBLANK(ChemData!C251),"",(ChemData!C251))</f>
        <v/>
      </c>
      <c r="H251" s="433" t="str">
        <f>IF(TRUE=ISBLANK(ChemData!D251),"",(ChemData!D251))</f>
        <v/>
      </c>
      <c r="I251" s="919" t="str">
        <f>IF(TRUE=ISBLANK(ChemData!K251),"",(ChemData!K251))</f>
        <v>NA</v>
      </c>
      <c r="J251" s="290">
        <f>IF(TRUE=ISBLANK(ChemData!M251),"",(ChemData!M251))</f>
        <v>391</v>
      </c>
      <c r="K251" s="290">
        <f>IF(TRUE=ISBLANK(ChemData!N251),"",(ChemData!N251))</f>
        <v>2.5599999999999999E-5</v>
      </c>
      <c r="L251" s="290">
        <f>IF(TRUE=ISBLANK(ChemData!O251),"",(ChemData!O251))</f>
        <v>0.14913243504107906</v>
      </c>
      <c r="M251" s="290">
        <f>IF(TRUE=ISBLANK(ChemData!Q251),"",(ChemData!Q251))</f>
        <v>1167902.0446328379</v>
      </c>
      <c r="N251" s="290">
        <f>IF(TRUE=ISBLANK(ChemData!R251),"",(ChemData!R251))</f>
        <v>1167902.0446328379</v>
      </c>
      <c r="O251" s="290">
        <f>IF(TRUE=ISBLANK(ChemData!S251),"",(ChemData!S251))</f>
        <v>1</v>
      </c>
      <c r="P251" s="291">
        <f>IF(TRUE=ISBLANK(ChemData!T251),"",(ChemData!T251))</f>
        <v>1</v>
      </c>
      <c r="Q251" s="375">
        <f>IF(Start!$C$18="x",IF(OR(K251="NA",K251="",K251="--"),"NA",(K251*1000000/82.1/Data!$D$50)),"---")</f>
        <v>1.005854386861027E-3</v>
      </c>
      <c r="R251" s="376">
        <f>IF(Start!$C$18="x",IF(OR(J251="NA",J251=0,J251=""),"NA",(0.32*(Data!$D$48+Data!$D$49)*(18/J251)^0.5)),"---")</f>
        <v>0.17679707905145187</v>
      </c>
      <c r="S251" s="376">
        <f>IF(Start!$C$18="x",IF(OR(J251="NA",J251= 0,J251=""),"NA",(0.0065*((Data!$D$49^0.969)/(Data!$D$51^0.673))*(32/J251)^0.5*EXP(0.526*Data!$D$48^-1.9))),"---")</f>
        <v>3.7263980603415101E-4</v>
      </c>
      <c r="T251" s="377">
        <f>IF(Start!$C$18="x",IF(OR(S251="NA",R251="NA",R251=0,Q251="NA",S251=0,Q251=0),"NA",(1/(1/S251+(1/(R251*Q251))))),"---")</f>
        <v>1.2038275332650899E-4</v>
      </c>
      <c r="U251" s="375" t="str">
        <f>IF(Start!$C$18="x",IF(OR(F251="NA",F251="",O251="",O251="NA"),"NA",(F251*$O251)),"---")</f>
        <v>NA</v>
      </c>
      <c r="V251" s="376" t="str">
        <f>IF(Start!$C$18="x",IF(OR(U251="NA",M251="NA",M251="",U251=""),"NA",U251/((Data!$D$18+((1-Data!$D$18)*Data!$D$14*M251))/((1-Data!$D$18)*Data!$D$14*1000))),"---")</f>
        <v>NA</v>
      </c>
      <c r="W251" s="376" t="str">
        <f>IF(Start!$C$18="x",IF(OR(G251="NA",U251="NA",G251="",U251=""),"NA",(U251 +($G251*(Data!$D$19-Data!$D$22)/(Data!$D$19*Data!$D$22)))),"---")</f>
        <v>NA</v>
      </c>
      <c r="X251" s="376" t="str">
        <f>IF(Start!$C$18="x",IF(OR(G251="NA",V251="NA",G251="",V251=""),"NA",(((Data!$D$22*Data!$D$18)*V251)+(Data!$D$19-Data!$D$22)*$G251)/((Data!$D$22*Data!$D$18)+Data!$D$19-Data!$D$22)),"---")</f>
        <v>NA</v>
      </c>
      <c r="Y251" s="376" t="str">
        <f>IF(Start!$C$18="x",IF(OR(W251="NA",W251="",M251="NA",M251=""),"NA",(W251/((Data!$D$23+((1-Data!$D$23)*Data!$D$14*M251)) /((1-Data!$D$23)*Data!$D$14*1000)))),"---")</f>
        <v>NA</v>
      </c>
      <c r="Z251" s="376" t="str">
        <f>IF(Start!$C$18="x",IF(OR(Y251="NA",X251="NA"),"NA",IF(Y251&gt;X251, Y251, X251)),"---")</f>
        <v>NA</v>
      </c>
      <c r="AA251" s="461" t="str">
        <f>IF(Start!$C$18="x",IF(OR(Z251="NA",T251="NA"),"NA",Z251*T251/(1000000000)),"---")</f>
        <v>NA</v>
      </c>
      <c r="AB251" s="1057" t="str">
        <f>IF(Start!$C$18="x",IF(AA251 = "NA", "NA", AA251*(Data!$D$52*Data!$D$53*10000)),"---")</f>
        <v>NA</v>
      </c>
      <c r="AC251" s="375" t="str">
        <f>IF(Start!$C$18="x",IF(AB251="NA", "NA", AB251*Data!$D$54),"---")</f>
        <v>NA</v>
      </c>
      <c r="AD251" s="498" t="str">
        <f>IF(Start!$C$18="x",IF(AC251="NA","NA",AC251*Data!$D$41),"---")</f>
        <v>NA</v>
      </c>
      <c r="AE251" s="376" t="str">
        <f>IF(Start!$C$18="x",IF(AB251 = "NA", "NA", AB251/(Data!$D$53*3*Data!$D$48)*1000),"---")</f>
        <v>NA</v>
      </c>
      <c r="AF251" s="498" t="str">
        <f>IF(Start!$C$18="x",IF(AE251="NA","NA",AE251*Data!$D$46),"---")</f>
        <v>NA</v>
      </c>
      <c r="AG251" s="375">
        <f>IF(Start!$C$18="x",IF(OR($L251="NA",L251=""),"NA",($L251*(Data!$D$55^3.33)/(Data!$D$18^2))),"---")</f>
        <v>1.5192857374172705E-3</v>
      </c>
      <c r="AH251" s="376" t="str">
        <f>IF(Start!$C$18="x",IF(OR(F251="NA",F251="",P251="NA",P251=""),"NA",IF(100/Data!$D$10&gt;Data!$D$13,(F251*$P251),(F251*$P251)*Data!$D$13)),"---")</f>
        <v>NA</v>
      </c>
      <c r="AI251" s="489">
        <f>IF(Start!$C$18="x",IF(OR($N251="NA",$Q251="NA",$Q251=0,Q251="",N251=""),"NA",(1000*$N251/$Q251)),"---")</f>
        <v>1161104489763.6858</v>
      </c>
      <c r="AJ251" s="376">
        <f>IF(Start!$C$18="x",IF(OR(Q251 = "NA",Q251=0,N251 = "NA",N251="",Q251=""), "NA", IF($AG251="NA","NA",(3.1416*Data!$D$57*86400/($AG251*(Data!$D$55+(N251*Data!$D$19/(Q251*1000)))))^0.5)),"---")</f>
        <v>2.3312664846621862</v>
      </c>
      <c r="AK251" s="376" t="str">
        <f>IF(Start!$C$18="x",IF(OR(AH251 = "NA",AI251="NA",AI251=0,AI251="",AH251=""), "NA", AH251/AI251),"---")</f>
        <v>NA</v>
      </c>
      <c r="AL251" s="376" t="str">
        <f>IF(Start!$C$18="x",IF(OR(AK251 ="NA",AK251="",AJ251= "NA",R251="NA",R251=0),"NA",(2*AK251)/(1000*(1/$R251+AJ251))),"---")</f>
        <v>NA</v>
      </c>
      <c r="AM251" s="376" t="str">
        <f>IF(Start!$C$18="x",IF(AL251 = "NA", "NA", AL251*(Data!$D$52*Data!$D$53*10000)),"---")</f>
        <v>NA</v>
      </c>
      <c r="AN251" s="376" t="str">
        <f>IF(Start!$C$18="x",IF(AM251 = "NA", "NA", AM251*(Data!$D$54)),"---")</f>
        <v>NA</v>
      </c>
      <c r="AO251" s="498" t="str">
        <f>IF(Start!$C$18="x",IF(AN251="NA","NA",AN251*Data!$D$41),"---")</f>
        <v>NA</v>
      </c>
      <c r="AP251" s="376">
        <f>IF(Start!$C$18="x",IF(OR(Q251=0,N251="NA",N251="",AG251="NA",AG251="",AG251=0,Q251="",Q251="NA"),"NA", (3.1416*Data!$D$56*86400/($AG251*(Data!$D$55+(N251*Data!$D$19/(Q251*1000)))))^0.5),"---")</f>
        <v>2.3312664846621862</v>
      </c>
      <c r="AQ251" s="376" t="str">
        <f>IF(Start!$C$18="x",IF(OR(AH251="NA",AI251="NA",AI251="",AI251=0,AH251=""),"NA", AH251/AI251),"---")</f>
        <v>NA</v>
      </c>
      <c r="AR251" s="376" t="str">
        <f>IF(Start!$C$18="x",IF(OR(AQ251="NA",AP251="NA",$R251="NA",R251=0,R251=""),"NA",(2*AQ251)/(1000*(1/$R251+AP251))),"---")</f>
        <v>NA</v>
      </c>
      <c r="AS251" s="376" t="str">
        <f>IF(Start!$C$18="x",IF(AR251 = "NA", "NA", AR251*(Data!$D$52*Data!$D$53*10000)),"---")</f>
        <v>NA</v>
      </c>
      <c r="AT251" s="376" t="str">
        <f>IF(Start!$C$18="x",IF(AS251 = "NA", "NA", (AS251*1000)/(Data!$D$48*3*Data!$D$53)),"---")</f>
        <v>NA</v>
      </c>
      <c r="AU251" s="498" t="str">
        <f>IF(Start!$C$18="x",IF(AT251="NA","NA",AT251*Data!$D$47),"---")</f>
        <v>NA</v>
      </c>
      <c r="AV251" s="283" t="str">
        <f>IF(Start!$C$18="x",(IF(AND(F251="",G251= "",G251&lt;&gt;"NA"),"",IF(OR(AD251="NA",I251="NA",I251=0),"NA",(AD251/I251)))),"Not Req.")</f>
        <v/>
      </c>
      <c r="AW251" s="284" t="str">
        <f>IF(Start!$C$18="x",(IF(AND(F251="",G251= "",G251&lt;&gt;"NA"),"",IF(OR(AF251="NA",I251="NA",I251=0),"NA",(AF251/I251)))),"Not Req.")</f>
        <v/>
      </c>
      <c r="AX251" s="284" t="str">
        <f>IF(Start!$C$18="x",(IF(F251 ="","",IF(OR(AO251="NA",I251="NA",I251=0),"NA",(AO251/I251)))),"Not Req.")</f>
        <v/>
      </c>
      <c r="AY251" s="344" t="str">
        <f>IF(Start!$C$18="x",(IF(F251 ="","",IF(OR(AU251="NA",I251="NA",I251=0),"NA",(AU251/I251)))),"Not Req.")</f>
        <v/>
      </c>
      <c r="AZ251" s="208"/>
    </row>
    <row r="252" spans="1:52" s="183" customFormat="1" x14ac:dyDescent="0.25">
      <c r="A252" s="405" t="s">
        <v>570</v>
      </c>
      <c r="B252" s="347" t="str">
        <f>IF(Start!$C$18="x",IF(AND(OR(F252="",F252="NA"),OR(G252="",G252="NA")),"",IF(I252="NA","NA",IF(AND(I252="",K252="--"),"NA",IF(AD252="NA","Missing Data",IF(I252="","No Criteria",IF(AD252&gt;=I252,"Needed","No")))))),"---")</f>
        <v/>
      </c>
      <c r="C252" s="501" t="str">
        <f>IF(Start!$C$18="x",IF(AND(OR(F252="",F252="NA"),OR(G252="",G252="NA")),"",IF(I252="NA","NA",IF(AND(I252="",K252="--"),"NA",IF(AF252="NA","Missing Data",IF(I252="","No Criteria",IF(AF252&gt;=I252,"Needed","No")))))),"---")</f>
        <v/>
      </c>
      <c r="D252" s="347" t="str">
        <f>IF(Start!$C$18="x",IF(AND(OR(F252="",F252="NA"),OR(G252="",G252="NA")),"",IF(I252="NA","NA",IF(AND(I252="",K252="--"),"NA",IF(AO252="NA","Missing Data",IF(I252="","No Criteria",IF(AO252&gt;=I252,"Needed","No")))))),"---")</f>
        <v/>
      </c>
      <c r="E252" s="401" t="str">
        <f>IF(Start!$C$18="x",IF(AND(OR(F252="",F252="NA"),OR(G252="",G252="NA")),"",IF(I252="NA","NA",IF(AND(I252="",K252="--"),"NA",IF(AU252="NA","Missing Data",IF(I252="","No Criteria",IF(AU252&gt;=I252,"Needed","No")))))),"---")</f>
        <v/>
      </c>
      <c r="F252" s="431" t="str">
        <f>IF(TRUE=ISBLANK(ChemData!B252),"",(ChemData!B252))</f>
        <v/>
      </c>
      <c r="G252" s="432" t="str">
        <f>IF(TRUE=ISBLANK(ChemData!C252),"",(ChemData!C252))</f>
        <v/>
      </c>
      <c r="H252" s="433" t="str">
        <f>IF(TRUE=ISBLANK(ChemData!D252),"",(ChemData!D252))</f>
        <v/>
      </c>
      <c r="I252" s="919" t="str">
        <f>IF(TRUE=ISBLANK(ChemData!K252),"",(ChemData!K252))</f>
        <v>NA</v>
      </c>
      <c r="J252" s="290">
        <f>IF(TRUE=ISBLANK(ChemData!M252),"",(ChemData!M252))</f>
        <v>374.87</v>
      </c>
      <c r="K252" s="290">
        <f>IF(TRUE=ISBLANK(ChemData!N252),"",(ChemData!N252))</f>
        <v>7.3000000000000004E-6</v>
      </c>
      <c r="L252" s="290">
        <f>IF(TRUE=ISBLANK(ChemData!O252),"",(ChemData!O252))</f>
        <v>0.14935359378684879</v>
      </c>
      <c r="M252" s="290">
        <f>IF(TRUE=ISBLANK(ChemData!Q252),"",(ChemData!Q252))</f>
        <v>1539594.740311048</v>
      </c>
      <c r="N252" s="290">
        <f>IF(TRUE=ISBLANK(ChemData!R252),"",(ChemData!R252))</f>
        <v>1539594.740311048</v>
      </c>
      <c r="O252" s="290">
        <f>IF(TRUE=ISBLANK(ChemData!S252),"",(ChemData!S252))</f>
        <v>1</v>
      </c>
      <c r="P252" s="291">
        <f>IF(TRUE=ISBLANK(ChemData!T252),"",(ChemData!T252))</f>
        <v>1</v>
      </c>
      <c r="Q252" s="375">
        <f>IF(Start!$C$18="x",IF(OR(K252="NA",K252="",K252="--"),"NA",(K252*1000000/82.1/Data!$D$50)),"---")</f>
        <v>2.8682566500333982E-4</v>
      </c>
      <c r="R252" s="376">
        <f>IF(Start!$C$18="x",IF(OR(J252="NA",J252=0,J252=""),"NA",(0.32*(Data!$D$48+Data!$D$49)*(18/J252)^0.5)),"---")</f>
        <v>0.18056065484676875</v>
      </c>
      <c r="S252" s="376">
        <f>IF(Start!$C$18="x",IF(OR(J252="NA",J252= 0,J252=""),"NA",(0.0065*((Data!$D$49^0.969)/(Data!$D$51^0.673))*(32/J252)^0.5*EXP(0.526*Data!$D$48^-1.9))),"---")</f>
        <v>3.8057239271423724E-4</v>
      </c>
      <c r="T252" s="377">
        <f>IF(Start!$C$18="x",IF(OR(S252="NA",R252="NA",R252=0,Q252="NA",S252=0,Q252=0),"NA",(1/(1/S252+(1/(R252*Q252))))),"---")</f>
        <v>4.5585956537815594E-5</v>
      </c>
      <c r="U252" s="375" t="str">
        <f>IF(Start!$C$18="x",IF(OR(F252="NA",F252="",O252="",O252="NA"),"NA",(F252*$O252)),"---")</f>
        <v>NA</v>
      </c>
      <c r="V252" s="376" t="str">
        <f>IF(Start!$C$18="x",IF(OR(U252="NA",M252="NA",M252="",U252=""),"NA",U252/((Data!$D$18+((1-Data!$D$18)*Data!$D$14*M252))/((1-Data!$D$18)*Data!$D$14*1000))),"---")</f>
        <v>NA</v>
      </c>
      <c r="W252" s="376" t="str">
        <f>IF(Start!$C$18="x",IF(OR(G252="NA",U252="NA",G252="",U252=""),"NA",(U252 +($G252*(Data!$D$19-Data!$D$22)/(Data!$D$19*Data!$D$22)))),"---")</f>
        <v>NA</v>
      </c>
      <c r="X252" s="376" t="str">
        <f>IF(Start!$C$18="x",IF(OR(G252="NA",V252="NA",G252="",V252=""),"NA",(((Data!$D$22*Data!$D$18)*V252)+(Data!$D$19-Data!$D$22)*$G252)/((Data!$D$22*Data!$D$18)+Data!$D$19-Data!$D$22)),"---")</f>
        <v>NA</v>
      </c>
      <c r="Y252" s="376" t="str">
        <f>IF(Start!$C$18="x",IF(OR(W252="NA",W252="",M252="NA",M252=""),"NA",(W252/((Data!$D$23+((1-Data!$D$23)*Data!$D$14*M252)) /((1-Data!$D$23)*Data!$D$14*1000)))),"---")</f>
        <v>NA</v>
      </c>
      <c r="Z252" s="376" t="str">
        <f>IF(Start!$C$18="x",IF(OR(Y252="NA",X252="NA"),"NA",IF(Y252&gt;X252, Y252, X252)),"---")</f>
        <v>NA</v>
      </c>
      <c r="AA252" s="461" t="str">
        <f>IF(Start!$C$18="x",IF(OR(Z252="NA",T252="NA"),"NA",Z252*T252/(1000000000)),"---")</f>
        <v>NA</v>
      </c>
      <c r="AB252" s="1057" t="str">
        <f>IF(Start!$C$18="x",IF(AA252 = "NA", "NA", AA252*(Data!$D$52*Data!$D$53*10000)),"---")</f>
        <v>NA</v>
      </c>
      <c r="AC252" s="375" t="str">
        <f>IF(Start!$C$18="x",IF(AB252="NA", "NA", AB252*Data!$D$54),"---")</f>
        <v>NA</v>
      </c>
      <c r="AD252" s="498" t="str">
        <f>IF(Start!$C$18="x",IF(AC252="NA","NA",AC252*Data!$D$41),"---")</f>
        <v>NA</v>
      </c>
      <c r="AE252" s="376" t="str">
        <f>IF(Start!$C$18="x",IF(AB252 = "NA", "NA", AB252/(Data!$D$53*3*Data!$D$48)*1000),"---")</f>
        <v>NA</v>
      </c>
      <c r="AF252" s="498" t="str">
        <f>IF(Start!$C$18="x",IF(AE252="NA","NA",AE252*Data!$D$46),"---")</f>
        <v>NA</v>
      </c>
      <c r="AG252" s="375">
        <f>IF(Start!$C$18="x",IF(OR($L252="NA",L252=""),"NA",($L252*(Data!$D$55^3.33)/(Data!$D$18^2))),"---")</f>
        <v>1.5215387907390411E-3</v>
      </c>
      <c r="AH252" s="376" t="str">
        <f>IF(Start!$C$18="x",IF(OR(F252="NA",F252="",P252="NA",P252=""),"NA",IF(100/Data!$D$10&gt;Data!$D$13,(F252*$P252),(F252*$P252)*Data!$D$13)),"---")</f>
        <v>NA</v>
      </c>
      <c r="AI252" s="489">
        <f>IF(Start!$C$18="x",IF(OR($N252="NA",$Q252="NA",$Q252=0,Q252="",N252=""),"NA",(1000*$N252/$Q252)),"---")</f>
        <v>5367702155569.3799</v>
      </c>
      <c r="AJ252" s="376">
        <f>IF(Start!$C$18="x",IF(OR(Q252 = "NA",Q252=0,N252 = "NA",N252="",Q252=""), "NA", IF($AG252="NA","NA",(3.1416*Data!$D$57*86400/($AG252*(Data!$D$55+(N252*Data!$D$19/(Q252*1000)))))^0.5)),"---")</f>
        <v>1.0834567597410176</v>
      </c>
      <c r="AK252" s="376" t="str">
        <f>IF(Start!$C$18="x",IF(OR(AH252 = "NA",AI252="NA",AI252=0,AI252="",AH252=""), "NA", AH252/AI252),"---")</f>
        <v>NA</v>
      </c>
      <c r="AL252" s="376" t="str">
        <f>IF(Start!$C$18="x",IF(OR(AK252 ="NA",AK252="",AJ252= "NA",R252="NA",R252=0),"NA",(2*AK252)/(1000*(1/$R252+AJ252))),"---")</f>
        <v>NA</v>
      </c>
      <c r="AM252" s="376" t="str">
        <f>IF(Start!$C$18="x",IF(AL252 = "NA", "NA", AL252*(Data!$D$52*Data!$D$53*10000)),"---")</f>
        <v>NA</v>
      </c>
      <c r="AN252" s="376" t="str">
        <f>IF(Start!$C$18="x",IF(AM252 = "NA", "NA", AM252*(Data!$D$54)),"---")</f>
        <v>NA</v>
      </c>
      <c r="AO252" s="498" t="str">
        <f>IF(Start!$C$18="x",IF(AN252="NA","NA",AN252*Data!$D$41),"---")</f>
        <v>NA</v>
      </c>
      <c r="AP252" s="376">
        <f>IF(Start!$C$18="x",IF(OR(Q252=0,N252="NA",N252="",AG252="NA",AG252="",AG252=0,Q252="",Q252="NA"),"NA", (3.1416*Data!$D$56*86400/($AG252*(Data!$D$55+(N252*Data!$D$19/(Q252*1000)))))^0.5),"---")</f>
        <v>1.0834567597410176</v>
      </c>
      <c r="AQ252" s="376" t="str">
        <f>IF(Start!$C$18="x",IF(OR(AH252="NA",AI252="NA",AI252="",AI252=0,AH252=""),"NA", AH252/AI252),"---")</f>
        <v>NA</v>
      </c>
      <c r="AR252" s="376" t="str">
        <f>IF(Start!$C$18="x",IF(OR(AQ252="NA",AP252="NA",$R252="NA",R252=0,R252=""),"NA",(2*AQ252)/(1000*(1/$R252+AP252))),"---")</f>
        <v>NA</v>
      </c>
      <c r="AS252" s="376" t="str">
        <f>IF(Start!$C$18="x",IF(AR252 = "NA", "NA", AR252*(Data!$D$52*Data!$D$53*10000)),"---")</f>
        <v>NA</v>
      </c>
      <c r="AT252" s="376" t="str">
        <f>IF(Start!$C$18="x",IF(AS252 = "NA", "NA", (AS252*1000)/(Data!$D$48*3*Data!$D$53)),"---")</f>
        <v>NA</v>
      </c>
      <c r="AU252" s="498" t="str">
        <f>IF(Start!$C$18="x",IF(AT252="NA","NA",AT252*Data!$D$47),"---")</f>
        <v>NA</v>
      </c>
      <c r="AV252" s="283" t="str">
        <f>IF(Start!$C$18="x",(IF(AND(F252="",G252= "",G252&lt;&gt;"NA"),"",IF(OR(AD252="NA",I252="NA",I252=0),"NA",(AD252/I252)))),"Not Req.")</f>
        <v/>
      </c>
      <c r="AW252" s="284" t="str">
        <f>IF(Start!$C$18="x",(IF(AND(F252="",G252= "",G252&lt;&gt;"NA"),"",IF(OR(AF252="NA",I252="NA",I252=0),"NA",(AF252/I252)))),"Not Req.")</f>
        <v/>
      </c>
      <c r="AX252" s="284" t="str">
        <f>IF(Start!$C$18="x",(IF(F252 ="","",IF(OR(AO252="NA",I252="NA",I252=0),"NA",(AO252/I252)))),"Not Req.")</f>
        <v/>
      </c>
      <c r="AY252" s="344" t="str">
        <f>IF(Start!$C$18="x",(IF(F252 ="","",IF(OR(AU252="NA",I252="NA",I252=0),"NA",(AU252/I252)))),"Not Req.")</f>
        <v/>
      </c>
      <c r="AZ252" s="208"/>
    </row>
    <row r="253" spans="1:52" s="183" customFormat="1" x14ac:dyDescent="0.25">
      <c r="A253" s="405" t="s">
        <v>571</v>
      </c>
      <c r="B253" s="347" t="str">
        <f>IF(Start!$C$18="x",IF(AND(OR(F253="",F253="NA"),OR(G253="",G253="NA")),"",IF(I253="NA","NA",IF(AND(I253="",K253="--"),"NA",IF(AD253="NA","Missing Data",IF(I253="","No Criteria",IF(AD253&gt;=I253,"Needed","No")))))),"---")</f>
        <v/>
      </c>
      <c r="C253" s="501" t="str">
        <f>IF(Start!$C$18="x",IF(AND(OR(F253="",F253="NA"),OR(G253="",G253="NA")),"",IF(I253="NA","NA",IF(AND(I253="",K253="--"),"NA",IF(AF253="NA","Missing Data",IF(I253="","No Criteria",IF(AF253&gt;=I253,"Needed","No")))))),"---")</f>
        <v/>
      </c>
      <c r="D253" s="347" t="str">
        <f>IF(Start!$C$18="x",IF(AND(OR(F253="",F253="NA"),OR(G253="",G253="NA")),"",IF(I253="NA","NA",IF(AND(I253="",K253="--"),"NA",IF(AO253="NA","Missing Data",IF(I253="","No Criteria",IF(AO253&gt;=I253,"Needed","No")))))),"---")</f>
        <v/>
      </c>
      <c r="E253" s="401" t="str">
        <f>IF(Start!$C$18="x",IF(AND(OR(F253="",F253="NA"),OR(G253="",G253="NA")),"",IF(I253="NA","NA",IF(AND(I253="",K253="--"),"NA",IF(AU253="NA","Missing Data",IF(I253="","No Criteria",IF(AU253&gt;=I253,"Needed","No")))))),"---")</f>
        <v/>
      </c>
      <c r="F253" s="431" t="str">
        <f>IF(TRUE=ISBLANK(ChemData!B253),"",(ChemData!B253))</f>
        <v/>
      </c>
      <c r="G253" s="432" t="str">
        <f>IF(TRUE=ISBLANK(ChemData!C253),"",(ChemData!C253))</f>
        <v/>
      </c>
      <c r="H253" s="433" t="str">
        <f>IF(TRUE=ISBLANK(ChemData!D253),"",(ChemData!D253))</f>
        <v/>
      </c>
      <c r="I253" s="919" t="str">
        <f>IF(TRUE=ISBLANK(ChemData!K253),"",(ChemData!K253))</f>
        <v>NA</v>
      </c>
      <c r="J253" s="290" t="str">
        <f>IF(TRUE=ISBLANK(ChemData!M253),"",(ChemData!M253))</f>
        <v>NA</v>
      </c>
      <c r="K253" s="290" t="str">
        <f>IF(TRUE=ISBLANK(ChemData!N253),"",(ChemData!N253))</f>
        <v>NA</v>
      </c>
      <c r="L253" s="290" t="str">
        <f>IF(TRUE=ISBLANK(ChemData!O253),"",(ChemData!O253))</f>
        <v>NA</v>
      </c>
      <c r="M253" s="290" t="str">
        <f>IF(TRUE=ISBLANK(ChemData!Q253),"",(ChemData!Q253))</f>
        <v>NA</v>
      </c>
      <c r="N253" s="290" t="str">
        <f>IF(TRUE=ISBLANK(ChemData!R253),"",(ChemData!R253))</f>
        <v>NA</v>
      </c>
      <c r="O253" s="290">
        <f>IF(TRUE=ISBLANK(ChemData!S253),"",(ChemData!S253))</f>
        <v>1</v>
      </c>
      <c r="P253" s="291">
        <f>IF(TRUE=ISBLANK(ChemData!T253),"",(ChemData!T253))</f>
        <v>1</v>
      </c>
      <c r="Q253" s="375" t="str">
        <f>IF(Start!$C$18="x",IF(OR(K253="NA",K253="",K253="--"),"NA",(K253*1000000/82.1/Data!$D$50)),"---")</f>
        <v>NA</v>
      </c>
      <c r="R253" s="376" t="str">
        <f>IF(Start!$C$18="x",IF(OR(J253="NA",J253=0,J253=""),"NA",(0.32*(Data!$D$48+Data!$D$49)*(18/J253)^0.5)),"---")</f>
        <v>NA</v>
      </c>
      <c r="S253" s="376" t="str">
        <f>IF(Start!$C$18="x",IF(OR(J253="NA",J253= 0,J253=""),"NA",(0.0065*((Data!$D$49^0.969)/(Data!$D$51^0.673))*(32/J253)^0.5*EXP(0.526*Data!$D$48^-1.9))),"---")</f>
        <v>NA</v>
      </c>
      <c r="T253" s="377" t="str">
        <f>IF(Start!$C$18="x",IF(OR(S253="NA",R253="NA",R253=0,Q253="NA",S253=0,Q253=0),"NA",(1/(1/S253+(1/(R253*Q253))))),"---")</f>
        <v>NA</v>
      </c>
      <c r="U253" s="375" t="str">
        <f>IF(Start!$C$18="x",IF(OR(F253="NA",F253="",O253="",O253="NA"),"NA",(F253*$O253)),"---")</f>
        <v>NA</v>
      </c>
      <c r="V253" s="376" t="str">
        <f>IF(Start!$C$18="x",IF(OR(U253="NA",M253="NA",M253="",U253=""),"NA",U253/((Data!$D$18+((1-Data!$D$18)*Data!$D$14*M253))/((1-Data!$D$18)*Data!$D$14*1000))),"---")</f>
        <v>NA</v>
      </c>
      <c r="W253" s="376" t="str">
        <f>IF(Start!$C$18="x",IF(OR(G253="NA",U253="NA",G253="",U253=""),"NA",(U253 +($G253*(Data!$D$19-Data!$D$22)/(Data!$D$19*Data!$D$22)))),"---")</f>
        <v>NA</v>
      </c>
      <c r="X253" s="376" t="str">
        <f>IF(Start!$C$18="x",IF(OR(G253="NA",V253="NA",G253="",V253=""),"NA",(((Data!$D$22*Data!$D$18)*V253)+(Data!$D$19-Data!$D$22)*$G253)/((Data!$D$22*Data!$D$18)+Data!$D$19-Data!$D$22)),"---")</f>
        <v>NA</v>
      </c>
      <c r="Y253" s="376" t="str">
        <f>IF(Start!$C$18="x",IF(OR(W253="NA",W253="",M253="NA",M253=""),"NA",(W253/((Data!$D$23+((1-Data!$D$23)*Data!$D$14*M253)) /((1-Data!$D$23)*Data!$D$14*1000)))),"---")</f>
        <v>NA</v>
      </c>
      <c r="Z253" s="376" t="str">
        <f>IF(Start!$C$18="x",IF(OR(Y253="NA",X253="NA"),"NA",IF(Y253&gt;X253, Y253, X253)),"---")</f>
        <v>NA</v>
      </c>
      <c r="AA253" s="461" t="str">
        <f>IF(Start!$C$18="x",IF(OR(Z253="NA",T253="NA"),"NA",Z253*T253/(1000000000)),"---")</f>
        <v>NA</v>
      </c>
      <c r="AB253" s="1057" t="str">
        <f>IF(Start!$C$18="x",IF(AA253 = "NA", "NA", AA253*(Data!$D$52*Data!$D$53*10000)),"---")</f>
        <v>NA</v>
      </c>
      <c r="AC253" s="375" t="str">
        <f>IF(Start!$C$18="x",IF(AB253="NA", "NA", AB253*Data!$D$54),"---")</f>
        <v>NA</v>
      </c>
      <c r="AD253" s="498" t="str">
        <f>IF(Start!$C$18="x",IF(AC253="NA","NA",AC253*Data!$D$41),"---")</f>
        <v>NA</v>
      </c>
      <c r="AE253" s="376" t="str">
        <f>IF(Start!$C$18="x",IF(AB253 = "NA", "NA", AB253/(Data!$D$53*3*Data!$D$48)*1000),"---")</f>
        <v>NA</v>
      </c>
      <c r="AF253" s="498" t="str">
        <f>IF(Start!$C$18="x",IF(AE253="NA","NA",AE253*Data!$D$46),"---")</f>
        <v>NA</v>
      </c>
      <c r="AG253" s="375" t="str">
        <f>IF(Start!$C$18="x",IF(OR($L253="NA",L253=""),"NA",($L253*(Data!$D$55^3.33)/(Data!$D$18^2))),"---")</f>
        <v>NA</v>
      </c>
      <c r="AH253" s="376" t="str">
        <f>IF(Start!$C$18="x",IF(OR(F253="NA",F253="",P253="NA",P253=""),"NA",IF(100/Data!$D$10&gt;Data!$D$13,(F253*$P253),(F253*$P253)*Data!$D$13)),"---")</f>
        <v>NA</v>
      </c>
      <c r="AI253" s="489" t="str">
        <f>IF(Start!$C$18="x",IF(OR($N253="NA",$Q253="NA",$Q253=0,Q253="",N253=""),"NA",(1000*$N253/$Q253)),"---")</f>
        <v>NA</v>
      </c>
      <c r="AJ253" s="376" t="str">
        <f>IF(Start!$C$18="x",IF(OR(Q253 = "NA",Q253=0,N253 = "NA",N253="",Q253=""), "NA", IF($AG253="NA","NA",(3.1416*Data!$D$57*86400/($AG253*(Data!$D$55+(N253*Data!$D$19/(Q253*1000)))))^0.5)),"---")</f>
        <v>NA</v>
      </c>
      <c r="AK253" s="376" t="str">
        <f>IF(Start!$C$18="x",IF(OR(AH253 = "NA",AI253="NA",AI253=0,AI253="",AH253=""), "NA", AH253/AI253),"---")</f>
        <v>NA</v>
      </c>
      <c r="AL253" s="376" t="str">
        <f>IF(Start!$C$18="x",IF(OR(AK253 ="NA",AK253="",AJ253= "NA",R253="NA",R253=0),"NA",(2*AK253)/(1000*(1/$R253+AJ253))),"---")</f>
        <v>NA</v>
      </c>
      <c r="AM253" s="376" t="str">
        <f>IF(Start!$C$18="x",IF(AL253 = "NA", "NA", AL253*(Data!$D$52*Data!$D$53*10000)),"---")</f>
        <v>NA</v>
      </c>
      <c r="AN253" s="376" t="str">
        <f>IF(Start!$C$18="x",IF(AM253 = "NA", "NA", AM253*(Data!$D$54)),"---")</f>
        <v>NA</v>
      </c>
      <c r="AO253" s="498" t="str">
        <f>IF(Start!$C$18="x",IF(AN253="NA","NA",AN253*Data!$D$41),"---")</f>
        <v>NA</v>
      </c>
      <c r="AP253" s="376" t="str">
        <f>IF(Start!$C$18="x",IF(OR(Q253=0,N253="NA",N253="",AG253="NA",AG253="",AG253=0,Q253="",Q253="NA"),"NA", (3.1416*Data!$D$56*86400/($AG253*(Data!$D$55+(N253*Data!$D$19/(Q253*1000)))))^0.5),"---")</f>
        <v>NA</v>
      </c>
      <c r="AQ253" s="376" t="str">
        <f>IF(Start!$C$18="x",IF(OR(AH253="NA",AI253="NA",AI253="",AI253=0,AH253=""),"NA", AH253/AI253),"---")</f>
        <v>NA</v>
      </c>
      <c r="AR253" s="376" t="str">
        <f>IF(Start!$C$18="x",IF(OR(AQ253="NA",AP253="NA",$R253="NA",R253=0,R253=""),"NA",(2*AQ253)/(1000*(1/$R253+AP253))),"---")</f>
        <v>NA</v>
      </c>
      <c r="AS253" s="376" t="str">
        <f>IF(Start!$C$18="x",IF(AR253 = "NA", "NA", AR253*(Data!$D$52*Data!$D$53*10000)),"---")</f>
        <v>NA</v>
      </c>
      <c r="AT253" s="376" t="str">
        <f>IF(Start!$C$18="x",IF(AS253 = "NA", "NA", (AS253*1000)/(Data!$D$48*3*Data!$D$53)),"---")</f>
        <v>NA</v>
      </c>
      <c r="AU253" s="498" t="str">
        <f>IF(Start!$C$18="x",IF(AT253="NA","NA",AT253*Data!$D$47),"---")</f>
        <v>NA</v>
      </c>
      <c r="AV253" s="283" t="str">
        <f>IF(Start!$C$18="x",(IF(AND(F253="",G253= "",G253&lt;&gt;"NA"),"",IF(OR(AD253="NA",I253="NA",I253=0),"NA",(AD253/I253)))),"Not Req.")</f>
        <v/>
      </c>
      <c r="AW253" s="284" t="str">
        <f>IF(Start!$C$18="x",(IF(AND(F253="",G253= "",G253&lt;&gt;"NA"),"",IF(OR(AF253="NA",I253="NA",I253=0),"NA",(AF253/I253)))),"Not Req.")</f>
        <v/>
      </c>
      <c r="AX253" s="284" t="str">
        <f>IF(Start!$C$18="x",(IF(F253 ="","",IF(OR(AO253="NA",I253="NA",I253=0),"NA",(AO253/I253)))),"Not Req.")</f>
        <v/>
      </c>
      <c r="AY253" s="344" t="str">
        <f>IF(Start!$C$18="x",(IF(F253 ="","",IF(OR(AU253="NA",I253="NA",I253=0),"NA",(AU253/I253)))),"Not Req.")</f>
        <v/>
      </c>
      <c r="AZ253" s="208"/>
    </row>
    <row r="254" spans="1:52" s="183" customFormat="1" x14ac:dyDescent="0.25">
      <c r="A254" s="405" t="s">
        <v>572</v>
      </c>
      <c r="B254" s="347" t="str">
        <f>IF(Start!$C$18="x",IF(AND(OR(F254="",F254="NA"),OR(G254="",G254="NA")),"",IF(I254="NA","NA",IF(AND(I254="",K254="--"),"NA",IF(AD254="NA","Missing Data",IF(I254="","No Criteria",IF(AD254&gt;=I254,"Needed","No")))))),"---")</f>
        <v/>
      </c>
      <c r="C254" s="501" t="str">
        <f>IF(Start!$C$18="x",IF(AND(OR(F254="",F254="NA"),OR(G254="",G254="NA")),"",IF(I254="NA","NA",IF(AND(I254="",K254="--"),"NA",IF(AF254="NA","Missing Data",IF(I254="","No Criteria",IF(AF254&gt;=I254,"Needed","No")))))),"---")</f>
        <v/>
      </c>
      <c r="D254" s="347" t="str">
        <f>IF(Start!$C$18="x",IF(AND(OR(F254="",F254="NA"),OR(G254="",G254="NA")),"",IF(I254="NA","NA",IF(AND(I254="",K254="--"),"NA",IF(AO254="NA","Missing Data",IF(I254="","No Criteria",IF(AO254&gt;=I254,"Needed","No")))))),"---")</f>
        <v/>
      </c>
      <c r="E254" s="401" t="str">
        <f>IF(Start!$C$18="x",IF(AND(OR(F254="",F254="NA"),OR(G254="",G254="NA")),"",IF(I254="NA","NA",IF(AND(I254="",K254="--"),"NA",IF(AU254="NA","Missing Data",IF(I254="","No Criteria",IF(AU254&gt;=I254,"Needed","No")))))),"---")</f>
        <v/>
      </c>
      <c r="F254" s="431" t="str">
        <f>IF(TRUE=ISBLANK(ChemData!B254),"",(ChemData!B254))</f>
        <v/>
      </c>
      <c r="G254" s="432" t="str">
        <f>IF(TRUE=ISBLANK(ChemData!C254),"",(ChemData!C254))</f>
        <v/>
      </c>
      <c r="H254" s="433" t="str">
        <f>IF(TRUE=ISBLANK(ChemData!D254),"",(ChemData!D254))</f>
        <v/>
      </c>
      <c r="I254" s="919" t="str">
        <f>IF(TRUE=ISBLANK(ChemData!K254),"",(ChemData!K254))</f>
        <v>NA</v>
      </c>
      <c r="J254" s="290">
        <f>IF(TRUE=ISBLANK(ChemData!M254),"",(ChemData!M254))</f>
        <v>375</v>
      </c>
      <c r="K254" s="290" t="str">
        <f>IF(TRUE=ISBLANK(ChemData!N254),"",(ChemData!N254))</f>
        <v>NA</v>
      </c>
      <c r="L254" s="290" t="str">
        <f>IF(TRUE=ISBLANK(ChemData!O254),"",(ChemData!O254))</f>
        <v>NA</v>
      </c>
      <c r="M254" s="290">
        <f>IF(TRUE=ISBLANK(ChemData!Q254),"",(ChemData!Q254))</f>
        <v>703730.57258936029</v>
      </c>
      <c r="N254" s="290">
        <f>IF(TRUE=ISBLANK(ChemData!R254),"",(ChemData!R254))</f>
        <v>703730.57258936029</v>
      </c>
      <c r="O254" s="290">
        <f>IF(TRUE=ISBLANK(ChemData!S254),"",(ChemData!S254))</f>
        <v>1</v>
      </c>
      <c r="P254" s="291">
        <f>IF(TRUE=ISBLANK(ChemData!T254),"",(ChemData!T254))</f>
        <v>1</v>
      </c>
      <c r="Q254" s="375" t="str">
        <f>IF(Start!$C$18="x",IF(OR(K254="NA",K254="",K254="--"),"NA",(K254*1000000/82.1/Data!$D$50)),"---")</f>
        <v>NA</v>
      </c>
      <c r="R254" s="376">
        <f>IF(Start!$C$18="x",IF(OR(J254="NA",J254=0,J254=""),"NA",(0.32*(Data!$D$48+Data!$D$49)*(18/J254)^0.5)),"---")</f>
        <v>0.18052935495370276</v>
      </c>
      <c r="S254" s="376">
        <f>IF(Start!$C$18="x",IF(OR(J254="NA",J254= 0,J254=""),"NA",(0.0065*((Data!$D$49^0.969)/(Data!$D$51^0.673))*(32/J254)^0.5*EXP(0.526*Data!$D$48^-1.9))),"---")</f>
        <v>3.8050642111479925E-4</v>
      </c>
      <c r="T254" s="377" t="str">
        <f>IF(Start!$C$18="x",IF(OR(S254="NA",R254="NA",R254=0,Q254="NA",S254=0,Q254=0),"NA",(1/(1/S254+(1/(R254*Q254))))),"---")</f>
        <v>NA</v>
      </c>
      <c r="U254" s="375" t="str">
        <f>IF(Start!$C$18="x",IF(OR(F254="NA",F254="",O254="",O254="NA"),"NA",(F254*$O254)),"---")</f>
        <v>NA</v>
      </c>
      <c r="V254" s="376" t="str">
        <f>IF(Start!$C$18="x",IF(OR(U254="NA",M254="NA",M254="",U254=""),"NA",U254/((Data!$D$18+((1-Data!$D$18)*Data!$D$14*M254))/((1-Data!$D$18)*Data!$D$14*1000))),"---")</f>
        <v>NA</v>
      </c>
      <c r="W254" s="376" t="str">
        <f>IF(Start!$C$18="x",IF(OR(G254="NA",U254="NA",G254="",U254=""),"NA",(U254 +($G254*(Data!$D$19-Data!$D$22)/(Data!$D$19*Data!$D$22)))),"---")</f>
        <v>NA</v>
      </c>
      <c r="X254" s="376" t="str">
        <f>IF(Start!$C$18="x",IF(OR(G254="NA",V254="NA",G254="",V254=""),"NA",(((Data!$D$22*Data!$D$18)*V254)+(Data!$D$19-Data!$D$22)*$G254)/((Data!$D$22*Data!$D$18)+Data!$D$19-Data!$D$22)),"---")</f>
        <v>NA</v>
      </c>
      <c r="Y254" s="376" t="str">
        <f>IF(Start!$C$18="x",IF(OR(W254="NA",W254="",M254="NA",M254=""),"NA",(W254/((Data!$D$23+((1-Data!$D$23)*Data!$D$14*M254)) /((1-Data!$D$23)*Data!$D$14*1000)))),"---")</f>
        <v>NA</v>
      </c>
      <c r="Z254" s="376" t="str">
        <f>IF(Start!$C$18="x",IF(OR(Y254="NA",X254="NA"),"NA",IF(Y254&gt;X254, Y254, X254)),"---")</f>
        <v>NA</v>
      </c>
      <c r="AA254" s="461" t="str">
        <f>IF(Start!$C$18="x",IF(OR(Z254="NA",T254="NA"),"NA",Z254*T254/(1000000000)),"---")</f>
        <v>NA</v>
      </c>
      <c r="AB254" s="1057" t="str">
        <f>IF(Start!$C$18="x",IF(AA254 = "NA", "NA", AA254*(Data!$D$52*Data!$D$53*10000)),"---")</f>
        <v>NA</v>
      </c>
      <c r="AC254" s="375" t="str">
        <f>IF(Start!$C$18="x",IF(AB254="NA", "NA", AB254*Data!$D$54),"---")</f>
        <v>NA</v>
      </c>
      <c r="AD254" s="498" t="str">
        <f>IF(Start!$C$18="x",IF(AC254="NA","NA",AC254*Data!$D$41),"---")</f>
        <v>NA</v>
      </c>
      <c r="AE254" s="376" t="str">
        <f>IF(Start!$C$18="x",IF(AB254 = "NA", "NA", AB254/(Data!$D$53*3*Data!$D$48)*1000),"---")</f>
        <v>NA</v>
      </c>
      <c r="AF254" s="498" t="str">
        <f>IF(Start!$C$18="x",IF(AE254="NA","NA",AE254*Data!$D$46),"---")</f>
        <v>NA</v>
      </c>
      <c r="AG254" s="375" t="str">
        <f>IF(Start!$C$18="x",IF(OR($L254="NA",L254=""),"NA",($L254*(Data!$D$55^3.33)/(Data!$D$18^2))),"---")</f>
        <v>NA</v>
      </c>
      <c r="AH254" s="376" t="str">
        <f>IF(Start!$C$18="x",IF(OR(F254="NA",F254="",P254="NA",P254=""),"NA",IF(100/Data!$D$10&gt;Data!$D$13,(F254*$P254),(F254*$P254)*Data!$D$13)),"---")</f>
        <v>NA</v>
      </c>
      <c r="AI254" s="489" t="str">
        <f>IF(Start!$C$18="x",IF(OR($N254="NA",$Q254="NA",$Q254=0,Q254="",N254=""),"NA",(1000*$N254/$Q254)),"---")</f>
        <v>NA</v>
      </c>
      <c r="AJ254" s="376" t="str">
        <f>IF(Start!$C$18="x",IF(OR(Q254 = "NA",Q254=0,N254 = "NA",N254="",Q254=""), "NA", IF($AG254="NA","NA",(3.1416*Data!$D$57*86400/($AG254*(Data!$D$55+(N254*Data!$D$19/(Q254*1000)))))^0.5)),"---")</f>
        <v>NA</v>
      </c>
      <c r="AK254" s="376" t="str">
        <f>IF(Start!$C$18="x",IF(OR(AH254 = "NA",AI254="NA",AI254=0,AI254="",AH254=""), "NA", AH254/AI254),"---")</f>
        <v>NA</v>
      </c>
      <c r="AL254" s="376" t="str">
        <f>IF(Start!$C$18="x",IF(OR(AK254 ="NA",AK254="",AJ254= "NA",R254="NA",R254=0),"NA",(2*AK254)/(1000*(1/$R254+AJ254))),"---")</f>
        <v>NA</v>
      </c>
      <c r="AM254" s="376" t="str">
        <f>IF(Start!$C$18="x",IF(AL254 = "NA", "NA", AL254*(Data!$D$52*Data!$D$53*10000)),"---")</f>
        <v>NA</v>
      </c>
      <c r="AN254" s="376" t="str">
        <f>IF(Start!$C$18="x",IF(AM254 = "NA", "NA", AM254*(Data!$D$54)),"---")</f>
        <v>NA</v>
      </c>
      <c r="AO254" s="498" t="str">
        <f>IF(Start!$C$18="x",IF(AN254="NA","NA",AN254*Data!$D$41),"---")</f>
        <v>NA</v>
      </c>
      <c r="AP254" s="376" t="str">
        <f>IF(Start!$C$18="x",IF(OR(Q254=0,N254="NA",N254="",AG254="NA",AG254="",AG254=0,Q254="",Q254="NA"),"NA", (3.1416*Data!$D$56*86400/($AG254*(Data!$D$55+(N254*Data!$D$19/(Q254*1000)))))^0.5),"---")</f>
        <v>NA</v>
      </c>
      <c r="AQ254" s="376" t="str">
        <f>IF(Start!$C$18="x",IF(OR(AH254="NA",AI254="NA",AI254="",AI254=0,AH254=""),"NA", AH254/AI254),"---")</f>
        <v>NA</v>
      </c>
      <c r="AR254" s="376" t="str">
        <f>IF(Start!$C$18="x",IF(OR(AQ254="NA",AP254="NA",$R254="NA",R254=0,R254=""),"NA",(2*AQ254)/(1000*(1/$R254+AP254))),"---")</f>
        <v>NA</v>
      </c>
      <c r="AS254" s="376" t="str">
        <f>IF(Start!$C$18="x",IF(AR254 = "NA", "NA", AR254*(Data!$D$52*Data!$D$53*10000)),"---")</f>
        <v>NA</v>
      </c>
      <c r="AT254" s="376" t="str">
        <f>IF(Start!$C$18="x",IF(AS254 = "NA", "NA", (AS254*1000)/(Data!$D$48*3*Data!$D$53)),"---")</f>
        <v>NA</v>
      </c>
      <c r="AU254" s="498" t="str">
        <f>IF(Start!$C$18="x",IF(AT254="NA","NA",AT254*Data!$D$47),"---")</f>
        <v>NA</v>
      </c>
      <c r="AV254" s="283" t="str">
        <f>IF(Start!$C$18="x",(IF(AND(F254="",G254= "",G254&lt;&gt;"NA"),"",IF(OR(AD254="NA",I254="NA",I254=0),"NA",(AD254/I254)))),"Not Req.")</f>
        <v/>
      </c>
      <c r="AW254" s="284" t="str">
        <f>IF(Start!$C$18="x",(IF(AND(F254="",G254= "",G254&lt;&gt;"NA"),"",IF(OR(AF254="NA",I254="NA",I254=0),"NA",(AF254/I254)))),"Not Req.")</f>
        <v/>
      </c>
      <c r="AX254" s="284" t="str">
        <f>IF(Start!$C$18="x",(IF(F254 ="","",IF(OR(AO254="NA",I254="NA",I254=0),"NA",(AO254/I254)))),"Not Req.")</f>
        <v/>
      </c>
      <c r="AY254" s="344" t="str">
        <f>IF(Start!$C$18="x",(IF(F254 ="","",IF(OR(AU254="NA",I254="NA",I254=0),"NA",(AU254/I254)))),"Not Req.")</f>
        <v/>
      </c>
      <c r="AZ254" s="208"/>
    </row>
    <row r="255" spans="1:52" s="183" customFormat="1" x14ac:dyDescent="0.25">
      <c r="A255" s="405" t="s">
        <v>573</v>
      </c>
      <c r="B255" s="347" t="str">
        <f>IF(Start!$C$18="x",IF(AND(OR(F255="",F255="NA"),OR(G255="",G255="NA")),"",IF(I255="NA","NA",IF(AND(I255="",K255="--"),"NA",IF(AD255="NA","Missing Data",IF(I255="","No Criteria",IF(AD255&gt;=I255,"Needed","No")))))),"---")</f>
        <v/>
      </c>
      <c r="C255" s="501" t="str">
        <f>IF(Start!$C$18="x",IF(AND(OR(F255="",F255="NA"),OR(G255="",G255="NA")),"",IF(I255="NA","NA",IF(AND(I255="",K255="--"),"NA",IF(AF255="NA","Missing Data",IF(I255="","No Criteria",IF(AF255&gt;=I255,"Needed","No")))))),"---")</f>
        <v/>
      </c>
      <c r="D255" s="347" t="str">
        <f>IF(Start!$C$18="x",IF(AND(OR(F255="",F255="NA"),OR(G255="",G255="NA")),"",IF(I255="NA","NA",IF(AND(I255="",K255="--"),"NA",IF(AO255="NA","Missing Data",IF(I255="","No Criteria",IF(AO255&gt;=I255,"Needed","No")))))),"---")</f>
        <v/>
      </c>
      <c r="E255" s="401" t="str">
        <f>IF(Start!$C$18="x",IF(AND(OR(F255="",F255="NA"),OR(G255="",G255="NA")),"",IF(I255="NA","NA",IF(AND(I255="",K255="--"),"NA",IF(AU255="NA","Missing Data",IF(I255="","No Criteria",IF(AU255&gt;=I255,"Needed","No")))))),"---")</f>
        <v/>
      </c>
      <c r="F255" s="431" t="str">
        <f>IF(TRUE=ISBLANK(ChemData!B255),"",(ChemData!B255))</f>
        <v/>
      </c>
      <c r="G255" s="432" t="str">
        <f>IF(TRUE=ISBLANK(ChemData!C255),"",(ChemData!C255))</f>
        <v/>
      </c>
      <c r="H255" s="433" t="str">
        <f>IF(TRUE=ISBLANK(ChemData!D255),"",(ChemData!D255))</f>
        <v/>
      </c>
      <c r="I255" s="919" t="str">
        <f>IF(TRUE=ISBLANK(ChemData!K255),"",(ChemData!K255))</f>
        <v>NA</v>
      </c>
      <c r="J255" s="290">
        <f>IF(TRUE=ISBLANK(ChemData!M255),"",(ChemData!M255))</f>
        <v>356.4</v>
      </c>
      <c r="K255" s="290" t="str">
        <f>IF(TRUE=ISBLANK(ChemData!N255),"",(ChemData!N255))</f>
        <v>NA</v>
      </c>
      <c r="L255" s="290" t="str">
        <f>IF(TRUE=ISBLANK(ChemData!O255),"",(ChemData!O255))</f>
        <v>NA</v>
      </c>
      <c r="M255" s="290">
        <f>IF(TRUE=ISBLANK(ChemData!Q255),"",(ChemData!Q255))</f>
        <v>80799.080547654768</v>
      </c>
      <c r="N255" s="290">
        <f>IF(TRUE=ISBLANK(ChemData!R255),"",(ChemData!R255))</f>
        <v>80799.080547654768</v>
      </c>
      <c r="O255" s="290">
        <f>IF(TRUE=ISBLANK(ChemData!S255),"",(ChemData!S255))</f>
        <v>1</v>
      </c>
      <c r="P255" s="291">
        <f>IF(TRUE=ISBLANK(ChemData!T255),"",(ChemData!T255))</f>
        <v>1</v>
      </c>
      <c r="Q255" s="375" t="str">
        <f>IF(Start!$C$18="x",IF(OR(K255="NA",K255="",K255="--"),"NA",(K255*1000000/82.1/Data!$D$50)),"---")</f>
        <v>NA</v>
      </c>
      <c r="R255" s="376">
        <f>IF(Start!$C$18="x",IF(OR(J255="NA",J255=0,J255=""),"NA",(0.32*(Data!$D$48+Data!$D$49)*(18/J255)^0.5)),"---")</f>
        <v>0.18518022888990385</v>
      </c>
      <c r="S255" s="376">
        <f>IF(Start!$C$18="x",IF(OR(J255="NA",J255= 0,J255=""),"NA",(0.0065*((Data!$D$49^0.969)/(Data!$D$51^0.673))*(32/J255)^0.5*EXP(0.526*Data!$D$48^-1.9))),"---")</f>
        <v>3.9030918918525419E-4</v>
      </c>
      <c r="T255" s="377" t="str">
        <f>IF(Start!$C$18="x",IF(OR(S255="NA",R255="NA",R255=0,Q255="NA",S255=0,Q255=0),"NA",(1/(1/S255+(1/(R255*Q255))))),"---")</f>
        <v>NA</v>
      </c>
      <c r="U255" s="375" t="str">
        <f>IF(Start!$C$18="x",IF(OR(F255="NA",F255="",O255="",O255="NA"),"NA",(F255*$O255)),"---")</f>
        <v>NA</v>
      </c>
      <c r="V255" s="376" t="str">
        <f>IF(Start!$C$18="x",IF(OR(U255="NA",M255="NA",M255="",U255=""),"NA",U255/((Data!$D$18+((1-Data!$D$18)*Data!$D$14*M255))/((1-Data!$D$18)*Data!$D$14*1000))),"---")</f>
        <v>NA</v>
      </c>
      <c r="W255" s="376" t="str">
        <f>IF(Start!$C$18="x",IF(OR(G255="NA",U255="NA",G255="",U255=""),"NA",(U255 +($G255*(Data!$D$19-Data!$D$22)/(Data!$D$19*Data!$D$22)))),"---")</f>
        <v>NA</v>
      </c>
      <c r="X255" s="376" t="str">
        <f>IF(Start!$C$18="x",IF(OR(G255="NA",V255="NA",G255="",V255=""),"NA",(((Data!$D$22*Data!$D$18)*V255)+(Data!$D$19-Data!$D$22)*$G255)/((Data!$D$22*Data!$D$18)+Data!$D$19-Data!$D$22)),"---")</f>
        <v>NA</v>
      </c>
      <c r="Y255" s="376" t="str">
        <f>IF(Start!$C$18="x",IF(OR(W255="NA",W255="",M255="NA",M255=""),"NA",(W255/((Data!$D$23+((1-Data!$D$23)*Data!$D$14*M255)) /((1-Data!$D$23)*Data!$D$14*1000)))),"---")</f>
        <v>NA</v>
      </c>
      <c r="Z255" s="376" t="str">
        <f>IF(Start!$C$18="x",IF(OR(Y255="NA",X255="NA"),"NA",IF(Y255&gt;X255, Y255, X255)),"---")</f>
        <v>NA</v>
      </c>
      <c r="AA255" s="461" t="str">
        <f>IF(Start!$C$18="x",IF(OR(Z255="NA",T255="NA"),"NA",Z255*T255/(1000000000)),"---")</f>
        <v>NA</v>
      </c>
      <c r="AB255" s="1057" t="str">
        <f>IF(Start!$C$18="x",IF(AA255 = "NA", "NA", AA255*(Data!$D$52*Data!$D$53*10000)),"---")</f>
        <v>NA</v>
      </c>
      <c r="AC255" s="375" t="str">
        <f>IF(Start!$C$18="x",IF(AB255="NA", "NA", AB255*Data!$D$54),"---")</f>
        <v>NA</v>
      </c>
      <c r="AD255" s="498" t="str">
        <f>IF(Start!$C$18="x",IF(AC255="NA","NA",AC255*Data!$D$41),"---")</f>
        <v>NA</v>
      </c>
      <c r="AE255" s="376" t="str">
        <f>IF(Start!$C$18="x",IF(AB255 = "NA", "NA", AB255/(Data!$D$53*3*Data!$D$48)*1000),"---")</f>
        <v>NA</v>
      </c>
      <c r="AF255" s="498" t="str">
        <f>IF(Start!$C$18="x",IF(AE255="NA","NA",AE255*Data!$D$46),"---")</f>
        <v>NA</v>
      </c>
      <c r="AG255" s="375" t="str">
        <f>IF(Start!$C$18="x",IF(OR($L255="NA",L255=""),"NA",($L255*(Data!$D$55^3.33)/(Data!$D$18^2))),"---")</f>
        <v>NA</v>
      </c>
      <c r="AH255" s="376" t="str">
        <f>IF(Start!$C$18="x",IF(OR(F255="NA",F255="",P255="NA",P255=""),"NA",IF(100/Data!$D$10&gt;Data!$D$13,(F255*$P255),(F255*$P255)*Data!$D$13)),"---")</f>
        <v>NA</v>
      </c>
      <c r="AI255" s="489" t="str">
        <f>IF(Start!$C$18="x",IF(OR($N255="NA",$Q255="NA",$Q255=0,Q255="",N255=""),"NA",(1000*$N255/$Q255)),"---")</f>
        <v>NA</v>
      </c>
      <c r="AJ255" s="376" t="str">
        <f>IF(Start!$C$18="x",IF(OR(Q255 = "NA",Q255=0,N255 = "NA",N255="",Q255=""), "NA", IF($AG255="NA","NA",(3.1416*Data!$D$57*86400/($AG255*(Data!$D$55+(N255*Data!$D$19/(Q255*1000)))))^0.5)),"---")</f>
        <v>NA</v>
      </c>
      <c r="AK255" s="376" t="str">
        <f>IF(Start!$C$18="x",IF(OR(AH255 = "NA",AI255="NA",AI255=0,AI255="",AH255=""), "NA", AH255/AI255),"---")</f>
        <v>NA</v>
      </c>
      <c r="AL255" s="376" t="str">
        <f>IF(Start!$C$18="x",IF(OR(AK255 ="NA",AK255="",AJ255= "NA",R255="NA",R255=0),"NA",(2*AK255)/(1000*(1/$R255+AJ255))),"---")</f>
        <v>NA</v>
      </c>
      <c r="AM255" s="376" t="str">
        <f>IF(Start!$C$18="x",IF(AL255 = "NA", "NA", AL255*(Data!$D$52*Data!$D$53*10000)),"---")</f>
        <v>NA</v>
      </c>
      <c r="AN255" s="376" t="str">
        <f>IF(Start!$C$18="x",IF(AM255 = "NA", "NA", AM255*(Data!$D$54)),"---")</f>
        <v>NA</v>
      </c>
      <c r="AO255" s="498" t="str">
        <f>IF(Start!$C$18="x",IF(AN255="NA","NA",AN255*Data!$D$41),"---")</f>
        <v>NA</v>
      </c>
      <c r="AP255" s="376" t="str">
        <f>IF(Start!$C$18="x",IF(OR(Q255=0,N255="NA",N255="",AG255="NA",AG255="",AG255=0,Q255="",Q255="NA"),"NA", (3.1416*Data!$D$56*86400/($AG255*(Data!$D$55+(N255*Data!$D$19/(Q255*1000)))))^0.5),"---")</f>
        <v>NA</v>
      </c>
      <c r="AQ255" s="376" t="str">
        <f>IF(Start!$C$18="x",IF(OR(AH255="NA",AI255="NA",AI255="",AI255=0,AH255=""),"NA", AH255/AI255),"---")</f>
        <v>NA</v>
      </c>
      <c r="AR255" s="376" t="str">
        <f>IF(Start!$C$18="x",IF(OR(AQ255="NA",AP255="NA",$R255="NA",R255=0,R255=""),"NA",(2*AQ255)/(1000*(1/$R255+AP255))),"---")</f>
        <v>NA</v>
      </c>
      <c r="AS255" s="376" t="str">
        <f>IF(Start!$C$18="x",IF(AR255 = "NA", "NA", AR255*(Data!$D$52*Data!$D$53*10000)),"---")</f>
        <v>NA</v>
      </c>
      <c r="AT255" s="376" t="str">
        <f>IF(Start!$C$18="x",IF(AS255 = "NA", "NA", (AS255*1000)/(Data!$D$48*3*Data!$D$53)),"---")</f>
        <v>NA</v>
      </c>
      <c r="AU255" s="498" t="str">
        <f>IF(Start!$C$18="x",IF(AT255="NA","NA",AT255*Data!$D$47),"---")</f>
        <v>NA</v>
      </c>
      <c r="AV255" s="283" t="str">
        <f>IF(Start!$C$18="x",(IF(AND(F255="",G255= "",G255&lt;&gt;"NA"),"",IF(OR(AD255="NA",I255="NA",I255=0),"NA",(AD255/I255)))),"Not Req.")</f>
        <v/>
      </c>
      <c r="AW255" s="284" t="str">
        <f>IF(Start!$C$18="x",(IF(AND(F255="",G255= "",G255&lt;&gt;"NA"),"",IF(OR(AF255="NA",I255="NA",I255=0),"NA",(AF255/I255)))),"Not Req.")</f>
        <v/>
      </c>
      <c r="AX255" s="284" t="str">
        <f>IF(Start!$C$18="x",(IF(F255 ="","",IF(OR(AO255="NA",I255="NA",I255=0),"NA",(AO255/I255)))),"Not Req.")</f>
        <v/>
      </c>
      <c r="AY255" s="344" t="str">
        <f>IF(Start!$C$18="x",(IF(F255 ="","",IF(OR(AU255="NA",I255="NA",I255=0),"NA",(AU255/I255)))),"Not Req.")</f>
        <v/>
      </c>
      <c r="AZ255" s="208"/>
    </row>
    <row r="256" spans="1:52" s="183" customFormat="1" x14ac:dyDescent="0.25">
      <c r="A256" s="405" t="s">
        <v>574</v>
      </c>
      <c r="B256" s="347" t="str">
        <f>IF(Start!$C$18="x",IF(AND(OR(F256="",F256="NA"),OR(G256="",G256="NA")),"",IF(I256="NA","NA",IF(AND(I256="",K256="--"),"NA",IF(AD256="NA","Missing Data",IF(I256="","No Criteria",IF(AD256&gt;=I256,"Needed","No")))))),"---")</f>
        <v/>
      </c>
      <c r="C256" s="501" t="str">
        <f>IF(Start!$C$18="x",IF(AND(OR(F256="",F256="NA"),OR(G256="",G256="NA")),"",IF(I256="NA","NA",IF(AND(I256="",K256="--"),"NA",IF(AF256="NA","Missing Data",IF(I256="","No Criteria",IF(AF256&gt;=I256,"Needed","No")))))),"---")</f>
        <v/>
      </c>
      <c r="D256" s="347" t="str">
        <f>IF(Start!$C$18="x",IF(AND(OR(F256="",F256="NA"),OR(G256="",G256="NA")),"",IF(I256="NA","NA",IF(AND(I256="",K256="--"),"NA",IF(AO256="NA","Missing Data",IF(I256="","No Criteria",IF(AO256&gt;=I256,"Needed","No")))))),"---")</f>
        <v/>
      </c>
      <c r="E256" s="401" t="str">
        <f>IF(Start!$C$18="x",IF(AND(OR(F256="",F256="NA"),OR(G256="",G256="NA")),"",IF(I256="NA","NA",IF(AND(I256="",K256="--"),"NA",IF(AU256="NA","Missing Data",IF(I256="","No Criteria",IF(AU256&gt;=I256,"Needed","No")))))),"---")</f>
        <v/>
      </c>
      <c r="F256" s="431" t="str">
        <f>IF(TRUE=ISBLANK(ChemData!B256),"",(ChemData!B256))</f>
        <v/>
      </c>
      <c r="G256" s="432" t="str">
        <f>IF(TRUE=ISBLANK(ChemData!C256),"",(ChemData!C256))</f>
        <v/>
      </c>
      <c r="H256" s="433" t="str">
        <f>IF(TRUE=ISBLANK(ChemData!D256),"",(ChemData!D256))</f>
        <v/>
      </c>
      <c r="I256" s="919" t="str">
        <f>IF(TRUE=ISBLANK(ChemData!K256),"",(ChemData!K256))</f>
        <v>NA</v>
      </c>
      <c r="J256" s="290">
        <f>IF(TRUE=ISBLANK(ChemData!M256),"",(ChemData!M256))</f>
        <v>340.4</v>
      </c>
      <c r="K256" s="290" t="str">
        <f>IF(TRUE=ISBLANK(ChemData!N256),"",(ChemData!N256))</f>
        <v>NA</v>
      </c>
      <c r="L256" s="290" t="str">
        <f>IF(TRUE=ISBLANK(ChemData!O256),"",(ChemData!O256))</f>
        <v>NA</v>
      </c>
      <c r="M256" s="290">
        <f>IF(TRUE=ISBLANK(ChemData!Q256),"",(ChemData!Q256))</f>
        <v>104089.37929273375</v>
      </c>
      <c r="N256" s="290">
        <f>IF(TRUE=ISBLANK(ChemData!R256),"",(ChemData!R256))</f>
        <v>104089.37929273375</v>
      </c>
      <c r="O256" s="290">
        <f>IF(TRUE=ISBLANK(ChemData!S256),"",(ChemData!S256))</f>
        <v>1</v>
      </c>
      <c r="P256" s="291">
        <f>IF(TRUE=ISBLANK(ChemData!T256),"",(ChemData!T256))</f>
        <v>1</v>
      </c>
      <c r="Q256" s="375" t="str">
        <f>IF(Start!$C$18="x",IF(OR(K256="NA",K256="",K256="--"),"NA",(K256*1000000/82.1/Data!$D$50)),"---")</f>
        <v>NA</v>
      </c>
      <c r="R256" s="376">
        <f>IF(Start!$C$18="x",IF(OR(J256="NA",J256=0,J256=""),"NA",(0.32*(Data!$D$48+Data!$D$49)*(18/J256)^0.5)),"---")</f>
        <v>0.18948231781925581</v>
      </c>
      <c r="S256" s="376">
        <f>IF(Start!$C$18="x",IF(OR(J256="NA",J256= 0,J256=""),"NA",(0.0065*((Data!$D$49^0.969)/(Data!$D$51^0.673))*(32/J256)^0.5*EXP(0.526*Data!$D$48^-1.9))),"---")</f>
        <v>3.9937681401693389E-4</v>
      </c>
      <c r="T256" s="377" t="str">
        <f>IF(Start!$C$18="x",IF(OR(S256="NA",R256="NA",R256=0,Q256="NA",S256=0,Q256=0),"NA",(1/(1/S256+(1/(R256*Q256))))),"---")</f>
        <v>NA</v>
      </c>
      <c r="U256" s="375" t="str">
        <f>IF(Start!$C$18="x",IF(OR(F256="NA",F256="",O256="",O256="NA"),"NA",(F256*$O256)),"---")</f>
        <v>NA</v>
      </c>
      <c r="V256" s="376" t="str">
        <f>IF(Start!$C$18="x",IF(OR(U256="NA",M256="NA",M256="",U256=""),"NA",U256/((Data!$D$18+((1-Data!$D$18)*Data!$D$14*M256))/((1-Data!$D$18)*Data!$D$14*1000))),"---")</f>
        <v>NA</v>
      </c>
      <c r="W256" s="376" t="str">
        <f>IF(Start!$C$18="x",IF(OR(G256="NA",U256="NA",G256="",U256=""),"NA",(U256 +($G256*(Data!$D$19-Data!$D$22)/(Data!$D$19*Data!$D$22)))),"---")</f>
        <v>NA</v>
      </c>
      <c r="X256" s="376" t="str">
        <f>IF(Start!$C$18="x",IF(OR(G256="NA",V256="NA",G256="",V256=""),"NA",(((Data!$D$22*Data!$D$18)*V256)+(Data!$D$19-Data!$D$22)*$G256)/((Data!$D$22*Data!$D$18)+Data!$D$19-Data!$D$22)),"---")</f>
        <v>NA</v>
      </c>
      <c r="Y256" s="376" t="str">
        <f>IF(Start!$C$18="x",IF(OR(W256="NA",W256="",M256="NA",M256=""),"NA",(W256/((Data!$D$23+((1-Data!$D$23)*Data!$D$14*M256)) /((1-Data!$D$23)*Data!$D$14*1000)))),"---")</f>
        <v>NA</v>
      </c>
      <c r="Z256" s="376" t="str">
        <f>IF(Start!$C$18="x",IF(OR(Y256="NA",X256="NA"),"NA",IF(Y256&gt;X256, Y256, X256)),"---")</f>
        <v>NA</v>
      </c>
      <c r="AA256" s="461" t="str">
        <f>IF(Start!$C$18="x",IF(OR(Z256="NA",T256="NA"),"NA",Z256*T256/(1000000000)),"---")</f>
        <v>NA</v>
      </c>
      <c r="AB256" s="1057" t="str">
        <f>IF(Start!$C$18="x",IF(AA256 = "NA", "NA", AA256*(Data!$D$52*Data!$D$53*10000)),"---")</f>
        <v>NA</v>
      </c>
      <c r="AC256" s="375" t="str">
        <f>IF(Start!$C$18="x",IF(AB256="NA", "NA", AB256*Data!$D$54),"---")</f>
        <v>NA</v>
      </c>
      <c r="AD256" s="498" t="str">
        <f>IF(Start!$C$18="x",IF(AC256="NA","NA",AC256*Data!$D$41),"---")</f>
        <v>NA</v>
      </c>
      <c r="AE256" s="376" t="str">
        <f>IF(Start!$C$18="x",IF(AB256 = "NA", "NA", AB256/(Data!$D$53*3*Data!$D$48)*1000),"---")</f>
        <v>NA</v>
      </c>
      <c r="AF256" s="498" t="str">
        <f>IF(Start!$C$18="x",IF(AE256="NA","NA",AE256*Data!$D$46),"---")</f>
        <v>NA</v>
      </c>
      <c r="AG256" s="375" t="str">
        <f>IF(Start!$C$18="x",IF(OR($L256="NA",L256=""),"NA",($L256*(Data!$D$55^3.33)/(Data!$D$18^2))),"---")</f>
        <v>NA</v>
      </c>
      <c r="AH256" s="376" t="str">
        <f>IF(Start!$C$18="x",IF(OR(F256="NA",F256="",P256="NA",P256=""),"NA",IF(100/Data!$D$10&gt;Data!$D$13,(F256*$P256),(F256*$P256)*Data!$D$13)),"---")</f>
        <v>NA</v>
      </c>
      <c r="AI256" s="489" t="str">
        <f>IF(Start!$C$18="x",IF(OR($N256="NA",$Q256="NA",$Q256=0,Q256="",N256=""),"NA",(1000*$N256/$Q256)),"---")</f>
        <v>NA</v>
      </c>
      <c r="AJ256" s="376" t="str">
        <f>IF(Start!$C$18="x",IF(OR(Q256 = "NA",Q256=0,N256 = "NA",N256="",Q256=""), "NA", IF($AG256="NA","NA",(3.1416*Data!$D$57*86400/($AG256*(Data!$D$55+(N256*Data!$D$19/(Q256*1000)))))^0.5)),"---")</f>
        <v>NA</v>
      </c>
      <c r="AK256" s="376" t="str">
        <f>IF(Start!$C$18="x",IF(OR(AH256 = "NA",AI256="NA",AI256=0,AI256="",AH256=""), "NA", AH256/AI256),"---")</f>
        <v>NA</v>
      </c>
      <c r="AL256" s="376" t="str">
        <f>IF(Start!$C$18="x",IF(OR(AK256 ="NA",AK256="",AJ256= "NA",R256="NA",R256=0),"NA",(2*AK256)/(1000*(1/$R256+AJ256))),"---")</f>
        <v>NA</v>
      </c>
      <c r="AM256" s="376" t="str">
        <f>IF(Start!$C$18="x",IF(AL256 = "NA", "NA", AL256*(Data!$D$52*Data!$D$53*10000)),"---")</f>
        <v>NA</v>
      </c>
      <c r="AN256" s="376" t="str">
        <f>IF(Start!$C$18="x",IF(AM256 = "NA", "NA", AM256*(Data!$D$54)),"---")</f>
        <v>NA</v>
      </c>
      <c r="AO256" s="498" t="str">
        <f>IF(Start!$C$18="x",IF(AN256="NA","NA",AN256*Data!$D$41),"---")</f>
        <v>NA</v>
      </c>
      <c r="AP256" s="376" t="str">
        <f>IF(Start!$C$18="x",IF(OR(Q256=0,N256="NA",N256="",AG256="NA",AG256="",AG256=0,Q256="",Q256="NA"),"NA", (3.1416*Data!$D$56*86400/($AG256*(Data!$D$55+(N256*Data!$D$19/(Q256*1000)))))^0.5),"---")</f>
        <v>NA</v>
      </c>
      <c r="AQ256" s="376" t="str">
        <f>IF(Start!$C$18="x",IF(OR(AH256="NA",AI256="NA",AI256="",AI256=0,AH256=""),"NA", AH256/AI256),"---")</f>
        <v>NA</v>
      </c>
      <c r="AR256" s="376" t="str">
        <f>IF(Start!$C$18="x",IF(OR(AQ256="NA",AP256="NA",$R256="NA",R256=0,R256=""),"NA",(2*AQ256)/(1000*(1/$R256+AP256))),"---")</f>
        <v>NA</v>
      </c>
      <c r="AS256" s="376" t="str">
        <f>IF(Start!$C$18="x",IF(AR256 = "NA", "NA", AR256*(Data!$D$52*Data!$D$53*10000)),"---")</f>
        <v>NA</v>
      </c>
      <c r="AT256" s="376" t="str">
        <f>IF(Start!$C$18="x",IF(AS256 = "NA", "NA", (AS256*1000)/(Data!$D$48*3*Data!$D$53)),"---")</f>
        <v>NA</v>
      </c>
      <c r="AU256" s="498" t="str">
        <f>IF(Start!$C$18="x",IF(AT256="NA","NA",AT256*Data!$D$47),"---")</f>
        <v>NA</v>
      </c>
      <c r="AV256" s="283" t="str">
        <f>IF(Start!$C$18="x",(IF(AND(F256="",G256= "",G256&lt;&gt;"NA"),"",IF(OR(AD256="NA",I256="NA",I256=0),"NA",(AD256/I256)))),"Not Req.")</f>
        <v/>
      </c>
      <c r="AW256" s="284" t="str">
        <f>IF(Start!$C$18="x",(IF(AND(F256="",G256= "",G256&lt;&gt;"NA"),"",IF(OR(AF256="NA",I256="NA",I256=0),"NA",(AF256/I256)))),"Not Req.")</f>
        <v/>
      </c>
      <c r="AX256" s="284" t="str">
        <f>IF(Start!$C$18="x",(IF(F256 ="","",IF(OR(AO256="NA",I256="NA",I256=0),"NA",(AO256/I256)))),"Not Req.")</f>
        <v/>
      </c>
      <c r="AY256" s="344" t="str">
        <f>IF(Start!$C$18="x",(IF(F256 ="","",IF(OR(AU256="NA",I256="NA",I256=0),"NA",(AU256/I256)))),"Not Req.")</f>
        <v/>
      </c>
      <c r="AZ256" s="208"/>
    </row>
    <row r="257" spans="1:52" s="183" customFormat="1" x14ac:dyDescent="0.25">
      <c r="A257" s="405" t="s">
        <v>575</v>
      </c>
      <c r="B257" s="347" t="str">
        <f>IF(Start!$C$18="x",IF(AND(OR(F257="",F257="NA"),OR(G257="",G257="NA")),"",IF(I257="NA","NA",IF(AND(I257="",K257="--"),"NA",IF(AD257="NA","Missing Data",IF(I257="","No Criteria",IF(AD257&gt;=I257,"Needed","No")))))),"---")</f>
        <v/>
      </c>
      <c r="C257" s="501" t="str">
        <f>IF(Start!$C$18="x",IF(AND(OR(F257="",F257="NA"),OR(G257="",G257="NA")),"",IF(I257="NA","NA",IF(AND(I257="",K257="--"),"NA",IF(AF257="NA","Missing Data",IF(I257="","No Criteria",IF(AF257&gt;=I257,"Needed","No")))))),"---")</f>
        <v/>
      </c>
      <c r="D257" s="347" t="str">
        <f>IF(Start!$C$18="x",IF(AND(OR(F257="",F257="NA"),OR(G257="",G257="NA")),"",IF(I257="NA","NA",IF(AND(I257="",K257="--"),"NA",IF(AO257="NA","Missing Data",IF(I257="","No Criteria",IF(AO257&gt;=I257,"Needed","No")))))),"---")</f>
        <v/>
      </c>
      <c r="E257" s="401" t="str">
        <f>IF(Start!$C$18="x",IF(AND(OR(F257="",F257="NA"),OR(G257="",G257="NA")),"",IF(I257="NA","NA",IF(AND(I257="",K257="--"),"NA",IF(AU257="NA","Missing Data",IF(I257="","No Criteria",IF(AU257&gt;=I257,"Needed","No")))))),"---")</f>
        <v/>
      </c>
      <c r="F257" s="431" t="str">
        <f>IF(TRUE=ISBLANK(ChemData!B257),"",(ChemData!B257))</f>
        <v/>
      </c>
      <c r="G257" s="432" t="str">
        <f>IF(TRUE=ISBLANK(ChemData!C257),"",(ChemData!C257))</f>
        <v/>
      </c>
      <c r="H257" s="433" t="str">
        <f>IF(TRUE=ISBLANK(ChemData!D257),"",(ChemData!D257))</f>
        <v/>
      </c>
      <c r="I257" s="919" t="str">
        <f>IF(TRUE=ISBLANK(ChemData!K257),"",(ChemData!K257))</f>
        <v>NA</v>
      </c>
      <c r="J257" s="290">
        <f>IF(TRUE=ISBLANK(ChemData!M257),"",(ChemData!M257))</f>
        <v>375</v>
      </c>
      <c r="K257" s="290" t="str">
        <f>IF(TRUE=ISBLANK(ChemData!N257),"",(ChemData!N257))</f>
        <v>NA</v>
      </c>
      <c r="L257" s="290" t="str">
        <f>IF(TRUE=ISBLANK(ChemData!O257),"",(ChemData!O257))</f>
        <v>NA</v>
      </c>
      <c r="M257" s="290">
        <f>IF(TRUE=ISBLANK(ChemData!Q257),"",(ChemData!Q257))</f>
        <v>1539594.740311048</v>
      </c>
      <c r="N257" s="290">
        <f>IF(TRUE=ISBLANK(ChemData!R257),"",(ChemData!R257))</f>
        <v>1539594.740311048</v>
      </c>
      <c r="O257" s="290">
        <f>IF(TRUE=ISBLANK(ChemData!S257),"",(ChemData!S257))</f>
        <v>1</v>
      </c>
      <c r="P257" s="291">
        <f>IF(TRUE=ISBLANK(ChemData!T257),"",(ChemData!T257))</f>
        <v>1</v>
      </c>
      <c r="Q257" s="375" t="str">
        <f>IF(Start!$C$18="x",IF(OR(K257="NA",K257="",K257="--"),"NA",(K257*1000000/82.1/Data!$D$50)),"---")</f>
        <v>NA</v>
      </c>
      <c r="R257" s="376">
        <f>IF(Start!$C$18="x",IF(OR(J257="NA",J257=0,J257=""),"NA",(0.32*(Data!$D$48+Data!$D$49)*(18/J257)^0.5)),"---")</f>
        <v>0.18052935495370276</v>
      </c>
      <c r="S257" s="376">
        <f>IF(Start!$C$18="x",IF(OR(J257="NA",J257= 0,J257=""),"NA",(0.0065*((Data!$D$49^0.969)/(Data!$D$51^0.673))*(32/J257)^0.5*EXP(0.526*Data!$D$48^-1.9))),"---")</f>
        <v>3.8050642111479925E-4</v>
      </c>
      <c r="T257" s="377" t="str">
        <f>IF(Start!$C$18="x",IF(OR(S257="NA",R257="NA",R257=0,Q257="NA",S257=0,Q257=0),"NA",(1/(1/S257+(1/(R257*Q257))))),"---")</f>
        <v>NA</v>
      </c>
      <c r="U257" s="375" t="str">
        <f>IF(Start!$C$18="x",IF(OR(F257="NA",F257="",O257="",O257="NA"),"NA",(F257*$O257)),"---")</f>
        <v>NA</v>
      </c>
      <c r="V257" s="376" t="str">
        <f>IF(Start!$C$18="x",IF(OR(U257="NA",M257="NA",M257="",U257=""),"NA",U257/((Data!$D$18+((1-Data!$D$18)*Data!$D$14*M257))/((1-Data!$D$18)*Data!$D$14*1000))),"---")</f>
        <v>NA</v>
      </c>
      <c r="W257" s="376" t="str">
        <f>IF(Start!$C$18="x",IF(OR(G257="NA",U257="NA",G257="",U257=""),"NA",(U257 +($G257*(Data!$D$19-Data!$D$22)/(Data!$D$19*Data!$D$22)))),"---")</f>
        <v>NA</v>
      </c>
      <c r="X257" s="376" t="str">
        <f>IF(Start!$C$18="x",IF(OR(G257="NA",V257="NA",G257="",V257=""),"NA",(((Data!$D$22*Data!$D$18)*V257)+(Data!$D$19-Data!$D$22)*$G257)/((Data!$D$22*Data!$D$18)+Data!$D$19-Data!$D$22)),"---")</f>
        <v>NA</v>
      </c>
      <c r="Y257" s="376" t="str">
        <f>IF(Start!$C$18="x",IF(OR(W257="NA",W257="",M257="NA",M257=""),"NA",(W257/((Data!$D$23+((1-Data!$D$23)*Data!$D$14*M257)) /((1-Data!$D$23)*Data!$D$14*1000)))),"---")</f>
        <v>NA</v>
      </c>
      <c r="Z257" s="376" t="str">
        <f>IF(Start!$C$18="x",IF(OR(Y257="NA",X257="NA"),"NA",IF(Y257&gt;X257, Y257, X257)),"---")</f>
        <v>NA</v>
      </c>
      <c r="AA257" s="461" t="str">
        <f>IF(Start!$C$18="x",IF(OR(Z257="NA",T257="NA"),"NA",Z257*T257/(1000000000)),"---")</f>
        <v>NA</v>
      </c>
      <c r="AB257" s="1057" t="str">
        <f>IF(Start!$C$18="x",IF(AA257 = "NA", "NA", AA257*(Data!$D$52*Data!$D$53*10000)),"---")</f>
        <v>NA</v>
      </c>
      <c r="AC257" s="375" t="str">
        <f>IF(Start!$C$18="x",IF(AB257="NA", "NA", AB257*Data!$D$54),"---")</f>
        <v>NA</v>
      </c>
      <c r="AD257" s="498" t="str">
        <f>IF(Start!$C$18="x",IF(AC257="NA","NA",AC257*Data!$D$41),"---")</f>
        <v>NA</v>
      </c>
      <c r="AE257" s="376" t="str">
        <f>IF(Start!$C$18="x",IF(AB257 = "NA", "NA", AB257/(Data!$D$53*3*Data!$D$48)*1000),"---")</f>
        <v>NA</v>
      </c>
      <c r="AF257" s="498" t="str">
        <f>IF(Start!$C$18="x",IF(AE257="NA","NA",AE257*Data!$D$46),"---")</f>
        <v>NA</v>
      </c>
      <c r="AG257" s="375" t="str">
        <f>IF(Start!$C$18="x",IF(OR($L257="NA",L257=""),"NA",($L257*(Data!$D$55^3.33)/(Data!$D$18^2))),"---")</f>
        <v>NA</v>
      </c>
      <c r="AH257" s="376" t="str">
        <f>IF(Start!$C$18="x",IF(OR(F257="NA",F257="",P257="NA",P257=""),"NA",IF(100/Data!$D$10&gt;Data!$D$13,(F257*$P257),(F257*$P257)*Data!$D$13)),"---")</f>
        <v>NA</v>
      </c>
      <c r="AI257" s="489" t="str">
        <f>IF(Start!$C$18="x",IF(OR($N257="NA",$Q257="NA",$Q257=0,Q257="",N257=""),"NA",(1000*$N257/$Q257)),"---")</f>
        <v>NA</v>
      </c>
      <c r="AJ257" s="376" t="str">
        <f>IF(Start!$C$18="x",IF(OR(Q257 = "NA",Q257=0,N257 = "NA",N257="",Q257=""), "NA", IF($AG257="NA","NA",(3.1416*Data!$D$57*86400/($AG257*(Data!$D$55+(N257*Data!$D$19/(Q257*1000)))))^0.5)),"---")</f>
        <v>NA</v>
      </c>
      <c r="AK257" s="376" t="str">
        <f>IF(Start!$C$18="x",IF(OR(AH257 = "NA",AI257="NA",AI257=0,AI257="",AH257=""), "NA", AH257/AI257),"---")</f>
        <v>NA</v>
      </c>
      <c r="AL257" s="376" t="str">
        <f>IF(Start!$C$18="x",IF(OR(AK257 ="NA",AK257="",AJ257= "NA",R257="NA",R257=0),"NA",(2*AK257)/(1000*(1/$R257+AJ257))),"---")</f>
        <v>NA</v>
      </c>
      <c r="AM257" s="376" t="str">
        <f>IF(Start!$C$18="x",IF(AL257 = "NA", "NA", AL257*(Data!$D$52*Data!$D$53*10000)),"---")</f>
        <v>NA</v>
      </c>
      <c r="AN257" s="376" t="str">
        <f>IF(Start!$C$18="x",IF(AM257 = "NA", "NA", AM257*(Data!$D$54)),"---")</f>
        <v>NA</v>
      </c>
      <c r="AO257" s="498" t="str">
        <f>IF(Start!$C$18="x",IF(AN257="NA","NA",AN257*Data!$D$41),"---")</f>
        <v>NA</v>
      </c>
      <c r="AP257" s="376" t="str">
        <f>IF(Start!$C$18="x",IF(OR(Q257=0,N257="NA",N257="",AG257="NA",AG257="",AG257=0,Q257="",Q257="NA"),"NA", (3.1416*Data!$D$56*86400/($AG257*(Data!$D$55+(N257*Data!$D$19/(Q257*1000)))))^0.5),"---")</f>
        <v>NA</v>
      </c>
      <c r="AQ257" s="376" t="str">
        <f>IF(Start!$C$18="x",IF(OR(AH257="NA",AI257="NA",AI257="",AI257=0,AH257=""),"NA", AH257/AI257),"---")</f>
        <v>NA</v>
      </c>
      <c r="AR257" s="376" t="str">
        <f>IF(Start!$C$18="x",IF(OR(AQ257="NA",AP257="NA",$R257="NA",R257=0,R257=""),"NA",(2*AQ257)/(1000*(1/$R257+AP257))),"---")</f>
        <v>NA</v>
      </c>
      <c r="AS257" s="376" t="str">
        <f>IF(Start!$C$18="x",IF(AR257 = "NA", "NA", AR257*(Data!$D$52*Data!$D$53*10000)),"---")</f>
        <v>NA</v>
      </c>
      <c r="AT257" s="376" t="str">
        <f>IF(Start!$C$18="x",IF(AS257 = "NA", "NA", (AS257*1000)/(Data!$D$48*3*Data!$D$53)),"---")</f>
        <v>NA</v>
      </c>
      <c r="AU257" s="498" t="str">
        <f>IF(Start!$C$18="x",IF(AT257="NA","NA",AT257*Data!$D$47),"---")</f>
        <v>NA</v>
      </c>
      <c r="AV257" s="283" t="str">
        <f>IF(Start!$C$18="x",(IF(AND(F257="",G257= "",G257&lt;&gt;"NA"),"",IF(OR(AD257="NA",I257="NA",I257=0),"NA",(AD257/I257)))),"Not Req.")</f>
        <v/>
      </c>
      <c r="AW257" s="284" t="str">
        <f>IF(Start!$C$18="x",(IF(AND(F257="",G257= "",G257&lt;&gt;"NA"),"",IF(OR(AF257="NA",I257="NA",I257=0),"NA",(AF257/I257)))),"Not Req.")</f>
        <v/>
      </c>
      <c r="AX257" s="284" t="str">
        <f>IF(Start!$C$18="x",(IF(F257 ="","",IF(OR(AO257="NA",I257="NA",I257=0),"NA",(AO257/I257)))),"Not Req.")</f>
        <v/>
      </c>
      <c r="AY257" s="344" t="str">
        <f>IF(Start!$C$18="x",(IF(F257 ="","",IF(OR(AU257="NA",I257="NA",I257=0),"NA",(AU257/I257)))),"Not Req.")</f>
        <v/>
      </c>
      <c r="AZ257" s="208"/>
    </row>
    <row r="258" spans="1:52" s="183" customFormat="1" x14ac:dyDescent="0.25">
      <c r="A258" s="405" t="s">
        <v>576</v>
      </c>
      <c r="B258" s="347" t="str">
        <f>IF(Start!$C$18="x",IF(AND(OR(F258="",F258="NA"),OR(G258="",G258="NA")),"",IF(I258="NA","NA",IF(AND(I258="",K258="--"),"NA",IF(AD258="NA","Missing Data",IF(I258="","No Criteria",IF(AD258&gt;=I258,"Needed","No")))))),"---")</f>
        <v/>
      </c>
      <c r="C258" s="501" t="str">
        <f>IF(Start!$C$18="x",IF(AND(OR(F258="",F258="NA"),OR(G258="",G258="NA")),"",IF(I258="NA","NA",IF(AND(I258="",K258="--"),"NA",IF(AF258="NA","Missing Data",IF(I258="","No Criteria",IF(AF258&gt;=I258,"Needed","No")))))),"---")</f>
        <v/>
      </c>
      <c r="D258" s="347" t="str">
        <f>IF(Start!$C$18="x",IF(AND(OR(F258="",F258="NA"),OR(G258="",G258="NA")),"",IF(I258="NA","NA",IF(AND(I258="",K258="--"),"NA",IF(AO258="NA","Missing Data",IF(I258="","No Criteria",IF(AO258&gt;=I258,"Needed","No")))))),"---")</f>
        <v/>
      </c>
      <c r="E258" s="401" t="str">
        <f>IF(Start!$C$18="x",IF(AND(OR(F258="",F258="NA"),OR(G258="",G258="NA")),"",IF(I258="NA","NA",IF(AND(I258="",K258="--"),"NA",IF(AU258="NA","Missing Data",IF(I258="","No Criteria",IF(AU258&gt;=I258,"Needed","No")))))),"---")</f>
        <v/>
      </c>
      <c r="F258" s="431" t="str">
        <f>IF(TRUE=ISBLANK(ChemData!B258),"",(ChemData!B258))</f>
        <v/>
      </c>
      <c r="G258" s="432" t="str">
        <f>IF(TRUE=ISBLANK(ChemData!C258),"",(ChemData!C258))</f>
        <v/>
      </c>
      <c r="H258" s="433" t="str">
        <f>IF(TRUE=ISBLANK(ChemData!D258),"",(ChemData!D258))</f>
        <v/>
      </c>
      <c r="I258" s="919" t="str">
        <f>IF(TRUE=ISBLANK(ChemData!K258),"",(ChemData!K258))</f>
        <v>NA</v>
      </c>
      <c r="J258" s="290">
        <f>IF(TRUE=ISBLANK(ChemData!M258),"",(ChemData!M258))</f>
        <v>340.4</v>
      </c>
      <c r="K258" s="290" t="str">
        <f>IF(TRUE=ISBLANK(ChemData!N258),"",(ChemData!N258))</f>
        <v>NA</v>
      </c>
      <c r="L258" s="290" t="str">
        <f>IF(TRUE=ISBLANK(ChemData!O258),"",(ChemData!O258))</f>
        <v>NA</v>
      </c>
      <c r="M258" s="290">
        <f>IF(TRUE=ISBLANK(ChemData!Q258),"",(ChemData!Q258))</f>
        <v>153959.47403110462</v>
      </c>
      <c r="N258" s="290">
        <f>IF(TRUE=ISBLANK(ChemData!R258),"",(ChemData!R258))</f>
        <v>153959.47403110462</v>
      </c>
      <c r="O258" s="290">
        <f>IF(TRUE=ISBLANK(ChemData!S258),"",(ChemData!S258))</f>
        <v>1</v>
      </c>
      <c r="P258" s="291">
        <f>IF(TRUE=ISBLANK(ChemData!T258),"",(ChemData!T258))</f>
        <v>1</v>
      </c>
      <c r="Q258" s="375" t="str">
        <f>IF(Start!$C$18="x",IF(OR(K258="NA",K258="",K258="--"),"NA",(K258*1000000/82.1/Data!$D$50)),"---")</f>
        <v>NA</v>
      </c>
      <c r="R258" s="376">
        <f>IF(Start!$C$18="x",IF(OR(J258="NA",J258=0,J258=""),"NA",(0.32*(Data!$D$48+Data!$D$49)*(18/J258)^0.5)),"---")</f>
        <v>0.18948231781925581</v>
      </c>
      <c r="S258" s="376">
        <f>IF(Start!$C$18="x",IF(OR(J258="NA",J258= 0,J258=""),"NA",(0.0065*((Data!$D$49^0.969)/(Data!$D$51^0.673))*(32/J258)^0.5*EXP(0.526*Data!$D$48^-1.9))),"---")</f>
        <v>3.9937681401693389E-4</v>
      </c>
      <c r="T258" s="377" t="str">
        <f>IF(Start!$C$18="x",IF(OR(S258="NA",R258="NA",R258=0,Q258="NA",S258=0,Q258=0),"NA",(1/(1/S258+(1/(R258*Q258))))),"---")</f>
        <v>NA</v>
      </c>
      <c r="U258" s="375" t="str">
        <f>IF(Start!$C$18="x",IF(OR(F258="NA",F258="",O258="",O258="NA"),"NA",(F258*$O258)),"---")</f>
        <v>NA</v>
      </c>
      <c r="V258" s="376" t="str">
        <f>IF(Start!$C$18="x",IF(OR(U258="NA",M258="NA",M258="",U258=""),"NA",U258/((Data!$D$18+((1-Data!$D$18)*Data!$D$14*M258))/((1-Data!$D$18)*Data!$D$14*1000))),"---")</f>
        <v>NA</v>
      </c>
      <c r="W258" s="376" t="str">
        <f>IF(Start!$C$18="x",IF(OR(G258="NA",U258="NA",G258="",U258=""),"NA",(U258 +($G258*(Data!$D$19-Data!$D$22)/(Data!$D$19*Data!$D$22)))),"---")</f>
        <v>NA</v>
      </c>
      <c r="X258" s="376" t="str">
        <f>IF(Start!$C$18="x",IF(OR(G258="NA",V258="NA",G258="",V258=""),"NA",(((Data!$D$22*Data!$D$18)*V258)+(Data!$D$19-Data!$D$22)*$G258)/((Data!$D$22*Data!$D$18)+Data!$D$19-Data!$D$22)),"---")</f>
        <v>NA</v>
      </c>
      <c r="Y258" s="376" t="str">
        <f>IF(Start!$C$18="x",IF(OR(W258="NA",W258="",M258="NA",M258=""),"NA",(W258/((Data!$D$23+((1-Data!$D$23)*Data!$D$14*M258)) /((1-Data!$D$23)*Data!$D$14*1000)))),"---")</f>
        <v>NA</v>
      </c>
      <c r="Z258" s="376" t="str">
        <f>IF(Start!$C$18="x",IF(OR(Y258="NA",X258="NA"),"NA",IF(Y258&gt;X258, Y258, X258)),"---")</f>
        <v>NA</v>
      </c>
      <c r="AA258" s="461" t="str">
        <f>IF(Start!$C$18="x",IF(OR(Z258="NA",T258="NA"),"NA",Z258*T258/(1000000000)),"---")</f>
        <v>NA</v>
      </c>
      <c r="AB258" s="1057" t="str">
        <f>IF(Start!$C$18="x",IF(AA258 = "NA", "NA", AA258*(Data!$D$52*Data!$D$53*10000)),"---")</f>
        <v>NA</v>
      </c>
      <c r="AC258" s="375" t="str">
        <f>IF(Start!$C$18="x",IF(AB258="NA", "NA", AB258*Data!$D$54),"---")</f>
        <v>NA</v>
      </c>
      <c r="AD258" s="498" t="str">
        <f>IF(Start!$C$18="x",IF(AC258="NA","NA",AC258*Data!$D$41),"---")</f>
        <v>NA</v>
      </c>
      <c r="AE258" s="376" t="str">
        <f>IF(Start!$C$18="x",IF(AB258 = "NA", "NA", AB258/(Data!$D$53*3*Data!$D$48)*1000),"---")</f>
        <v>NA</v>
      </c>
      <c r="AF258" s="498" t="str">
        <f>IF(Start!$C$18="x",IF(AE258="NA","NA",AE258*Data!$D$46),"---")</f>
        <v>NA</v>
      </c>
      <c r="AG258" s="375" t="str">
        <f>IF(Start!$C$18="x",IF(OR($L258="NA",L258=""),"NA",($L258*(Data!$D$55^3.33)/(Data!$D$18^2))),"---")</f>
        <v>NA</v>
      </c>
      <c r="AH258" s="376" t="str">
        <f>IF(Start!$C$18="x",IF(OR(F258="NA",F258="",P258="NA",P258=""),"NA",IF(100/Data!$D$10&gt;Data!$D$13,(F258*$P258),(F258*$P258)*Data!$D$13)),"---")</f>
        <v>NA</v>
      </c>
      <c r="AI258" s="489" t="str">
        <f>IF(Start!$C$18="x",IF(OR($N258="NA",$Q258="NA",$Q258=0,Q258="",N258=""),"NA",(1000*$N258/$Q258)),"---")</f>
        <v>NA</v>
      </c>
      <c r="AJ258" s="376" t="str">
        <f>IF(Start!$C$18="x",IF(OR(Q258 = "NA",Q258=0,N258 = "NA",N258="",Q258=""), "NA", IF($AG258="NA","NA",(3.1416*Data!$D$57*86400/($AG258*(Data!$D$55+(N258*Data!$D$19/(Q258*1000)))))^0.5)),"---")</f>
        <v>NA</v>
      </c>
      <c r="AK258" s="376" t="str">
        <f>IF(Start!$C$18="x",IF(OR(AH258 = "NA",AI258="NA",AI258=0,AI258="",AH258=""), "NA", AH258/AI258),"---")</f>
        <v>NA</v>
      </c>
      <c r="AL258" s="376" t="str">
        <f>IF(Start!$C$18="x",IF(OR(AK258 ="NA",AK258="",AJ258= "NA",R258="NA",R258=0),"NA",(2*AK258)/(1000*(1/$R258+AJ258))),"---")</f>
        <v>NA</v>
      </c>
      <c r="AM258" s="376" t="str">
        <f>IF(Start!$C$18="x",IF(AL258 = "NA", "NA", AL258*(Data!$D$52*Data!$D$53*10000)),"---")</f>
        <v>NA</v>
      </c>
      <c r="AN258" s="376" t="str">
        <f>IF(Start!$C$18="x",IF(AM258 = "NA", "NA", AM258*(Data!$D$54)),"---")</f>
        <v>NA</v>
      </c>
      <c r="AO258" s="498" t="str">
        <f>IF(Start!$C$18="x",IF(AN258="NA","NA",AN258*Data!$D$41),"---")</f>
        <v>NA</v>
      </c>
      <c r="AP258" s="376" t="str">
        <f>IF(Start!$C$18="x",IF(OR(Q258=0,N258="NA",N258="",AG258="NA",AG258="",AG258=0,Q258="",Q258="NA"),"NA", (3.1416*Data!$D$56*86400/($AG258*(Data!$D$55+(N258*Data!$D$19/(Q258*1000)))))^0.5),"---")</f>
        <v>NA</v>
      </c>
      <c r="AQ258" s="376" t="str">
        <f>IF(Start!$C$18="x",IF(OR(AH258="NA",AI258="NA",AI258="",AI258=0,AH258=""),"NA", AH258/AI258),"---")</f>
        <v>NA</v>
      </c>
      <c r="AR258" s="376" t="str">
        <f>IF(Start!$C$18="x",IF(OR(AQ258="NA",AP258="NA",$R258="NA",R258=0,R258=""),"NA",(2*AQ258)/(1000*(1/$R258+AP258))),"---")</f>
        <v>NA</v>
      </c>
      <c r="AS258" s="376" t="str">
        <f>IF(Start!$C$18="x",IF(AR258 = "NA", "NA", AR258*(Data!$D$52*Data!$D$53*10000)),"---")</f>
        <v>NA</v>
      </c>
      <c r="AT258" s="376" t="str">
        <f>IF(Start!$C$18="x",IF(AS258 = "NA", "NA", (AS258*1000)/(Data!$D$48*3*Data!$D$53)),"---")</f>
        <v>NA</v>
      </c>
      <c r="AU258" s="498" t="str">
        <f>IF(Start!$C$18="x",IF(AT258="NA","NA",AT258*Data!$D$47),"---")</f>
        <v>NA</v>
      </c>
      <c r="AV258" s="283" t="str">
        <f>IF(Start!$C$18="x",(IF(AND(F258="",G258= "",G258&lt;&gt;"NA"),"",IF(OR(AD258="NA",I258="NA",I258=0),"NA",(AD258/I258)))),"Not Req.")</f>
        <v/>
      </c>
      <c r="AW258" s="284" t="str">
        <f>IF(Start!$C$18="x",(IF(AND(F258="",G258= "",G258&lt;&gt;"NA"),"",IF(OR(AF258="NA",I258="NA",I258=0),"NA",(AF258/I258)))),"Not Req.")</f>
        <v/>
      </c>
      <c r="AX258" s="284" t="str">
        <f>IF(Start!$C$18="x",(IF(F258 ="","",IF(OR(AO258="NA",I258="NA",I258=0),"NA",(AO258/I258)))),"Not Req.")</f>
        <v/>
      </c>
      <c r="AY258" s="344" t="str">
        <f>IF(Start!$C$18="x",(IF(F258 ="","",IF(OR(AU258="NA",I258="NA",I258=0),"NA",(AU258/I258)))),"Not Req.")</f>
        <v/>
      </c>
      <c r="AZ258" s="208"/>
    </row>
    <row r="259" spans="1:52" s="183" customFormat="1" x14ac:dyDescent="0.25">
      <c r="A259" s="405" t="s">
        <v>577</v>
      </c>
      <c r="B259" s="347" t="str">
        <f>IF(Start!$C$18="x",IF(AND(OR(F259="",F259="NA"),OR(G259="",G259="NA")),"",IF(I259="NA","NA",IF(AND(I259="",K259="--"),"NA",IF(AD259="NA","Missing Data",IF(I259="","No Criteria",IF(AD259&gt;=I259,"Needed","No")))))),"---")</f>
        <v/>
      </c>
      <c r="C259" s="501" t="str">
        <f>IF(Start!$C$18="x",IF(AND(OR(F259="",F259="NA"),OR(G259="",G259="NA")),"",IF(I259="NA","NA",IF(AND(I259="",K259="--"),"NA",IF(AF259="NA","Missing Data",IF(I259="","No Criteria",IF(AF259&gt;=I259,"Needed","No")))))),"---")</f>
        <v/>
      </c>
      <c r="D259" s="347" t="str">
        <f>IF(Start!$C$18="x",IF(AND(OR(F259="",F259="NA"),OR(G259="",G259="NA")),"",IF(I259="NA","NA",IF(AND(I259="",K259="--"),"NA",IF(AO259="NA","Missing Data",IF(I259="","No Criteria",IF(AO259&gt;=I259,"Needed","No")))))),"---")</f>
        <v/>
      </c>
      <c r="E259" s="401" t="str">
        <f>IF(Start!$C$18="x",IF(AND(OR(F259="",F259="NA"),OR(G259="",G259="NA")),"",IF(I259="NA","NA",IF(AND(I259="",K259="--"),"NA",IF(AU259="NA","Missing Data",IF(I259="","No Criteria",IF(AU259&gt;=I259,"Needed","No")))))),"---")</f>
        <v/>
      </c>
      <c r="F259" s="431" t="str">
        <f>IF(TRUE=ISBLANK(ChemData!B259),"",(ChemData!B259))</f>
        <v/>
      </c>
      <c r="G259" s="432" t="str">
        <f>IF(TRUE=ISBLANK(ChemData!C259),"",(ChemData!C259))</f>
        <v/>
      </c>
      <c r="H259" s="433" t="str">
        <f>IF(TRUE=ISBLANK(ChemData!D259),"",(ChemData!D259))</f>
        <v/>
      </c>
      <c r="I259" s="919" t="str">
        <f>IF(TRUE=ISBLANK(ChemData!K259),"",(ChemData!K259))</f>
        <v>NA</v>
      </c>
      <c r="J259" s="290">
        <f>IF(TRUE=ISBLANK(ChemData!M259),"",(ChemData!M259))</f>
        <v>322</v>
      </c>
      <c r="K259" s="290">
        <f>IF(TRUE=ISBLANK(ChemData!N259),"",(ChemData!N259))</f>
        <v>1.5999999999999999E-5</v>
      </c>
      <c r="L259" s="290">
        <f>IF(TRUE=ISBLANK(ChemData!O259),"",(ChemData!O259))</f>
        <v>0.15023060480996905</v>
      </c>
      <c r="M259" s="290">
        <f>IF(TRUE=ISBLANK(ChemData!Q259),"",(ChemData!Q259))</f>
        <v>116790.20446328387</v>
      </c>
      <c r="N259" s="290">
        <f>IF(TRUE=ISBLANK(ChemData!R259),"",(ChemData!R259))</f>
        <v>116790.20446328387</v>
      </c>
      <c r="O259" s="290">
        <f>IF(TRUE=ISBLANK(ChemData!S259),"",(ChemData!S259))</f>
        <v>1</v>
      </c>
      <c r="P259" s="291">
        <f>IF(TRUE=ISBLANK(ChemData!T259),"",(ChemData!T259))</f>
        <v>1</v>
      </c>
      <c r="Q259" s="375">
        <f>IF(Start!$C$18="x",IF(OR(K259="NA",K259="",K259="--"),"NA",(K259*1000000/82.1/Data!$D$50)),"---")</f>
        <v>6.2865899178814199E-4</v>
      </c>
      <c r="R259" s="376">
        <f>IF(Start!$C$18="x",IF(OR(J259="NA",J259=0,J259=""),"NA",(0.32*(Data!$D$48+Data!$D$49)*(18/J259)^0.5)),"---")</f>
        <v>0.19482089242230569</v>
      </c>
      <c r="S259" s="376">
        <f>IF(Start!$C$18="x",IF(OR(J259="NA",J259= 0,J259=""),"NA",(0.0065*((Data!$D$49^0.969)/(Data!$D$51^0.673))*(32/J259)^0.5*EXP(0.526*Data!$D$48^-1.9))),"---")</f>
        <v>4.1062906668565811E-4</v>
      </c>
      <c r="T259" s="377">
        <f>IF(Start!$C$18="x",IF(OR(S259="NA",R259="NA",R259=0,Q259="NA",S259=0,Q259=0),"NA",(1/(1/S259+(1/(R259*Q259))))),"---")</f>
        <v>9.433820633605835E-5</v>
      </c>
      <c r="U259" s="375" t="str">
        <f>IF(Start!$C$18="x",IF(OR(F259="NA",F259="",O259="",O259="NA"),"NA",(F259*$O259)),"---")</f>
        <v>NA</v>
      </c>
      <c r="V259" s="376" t="str">
        <f>IF(Start!$C$18="x",IF(OR(U259="NA",M259="NA",M259="",U259=""),"NA",U259/((Data!$D$18+((1-Data!$D$18)*Data!$D$14*M259))/((1-Data!$D$18)*Data!$D$14*1000))),"---")</f>
        <v>NA</v>
      </c>
      <c r="W259" s="376" t="str">
        <f>IF(Start!$C$18="x",IF(OR(G259="NA",U259="NA",G259="",U259=""),"NA",(U259 +($G259*(Data!$D$19-Data!$D$22)/(Data!$D$19*Data!$D$22)))),"---")</f>
        <v>NA</v>
      </c>
      <c r="X259" s="376" t="str">
        <f>IF(Start!$C$18="x",IF(OR(G259="NA",V259="NA",G259="",V259=""),"NA",(((Data!$D$22*Data!$D$18)*V259)+(Data!$D$19-Data!$D$22)*$G259)/((Data!$D$22*Data!$D$18)+Data!$D$19-Data!$D$22)),"---")</f>
        <v>NA</v>
      </c>
      <c r="Y259" s="376" t="str">
        <f>IF(Start!$C$18="x",IF(OR(W259="NA",W259="",M259="NA",M259=""),"NA",(W259/((Data!$D$23+((1-Data!$D$23)*Data!$D$14*M259)) /((1-Data!$D$23)*Data!$D$14*1000)))),"---")</f>
        <v>NA</v>
      </c>
      <c r="Z259" s="376" t="str">
        <f>IF(Start!$C$18="x",IF(OR(Y259="NA",X259="NA"),"NA",IF(Y259&gt;X259, Y259, X259)),"---")</f>
        <v>NA</v>
      </c>
      <c r="AA259" s="461" t="str">
        <f>IF(Start!$C$18="x",IF(OR(Z259="NA",T259="NA"),"NA",Z259*T259/(1000000000)),"---")</f>
        <v>NA</v>
      </c>
      <c r="AB259" s="1057" t="str">
        <f>IF(Start!$C$18="x",IF(AA259 = "NA", "NA", AA259*(Data!$D$52*Data!$D$53*10000)),"---")</f>
        <v>NA</v>
      </c>
      <c r="AC259" s="375" t="str">
        <f>IF(Start!$C$18="x",IF(AB259="NA", "NA", AB259*Data!$D$54),"---")</f>
        <v>NA</v>
      </c>
      <c r="AD259" s="498" t="str">
        <f>IF(Start!$C$18="x",IF(AC259="NA","NA",AC259*Data!$D$41),"---")</f>
        <v>NA</v>
      </c>
      <c r="AE259" s="376" t="str">
        <f>IF(Start!$C$18="x",IF(AB259 = "NA", "NA", AB259/(Data!$D$53*3*Data!$D$48)*1000),"---")</f>
        <v>NA</v>
      </c>
      <c r="AF259" s="498" t="str">
        <f>IF(Start!$C$18="x",IF(AE259="NA","NA",AE259*Data!$D$46),"---")</f>
        <v>NA</v>
      </c>
      <c r="AG259" s="375">
        <f>IF(Start!$C$18="x",IF(OR($L259="NA",L259=""),"NA",($L259*(Data!$D$55^3.33)/(Data!$D$18^2))),"---")</f>
        <v>1.5304733349823327E-3</v>
      </c>
      <c r="AH259" s="376" t="str">
        <f>IF(Start!$C$18="x",IF(OR(F259="NA",F259="",P259="NA",P259=""),"NA",IF(100/Data!$D$10&gt;Data!$D$13,(F259*$P259),(F259*$P259)*Data!$D$13)),"---")</f>
        <v>NA</v>
      </c>
      <c r="AI259" s="489">
        <f>IF(Start!$C$18="x",IF(OR($N259="NA",$Q259="NA",$Q259=0,Q259="",N259=""),"NA",(1000*$N259/$Q259)),"---")</f>
        <v>185776718362.18982</v>
      </c>
      <c r="AJ259" s="376">
        <f>IF(Start!$C$18="x",IF(OR(Q259 = "NA",Q259=0,N259 = "NA",N259="",Q259=""), "NA", IF($AG259="NA","NA",(3.1416*Data!$D$57*86400/($AG259*(Data!$D$55+(N259*Data!$D$19/(Q259*1000)))))^0.5)),"---")</f>
        <v>5.8068254993812829</v>
      </c>
      <c r="AK259" s="376" t="str">
        <f>IF(Start!$C$18="x",IF(OR(AH259 = "NA",AI259="NA",AI259=0,AI259="",AH259=""), "NA", AH259/AI259),"---")</f>
        <v>NA</v>
      </c>
      <c r="AL259" s="376" t="str">
        <f>IF(Start!$C$18="x",IF(OR(AK259 ="NA",AK259="",AJ259= "NA",R259="NA",R259=0),"NA",(2*AK259)/(1000*(1/$R259+AJ259))),"---")</f>
        <v>NA</v>
      </c>
      <c r="AM259" s="376" t="str">
        <f>IF(Start!$C$18="x",IF(AL259 = "NA", "NA", AL259*(Data!$D$52*Data!$D$53*10000)),"---")</f>
        <v>NA</v>
      </c>
      <c r="AN259" s="376" t="str">
        <f>IF(Start!$C$18="x",IF(AM259 = "NA", "NA", AM259*(Data!$D$54)),"---")</f>
        <v>NA</v>
      </c>
      <c r="AO259" s="498" t="str">
        <f>IF(Start!$C$18="x",IF(AN259="NA","NA",AN259*Data!$D$41),"---")</f>
        <v>NA</v>
      </c>
      <c r="AP259" s="376">
        <f>IF(Start!$C$18="x",IF(OR(Q259=0,N259="NA",N259="",AG259="NA",AG259="",AG259=0,Q259="",Q259="NA"),"NA", (3.1416*Data!$D$56*86400/($AG259*(Data!$D$55+(N259*Data!$D$19/(Q259*1000)))))^0.5),"---")</f>
        <v>5.8068254993812829</v>
      </c>
      <c r="AQ259" s="376" t="str">
        <f>IF(Start!$C$18="x",IF(OR(AH259="NA",AI259="NA",AI259="",AI259=0,AH259=""),"NA", AH259/AI259),"---")</f>
        <v>NA</v>
      </c>
      <c r="AR259" s="376" t="str">
        <f>IF(Start!$C$18="x",IF(OR(AQ259="NA",AP259="NA",$R259="NA",R259=0,R259=""),"NA",(2*AQ259)/(1000*(1/$R259+AP259))),"---")</f>
        <v>NA</v>
      </c>
      <c r="AS259" s="376" t="str">
        <f>IF(Start!$C$18="x",IF(AR259 = "NA", "NA", AR259*(Data!$D$52*Data!$D$53*10000)),"---")</f>
        <v>NA</v>
      </c>
      <c r="AT259" s="376" t="str">
        <f>IF(Start!$C$18="x",IF(AS259 = "NA", "NA", (AS259*1000)/(Data!$D$48*3*Data!$D$53)),"---")</f>
        <v>NA</v>
      </c>
      <c r="AU259" s="498" t="str">
        <f>IF(Start!$C$18="x",IF(AT259="NA","NA",AT259*Data!$D$47),"---")</f>
        <v>NA</v>
      </c>
      <c r="AV259" s="283" t="str">
        <f>IF(Start!$C$18="x",(IF(AND(F259="",G259= "",G259&lt;&gt;"NA"),"",IF(OR(AD259="NA",I259="NA",I259=0),"NA",(AD259/I259)))),"Not Req.")</f>
        <v/>
      </c>
      <c r="AW259" s="284" t="str">
        <f>IF(Start!$C$18="x",(IF(AND(F259="",G259= "",G259&lt;&gt;"NA"),"",IF(OR(AF259="NA",I259="NA",I259=0),"NA",(AF259/I259)))),"Not Req.")</f>
        <v/>
      </c>
      <c r="AX259" s="284" t="str">
        <f>IF(Start!$C$18="x",(IF(F259 ="","",IF(OR(AO259="NA",I259="NA",I259=0),"NA",(AO259/I259)))),"Not Req.")</f>
        <v/>
      </c>
      <c r="AY259" s="344" t="str">
        <f>IF(Start!$C$18="x",(IF(F259 ="","",IF(OR(AU259="NA",I259="NA",I259=0),"NA",(AU259/I259)))),"Not Req.")</f>
        <v/>
      </c>
      <c r="AZ259" s="208"/>
    </row>
    <row r="260" spans="1:52" s="183" customFormat="1" x14ac:dyDescent="0.25">
      <c r="A260" s="405" t="s">
        <v>578</v>
      </c>
      <c r="B260" s="347" t="str">
        <f>IF(Start!$C$18="x",IF(AND(OR(F260="",F260="NA"),OR(G260="",G260="NA")),"",IF(I260="NA","NA",IF(AND(I260="",K260="--"),"NA",IF(AD260="NA","Missing Data",IF(I260="","No Criteria",IF(AD260&gt;=I260,"Needed","No")))))),"---")</f>
        <v/>
      </c>
      <c r="C260" s="501" t="str">
        <f>IF(Start!$C$18="x",IF(AND(OR(F260="",F260="NA"),OR(G260="",G260="NA")),"",IF(I260="NA","NA",IF(AND(I260="",K260="--"),"NA",IF(AF260="NA","Missing Data",IF(I260="","No Criteria",IF(AF260&gt;=I260,"Needed","No")))))),"---")</f>
        <v/>
      </c>
      <c r="D260" s="347" t="str">
        <f>IF(Start!$C$18="x",IF(AND(OR(F260="",F260="NA"),OR(G260="",G260="NA")),"",IF(I260="NA","NA",IF(AND(I260="",K260="--"),"NA",IF(AO260="NA","Missing Data",IF(I260="","No Criteria",IF(AO260&gt;=I260,"Needed","No")))))),"---")</f>
        <v/>
      </c>
      <c r="E260" s="401" t="str">
        <f>IF(Start!$C$18="x",IF(AND(OR(F260="",F260="NA"),OR(G260="",G260="NA")),"",IF(I260="NA","NA",IF(AND(I260="",K260="--"),"NA",IF(AU260="NA","Missing Data",IF(I260="","No Criteria",IF(AU260&gt;=I260,"Needed","No")))))),"---")</f>
        <v/>
      </c>
      <c r="F260" s="431" t="str">
        <f>IF(TRUE=ISBLANK(ChemData!B260),"",(ChemData!B260))</f>
        <v/>
      </c>
      <c r="G260" s="432" t="str">
        <f>IF(TRUE=ISBLANK(ChemData!C260),"",(ChemData!C260))</f>
        <v/>
      </c>
      <c r="H260" s="433" t="str">
        <f>IF(TRUE=ISBLANK(ChemData!D260),"",(ChemData!D260))</f>
        <v/>
      </c>
      <c r="I260" s="919" t="str">
        <f>IF(TRUE=ISBLANK(ChemData!K260),"",(ChemData!K260))</f>
        <v>NA</v>
      </c>
      <c r="J260" s="290">
        <f>IF(TRUE=ISBLANK(ChemData!M260),"",(ChemData!M260))</f>
        <v>306</v>
      </c>
      <c r="K260" s="290">
        <f>IF(TRUE=ISBLANK(ChemData!N260),"",(ChemData!N260))</f>
        <v>1.13E-4</v>
      </c>
      <c r="L260" s="290">
        <f>IF(TRUE=ISBLANK(ChemData!O260),"",(ChemData!O260))</f>
        <v>0.15055445013591703</v>
      </c>
      <c r="M260" s="290">
        <f>IF(TRUE=ISBLANK(ChemData!Q260),"",(ChemData!Q260))</f>
        <v>62720.053301366483</v>
      </c>
      <c r="N260" s="290">
        <f>IF(TRUE=ISBLANK(ChemData!R260),"",(ChemData!R260))</f>
        <v>62720.053301366483</v>
      </c>
      <c r="O260" s="290">
        <f>IF(TRUE=ISBLANK(ChemData!S260),"",(ChemData!S260))</f>
        <v>1</v>
      </c>
      <c r="P260" s="291">
        <f>IF(TRUE=ISBLANK(ChemData!T260),"",(ChemData!T260))</f>
        <v>1</v>
      </c>
      <c r="Q260" s="375">
        <f>IF(Start!$C$18="x",IF(OR(K260="NA",K260="",K260="--"),"NA",(K260*1000000/82.1/Data!$D$50)),"---")</f>
        <v>4.4399041295037521E-3</v>
      </c>
      <c r="R260" s="376">
        <f>IF(Start!$C$18="x",IF(OR(J260="NA",J260=0,J260=""),"NA",(0.32*(Data!$D$48+Data!$D$49)*(18/J260)^0.5)),"---")</f>
        <v>0.19984935502993839</v>
      </c>
      <c r="S260" s="376">
        <f>IF(Start!$C$18="x",IF(OR(J260="NA",J260= 0,J260=""),"NA",(0.0065*((Data!$D$49^0.969)/(Data!$D$51^0.673))*(32/J260)^0.5*EXP(0.526*Data!$D$48^-1.9))),"---")</f>
        <v>4.2122768822856787E-4</v>
      </c>
      <c r="T260" s="377">
        <f>IF(Start!$C$18="x",IF(OR(S260="NA",R260="NA",R260=0,Q260="NA",S260=0,Q260=0),"NA",(1/(1/S260+(1/(R260*Q260))))),"---")</f>
        <v>2.8563167223518777E-4</v>
      </c>
      <c r="U260" s="375" t="str">
        <f>IF(Start!$C$18="x",IF(OR(F260="NA",F260="",O260="",O260="NA"),"NA",(F260*$O260)),"---")</f>
        <v>NA</v>
      </c>
      <c r="V260" s="376" t="str">
        <f>IF(Start!$C$18="x",IF(OR(U260="NA",M260="NA",M260="",U260=""),"NA",U260/((Data!$D$18+((1-Data!$D$18)*Data!$D$14*M260))/((1-Data!$D$18)*Data!$D$14*1000))),"---")</f>
        <v>NA</v>
      </c>
      <c r="W260" s="376" t="str">
        <f>IF(Start!$C$18="x",IF(OR(G260="NA",U260="NA",G260="",U260=""),"NA",(U260 +($G260*(Data!$D$19-Data!$D$22)/(Data!$D$19*Data!$D$22)))),"---")</f>
        <v>NA</v>
      </c>
      <c r="X260" s="376" t="str">
        <f>IF(Start!$C$18="x",IF(OR(G260="NA",V260="NA",G260="",V260=""),"NA",(((Data!$D$22*Data!$D$18)*V260)+(Data!$D$19-Data!$D$22)*$G260)/((Data!$D$22*Data!$D$18)+Data!$D$19-Data!$D$22)),"---")</f>
        <v>NA</v>
      </c>
      <c r="Y260" s="376" t="str">
        <f>IF(Start!$C$18="x",IF(OR(W260="NA",W260="",M260="NA",M260=""),"NA",(W260/((Data!$D$23+((1-Data!$D$23)*Data!$D$14*M260)) /((1-Data!$D$23)*Data!$D$14*1000)))),"---")</f>
        <v>NA</v>
      </c>
      <c r="Z260" s="376" t="str">
        <f>IF(Start!$C$18="x",IF(OR(Y260="NA",X260="NA"),"NA",IF(Y260&gt;X260, Y260, X260)),"---")</f>
        <v>NA</v>
      </c>
      <c r="AA260" s="461" t="str">
        <f>IF(Start!$C$18="x",IF(OR(Z260="NA",T260="NA"),"NA",Z260*T260/(1000000000)),"---")</f>
        <v>NA</v>
      </c>
      <c r="AB260" s="1057" t="str">
        <f>IF(Start!$C$18="x",IF(AA260 = "NA", "NA", AA260*(Data!$D$52*Data!$D$53*10000)),"---")</f>
        <v>NA</v>
      </c>
      <c r="AC260" s="375" t="str">
        <f>IF(Start!$C$18="x",IF(AB260="NA", "NA", AB260*Data!$D$54),"---")</f>
        <v>NA</v>
      </c>
      <c r="AD260" s="498" t="str">
        <f>IF(Start!$C$18="x",IF(AC260="NA","NA",AC260*Data!$D$41),"---")</f>
        <v>NA</v>
      </c>
      <c r="AE260" s="376" t="str">
        <f>IF(Start!$C$18="x",IF(AB260 = "NA", "NA", AB260/(Data!$D$53*3*Data!$D$48)*1000),"---")</f>
        <v>NA</v>
      </c>
      <c r="AF260" s="498" t="str">
        <f>IF(Start!$C$18="x",IF(AE260="NA","NA",AE260*Data!$D$46),"---")</f>
        <v>NA</v>
      </c>
      <c r="AG260" s="375">
        <f>IF(Start!$C$18="x",IF(OR($L260="NA",L260=""),"NA",($L260*(Data!$D$55^3.33)/(Data!$D$18^2))),"---")</f>
        <v>1.5337725071892807E-3</v>
      </c>
      <c r="AH260" s="376" t="str">
        <f>IF(Start!$C$18="x",IF(OR(F260="NA",F260="",P260="NA",P260=""),"NA",IF(100/Data!$D$10&gt;Data!$D$13,(F260*$P260),(F260*$P260)*Data!$D$13)),"---")</f>
        <v>NA</v>
      </c>
      <c r="AI260" s="489">
        <f>IF(Start!$C$18="x",IF(OR($N260="NA",$Q260="NA",$Q260=0,Q260="",N260=""),"NA",(1000*$N260/$Q260)),"---")</f>
        <v>14126443155.513969</v>
      </c>
      <c r="AJ260" s="376">
        <f>IF(Start!$C$18="x",IF(OR(Q260 = "NA",Q260=0,N260 = "NA",N260="",Q260=""), "NA", IF($AG260="NA","NA",(3.1416*Data!$D$57*86400/($AG260*(Data!$D$55+(N260*Data!$D$19/(Q260*1000)))))^0.5)),"---")</f>
        <v>21.035382410926189</v>
      </c>
      <c r="AK260" s="376" t="str">
        <f>IF(Start!$C$18="x",IF(OR(AH260 = "NA",AI260="NA",AI260=0,AI260="",AH260=""), "NA", AH260/AI260),"---")</f>
        <v>NA</v>
      </c>
      <c r="AL260" s="376" t="str">
        <f>IF(Start!$C$18="x",IF(OR(AK260 ="NA",AK260="",AJ260= "NA",R260="NA",R260=0),"NA",(2*AK260)/(1000*(1/$R260+AJ260))),"---")</f>
        <v>NA</v>
      </c>
      <c r="AM260" s="376" t="str">
        <f>IF(Start!$C$18="x",IF(AL260 = "NA", "NA", AL260*(Data!$D$52*Data!$D$53*10000)),"---")</f>
        <v>NA</v>
      </c>
      <c r="AN260" s="376" t="str">
        <f>IF(Start!$C$18="x",IF(AM260 = "NA", "NA", AM260*(Data!$D$54)),"---")</f>
        <v>NA</v>
      </c>
      <c r="AO260" s="498" t="str">
        <f>IF(Start!$C$18="x",IF(AN260="NA","NA",AN260*Data!$D$41),"---")</f>
        <v>NA</v>
      </c>
      <c r="AP260" s="376">
        <f>IF(Start!$C$18="x",IF(OR(Q260=0,N260="NA",N260="",AG260="NA",AG260="",AG260=0,Q260="",Q260="NA"),"NA", (3.1416*Data!$D$56*86400/($AG260*(Data!$D$55+(N260*Data!$D$19/(Q260*1000)))))^0.5),"---")</f>
        <v>21.035382410926189</v>
      </c>
      <c r="AQ260" s="376" t="str">
        <f>IF(Start!$C$18="x",IF(OR(AH260="NA",AI260="NA",AI260="",AI260=0,AH260=""),"NA", AH260/AI260),"---")</f>
        <v>NA</v>
      </c>
      <c r="AR260" s="376" t="str">
        <f>IF(Start!$C$18="x",IF(OR(AQ260="NA",AP260="NA",$R260="NA",R260=0,R260=""),"NA",(2*AQ260)/(1000*(1/$R260+AP260))),"---")</f>
        <v>NA</v>
      </c>
      <c r="AS260" s="376" t="str">
        <f>IF(Start!$C$18="x",IF(AR260 = "NA", "NA", AR260*(Data!$D$52*Data!$D$53*10000)),"---")</f>
        <v>NA</v>
      </c>
      <c r="AT260" s="376" t="str">
        <f>IF(Start!$C$18="x",IF(AS260 = "NA", "NA", (AS260*1000)/(Data!$D$48*3*Data!$D$53)),"---")</f>
        <v>NA</v>
      </c>
      <c r="AU260" s="498" t="str">
        <f>IF(Start!$C$18="x",IF(AT260="NA","NA",AT260*Data!$D$47),"---")</f>
        <v>NA</v>
      </c>
      <c r="AV260" s="283" t="str">
        <f>IF(Start!$C$18="x",(IF(AND(F260="",G260= "",G260&lt;&gt;"NA"),"",IF(OR(AD260="NA",I260="NA",I260=0),"NA",(AD260/I260)))),"Not Req.")</f>
        <v/>
      </c>
      <c r="AW260" s="284" t="str">
        <f>IF(Start!$C$18="x",(IF(AND(F260="",G260= "",G260&lt;&gt;"NA"),"",IF(OR(AF260="NA",I260="NA",I260=0),"NA",(AF260/I260)))),"Not Req.")</f>
        <v/>
      </c>
      <c r="AX260" s="284" t="str">
        <f>IF(Start!$C$18="x",(IF(F260 ="","",IF(OR(AO260="NA",I260="NA",I260=0),"NA",(AO260/I260)))),"Not Req.")</f>
        <v/>
      </c>
      <c r="AY260" s="344" t="str">
        <f>IF(Start!$C$18="x",(IF(F260 ="","",IF(OR(AU260="NA",I260="NA",I260=0),"NA",(AU260/I260)))),"Not Req.")</f>
        <v/>
      </c>
      <c r="AZ260" s="208"/>
    </row>
    <row r="261" spans="1:52" s="183" customFormat="1" x14ac:dyDescent="0.25">
      <c r="A261" s="405" t="s">
        <v>579</v>
      </c>
      <c r="B261" s="347" t="str">
        <f>IF(Start!$C$18="x",IF(AND(OR(F261="",F261="NA"),OR(G261="",G261="NA")),"",IF(I261="NA","NA",IF(AND(I261="",K261="--"),"NA",IF(AD261="NA","Missing Data",IF(I261="","No Criteria",IF(AD261&gt;=I261,"Needed","No")))))),"---")</f>
        <v/>
      </c>
      <c r="C261" s="501" t="str">
        <f>IF(Start!$C$18="x",IF(AND(OR(F261="",F261="NA"),OR(G261="",G261="NA")),"",IF(I261="NA","NA",IF(AND(I261="",K261="--"),"NA",IF(AF261="NA","Missing Data",IF(I261="","No Criteria",IF(AF261&gt;=I261,"Needed","No")))))),"---")</f>
        <v/>
      </c>
      <c r="D261" s="347" t="str">
        <f>IF(Start!$C$18="x",IF(AND(OR(F261="",F261="NA"),OR(G261="",G261="NA")),"",IF(I261="NA","NA",IF(AND(I261="",K261="--"),"NA",IF(AO261="NA","Missing Data",IF(I261="","No Criteria",IF(AO261&gt;=I261,"Needed","No")))))),"---")</f>
        <v/>
      </c>
      <c r="E261" s="401" t="str">
        <f>IF(Start!$C$18="x",IF(AND(OR(F261="",F261="NA"),OR(G261="",G261="NA")),"",IF(I261="NA","NA",IF(AND(I261="",K261="--"),"NA",IF(AU261="NA","Missing Data",IF(I261="","No Criteria",IF(AU261&gt;=I261,"Needed","No")))))),"---")</f>
        <v/>
      </c>
      <c r="F261" s="431" t="str">
        <f>IF(TRUE=ISBLANK(ChemData!B261),"",(ChemData!B261))</f>
        <v/>
      </c>
      <c r="G261" s="432" t="str">
        <f>IF(TRUE=ISBLANK(ChemData!C261),"",(ChemData!C261))</f>
        <v/>
      </c>
      <c r="H261" s="433" t="str">
        <f>IF(TRUE=ISBLANK(ChemData!D261),"",(ChemData!D261))</f>
        <v/>
      </c>
      <c r="I261" s="919" t="str">
        <f>IF(TRUE=ISBLANK(ChemData!K261),"",(ChemData!K261))</f>
        <v>NA</v>
      </c>
      <c r="J261" s="290">
        <f>IF(TRUE=ISBLANK(ChemData!M261),"",(ChemData!M261))</f>
        <v>460</v>
      </c>
      <c r="K261" s="290">
        <f>IF(TRUE=ISBLANK(ChemData!N261),"",(ChemData!N261))</f>
        <v>6.7399999999999998E-6</v>
      </c>
      <c r="L261" s="290">
        <f>IF(TRUE=ISBLANK(ChemData!O261),"",(ChemData!O261))</f>
        <v>0.14835887965700084</v>
      </c>
      <c r="M261" s="290">
        <f>IF(TRUE=ISBLANK(ChemData!Q261),"",(ChemData!Q261))</f>
        <v>2933637.299245521</v>
      </c>
      <c r="N261" s="290">
        <f>IF(TRUE=ISBLANK(ChemData!R261),"",(ChemData!R261))</f>
        <v>2933637.299245521</v>
      </c>
      <c r="O261" s="290">
        <f>IF(TRUE=ISBLANK(ChemData!S261),"",(ChemData!S261))</f>
        <v>1</v>
      </c>
      <c r="P261" s="291">
        <f>IF(TRUE=ISBLANK(ChemData!T261),"",(ChemData!T261))</f>
        <v>1</v>
      </c>
      <c r="Q261" s="375">
        <f>IF(Start!$C$18="x",IF(OR(K261="NA",K261="",K261="--"),"NA",(K261*1000000/82.1/Data!$D$50)),"---")</f>
        <v>2.6482260029075483E-4</v>
      </c>
      <c r="R261" s="376">
        <f>IF(Start!$C$18="x",IF(OR(J261="NA",J261=0,J261=""),"NA",(0.32*(Data!$D$48+Data!$D$49)*(18/J261)^0.5)),"---")</f>
        <v>0.16299885302343858</v>
      </c>
      <c r="S261" s="376">
        <f>IF(Start!$C$18="x",IF(OR(J261="NA",J261= 0,J261=""),"NA",(0.0065*((Data!$D$49^0.969)/(Data!$D$51^0.673))*(32/J261)^0.5*EXP(0.526*Data!$D$48^-1.9))),"---")</f>
        <v>3.4355692582888541E-4</v>
      </c>
      <c r="T261" s="377">
        <f>IF(Start!$C$18="x",IF(OR(S261="NA",R261="NA",R261=0,Q261="NA",S261=0,Q261=0),"NA",(1/(1/S261+(1/(R261*Q261))))),"---")</f>
        <v>3.8347638981205435E-5</v>
      </c>
      <c r="U261" s="375" t="str">
        <f>IF(Start!$C$18="x",IF(OR(F261="NA",F261="",O261="",O261="NA"),"NA",(F261*$O261)),"---")</f>
        <v>NA</v>
      </c>
      <c r="V261" s="376" t="str">
        <f>IF(Start!$C$18="x",IF(OR(U261="NA",M261="NA",M261="",U261=""),"NA",U261/((Data!$D$18+((1-Data!$D$18)*Data!$D$14*M261))/((1-Data!$D$18)*Data!$D$14*1000))),"---")</f>
        <v>NA</v>
      </c>
      <c r="W261" s="376" t="str">
        <f>IF(Start!$C$18="x",IF(OR(G261="NA",U261="NA",G261="",U261=""),"NA",(U261 +($G261*(Data!$D$19-Data!$D$22)/(Data!$D$19*Data!$D$22)))),"---")</f>
        <v>NA</v>
      </c>
      <c r="X261" s="376" t="str">
        <f>IF(Start!$C$18="x",IF(OR(G261="NA",V261="NA",G261="",V261=""),"NA",(((Data!$D$22*Data!$D$18)*V261)+(Data!$D$19-Data!$D$22)*$G261)/((Data!$D$22*Data!$D$18)+Data!$D$19-Data!$D$22)),"---")</f>
        <v>NA</v>
      </c>
      <c r="Y261" s="376" t="str">
        <f>IF(Start!$C$18="x",IF(OR(W261="NA",W261="",M261="NA",M261=""),"NA",(W261/((Data!$D$23+((1-Data!$D$23)*Data!$D$14*M261)) /((1-Data!$D$23)*Data!$D$14*1000)))),"---")</f>
        <v>NA</v>
      </c>
      <c r="Z261" s="376" t="str">
        <f>IF(Start!$C$18="x",IF(OR(Y261="NA",X261="NA"),"NA",IF(Y261&gt;X261, Y261, X261)),"---")</f>
        <v>NA</v>
      </c>
      <c r="AA261" s="461" t="str">
        <f>IF(Start!$C$18="x",IF(OR(Z261="NA",T261="NA"),"NA",Z261*T261/(1000000000)),"---")</f>
        <v>NA</v>
      </c>
      <c r="AB261" s="1057" t="str">
        <f>IF(Start!$C$18="x",IF(AA261 = "NA", "NA", AA261*(Data!$D$52*Data!$D$53*10000)),"---")</f>
        <v>NA</v>
      </c>
      <c r="AC261" s="375" t="str">
        <f>IF(Start!$C$18="x",IF(AB261="NA", "NA", AB261*Data!$D$54),"---")</f>
        <v>NA</v>
      </c>
      <c r="AD261" s="498" t="str">
        <f>IF(Start!$C$18="x",IF(AC261="NA","NA",AC261*Data!$D$41),"---")</f>
        <v>NA</v>
      </c>
      <c r="AE261" s="376" t="str">
        <f>IF(Start!$C$18="x",IF(AB261 = "NA", "NA", AB261/(Data!$D$53*3*Data!$D$48)*1000),"---")</f>
        <v>NA</v>
      </c>
      <c r="AF261" s="498" t="str">
        <f>IF(Start!$C$18="x",IF(AE261="NA","NA",AE261*Data!$D$46),"---")</f>
        <v>NA</v>
      </c>
      <c r="AG261" s="375">
        <f>IF(Start!$C$18="x",IF(OR($L261="NA",L261=""),"NA",($L261*(Data!$D$55^3.33)/(Data!$D$18^2))),"---")</f>
        <v>1.5114051468414602E-3</v>
      </c>
      <c r="AH261" s="376" t="str">
        <f>IF(Start!$C$18="x",IF(OR(F261="NA",F261="",P261="NA",P261=""),"NA",IF(100/Data!$D$10&gt;Data!$D$13,(F261*$P261),(F261*$P261)*Data!$D$13)),"---")</f>
        <v>NA</v>
      </c>
      <c r="AI261" s="489">
        <f>IF(Start!$C$18="x",IF(OR($N261="NA",$Q261="NA",$Q261=0,Q261="",N261=""),"NA",(1000*$N261/$Q261)),"---")</f>
        <v>11077745237848.33</v>
      </c>
      <c r="AJ261" s="376">
        <f>IF(Start!$C$18="x",IF(OR(Q261 = "NA",Q261=0,N261 = "NA",N261="",Q261=""), "NA", IF($AG261="NA","NA",(3.1416*Data!$D$57*86400/($AG261*(Data!$D$55+(N261*Data!$D$19/(Q261*1000)))))^0.5)),"---")</f>
        <v>0.75671295253338022</v>
      </c>
      <c r="AK261" s="376" t="str">
        <f>IF(Start!$C$18="x",IF(OR(AH261 = "NA",AI261="NA",AI261=0,AI261="",AH261=""), "NA", AH261/AI261),"---")</f>
        <v>NA</v>
      </c>
      <c r="AL261" s="376" t="str">
        <f>IF(Start!$C$18="x",IF(OR(AK261 ="NA",AK261="",AJ261= "NA",R261="NA",R261=0),"NA",(2*AK261)/(1000*(1/$R261+AJ261))),"---")</f>
        <v>NA</v>
      </c>
      <c r="AM261" s="376" t="str">
        <f>IF(Start!$C$18="x",IF(AL261 = "NA", "NA", AL261*(Data!$D$52*Data!$D$53*10000)),"---")</f>
        <v>NA</v>
      </c>
      <c r="AN261" s="376" t="str">
        <f>IF(Start!$C$18="x",IF(AM261 = "NA", "NA", AM261*(Data!$D$54)),"---")</f>
        <v>NA</v>
      </c>
      <c r="AO261" s="498" t="str">
        <f>IF(Start!$C$18="x",IF(AN261="NA","NA",AN261*Data!$D$41),"---")</f>
        <v>NA</v>
      </c>
      <c r="AP261" s="376">
        <f>IF(Start!$C$18="x",IF(OR(Q261=0,N261="NA",N261="",AG261="NA",AG261="",AG261=0,Q261="",Q261="NA"),"NA", (3.1416*Data!$D$56*86400/($AG261*(Data!$D$55+(N261*Data!$D$19/(Q261*1000)))))^0.5),"---")</f>
        <v>0.75671295253338022</v>
      </c>
      <c r="AQ261" s="376" t="str">
        <f>IF(Start!$C$18="x",IF(OR(AH261="NA",AI261="NA",AI261="",AI261=0,AH261=""),"NA", AH261/AI261),"---")</f>
        <v>NA</v>
      </c>
      <c r="AR261" s="376" t="str">
        <f>IF(Start!$C$18="x",IF(OR(AQ261="NA",AP261="NA",$R261="NA",R261=0,R261=""),"NA",(2*AQ261)/(1000*(1/$R261+AP261))),"---")</f>
        <v>NA</v>
      </c>
      <c r="AS261" s="376" t="str">
        <f>IF(Start!$C$18="x",IF(AR261 = "NA", "NA", AR261*(Data!$D$52*Data!$D$53*10000)),"---")</f>
        <v>NA</v>
      </c>
      <c r="AT261" s="376" t="str">
        <f>IF(Start!$C$18="x",IF(AS261 = "NA", "NA", (AS261*1000)/(Data!$D$48*3*Data!$D$53)),"---")</f>
        <v>NA</v>
      </c>
      <c r="AU261" s="498" t="str">
        <f>IF(Start!$C$18="x",IF(AT261="NA","NA",AT261*Data!$D$47),"---")</f>
        <v>NA</v>
      </c>
      <c r="AV261" s="283" t="str">
        <f>IF(Start!$C$18="x",(IF(AND(F261="",G261= "",G261&lt;&gt;"NA"),"",IF(OR(AD261="NA",I261="NA",I261=0),"NA",(AD261/I261)))),"Not Req.")</f>
        <v/>
      </c>
      <c r="AW261" s="284" t="str">
        <f>IF(Start!$C$18="x",(IF(AND(F261="",G261= "",G261&lt;&gt;"NA"),"",IF(OR(AF261="NA",I261="NA",I261=0),"NA",(AF261/I261)))),"Not Req.")</f>
        <v/>
      </c>
      <c r="AX261" s="284" t="str">
        <f>IF(Start!$C$18="x",(IF(F261 ="","",IF(OR(AO261="NA",I261="NA",I261=0),"NA",(AO261/I261)))),"Not Req.")</f>
        <v/>
      </c>
      <c r="AY261" s="344" t="str">
        <f>IF(Start!$C$18="x",(IF(F261 ="","",IF(OR(AU261="NA",I261="NA",I261=0),"NA",(AU261/I261)))),"Not Req.")</f>
        <v/>
      </c>
      <c r="AZ261" s="208"/>
    </row>
    <row r="262" spans="1:52" s="183" customFormat="1" x14ac:dyDescent="0.25">
      <c r="A262" s="405" t="s">
        <v>580</v>
      </c>
      <c r="B262" s="347" t="str">
        <f>IF(Start!$C$18="x",IF(AND(OR(F262="",F262="NA"),OR(G262="",G262="NA")),"",IF(I262="NA","NA",IF(AND(I262="",K262="--"),"NA",IF(AD262="NA","Missing Data",IF(I262="","No Criteria",IF(AD262&gt;=I262,"Needed","No")))))),"---")</f>
        <v/>
      </c>
      <c r="C262" s="501" t="str">
        <f>IF(Start!$C$18="x",IF(AND(OR(F262="",F262="NA"),OR(G262="",G262="NA")),"",IF(I262="NA","NA",IF(AND(I262="",K262="--"),"NA",IF(AF262="NA","Missing Data",IF(I262="","No Criteria",IF(AF262&gt;=I262,"Needed","No")))))),"---")</f>
        <v/>
      </c>
      <c r="D262" s="347" t="str">
        <f>IF(Start!$C$18="x",IF(AND(OR(F262="",F262="NA"),OR(G262="",G262="NA")),"",IF(I262="NA","NA",IF(AND(I262="",K262="--"),"NA",IF(AO262="NA","Missing Data",IF(I262="","No Criteria",IF(AO262&gt;=I262,"Needed","No")))))),"---")</f>
        <v/>
      </c>
      <c r="E262" s="401" t="str">
        <f>IF(Start!$C$18="x",IF(AND(OR(F262="",F262="NA"),OR(G262="",G262="NA")),"",IF(I262="NA","NA",IF(AND(I262="",K262="--"),"NA",IF(AU262="NA","Missing Data",IF(I262="","No Criteria",IF(AU262&gt;=I262,"Needed","No")))))),"---")</f>
        <v/>
      </c>
      <c r="F262" s="431" t="str">
        <f>IF(TRUE=ISBLANK(ChemData!B262),"",(ChemData!B262))</f>
        <v/>
      </c>
      <c r="G262" s="432" t="str">
        <f>IF(TRUE=ISBLANK(ChemData!C262),"",(ChemData!C262))</f>
        <v/>
      </c>
      <c r="H262" s="433" t="str">
        <f>IF(TRUE=ISBLANK(ChemData!D262),"",(ChemData!D262))</f>
        <v/>
      </c>
      <c r="I262" s="919" t="str">
        <f>IF(TRUE=ISBLANK(ChemData!K262),"",(ChemData!K262))</f>
        <v>NA</v>
      </c>
      <c r="J262" s="290">
        <f>IF(TRUE=ISBLANK(ChemData!M262),"",(ChemData!M262))</f>
        <v>443.76</v>
      </c>
      <c r="K262" s="290">
        <f>IF(TRUE=ISBLANK(ChemData!N262),"",(ChemData!N262))</f>
        <v>9.8690000000000003E-7</v>
      </c>
      <c r="L262" s="290">
        <f>IF(TRUE=ISBLANK(ChemData!O262),"",(ChemData!O262))</f>
        <v>0.14851963021214373</v>
      </c>
      <c r="M262" s="290">
        <f>IF(TRUE=ISBLANK(ChemData!Q262),"",(ChemData!Q262))</f>
        <v>1851000</v>
      </c>
      <c r="N262" s="290">
        <f>IF(TRUE=ISBLANK(ChemData!R262),"",(ChemData!R262))</f>
        <v>1851000</v>
      </c>
      <c r="O262" s="290">
        <f>IF(TRUE=ISBLANK(ChemData!S262),"",(ChemData!S262))</f>
        <v>1</v>
      </c>
      <c r="P262" s="291">
        <f>IF(TRUE=ISBLANK(ChemData!T262),"",(ChemData!T262))</f>
        <v>1</v>
      </c>
      <c r="Q262" s="375">
        <f>IF(Start!$C$18="x",IF(OR(K262="NA",K262="",K262="--"),"NA",(K262*1000000/82.1/Data!$D$50)),"---")</f>
        <v>3.8776472437232336E-5</v>
      </c>
      <c r="R262" s="376">
        <f>IF(Start!$C$18="x",IF(OR(J262="NA",J262=0,J262=""),"NA",(0.32*(Data!$D$48+Data!$D$49)*(18/J262)^0.5)),"---")</f>
        <v>0.16595463551590173</v>
      </c>
      <c r="S262" s="376">
        <f>IF(Start!$C$18="x",IF(OR(J262="NA",J262= 0,J262=""),"NA",(0.0065*((Data!$D$49^0.969)/(Data!$D$51^0.673))*(32/J262)^0.5*EXP(0.526*Data!$D$48^-1.9))),"---")</f>
        <v>3.4978690553545097E-4</v>
      </c>
      <c r="T262" s="377">
        <f>IF(Start!$C$18="x",IF(OR(S262="NA",R262="NA",R262=0,Q262="NA",S262=0,Q262=0),"NA",(1/(1/S262+(1/(R262*Q262))))),"---")</f>
        <v>6.3188849155808844E-6</v>
      </c>
      <c r="U262" s="375" t="str">
        <f>IF(Start!$C$18="x",IF(OR(F262="NA",F262="",O262="",O262="NA"),"NA",(F262*$O262)),"---")</f>
        <v>NA</v>
      </c>
      <c r="V262" s="376" t="str">
        <f>IF(Start!$C$18="x",IF(OR(U262="NA",M262="NA",M262="",U262=""),"NA",U262/((Data!$D$18+((1-Data!$D$18)*Data!$D$14*M262))/((1-Data!$D$18)*Data!$D$14*1000))),"---")</f>
        <v>NA</v>
      </c>
      <c r="W262" s="376" t="str">
        <f>IF(Start!$C$18="x",IF(OR(G262="NA",U262="NA",G262="",U262=""),"NA",(U262 +($G262*(Data!$D$19-Data!$D$22)/(Data!$D$19*Data!$D$22)))),"---")</f>
        <v>NA</v>
      </c>
      <c r="X262" s="376" t="str">
        <f>IF(Start!$C$18="x",IF(OR(G262="NA",V262="NA",G262="",V262=""),"NA",(((Data!$D$22*Data!$D$18)*V262)+(Data!$D$19-Data!$D$22)*$G262)/((Data!$D$22*Data!$D$18)+Data!$D$19-Data!$D$22)),"---")</f>
        <v>NA</v>
      </c>
      <c r="Y262" s="376" t="str">
        <f>IF(Start!$C$18="x",IF(OR(W262="NA",W262="",M262="NA",M262=""),"NA",(W262/((Data!$D$23+((1-Data!$D$23)*Data!$D$14*M262)) /((1-Data!$D$23)*Data!$D$14*1000)))),"---")</f>
        <v>NA</v>
      </c>
      <c r="Z262" s="376" t="str">
        <f>IF(Start!$C$18="x",IF(OR(Y262="NA",X262="NA"),"NA",IF(Y262&gt;X262, Y262, X262)),"---")</f>
        <v>NA</v>
      </c>
      <c r="AA262" s="461" t="str">
        <f>IF(Start!$C$18="x",IF(OR(Z262="NA",T262="NA"),"NA",Z262*T262/(1000000000)),"---")</f>
        <v>NA</v>
      </c>
      <c r="AB262" s="1057" t="str">
        <f>IF(Start!$C$18="x",IF(AA262 = "NA", "NA", AA262*(Data!$D$52*Data!$D$53*10000)),"---")</f>
        <v>NA</v>
      </c>
      <c r="AC262" s="375" t="str">
        <f>IF(Start!$C$18="x",IF(AB262="NA", "NA", AB262*Data!$D$54),"---")</f>
        <v>NA</v>
      </c>
      <c r="AD262" s="498" t="str">
        <f>IF(Start!$C$18="x",IF(AC262="NA","NA",AC262*Data!$D$41),"---")</f>
        <v>NA</v>
      </c>
      <c r="AE262" s="376" t="str">
        <f>IF(Start!$C$18="x",IF(AB262 = "NA", "NA", AB262/(Data!$D$53*3*Data!$D$48)*1000),"---")</f>
        <v>NA</v>
      </c>
      <c r="AF262" s="498" t="str">
        <f>IF(Start!$C$18="x",IF(AE262="NA","NA",AE262*Data!$D$46),"---")</f>
        <v>NA</v>
      </c>
      <c r="AG262" s="375">
        <f>IF(Start!$C$18="x",IF(OR($L262="NA",L262=""),"NA",($L262*(Data!$D$55^3.33)/(Data!$D$18^2))),"---")</f>
        <v>1.5130427921038285E-3</v>
      </c>
      <c r="AH262" s="376" t="str">
        <f>IF(Start!$C$18="x",IF(OR(F262="NA",F262="",P262="NA",P262=""),"NA",IF(100/Data!$D$10&gt;Data!$D$13,(F262*$P262),(F262*$P262)*Data!$D$13)),"---")</f>
        <v>NA</v>
      </c>
      <c r="AI262" s="489">
        <f>IF(Start!$C$18="x",IF(OR($N262="NA",$Q262="NA",$Q262=0,Q262="",N262=""),"NA",(1000*$N262/$Q262)),"---")</f>
        <v>47735131218968.477</v>
      </c>
      <c r="AJ262" s="376">
        <f>IF(Start!$C$18="x",IF(OR(Q262 = "NA",Q262=0,N262 = "NA",N262="",Q262=""), "NA", IF($AG262="NA","NA",(3.1416*Data!$D$57*86400/($AG262*(Data!$D$55+(N262*Data!$D$19/(Q262*1000)))))^0.5)),"---")</f>
        <v>0.3643364622104453</v>
      </c>
      <c r="AK262" s="376" t="str">
        <f>IF(Start!$C$18="x",IF(OR(AH262 = "NA",AI262="NA",AI262=0,AI262="",AH262=""), "NA", AH262/AI262),"---")</f>
        <v>NA</v>
      </c>
      <c r="AL262" s="376" t="str">
        <f>IF(Start!$C$18="x",IF(OR(AK262 ="NA",AK262="",AJ262= "NA",R262="NA",R262=0),"NA",(2*AK262)/(1000*(1/$R262+AJ262))),"---")</f>
        <v>NA</v>
      </c>
      <c r="AM262" s="376" t="str">
        <f>IF(Start!$C$18="x",IF(AL262 = "NA", "NA", AL262*(Data!$D$52*Data!$D$53*10000)),"---")</f>
        <v>NA</v>
      </c>
      <c r="AN262" s="376" t="str">
        <f>IF(Start!$C$18="x",IF(AM262 = "NA", "NA", AM262*(Data!$D$54)),"---")</f>
        <v>NA</v>
      </c>
      <c r="AO262" s="498" t="str">
        <f>IF(Start!$C$18="x",IF(AN262="NA","NA",AN262*Data!$D$41),"---")</f>
        <v>NA</v>
      </c>
      <c r="AP262" s="376">
        <f>IF(Start!$C$18="x",IF(OR(Q262=0,N262="NA",N262="",AG262="NA",AG262="",AG262=0,Q262="",Q262="NA"),"NA", (3.1416*Data!$D$56*86400/($AG262*(Data!$D$55+(N262*Data!$D$19/(Q262*1000)))))^0.5),"---")</f>
        <v>0.3643364622104453</v>
      </c>
      <c r="AQ262" s="376" t="str">
        <f>IF(Start!$C$18="x",IF(OR(AH262="NA",AI262="NA",AI262="",AI262=0,AH262=""),"NA", AH262/AI262),"---")</f>
        <v>NA</v>
      </c>
      <c r="AR262" s="376" t="str">
        <f>IF(Start!$C$18="x",IF(OR(AQ262="NA",AP262="NA",$R262="NA",R262=0,R262=""),"NA",(2*AQ262)/(1000*(1/$R262+AP262))),"---")</f>
        <v>NA</v>
      </c>
      <c r="AS262" s="376" t="str">
        <f>IF(Start!$C$18="x",IF(AR262 = "NA", "NA", AR262*(Data!$D$52*Data!$D$53*10000)),"---")</f>
        <v>NA</v>
      </c>
      <c r="AT262" s="376" t="str">
        <f>IF(Start!$C$18="x",IF(AS262 = "NA", "NA", (AS262*1000)/(Data!$D$48*3*Data!$D$53)),"---")</f>
        <v>NA</v>
      </c>
      <c r="AU262" s="498" t="str">
        <f>IF(Start!$C$18="x",IF(AT262="NA","NA",AT262*Data!$D$47),"---")</f>
        <v>NA</v>
      </c>
      <c r="AV262" s="283" t="str">
        <f>IF(Start!$C$18="x",(IF(AND(F262="",G262= "",G262&lt;&gt;"NA"),"",IF(OR(AD262="NA",I262="NA",I262=0),"NA",(AD262/I262)))),"Not Req.")</f>
        <v/>
      </c>
      <c r="AW262" s="284" t="str">
        <f>IF(Start!$C$18="x",(IF(AND(F262="",G262= "",G262&lt;&gt;"NA"),"",IF(OR(AF262="NA",I262="NA",I262=0),"NA",(AF262/I262)))),"Not Req.")</f>
        <v/>
      </c>
      <c r="AX262" s="284" t="str">
        <f>IF(Start!$C$18="x",(IF(F262 ="","",IF(OR(AO262="NA",I262="NA",I262=0),"NA",(AO262/I262)))),"Not Req.")</f>
        <v/>
      </c>
      <c r="AY262" s="344" t="str">
        <f>IF(Start!$C$18="x",(IF(F262 ="","",IF(OR(AU262="NA",I262="NA",I262=0),"NA",(AU262/I262)))),"Not Req.")</f>
        <v/>
      </c>
      <c r="AZ262" s="208"/>
    </row>
    <row r="263" spans="1:52" s="183" customFormat="1" x14ac:dyDescent="0.25">
      <c r="A263" s="405" t="s">
        <v>581</v>
      </c>
      <c r="B263" s="347" t="str">
        <f>IF(Start!$C$18="x",IF(AND(OR(F263="",F263="NA"),OR(G263="",G263="NA")),"",IF(I263="NA","NA",IF(AND(I263="",K263="--"),"NA",IF(AD263="NA","Missing Data",IF(I263="","No Criteria",IF(AD263&gt;=I263,"Needed","No")))))),"---")</f>
        <v/>
      </c>
      <c r="C263" s="501" t="str">
        <f>IF(Start!$C$18="x",IF(AND(OR(F263="",F263="NA"),OR(G263="",G263="NA")),"",IF(I263="NA","NA",IF(AND(I263="",K263="--"),"NA",IF(AF263="NA","Missing Data",IF(I263="","No Criteria",IF(AF263&gt;=I263,"Needed","No")))))),"---")</f>
        <v/>
      </c>
      <c r="D263" s="347" t="str">
        <f>IF(Start!$C$18="x",IF(AND(OR(F263="",F263="NA"),OR(G263="",G263="NA")),"",IF(I263="NA","NA",IF(AND(I263="",K263="--"),"NA",IF(AO263="NA","Missing Data",IF(I263="","No Criteria",IF(AO263&gt;=I263,"Needed","No")))))),"---")</f>
        <v/>
      </c>
      <c r="E263" s="401" t="str">
        <f>IF(Start!$C$18="x",IF(AND(OR(F263="",F263="NA"),OR(G263="",G263="NA")),"",IF(I263="NA","NA",IF(AND(I263="",K263="--"),"NA",IF(AU263="NA","Missing Data",IF(I263="","No Criteria",IF(AU263&gt;=I263,"Needed","No")))))),"---")</f>
        <v/>
      </c>
      <c r="F263" s="431" t="str">
        <f>IF(TRUE=ISBLANK(ChemData!B263),"",(ChemData!B263))</f>
        <v/>
      </c>
      <c r="G263" s="432" t="str">
        <f>IF(TRUE=ISBLANK(ChemData!C263),"",(ChemData!C263))</f>
        <v/>
      </c>
      <c r="H263" s="433" t="str">
        <f>IF(TRUE=ISBLANK(ChemData!D263),"",(ChemData!D263))</f>
        <v/>
      </c>
      <c r="I263" s="919" t="str">
        <f>IF(TRUE=ISBLANK(ChemData!K263),"",(ChemData!K263))</f>
        <v>NA</v>
      </c>
      <c r="J263" s="290" t="str">
        <f>IF(TRUE=ISBLANK(ChemData!M263),"",(ChemData!M263))</f>
        <v>NA</v>
      </c>
      <c r="K263" s="290" t="str">
        <f>IF(TRUE=ISBLANK(ChemData!N263),"",(ChemData!N263))</f>
        <v>NA</v>
      </c>
      <c r="L263" s="290" t="str">
        <f>IF(TRUE=ISBLANK(ChemData!O263),"",(ChemData!O263))</f>
        <v>NA</v>
      </c>
      <c r="M263" s="290" t="str">
        <f>IF(TRUE=ISBLANK(ChemData!Q263),"",(ChemData!Q263))</f>
        <v>NA</v>
      </c>
      <c r="N263" s="290" t="str">
        <f>IF(TRUE=ISBLANK(ChemData!R263),"",(ChemData!R263))</f>
        <v>NA</v>
      </c>
      <c r="O263" s="290">
        <f>IF(TRUE=ISBLANK(ChemData!S263),"",(ChemData!S263))</f>
        <v>1</v>
      </c>
      <c r="P263" s="291">
        <f>IF(TRUE=ISBLANK(ChemData!T263),"",(ChemData!T263))</f>
        <v>1</v>
      </c>
      <c r="Q263" s="375" t="str">
        <f>IF(Start!$C$18="x",IF(OR(K263="NA",K263="",K263="--"),"NA",(K263*1000000/82.1/Data!$D$50)),"---")</f>
        <v>NA</v>
      </c>
      <c r="R263" s="376" t="str">
        <f>IF(Start!$C$18="x",IF(OR(J263="NA",J263=0,J263=""),"NA",(0.32*(Data!$D$48+Data!$D$49)*(18/J263)^0.5)),"---")</f>
        <v>NA</v>
      </c>
      <c r="S263" s="376" t="str">
        <f>IF(Start!$C$18="x",IF(OR(J263="NA",J263= 0,J263=""),"NA",(0.0065*((Data!$D$49^0.969)/(Data!$D$51^0.673))*(32/J263)^0.5*EXP(0.526*Data!$D$48^-1.9))),"---")</f>
        <v>NA</v>
      </c>
      <c r="T263" s="377" t="str">
        <f>IF(Start!$C$18="x",IF(OR(S263="NA",R263="NA",R263=0,Q263="NA",S263=0,Q263=0),"NA",(1/(1/S263+(1/(R263*Q263))))),"---")</f>
        <v>NA</v>
      </c>
      <c r="U263" s="375" t="str">
        <f>IF(Start!$C$18="x",IF(OR(F263="NA",F263="",O263="",O263="NA"),"NA",(F263*$O263)),"---")</f>
        <v>NA</v>
      </c>
      <c r="V263" s="376" t="str">
        <f>IF(Start!$C$18="x",IF(OR(U263="NA",M263="NA",M263="",U263=""),"NA",U263/((Data!$D$18+((1-Data!$D$18)*Data!$D$14*M263))/((1-Data!$D$18)*Data!$D$14*1000))),"---")</f>
        <v>NA</v>
      </c>
      <c r="W263" s="376" t="str">
        <f>IF(Start!$C$18="x",IF(OR(G263="NA",U263="NA",G263="",U263=""),"NA",(U263 +($G263*(Data!$D$19-Data!$D$22)/(Data!$D$19*Data!$D$22)))),"---")</f>
        <v>NA</v>
      </c>
      <c r="X263" s="376" t="str">
        <f>IF(Start!$C$18="x",IF(OR(G263="NA",V263="NA",G263="",V263=""),"NA",(((Data!$D$22*Data!$D$18)*V263)+(Data!$D$19-Data!$D$22)*$G263)/((Data!$D$22*Data!$D$18)+Data!$D$19-Data!$D$22)),"---")</f>
        <v>NA</v>
      </c>
      <c r="Y263" s="376" t="str">
        <f>IF(Start!$C$18="x",IF(OR(W263="NA",W263="",M263="NA",M263=""),"NA",(W263/((Data!$D$23+((1-Data!$D$23)*Data!$D$14*M263)) /((1-Data!$D$23)*Data!$D$14*1000)))),"---")</f>
        <v>NA</v>
      </c>
      <c r="Z263" s="376" t="str">
        <f>IF(Start!$C$18="x",IF(OR(Y263="NA",X263="NA"),"NA",IF(Y263&gt;X263, Y263, X263)),"---")</f>
        <v>NA</v>
      </c>
      <c r="AA263" s="461" t="str">
        <f>IF(Start!$C$18="x",IF(OR(Z263="NA",T263="NA"),"NA",Z263*T263/(1000000000)),"---")</f>
        <v>NA</v>
      </c>
      <c r="AB263" s="1057" t="str">
        <f>IF(Start!$C$18="x",IF(AA263 = "NA", "NA", AA263*(Data!$D$52*Data!$D$53*10000)),"---")</f>
        <v>NA</v>
      </c>
      <c r="AC263" s="375" t="str">
        <f>IF(Start!$C$18="x",IF(AB263="NA", "NA", AB263*Data!$D$54),"---")</f>
        <v>NA</v>
      </c>
      <c r="AD263" s="498" t="str">
        <f>IF(Start!$C$18="x",IF(AC263="NA","NA",AC263*Data!$D$41),"---")</f>
        <v>NA</v>
      </c>
      <c r="AE263" s="376" t="str">
        <f>IF(Start!$C$18="x",IF(AB263 = "NA", "NA", AB263/(Data!$D$53*3*Data!$D$48)*1000),"---")</f>
        <v>NA</v>
      </c>
      <c r="AF263" s="498" t="str">
        <f>IF(Start!$C$18="x",IF(AE263="NA","NA",AE263*Data!$D$46),"---")</f>
        <v>NA</v>
      </c>
      <c r="AG263" s="375" t="str">
        <f>IF(Start!$C$18="x",IF(OR($L263="NA",L263=""),"NA",($L263*(Data!$D$55^3.33)/(Data!$D$18^2))),"---")</f>
        <v>NA</v>
      </c>
      <c r="AH263" s="376" t="str">
        <f>IF(Start!$C$18="x",IF(OR(F263="NA",F263="",P263="NA",P263=""),"NA",IF(100/Data!$D$10&gt;Data!$D$13,(F263*$P263),(F263*$P263)*Data!$D$13)),"---")</f>
        <v>NA</v>
      </c>
      <c r="AI263" s="489" t="str">
        <f>IF(Start!$C$18="x",IF(OR($N263="NA",$Q263="NA",$Q263=0,Q263="",N263=""),"NA",(1000*$N263/$Q263)),"---")</f>
        <v>NA</v>
      </c>
      <c r="AJ263" s="376" t="str">
        <f>IF(Start!$C$18="x",IF(OR(Q263 = "NA",Q263=0,N263 = "NA",N263="",Q263=""), "NA", IF($AG263="NA","NA",(3.1416*Data!$D$57*86400/($AG263*(Data!$D$55+(N263*Data!$D$19/(Q263*1000)))))^0.5)),"---")</f>
        <v>NA</v>
      </c>
      <c r="AK263" s="376" t="str">
        <f>IF(Start!$C$18="x",IF(OR(AH263 = "NA",AI263="NA",AI263=0,AI263="",AH263=""), "NA", AH263/AI263),"---")</f>
        <v>NA</v>
      </c>
      <c r="AL263" s="376" t="str">
        <f>IF(Start!$C$18="x",IF(OR(AK263 ="NA",AK263="",AJ263= "NA",R263="NA",R263=0),"NA",(2*AK263)/(1000*(1/$R263+AJ263))),"---")</f>
        <v>NA</v>
      </c>
      <c r="AM263" s="376" t="str">
        <f>IF(Start!$C$18="x",IF(AL263 = "NA", "NA", AL263*(Data!$D$52*Data!$D$53*10000)),"---")</f>
        <v>NA</v>
      </c>
      <c r="AN263" s="376" t="str">
        <f>IF(Start!$C$18="x",IF(AM263 = "NA", "NA", AM263*(Data!$D$54)),"---")</f>
        <v>NA</v>
      </c>
      <c r="AO263" s="498" t="str">
        <f>IF(Start!$C$18="x",IF(AN263="NA","NA",AN263*Data!$D$41),"---")</f>
        <v>NA</v>
      </c>
      <c r="AP263" s="376" t="str">
        <f>IF(Start!$C$18="x",IF(OR(Q263=0,N263="NA",N263="",AG263="NA",AG263="",AG263=0,Q263="",Q263="NA"),"NA", (3.1416*Data!$D$56*86400/($AG263*(Data!$D$55+(N263*Data!$D$19/(Q263*1000)))))^0.5),"---")</f>
        <v>NA</v>
      </c>
      <c r="AQ263" s="376" t="str">
        <f>IF(Start!$C$18="x",IF(OR(AH263="NA",AI263="NA",AI263="",AI263=0,AH263=""),"NA", AH263/AI263),"---")</f>
        <v>NA</v>
      </c>
      <c r="AR263" s="376" t="str">
        <f>IF(Start!$C$18="x",IF(OR(AQ263="NA",AP263="NA",$R263="NA",R263=0,R263=""),"NA",(2*AQ263)/(1000*(1/$R263+AP263))),"---")</f>
        <v>NA</v>
      </c>
      <c r="AS263" s="376" t="str">
        <f>IF(Start!$C$18="x",IF(AR263 = "NA", "NA", AR263*(Data!$D$52*Data!$D$53*10000)),"---")</f>
        <v>NA</v>
      </c>
      <c r="AT263" s="376" t="str">
        <f>IF(Start!$C$18="x",IF(AS263 = "NA", "NA", (AS263*1000)/(Data!$D$48*3*Data!$D$53)),"---")</f>
        <v>NA</v>
      </c>
      <c r="AU263" s="498" t="str">
        <f>IF(Start!$C$18="x",IF(AT263="NA","NA",AT263*Data!$D$47),"---")</f>
        <v>NA</v>
      </c>
      <c r="AV263" s="283" t="str">
        <f>IF(Start!$C$18="x",(IF(AND(F263="",G263= "",G263&lt;&gt;"NA"),"",IF(OR(AD263="NA",I263="NA",I263=0),"NA",(AD263/I263)))),"Not Req.")</f>
        <v/>
      </c>
      <c r="AW263" s="284" t="str">
        <f>IF(Start!$C$18="x",(IF(AND(F263="",G263= "",G263&lt;&gt;"NA"),"",IF(OR(AF263="NA",I263="NA",I263=0),"NA",(AF263/I263)))),"Not Req.")</f>
        <v/>
      </c>
      <c r="AX263" s="284" t="str">
        <f>IF(Start!$C$18="x",(IF(F263 ="","",IF(OR(AO263="NA",I263="NA",I263=0),"NA",(AO263/I263)))),"Not Req.")</f>
        <v/>
      </c>
      <c r="AY263" s="344" t="str">
        <f>IF(Start!$C$18="x",(IF(F263 ="","",IF(OR(AU263="NA",I263="NA",I263=0),"NA",(AU263/I263)))),"Not Req.")</f>
        <v/>
      </c>
      <c r="AZ263" s="208"/>
    </row>
    <row r="264" spans="1:52" s="183" customFormat="1" x14ac:dyDescent="0.25">
      <c r="A264" s="405" t="s">
        <v>582</v>
      </c>
      <c r="B264" s="347" t="str">
        <f>IF(Start!$C$18="x",IF(AND(OR(F264="",F264="NA"),OR(G264="",G264="NA")),"",IF(I264="NA","NA",IF(AND(I264="",K264="--"),"NA",IF(AD264="NA","Missing Data",IF(I264="","No Criteria",IF(AD264&gt;=I264,"Needed","No")))))),"---")</f>
        <v/>
      </c>
      <c r="C264" s="501" t="str">
        <f>IF(Start!$C$18="x",IF(AND(OR(F264="",F264="NA"),OR(G264="",G264="NA")),"",IF(I264="NA","NA",IF(AND(I264="",K264="--"),"NA",IF(AF264="NA","Missing Data",IF(I264="","No Criteria",IF(AF264&gt;=I264,"Needed","No")))))),"---")</f>
        <v/>
      </c>
      <c r="D264" s="347" t="str">
        <f>IF(Start!$C$18="x",IF(AND(OR(F264="",F264="NA"),OR(G264="",G264="NA")),"",IF(I264="NA","NA",IF(AND(I264="",K264="--"),"NA",IF(AO264="NA","Missing Data",IF(I264="","No Criteria",IF(AO264&gt;=I264,"Needed","No")))))),"---")</f>
        <v/>
      </c>
      <c r="E264" s="401" t="str">
        <f>IF(Start!$C$18="x",IF(AND(OR(F264="",F264="NA"),OR(G264="",G264="NA")),"",IF(I264="NA","NA",IF(AND(I264="",K264="--"),"NA",IF(AU264="NA","Missing Data",IF(I264="","No Criteria",IF(AU264&gt;=I264,"Needed","No")))))),"---")</f>
        <v/>
      </c>
      <c r="F264" s="431" t="str">
        <f>IF(TRUE=ISBLANK(ChemData!B264),"",(ChemData!B264))</f>
        <v/>
      </c>
      <c r="G264" s="432" t="str">
        <f>IF(TRUE=ISBLANK(ChemData!C264),"",(ChemData!C264))</f>
        <v/>
      </c>
      <c r="H264" s="433" t="str">
        <f>IF(TRUE=ISBLANK(ChemData!D264),"",(ChemData!D264))</f>
        <v/>
      </c>
      <c r="I264" s="919" t="str">
        <f>IF(TRUE=ISBLANK(ChemData!K264),"",(ChemData!K264))</f>
        <v>NA</v>
      </c>
      <c r="J264" s="290" t="str">
        <f>IF(TRUE=ISBLANK(ChemData!M264),"",(ChemData!M264))</f>
        <v>NA</v>
      </c>
      <c r="K264" s="290" t="str">
        <f>IF(TRUE=ISBLANK(ChemData!N264),"",(ChemData!N264))</f>
        <v>NA</v>
      </c>
      <c r="L264" s="290" t="str">
        <f>IF(TRUE=ISBLANK(ChemData!O264),"",(ChemData!O264))</f>
        <v>NA</v>
      </c>
      <c r="M264" s="290" t="str">
        <f>IF(TRUE=ISBLANK(ChemData!Q264),"",(ChemData!Q264))</f>
        <v>NA</v>
      </c>
      <c r="N264" s="290" t="str">
        <f>IF(TRUE=ISBLANK(ChemData!R264),"",(ChemData!R264))</f>
        <v>NA</v>
      </c>
      <c r="O264" s="290">
        <f>IF(TRUE=ISBLANK(ChemData!S264),"",(ChemData!S264))</f>
        <v>1</v>
      </c>
      <c r="P264" s="291">
        <f>IF(TRUE=ISBLANK(ChemData!T264),"",(ChemData!T264))</f>
        <v>1</v>
      </c>
      <c r="Q264" s="375" t="str">
        <f>IF(Start!$C$18="x",IF(OR(K264="NA",K264="",K264="--"),"NA",(K264*1000000/82.1/Data!$D$50)),"---")</f>
        <v>NA</v>
      </c>
      <c r="R264" s="376" t="str">
        <f>IF(Start!$C$18="x",IF(OR(J264="NA",J264=0,J264=""),"NA",(0.32*(Data!$D$48+Data!$D$49)*(18/J264)^0.5)),"---")</f>
        <v>NA</v>
      </c>
      <c r="S264" s="376" t="str">
        <f>IF(Start!$C$18="x",IF(OR(J264="NA",J264= 0,J264=""),"NA",(0.0065*((Data!$D$49^0.969)/(Data!$D$51^0.673))*(32/J264)^0.5*EXP(0.526*Data!$D$48^-1.9))),"---")</f>
        <v>NA</v>
      </c>
      <c r="T264" s="377" t="str">
        <f>IF(Start!$C$18="x",IF(OR(S264="NA",R264="NA",R264=0,Q264="NA",S264=0,Q264=0),"NA",(1/(1/S264+(1/(R264*Q264))))),"---")</f>
        <v>NA</v>
      </c>
      <c r="U264" s="375" t="str">
        <f>IF(Start!$C$18="x",IF(OR(F264="NA",F264="",O264="",O264="NA"),"NA",(F264*$O264)),"---")</f>
        <v>NA</v>
      </c>
      <c r="V264" s="376" t="str">
        <f>IF(Start!$C$18="x",IF(OR(U264="NA",M264="NA",M264="",U264=""),"NA",U264/((Data!$D$18+((1-Data!$D$18)*Data!$D$14*M264))/((1-Data!$D$18)*Data!$D$14*1000))),"---")</f>
        <v>NA</v>
      </c>
      <c r="W264" s="376" t="str">
        <f>IF(Start!$C$18="x",IF(OR(G264="NA",U264="NA",G264="",U264=""),"NA",(U264 +($G264*(Data!$D$19-Data!$D$22)/(Data!$D$19*Data!$D$22)))),"---")</f>
        <v>NA</v>
      </c>
      <c r="X264" s="376" t="str">
        <f>IF(Start!$C$18="x",IF(OR(G264="NA",V264="NA",G264="",V264=""),"NA",(((Data!$D$22*Data!$D$18)*V264)+(Data!$D$19-Data!$D$22)*$G264)/((Data!$D$22*Data!$D$18)+Data!$D$19-Data!$D$22)),"---")</f>
        <v>NA</v>
      </c>
      <c r="Y264" s="376" t="str">
        <f>IF(Start!$C$18="x",IF(OR(W264="NA",W264="",M264="NA",M264=""),"NA",(W264/((Data!$D$23+((1-Data!$D$23)*Data!$D$14*M264)) /((1-Data!$D$23)*Data!$D$14*1000)))),"---")</f>
        <v>NA</v>
      </c>
      <c r="Z264" s="376" t="str">
        <f>IF(Start!$C$18="x",IF(OR(Y264="NA",X264="NA"),"NA",IF(Y264&gt;X264, Y264, X264)),"---")</f>
        <v>NA</v>
      </c>
      <c r="AA264" s="461" t="str">
        <f>IF(Start!$C$18="x",IF(OR(Z264="NA",T264="NA"),"NA",Z264*T264/(1000000000)),"---")</f>
        <v>NA</v>
      </c>
      <c r="AB264" s="1057" t="str">
        <f>IF(Start!$C$18="x",IF(AA264 = "NA", "NA", AA264*(Data!$D$52*Data!$D$53*10000)),"---")</f>
        <v>NA</v>
      </c>
      <c r="AC264" s="375" t="str">
        <f>IF(Start!$C$18="x",IF(AB264="NA", "NA", AB264*Data!$D$54),"---")</f>
        <v>NA</v>
      </c>
      <c r="AD264" s="498" t="str">
        <f>IF(Start!$C$18="x",IF(AC264="NA","NA",AC264*Data!$D$41),"---")</f>
        <v>NA</v>
      </c>
      <c r="AE264" s="376" t="str">
        <f>IF(Start!$C$18="x",IF(AB264 = "NA", "NA", AB264/(Data!$D$53*3*Data!$D$48)*1000),"---")</f>
        <v>NA</v>
      </c>
      <c r="AF264" s="498" t="str">
        <f>IF(Start!$C$18="x",IF(AE264="NA","NA",AE264*Data!$D$46),"---")</f>
        <v>NA</v>
      </c>
      <c r="AG264" s="375" t="str">
        <f>IF(Start!$C$18="x",IF(OR($L264="NA",L264=""),"NA",($L264*(Data!$D$55^3.33)/(Data!$D$18^2))),"---")</f>
        <v>NA</v>
      </c>
      <c r="AH264" s="376" t="str">
        <f>IF(Start!$C$18="x",IF(OR(F264="NA",F264="",P264="NA",P264=""),"NA",IF(100/Data!$D$10&gt;Data!$D$13,(F264*$P264),(F264*$P264)*Data!$D$13)),"---")</f>
        <v>NA</v>
      </c>
      <c r="AI264" s="489" t="str">
        <f>IF(Start!$C$18="x",IF(OR($N264="NA",$Q264="NA",$Q264=0,Q264="",N264=""),"NA",(1000*$N264/$Q264)),"---")</f>
        <v>NA</v>
      </c>
      <c r="AJ264" s="376" t="str">
        <f>IF(Start!$C$18="x",IF(OR(Q264 = "NA",Q264=0,N264 = "NA",N264="",Q264=""), "NA", IF($AG264="NA","NA",(3.1416*Data!$D$57*86400/($AG264*(Data!$D$55+(N264*Data!$D$19/(Q264*1000)))))^0.5)),"---")</f>
        <v>NA</v>
      </c>
      <c r="AK264" s="376" t="str">
        <f>IF(Start!$C$18="x",IF(OR(AH264 = "NA",AI264="NA",AI264=0,AI264="",AH264=""), "NA", AH264/AI264),"---")</f>
        <v>NA</v>
      </c>
      <c r="AL264" s="376" t="str">
        <f>IF(Start!$C$18="x",IF(OR(AK264 ="NA",AK264="",AJ264= "NA",R264="NA",R264=0),"NA",(2*AK264)/(1000*(1/$R264+AJ264))),"---")</f>
        <v>NA</v>
      </c>
      <c r="AM264" s="376" t="str">
        <f>IF(Start!$C$18="x",IF(AL264 = "NA", "NA", AL264*(Data!$D$52*Data!$D$53*10000)),"---")</f>
        <v>NA</v>
      </c>
      <c r="AN264" s="376" t="str">
        <f>IF(Start!$C$18="x",IF(AM264 = "NA", "NA", AM264*(Data!$D$54)),"---")</f>
        <v>NA</v>
      </c>
      <c r="AO264" s="498" t="str">
        <f>IF(Start!$C$18="x",IF(AN264="NA","NA",AN264*Data!$D$41),"---")</f>
        <v>NA</v>
      </c>
      <c r="AP264" s="376" t="str">
        <f>IF(Start!$C$18="x",IF(OR(Q264=0,N264="NA",N264="",AG264="NA",AG264="",AG264=0,Q264="",Q264="NA"),"NA", (3.1416*Data!$D$56*86400/($AG264*(Data!$D$55+(N264*Data!$D$19/(Q264*1000)))))^0.5),"---")</f>
        <v>NA</v>
      </c>
      <c r="AQ264" s="376" t="str">
        <f>IF(Start!$C$18="x",IF(OR(AH264="NA",AI264="NA",AI264="",AI264=0,AH264=""),"NA", AH264/AI264),"---")</f>
        <v>NA</v>
      </c>
      <c r="AR264" s="376" t="str">
        <f>IF(Start!$C$18="x",IF(OR(AQ264="NA",AP264="NA",$R264="NA",R264=0,R264=""),"NA",(2*AQ264)/(1000*(1/$R264+AP264))),"---")</f>
        <v>NA</v>
      </c>
      <c r="AS264" s="376" t="str">
        <f>IF(Start!$C$18="x",IF(AR264 = "NA", "NA", AR264*(Data!$D$52*Data!$D$53*10000)),"---")</f>
        <v>NA</v>
      </c>
      <c r="AT264" s="376" t="str">
        <f>IF(Start!$C$18="x",IF(AS264 = "NA", "NA", (AS264*1000)/(Data!$D$48*3*Data!$D$53)),"---")</f>
        <v>NA</v>
      </c>
      <c r="AU264" s="498" t="str">
        <f>IF(Start!$C$18="x",IF(AT264="NA","NA",AT264*Data!$D$47),"---")</f>
        <v>NA</v>
      </c>
      <c r="AV264" s="283" t="str">
        <f>IF(Start!$C$18="x",(IF(AND(F264="",G264= "",G264&lt;&gt;"NA"),"",IF(OR(AD264="NA",I264="NA",I264=0),"NA",(AD264/I264)))),"Not Req.")</f>
        <v/>
      </c>
      <c r="AW264" s="284" t="str">
        <f>IF(Start!$C$18="x",(IF(AND(F264="",G264= "",G264&lt;&gt;"NA"),"",IF(OR(AF264="NA",I264="NA",I264=0),"NA",(AF264/I264)))),"Not Req.")</f>
        <v/>
      </c>
      <c r="AX264" s="284" t="str">
        <f>IF(Start!$C$18="x",(IF(F264 ="","",IF(OR(AO264="NA",I264="NA",I264=0),"NA",(AO264/I264)))),"Not Req.")</f>
        <v/>
      </c>
      <c r="AY264" s="344" t="str">
        <f>IF(Start!$C$18="x",(IF(F264 ="","",IF(OR(AU264="NA",I264="NA",I264=0),"NA",(AU264/I264)))),"Not Req.")</f>
        <v/>
      </c>
      <c r="AZ264" s="208"/>
    </row>
    <row r="265" spans="1:52" s="183" customFormat="1" x14ac:dyDescent="0.25">
      <c r="A265" s="405" t="s">
        <v>583</v>
      </c>
      <c r="B265" s="347" t="str">
        <f>IF(Start!$C$18="x",IF(AND(OR(F265="",F265="NA"),OR(G265="",G265="NA")),"",IF(I265="NA","NA",IF(AND(I265="",K265="--"),"NA",IF(AD265="NA","Missing Data",IF(I265="","No Criteria",IF(AD265&gt;=I265,"Needed","No")))))),"---")</f>
        <v/>
      </c>
      <c r="C265" s="501" t="str">
        <f>IF(Start!$C$18="x",IF(AND(OR(F265="",F265="NA"),OR(G265="",G265="NA")),"",IF(I265="NA","NA",IF(AND(I265="",K265="--"),"NA",IF(AF265="NA","Missing Data",IF(I265="","No Criteria",IF(AF265&gt;=I265,"Needed","No")))))),"---")</f>
        <v/>
      </c>
      <c r="D265" s="347" t="str">
        <f>IF(Start!$C$18="x",IF(AND(OR(F265="",F265="NA"),OR(G265="",G265="NA")),"",IF(I265="NA","NA",IF(AND(I265="",K265="--"),"NA",IF(AO265="NA","Missing Data",IF(I265="","No Criteria",IF(AO265&gt;=I265,"Needed","No")))))),"---")</f>
        <v/>
      </c>
      <c r="E265" s="401" t="str">
        <f>IF(Start!$C$18="x",IF(AND(OR(F265="",F265="NA"),OR(G265="",G265="NA")),"",IF(I265="NA","NA",IF(AND(I265="",K265="--"),"NA",IF(AU265="NA","Missing Data",IF(I265="","No Criteria",IF(AU265&gt;=I265,"Needed","No")))))),"---")</f>
        <v/>
      </c>
      <c r="F265" s="431" t="str">
        <f>IF(TRUE=ISBLANK(ChemData!B265),"",(ChemData!B265))</f>
        <v/>
      </c>
      <c r="G265" s="432" t="str">
        <f>IF(TRUE=ISBLANK(ChemData!C265),"",(ChemData!C265))</f>
        <v/>
      </c>
      <c r="H265" s="433" t="str">
        <f>IF(TRUE=ISBLANK(ChemData!D265),"",(ChemData!D265))</f>
        <v/>
      </c>
      <c r="I265" s="919" t="str">
        <f>IF(TRUE=ISBLANK(ChemData!K265),"",(ChemData!K265))</f>
        <v>NA</v>
      </c>
      <c r="J265" s="290" t="str">
        <f>IF(TRUE=ISBLANK(ChemData!M265),"",(ChemData!M265))</f>
        <v>NA</v>
      </c>
      <c r="K265" s="290" t="str">
        <f>IF(TRUE=ISBLANK(ChemData!N265),"",(ChemData!N265))</f>
        <v>NA</v>
      </c>
      <c r="L265" s="290" t="str">
        <f>IF(TRUE=ISBLANK(ChemData!O265),"",(ChemData!O265))</f>
        <v>NA</v>
      </c>
      <c r="M265" s="290" t="str">
        <f>IF(TRUE=ISBLANK(ChemData!Q265),"",(ChemData!Q265))</f>
        <v>NA</v>
      </c>
      <c r="N265" s="290" t="str">
        <f>IF(TRUE=ISBLANK(ChemData!R265),"",(ChemData!R265))</f>
        <v>NA</v>
      </c>
      <c r="O265" s="290">
        <f>IF(TRUE=ISBLANK(ChemData!S265),"",(ChemData!S265))</f>
        <v>1</v>
      </c>
      <c r="P265" s="291">
        <f>IF(TRUE=ISBLANK(ChemData!T265),"",(ChemData!T265))</f>
        <v>1</v>
      </c>
      <c r="Q265" s="375" t="str">
        <f>IF(Start!$C$18="x",IF(OR(K265="NA",K265="",K265="--"),"NA",(K265*1000000/82.1/Data!$D$50)),"---")</f>
        <v>NA</v>
      </c>
      <c r="R265" s="376" t="str">
        <f>IF(Start!$C$18="x",IF(OR(J265="NA",J265=0,J265=""),"NA",(0.32*(Data!$D$48+Data!$D$49)*(18/J265)^0.5)),"---")</f>
        <v>NA</v>
      </c>
      <c r="S265" s="376" t="str">
        <f>IF(Start!$C$18="x",IF(OR(J265="NA",J265= 0,J265=""),"NA",(0.0065*((Data!$D$49^0.969)/(Data!$D$51^0.673))*(32/J265)^0.5*EXP(0.526*Data!$D$48^-1.9))),"---")</f>
        <v>NA</v>
      </c>
      <c r="T265" s="377" t="str">
        <f>IF(Start!$C$18="x",IF(OR(S265="NA",R265="NA",R265=0,Q265="NA",S265=0,Q265=0),"NA",(1/(1/S265+(1/(R265*Q265))))),"---")</f>
        <v>NA</v>
      </c>
      <c r="U265" s="375" t="str">
        <f>IF(Start!$C$18="x",IF(OR(F265="NA",F265="",O265="",O265="NA"),"NA",(F265*$O265)),"---")</f>
        <v>NA</v>
      </c>
      <c r="V265" s="376" t="str">
        <f>IF(Start!$C$18="x",IF(OR(U265="NA",M265="NA",M265="",U265=""),"NA",U265/((Data!$D$18+((1-Data!$D$18)*Data!$D$14*M265))/((1-Data!$D$18)*Data!$D$14*1000))),"---")</f>
        <v>NA</v>
      </c>
      <c r="W265" s="376" t="str">
        <f>IF(Start!$C$18="x",IF(OR(G265="NA",U265="NA",G265="",U265=""),"NA",(U265 +($G265*(Data!$D$19-Data!$D$22)/(Data!$D$19*Data!$D$22)))),"---")</f>
        <v>NA</v>
      </c>
      <c r="X265" s="376" t="str">
        <f>IF(Start!$C$18="x",IF(OR(G265="NA",V265="NA",G265="",V265=""),"NA",(((Data!$D$22*Data!$D$18)*V265)+(Data!$D$19-Data!$D$22)*$G265)/((Data!$D$22*Data!$D$18)+Data!$D$19-Data!$D$22)),"---")</f>
        <v>NA</v>
      </c>
      <c r="Y265" s="376" t="str">
        <f>IF(Start!$C$18="x",IF(OR(W265="NA",W265="",M265="NA",M265=""),"NA",(W265/((Data!$D$23+((1-Data!$D$23)*Data!$D$14*M265)) /((1-Data!$D$23)*Data!$D$14*1000)))),"---")</f>
        <v>NA</v>
      </c>
      <c r="Z265" s="376" t="str">
        <f>IF(Start!$C$18="x",IF(OR(Y265="NA",X265="NA"),"NA",IF(Y265&gt;X265, Y265, X265)),"---")</f>
        <v>NA</v>
      </c>
      <c r="AA265" s="461" t="str">
        <f>IF(Start!$C$18="x",IF(OR(Z265="NA",T265="NA"),"NA",Z265*T265/(1000000000)),"---")</f>
        <v>NA</v>
      </c>
      <c r="AB265" s="1057" t="str">
        <f>IF(Start!$C$18="x",IF(AA265 = "NA", "NA", AA265*(Data!$D$52*Data!$D$53*10000)),"---")</f>
        <v>NA</v>
      </c>
      <c r="AC265" s="375" t="str">
        <f>IF(Start!$C$18="x",IF(AB265="NA", "NA", AB265*Data!$D$54),"---")</f>
        <v>NA</v>
      </c>
      <c r="AD265" s="498" t="str">
        <f>IF(Start!$C$18="x",IF(AC265="NA","NA",AC265*Data!$D$41),"---")</f>
        <v>NA</v>
      </c>
      <c r="AE265" s="376" t="str">
        <f>IF(Start!$C$18="x",IF(AB265 = "NA", "NA", AB265/(Data!$D$53*3*Data!$D$48)*1000),"---")</f>
        <v>NA</v>
      </c>
      <c r="AF265" s="498" t="str">
        <f>IF(Start!$C$18="x",IF(AE265="NA","NA",AE265*Data!$D$46),"---")</f>
        <v>NA</v>
      </c>
      <c r="AG265" s="375" t="str">
        <f>IF(Start!$C$18="x",IF(OR($L265="NA",L265=""),"NA",($L265*(Data!$D$55^3.33)/(Data!$D$18^2))),"---")</f>
        <v>NA</v>
      </c>
      <c r="AH265" s="376" t="str">
        <f>IF(Start!$C$18="x",IF(OR(F265="NA",F265="",P265="NA",P265=""),"NA",IF(100/Data!$D$10&gt;Data!$D$13,(F265*$P265),(F265*$P265)*Data!$D$13)),"---")</f>
        <v>NA</v>
      </c>
      <c r="AI265" s="489" t="str">
        <f>IF(Start!$C$18="x",IF(OR($N265="NA",$Q265="NA",$Q265=0,Q265="",N265=""),"NA",(1000*$N265/$Q265)),"---")</f>
        <v>NA</v>
      </c>
      <c r="AJ265" s="376" t="str">
        <f>IF(Start!$C$18="x",IF(OR(Q265 = "NA",Q265=0,N265 = "NA",N265="",Q265=""), "NA", IF($AG265="NA","NA",(3.1416*Data!$D$57*86400/($AG265*(Data!$D$55+(N265*Data!$D$19/(Q265*1000)))))^0.5)),"---")</f>
        <v>NA</v>
      </c>
      <c r="AK265" s="376" t="str">
        <f>IF(Start!$C$18="x",IF(OR(AH265 = "NA",AI265="NA",AI265=0,AI265="",AH265=""), "NA", AH265/AI265),"---")</f>
        <v>NA</v>
      </c>
      <c r="AL265" s="376" t="str">
        <f>IF(Start!$C$18="x",IF(OR(AK265 ="NA",AK265="",AJ265= "NA",R265="NA",R265=0),"NA",(2*AK265)/(1000*(1/$R265+AJ265))),"---")</f>
        <v>NA</v>
      </c>
      <c r="AM265" s="376" t="str">
        <f>IF(Start!$C$18="x",IF(AL265 = "NA", "NA", AL265*(Data!$D$52*Data!$D$53*10000)),"---")</f>
        <v>NA</v>
      </c>
      <c r="AN265" s="376" t="str">
        <f>IF(Start!$C$18="x",IF(AM265 = "NA", "NA", AM265*(Data!$D$54)),"---")</f>
        <v>NA</v>
      </c>
      <c r="AO265" s="498" t="str">
        <f>IF(Start!$C$18="x",IF(AN265="NA","NA",AN265*Data!$D$41),"---")</f>
        <v>NA</v>
      </c>
      <c r="AP265" s="376" t="str">
        <f>IF(Start!$C$18="x",IF(OR(Q265=0,N265="NA",N265="",AG265="NA",AG265="",AG265=0,Q265="",Q265="NA"),"NA", (3.1416*Data!$D$56*86400/($AG265*(Data!$D$55+(N265*Data!$D$19/(Q265*1000)))))^0.5),"---")</f>
        <v>NA</v>
      </c>
      <c r="AQ265" s="376" t="str">
        <f>IF(Start!$C$18="x",IF(OR(AH265="NA",AI265="NA",AI265="",AI265=0,AH265=""),"NA", AH265/AI265),"---")</f>
        <v>NA</v>
      </c>
      <c r="AR265" s="376" t="str">
        <f>IF(Start!$C$18="x",IF(OR(AQ265="NA",AP265="NA",$R265="NA",R265=0,R265=""),"NA",(2*AQ265)/(1000*(1/$R265+AP265))),"---")</f>
        <v>NA</v>
      </c>
      <c r="AS265" s="376" t="str">
        <f>IF(Start!$C$18="x",IF(AR265 = "NA", "NA", AR265*(Data!$D$52*Data!$D$53*10000)),"---")</f>
        <v>NA</v>
      </c>
      <c r="AT265" s="376" t="str">
        <f>IF(Start!$C$18="x",IF(AS265 = "NA", "NA", (AS265*1000)/(Data!$D$48*3*Data!$D$53)),"---")</f>
        <v>NA</v>
      </c>
      <c r="AU265" s="498" t="str">
        <f>IF(Start!$C$18="x",IF(AT265="NA","NA",AT265*Data!$D$47),"---")</f>
        <v>NA</v>
      </c>
      <c r="AV265" s="283" t="str">
        <f>IF(Start!$C$18="x",(IF(AND(F265="",G265= "",G265&lt;&gt;"NA"),"",IF(OR(AD265="NA",I265="NA",I265=0),"NA",(AD265/I265)))),"Not Req.")</f>
        <v/>
      </c>
      <c r="AW265" s="284" t="str">
        <f>IF(Start!$C$18="x",(IF(AND(F265="",G265= "",G265&lt;&gt;"NA"),"",IF(OR(AF265="NA",I265="NA",I265=0),"NA",(AF265/I265)))),"Not Req.")</f>
        <v/>
      </c>
      <c r="AX265" s="284" t="str">
        <f>IF(Start!$C$18="x",(IF(F265 ="","",IF(OR(AO265="NA",I265="NA",I265=0),"NA",(AO265/I265)))),"Not Req.")</f>
        <v/>
      </c>
      <c r="AY265" s="344" t="str">
        <f>IF(Start!$C$18="x",(IF(F265 ="","",IF(OR(AU265="NA",I265="NA",I265=0),"NA",(AU265/I265)))),"Not Req.")</f>
        <v/>
      </c>
      <c r="AZ265" s="208"/>
    </row>
    <row r="266" spans="1:52" s="183" customFormat="1" x14ac:dyDescent="0.25">
      <c r="A266" s="405" t="s">
        <v>584</v>
      </c>
      <c r="B266" s="347" t="str">
        <f>IF(Start!$C$18="x",IF(AND(OR(F266="",F266="NA"),OR(G266="",G266="NA")),"",IF(I266="NA","NA",IF(AND(I266="",K266="--"),"NA",IF(AD266="NA","Missing Data",IF(I266="","No Criteria",IF(AD266&gt;=I266,"Needed","No")))))),"---")</f>
        <v/>
      </c>
      <c r="C266" s="501" t="str">
        <f>IF(Start!$C$18="x",IF(AND(OR(F266="",F266="NA"),OR(G266="",G266="NA")),"",IF(I266="NA","NA",IF(AND(I266="",K266="--"),"NA",IF(AF266="NA","Missing Data",IF(I266="","No Criteria",IF(AF266&gt;=I266,"Needed","No")))))),"---")</f>
        <v/>
      </c>
      <c r="D266" s="347" t="str">
        <f>IF(Start!$C$18="x",IF(AND(OR(F266="",F266="NA"),OR(G266="",G266="NA")),"",IF(I266="NA","NA",IF(AND(I266="",K266="--"),"NA",IF(AO266="NA","Missing Data",IF(I266="","No Criteria",IF(AO266&gt;=I266,"Needed","No")))))),"---")</f>
        <v/>
      </c>
      <c r="E266" s="401" t="str">
        <f>IF(Start!$C$18="x",IF(AND(OR(F266="",F266="NA"),OR(G266="",G266="NA")),"",IF(I266="NA","NA",IF(AND(I266="",K266="--"),"NA",IF(AU266="NA","Missing Data",IF(I266="","No Criteria",IF(AU266&gt;=I266,"Needed","No")))))),"---")</f>
        <v/>
      </c>
      <c r="F266" s="431" t="str">
        <f>IF(TRUE=ISBLANK(ChemData!B266),"",(ChemData!B266))</f>
        <v/>
      </c>
      <c r="G266" s="432" t="str">
        <f>IF(TRUE=ISBLANK(ChemData!C266),"",(ChemData!C266))</f>
        <v/>
      </c>
      <c r="H266" s="433" t="str">
        <f>IF(TRUE=ISBLANK(ChemData!D266),"",(ChemData!D266))</f>
        <v/>
      </c>
      <c r="I266" s="919" t="str">
        <f>IF(TRUE=ISBLANK(ChemData!K266),"",(ChemData!K266))</f>
        <v>NA</v>
      </c>
      <c r="J266" s="290" t="str">
        <f>IF(TRUE=ISBLANK(ChemData!M266),"",(ChemData!M266))</f>
        <v>NA</v>
      </c>
      <c r="K266" s="290" t="str">
        <f>IF(TRUE=ISBLANK(ChemData!N266),"",(ChemData!N266))</f>
        <v>NA</v>
      </c>
      <c r="L266" s="290" t="str">
        <f>IF(TRUE=ISBLANK(ChemData!O266),"",(ChemData!O266))</f>
        <v>NA</v>
      </c>
      <c r="M266" s="290" t="str">
        <f>IF(TRUE=ISBLANK(ChemData!Q266),"",(ChemData!Q266))</f>
        <v>NA</v>
      </c>
      <c r="N266" s="290" t="str">
        <f>IF(TRUE=ISBLANK(ChemData!R266),"",(ChemData!R266))</f>
        <v>NA</v>
      </c>
      <c r="O266" s="290">
        <f>IF(TRUE=ISBLANK(ChemData!S266),"",(ChemData!S266))</f>
        <v>1</v>
      </c>
      <c r="P266" s="291">
        <f>IF(TRUE=ISBLANK(ChemData!T266),"",(ChemData!T266))</f>
        <v>1</v>
      </c>
      <c r="Q266" s="375" t="str">
        <f>IF(Start!$C$18="x",IF(OR(K266="NA",K266="",K266="--"),"NA",(K266*1000000/82.1/Data!$D$50)),"---")</f>
        <v>NA</v>
      </c>
      <c r="R266" s="376" t="str">
        <f>IF(Start!$C$18="x",IF(OR(J266="NA",J266=0,J266=""),"NA",(0.32*(Data!$D$48+Data!$D$49)*(18/J266)^0.5)),"---")</f>
        <v>NA</v>
      </c>
      <c r="S266" s="376" t="str">
        <f>IF(Start!$C$18="x",IF(OR(J266="NA",J266= 0,J266=""),"NA",(0.0065*((Data!$D$49^0.969)/(Data!$D$51^0.673))*(32/J266)^0.5*EXP(0.526*Data!$D$48^-1.9))),"---")</f>
        <v>NA</v>
      </c>
      <c r="T266" s="377" t="str">
        <f>IF(Start!$C$18="x",IF(OR(S266="NA",R266="NA",R266=0,Q266="NA",S266=0,Q266=0),"NA",(1/(1/S266+(1/(R266*Q266))))),"---")</f>
        <v>NA</v>
      </c>
      <c r="U266" s="375" t="str">
        <f>IF(Start!$C$18="x",IF(OR(F266="NA",F266="",O266="",O266="NA"),"NA",(F266*$O266)),"---")</f>
        <v>NA</v>
      </c>
      <c r="V266" s="376" t="str">
        <f>IF(Start!$C$18="x",IF(OR(U266="NA",M266="NA",M266="",U266=""),"NA",U266/((Data!$D$18+((1-Data!$D$18)*Data!$D$14*M266))/((1-Data!$D$18)*Data!$D$14*1000))),"---")</f>
        <v>NA</v>
      </c>
      <c r="W266" s="376" t="str">
        <f>IF(Start!$C$18="x",IF(OR(G266="NA",U266="NA",G266="",U266=""),"NA",(U266 +($G266*(Data!$D$19-Data!$D$22)/(Data!$D$19*Data!$D$22)))),"---")</f>
        <v>NA</v>
      </c>
      <c r="X266" s="376" t="str">
        <f>IF(Start!$C$18="x",IF(OR(G266="NA",V266="NA",G266="",V266=""),"NA",(((Data!$D$22*Data!$D$18)*V266)+(Data!$D$19-Data!$D$22)*$G266)/((Data!$D$22*Data!$D$18)+Data!$D$19-Data!$D$22)),"---")</f>
        <v>NA</v>
      </c>
      <c r="Y266" s="376" t="str">
        <f>IF(Start!$C$18="x",IF(OR(W266="NA",W266="",M266="NA",M266=""),"NA",(W266/((Data!$D$23+((1-Data!$D$23)*Data!$D$14*M266)) /((1-Data!$D$23)*Data!$D$14*1000)))),"---")</f>
        <v>NA</v>
      </c>
      <c r="Z266" s="376" t="str">
        <f>IF(Start!$C$18="x",IF(OR(Y266="NA",X266="NA"),"NA",IF(Y266&gt;X266, Y266, X266)),"---")</f>
        <v>NA</v>
      </c>
      <c r="AA266" s="461" t="str">
        <f>IF(Start!$C$18="x",IF(OR(Z266="NA",T266="NA"),"NA",Z266*T266/(1000000000)),"---")</f>
        <v>NA</v>
      </c>
      <c r="AB266" s="1057" t="str">
        <f>IF(Start!$C$18="x",IF(AA266 = "NA", "NA", AA266*(Data!$D$52*Data!$D$53*10000)),"---")</f>
        <v>NA</v>
      </c>
      <c r="AC266" s="375" t="str">
        <f>IF(Start!$C$18="x",IF(AB266="NA", "NA", AB266*Data!$D$54),"---")</f>
        <v>NA</v>
      </c>
      <c r="AD266" s="498" t="str">
        <f>IF(Start!$C$18="x",IF(AC266="NA","NA",AC266*Data!$D$41),"---")</f>
        <v>NA</v>
      </c>
      <c r="AE266" s="376" t="str">
        <f>IF(Start!$C$18="x",IF(AB266 = "NA", "NA", AB266/(Data!$D$53*3*Data!$D$48)*1000),"---")</f>
        <v>NA</v>
      </c>
      <c r="AF266" s="498" t="str">
        <f>IF(Start!$C$18="x",IF(AE266="NA","NA",AE266*Data!$D$46),"---")</f>
        <v>NA</v>
      </c>
      <c r="AG266" s="375" t="str">
        <f>IF(Start!$C$18="x",IF(OR($L266="NA",L266=""),"NA",($L266*(Data!$D$55^3.33)/(Data!$D$18^2))),"---")</f>
        <v>NA</v>
      </c>
      <c r="AH266" s="376" t="str">
        <f>IF(Start!$C$18="x",IF(OR(F266="NA",F266="",P266="NA",P266=""),"NA",IF(100/Data!$D$10&gt;Data!$D$13,(F266*$P266),(F266*$P266)*Data!$D$13)),"---")</f>
        <v>NA</v>
      </c>
      <c r="AI266" s="489" t="str">
        <f>IF(Start!$C$18="x",IF(OR($N266="NA",$Q266="NA",$Q266=0,Q266="",N266=""),"NA",(1000*$N266/$Q266)),"---")</f>
        <v>NA</v>
      </c>
      <c r="AJ266" s="376" t="str">
        <f>IF(Start!$C$18="x",IF(OR(Q266 = "NA",Q266=0,N266 = "NA",N266="",Q266=""), "NA", IF($AG266="NA","NA",(3.1416*Data!$D$57*86400/($AG266*(Data!$D$55+(N266*Data!$D$19/(Q266*1000)))))^0.5)),"---")</f>
        <v>NA</v>
      </c>
      <c r="AK266" s="376" t="str">
        <f>IF(Start!$C$18="x",IF(OR(AH266 = "NA",AI266="NA",AI266=0,AI266="",AH266=""), "NA", AH266/AI266),"---")</f>
        <v>NA</v>
      </c>
      <c r="AL266" s="376" t="str">
        <f>IF(Start!$C$18="x",IF(OR(AK266 ="NA",AK266="",AJ266= "NA",R266="NA",R266=0),"NA",(2*AK266)/(1000*(1/$R266+AJ266))),"---")</f>
        <v>NA</v>
      </c>
      <c r="AM266" s="376" t="str">
        <f>IF(Start!$C$18="x",IF(AL266 = "NA", "NA", AL266*(Data!$D$52*Data!$D$53*10000)),"---")</f>
        <v>NA</v>
      </c>
      <c r="AN266" s="376" t="str">
        <f>IF(Start!$C$18="x",IF(AM266 = "NA", "NA", AM266*(Data!$D$54)),"---")</f>
        <v>NA</v>
      </c>
      <c r="AO266" s="498" t="str">
        <f>IF(Start!$C$18="x",IF(AN266="NA","NA",AN266*Data!$D$41),"---")</f>
        <v>NA</v>
      </c>
      <c r="AP266" s="376" t="str">
        <f>IF(Start!$C$18="x",IF(OR(Q266=0,N266="NA",N266="",AG266="NA",AG266="",AG266=0,Q266="",Q266="NA"),"NA", (3.1416*Data!$D$56*86400/($AG266*(Data!$D$55+(N266*Data!$D$19/(Q266*1000)))))^0.5),"---")</f>
        <v>NA</v>
      </c>
      <c r="AQ266" s="376" t="str">
        <f>IF(Start!$C$18="x",IF(OR(AH266="NA",AI266="NA",AI266="",AI266=0,AH266=""),"NA", AH266/AI266),"---")</f>
        <v>NA</v>
      </c>
      <c r="AR266" s="376" t="str">
        <f>IF(Start!$C$18="x",IF(OR(AQ266="NA",AP266="NA",$R266="NA",R266=0,R266=""),"NA",(2*AQ266)/(1000*(1/$R266+AP266))),"---")</f>
        <v>NA</v>
      </c>
      <c r="AS266" s="376" t="str">
        <f>IF(Start!$C$18="x",IF(AR266 = "NA", "NA", AR266*(Data!$D$52*Data!$D$53*10000)),"---")</f>
        <v>NA</v>
      </c>
      <c r="AT266" s="376" t="str">
        <f>IF(Start!$C$18="x",IF(AS266 = "NA", "NA", (AS266*1000)/(Data!$D$48*3*Data!$D$53)),"---")</f>
        <v>NA</v>
      </c>
      <c r="AU266" s="498" t="str">
        <f>IF(Start!$C$18="x",IF(AT266="NA","NA",AT266*Data!$D$47),"---")</f>
        <v>NA</v>
      </c>
      <c r="AV266" s="283" t="str">
        <f>IF(Start!$C$18="x",(IF(AND(F266="",G266= "",G266&lt;&gt;"NA"),"",IF(OR(AD266="NA",I266="NA",I266=0),"NA",(AD266/I266)))),"Not Req.")</f>
        <v/>
      </c>
      <c r="AW266" s="284" t="str">
        <f>IF(Start!$C$18="x",(IF(AND(F266="",G266= "",G266&lt;&gt;"NA"),"",IF(OR(AF266="NA",I266="NA",I266=0),"NA",(AF266/I266)))),"Not Req.")</f>
        <v/>
      </c>
      <c r="AX266" s="284" t="str">
        <f>IF(Start!$C$18="x",(IF(F266 ="","",IF(OR(AO266="NA",I266="NA",I266=0),"NA",(AO266/I266)))),"Not Req.")</f>
        <v/>
      </c>
      <c r="AY266" s="344" t="str">
        <f>IF(Start!$C$18="x",(IF(F266 ="","",IF(OR(AU266="NA",I266="NA",I266=0),"NA",(AU266/I266)))),"Not Req.")</f>
        <v/>
      </c>
      <c r="AZ266" s="208"/>
    </row>
    <row r="267" spans="1:52" s="183" customFormat="1" x14ac:dyDescent="0.25">
      <c r="A267" s="405" t="s">
        <v>585</v>
      </c>
      <c r="B267" s="347" t="str">
        <f>IF(Start!$C$18="x",IF(AND(OR(F267="",F267="NA"),OR(G267="",G267="NA")),"",IF(I267="NA","NA",IF(AND(I267="",K267="--"),"NA",IF(AD267="NA","Missing Data",IF(I267="","No Criteria",IF(AD267&gt;=I267,"Needed","No")))))),"---")</f>
        <v/>
      </c>
      <c r="C267" s="501" t="str">
        <f>IF(Start!$C$18="x",IF(AND(OR(F267="",F267="NA"),OR(G267="",G267="NA")),"",IF(I267="NA","NA",IF(AND(I267="",K267="--"),"NA",IF(AF267="NA","Missing Data",IF(I267="","No Criteria",IF(AF267&gt;=I267,"Needed","No")))))),"---")</f>
        <v/>
      </c>
      <c r="D267" s="347" t="str">
        <f>IF(Start!$C$18="x",IF(AND(OR(F267="",F267="NA"),OR(G267="",G267="NA")),"",IF(I267="NA","NA",IF(AND(I267="",K267="--"),"NA",IF(AO267="NA","Missing Data",IF(I267="","No Criteria",IF(AO267&gt;=I267,"Needed","No")))))),"---")</f>
        <v/>
      </c>
      <c r="E267" s="401" t="str">
        <f>IF(Start!$C$18="x",IF(AND(OR(F267="",F267="NA"),OR(G267="",G267="NA")),"",IF(I267="NA","NA",IF(AND(I267="",K267="--"),"NA",IF(AU267="NA","Missing Data",IF(I267="","No Criteria",IF(AU267&gt;=I267,"Needed","No")))))),"---")</f>
        <v/>
      </c>
      <c r="F267" s="431" t="str">
        <f>IF(TRUE=ISBLANK(ChemData!B267),"",(ChemData!B267))</f>
        <v/>
      </c>
      <c r="G267" s="432" t="str">
        <f>IF(TRUE=ISBLANK(ChemData!C267),"",(ChemData!C267))</f>
        <v/>
      </c>
      <c r="H267" s="433" t="str">
        <f>IF(TRUE=ISBLANK(ChemData!D267),"",(ChemData!D267))</f>
        <v/>
      </c>
      <c r="I267" s="919" t="str">
        <f>IF(TRUE=ISBLANK(ChemData!K267),"",(ChemData!K267))</f>
        <v>NA</v>
      </c>
      <c r="J267" s="290" t="str">
        <f>IF(TRUE=ISBLANK(ChemData!M267),"",(ChemData!M267))</f>
        <v>NA</v>
      </c>
      <c r="K267" s="290" t="str">
        <f>IF(TRUE=ISBLANK(ChemData!N267),"",(ChemData!N267))</f>
        <v>NA</v>
      </c>
      <c r="L267" s="290" t="str">
        <f>IF(TRUE=ISBLANK(ChemData!O267),"",(ChemData!O267))</f>
        <v>NA</v>
      </c>
      <c r="M267" s="290" t="str">
        <f>IF(TRUE=ISBLANK(ChemData!Q267),"",(ChemData!Q267))</f>
        <v>NA</v>
      </c>
      <c r="N267" s="290" t="str">
        <f>IF(TRUE=ISBLANK(ChemData!R267),"",(ChemData!R267))</f>
        <v>NA</v>
      </c>
      <c r="O267" s="290">
        <f>IF(TRUE=ISBLANK(ChemData!S267),"",(ChemData!S267))</f>
        <v>1</v>
      </c>
      <c r="P267" s="291">
        <f>IF(TRUE=ISBLANK(ChemData!T267),"",(ChemData!T267))</f>
        <v>1</v>
      </c>
      <c r="Q267" s="375" t="str">
        <f>IF(Start!$C$18="x",IF(OR(K267="NA",K267="",K267="--"),"NA",(K267*1000000/82.1/Data!$D$50)),"---")</f>
        <v>NA</v>
      </c>
      <c r="R267" s="376" t="str">
        <f>IF(Start!$C$18="x",IF(OR(J267="NA",J267=0,J267=""),"NA",(0.32*(Data!$D$48+Data!$D$49)*(18/J267)^0.5)),"---")</f>
        <v>NA</v>
      </c>
      <c r="S267" s="376" t="str">
        <f>IF(Start!$C$18="x",IF(OR(J267="NA",J267= 0,J267=""),"NA",(0.0065*((Data!$D$49^0.969)/(Data!$D$51^0.673))*(32/J267)^0.5*EXP(0.526*Data!$D$48^-1.9))),"---")</f>
        <v>NA</v>
      </c>
      <c r="T267" s="377" t="str">
        <f>IF(Start!$C$18="x",IF(OR(S267="NA",R267="NA",R267=0,Q267="NA",S267=0,Q267=0),"NA",(1/(1/S267+(1/(R267*Q267))))),"---")</f>
        <v>NA</v>
      </c>
      <c r="U267" s="375" t="str">
        <f>IF(Start!$C$18="x",IF(OR(F267="NA",F267="",O267="",O267="NA"),"NA",(F267*$O267)),"---")</f>
        <v>NA</v>
      </c>
      <c r="V267" s="376" t="str">
        <f>IF(Start!$C$18="x",IF(OR(U267="NA",M267="NA",M267="",U267=""),"NA",U267/((Data!$D$18+((1-Data!$D$18)*Data!$D$14*M267))/((1-Data!$D$18)*Data!$D$14*1000))),"---")</f>
        <v>NA</v>
      </c>
      <c r="W267" s="376" t="str">
        <f>IF(Start!$C$18="x",IF(OR(G267="NA",U267="NA",G267="",U267=""),"NA",(U267 +($G267*(Data!$D$19-Data!$D$22)/(Data!$D$19*Data!$D$22)))),"---")</f>
        <v>NA</v>
      </c>
      <c r="X267" s="376" t="str">
        <f>IF(Start!$C$18="x",IF(OR(G267="NA",V267="NA",G267="",V267=""),"NA",(((Data!$D$22*Data!$D$18)*V267)+(Data!$D$19-Data!$D$22)*$G267)/((Data!$D$22*Data!$D$18)+Data!$D$19-Data!$D$22)),"---")</f>
        <v>NA</v>
      </c>
      <c r="Y267" s="376" t="str">
        <f>IF(Start!$C$18="x",IF(OR(W267="NA",W267="",M267="NA",M267=""),"NA",(W267/((Data!$D$23+((1-Data!$D$23)*Data!$D$14*M267)) /((1-Data!$D$23)*Data!$D$14*1000)))),"---")</f>
        <v>NA</v>
      </c>
      <c r="Z267" s="376" t="str">
        <f>IF(Start!$C$18="x",IF(OR(Y267="NA",X267="NA"),"NA",IF(Y267&gt;X267, Y267, X267)),"---")</f>
        <v>NA</v>
      </c>
      <c r="AA267" s="461" t="str">
        <f>IF(Start!$C$18="x",IF(OR(Z267="NA",T267="NA"),"NA",Z267*T267/(1000000000)),"---")</f>
        <v>NA</v>
      </c>
      <c r="AB267" s="1057" t="str">
        <f>IF(Start!$C$18="x",IF(AA267 = "NA", "NA", AA267*(Data!$D$52*Data!$D$53*10000)),"---")</f>
        <v>NA</v>
      </c>
      <c r="AC267" s="375" t="str">
        <f>IF(Start!$C$18="x",IF(AB267="NA", "NA", AB267*Data!$D$54),"---")</f>
        <v>NA</v>
      </c>
      <c r="AD267" s="498" t="str">
        <f>IF(Start!$C$18="x",IF(AC267="NA","NA",AC267*Data!$D$41),"---")</f>
        <v>NA</v>
      </c>
      <c r="AE267" s="376" t="str">
        <f>IF(Start!$C$18="x",IF(AB267 = "NA", "NA", AB267/(Data!$D$53*3*Data!$D$48)*1000),"---")</f>
        <v>NA</v>
      </c>
      <c r="AF267" s="498" t="str">
        <f>IF(Start!$C$18="x",IF(AE267="NA","NA",AE267*Data!$D$46),"---")</f>
        <v>NA</v>
      </c>
      <c r="AG267" s="375" t="str">
        <f>IF(Start!$C$18="x",IF(OR($L267="NA",L267=""),"NA",($L267*(Data!$D$55^3.33)/(Data!$D$18^2))),"---")</f>
        <v>NA</v>
      </c>
      <c r="AH267" s="376" t="str">
        <f>IF(Start!$C$18="x",IF(OR(F267="NA",F267="",P267="NA",P267=""),"NA",IF(100/Data!$D$10&gt;Data!$D$13,(F267*$P267),(F267*$P267)*Data!$D$13)),"---")</f>
        <v>NA</v>
      </c>
      <c r="AI267" s="489" t="str">
        <f>IF(Start!$C$18="x",IF(OR($N267="NA",$Q267="NA",$Q267=0,Q267="",N267=""),"NA",(1000*$N267/$Q267)),"---")</f>
        <v>NA</v>
      </c>
      <c r="AJ267" s="376" t="str">
        <f>IF(Start!$C$18="x",IF(OR(Q267 = "NA",Q267=0,N267 = "NA",N267="",Q267=""), "NA", IF($AG267="NA","NA",(3.1416*Data!$D$57*86400/($AG267*(Data!$D$55+(N267*Data!$D$19/(Q267*1000)))))^0.5)),"---")</f>
        <v>NA</v>
      </c>
      <c r="AK267" s="376" t="str">
        <f>IF(Start!$C$18="x",IF(OR(AH267 = "NA",AI267="NA",AI267=0,AI267="",AH267=""), "NA", AH267/AI267),"---")</f>
        <v>NA</v>
      </c>
      <c r="AL267" s="376" t="str">
        <f>IF(Start!$C$18="x",IF(OR(AK267 ="NA",AK267="",AJ267= "NA",R267="NA",R267=0),"NA",(2*AK267)/(1000*(1/$R267+AJ267))),"---")</f>
        <v>NA</v>
      </c>
      <c r="AM267" s="376" t="str">
        <f>IF(Start!$C$18="x",IF(AL267 = "NA", "NA", AL267*(Data!$D$52*Data!$D$53*10000)),"---")</f>
        <v>NA</v>
      </c>
      <c r="AN267" s="376" t="str">
        <f>IF(Start!$C$18="x",IF(AM267 = "NA", "NA", AM267*(Data!$D$54)),"---")</f>
        <v>NA</v>
      </c>
      <c r="AO267" s="498" t="str">
        <f>IF(Start!$C$18="x",IF(AN267="NA","NA",AN267*Data!$D$41),"---")</f>
        <v>NA</v>
      </c>
      <c r="AP267" s="376" t="str">
        <f>IF(Start!$C$18="x",IF(OR(Q267=0,N267="NA",N267="",AG267="NA",AG267="",AG267=0,Q267="",Q267="NA"),"NA", (3.1416*Data!$D$56*86400/($AG267*(Data!$D$55+(N267*Data!$D$19/(Q267*1000)))))^0.5),"---")</f>
        <v>NA</v>
      </c>
      <c r="AQ267" s="376" t="str">
        <f>IF(Start!$C$18="x",IF(OR(AH267="NA",AI267="NA",AI267="",AI267=0,AH267=""),"NA", AH267/AI267),"---")</f>
        <v>NA</v>
      </c>
      <c r="AR267" s="376" t="str">
        <f>IF(Start!$C$18="x",IF(OR(AQ267="NA",AP267="NA",$R267="NA",R267=0,R267=""),"NA",(2*AQ267)/(1000*(1/$R267+AP267))),"---")</f>
        <v>NA</v>
      </c>
      <c r="AS267" s="376" t="str">
        <f>IF(Start!$C$18="x",IF(AR267 = "NA", "NA", AR267*(Data!$D$52*Data!$D$53*10000)),"---")</f>
        <v>NA</v>
      </c>
      <c r="AT267" s="376" t="str">
        <f>IF(Start!$C$18="x",IF(AS267 = "NA", "NA", (AS267*1000)/(Data!$D$48*3*Data!$D$53)),"---")</f>
        <v>NA</v>
      </c>
      <c r="AU267" s="498" t="str">
        <f>IF(Start!$C$18="x",IF(AT267="NA","NA",AT267*Data!$D$47),"---")</f>
        <v>NA</v>
      </c>
      <c r="AV267" s="283" t="str">
        <f>IF(Start!$C$18="x",(IF(AND(F267="",G267= "",G267&lt;&gt;"NA"),"",IF(OR(AD267="NA",I267="NA",I267=0),"NA",(AD267/I267)))),"Not Req.")</f>
        <v/>
      </c>
      <c r="AW267" s="284" t="str">
        <f>IF(Start!$C$18="x",(IF(AND(F267="",G267= "",G267&lt;&gt;"NA"),"",IF(OR(AF267="NA",I267="NA",I267=0),"NA",(AF267/I267)))),"Not Req.")</f>
        <v/>
      </c>
      <c r="AX267" s="284" t="str">
        <f>IF(Start!$C$18="x",(IF(F267 ="","",IF(OR(AO267="NA",I267="NA",I267=0),"NA",(AO267/I267)))),"Not Req.")</f>
        <v/>
      </c>
      <c r="AY267" s="344" t="str">
        <f>IF(Start!$C$18="x",(IF(F267 ="","",IF(OR(AU267="NA",I267="NA",I267=0),"NA",(AU267/I267)))),"Not Req.")</f>
        <v/>
      </c>
      <c r="AZ267" s="208"/>
    </row>
    <row r="268" spans="1:52" s="183" customFormat="1" x14ac:dyDescent="0.25">
      <c r="A268" s="405" t="s">
        <v>586</v>
      </c>
      <c r="B268" s="347" t="str">
        <f>IF(Start!$C$18="x",IF(AND(OR(F268="",F268="NA"),OR(G268="",G268="NA")),"",IF(I268="NA","NA",IF(AND(I268="",K268="--"),"NA",IF(AD268="NA","Missing Data",IF(I268="","No Criteria",IF(AD268&gt;=I268,"Needed","No")))))),"---")</f>
        <v/>
      </c>
      <c r="C268" s="501" t="str">
        <f>IF(Start!$C$18="x",IF(AND(OR(F268="",F268="NA"),OR(G268="",G268="NA")),"",IF(I268="NA","NA",IF(AND(I268="",K268="--"),"NA",IF(AF268="NA","Missing Data",IF(I268="","No Criteria",IF(AF268&gt;=I268,"Needed","No")))))),"---")</f>
        <v/>
      </c>
      <c r="D268" s="347" t="str">
        <f>IF(Start!$C$18="x",IF(AND(OR(F268="",F268="NA"),OR(G268="",G268="NA")),"",IF(I268="NA","NA",IF(AND(I268="",K268="--"),"NA",IF(AO268="NA","Missing Data",IF(I268="","No Criteria",IF(AO268&gt;=I268,"Needed","No")))))),"---")</f>
        <v/>
      </c>
      <c r="E268" s="401" t="str">
        <f>IF(Start!$C$18="x",IF(AND(OR(F268="",F268="NA"),OR(G268="",G268="NA")),"",IF(I268="NA","NA",IF(AND(I268="",K268="--"),"NA",IF(AU268="NA","Missing Data",IF(I268="","No Criteria",IF(AU268&gt;=I268,"Needed","No")))))),"---")</f>
        <v/>
      </c>
      <c r="F268" s="431" t="str">
        <f>IF(TRUE=ISBLANK(ChemData!B268),"",(ChemData!B268))</f>
        <v/>
      </c>
      <c r="G268" s="432" t="str">
        <f>IF(TRUE=ISBLANK(ChemData!C268),"",(ChemData!C268))</f>
        <v/>
      </c>
      <c r="H268" s="433" t="str">
        <f>IF(TRUE=ISBLANK(ChemData!D268),"",(ChemData!D268))</f>
        <v/>
      </c>
      <c r="I268" s="919" t="str">
        <f>IF(TRUE=ISBLANK(ChemData!K268),"",(ChemData!K268))</f>
        <v>NA</v>
      </c>
      <c r="J268" s="290">
        <f>IF(TRUE=ISBLANK(ChemData!M268),"",(ChemData!M268))</f>
        <v>425</v>
      </c>
      <c r="K268" s="290">
        <f>IF(TRUE=ISBLANK(ChemData!N268),"",(ChemData!N268))</f>
        <v>2.1800000000000001E-5</v>
      </c>
      <c r="L268" s="290">
        <f>IF(TRUE=ISBLANK(ChemData!O268),"",(ChemData!O268))</f>
        <v>0.14872037288226861</v>
      </c>
      <c r="M268" s="290">
        <f>IF(TRUE=ISBLANK(ChemData!Q268),"",(ChemData!Q268))</f>
        <v>1115337.7938236406</v>
      </c>
      <c r="N268" s="290">
        <f>IF(TRUE=ISBLANK(ChemData!R268),"",(ChemData!R268))</f>
        <v>1115337.7938236406</v>
      </c>
      <c r="O268" s="290">
        <f>IF(TRUE=ISBLANK(ChemData!S268),"",(ChemData!S268))</f>
        <v>1</v>
      </c>
      <c r="P268" s="291">
        <f>IF(TRUE=ISBLANK(ChemData!T268),"",(ChemData!T268))</f>
        <v>1</v>
      </c>
      <c r="Q268" s="375">
        <f>IF(Start!$C$18="x",IF(OR(K268="NA",K268="",K268="--"),"NA",(K268*1000000/82.1/Data!$D$50)),"---")</f>
        <v>8.5654787631134351E-4</v>
      </c>
      <c r="R268" s="376">
        <f>IF(Start!$C$18="x",IF(OR(J268="NA",J268=0,J268=""),"NA",(0.32*(Data!$D$48+Data!$D$49)*(18/J268)^0.5)),"---")</f>
        <v>0.16957780098891276</v>
      </c>
      <c r="S268" s="376">
        <f>IF(Start!$C$18="x",IF(OR(J268="NA",J268= 0,J268=""),"NA",(0.0065*((Data!$D$49^0.969)/(Data!$D$51^0.673))*(32/J268)^0.5*EXP(0.526*Data!$D$48^-1.9))),"---")</f>
        <v>3.5742354572394379E-4</v>
      </c>
      <c r="T268" s="377">
        <f>IF(Start!$C$18="x",IF(OR(S268="NA",R268="NA",R268=0,Q268="NA",S268=0,Q268=0),"NA",(1/(1/S268+(1/(R268*Q268))))),"---")</f>
        <v>1.0328005724969006E-4</v>
      </c>
      <c r="U268" s="375" t="str">
        <f>IF(Start!$C$18="x",IF(OR(F268="NA",F268="",O268="",O268="NA"),"NA",(F268*$O268)),"---")</f>
        <v>NA</v>
      </c>
      <c r="V268" s="376" t="str">
        <f>IF(Start!$C$18="x",IF(OR(U268="NA",M268="NA",M268="",U268=""),"NA",U268/((Data!$D$18+((1-Data!$D$18)*Data!$D$14*M268))/((1-Data!$D$18)*Data!$D$14*1000))),"---")</f>
        <v>NA</v>
      </c>
      <c r="W268" s="376" t="str">
        <f>IF(Start!$C$18="x",IF(OR(G268="NA",U268="NA",G268="",U268=""),"NA",(U268 +($G268*(Data!$D$19-Data!$D$22)/(Data!$D$19*Data!$D$22)))),"---")</f>
        <v>NA</v>
      </c>
      <c r="X268" s="376" t="str">
        <f>IF(Start!$C$18="x",IF(OR(G268="NA",V268="NA",G268="",V268=""),"NA",(((Data!$D$22*Data!$D$18)*V268)+(Data!$D$19-Data!$D$22)*$G268)/((Data!$D$22*Data!$D$18)+Data!$D$19-Data!$D$22)),"---")</f>
        <v>NA</v>
      </c>
      <c r="Y268" s="376" t="str">
        <f>IF(Start!$C$18="x",IF(OR(W268="NA",W268="",M268="NA",M268=""),"NA",(W268/((Data!$D$23+((1-Data!$D$23)*Data!$D$14*M268)) /((1-Data!$D$23)*Data!$D$14*1000)))),"---")</f>
        <v>NA</v>
      </c>
      <c r="Z268" s="376" t="str">
        <f>IF(Start!$C$18="x",IF(OR(Y268="NA",X268="NA"),"NA",IF(Y268&gt;X268, Y268, X268)),"---")</f>
        <v>NA</v>
      </c>
      <c r="AA268" s="461" t="str">
        <f>IF(Start!$C$18="x",IF(OR(Z268="NA",T268="NA"),"NA",Z268*T268/(1000000000)),"---")</f>
        <v>NA</v>
      </c>
      <c r="AB268" s="1057" t="str">
        <f>IF(Start!$C$18="x",IF(AA268 = "NA", "NA", AA268*(Data!$D$52*Data!$D$53*10000)),"---")</f>
        <v>NA</v>
      </c>
      <c r="AC268" s="375" t="str">
        <f>IF(Start!$C$18="x",IF(AB268="NA", "NA", AB268*Data!$D$54),"---")</f>
        <v>NA</v>
      </c>
      <c r="AD268" s="498" t="str">
        <f>IF(Start!$C$18="x",IF(AC268="NA","NA",AC268*Data!$D$41),"---")</f>
        <v>NA</v>
      </c>
      <c r="AE268" s="376" t="str">
        <f>IF(Start!$C$18="x",IF(AB268 = "NA", "NA", AB268/(Data!$D$53*3*Data!$D$48)*1000),"---")</f>
        <v>NA</v>
      </c>
      <c r="AF268" s="498" t="str">
        <f>IF(Start!$C$18="x",IF(AE268="NA","NA",AE268*Data!$D$46),"---")</f>
        <v>NA</v>
      </c>
      <c r="AG268" s="375">
        <f>IF(Start!$C$18="x",IF(OR($L268="NA",L268=""),"NA",($L268*(Data!$D$55^3.33)/(Data!$D$18^2))),"---")</f>
        <v>1.515087856784277E-3</v>
      </c>
      <c r="AH268" s="376" t="str">
        <f>IF(Start!$C$18="x",IF(OR(F268="NA",F268="",P268="NA",P268=""),"NA",IF(100/Data!$D$10&gt;Data!$D$13,(F268*$P268),(F268*$P268)*Data!$D$13)),"---")</f>
        <v>NA</v>
      </c>
      <c r="AI268" s="489">
        <f>IF(Start!$C$18="x",IF(OR($N268="NA",$Q268="NA",$Q268=0,Q268="",N268=""),"NA",(1000*$N268/$Q268)),"---")</f>
        <v>1302131293147.04</v>
      </c>
      <c r="AJ268" s="376">
        <f>IF(Start!$C$18="x",IF(OR(Q268 = "NA",Q268=0,N268 = "NA",N268="",Q268=""), "NA", IF($AG268="NA","NA",(3.1416*Data!$D$57*86400/($AG268*(Data!$D$55+(N268*Data!$D$19/(Q268*1000)))))^0.5)),"---")</f>
        <v>2.20445382274794</v>
      </c>
      <c r="AK268" s="376" t="str">
        <f>IF(Start!$C$18="x",IF(OR(AH268 = "NA",AI268="NA",AI268=0,AI268="",AH268=""), "NA", AH268/AI268),"---")</f>
        <v>NA</v>
      </c>
      <c r="AL268" s="376" t="str">
        <f>IF(Start!$C$18="x",IF(OR(AK268 ="NA",AK268="",AJ268= "NA",R268="NA",R268=0),"NA",(2*AK268)/(1000*(1/$R268+AJ268))),"---")</f>
        <v>NA</v>
      </c>
      <c r="AM268" s="376" t="str">
        <f>IF(Start!$C$18="x",IF(AL268 = "NA", "NA", AL268*(Data!$D$52*Data!$D$53*10000)),"---")</f>
        <v>NA</v>
      </c>
      <c r="AN268" s="376" t="str">
        <f>IF(Start!$C$18="x",IF(AM268 = "NA", "NA", AM268*(Data!$D$54)),"---")</f>
        <v>NA</v>
      </c>
      <c r="AO268" s="498" t="str">
        <f>IF(Start!$C$18="x",IF(AN268="NA","NA",AN268*Data!$D$41),"---")</f>
        <v>NA</v>
      </c>
      <c r="AP268" s="376">
        <f>IF(Start!$C$18="x",IF(OR(Q268=0,N268="NA",N268="",AG268="NA",AG268="",AG268=0,Q268="",Q268="NA"),"NA", (3.1416*Data!$D$56*86400/($AG268*(Data!$D$55+(N268*Data!$D$19/(Q268*1000)))))^0.5),"---")</f>
        <v>2.20445382274794</v>
      </c>
      <c r="AQ268" s="376" t="str">
        <f>IF(Start!$C$18="x",IF(OR(AH268="NA",AI268="NA",AI268="",AI268=0,AH268=""),"NA", AH268/AI268),"---")</f>
        <v>NA</v>
      </c>
      <c r="AR268" s="376" t="str">
        <f>IF(Start!$C$18="x",IF(OR(AQ268="NA",AP268="NA",$R268="NA",R268=0,R268=""),"NA",(2*AQ268)/(1000*(1/$R268+AP268))),"---")</f>
        <v>NA</v>
      </c>
      <c r="AS268" s="376" t="str">
        <f>IF(Start!$C$18="x",IF(AR268 = "NA", "NA", AR268*(Data!$D$52*Data!$D$53*10000)),"---")</f>
        <v>NA</v>
      </c>
      <c r="AT268" s="376" t="str">
        <f>IF(Start!$C$18="x",IF(AS268 = "NA", "NA", (AS268*1000)/(Data!$D$48*3*Data!$D$53)),"---")</f>
        <v>NA</v>
      </c>
      <c r="AU268" s="498" t="str">
        <f>IF(Start!$C$18="x",IF(AT268="NA","NA",AT268*Data!$D$47),"---")</f>
        <v>NA</v>
      </c>
      <c r="AV268" s="283" t="str">
        <f>IF(Start!$C$18="x",(IF(AND(F268="",G268= "",G268&lt;&gt;"NA"),"",IF(OR(AD268="NA",I268="NA",I268=0),"NA",(AD268/I268)))),"Not Req.")</f>
        <v/>
      </c>
      <c r="AW268" s="284" t="str">
        <f>IF(Start!$C$18="x",(IF(AND(F268="",G268= "",G268&lt;&gt;"NA"),"",IF(OR(AF268="NA",I268="NA",I268=0),"NA",(AF268/I268)))),"Not Req.")</f>
        <v/>
      </c>
      <c r="AX268" s="284" t="str">
        <f>IF(Start!$C$18="x",(IF(F268 ="","",IF(OR(AO268="NA",I268="NA",I268=0),"NA",(AO268/I268)))),"Not Req.")</f>
        <v/>
      </c>
      <c r="AY268" s="344" t="str">
        <f>IF(Start!$C$18="x",(IF(F268 ="","",IF(OR(AU268="NA",I268="NA",I268=0),"NA",(AU268/I268)))),"Not Req.")</f>
        <v/>
      </c>
      <c r="AZ268" s="208"/>
    </row>
    <row r="269" spans="1:52" s="183" customFormat="1" x14ac:dyDescent="0.25">
      <c r="A269" s="405" t="s">
        <v>587</v>
      </c>
      <c r="B269" s="347" t="str">
        <f>IF(Start!$C$18="x",IF(AND(OR(F269="",F269="NA"),OR(G269="",G269="NA")),"",IF(I269="NA","NA",IF(AND(I269="",K269="--"),"NA",IF(AD269="NA","Missing Data",IF(I269="","No Criteria",IF(AD269&gt;=I269,"Needed","No")))))),"---")</f>
        <v/>
      </c>
      <c r="C269" s="501" t="str">
        <f>IF(Start!$C$18="x",IF(AND(OR(F269="",F269="NA"),OR(G269="",G269="NA")),"",IF(I269="NA","NA",IF(AND(I269="",K269="--"),"NA",IF(AF269="NA","Missing Data",IF(I269="","No Criteria",IF(AF269&gt;=I269,"Needed","No")))))),"---")</f>
        <v/>
      </c>
      <c r="D269" s="347" t="str">
        <f>IF(Start!$C$18="x",IF(AND(OR(F269="",F269="NA"),OR(G269="",G269="NA")),"",IF(I269="NA","NA",IF(AND(I269="",K269="--"),"NA",IF(AO269="NA","Missing Data",IF(I269="","No Criteria",IF(AO269&gt;=I269,"Needed","No")))))),"---")</f>
        <v/>
      </c>
      <c r="E269" s="401" t="str">
        <f>IF(Start!$C$18="x",IF(AND(OR(F269="",F269="NA"),OR(G269="",G269="NA")),"",IF(I269="NA","NA",IF(AND(I269="",K269="--"),"NA",IF(AU269="NA","Missing Data",IF(I269="","No Criteria",IF(AU269&gt;=I269,"Needed","No")))))),"---")</f>
        <v/>
      </c>
      <c r="F269" s="431" t="str">
        <f>IF(TRUE=ISBLANK(ChemData!B269),"",(ChemData!B269))</f>
        <v/>
      </c>
      <c r="G269" s="432" t="str">
        <f>IF(TRUE=ISBLANK(ChemData!C269),"",(ChemData!C269))</f>
        <v/>
      </c>
      <c r="H269" s="433" t="str">
        <f>IF(TRUE=ISBLANK(ChemData!D269),"",(ChemData!D269))</f>
        <v/>
      </c>
      <c r="I269" s="919" t="str">
        <f>IF(TRUE=ISBLANK(ChemData!K269),"",(ChemData!K269))</f>
        <v>NA</v>
      </c>
      <c r="J269" s="290">
        <f>IF(TRUE=ISBLANK(ChemData!M269),"",(ChemData!M269))</f>
        <v>409</v>
      </c>
      <c r="K269" s="290" t="str">
        <f>IF(TRUE=ISBLANK(ChemData!N269),"",(ChemData!N269))</f>
        <v>NA</v>
      </c>
      <c r="L269" s="290" t="str">
        <f>IF(TRUE=ISBLANK(ChemData!O269),"",(ChemData!O269))</f>
        <v>NA</v>
      </c>
      <c r="M269" s="290">
        <f>IF(TRUE=ISBLANK(ChemData!Q269),"",(ChemData!Q269))</f>
        <v>3143449.0007066983</v>
      </c>
      <c r="N269" s="290">
        <f>IF(TRUE=ISBLANK(ChemData!R269),"",(ChemData!R269))</f>
        <v>3143449.0007066983</v>
      </c>
      <c r="O269" s="290">
        <f>IF(TRUE=ISBLANK(ChemData!S269),"",(ChemData!S269))</f>
        <v>1</v>
      </c>
      <c r="P269" s="291">
        <f>IF(TRUE=ISBLANK(ChemData!T269),"",(ChemData!T269))</f>
        <v>1</v>
      </c>
      <c r="Q269" s="375" t="str">
        <f>IF(Start!$C$18="x",IF(OR(K269="NA",K269="",K269="--"),"NA",(K269*1000000/82.1/Data!$D$50)),"---")</f>
        <v>NA</v>
      </c>
      <c r="R269" s="376">
        <f>IF(Start!$C$18="x",IF(OR(J269="NA",J269=0,J269=""),"NA",(0.32*(Data!$D$48+Data!$D$49)*(18/J269)^0.5)),"---")</f>
        <v>0.17286290623519623</v>
      </c>
      <c r="S269" s="376">
        <f>IF(Start!$C$18="x",IF(OR(J269="NA",J269= 0,J269=""),"NA",(0.0065*((Data!$D$49^0.969)/(Data!$D$51^0.673))*(32/J269)^0.5*EXP(0.526*Data!$D$48^-1.9))),"---")</f>
        <v>3.6434764757191937E-4</v>
      </c>
      <c r="T269" s="377" t="str">
        <f>IF(Start!$C$18="x",IF(OR(S269="NA",R269="NA",R269=0,Q269="NA",S269=0,Q269=0),"NA",(1/(1/S269+(1/(R269*Q269))))),"---")</f>
        <v>NA</v>
      </c>
      <c r="U269" s="375" t="str">
        <f>IF(Start!$C$18="x",IF(OR(F269="NA",F269="",O269="",O269="NA"),"NA",(F269*$O269)),"---")</f>
        <v>NA</v>
      </c>
      <c r="V269" s="376" t="str">
        <f>IF(Start!$C$18="x",IF(OR(U269="NA",M269="NA",M269="",U269=""),"NA",U269/((Data!$D$18+((1-Data!$D$18)*Data!$D$14*M269))/((1-Data!$D$18)*Data!$D$14*1000))),"---")</f>
        <v>NA</v>
      </c>
      <c r="W269" s="376" t="str">
        <f>IF(Start!$C$18="x",IF(OR(G269="NA",U269="NA",G269="",U269=""),"NA",(U269 +($G269*(Data!$D$19-Data!$D$22)/(Data!$D$19*Data!$D$22)))),"---")</f>
        <v>NA</v>
      </c>
      <c r="X269" s="376" t="str">
        <f>IF(Start!$C$18="x",IF(OR(G269="NA",V269="NA",G269="",V269=""),"NA",(((Data!$D$22*Data!$D$18)*V269)+(Data!$D$19-Data!$D$22)*$G269)/((Data!$D$22*Data!$D$18)+Data!$D$19-Data!$D$22)),"---")</f>
        <v>NA</v>
      </c>
      <c r="Y269" s="376" t="str">
        <f>IF(Start!$C$18="x",IF(OR(W269="NA",W269="",M269="NA",M269=""),"NA",(W269/((Data!$D$23+((1-Data!$D$23)*Data!$D$14*M269)) /((1-Data!$D$23)*Data!$D$14*1000)))),"---")</f>
        <v>NA</v>
      </c>
      <c r="Z269" s="376" t="str">
        <f>IF(Start!$C$18="x",IF(OR(Y269="NA",X269="NA"),"NA",IF(Y269&gt;X269, Y269, X269)),"---")</f>
        <v>NA</v>
      </c>
      <c r="AA269" s="461" t="str">
        <f>IF(Start!$C$18="x",IF(OR(Z269="NA",T269="NA"),"NA",Z269*T269/(1000000000)),"---")</f>
        <v>NA</v>
      </c>
      <c r="AB269" s="1057" t="str">
        <f>IF(Start!$C$18="x",IF(AA269 = "NA", "NA", AA269*(Data!$D$52*Data!$D$53*10000)),"---")</f>
        <v>NA</v>
      </c>
      <c r="AC269" s="375" t="str">
        <f>IF(Start!$C$18="x",IF(AB269="NA", "NA", AB269*Data!$D$54),"---")</f>
        <v>NA</v>
      </c>
      <c r="AD269" s="498" t="str">
        <f>IF(Start!$C$18="x",IF(AC269="NA","NA",AC269*Data!$D$41),"---")</f>
        <v>NA</v>
      </c>
      <c r="AE269" s="376" t="str">
        <f>IF(Start!$C$18="x",IF(AB269 = "NA", "NA", AB269/(Data!$D$53*3*Data!$D$48)*1000),"---")</f>
        <v>NA</v>
      </c>
      <c r="AF269" s="498" t="str">
        <f>IF(Start!$C$18="x",IF(AE269="NA","NA",AE269*Data!$D$46),"---")</f>
        <v>NA</v>
      </c>
      <c r="AG269" s="375" t="str">
        <f>IF(Start!$C$18="x",IF(OR($L269="NA",L269=""),"NA",($L269*(Data!$D$55^3.33)/(Data!$D$18^2))),"---")</f>
        <v>NA</v>
      </c>
      <c r="AH269" s="376" t="str">
        <f>IF(Start!$C$18="x",IF(OR(F269="NA",F269="",P269="NA",P269=""),"NA",IF(100/Data!$D$10&gt;Data!$D$13,(F269*$P269),(F269*$P269)*Data!$D$13)),"---")</f>
        <v>NA</v>
      </c>
      <c r="AI269" s="489" t="str">
        <f>IF(Start!$C$18="x",IF(OR($N269="NA",$Q269="NA",$Q269=0,Q269="",N269=""),"NA",(1000*$N269/$Q269)),"---")</f>
        <v>NA</v>
      </c>
      <c r="AJ269" s="376" t="str">
        <f>IF(Start!$C$18="x",IF(OR(Q269 = "NA",Q269=0,N269 = "NA",N269="",Q269=""), "NA", IF($AG269="NA","NA",(3.1416*Data!$D$57*86400/($AG269*(Data!$D$55+(N269*Data!$D$19/(Q269*1000)))))^0.5)),"---")</f>
        <v>NA</v>
      </c>
      <c r="AK269" s="376" t="str">
        <f>IF(Start!$C$18="x",IF(OR(AH269 = "NA",AI269="NA",AI269=0,AI269="",AH269=""), "NA", AH269/AI269),"---")</f>
        <v>NA</v>
      </c>
      <c r="AL269" s="376" t="str">
        <f>IF(Start!$C$18="x",IF(OR(AK269 ="NA",AK269="",AJ269= "NA",R269="NA",R269=0),"NA",(2*AK269)/(1000*(1/$R269+AJ269))),"---")</f>
        <v>NA</v>
      </c>
      <c r="AM269" s="376" t="str">
        <f>IF(Start!$C$18="x",IF(AL269 = "NA", "NA", AL269*(Data!$D$52*Data!$D$53*10000)),"---")</f>
        <v>NA</v>
      </c>
      <c r="AN269" s="376" t="str">
        <f>IF(Start!$C$18="x",IF(AM269 = "NA", "NA", AM269*(Data!$D$54)),"---")</f>
        <v>NA</v>
      </c>
      <c r="AO269" s="498" t="str">
        <f>IF(Start!$C$18="x",IF(AN269="NA","NA",AN269*Data!$D$41),"---")</f>
        <v>NA</v>
      </c>
      <c r="AP269" s="376" t="str">
        <f>IF(Start!$C$18="x",IF(OR(Q269=0,N269="NA",N269="",AG269="NA",AG269="",AG269=0,Q269="",Q269="NA"),"NA", (3.1416*Data!$D$56*86400/($AG269*(Data!$D$55+(N269*Data!$D$19/(Q269*1000)))))^0.5),"---")</f>
        <v>NA</v>
      </c>
      <c r="AQ269" s="376" t="str">
        <f>IF(Start!$C$18="x",IF(OR(AH269="NA",AI269="NA",AI269="",AI269=0,AH269=""),"NA", AH269/AI269),"---")</f>
        <v>NA</v>
      </c>
      <c r="AR269" s="376" t="str">
        <f>IF(Start!$C$18="x",IF(OR(AQ269="NA",AP269="NA",$R269="NA",R269=0,R269=""),"NA",(2*AQ269)/(1000*(1/$R269+AP269))),"---")</f>
        <v>NA</v>
      </c>
      <c r="AS269" s="376" t="str">
        <f>IF(Start!$C$18="x",IF(AR269 = "NA", "NA", AR269*(Data!$D$52*Data!$D$53*10000)),"---")</f>
        <v>NA</v>
      </c>
      <c r="AT269" s="376" t="str">
        <f>IF(Start!$C$18="x",IF(AS269 = "NA", "NA", (AS269*1000)/(Data!$D$48*3*Data!$D$53)),"---")</f>
        <v>NA</v>
      </c>
      <c r="AU269" s="498" t="str">
        <f>IF(Start!$C$18="x",IF(AT269="NA","NA",AT269*Data!$D$47),"---")</f>
        <v>NA</v>
      </c>
      <c r="AV269" s="283" t="str">
        <f>IF(Start!$C$18="x",(IF(AND(F269="",G269= "",G269&lt;&gt;"NA"),"",IF(OR(AD269="NA",I269="NA",I269=0),"NA",(AD269/I269)))),"Not Req.")</f>
        <v/>
      </c>
      <c r="AW269" s="284" t="str">
        <f>IF(Start!$C$18="x",(IF(AND(F269="",G269= "",G269&lt;&gt;"NA"),"",IF(OR(AF269="NA",I269="NA",I269=0),"NA",(AF269/I269)))),"Not Req.")</f>
        <v/>
      </c>
      <c r="AX269" s="284" t="str">
        <f>IF(Start!$C$18="x",(IF(F269 ="","",IF(OR(AO269="NA",I269="NA",I269=0),"NA",(AO269/I269)))),"Not Req.")</f>
        <v/>
      </c>
      <c r="AY269" s="344" t="str">
        <f>IF(Start!$C$18="x",(IF(F269 ="","",IF(OR(AU269="NA",I269="NA",I269=0),"NA",(AU269/I269)))),"Not Req.")</f>
        <v/>
      </c>
      <c r="AZ269" s="208"/>
    </row>
    <row r="270" spans="1:52" s="183" customFormat="1" x14ac:dyDescent="0.25">
      <c r="A270" s="405" t="s">
        <v>588</v>
      </c>
      <c r="B270" s="347" t="str">
        <f>IF(Start!$C$18="x",IF(AND(OR(F270="",F270="NA"),OR(G270="",G270="NA")),"",IF(I270="NA","NA",IF(AND(I270="",K270="--"),"NA",IF(AD270="NA","Missing Data",IF(I270="","No Criteria",IF(AD270&gt;=I270,"Needed","No")))))),"---")</f>
        <v/>
      </c>
      <c r="C270" s="501" t="str">
        <f>IF(Start!$C$18="x",IF(AND(OR(F270="",F270="NA"),OR(G270="",G270="NA")),"",IF(I270="NA","NA",IF(AND(I270="",K270="--"),"NA",IF(AF270="NA","Missing Data",IF(I270="","No Criteria",IF(AF270&gt;=I270,"Needed","No")))))),"---")</f>
        <v/>
      </c>
      <c r="D270" s="347" t="str">
        <f>IF(Start!$C$18="x",IF(AND(OR(F270="",F270="NA"),OR(G270="",G270="NA")),"",IF(I270="NA","NA",IF(AND(I270="",K270="--"),"NA",IF(AO270="NA","Missing Data",IF(I270="","No Criteria",IF(AO270&gt;=I270,"Needed","No")))))),"---")</f>
        <v/>
      </c>
      <c r="E270" s="401" t="str">
        <f>IF(Start!$C$18="x",IF(AND(OR(F270="",F270="NA"),OR(G270="",G270="NA")),"",IF(I270="NA","NA",IF(AND(I270="",K270="--"),"NA",IF(AU270="NA","Missing Data",IF(I270="","No Criteria",IF(AU270&gt;=I270,"Needed","No")))))),"---")</f>
        <v/>
      </c>
      <c r="F270" s="431" t="str">
        <f>IF(TRUE=ISBLANK(ChemData!B270),"",(ChemData!B270))</f>
        <v/>
      </c>
      <c r="G270" s="432" t="str">
        <f>IF(TRUE=ISBLANK(ChemData!C270),"",(ChemData!C270))</f>
        <v/>
      </c>
      <c r="H270" s="433" t="str">
        <f>IF(TRUE=ISBLANK(ChemData!D270),"",(ChemData!D270))</f>
        <v/>
      </c>
      <c r="I270" s="919" t="str">
        <f>IF(TRUE=ISBLANK(ChemData!K270),"",(ChemData!K270))</f>
        <v>NA</v>
      </c>
      <c r="J270" s="290">
        <f>IF(TRUE=ISBLANK(ChemData!M270),"",(ChemData!M270))</f>
        <v>391</v>
      </c>
      <c r="K270" s="290">
        <f>IF(TRUE=ISBLANK(ChemData!N270),"",(ChemData!N270))</f>
        <v>5.6999999999999996E-6</v>
      </c>
      <c r="L270" s="290">
        <f>IF(TRUE=ISBLANK(ChemData!O270),"",(ChemData!O270))</f>
        <v>0.14913243504107906</v>
      </c>
      <c r="M270" s="290">
        <f>IF(TRUE=ISBLANK(ChemData!Q270),"",(ChemData!Q270))</f>
        <v>3001970.490211389</v>
      </c>
      <c r="N270" s="290">
        <f>IF(TRUE=ISBLANK(ChemData!R270),"",(ChemData!R270))</f>
        <v>3001970.490211389</v>
      </c>
      <c r="O270" s="290">
        <f>IF(TRUE=ISBLANK(ChemData!S270),"",(ChemData!S270))</f>
        <v>1</v>
      </c>
      <c r="P270" s="291">
        <f>IF(TRUE=ISBLANK(ChemData!T270),"",(ChemData!T270))</f>
        <v>1</v>
      </c>
      <c r="Q270" s="375">
        <f>IF(Start!$C$18="x",IF(OR(K270="NA",K270="",K270="--"),"NA",(K270*1000000/82.1/Data!$D$50)),"---")</f>
        <v>2.2395976582452554E-4</v>
      </c>
      <c r="R270" s="376">
        <f>IF(Start!$C$18="x",IF(OR(J270="NA",J270=0,J270=""),"NA",(0.32*(Data!$D$48+Data!$D$49)*(18/J270)^0.5)),"---")</f>
        <v>0.17679707905145187</v>
      </c>
      <c r="S270" s="376">
        <f>IF(Start!$C$18="x",IF(OR(J270="NA",J270= 0,J270=""),"NA",(0.0065*((Data!$D$49^0.969)/(Data!$D$51^0.673))*(32/J270)^0.5*EXP(0.526*Data!$D$48^-1.9))),"---")</f>
        <v>3.7263980603415101E-4</v>
      </c>
      <c r="T270" s="377">
        <f>IF(Start!$C$18="x",IF(OR(S270="NA",R270="NA",R270=0,Q270="NA",S270=0,Q270=0),"NA",(1/(1/S270+(1/(R270*Q270))))),"---")</f>
        <v>3.5792268300758549E-5</v>
      </c>
      <c r="U270" s="375" t="str">
        <f>IF(Start!$C$18="x",IF(OR(F270="NA",F270="",O270="",O270="NA"),"NA",(F270*$O270)),"---")</f>
        <v>NA</v>
      </c>
      <c r="V270" s="376" t="str">
        <f>IF(Start!$C$18="x",IF(OR(U270="NA",M270="NA",M270="",U270=""),"NA",U270/((Data!$D$18+((1-Data!$D$18)*Data!$D$14*M270))/((1-Data!$D$18)*Data!$D$14*1000))),"---")</f>
        <v>NA</v>
      </c>
      <c r="W270" s="376" t="str">
        <f>IF(Start!$C$18="x",IF(OR(G270="NA",U270="NA",G270="",U270=""),"NA",(U270 +($G270*(Data!$D$19-Data!$D$22)/(Data!$D$19*Data!$D$22)))),"---")</f>
        <v>NA</v>
      </c>
      <c r="X270" s="376" t="str">
        <f>IF(Start!$C$18="x",IF(OR(G270="NA",V270="NA",G270="",V270=""),"NA",(((Data!$D$22*Data!$D$18)*V270)+(Data!$D$19-Data!$D$22)*$G270)/((Data!$D$22*Data!$D$18)+Data!$D$19-Data!$D$22)),"---")</f>
        <v>NA</v>
      </c>
      <c r="Y270" s="376" t="str">
        <f>IF(Start!$C$18="x",IF(OR(W270="NA",W270="",M270="NA",M270=""),"NA",(W270/((Data!$D$23+((1-Data!$D$23)*Data!$D$14*M270)) /((1-Data!$D$23)*Data!$D$14*1000)))),"---")</f>
        <v>NA</v>
      </c>
      <c r="Z270" s="376" t="str">
        <f>IF(Start!$C$18="x",IF(OR(Y270="NA",X270="NA"),"NA",IF(Y270&gt;X270, Y270, X270)),"---")</f>
        <v>NA</v>
      </c>
      <c r="AA270" s="461" t="str">
        <f>IF(Start!$C$18="x",IF(OR(Z270="NA",T270="NA"),"NA",Z270*T270/(1000000000)),"---")</f>
        <v>NA</v>
      </c>
      <c r="AB270" s="1057" t="str">
        <f>IF(Start!$C$18="x",IF(AA270 = "NA", "NA", AA270*(Data!$D$52*Data!$D$53*10000)),"---")</f>
        <v>NA</v>
      </c>
      <c r="AC270" s="375" t="str">
        <f>IF(Start!$C$18="x",IF(AB270="NA", "NA", AB270*Data!$D$54),"---")</f>
        <v>NA</v>
      </c>
      <c r="AD270" s="498" t="str">
        <f>IF(Start!$C$18="x",IF(AC270="NA","NA",AC270*Data!$D$41),"---")</f>
        <v>NA</v>
      </c>
      <c r="AE270" s="376" t="str">
        <f>IF(Start!$C$18="x",IF(AB270 = "NA", "NA", AB270/(Data!$D$53*3*Data!$D$48)*1000),"---")</f>
        <v>NA</v>
      </c>
      <c r="AF270" s="498" t="str">
        <f>IF(Start!$C$18="x",IF(AE270="NA","NA",AE270*Data!$D$46),"---")</f>
        <v>NA</v>
      </c>
      <c r="AG270" s="375">
        <f>IF(Start!$C$18="x",IF(OR($L270="NA",L270=""),"NA",($L270*(Data!$D$55^3.33)/(Data!$D$18^2))),"---")</f>
        <v>1.5192857374172705E-3</v>
      </c>
      <c r="AH270" s="376" t="str">
        <f>IF(Start!$C$18="x",IF(OR(F270="NA",F270="",P270="NA",P270=""),"NA",IF(100/Data!$D$10&gt;Data!$D$13,(F270*$P270),(F270*$P270)*Data!$D$13)),"---")</f>
        <v>NA</v>
      </c>
      <c r="AI270" s="489">
        <f>IF(Start!$C$18="x",IF(OR($N270="NA",$Q270="NA",$Q270=0,Q270="",N270=""),"NA",(1000*$N270/$Q270)),"---")</f>
        <v>13404061569538.609</v>
      </c>
      <c r="AJ270" s="376">
        <f>IF(Start!$C$18="x",IF(OR(Q270 = "NA",Q270=0,N270 = "NA",N270="",Q270=""), "NA", IF($AG270="NA","NA",(3.1416*Data!$D$57*86400/($AG270*(Data!$D$55+(N270*Data!$D$19/(Q270*1000)))))^0.5)),"---")</f>
        <v>0.68613467125538807</v>
      </c>
      <c r="AK270" s="376" t="str">
        <f>IF(Start!$C$18="x",IF(OR(AH270 = "NA",AI270="NA",AI270=0,AI270="",AH270=""), "NA", AH270/AI270),"---")</f>
        <v>NA</v>
      </c>
      <c r="AL270" s="376" t="str">
        <f>IF(Start!$C$18="x",IF(OR(AK270 ="NA",AK270="",AJ270= "NA",R270="NA",R270=0),"NA",(2*AK270)/(1000*(1/$R270+AJ270))),"---")</f>
        <v>NA</v>
      </c>
      <c r="AM270" s="376" t="str">
        <f>IF(Start!$C$18="x",IF(AL270 = "NA", "NA", AL270*(Data!$D$52*Data!$D$53*10000)),"---")</f>
        <v>NA</v>
      </c>
      <c r="AN270" s="376" t="str">
        <f>IF(Start!$C$18="x",IF(AM270 = "NA", "NA", AM270*(Data!$D$54)),"---")</f>
        <v>NA</v>
      </c>
      <c r="AO270" s="498" t="str">
        <f>IF(Start!$C$18="x",IF(AN270="NA","NA",AN270*Data!$D$41),"---")</f>
        <v>NA</v>
      </c>
      <c r="AP270" s="376">
        <f>IF(Start!$C$18="x",IF(OR(Q270=0,N270="NA",N270="",AG270="NA",AG270="",AG270=0,Q270="",Q270="NA"),"NA", (3.1416*Data!$D$56*86400/($AG270*(Data!$D$55+(N270*Data!$D$19/(Q270*1000)))))^0.5),"---")</f>
        <v>0.68613467125538807</v>
      </c>
      <c r="AQ270" s="376" t="str">
        <f>IF(Start!$C$18="x",IF(OR(AH270="NA",AI270="NA",AI270="",AI270=0,AH270=""),"NA", AH270/AI270),"---")</f>
        <v>NA</v>
      </c>
      <c r="AR270" s="376" t="str">
        <f>IF(Start!$C$18="x",IF(OR(AQ270="NA",AP270="NA",$R270="NA",R270=0,R270=""),"NA",(2*AQ270)/(1000*(1/$R270+AP270))),"---")</f>
        <v>NA</v>
      </c>
      <c r="AS270" s="376" t="str">
        <f>IF(Start!$C$18="x",IF(AR270 = "NA", "NA", AR270*(Data!$D$52*Data!$D$53*10000)),"---")</f>
        <v>NA</v>
      </c>
      <c r="AT270" s="376" t="str">
        <f>IF(Start!$C$18="x",IF(AS270 = "NA", "NA", (AS270*1000)/(Data!$D$48*3*Data!$D$53)),"---")</f>
        <v>NA</v>
      </c>
      <c r="AU270" s="498" t="str">
        <f>IF(Start!$C$18="x",IF(AT270="NA","NA",AT270*Data!$D$47),"---")</f>
        <v>NA</v>
      </c>
      <c r="AV270" s="283" t="str">
        <f>IF(Start!$C$18="x",(IF(AND(F270="",G270= "",G270&lt;&gt;"NA"),"",IF(OR(AD270="NA",I270="NA",I270=0),"NA",(AD270/I270)))),"Not Req.")</f>
        <v/>
      </c>
      <c r="AW270" s="284" t="str">
        <f>IF(Start!$C$18="x",(IF(AND(F270="",G270= "",G270&lt;&gt;"NA"),"",IF(OR(AF270="NA",I270="NA",I270=0),"NA",(AF270/I270)))),"Not Req.")</f>
        <v/>
      </c>
      <c r="AX270" s="284" t="str">
        <f>IF(Start!$C$18="x",(IF(F270 ="","",IF(OR(AO270="NA",I270="NA",I270=0),"NA",(AO270/I270)))),"Not Req.")</f>
        <v/>
      </c>
      <c r="AY270" s="344" t="str">
        <f>IF(Start!$C$18="x",(IF(F270 ="","",IF(OR(AU270="NA",I270="NA",I270=0),"NA",(AU270/I270)))),"Not Req.")</f>
        <v/>
      </c>
      <c r="AZ270" s="208"/>
    </row>
    <row r="271" spans="1:52" s="183" customFormat="1" x14ac:dyDescent="0.25">
      <c r="A271" s="405" t="s">
        <v>589</v>
      </c>
      <c r="B271" s="347" t="str">
        <f>IF(Start!$C$18="x",IF(AND(OR(F271="",F271="NA"),OR(G271="",G271="NA")),"",IF(I271="NA","NA",IF(AND(I271="",K271="--"),"NA",IF(AD271="NA","Missing Data",IF(I271="","No Criteria",IF(AD271&gt;=I271,"Needed","No")))))),"---")</f>
        <v/>
      </c>
      <c r="C271" s="501" t="str">
        <f>IF(Start!$C$18="x",IF(AND(OR(F271="",F271="NA"),OR(G271="",G271="NA")),"",IF(I271="NA","NA",IF(AND(I271="",K271="--"),"NA",IF(AF271="NA","Missing Data",IF(I271="","No Criteria",IF(AF271&gt;=I271,"Needed","No")))))),"---")</f>
        <v/>
      </c>
      <c r="D271" s="347" t="str">
        <f>IF(Start!$C$18="x",IF(AND(OR(F271="",F271="NA"),OR(G271="",G271="NA")),"",IF(I271="NA","NA",IF(AND(I271="",K271="--"),"NA",IF(AO271="NA","Missing Data",IF(I271="","No Criteria",IF(AO271&gt;=I271,"Needed","No")))))),"---")</f>
        <v/>
      </c>
      <c r="E271" s="401" t="str">
        <f>IF(Start!$C$18="x",IF(AND(OR(F271="",F271="NA"),OR(G271="",G271="NA")),"",IF(I271="NA","NA",IF(AND(I271="",K271="--"),"NA",IF(AU271="NA","Missing Data",IF(I271="","No Criteria",IF(AU271&gt;=I271,"Needed","No")))))),"---")</f>
        <v/>
      </c>
      <c r="F271" s="431" t="str">
        <f>IF(TRUE=ISBLANK(ChemData!B271),"",(ChemData!B271))</f>
        <v/>
      </c>
      <c r="G271" s="432" t="str">
        <f>IF(TRUE=ISBLANK(ChemData!C271),"",(ChemData!C271))</f>
        <v/>
      </c>
      <c r="H271" s="433" t="str">
        <f>IF(TRUE=ISBLANK(ChemData!D271),"",(ChemData!D271))</f>
        <v/>
      </c>
      <c r="I271" s="919" t="str">
        <f>IF(TRUE=ISBLANK(ChemData!K271),"",(ChemData!K271))</f>
        <v>NA</v>
      </c>
      <c r="J271" s="290">
        <f>IF(TRUE=ISBLANK(ChemData!M271),"",(ChemData!M271))</f>
        <v>375</v>
      </c>
      <c r="K271" s="290" t="str">
        <f>IF(TRUE=ISBLANK(ChemData!N271),"",(ChemData!N271))</f>
        <v>NA</v>
      </c>
      <c r="L271" s="290" t="str">
        <f>IF(TRUE=ISBLANK(ChemData!O271),"",(ChemData!O271))</f>
        <v>NA</v>
      </c>
      <c r="M271" s="290">
        <f>IF(TRUE=ISBLANK(ChemData!Q271),"",(ChemData!Q271))</f>
        <v>703730.57258936029</v>
      </c>
      <c r="N271" s="290">
        <f>IF(TRUE=ISBLANK(ChemData!R271),"",(ChemData!R271))</f>
        <v>703730.57258936029</v>
      </c>
      <c r="O271" s="290">
        <f>IF(TRUE=ISBLANK(ChemData!S271),"",(ChemData!S271))</f>
        <v>1</v>
      </c>
      <c r="P271" s="291">
        <f>IF(TRUE=ISBLANK(ChemData!T271),"",(ChemData!T271))</f>
        <v>1</v>
      </c>
      <c r="Q271" s="375" t="str">
        <f>IF(Start!$C$18="x",IF(OR(K271="NA",K271="",K271="--"),"NA",(K271*1000000/82.1/Data!$D$50)),"---")</f>
        <v>NA</v>
      </c>
      <c r="R271" s="376">
        <f>IF(Start!$C$18="x",IF(OR(J271="NA",J271=0,J271=""),"NA",(0.32*(Data!$D$48+Data!$D$49)*(18/J271)^0.5)),"---")</f>
        <v>0.18052935495370276</v>
      </c>
      <c r="S271" s="376">
        <f>IF(Start!$C$18="x",IF(OR(J271="NA",J271= 0,J271=""),"NA",(0.0065*((Data!$D$49^0.969)/(Data!$D$51^0.673))*(32/J271)^0.5*EXP(0.526*Data!$D$48^-1.9))),"---")</f>
        <v>3.8050642111479925E-4</v>
      </c>
      <c r="T271" s="377" t="str">
        <f>IF(Start!$C$18="x",IF(OR(S271="NA",R271="NA",R271=0,Q271="NA",S271=0,Q271=0),"NA",(1/(1/S271+(1/(R271*Q271))))),"---")</f>
        <v>NA</v>
      </c>
      <c r="U271" s="375" t="str">
        <f>IF(Start!$C$18="x",IF(OR(F271="NA",F271="",O271="",O271="NA"),"NA",(F271*$O271)),"---")</f>
        <v>NA</v>
      </c>
      <c r="V271" s="376" t="str">
        <f>IF(Start!$C$18="x",IF(OR(U271="NA",M271="NA",M271="",U271=""),"NA",U271/((Data!$D$18+((1-Data!$D$18)*Data!$D$14*M271))/((1-Data!$D$18)*Data!$D$14*1000))),"---")</f>
        <v>NA</v>
      </c>
      <c r="W271" s="376" t="str">
        <f>IF(Start!$C$18="x",IF(OR(G271="NA",U271="NA",G271="",U271=""),"NA",(U271 +($G271*(Data!$D$19-Data!$D$22)/(Data!$D$19*Data!$D$22)))),"---")</f>
        <v>NA</v>
      </c>
      <c r="X271" s="376" t="str">
        <f>IF(Start!$C$18="x",IF(OR(G271="NA",V271="NA",G271="",V271=""),"NA",(((Data!$D$22*Data!$D$18)*V271)+(Data!$D$19-Data!$D$22)*$G271)/((Data!$D$22*Data!$D$18)+Data!$D$19-Data!$D$22)),"---")</f>
        <v>NA</v>
      </c>
      <c r="Y271" s="376" t="str">
        <f>IF(Start!$C$18="x",IF(OR(W271="NA",W271="",M271="NA",M271=""),"NA",(W271/((Data!$D$23+((1-Data!$D$23)*Data!$D$14*M271)) /((1-Data!$D$23)*Data!$D$14*1000)))),"---")</f>
        <v>NA</v>
      </c>
      <c r="Z271" s="376" t="str">
        <f>IF(Start!$C$18="x",IF(OR(Y271="NA",X271="NA"),"NA",IF(Y271&gt;X271, Y271, X271)),"---")</f>
        <v>NA</v>
      </c>
      <c r="AA271" s="461" t="str">
        <f>IF(Start!$C$18="x",IF(OR(Z271="NA",T271="NA"),"NA",Z271*T271/(1000000000)),"---")</f>
        <v>NA</v>
      </c>
      <c r="AB271" s="1057" t="str">
        <f>IF(Start!$C$18="x",IF(AA271 = "NA", "NA", AA271*(Data!$D$52*Data!$D$53*10000)),"---")</f>
        <v>NA</v>
      </c>
      <c r="AC271" s="375" t="str">
        <f>IF(Start!$C$18="x",IF(AB271="NA", "NA", AB271*Data!$D$54),"---")</f>
        <v>NA</v>
      </c>
      <c r="AD271" s="498" t="str">
        <f>IF(Start!$C$18="x",IF(AC271="NA","NA",AC271*Data!$D$41),"---")</f>
        <v>NA</v>
      </c>
      <c r="AE271" s="376" t="str">
        <f>IF(Start!$C$18="x",IF(AB271 = "NA", "NA", AB271/(Data!$D$53*3*Data!$D$48)*1000),"---")</f>
        <v>NA</v>
      </c>
      <c r="AF271" s="498" t="str">
        <f>IF(Start!$C$18="x",IF(AE271="NA","NA",AE271*Data!$D$46),"---")</f>
        <v>NA</v>
      </c>
      <c r="AG271" s="375" t="str">
        <f>IF(Start!$C$18="x",IF(OR($L271="NA",L271=""),"NA",($L271*(Data!$D$55^3.33)/(Data!$D$18^2))),"---")</f>
        <v>NA</v>
      </c>
      <c r="AH271" s="376" t="str">
        <f>IF(Start!$C$18="x",IF(OR(F271="NA",F271="",P271="NA",P271=""),"NA",IF(100/Data!$D$10&gt;Data!$D$13,(F271*$P271),(F271*$P271)*Data!$D$13)),"---")</f>
        <v>NA</v>
      </c>
      <c r="AI271" s="489" t="str">
        <f>IF(Start!$C$18="x",IF(OR($N271="NA",$Q271="NA",$Q271=0,Q271="",N271=""),"NA",(1000*$N271/$Q271)),"---")</f>
        <v>NA</v>
      </c>
      <c r="AJ271" s="376" t="str">
        <f>IF(Start!$C$18="x",IF(OR(Q271 = "NA",Q271=0,N271 = "NA",N271="",Q271=""), "NA", IF($AG271="NA","NA",(3.1416*Data!$D$57*86400/($AG271*(Data!$D$55+(N271*Data!$D$19/(Q271*1000)))))^0.5)),"---")</f>
        <v>NA</v>
      </c>
      <c r="AK271" s="376" t="str">
        <f>IF(Start!$C$18="x",IF(OR(AH271 = "NA",AI271="NA",AI271=0,AI271="",AH271=""), "NA", AH271/AI271),"---")</f>
        <v>NA</v>
      </c>
      <c r="AL271" s="376" t="str">
        <f>IF(Start!$C$18="x",IF(OR(AK271 ="NA",AK271="",AJ271= "NA",R271="NA",R271=0),"NA",(2*AK271)/(1000*(1/$R271+AJ271))),"---")</f>
        <v>NA</v>
      </c>
      <c r="AM271" s="376" t="str">
        <f>IF(Start!$C$18="x",IF(AL271 = "NA", "NA", AL271*(Data!$D$52*Data!$D$53*10000)),"---")</f>
        <v>NA</v>
      </c>
      <c r="AN271" s="376" t="str">
        <f>IF(Start!$C$18="x",IF(AM271 = "NA", "NA", AM271*(Data!$D$54)),"---")</f>
        <v>NA</v>
      </c>
      <c r="AO271" s="498" t="str">
        <f>IF(Start!$C$18="x",IF(AN271="NA","NA",AN271*Data!$D$41),"---")</f>
        <v>NA</v>
      </c>
      <c r="AP271" s="376" t="str">
        <f>IF(Start!$C$18="x",IF(OR(Q271=0,N271="NA",N271="",AG271="NA",AG271="",AG271=0,Q271="",Q271="NA"),"NA", (3.1416*Data!$D$56*86400/($AG271*(Data!$D$55+(N271*Data!$D$19/(Q271*1000)))))^0.5),"---")</f>
        <v>NA</v>
      </c>
      <c r="AQ271" s="376" t="str">
        <f>IF(Start!$C$18="x",IF(OR(AH271="NA",AI271="NA",AI271="",AI271=0,AH271=""),"NA", AH271/AI271),"---")</f>
        <v>NA</v>
      </c>
      <c r="AR271" s="376" t="str">
        <f>IF(Start!$C$18="x",IF(OR(AQ271="NA",AP271="NA",$R271="NA",R271=0,R271=""),"NA",(2*AQ271)/(1000*(1/$R271+AP271))),"---")</f>
        <v>NA</v>
      </c>
      <c r="AS271" s="376" t="str">
        <f>IF(Start!$C$18="x",IF(AR271 = "NA", "NA", AR271*(Data!$D$52*Data!$D$53*10000)),"---")</f>
        <v>NA</v>
      </c>
      <c r="AT271" s="376" t="str">
        <f>IF(Start!$C$18="x",IF(AS271 = "NA", "NA", (AS271*1000)/(Data!$D$48*3*Data!$D$53)),"---")</f>
        <v>NA</v>
      </c>
      <c r="AU271" s="498" t="str">
        <f>IF(Start!$C$18="x",IF(AT271="NA","NA",AT271*Data!$D$47),"---")</f>
        <v>NA</v>
      </c>
      <c r="AV271" s="283" t="str">
        <f>IF(Start!$C$18="x",(IF(AND(F271="",G271= "",G271&lt;&gt;"NA"),"",IF(OR(AD271="NA",I271="NA",I271=0),"NA",(AD271/I271)))),"Not Req.")</f>
        <v/>
      </c>
      <c r="AW271" s="284" t="str">
        <f>IF(Start!$C$18="x",(IF(AND(F271="",G271= "",G271&lt;&gt;"NA"),"",IF(OR(AF271="NA",I271="NA",I271=0),"NA",(AF271/I271)))),"Not Req.")</f>
        <v/>
      </c>
      <c r="AX271" s="284" t="str">
        <f>IF(Start!$C$18="x",(IF(F271 ="","",IF(OR(AO271="NA",I271="NA",I271=0),"NA",(AO271/I271)))),"Not Req.")</f>
        <v/>
      </c>
      <c r="AY271" s="344" t="str">
        <f>IF(Start!$C$18="x",(IF(F271 ="","",IF(OR(AU271="NA",I271="NA",I271=0),"NA",(AU271/I271)))),"Not Req.")</f>
        <v/>
      </c>
      <c r="AZ271" s="208"/>
    </row>
    <row r="272" spans="1:52" s="183" customFormat="1" x14ac:dyDescent="0.25">
      <c r="A272" s="405" t="s">
        <v>590</v>
      </c>
      <c r="B272" s="347" t="str">
        <f>IF(Start!$C$18="x",IF(AND(OR(F272="",F272="NA"),OR(G272="",G272="NA")),"",IF(I272="NA","NA",IF(AND(I272="",K272="--"),"NA",IF(AD272="NA","Missing Data",IF(I272="","No Criteria",IF(AD272&gt;=I272,"Needed","No")))))),"---")</f>
        <v/>
      </c>
      <c r="C272" s="501" t="str">
        <f>IF(Start!$C$18="x",IF(AND(OR(F272="",F272="NA"),OR(G272="",G272="NA")),"",IF(I272="NA","NA",IF(AND(I272="",K272="--"),"NA",IF(AF272="NA","Missing Data",IF(I272="","No Criteria",IF(AF272&gt;=I272,"Needed","No")))))),"---")</f>
        <v/>
      </c>
      <c r="D272" s="347" t="str">
        <f>IF(Start!$C$18="x",IF(AND(OR(F272="",F272="NA"),OR(G272="",G272="NA")),"",IF(I272="NA","NA",IF(AND(I272="",K272="--"),"NA",IF(AO272="NA","Missing Data",IF(I272="","No Criteria",IF(AO272&gt;=I272,"Needed","No")))))),"---")</f>
        <v/>
      </c>
      <c r="E272" s="401" t="str">
        <f>IF(Start!$C$18="x",IF(AND(OR(F272="",F272="NA"),OR(G272="",G272="NA")),"",IF(I272="NA","NA",IF(AND(I272="",K272="--"),"NA",IF(AU272="NA","Missing Data",IF(I272="","No Criteria",IF(AU272&gt;=I272,"Needed","No")))))),"---")</f>
        <v/>
      </c>
      <c r="F272" s="431" t="str">
        <f>IF(TRUE=ISBLANK(ChemData!B272),"",(ChemData!B272))</f>
        <v/>
      </c>
      <c r="G272" s="432" t="str">
        <f>IF(TRUE=ISBLANK(ChemData!C272),"",(ChemData!C272))</f>
        <v/>
      </c>
      <c r="H272" s="433" t="str">
        <f>IF(TRUE=ISBLANK(ChemData!D272),"",(ChemData!D272))</f>
        <v/>
      </c>
      <c r="I272" s="919" t="str">
        <f>IF(TRUE=ISBLANK(ChemData!K272),"",(ChemData!K272))</f>
        <v>NA</v>
      </c>
      <c r="J272" s="290">
        <f>IF(TRUE=ISBLANK(ChemData!M272),"",(ChemData!M272))</f>
        <v>356</v>
      </c>
      <c r="K272" s="290">
        <f>IF(TRUE=ISBLANK(ChemData!N272),"",(ChemData!N272))</f>
        <v>2.2000000000000001E-6</v>
      </c>
      <c r="L272" s="290">
        <f>IF(TRUE=ISBLANK(ChemData!O272),"",(ChemData!O272))</f>
        <v>0.14963727755675404</v>
      </c>
      <c r="M272" s="290">
        <f>IF(TRUE=ISBLANK(ChemData!Q272),"",(ChemData!Q272))</f>
        <v>58533.759489716802</v>
      </c>
      <c r="N272" s="290">
        <f>IF(TRUE=ISBLANK(ChemData!R272),"",(ChemData!R272))</f>
        <v>58533.759489716802</v>
      </c>
      <c r="O272" s="290">
        <f>IF(TRUE=ISBLANK(ChemData!S272),"",(ChemData!S272))</f>
        <v>1</v>
      </c>
      <c r="P272" s="291">
        <f>IF(TRUE=ISBLANK(ChemData!T272),"",(ChemData!T272))</f>
        <v>1</v>
      </c>
      <c r="Q272" s="375">
        <f>IF(Start!$C$18="x",IF(OR(K272="NA",K272="",K272="--"),"NA",(K272*1000000/82.1/Data!$D$50)),"---")</f>
        <v>8.6440611370869531E-5</v>
      </c>
      <c r="R272" s="376">
        <f>IF(Start!$C$18="x",IF(OR(J272="NA",J272=0,J272=""),"NA",(0.32*(Data!$D$48+Data!$D$49)*(18/J272)^0.5)),"---")</f>
        <v>0.18528423351977696</v>
      </c>
      <c r="S272" s="376">
        <f>IF(Start!$C$18="x",IF(OR(J272="NA",J272= 0,J272=""),"NA",(0.0065*((Data!$D$49^0.969)/(Data!$D$51^0.673))*(32/J272)^0.5*EXP(0.526*Data!$D$48^-1.9))),"---")</f>
        <v>3.9052840245116615E-4</v>
      </c>
      <c r="T272" s="377">
        <f>IF(Start!$C$18="x",IF(OR(S272="NA",R272="NA",R272=0,Q272="NA",S272=0,Q272=0),"NA",(1/(1/S272+(1/(R272*Q272))))),"---")</f>
        <v>1.5385118516743663E-5</v>
      </c>
      <c r="U272" s="375" t="str">
        <f>IF(Start!$C$18="x",IF(OR(F272="NA",F272="",O272="",O272="NA"),"NA",(F272*$O272)),"---")</f>
        <v>NA</v>
      </c>
      <c r="V272" s="376" t="str">
        <f>IF(Start!$C$18="x",IF(OR(U272="NA",M272="NA",M272="",U272=""),"NA",U272/((Data!$D$18+((1-Data!$D$18)*Data!$D$14*M272))/((1-Data!$D$18)*Data!$D$14*1000))),"---")</f>
        <v>NA</v>
      </c>
      <c r="W272" s="376" t="str">
        <f>IF(Start!$C$18="x",IF(OR(G272="NA",U272="NA",G272="",U272=""),"NA",(U272 +($G272*(Data!$D$19-Data!$D$22)/(Data!$D$19*Data!$D$22)))),"---")</f>
        <v>NA</v>
      </c>
      <c r="X272" s="376" t="str">
        <f>IF(Start!$C$18="x",IF(OR(G272="NA",V272="NA",G272="",V272=""),"NA",(((Data!$D$22*Data!$D$18)*V272)+(Data!$D$19-Data!$D$22)*$G272)/((Data!$D$22*Data!$D$18)+Data!$D$19-Data!$D$22)),"---")</f>
        <v>NA</v>
      </c>
      <c r="Y272" s="376" t="str">
        <f>IF(Start!$C$18="x",IF(OR(W272="NA",W272="",M272="NA",M272=""),"NA",(W272/((Data!$D$23+((1-Data!$D$23)*Data!$D$14*M272)) /((1-Data!$D$23)*Data!$D$14*1000)))),"---")</f>
        <v>NA</v>
      </c>
      <c r="Z272" s="376" t="str">
        <f>IF(Start!$C$18="x",IF(OR(Y272="NA",X272="NA"),"NA",IF(Y272&gt;X272, Y272, X272)),"---")</f>
        <v>NA</v>
      </c>
      <c r="AA272" s="461" t="str">
        <f>IF(Start!$C$18="x",IF(OR(Z272="NA",T272="NA"),"NA",Z272*T272/(1000000000)),"---")</f>
        <v>NA</v>
      </c>
      <c r="AB272" s="1057" t="str">
        <f>IF(Start!$C$18="x",IF(AA272 = "NA", "NA", AA272*(Data!$D$52*Data!$D$53*10000)),"---")</f>
        <v>NA</v>
      </c>
      <c r="AC272" s="375" t="str">
        <f>IF(Start!$C$18="x",IF(AB272="NA", "NA", AB272*Data!$D$54),"---")</f>
        <v>NA</v>
      </c>
      <c r="AD272" s="498" t="str">
        <f>IF(Start!$C$18="x",IF(AC272="NA","NA",AC272*Data!$D$41),"---")</f>
        <v>NA</v>
      </c>
      <c r="AE272" s="376" t="str">
        <f>IF(Start!$C$18="x",IF(AB272 = "NA", "NA", AB272/(Data!$D$53*3*Data!$D$48)*1000),"---")</f>
        <v>NA</v>
      </c>
      <c r="AF272" s="498" t="str">
        <f>IF(Start!$C$18="x",IF(AE272="NA","NA",AE272*Data!$D$46),"---")</f>
        <v>NA</v>
      </c>
      <c r="AG272" s="375">
        <f>IF(Start!$C$18="x",IF(OR($L272="NA",L272=""),"NA",($L272*(Data!$D$55^3.33)/(Data!$D$18^2))),"---")</f>
        <v>1.5244288173481759E-3</v>
      </c>
      <c r="AH272" s="376" t="str">
        <f>IF(Start!$C$18="x",IF(OR(F272="NA",F272="",P272="NA",P272=""),"NA",IF(100/Data!$D$10&gt;Data!$D$13,(F272*$P272),(F272*$P272)*Data!$D$13)),"---")</f>
        <v>NA</v>
      </c>
      <c r="AI272" s="489">
        <f>IF(Start!$C$18="x",IF(OR($N272="NA",$Q272="NA",$Q272=0,Q272="",N272=""),"NA",(1000*$N272/$Q272)),"---")</f>
        <v>677155778533.08276</v>
      </c>
      <c r="AJ272" s="376">
        <f>IF(Start!$C$18="x",IF(OR(Q272 = "NA",Q272=0,N272 = "NA",N272="",Q272=""), "NA", IF($AG272="NA","NA",(3.1416*Data!$D$57*86400/($AG272*(Data!$D$55+(N272*Data!$D$19/(Q272*1000)))))^0.5)),"---")</f>
        <v>3.0475401311321688</v>
      </c>
      <c r="AK272" s="376" t="str">
        <f>IF(Start!$C$18="x",IF(OR(AH272 = "NA",AI272="NA",AI272=0,AI272="",AH272=""), "NA", AH272/AI272),"---")</f>
        <v>NA</v>
      </c>
      <c r="AL272" s="376" t="str">
        <f>IF(Start!$C$18="x",IF(OR(AK272 ="NA",AK272="",AJ272= "NA",R272="NA",R272=0),"NA",(2*AK272)/(1000*(1/$R272+AJ272))),"---")</f>
        <v>NA</v>
      </c>
      <c r="AM272" s="376" t="str">
        <f>IF(Start!$C$18="x",IF(AL272 = "NA", "NA", AL272*(Data!$D$52*Data!$D$53*10000)),"---")</f>
        <v>NA</v>
      </c>
      <c r="AN272" s="376" t="str">
        <f>IF(Start!$C$18="x",IF(AM272 = "NA", "NA", AM272*(Data!$D$54)),"---")</f>
        <v>NA</v>
      </c>
      <c r="AO272" s="498" t="str">
        <f>IF(Start!$C$18="x",IF(AN272="NA","NA",AN272*Data!$D$41),"---")</f>
        <v>NA</v>
      </c>
      <c r="AP272" s="376">
        <f>IF(Start!$C$18="x",IF(OR(Q272=0,N272="NA",N272="",AG272="NA",AG272="",AG272=0,Q272="",Q272="NA"),"NA", (3.1416*Data!$D$56*86400/($AG272*(Data!$D$55+(N272*Data!$D$19/(Q272*1000)))))^0.5),"---")</f>
        <v>3.0475401311321688</v>
      </c>
      <c r="AQ272" s="376" t="str">
        <f>IF(Start!$C$18="x",IF(OR(AH272="NA",AI272="NA",AI272="",AI272=0,AH272=""),"NA", AH272/AI272),"---")</f>
        <v>NA</v>
      </c>
      <c r="AR272" s="376" t="str">
        <f>IF(Start!$C$18="x",IF(OR(AQ272="NA",AP272="NA",$R272="NA",R272=0,R272=""),"NA",(2*AQ272)/(1000*(1/$R272+AP272))),"---")</f>
        <v>NA</v>
      </c>
      <c r="AS272" s="376" t="str">
        <f>IF(Start!$C$18="x",IF(AR272 = "NA", "NA", AR272*(Data!$D$52*Data!$D$53*10000)),"---")</f>
        <v>NA</v>
      </c>
      <c r="AT272" s="376" t="str">
        <f>IF(Start!$C$18="x",IF(AS272 = "NA", "NA", (AS272*1000)/(Data!$D$48*3*Data!$D$53)),"---")</f>
        <v>NA</v>
      </c>
      <c r="AU272" s="498" t="str">
        <f>IF(Start!$C$18="x",IF(AT272="NA","NA",AT272*Data!$D$47),"---")</f>
        <v>NA</v>
      </c>
      <c r="AV272" s="283" t="str">
        <f>IF(Start!$C$18="x",(IF(AND(F272="",G272= "",G272&lt;&gt;"NA"),"",IF(OR(AD272="NA",I272="NA",I272=0),"NA",(AD272/I272)))),"Not Req.")</f>
        <v/>
      </c>
      <c r="AW272" s="284" t="str">
        <f>IF(Start!$C$18="x",(IF(AND(F272="",G272= "",G272&lt;&gt;"NA"),"",IF(OR(AF272="NA",I272="NA",I272=0),"NA",(AF272/I272)))),"Not Req.")</f>
        <v/>
      </c>
      <c r="AX272" s="284" t="str">
        <f>IF(Start!$C$18="x",(IF(F272 ="","",IF(OR(AO272="NA",I272="NA",I272=0),"NA",(AO272/I272)))),"Not Req.")</f>
        <v/>
      </c>
      <c r="AY272" s="344" t="str">
        <f>IF(Start!$C$18="x",(IF(F272 ="","",IF(OR(AU272="NA",I272="NA",I272=0),"NA",(AU272/I272)))),"Not Req.")</f>
        <v/>
      </c>
      <c r="AZ272" s="208"/>
    </row>
    <row r="273" spans="1:52" s="183" customFormat="1" x14ac:dyDescent="0.25">
      <c r="A273" s="405" t="s">
        <v>591</v>
      </c>
      <c r="B273" s="347" t="str">
        <f>IF(Start!$C$18="x",IF(AND(OR(F273="",F273="NA"),OR(G273="",G273="NA")),"",IF(I273="NA","NA",IF(AND(I273="",K273="--"),"NA",IF(AD273="NA","Missing Data",IF(I273="","No Criteria",IF(AD273&gt;=I273,"Needed","No")))))),"---")</f>
        <v/>
      </c>
      <c r="C273" s="501" t="str">
        <f>IF(Start!$C$18="x",IF(AND(OR(F273="",F273="NA"),OR(G273="",G273="NA")),"",IF(I273="NA","NA",IF(AND(I273="",K273="--"),"NA",IF(AF273="NA","Missing Data",IF(I273="","No Criteria",IF(AF273&gt;=I273,"Needed","No")))))),"---")</f>
        <v/>
      </c>
      <c r="D273" s="347" t="str">
        <f>IF(Start!$C$18="x",IF(AND(OR(F273="",F273="NA"),OR(G273="",G273="NA")),"",IF(I273="NA","NA",IF(AND(I273="",K273="--"),"NA",IF(AO273="NA","Missing Data",IF(I273="","No Criteria",IF(AO273&gt;=I273,"Needed","No")))))),"---")</f>
        <v/>
      </c>
      <c r="E273" s="401" t="str">
        <f>IF(Start!$C$18="x",IF(AND(OR(F273="",F273="NA"),OR(G273="",G273="NA")),"",IF(I273="NA","NA",IF(AND(I273="",K273="--"),"NA",IF(AU273="NA","Missing Data",IF(I273="","No Criteria",IF(AU273&gt;=I273,"Needed","No")))))),"---")</f>
        <v/>
      </c>
      <c r="F273" s="431" t="str">
        <f>IF(TRUE=ISBLANK(ChemData!B273),"",(ChemData!B273))</f>
        <v/>
      </c>
      <c r="G273" s="432" t="str">
        <f>IF(TRUE=ISBLANK(ChemData!C273),"",(ChemData!C273))</f>
        <v/>
      </c>
      <c r="H273" s="433" t="str">
        <f>IF(TRUE=ISBLANK(ChemData!D273),"",(ChemData!D273))</f>
        <v/>
      </c>
      <c r="I273" s="919" t="str">
        <f>IF(TRUE=ISBLANK(ChemData!K273),"",(ChemData!K273))</f>
        <v>NA</v>
      </c>
      <c r="J273" s="290">
        <f>IF(TRUE=ISBLANK(ChemData!M273),"",(ChemData!M273))</f>
        <v>340</v>
      </c>
      <c r="K273" s="290" t="str">
        <f>IF(TRUE=ISBLANK(ChemData!N273),"",(ChemData!N273))</f>
        <v>NA</v>
      </c>
      <c r="L273" s="290" t="str">
        <f>IF(TRUE=ISBLANK(ChemData!O273),"",(ChemData!O273))</f>
        <v>NA</v>
      </c>
      <c r="M273" s="290">
        <f>IF(TRUE=ISBLANK(ChemData!Q273),"",(ChemData!Q273))</f>
        <v>161215.36050087097</v>
      </c>
      <c r="N273" s="290">
        <f>IF(TRUE=ISBLANK(ChemData!R273),"",(ChemData!R273))</f>
        <v>161215.36050087097</v>
      </c>
      <c r="O273" s="290">
        <f>IF(TRUE=ISBLANK(ChemData!S273),"",(ChemData!S273))</f>
        <v>1</v>
      </c>
      <c r="P273" s="291">
        <f>IF(TRUE=ISBLANK(ChemData!T273),"",(ChemData!T273))</f>
        <v>1</v>
      </c>
      <c r="Q273" s="375" t="str">
        <f>IF(Start!$C$18="x",IF(OR(K273="NA",K273="",K273="--"),"NA",(K273*1000000/82.1/Data!$D$50)),"---")</f>
        <v>NA</v>
      </c>
      <c r="R273" s="376">
        <f>IF(Start!$C$18="x",IF(OR(J273="NA",J273=0,J273=""),"NA",(0.32*(Data!$D$48+Data!$D$49)*(18/J273)^0.5)),"---")</f>
        <v>0.18959374524306999</v>
      </c>
      <c r="S273" s="376">
        <f>IF(Start!$C$18="x",IF(OR(J273="NA",J273= 0,J273=""),"NA",(0.0065*((Data!$D$49^0.969)/(Data!$D$51^0.673))*(32/J273)^0.5*EXP(0.526*Data!$D$48^-1.9))),"---")</f>
        <v>3.9961167249887133E-4</v>
      </c>
      <c r="T273" s="377" t="str">
        <f>IF(Start!$C$18="x",IF(OR(S273="NA",R273="NA",R273=0,Q273="NA",S273=0,Q273=0),"NA",(1/(1/S273+(1/(R273*Q273))))),"---")</f>
        <v>NA</v>
      </c>
      <c r="U273" s="375" t="str">
        <f>IF(Start!$C$18="x",IF(OR(F273="NA",F273="",O273="",O273="NA"),"NA",(F273*$O273)),"---")</f>
        <v>NA</v>
      </c>
      <c r="V273" s="376" t="str">
        <f>IF(Start!$C$18="x",IF(OR(U273="NA",M273="NA",M273="",U273=""),"NA",U273/((Data!$D$18+((1-Data!$D$18)*Data!$D$14*M273))/((1-Data!$D$18)*Data!$D$14*1000))),"---")</f>
        <v>NA</v>
      </c>
      <c r="W273" s="376" t="str">
        <f>IF(Start!$C$18="x",IF(OR(G273="NA",U273="NA",G273="",U273=""),"NA",(U273 +($G273*(Data!$D$19-Data!$D$22)/(Data!$D$19*Data!$D$22)))),"---")</f>
        <v>NA</v>
      </c>
      <c r="X273" s="376" t="str">
        <f>IF(Start!$C$18="x",IF(OR(G273="NA",V273="NA",G273="",V273=""),"NA",(((Data!$D$22*Data!$D$18)*V273)+(Data!$D$19-Data!$D$22)*$G273)/((Data!$D$22*Data!$D$18)+Data!$D$19-Data!$D$22)),"---")</f>
        <v>NA</v>
      </c>
      <c r="Y273" s="376" t="str">
        <f>IF(Start!$C$18="x",IF(OR(W273="NA",W273="",M273="NA",M273=""),"NA",(W273/((Data!$D$23+((1-Data!$D$23)*Data!$D$14*M273)) /((1-Data!$D$23)*Data!$D$14*1000)))),"---")</f>
        <v>NA</v>
      </c>
      <c r="Z273" s="376" t="str">
        <f>IF(Start!$C$18="x",IF(OR(Y273="NA",X273="NA"),"NA",IF(Y273&gt;X273, Y273, X273)),"---")</f>
        <v>NA</v>
      </c>
      <c r="AA273" s="461" t="str">
        <f>IF(Start!$C$18="x",IF(OR(Z273="NA",T273="NA"),"NA",Z273*T273/(1000000000)),"---")</f>
        <v>NA</v>
      </c>
      <c r="AB273" s="1057" t="str">
        <f>IF(Start!$C$18="x",IF(AA273 = "NA", "NA", AA273*(Data!$D$52*Data!$D$53*10000)),"---")</f>
        <v>NA</v>
      </c>
      <c r="AC273" s="375" t="str">
        <f>IF(Start!$C$18="x",IF(AB273="NA", "NA", AB273*Data!$D$54),"---")</f>
        <v>NA</v>
      </c>
      <c r="AD273" s="498" t="str">
        <f>IF(Start!$C$18="x",IF(AC273="NA","NA",AC273*Data!$D$41),"---")</f>
        <v>NA</v>
      </c>
      <c r="AE273" s="376" t="str">
        <f>IF(Start!$C$18="x",IF(AB273 = "NA", "NA", AB273/(Data!$D$53*3*Data!$D$48)*1000),"---")</f>
        <v>NA</v>
      </c>
      <c r="AF273" s="498" t="str">
        <f>IF(Start!$C$18="x",IF(AE273="NA","NA",AE273*Data!$D$46),"---")</f>
        <v>NA</v>
      </c>
      <c r="AG273" s="375" t="str">
        <f>IF(Start!$C$18="x",IF(OR($L273="NA",L273=""),"NA",($L273*(Data!$D$55^3.33)/(Data!$D$18^2))),"---")</f>
        <v>NA</v>
      </c>
      <c r="AH273" s="376" t="str">
        <f>IF(Start!$C$18="x",IF(OR(F273="NA",F273="",P273="NA",P273=""),"NA",IF(100/Data!$D$10&gt;Data!$D$13,(F273*$P273),(F273*$P273)*Data!$D$13)),"---")</f>
        <v>NA</v>
      </c>
      <c r="AI273" s="489" t="str">
        <f>IF(Start!$C$18="x",IF(OR($N273="NA",$Q273="NA",$Q273=0,Q273="",N273=""),"NA",(1000*$N273/$Q273)),"---")</f>
        <v>NA</v>
      </c>
      <c r="AJ273" s="376" t="str">
        <f>IF(Start!$C$18="x",IF(OR(Q273 = "NA",Q273=0,N273 = "NA",N273="",Q273=""), "NA", IF($AG273="NA","NA",(3.1416*Data!$D$57*86400/($AG273*(Data!$D$55+(N273*Data!$D$19/(Q273*1000)))))^0.5)),"---")</f>
        <v>NA</v>
      </c>
      <c r="AK273" s="376" t="str">
        <f>IF(Start!$C$18="x",IF(OR(AH273 = "NA",AI273="NA",AI273=0,AI273="",AH273=""), "NA", AH273/AI273),"---")</f>
        <v>NA</v>
      </c>
      <c r="AL273" s="376" t="str">
        <f>IF(Start!$C$18="x",IF(OR(AK273 ="NA",AK273="",AJ273= "NA",R273="NA",R273=0),"NA",(2*AK273)/(1000*(1/$R273+AJ273))),"---")</f>
        <v>NA</v>
      </c>
      <c r="AM273" s="376" t="str">
        <f>IF(Start!$C$18="x",IF(AL273 = "NA", "NA", AL273*(Data!$D$52*Data!$D$53*10000)),"---")</f>
        <v>NA</v>
      </c>
      <c r="AN273" s="376" t="str">
        <f>IF(Start!$C$18="x",IF(AM273 = "NA", "NA", AM273*(Data!$D$54)),"---")</f>
        <v>NA</v>
      </c>
      <c r="AO273" s="498" t="str">
        <f>IF(Start!$C$18="x",IF(AN273="NA","NA",AN273*Data!$D$41),"---")</f>
        <v>NA</v>
      </c>
      <c r="AP273" s="376" t="str">
        <f>IF(Start!$C$18="x",IF(OR(Q273=0,N273="NA",N273="",AG273="NA",AG273="",AG273=0,Q273="",Q273="NA"),"NA", (3.1416*Data!$D$56*86400/($AG273*(Data!$D$55+(N273*Data!$D$19/(Q273*1000)))))^0.5),"---")</f>
        <v>NA</v>
      </c>
      <c r="AQ273" s="376" t="str">
        <f>IF(Start!$C$18="x",IF(OR(AH273="NA",AI273="NA",AI273="",AI273=0,AH273=""),"NA", AH273/AI273),"---")</f>
        <v>NA</v>
      </c>
      <c r="AR273" s="376" t="str">
        <f>IF(Start!$C$18="x",IF(OR(AQ273="NA",AP273="NA",$R273="NA",R273=0,R273=""),"NA",(2*AQ273)/(1000*(1/$R273+AP273))),"---")</f>
        <v>NA</v>
      </c>
      <c r="AS273" s="376" t="str">
        <f>IF(Start!$C$18="x",IF(AR273 = "NA", "NA", AR273*(Data!$D$52*Data!$D$53*10000)),"---")</f>
        <v>NA</v>
      </c>
      <c r="AT273" s="376" t="str">
        <f>IF(Start!$C$18="x",IF(AS273 = "NA", "NA", (AS273*1000)/(Data!$D$48*3*Data!$D$53)),"---")</f>
        <v>NA</v>
      </c>
      <c r="AU273" s="498" t="str">
        <f>IF(Start!$C$18="x",IF(AT273="NA","NA",AT273*Data!$D$47),"---")</f>
        <v>NA</v>
      </c>
      <c r="AV273" s="283" t="str">
        <f>IF(Start!$C$18="x",(IF(AND(F273="",G273= "",G273&lt;&gt;"NA"),"",IF(OR(AD273="NA",I273="NA",I273=0),"NA",(AD273/I273)))),"Not Req.")</f>
        <v/>
      </c>
      <c r="AW273" s="284" t="str">
        <f>IF(Start!$C$18="x",(IF(AND(F273="",G273= "",G273&lt;&gt;"NA"),"",IF(OR(AF273="NA",I273="NA",I273=0),"NA",(AF273/I273)))),"Not Req.")</f>
        <v/>
      </c>
      <c r="AX273" s="284" t="str">
        <f>IF(Start!$C$18="x",(IF(F273 ="","",IF(OR(AO273="NA",I273="NA",I273=0),"NA",(AO273/I273)))),"Not Req.")</f>
        <v/>
      </c>
      <c r="AY273" s="344" t="str">
        <f>IF(Start!$C$18="x",(IF(F273 ="","",IF(OR(AU273="NA",I273="NA",I273=0),"NA",(AU273/I273)))),"Not Req.")</f>
        <v/>
      </c>
      <c r="AZ273" s="208"/>
    </row>
    <row r="274" spans="1:52" s="183" customFormat="1" x14ac:dyDescent="0.25">
      <c r="A274" s="405" t="s">
        <v>592</v>
      </c>
      <c r="B274" s="347" t="str">
        <f>IF(Start!$C$18="x",IF(AND(OR(F274="",F274="NA"),OR(G274="",G274="NA")),"",IF(I274="NA","NA",IF(AND(I274="",K274="--"),"NA",IF(AD274="NA","Missing Data",IF(I274="","No Criteria",IF(AD274&gt;=I274,"Needed","No")))))),"---")</f>
        <v/>
      </c>
      <c r="C274" s="501" t="str">
        <f>IF(Start!$C$18="x",IF(AND(OR(F274="",F274="NA"),OR(G274="",G274="NA")),"",IF(I274="NA","NA",IF(AND(I274="",K274="--"),"NA",IF(AF274="NA","Missing Data",IF(I274="","No Criteria",IF(AF274&gt;=I274,"Needed","No")))))),"---")</f>
        <v/>
      </c>
      <c r="D274" s="347" t="str">
        <f>IF(Start!$C$18="x",IF(AND(OR(F274="",F274="NA"),OR(G274="",G274="NA")),"",IF(I274="NA","NA",IF(AND(I274="",K274="--"),"NA",IF(AO274="NA","Missing Data",IF(I274="","No Criteria",IF(AO274&gt;=I274,"Needed","No")))))),"---")</f>
        <v/>
      </c>
      <c r="E274" s="401" t="str">
        <f>IF(Start!$C$18="x",IF(AND(OR(F274="",F274="NA"),OR(G274="",G274="NA")),"",IF(I274="NA","NA",IF(AND(I274="",K274="--"),"NA",IF(AU274="NA","Missing Data",IF(I274="","No Criteria",IF(AU274&gt;=I274,"Needed","No")))))),"---")</f>
        <v/>
      </c>
      <c r="F274" s="431" t="str">
        <f>IF(TRUE=ISBLANK(ChemData!B274),"",(ChemData!B274))</f>
        <v/>
      </c>
      <c r="G274" s="432" t="str">
        <f>IF(TRUE=ISBLANK(ChemData!C274),"",(ChemData!C274))</f>
        <v/>
      </c>
      <c r="H274" s="433" t="str">
        <f>IF(TRUE=ISBLANK(ChemData!D274),"",(ChemData!D274))</f>
        <v/>
      </c>
      <c r="I274" s="919" t="str">
        <f>IF(TRUE=ISBLANK(ChemData!K274),"",(ChemData!K274))</f>
        <v>NA</v>
      </c>
      <c r="J274" s="290">
        <f>IF(TRUE=ISBLANK(ChemData!M274),"",(ChemData!M274))</f>
        <v>321.95999999999998</v>
      </c>
      <c r="K274" s="290">
        <f>IF(TRUE=ISBLANK(ChemData!N274),"",(ChemData!N274))</f>
        <v>7.0000000000000005E-8</v>
      </c>
      <c r="L274" s="290">
        <f>IF(TRUE=ISBLANK(ChemData!O274),"",(ChemData!O274))</f>
        <v>0.15023137511702978</v>
      </c>
      <c r="M274" s="290">
        <f>IF(TRUE=ISBLANK(ChemData!Q274),"",(ChemData!Q274))</f>
        <v>46495.01784724246</v>
      </c>
      <c r="N274" s="290">
        <f>IF(TRUE=ISBLANK(ChemData!R274),"",(ChemData!R274))</f>
        <v>46495.01784724246</v>
      </c>
      <c r="O274" s="290">
        <f>IF(TRUE=ISBLANK(ChemData!S274),"",(ChemData!S274))</f>
        <v>1</v>
      </c>
      <c r="P274" s="291">
        <f>IF(TRUE=ISBLANK(ChemData!T274),"",(ChemData!T274))</f>
        <v>1</v>
      </c>
      <c r="Q274" s="375">
        <f>IF(Start!$C$18="x",IF(OR(K274="NA",K274="",K274="--"),"NA",(K274*1000000/82.1/Data!$D$50)),"---")</f>
        <v>2.7503830890731213E-6</v>
      </c>
      <c r="R274" s="376">
        <f>IF(Start!$C$18="x",IF(OR(J274="NA",J274=0,J274=""),"NA",(0.32*(Data!$D$48+Data!$D$49)*(18/J274)^0.5)),"---")</f>
        <v>0.1948329942263626</v>
      </c>
      <c r="S274" s="376">
        <f>IF(Start!$C$18="x",IF(OR(J274="NA",J274= 0,J274=""),"NA",(0.0065*((Data!$D$49^0.969)/(Data!$D$51^0.673))*(32/J274)^0.5*EXP(0.526*Data!$D$48^-1.9))),"---")</f>
        <v>4.1065457397311235E-4</v>
      </c>
      <c r="T274" s="377">
        <f>IF(Start!$C$18="x",IF(OR(S274="NA",R274="NA",R274=0,Q274="NA",S274=0,Q274=0),"NA",(1/(1/S274+(1/(R274*Q274))))),"---")</f>
        <v>5.351670301642791E-7</v>
      </c>
      <c r="U274" s="375" t="str">
        <f>IF(Start!$C$18="x",IF(OR(F274="NA",F274="",O274="",O274="NA"),"NA",(F274*$O274)),"---")</f>
        <v>NA</v>
      </c>
      <c r="V274" s="376" t="str">
        <f>IF(Start!$C$18="x",IF(OR(U274="NA",M274="NA",M274="",U274=""),"NA",U274/((Data!$D$18+((1-Data!$D$18)*Data!$D$14*M274))/((1-Data!$D$18)*Data!$D$14*1000))),"---")</f>
        <v>NA</v>
      </c>
      <c r="W274" s="376" t="str">
        <f>IF(Start!$C$18="x",IF(OR(G274="NA",U274="NA",G274="",U274=""),"NA",(U274 +($G274*(Data!$D$19-Data!$D$22)/(Data!$D$19*Data!$D$22)))),"---")</f>
        <v>NA</v>
      </c>
      <c r="X274" s="376" t="str">
        <f>IF(Start!$C$18="x",IF(OR(G274="NA",V274="NA",G274="",V274=""),"NA",(((Data!$D$22*Data!$D$18)*V274)+(Data!$D$19-Data!$D$22)*$G274)/((Data!$D$22*Data!$D$18)+Data!$D$19-Data!$D$22)),"---")</f>
        <v>NA</v>
      </c>
      <c r="Y274" s="376" t="str">
        <f>IF(Start!$C$18="x",IF(OR(W274="NA",W274="",M274="NA",M274=""),"NA",(W274/((Data!$D$23+((1-Data!$D$23)*Data!$D$14*M274)) /((1-Data!$D$23)*Data!$D$14*1000)))),"---")</f>
        <v>NA</v>
      </c>
      <c r="Z274" s="376" t="str">
        <f>IF(Start!$C$18="x",IF(OR(Y274="NA",X274="NA"),"NA",IF(Y274&gt;X274, Y274, X274)),"---")</f>
        <v>NA</v>
      </c>
      <c r="AA274" s="461" t="str">
        <f>IF(Start!$C$18="x",IF(OR(Z274="NA",T274="NA"),"NA",Z274*T274/(1000000000)),"---")</f>
        <v>NA</v>
      </c>
      <c r="AB274" s="1057" t="str">
        <f>IF(Start!$C$18="x",IF(AA274 = "NA", "NA", AA274*(Data!$D$52*Data!$D$53*10000)),"---")</f>
        <v>NA</v>
      </c>
      <c r="AC274" s="375" t="str">
        <f>IF(Start!$C$18="x",IF(AB274="NA", "NA", AB274*Data!$D$54),"---")</f>
        <v>NA</v>
      </c>
      <c r="AD274" s="498" t="str">
        <f>IF(Start!$C$18="x",IF(AC274="NA","NA",AC274*Data!$D$41),"---")</f>
        <v>NA</v>
      </c>
      <c r="AE274" s="376" t="str">
        <f>IF(Start!$C$18="x",IF(AB274 = "NA", "NA", AB274/(Data!$D$53*3*Data!$D$48)*1000),"---")</f>
        <v>NA</v>
      </c>
      <c r="AF274" s="498" t="str">
        <f>IF(Start!$C$18="x",IF(AE274="NA","NA",AE274*Data!$D$46),"---")</f>
        <v>NA</v>
      </c>
      <c r="AG274" s="375">
        <f>IF(Start!$C$18="x",IF(OR($L274="NA",L274=""),"NA",($L274*(Data!$D$55^3.33)/(Data!$D$18^2))),"---")</f>
        <v>1.530481182480635E-3</v>
      </c>
      <c r="AH274" s="376" t="str">
        <f>IF(Start!$C$18="x",IF(OR(F274="NA",F274="",P274="NA",P274=""),"NA",IF(100/Data!$D$10&gt;Data!$D$13,(F274*$P274),(F274*$P274)*Data!$D$13)),"---")</f>
        <v>NA</v>
      </c>
      <c r="AI274" s="489">
        <f>IF(Start!$C$18="x",IF(OR($N274="NA",$Q274="NA",$Q274=0,Q274="",N274=""),"NA",(1000*$N274/$Q274)),"---")</f>
        <v>16904924274716.682</v>
      </c>
      <c r="AJ274" s="376">
        <f>IF(Start!$C$18="x",IF(OR(Q274 = "NA",Q274=0,N274 = "NA",N274="",Q274=""), "NA", IF($AG274="NA","NA",(3.1416*Data!$D$57*86400/($AG274*(Data!$D$55+(N274*Data!$D$19/(Q274*1000)))))^0.5)),"---")</f>
        <v>0.60873278258650365</v>
      </c>
      <c r="AK274" s="376" t="str">
        <f>IF(Start!$C$18="x",IF(OR(AH274 = "NA",AI274="NA",AI274=0,AI274="",AH274=""), "NA", AH274/AI274),"---")</f>
        <v>NA</v>
      </c>
      <c r="AL274" s="376" t="str">
        <f>IF(Start!$C$18="x",IF(OR(AK274 ="NA",AK274="",AJ274= "NA",R274="NA",R274=0),"NA",(2*AK274)/(1000*(1/$R274+AJ274))),"---")</f>
        <v>NA</v>
      </c>
      <c r="AM274" s="376" t="str">
        <f>IF(Start!$C$18="x",IF(AL274 = "NA", "NA", AL274*(Data!$D$52*Data!$D$53*10000)),"---")</f>
        <v>NA</v>
      </c>
      <c r="AN274" s="376" t="str">
        <f>IF(Start!$C$18="x",IF(AM274 = "NA", "NA", AM274*(Data!$D$54)),"---")</f>
        <v>NA</v>
      </c>
      <c r="AO274" s="498" t="str">
        <f>IF(Start!$C$18="x",IF(AN274="NA","NA",AN274*Data!$D$41),"---")</f>
        <v>NA</v>
      </c>
      <c r="AP274" s="376">
        <f>IF(Start!$C$18="x",IF(OR(Q274=0,N274="NA",N274="",AG274="NA",AG274="",AG274=0,Q274="",Q274="NA"),"NA", (3.1416*Data!$D$56*86400/($AG274*(Data!$D$55+(N274*Data!$D$19/(Q274*1000)))))^0.5),"---")</f>
        <v>0.60873278258650365</v>
      </c>
      <c r="AQ274" s="376" t="str">
        <f>IF(Start!$C$18="x",IF(OR(AH274="NA",AI274="NA",AI274="",AI274=0,AH274=""),"NA", AH274/AI274),"---")</f>
        <v>NA</v>
      </c>
      <c r="AR274" s="376" t="str">
        <f>IF(Start!$C$18="x",IF(OR(AQ274="NA",AP274="NA",$R274="NA",R274=0,R274=""),"NA",(2*AQ274)/(1000*(1/$R274+AP274))),"---")</f>
        <v>NA</v>
      </c>
      <c r="AS274" s="376" t="str">
        <f>IF(Start!$C$18="x",IF(AR274 = "NA", "NA", AR274*(Data!$D$52*Data!$D$53*10000)),"---")</f>
        <v>NA</v>
      </c>
      <c r="AT274" s="376" t="str">
        <f>IF(Start!$C$18="x",IF(AS274 = "NA", "NA", (AS274*1000)/(Data!$D$48*3*Data!$D$53)),"---")</f>
        <v>NA</v>
      </c>
      <c r="AU274" s="498" t="str">
        <f>IF(Start!$C$18="x",IF(AT274="NA","NA",AT274*Data!$D$47),"---")</f>
        <v>NA</v>
      </c>
      <c r="AV274" s="283" t="str">
        <f>IF(Start!$C$18="x",(IF(AND(F274="",G274= "",G274&lt;&gt;"NA"),"",IF(OR(AD274="NA",I274="NA",I274=0),"NA",(AD274/I274)))),"Not Req.")</f>
        <v/>
      </c>
      <c r="AW274" s="284" t="str">
        <f>IF(Start!$C$18="x",(IF(AND(F274="",G274= "",G274&lt;&gt;"NA"),"",IF(OR(AF274="NA",I274="NA",I274=0),"NA",(AF274/I274)))),"Not Req.")</f>
        <v/>
      </c>
      <c r="AX274" s="284" t="str">
        <f>IF(Start!$C$18="x",(IF(F274 ="","",IF(OR(AO274="NA",I274="NA",I274=0),"NA",(AO274/I274)))),"Not Req.")</f>
        <v/>
      </c>
      <c r="AY274" s="344" t="str">
        <f>IF(Start!$C$18="x",(IF(F274 ="","",IF(OR(AU274="NA",I274="NA",I274=0),"NA",(AU274/I274)))),"Not Req.")</f>
        <v/>
      </c>
      <c r="AZ274" s="208"/>
    </row>
    <row r="275" spans="1:52" s="183" customFormat="1" ht="13.8" thickBot="1" x14ac:dyDescent="0.3">
      <c r="A275" s="405" t="s">
        <v>593</v>
      </c>
      <c r="B275" s="347" t="str">
        <f>IF(Start!$C$18="x",IF(AND(OR(F275="",F275="NA"),OR(G275="",G275="NA")),"",IF(I275="NA","NA",IF(AND(I275="",K275="--"),"NA",IF(AD275="NA","Missing Data",IF(I275="","No Criteria",IF(AD275&gt;=I275,"Needed","No")))))),"---")</f>
        <v/>
      </c>
      <c r="C275" s="501" t="str">
        <f>IF(Start!$C$18="x",IF(AND(OR(F275="",F275="NA"),OR(G275="",G275="NA")),"",IF(I275="NA","NA",IF(AND(I275="",K275="--"),"NA",IF(AF275="NA","Missing Data",IF(I275="","No Criteria",IF(AF275&gt;=I275,"Needed","No")))))),"---")</f>
        <v/>
      </c>
      <c r="D275" s="347" t="str">
        <f>IF(Start!$C$18="x",IF(AND(OR(F275="",F275="NA"),OR(G275="",G275="NA")),"",IF(I275="NA","NA",IF(AND(I275="",K275="--"),"NA",IF(AO275="NA","Missing Data",IF(I275="","No Criteria",IF(AO275&gt;=I275,"Needed","No")))))),"---")</f>
        <v/>
      </c>
      <c r="E275" s="401" t="str">
        <f>IF(Start!$C$18="x",IF(AND(OR(F275="",F275="NA"),OR(G275="",G275="NA")),"",IF(I275="NA","NA",IF(AND(I275="",K275="--"),"NA",IF(AU275="NA","Missing Data",IF(I275="","No Criteria",IF(AU275&gt;=I275,"Needed","No")))))),"---")</f>
        <v/>
      </c>
      <c r="F275" s="431" t="str">
        <f>IF(TRUE=ISBLANK(ChemData!B275),"",(ChemData!B275))</f>
        <v/>
      </c>
      <c r="G275" s="432" t="str">
        <f>IF(TRUE=ISBLANK(ChemData!C275),"",(ChemData!C275))</f>
        <v/>
      </c>
      <c r="H275" s="433" t="str">
        <f>IF(TRUE=ISBLANK(ChemData!D275),"",(ChemData!D275))</f>
        <v/>
      </c>
      <c r="I275" s="919" t="str">
        <f>IF(TRUE=ISBLANK(ChemData!K275),"",(ChemData!K275))</f>
        <v>NA</v>
      </c>
      <c r="J275" s="290">
        <f>IF(TRUE=ISBLANK(ChemData!M275),"",(ChemData!M275))</f>
        <v>306</v>
      </c>
      <c r="K275" s="290" t="str">
        <f>IF(TRUE=ISBLANK(ChemData!N275),"",(ChemData!N275))</f>
        <v>NA</v>
      </c>
      <c r="L275" s="290" t="str">
        <f>IF(TRUE=ISBLANK(ChemData!O275),"",(ChemData!O275))</f>
        <v>NA</v>
      </c>
      <c r="M275" s="290">
        <f>IF(TRUE=ISBLANK(ChemData!Q275),"",(ChemData!Q275))</f>
        <v>36091.623541521498</v>
      </c>
      <c r="N275" s="290">
        <f>IF(TRUE=ISBLANK(ChemData!R275),"",(ChemData!R275))</f>
        <v>36091.623541521498</v>
      </c>
      <c r="O275" s="290">
        <f>IF(TRUE=ISBLANK(ChemData!S275),"",(ChemData!S275))</f>
        <v>1</v>
      </c>
      <c r="P275" s="291">
        <f>IF(TRUE=ISBLANK(ChemData!T275),"",(ChemData!T275))</f>
        <v>1</v>
      </c>
      <c r="Q275" s="375" t="str">
        <f>IF(Start!$C$18="x",IF(OR(K275="NA",K275="",K275="--"),"NA",(K275*1000000/82.1/Data!$D$50)),"---")</f>
        <v>NA</v>
      </c>
      <c r="R275" s="376">
        <f>IF(Start!$C$18="x",IF(OR(J275="NA",J275=0,J275=""),"NA",(0.32*(Data!$D$48+Data!$D$49)*(18/J275)^0.5)),"---")</f>
        <v>0.19984935502993839</v>
      </c>
      <c r="S275" s="376">
        <f>IF(Start!$C$18="x",IF(OR(J275="NA",J275= 0,J275=""),"NA",(0.0065*((Data!$D$49^0.969)/(Data!$D$51^0.673))*(32/J275)^0.5*EXP(0.526*Data!$D$48^-1.9))),"---")</f>
        <v>4.2122768822856787E-4</v>
      </c>
      <c r="T275" s="377" t="str">
        <f>IF(Start!$C$18="x",IF(OR(S275="NA",R275="NA",R275=0,Q275="NA",S275=0,Q275=0),"NA",(1/(1/S275+(1/(R275*Q275))))),"---")</f>
        <v>NA</v>
      </c>
      <c r="U275" s="375" t="str">
        <f>IF(Start!$C$18="x",IF(OR(F275="NA",F275="",O275="",O275="NA"),"NA",(F275*$O275)),"---")</f>
        <v>NA</v>
      </c>
      <c r="V275" s="376" t="str">
        <f>IF(Start!$C$18="x",IF(OR(U275="NA",M275="NA",M275="",U275=""),"NA",U275/((Data!$D$18+((1-Data!$D$18)*Data!$D$14*M275))/((1-Data!$D$18)*Data!$D$14*1000))),"---")</f>
        <v>NA</v>
      </c>
      <c r="W275" s="376" t="str">
        <f>IF(Start!$C$18="x",IF(OR(G275="NA",U275="NA",G275="",U275=""),"NA",(U275 +($G275*(Data!$D$19-Data!$D$22)/(Data!$D$19*Data!$D$22)))),"---")</f>
        <v>NA</v>
      </c>
      <c r="X275" s="376" t="str">
        <f>IF(Start!$C$18="x",IF(OR(G275="NA",V275="NA",G275="",V275=""),"NA",(((Data!$D$22*Data!$D$18)*V275)+(Data!$D$19-Data!$D$22)*$G275)/((Data!$D$22*Data!$D$18)+Data!$D$19-Data!$D$22)),"---")</f>
        <v>NA</v>
      </c>
      <c r="Y275" s="376" t="str">
        <f>IF(Start!$C$18="x",IF(OR(W275="NA",W275="",M275="NA",M275=""),"NA",(W275/((Data!$D$23+((1-Data!$D$23)*Data!$D$14*M275)) /((1-Data!$D$23)*Data!$D$14*1000)))),"---")</f>
        <v>NA</v>
      </c>
      <c r="Z275" s="376" t="str">
        <f>IF(Start!$C$18="x",IF(OR(Y275="NA",X275="NA"),"NA",IF(Y275&gt;X275, Y275, X275)),"---")</f>
        <v>NA</v>
      </c>
      <c r="AA275" s="461" t="str">
        <f>IF(Start!$C$18="x",IF(OR(Z275="NA",T275="NA"),"NA",Z275*T275/(1000000000)),"---")</f>
        <v>NA</v>
      </c>
      <c r="AB275" s="1057" t="str">
        <f>IF(Start!$C$18="x",IF(AA275 = "NA", "NA", AA275*(Data!$D$52*Data!$D$53*10000)),"---")</f>
        <v>NA</v>
      </c>
      <c r="AC275" s="375" t="str">
        <f>IF(Start!$C$18="x",IF(AB275="NA", "NA", AB275*Data!$D$54),"---")</f>
        <v>NA</v>
      </c>
      <c r="AD275" s="498" t="str">
        <f>IF(Start!$C$18="x",IF(AC275="NA","NA",AC275*Data!$D$41),"---")</f>
        <v>NA</v>
      </c>
      <c r="AE275" s="376" t="str">
        <f>IF(Start!$C$18="x",IF(AB275 = "NA", "NA", AB275/(Data!$D$53*3*Data!$D$48)*1000),"---")</f>
        <v>NA</v>
      </c>
      <c r="AF275" s="498" t="str">
        <f>IF(Start!$C$18="x",IF(AE275="NA","NA",AE275*Data!$D$46),"---")</f>
        <v>NA</v>
      </c>
      <c r="AG275" s="375" t="str">
        <f>IF(Start!$C$18="x",IF(OR($L275="NA",L275=""),"NA",($L275*(Data!$D$55^3.33)/(Data!$D$18^2))),"---")</f>
        <v>NA</v>
      </c>
      <c r="AH275" s="376" t="str">
        <f>IF(Start!$C$18="x",IF(OR(F275="NA",F275="",P275="NA",P275=""),"NA",IF(100/Data!$D$10&gt;Data!$D$13,(F275*$P275),(F275*$P275)*Data!$D$13)),"---")</f>
        <v>NA</v>
      </c>
      <c r="AI275" s="489" t="str">
        <f>IF(Start!$C$18="x",IF(OR($N275="NA",$Q275="NA",$Q275=0,Q275="",N275=""),"NA",(1000*$N275/$Q275)),"---")</f>
        <v>NA</v>
      </c>
      <c r="AJ275" s="376" t="str">
        <f>IF(Start!$C$18="x",IF(OR(Q275 = "NA",Q275=0,N275 = "NA",N275="",Q275=""), "NA", IF($AG275="NA","NA",(3.1416*Data!$D$57*86400/($AG275*(Data!$D$55+(N275*Data!$D$19/(Q275*1000)))))^0.5)),"---")</f>
        <v>NA</v>
      </c>
      <c r="AK275" s="376" t="str">
        <f>IF(Start!$C$18="x",IF(OR(AH275 = "NA",AI275="NA",AI275=0,AI275="",AH275=""), "NA", AH275/AI275),"---")</f>
        <v>NA</v>
      </c>
      <c r="AL275" s="376" t="str">
        <f>IF(Start!$C$18="x",IF(OR(AK275 ="NA",AK275="",AJ275= "NA",R275="NA",R275=0),"NA",(2*AK275)/(1000*(1/$R275+AJ275))),"---")</f>
        <v>NA</v>
      </c>
      <c r="AM275" s="376" t="str">
        <f>IF(Start!$C$18="x",IF(AL275 = "NA", "NA", AL275*(Data!$D$52*Data!$D$53*10000)),"---")</f>
        <v>NA</v>
      </c>
      <c r="AN275" s="376" t="str">
        <f>IF(Start!$C$18="x",IF(AM275 = "NA", "NA", AM275*(Data!$D$54)),"---")</f>
        <v>NA</v>
      </c>
      <c r="AO275" s="498" t="str">
        <f>IF(Start!$C$18="x",IF(AN275="NA","NA",AN275*Data!$D$41),"---")</f>
        <v>NA</v>
      </c>
      <c r="AP275" s="376" t="str">
        <f>IF(Start!$C$18="x",IF(OR(Q275=0,N275="NA",N275="",AG275="NA",AG275="",AG275=0,Q275="",Q275="NA"),"NA", (3.1416*Data!$D$56*86400/($AG275*(Data!$D$55+(N275*Data!$D$19/(Q275*1000)))))^0.5),"---")</f>
        <v>NA</v>
      </c>
      <c r="AQ275" s="376" t="str">
        <f>IF(Start!$C$18="x",IF(OR(AH275="NA",AI275="NA",AI275="",AI275=0,AH275=""),"NA", AH275/AI275),"---")</f>
        <v>NA</v>
      </c>
      <c r="AR275" s="376" t="str">
        <f>IF(Start!$C$18="x",IF(OR(AQ275="NA",AP275="NA",$R275="NA",R275=0,R275=""),"NA",(2*AQ275)/(1000*(1/$R275+AP275))),"---")</f>
        <v>NA</v>
      </c>
      <c r="AS275" s="376" t="str">
        <f>IF(Start!$C$18="x",IF(AR275 = "NA", "NA", AR275*(Data!$D$52*Data!$D$53*10000)),"---")</f>
        <v>NA</v>
      </c>
      <c r="AT275" s="376" t="str">
        <f>IF(Start!$C$18="x",IF(AS275 = "NA", "NA", (AS275*1000)/(Data!$D$48*3*Data!$D$53)),"---")</f>
        <v>NA</v>
      </c>
      <c r="AU275" s="498" t="str">
        <f>IF(Start!$C$18="x",IF(AT275="NA","NA",AT275*Data!$D$47),"---")</f>
        <v>NA</v>
      </c>
      <c r="AV275" s="283" t="str">
        <f>IF(Start!$C$18="x",(IF(AND(F275="",G275= "",G275&lt;&gt;"NA"),"",IF(OR(AD275="NA",I275="NA",I275=0),"NA",(AD275/I275)))),"Not Req.")</f>
        <v/>
      </c>
      <c r="AW275" s="284" t="str">
        <f>IF(Start!$C$18="x",(IF(AND(F275="",G275= "",G275&lt;&gt;"NA"),"",IF(OR(AF275="NA",I275="NA",I275=0),"NA",(AF275/I275)))),"Not Req.")</f>
        <v/>
      </c>
      <c r="AX275" s="284" t="str">
        <f>IF(Start!$C$18="x",(IF(F275 ="","",IF(OR(AO275="NA",I275="NA",I275=0),"NA",(AO275/I275)))),"Not Req.")</f>
        <v/>
      </c>
      <c r="AY275" s="344" t="str">
        <f>IF(Start!$C$18="x",(IF(F275 ="","",IF(OR(AU275="NA",I275="NA",I275=0),"NA",(AU275/I275)))),"Not Req.")</f>
        <v/>
      </c>
      <c r="AZ275" s="208"/>
    </row>
    <row r="276" spans="1:52" s="10" customFormat="1" x14ac:dyDescent="0.25">
      <c r="A276" s="505" t="s">
        <v>594</v>
      </c>
      <c r="B276" s="530"/>
      <c r="C276" s="531"/>
      <c r="D276" s="530"/>
      <c r="E276" s="526"/>
      <c r="F276" s="508"/>
      <c r="G276" s="509"/>
      <c r="H276" s="510"/>
      <c r="I276" s="800"/>
      <c r="J276" s="512"/>
      <c r="K276" s="512"/>
      <c r="L276" s="512"/>
      <c r="M276" s="512"/>
      <c r="N276" s="512"/>
      <c r="O276" s="512"/>
      <c r="P276" s="513"/>
      <c r="Q276" s="511"/>
      <c r="R276" s="512"/>
      <c r="S276" s="512"/>
      <c r="T276" s="513"/>
      <c r="U276" s="511"/>
      <c r="V276" s="512"/>
      <c r="W276" s="512"/>
      <c r="X276" s="512"/>
      <c r="Y276" s="512"/>
      <c r="Z276" s="512"/>
      <c r="AA276" s="512"/>
      <c r="AB276" s="512"/>
      <c r="AC276" s="511"/>
      <c r="AD276" s="533"/>
      <c r="AE276" s="512"/>
      <c r="AF276" s="533"/>
      <c r="AG276" s="511"/>
      <c r="AH276" s="512"/>
      <c r="AI276" s="534"/>
      <c r="AJ276" s="512"/>
      <c r="AK276" s="512"/>
      <c r="AL276" s="512"/>
      <c r="AM276" s="512"/>
      <c r="AN276" s="512"/>
      <c r="AO276" s="533"/>
      <c r="AP276" s="512"/>
      <c r="AQ276" s="512"/>
      <c r="AR276" s="512"/>
      <c r="AS276" s="512"/>
      <c r="AT276" s="512"/>
      <c r="AU276" s="533"/>
      <c r="AV276" s="511"/>
      <c r="AW276" s="512"/>
      <c r="AX276" s="512"/>
      <c r="AY276" s="513"/>
      <c r="AZ276" s="208"/>
    </row>
    <row r="277" spans="1:52" s="10" customFormat="1" x14ac:dyDescent="0.25">
      <c r="A277" s="405" t="s">
        <v>595</v>
      </c>
      <c r="B277" s="347" t="str">
        <f>IF(Start!$C$18="x",IF(AND(OR(F277="",F277="NA"),OR(G277="",G277="NA")),"",IF(I277="NA","NA",IF(AND(I277="",K277="--"),"NA",IF(AD277="NA","Missing Data",IF(I277="","No Criteria",IF(AD277&gt;=I277,"Needed","No")))))),"---")</f>
        <v/>
      </c>
      <c r="C277" s="501" t="str">
        <f>IF(Start!$C$18="x",IF(AND(OR(F277="",F277="NA"),OR(G277="",G277="NA")),"",IF(I277="NA","NA",IF(AND(I277="",K277="--"),"NA",IF(AF277="NA","Missing Data",IF(I277="","No Criteria",IF(AF277&gt;=I277,"Needed","No")))))),"---")</f>
        <v/>
      </c>
      <c r="D277" s="347" t="str">
        <f>IF(Start!$C$18="x",IF(AND(OR(F277="",F277="NA"),OR(G277="",G277="NA")),"",IF(I277="NA","NA",IF(AND(I277="",K277="--"),"NA",IF(AO277="NA","Missing Data",IF(I277="","No Criteria",IF(AO277&gt;=I277,"Needed","No")))))),"---")</f>
        <v/>
      </c>
      <c r="E277" s="401" t="str">
        <f>IF(Start!$C$18="x",IF(AND(OR(F277="",F277="NA"),OR(G277="",G277="NA")),"",IF(I277="NA","NA",IF(AND(I277="",K277="--"),"NA",IF(AU277="NA","Missing Data",IF(I277="","No Criteria",IF(AU277&gt;=I277,"Needed","No")))))),"---")</f>
        <v/>
      </c>
      <c r="F277" s="431" t="str">
        <f>IF(TRUE=ISBLANK(ChemData!B277),"",(ChemData!B277))</f>
        <v/>
      </c>
      <c r="G277" s="432" t="str">
        <f>IF(TRUE=ISBLANK(ChemData!C277),"",(ChemData!C277))</f>
        <v/>
      </c>
      <c r="H277" s="433" t="str">
        <f>IF(TRUE=ISBLANK(ChemData!D277),"",(ChemData!D277))</f>
        <v/>
      </c>
      <c r="I277" s="919" t="str">
        <f>IF(TRUE=ISBLANK(ChemData!K277),"",(ChemData!K277))</f>
        <v>NA</v>
      </c>
      <c r="J277" s="290">
        <f>IF(TRUE=ISBLANK(ChemData!M277),"",(ChemData!M277))</f>
        <v>223.1</v>
      </c>
      <c r="K277" s="290">
        <f>IF(TRUE=ISBLANK(ChemData!N277),"",(ChemData!N277))</f>
        <v>2.3000000000000001E-4</v>
      </c>
      <c r="L277" s="290">
        <f>IF(TRUE=ISBLANK(ChemData!O277),"",(ChemData!O277))</f>
        <v>0.15295446144984268</v>
      </c>
      <c r="M277" s="290">
        <f>IF(TRUE=ISBLANK(ChemData!Q277),"",(ChemData!Q277))</f>
        <v>2330.270937231006</v>
      </c>
      <c r="N277" s="290">
        <f>IF(TRUE=ISBLANK(ChemData!R277),"",(ChemData!R277))</f>
        <v>2330.270937231006</v>
      </c>
      <c r="O277" s="290">
        <f>IF(TRUE=ISBLANK(ChemData!S277),"",(ChemData!S277))</f>
        <v>1</v>
      </c>
      <c r="P277" s="291">
        <f>IF(TRUE=ISBLANK(ChemData!T277),"",(ChemData!T277))</f>
        <v>1</v>
      </c>
      <c r="Q277" s="375">
        <f>IF(Start!$C$18="x",IF(OR(K277="NA",K277="",K277="--"),"NA",(K277*1000000/82.1/Data!$D$50)),"---")</f>
        <v>9.0369730069545413E-3</v>
      </c>
      <c r="R277" s="376">
        <f>IF(Start!$C$18="x",IF(OR(J277="NA",J277=0,J277=""),"NA",(0.32*(Data!$D$48+Data!$D$49)*(18/J277)^0.5)),"---")</f>
        <v>0.23405271274702255</v>
      </c>
      <c r="S277" s="376">
        <f>IF(Start!$C$18="x",IF(OR(J277="NA",J277= 0,J277=""),"NA",(0.0065*((Data!$D$49^0.969)/(Data!$D$51^0.673))*(32/J277)^0.5*EXP(0.526*Data!$D$48^-1.9))),"---")</f>
        <v>4.9331899569695476E-4</v>
      </c>
      <c r="T277" s="377">
        <f>IF(Start!$C$18="x",IF(OR(S277="NA",R277="NA",R277=0,Q277="NA",S277=0,Q277=0),"NA",(1/(1/S277+(1/(R277*Q277))))),"---")</f>
        <v>4.000207122723835E-4</v>
      </c>
      <c r="U277" s="375" t="str">
        <f>IF(Start!$C$18="x",IF(OR(F277="NA",F277="",O277="",O277="NA"),"NA",(F277*$O277)),"---")</f>
        <v>NA</v>
      </c>
      <c r="V277" s="376" t="str">
        <f>IF(Start!$C$18="x",IF(OR(U277="NA",M277="NA",M277="",U277=""),"NA",U277/((Data!$D$18+((1-Data!$D$18)*Data!$D$14*M277))/((1-Data!$D$18)*Data!$D$14*1000))),"---")</f>
        <v>NA</v>
      </c>
      <c r="W277" s="376" t="str">
        <f>IF(Start!$C$18="x",IF(OR(G277="NA",U277="NA",G277="",U277=""),"NA",(U277 +($G277*(Data!$D$19-Data!$D$22)/(Data!$D$19*Data!$D$22)))),"---")</f>
        <v>NA</v>
      </c>
      <c r="X277" s="376" t="str">
        <f>IF(Start!$C$18="x",IF(OR(G277="NA",V277="NA",G277="",V277=""),"NA",(((Data!$D$22*Data!$D$18)*V277)+(Data!$D$19-Data!$D$22)*$G277)/((Data!$D$22*Data!$D$18)+Data!$D$19-Data!$D$22)),"---")</f>
        <v>NA</v>
      </c>
      <c r="Y277" s="376" t="str">
        <f>IF(Start!$C$18="x",IF(OR(W277="NA",W277="",M277="NA",M277=""),"NA",(W277/((Data!$D$23+((1-Data!$D$23)*Data!$D$14*M277)) /((1-Data!$D$23)*Data!$D$14*1000)))),"---")</f>
        <v>NA</v>
      </c>
      <c r="Z277" s="376" t="str">
        <f>IF(Start!$C$18="x",IF(OR(Y277="NA",X277="NA"),"NA",IF(Y277&gt;X277, Y277, X277)),"---")</f>
        <v>NA</v>
      </c>
      <c r="AA277" s="461" t="str">
        <f>IF(Start!$C$18="x",IF(OR(Z277="NA",T277="NA"),"NA",Z277*T277/(1000000000)),"---")</f>
        <v>NA</v>
      </c>
      <c r="AB277" s="1057" t="str">
        <f>IF(Start!$C$18="x",IF(AA277 = "NA", "NA", AA277*(Data!$D$52*Data!$D$53*10000)),"---")</f>
        <v>NA</v>
      </c>
      <c r="AC277" s="375" t="str">
        <f>IF(Start!$C$18="x",IF(AB277="NA", "NA", AB277*Data!$D$54),"---")</f>
        <v>NA</v>
      </c>
      <c r="AD277" s="498" t="str">
        <f>IF(Start!$C$18="x",IF(AC277="NA","NA",AC277*Data!$D$41),"---")</f>
        <v>NA</v>
      </c>
      <c r="AE277" s="376" t="str">
        <f>IF(Start!$C$18="x",IF(AB277 = "NA", "NA", AB277/(Data!$D$53*3*Data!$D$48)*1000),"---")</f>
        <v>NA</v>
      </c>
      <c r="AF277" s="498" t="str">
        <f>IF(Start!$C$18="x",IF(AE277="NA","NA",AE277*Data!$D$46),"---")</f>
        <v>NA</v>
      </c>
      <c r="AG277" s="375">
        <f>IF(Start!$C$18="x",IF(OR($L277="NA",L277=""),"NA",($L277*(Data!$D$55^3.33)/(Data!$D$18^2))),"---")</f>
        <v>1.5582226072488883E-3</v>
      </c>
      <c r="AH277" s="376" t="str">
        <f>IF(Start!$C$18="x",IF(OR(F277="NA",F277="",P277="NA",P277=""),"NA",IF(100/Data!$D$10&gt;Data!$D$13,(F277*$P277),(F277*$P277)*Data!$D$13)),"---")</f>
        <v>NA</v>
      </c>
      <c r="AI277" s="489">
        <f>IF(Start!$C$18="x",IF(OR($N277="NA",$Q277="NA",$Q277=0,Q277="",N277=""),"NA",(1000*$N277/$Q277)),"---")</f>
        <v>257859676.62376663</v>
      </c>
      <c r="AJ277" s="376">
        <f>IF(Start!$C$18="x",IF(OR(Q277 = "NA",Q277=0,N277 = "NA",N277="",Q277=""), "NA", IF($AG277="NA","NA",(3.1416*Data!$D$57*86400/($AG277*(Data!$D$55+(N277*Data!$D$19/(Q277*1000)))))^0.5)),"---")</f>
        <v>154.46875178304259</v>
      </c>
      <c r="AK277" s="376" t="str">
        <f>IF(Start!$C$18="x",IF(OR(AH277 = "NA",AI277="NA",AI277=0,AI277="",AH277=""), "NA", AH277/AI277),"---")</f>
        <v>NA</v>
      </c>
      <c r="AL277" s="376" t="str">
        <f>IF(Start!$C$18="x",IF(OR(AK277 ="NA",AK277="",AJ277= "NA",R277="NA",R277=0),"NA",(2*AK277)/(1000*(1/$R277+AJ277))),"---")</f>
        <v>NA</v>
      </c>
      <c r="AM277" s="376" t="str">
        <f>IF(Start!$C$18="x",IF(AL277 = "NA", "NA", AL277*(Data!$D$52*Data!$D$53*10000)),"---")</f>
        <v>NA</v>
      </c>
      <c r="AN277" s="376" t="str">
        <f>IF(Start!$C$18="x",IF(AM277 = "NA", "NA", AM277*(Data!$D$54)),"---")</f>
        <v>NA</v>
      </c>
      <c r="AO277" s="498" t="str">
        <f>IF(Start!$C$18="x",IF(AN277="NA","NA",AN277*Data!$D$41),"---")</f>
        <v>NA</v>
      </c>
      <c r="AP277" s="376">
        <f>IF(Start!$C$18="x",IF(OR(Q277=0,N277="NA",N277="",AG277="NA",AG277="",AG277=0,Q277="",Q277="NA"),"NA", (3.1416*Data!$D$56*86400/($AG277*(Data!$D$55+(N277*Data!$D$19/(Q277*1000)))))^0.5),"---")</f>
        <v>154.46875178304259</v>
      </c>
      <c r="AQ277" s="376" t="str">
        <f>IF(Start!$C$18="x",IF(OR(AH277="NA",AI277="NA",AI277="",AI277=0,AH277=""),"NA", AH277/AI277),"---")</f>
        <v>NA</v>
      </c>
      <c r="AR277" s="376" t="str">
        <f>IF(Start!$C$18="x",IF(OR(AQ277="NA",AP277="NA",$R277="NA",R277=0,R277=""),"NA",(2*AQ277)/(1000*(1/$R277+AP277))),"---")</f>
        <v>NA</v>
      </c>
      <c r="AS277" s="376" t="str">
        <f>IF(Start!$C$18="x",IF(AR277 = "NA", "NA", AR277*(Data!$D$52*Data!$D$53*10000)),"---")</f>
        <v>NA</v>
      </c>
      <c r="AT277" s="376" t="str">
        <f>IF(Start!$C$18="x",IF(AS277 = "NA", "NA", (AS277*1000)/(Data!$D$48*3*Data!$D$53)),"---")</f>
        <v>NA</v>
      </c>
      <c r="AU277" s="498" t="str">
        <f>IF(Start!$C$18="x",IF(AT277="NA","NA",AT277*Data!$D$47),"---")</f>
        <v>NA</v>
      </c>
      <c r="AV277" s="283" t="str">
        <f>IF(Start!$C$18="x",(IF(AND(F277="",G277= "",G277&lt;&gt;"NA"),"",IF(OR(AD277="NA",I277="NA",I277=0),"NA",(AD277/I277)))),"Not Req.")</f>
        <v/>
      </c>
      <c r="AW277" s="284" t="str">
        <f>IF(Start!$C$18="x",(IF(AND(F277="",G277= "",G277&lt;&gt;"NA"),"",IF(OR(AF277="NA",I277="NA",I277=0),"NA",(AF277/I277)))),"Not Req.")</f>
        <v/>
      </c>
      <c r="AX277" s="284" t="str">
        <f>IF(Start!$C$18="x",(IF(F277 ="","",IF(OR(AO277="NA",I277="NA",I277=0),"NA",(AO277/I277)))),"Not Req.")</f>
        <v/>
      </c>
      <c r="AY277" s="344" t="str">
        <f>IF(Start!$C$18="x",(IF(F277 ="","",IF(OR(AU277="NA",I277="NA",I277=0),"NA",(AU277/I277)))),"Not Req.")</f>
        <v/>
      </c>
      <c r="AZ277" s="208"/>
    </row>
    <row r="278" spans="1:52" s="183" customFormat="1" x14ac:dyDescent="0.25">
      <c r="A278" s="405" t="s">
        <v>596</v>
      </c>
      <c r="B278" s="347" t="str">
        <f>IF(Start!$C$18="x",IF(AND(OR(F278="",F278="NA"),OR(G278="",G278="NA")),"",IF(I278="NA","NA",IF(AND(I278="",K278="--"),"NA",IF(AD278="NA","Missing Data",IF(I278="","No Criteria",IF(AD278&gt;=I278,"Needed","No")))))),"---")</f>
        <v/>
      </c>
      <c r="C278" s="501" t="str">
        <f>IF(Start!$C$18="x",IF(AND(OR(F278="",F278="NA"),OR(G278="",G278="NA")),"",IF(I278="NA","NA",IF(AND(I278="",K278="--"),"NA",IF(AF278="NA","Missing Data",IF(I278="","No Criteria",IF(AF278&gt;=I278,"Needed","No")))))),"---")</f>
        <v/>
      </c>
      <c r="D278" s="347" t="str">
        <f>IF(Start!$C$18="x",IF(AND(OR(F278="",F278="NA"),OR(G278="",G278="NA")),"",IF(I278="NA","NA",IF(AND(I278="",K278="--"),"NA",IF(AO278="NA","Missing Data",IF(I278="","No Criteria",IF(AO278&gt;=I278,"Needed","No")))))),"---")</f>
        <v/>
      </c>
      <c r="E278" s="401" t="str">
        <f>IF(Start!$C$18="x",IF(AND(OR(F278="",F278="NA"),OR(G278="",G278="NA")),"",IF(I278="NA","NA",IF(AND(I278="",K278="--"),"NA",IF(AU278="NA","Missing Data",IF(I278="","No Criteria",IF(AU278&gt;=I278,"Needed","No")))))),"---")</f>
        <v/>
      </c>
      <c r="F278" s="431" t="str">
        <f>IF(TRUE=ISBLANK(ChemData!B278),"",(ChemData!B278))</f>
        <v/>
      </c>
      <c r="G278" s="432" t="str">
        <f>IF(TRUE=ISBLANK(ChemData!C278),"",(ChemData!C278))</f>
        <v/>
      </c>
      <c r="H278" s="433" t="str">
        <f>IF(TRUE=ISBLANK(ChemData!D278),"",(ChemData!D278))</f>
        <v/>
      </c>
      <c r="I278" s="919" t="str">
        <f>IF(TRUE=ISBLANK(ChemData!K278),"",(ChemData!K278))</f>
        <v>NA</v>
      </c>
      <c r="J278" s="290">
        <f>IF(TRUE=ISBLANK(ChemData!M278),"",(ChemData!M278))</f>
        <v>257.5</v>
      </c>
      <c r="K278" s="290">
        <f>IF(TRUE=ISBLANK(ChemData!N278),"",(ChemData!N278))</f>
        <v>9.1E-4</v>
      </c>
      <c r="L278" s="290">
        <f>IF(TRUE=ISBLANK(ChemData!O278),"",(ChemData!O278))</f>
        <v>0.15177572322701638</v>
      </c>
      <c r="M278" s="290">
        <f>IF(TRUE=ISBLANK(ChemData!Q278),"",(ChemData!Q278))</f>
        <v>7368.9637269452323</v>
      </c>
      <c r="N278" s="290">
        <f>IF(TRUE=ISBLANK(ChemData!R278),"",(ChemData!R278))</f>
        <v>7368.9637269452323</v>
      </c>
      <c r="O278" s="290">
        <f>IF(TRUE=ISBLANK(ChemData!S278),"",(ChemData!S278))</f>
        <v>1</v>
      </c>
      <c r="P278" s="291">
        <f>IF(TRUE=ISBLANK(ChemData!T278),"",(ChemData!T278))</f>
        <v>1</v>
      </c>
      <c r="Q278" s="375">
        <f>IF(Start!$C$18="x",IF(OR(K278="NA",K278="",K278="--"),"NA",(K278*1000000/82.1/Data!$D$50)),"---")</f>
        <v>3.5754980157950575E-2</v>
      </c>
      <c r="R278" s="376">
        <f>IF(Start!$C$18="x",IF(OR(J278="NA",J278=0,J278=""),"NA",(0.32*(Data!$D$48+Data!$D$49)*(18/J278)^0.5)),"---")</f>
        <v>0.21785866978387619</v>
      </c>
      <c r="S278" s="376">
        <f>IF(Start!$C$18="x",IF(OR(J278="NA",J278= 0,J278=""),"NA",(0.0065*((Data!$D$49^0.969)/(Data!$D$51^0.673))*(32/J278)^0.5*EXP(0.526*Data!$D$48^-1.9))),"---")</f>
        <v>4.5918638976776184E-4</v>
      </c>
      <c r="T278" s="377">
        <f>IF(Start!$C$18="x",IF(OR(S278="NA",R278="NA",R278=0,Q278="NA",S278=0,Q278=0),"NA",(1/(1/S278+(1/(R278*Q278))))),"---")</f>
        <v>4.3362458489487957E-4</v>
      </c>
      <c r="U278" s="375" t="str">
        <f>IF(Start!$C$18="x",IF(OR(F278="NA",F278="",O278="",O278="NA"),"NA",(F278*$O278)),"---")</f>
        <v>NA</v>
      </c>
      <c r="V278" s="376" t="str">
        <f>IF(Start!$C$18="x",IF(OR(U278="NA",M278="NA",M278="",U278=""),"NA",U278/((Data!$D$18+((1-Data!$D$18)*Data!$D$14*M278))/((1-Data!$D$18)*Data!$D$14*1000))),"---")</f>
        <v>NA</v>
      </c>
      <c r="W278" s="376" t="str">
        <f>IF(Start!$C$18="x",IF(OR(G278="NA",U278="NA",G278="",U278=""),"NA",(U278 +($G278*(Data!$D$19-Data!$D$22)/(Data!$D$19*Data!$D$22)))),"---")</f>
        <v>NA</v>
      </c>
      <c r="X278" s="376" t="str">
        <f>IF(Start!$C$18="x",IF(OR(G278="NA",V278="NA",G278="",V278=""),"NA",(((Data!$D$22*Data!$D$18)*V278)+(Data!$D$19-Data!$D$22)*$G278)/((Data!$D$22*Data!$D$18)+Data!$D$19-Data!$D$22)),"---")</f>
        <v>NA</v>
      </c>
      <c r="Y278" s="376" t="str">
        <f>IF(Start!$C$18="x",IF(OR(W278="NA",W278="",M278="NA",M278=""),"NA",(W278/((Data!$D$23+((1-Data!$D$23)*Data!$D$14*M278)) /((1-Data!$D$23)*Data!$D$14*1000)))),"---")</f>
        <v>NA</v>
      </c>
      <c r="Z278" s="376" t="str">
        <f>IF(Start!$C$18="x",IF(OR(Y278="NA",X278="NA"),"NA",IF(Y278&gt;X278, Y278, X278)),"---")</f>
        <v>NA</v>
      </c>
      <c r="AA278" s="461" t="str">
        <f>IF(Start!$C$18="x",IF(OR(Z278="NA",T278="NA"),"NA",Z278*T278/(1000000000)),"---")</f>
        <v>NA</v>
      </c>
      <c r="AB278" s="1057" t="str">
        <f>IF(Start!$C$18="x",IF(AA278 = "NA", "NA", AA278*(Data!$D$52*Data!$D$53*10000)),"---")</f>
        <v>NA</v>
      </c>
      <c r="AC278" s="375" t="str">
        <f>IF(Start!$C$18="x",IF(AB278="NA", "NA", AB278*Data!$D$54),"---")</f>
        <v>NA</v>
      </c>
      <c r="AD278" s="498" t="str">
        <f>IF(Start!$C$18="x",IF(AC278="NA","NA",AC278*Data!$D$41),"---")</f>
        <v>NA</v>
      </c>
      <c r="AE278" s="376" t="str">
        <f>IF(Start!$C$18="x",IF(AB278 = "NA", "NA", AB278/(Data!$D$53*3*Data!$D$48)*1000),"---")</f>
        <v>NA</v>
      </c>
      <c r="AF278" s="498" t="str">
        <f>IF(Start!$C$18="x",IF(AE278="NA","NA",AE278*Data!$D$46),"---")</f>
        <v>NA</v>
      </c>
      <c r="AG278" s="375">
        <f>IF(Start!$C$18="x",IF(OR($L278="NA",L278=""),"NA",($L278*(Data!$D$55^3.33)/(Data!$D$18^2))),"---")</f>
        <v>1.5462142190696482E-3</v>
      </c>
      <c r="AH278" s="376" t="str">
        <f>IF(Start!$C$18="x",IF(OR(F278="NA",F278="",P278="NA",P278=""),"NA",IF(100/Data!$D$10&gt;Data!$D$13,(F278*$P278),(F278*$P278)*Data!$D$13)),"---")</f>
        <v>NA</v>
      </c>
      <c r="AI278" s="489">
        <f>IF(Start!$C$18="x",IF(OR($N278="NA",$Q278="NA",$Q278=0,Q278="",N278=""),"NA",(1000*$N278/$Q278)),"---")</f>
        <v>206096149.24668473</v>
      </c>
      <c r="AJ278" s="376">
        <f>IF(Start!$C$18="x",IF(OR(Q278 = "NA",Q278=0,N278 = "NA",N278="",Q278=""), "NA", IF($AG278="NA","NA",(3.1416*Data!$D$57*86400/($AG278*(Data!$D$55+(N278*Data!$D$19/(Q278*1000)))))^0.5)),"---")</f>
        <v>173.45119033766687</v>
      </c>
      <c r="AK278" s="376" t="str">
        <f>IF(Start!$C$18="x",IF(OR(AH278 = "NA",AI278="NA",AI278=0,AI278="",AH278=""), "NA", AH278/AI278),"---")</f>
        <v>NA</v>
      </c>
      <c r="AL278" s="376" t="str">
        <f>IF(Start!$C$18="x",IF(OR(AK278 ="NA",AK278="",AJ278= "NA",R278="NA",R278=0),"NA",(2*AK278)/(1000*(1/$R278+AJ278))),"---")</f>
        <v>NA</v>
      </c>
      <c r="AM278" s="376" t="str">
        <f>IF(Start!$C$18="x",IF(AL278 = "NA", "NA", AL278*(Data!$D$52*Data!$D$53*10000)),"---")</f>
        <v>NA</v>
      </c>
      <c r="AN278" s="376" t="str">
        <f>IF(Start!$C$18="x",IF(AM278 = "NA", "NA", AM278*(Data!$D$54)),"---")</f>
        <v>NA</v>
      </c>
      <c r="AO278" s="498" t="str">
        <f>IF(Start!$C$18="x",IF(AN278="NA","NA",AN278*Data!$D$41),"---")</f>
        <v>NA</v>
      </c>
      <c r="AP278" s="376">
        <f>IF(Start!$C$18="x",IF(OR(Q278=0,N278="NA",N278="",AG278="NA",AG278="",AG278=0,Q278="",Q278="NA"),"NA", (3.1416*Data!$D$56*86400/($AG278*(Data!$D$55+(N278*Data!$D$19/(Q278*1000)))))^0.5),"---")</f>
        <v>173.45119033766687</v>
      </c>
      <c r="AQ278" s="376" t="str">
        <f>IF(Start!$C$18="x",IF(OR(AH278="NA",AI278="NA",AI278="",AI278=0,AH278=""),"NA", AH278/AI278),"---")</f>
        <v>NA</v>
      </c>
      <c r="AR278" s="376" t="str">
        <f>IF(Start!$C$18="x",IF(OR(AQ278="NA",AP278="NA",$R278="NA",R278=0,R278=""),"NA",(2*AQ278)/(1000*(1/$R278+AP278))),"---")</f>
        <v>NA</v>
      </c>
      <c r="AS278" s="376" t="str">
        <f>IF(Start!$C$18="x",IF(AR278 = "NA", "NA", AR278*(Data!$D$52*Data!$D$53*10000)),"---")</f>
        <v>NA</v>
      </c>
      <c r="AT278" s="376" t="str">
        <f>IF(Start!$C$18="x",IF(AS278 = "NA", "NA", (AS278*1000)/(Data!$D$48*3*Data!$D$53)),"---")</f>
        <v>NA</v>
      </c>
      <c r="AU278" s="498" t="str">
        <f>IF(Start!$C$18="x",IF(AT278="NA","NA",AT278*Data!$D$47),"---")</f>
        <v>NA</v>
      </c>
      <c r="AV278" s="283" t="str">
        <f>IF(Start!$C$18="x",(IF(AND(F278="",G278= "",G278&lt;&gt;"NA"),"",IF(OR(AD278="NA",I278="NA",I278=0),"NA",(AD278/I278)))),"Not Req.")</f>
        <v/>
      </c>
      <c r="AW278" s="284" t="str">
        <f>IF(Start!$C$18="x",(IF(AND(F278="",G278= "",G278&lt;&gt;"NA"),"",IF(OR(AF278="NA",I278="NA",I278=0),"NA",(AF278/I278)))),"Not Req.")</f>
        <v/>
      </c>
      <c r="AX278" s="284" t="str">
        <f>IF(Start!$C$18="x",(IF(F278 ="","",IF(OR(AO278="NA",I278="NA",I278=0),"NA",(AO278/I278)))),"Not Req.")</f>
        <v/>
      </c>
      <c r="AY278" s="344" t="str">
        <f>IF(Start!$C$18="x",(IF(F278 ="","",IF(OR(AU278="NA",I278="NA",I278=0),"NA",(AU278/I278)))),"Not Req.")</f>
        <v/>
      </c>
      <c r="AZ278" s="208"/>
    </row>
    <row r="279" spans="1:52" s="183" customFormat="1" x14ac:dyDescent="0.25">
      <c r="A279" s="405" t="s">
        <v>597</v>
      </c>
      <c r="B279" s="347" t="str">
        <f>IF(Start!$C$18="x",IF(AND(OR(F279="",F279="NA"),OR(G279="",G279="NA")),"",IF(I279="NA","NA",IF(AND(I279="",K279="--"),"NA",IF(AD279="NA","Missing Data",IF(I279="","No Criteria",IF(AD279&gt;=I279,"Needed","No")))))),"---")</f>
        <v/>
      </c>
      <c r="C279" s="501" t="str">
        <f>IF(Start!$C$18="x",IF(AND(OR(F279="",F279="NA"),OR(G279="",G279="NA")),"",IF(I279="NA","NA",IF(AND(I279="",K279="--"),"NA",IF(AF279="NA","Missing Data",IF(I279="","No Criteria",IF(AF279&gt;=I279,"Needed","No")))))),"---")</f>
        <v/>
      </c>
      <c r="D279" s="347" t="str">
        <f>IF(Start!$C$18="x",IF(AND(OR(F279="",F279="NA"),OR(G279="",G279="NA")),"",IF(I279="NA","NA",IF(AND(I279="",K279="--"),"NA",IF(AO279="NA","Missing Data",IF(I279="","No Criteria",IF(AO279&gt;=I279,"Needed","No")))))),"---")</f>
        <v/>
      </c>
      <c r="E279" s="401" t="str">
        <f>IF(Start!$C$18="x",IF(AND(OR(F279="",F279="NA"),OR(G279="",G279="NA")),"",IF(I279="NA","NA",IF(AND(I279="",K279="--"),"NA",IF(AU279="NA","Missing Data",IF(I279="","No Criteria",IF(AU279&gt;=I279,"Needed","No")))))),"---")</f>
        <v/>
      </c>
      <c r="F279" s="431" t="str">
        <f>IF(TRUE=ISBLANK(ChemData!B279),"",(ChemData!B279))</f>
        <v/>
      </c>
      <c r="G279" s="432" t="str">
        <f>IF(TRUE=ISBLANK(ChemData!C279),"",(ChemData!C279))</f>
        <v/>
      </c>
      <c r="H279" s="433" t="str">
        <f>IF(TRUE=ISBLANK(ChemData!D279),"",(ChemData!D279))</f>
        <v/>
      </c>
      <c r="I279" s="919" t="str">
        <f>IF(TRUE=ISBLANK(ChemData!K279),"",(ChemData!K279))</f>
        <v>NA</v>
      </c>
      <c r="J279" s="290">
        <f>IF(TRUE=ISBLANK(ChemData!M279),"",(ChemData!M279))</f>
        <v>257.5</v>
      </c>
      <c r="K279" s="290">
        <f>IF(TRUE=ISBLANK(ChemData!N279),"",(ChemData!N279))</f>
        <v>2.0000000000000001E-4</v>
      </c>
      <c r="L279" s="290">
        <f>IF(TRUE=ISBLANK(ChemData!O279),"",(ChemData!O279))</f>
        <v>0.15177572322701638</v>
      </c>
      <c r="M279" s="290">
        <f>IF(TRUE=ISBLANK(ChemData!Q279),"",(ChemData!Q279))</f>
        <v>11679.020446328394</v>
      </c>
      <c r="N279" s="290">
        <f>IF(TRUE=ISBLANK(ChemData!R279),"",(ChemData!R279))</f>
        <v>11679.020446328394</v>
      </c>
      <c r="O279" s="290">
        <f>IF(TRUE=ISBLANK(ChemData!S279),"",(ChemData!S279))</f>
        <v>1</v>
      </c>
      <c r="P279" s="291">
        <f>IF(TRUE=ISBLANK(ChemData!T279),"",(ChemData!T279))</f>
        <v>1</v>
      </c>
      <c r="Q279" s="375">
        <f>IF(Start!$C$18="x",IF(OR(K279="NA",K279="",K279="--"),"NA",(K279*1000000/82.1/Data!$D$50)),"---")</f>
        <v>7.8582373973517753E-3</v>
      </c>
      <c r="R279" s="376">
        <f>IF(Start!$C$18="x",IF(OR(J279="NA",J279=0,J279=""),"NA",(0.32*(Data!$D$48+Data!$D$49)*(18/J279)^0.5)),"---")</f>
        <v>0.21785866978387619</v>
      </c>
      <c r="S279" s="376">
        <f>IF(Start!$C$18="x",IF(OR(J279="NA",J279= 0,J279=""),"NA",(0.0065*((Data!$D$49^0.969)/(Data!$D$51^0.673))*(32/J279)^0.5*EXP(0.526*Data!$D$48^-1.9))),"---")</f>
        <v>4.5918638976776184E-4</v>
      </c>
      <c r="T279" s="377">
        <f>IF(Start!$C$18="x",IF(OR(S279="NA",R279="NA",R279=0,Q279="NA",S279=0,Q279=0),"NA",(1/(1/S279+(1/(R279*Q279))))),"---")</f>
        <v>3.6207193471353893E-4</v>
      </c>
      <c r="U279" s="375" t="str">
        <f>IF(Start!$C$18="x",IF(OR(F279="NA",F279="",O279="",O279="NA"),"NA",(F279*$O279)),"---")</f>
        <v>NA</v>
      </c>
      <c r="V279" s="376" t="str">
        <f>IF(Start!$C$18="x",IF(OR(U279="NA",M279="NA",M279="",U279=""),"NA",U279/((Data!$D$18+((1-Data!$D$18)*Data!$D$14*M279))/((1-Data!$D$18)*Data!$D$14*1000))),"---")</f>
        <v>NA</v>
      </c>
      <c r="W279" s="376" t="str">
        <f>IF(Start!$C$18="x",IF(OR(G279="NA",U279="NA",G279="",U279=""),"NA",(U279 +($G279*(Data!$D$19-Data!$D$22)/(Data!$D$19*Data!$D$22)))),"---")</f>
        <v>NA</v>
      </c>
      <c r="X279" s="376" t="str">
        <f>IF(Start!$C$18="x",IF(OR(G279="NA",V279="NA",G279="",V279=""),"NA",(((Data!$D$22*Data!$D$18)*V279)+(Data!$D$19-Data!$D$22)*$G279)/((Data!$D$22*Data!$D$18)+Data!$D$19-Data!$D$22)),"---")</f>
        <v>NA</v>
      </c>
      <c r="Y279" s="376" t="str">
        <f>IF(Start!$C$18="x",IF(OR(W279="NA",W279="",M279="NA",M279=""),"NA",(W279/((Data!$D$23+((1-Data!$D$23)*Data!$D$14*M279)) /((1-Data!$D$23)*Data!$D$14*1000)))),"---")</f>
        <v>NA</v>
      </c>
      <c r="Z279" s="376" t="str">
        <f>IF(Start!$C$18="x",IF(OR(Y279="NA",X279="NA"),"NA",IF(Y279&gt;X279, Y279, X279)),"---")</f>
        <v>NA</v>
      </c>
      <c r="AA279" s="461" t="str">
        <f>IF(Start!$C$18="x",IF(OR(Z279="NA",T279="NA"),"NA",Z279*T279/(1000000000)),"---")</f>
        <v>NA</v>
      </c>
      <c r="AB279" s="1057" t="str">
        <f>IF(Start!$C$18="x",IF(AA279 = "NA", "NA", AA279*(Data!$D$52*Data!$D$53*10000)),"---")</f>
        <v>NA</v>
      </c>
      <c r="AC279" s="375" t="str">
        <f>IF(Start!$C$18="x",IF(AB279="NA", "NA", AB279*Data!$D$54),"---")</f>
        <v>NA</v>
      </c>
      <c r="AD279" s="498" t="str">
        <f>IF(Start!$C$18="x",IF(AC279="NA","NA",AC279*Data!$D$41),"---")</f>
        <v>NA</v>
      </c>
      <c r="AE279" s="376" t="str">
        <f>IF(Start!$C$18="x",IF(AB279 = "NA", "NA", AB279/(Data!$D$53*3*Data!$D$48)*1000),"---")</f>
        <v>NA</v>
      </c>
      <c r="AF279" s="498" t="str">
        <f>IF(Start!$C$18="x",IF(AE279="NA","NA",AE279*Data!$D$46),"---")</f>
        <v>NA</v>
      </c>
      <c r="AG279" s="375">
        <f>IF(Start!$C$18="x",IF(OR($L279="NA",L279=""),"NA",($L279*(Data!$D$55^3.33)/(Data!$D$18^2))),"---")</f>
        <v>1.5462142190696482E-3</v>
      </c>
      <c r="AH279" s="376" t="str">
        <f>IF(Start!$C$18="x",IF(OR(F279="NA",F279="",P279="NA",P279=""),"NA",IF(100/Data!$D$10&gt;Data!$D$13,(F279*$P279),(F279*$P279)*Data!$D$13)),"---")</f>
        <v>NA</v>
      </c>
      <c r="AI279" s="489">
        <f>IF(Start!$C$18="x",IF(OR($N279="NA",$Q279="NA",$Q279=0,Q279="",N279=""),"NA",(1000*$N279/$Q279)),"---")</f>
        <v>1486213746.8975196</v>
      </c>
      <c r="AJ279" s="376">
        <f>IF(Start!$C$18="x",IF(OR(Q279 = "NA",Q279=0,N279 = "NA",N279="",Q279=""), "NA", IF($AG279="NA","NA",(3.1416*Data!$D$57*86400/($AG279*(Data!$D$55+(N279*Data!$D$19/(Q279*1000)))))^0.5)),"---")</f>
        <v>64.590969007646763</v>
      </c>
      <c r="AK279" s="376" t="str">
        <f>IF(Start!$C$18="x",IF(OR(AH279 = "NA",AI279="NA",AI279=0,AI279="",AH279=""), "NA", AH279/AI279),"---")</f>
        <v>NA</v>
      </c>
      <c r="AL279" s="376" t="str">
        <f>IF(Start!$C$18="x",IF(OR(AK279 ="NA",AK279="",AJ279= "NA",R279="NA",R279=0),"NA",(2*AK279)/(1000*(1/$R279+AJ279))),"---")</f>
        <v>NA</v>
      </c>
      <c r="AM279" s="376" t="str">
        <f>IF(Start!$C$18="x",IF(AL279 = "NA", "NA", AL279*(Data!$D$52*Data!$D$53*10000)),"---")</f>
        <v>NA</v>
      </c>
      <c r="AN279" s="376" t="str">
        <f>IF(Start!$C$18="x",IF(AM279 = "NA", "NA", AM279*(Data!$D$54)),"---")</f>
        <v>NA</v>
      </c>
      <c r="AO279" s="498" t="str">
        <f>IF(Start!$C$18="x",IF(AN279="NA","NA",AN279*Data!$D$41),"---")</f>
        <v>NA</v>
      </c>
      <c r="AP279" s="376">
        <f>IF(Start!$C$18="x",IF(OR(Q279=0,N279="NA",N279="",AG279="NA",AG279="",AG279=0,Q279="",Q279="NA"),"NA", (3.1416*Data!$D$56*86400/($AG279*(Data!$D$55+(N279*Data!$D$19/(Q279*1000)))))^0.5),"---")</f>
        <v>64.590969007646763</v>
      </c>
      <c r="AQ279" s="376" t="str">
        <f>IF(Start!$C$18="x",IF(OR(AH279="NA",AI279="NA",AI279="",AI279=0,AH279=""),"NA", AH279/AI279),"---")</f>
        <v>NA</v>
      </c>
      <c r="AR279" s="376" t="str">
        <f>IF(Start!$C$18="x",IF(OR(AQ279="NA",AP279="NA",$R279="NA",R279=0,R279=""),"NA",(2*AQ279)/(1000*(1/$R279+AP279))),"---")</f>
        <v>NA</v>
      </c>
      <c r="AS279" s="376" t="str">
        <f>IF(Start!$C$18="x",IF(AR279 = "NA", "NA", AR279*(Data!$D$52*Data!$D$53*10000)),"---")</f>
        <v>NA</v>
      </c>
      <c r="AT279" s="376" t="str">
        <f>IF(Start!$C$18="x",IF(AS279 = "NA", "NA", (AS279*1000)/(Data!$D$48*3*Data!$D$53)),"---")</f>
        <v>NA</v>
      </c>
      <c r="AU279" s="498" t="str">
        <f>IF(Start!$C$18="x",IF(AT279="NA","NA",AT279*Data!$D$47),"---")</f>
        <v>NA</v>
      </c>
      <c r="AV279" s="283" t="str">
        <f>IF(Start!$C$18="x",(IF(AND(F279="",G279= "",G279&lt;&gt;"NA"),"",IF(OR(AD279="NA",I279="NA",I279=0),"NA",(AD279/I279)))),"Not Req.")</f>
        <v/>
      </c>
      <c r="AW279" s="284" t="str">
        <f>IF(Start!$C$18="x",(IF(AND(F279="",G279= "",G279&lt;&gt;"NA"),"",IF(OR(AF279="NA",I279="NA",I279=0),"NA",(AF279/I279)))),"Not Req.")</f>
        <v/>
      </c>
      <c r="AX279" s="284" t="str">
        <f>IF(Start!$C$18="x",(IF(F279 ="","",IF(OR(AO279="NA",I279="NA",I279=0),"NA",(AO279/I279)))),"Not Req.")</f>
        <v/>
      </c>
      <c r="AY279" s="344" t="str">
        <f>IF(Start!$C$18="x",(IF(F279 ="","",IF(OR(AU279="NA",I279="NA",I279=0),"NA",(AU279/I279)))),"Not Req.")</f>
        <v/>
      </c>
      <c r="AZ279" s="208"/>
    </row>
    <row r="280" spans="1:52" s="183" customFormat="1" x14ac:dyDescent="0.25">
      <c r="A280" s="405" t="s">
        <v>598</v>
      </c>
      <c r="B280" s="347" t="str">
        <f>IF(Start!$C$18="x",IF(AND(OR(F280="",F280="NA"),OR(G280="",G280="NA")),"",IF(I280="NA","NA",IF(AND(I280="",K280="--"),"NA",IF(AD280="NA","Missing Data",IF(I280="","No Criteria",IF(AD280&gt;=I280,"Needed","No")))))),"---")</f>
        <v/>
      </c>
      <c r="C280" s="501" t="str">
        <f>IF(Start!$C$18="x",IF(AND(OR(F280="",F280="NA"),OR(G280="",G280="NA")),"",IF(I280="NA","NA",IF(AND(I280="",K280="--"),"NA",IF(AF280="NA","Missing Data",IF(I280="","No Criteria",IF(AF280&gt;=I280,"Needed","No")))))),"---")</f>
        <v/>
      </c>
      <c r="D280" s="347" t="str">
        <f>IF(Start!$C$18="x",IF(AND(OR(F280="",F280="NA"),OR(G280="",G280="NA")),"",IF(I280="NA","NA",IF(AND(I280="",K280="--"),"NA",IF(AO280="NA","Missing Data",IF(I280="","No Criteria",IF(AO280&gt;=I280,"Needed","No")))))),"---")</f>
        <v/>
      </c>
      <c r="E280" s="401" t="str">
        <f>IF(Start!$C$18="x",IF(AND(OR(F280="",F280="NA"),OR(G280="",G280="NA")),"",IF(I280="NA","NA",IF(AND(I280="",K280="--"),"NA",IF(AU280="NA","Missing Data",IF(I280="","No Criteria",IF(AU280&gt;=I280,"Needed","No")))))),"---")</f>
        <v/>
      </c>
      <c r="F280" s="431" t="str">
        <f>IF(TRUE=ISBLANK(ChemData!B280),"",(ChemData!B280))</f>
        <v/>
      </c>
      <c r="G280" s="432" t="str">
        <f>IF(TRUE=ISBLANK(ChemData!C280),"",(ChemData!C280))</f>
        <v/>
      </c>
      <c r="H280" s="433" t="str">
        <f>IF(TRUE=ISBLANK(ChemData!D280),"",(ChemData!D280))</f>
        <v/>
      </c>
      <c r="I280" s="919" t="str">
        <f>IF(TRUE=ISBLANK(ChemData!K280),"",(ChemData!K280))</f>
        <v>NA</v>
      </c>
      <c r="J280" s="290">
        <f>IF(TRUE=ISBLANK(ChemData!M280),"",(ChemData!M280))</f>
        <v>292</v>
      </c>
      <c r="K280" s="290">
        <f>IF(TRUE=ISBLANK(ChemData!N280),"",(ChemData!N280))</f>
        <v>1.3999999999999999E-4</v>
      </c>
      <c r="L280" s="290">
        <f>IF(TRUE=ISBLANK(ChemData!O280),"",(ChemData!O280))</f>
        <v>0.15086626862237232</v>
      </c>
      <c r="M280" s="290">
        <f>IF(TRUE=ISBLANK(ChemData!Q280),"",(ChemData!Q280))</f>
        <v>18510</v>
      </c>
      <c r="N280" s="290">
        <f>IF(TRUE=ISBLANK(ChemData!R280),"",(ChemData!R280))</f>
        <v>18510</v>
      </c>
      <c r="O280" s="290">
        <f>IF(TRUE=ISBLANK(ChemData!S280),"",(ChemData!S280))</f>
        <v>1</v>
      </c>
      <c r="P280" s="291">
        <f>IF(TRUE=ISBLANK(ChemData!T280),"",(ChemData!T280))</f>
        <v>1</v>
      </c>
      <c r="Q280" s="375">
        <f>IF(Start!$C$18="x",IF(OR(K280="NA",K280="",K280="--"),"NA",(K280*1000000/82.1/Data!$D$50)),"---")</f>
        <v>5.5007661781462424E-3</v>
      </c>
      <c r="R280" s="376">
        <f>IF(Start!$C$18="x",IF(OR(J280="NA",J280=0,J280=""),"NA",(0.32*(Data!$D$48+Data!$D$49)*(18/J280)^0.5)),"---")</f>
        <v>0.20458417566250536</v>
      </c>
      <c r="S280" s="376">
        <f>IF(Start!$C$18="x",IF(OR(J280="NA",J280= 0,J280=""),"NA",(0.0065*((Data!$D$49^0.969)/(Data!$D$51^0.673))*(32/J280)^0.5*EXP(0.526*Data!$D$48^-1.9))),"---")</f>
        <v>4.31207392936318E-4</v>
      </c>
      <c r="T280" s="377">
        <f>IF(Start!$C$18="x",IF(OR(S280="NA",R280="NA",R280=0,Q280="NA",S280=0,Q280=0),"NA",(1/(1/S280+(1/(R280*Q280))))),"---")</f>
        <v>3.1175310128175637E-4</v>
      </c>
      <c r="U280" s="375" t="str">
        <f>IF(Start!$C$18="x",IF(OR(F280="NA",F280="",O280="",O280="NA"),"NA",(F280*$O280)),"---")</f>
        <v>NA</v>
      </c>
      <c r="V280" s="376" t="str">
        <f>IF(Start!$C$18="x",IF(OR(U280="NA",M280="NA",M280="",U280=""),"NA",U280/((Data!$D$18+((1-Data!$D$18)*Data!$D$14*M280))/((1-Data!$D$18)*Data!$D$14*1000))),"---")</f>
        <v>NA</v>
      </c>
      <c r="W280" s="376" t="str">
        <f>IF(Start!$C$18="x",IF(OR(G280="NA",U280="NA",G280="",U280=""),"NA",(U280 +($G280*(Data!$D$19-Data!$D$22)/(Data!$D$19*Data!$D$22)))),"---")</f>
        <v>NA</v>
      </c>
      <c r="X280" s="376" t="str">
        <f>IF(Start!$C$18="x",IF(OR(G280="NA",V280="NA",G280="",V280=""),"NA",(((Data!$D$22*Data!$D$18)*V280)+(Data!$D$19-Data!$D$22)*$G280)/((Data!$D$22*Data!$D$18)+Data!$D$19-Data!$D$22)),"---")</f>
        <v>NA</v>
      </c>
      <c r="Y280" s="376" t="str">
        <f>IF(Start!$C$18="x",IF(OR(W280="NA",W280="",M280="NA",M280=""),"NA",(W280/((Data!$D$23+((1-Data!$D$23)*Data!$D$14*M280)) /((1-Data!$D$23)*Data!$D$14*1000)))),"---")</f>
        <v>NA</v>
      </c>
      <c r="Z280" s="376" t="str">
        <f>IF(Start!$C$18="x",IF(OR(Y280="NA",X280="NA"),"NA",IF(Y280&gt;X280, Y280, X280)),"---")</f>
        <v>NA</v>
      </c>
      <c r="AA280" s="461" t="str">
        <f>IF(Start!$C$18="x",IF(OR(Z280="NA",T280="NA"),"NA",Z280*T280/(1000000000)),"---")</f>
        <v>NA</v>
      </c>
      <c r="AB280" s="1057" t="str">
        <f>IF(Start!$C$18="x",IF(AA280 = "NA", "NA", AA280*(Data!$D$52*Data!$D$53*10000)),"---")</f>
        <v>NA</v>
      </c>
      <c r="AC280" s="375" t="str">
        <f>IF(Start!$C$18="x",IF(AB280="NA", "NA", AB280*Data!$D$54),"---")</f>
        <v>NA</v>
      </c>
      <c r="AD280" s="498" t="str">
        <f>IF(Start!$C$18="x",IF(AC280="NA","NA",AC280*Data!$D$41),"---")</f>
        <v>NA</v>
      </c>
      <c r="AE280" s="376" t="str">
        <f>IF(Start!$C$18="x",IF(AB280 = "NA", "NA", AB280/(Data!$D$53*3*Data!$D$48)*1000),"---")</f>
        <v>NA</v>
      </c>
      <c r="AF280" s="498" t="str">
        <f>IF(Start!$C$18="x",IF(AE280="NA","NA",AE280*Data!$D$46),"---")</f>
        <v>NA</v>
      </c>
      <c r="AG280" s="375">
        <f>IF(Start!$C$18="x",IF(OR($L280="NA",L280=""),"NA",($L280*(Data!$D$55^3.33)/(Data!$D$18^2))),"---")</f>
        <v>1.5369491560450717E-3</v>
      </c>
      <c r="AH280" s="376" t="str">
        <f>IF(Start!$C$18="x",IF(OR(F280="NA",F280="",P280="NA",P280=""),"NA",IF(100/Data!$D$10&gt;Data!$D$13,(F280*$P280),(F280*$P280)*Data!$D$13)),"---")</f>
        <v>NA</v>
      </c>
      <c r="AI280" s="489">
        <f>IF(Start!$C$18="x",IF(OR($N280="NA",$Q280="NA",$Q280=0,Q280="",N280=""),"NA",(1000*$N280/$Q280)),"---")</f>
        <v>3364985785.7142854</v>
      </c>
      <c r="AJ280" s="376">
        <f>IF(Start!$C$18="x",IF(OR(Q280 = "NA",Q280=0,N280 = "NA",N280="",Q280=""), "NA", IF($AG280="NA","NA",(3.1416*Data!$D$57*86400/($AG280*(Data!$D$55+(N280*Data!$D$19/(Q280*1000)))))^0.5)),"---")</f>
        <v>43.055230653995515</v>
      </c>
      <c r="AK280" s="376" t="str">
        <f>IF(Start!$C$18="x",IF(OR(AH280 = "NA",AI280="NA",AI280=0,AI280="",AH280=""), "NA", AH280/AI280),"---")</f>
        <v>NA</v>
      </c>
      <c r="AL280" s="376" t="str">
        <f>IF(Start!$C$18="x",IF(OR(AK280 ="NA",AK280="",AJ280= "NA",R280="NA",R280=0),"NA",(2*AK280)/(1000*(1/$R280+AJ280))),"---")</f>
        <v>NA</v>
      </c>
      <c r="AM280" s="376" t="str">
        <f>IF(Start!$C$18="x",IF(AL280 = "NA", "NA", AL280*(Data!$D$52*Data!$D$53*10000)),"---")</f>
        <v>NA</v>
      </c>
      <c r="AN280" s="376" t="str">
        <f>IF(Start!$C$18="x",IF(AM280 = "NA", "NA", AM280*(Data!$D$54)),"---")</f>
        <v>NA</v>
      </c>
      <c r="AO280" s="498" t="str">
        <f>IF(Start!$C$18="x",IF(AN280="NA","NA",AN280*Data!$D$41),"---")</f>
        <v>NA</v>
      </c>
      <c r="AP280" s="376">
        <f>IF(Start!$C$18="x",IF(OR(Q280=0,N280="NA",N280="",AG280="NA",AG280="",AG280=0,Q280="",Q280="NA"),"NA", (3.1416*Data!$D$56*86400/($AG280*(Data!$D$55+(N280*Data!$D$19/(Q280*1000)))))^0.5),"---")</f>
        <v>43.055230653995515</v>
      </c>
      <c r="AQ280" s="376" t="str">
        <f>IF(Start!$C$18="x",IF(OR(AH280="NA",AI280="NA",AI280="",AI280=0,AH280=""),"NA", AH280/AI280),"---")</f>
        <v>NA</v>
      </c>
      <c r="AR280" s="376" t="str">
        <f>IF(Start!$C$18="x",IF(OR(AQ280="NA",AP280="NA",$R280="NA",R280=0,R280=""),"NA",(2*AQ280)/(1000*(1/$R280+AP280))),"---")</f>
        <v>NA</v>
      </c>
      <c r="AS280" s="376" t="str">
        <f>IF(Start!$C$18="x",IF(AR280 = "NA", "NA", AR280*(Data!$D$52*Data!$D$53*10000)),"---")</f>
        <v>NA</v>
      </c>
      <c r="AT280" s="376" t="str">
        <f>IF(Start!$C$18="x",IF(AS280 = "NA", "NA", (AS280*1000)/(Data!$D$48*3*Data!$D$53)),"---")</f>
        <v>NA</v>
      </c>
      <c r="AU280" s="498" t="str">
        <f>IF(Start!$C$18="x",IF(AT280="NA","NA",AT280*Data!$D$47),"---")</f>
        <v>NA</v>
      </c>
      <c r="AV280" s="283" t="str">
        <f>IF(Start!$C$18="x",(IF(AND(F280="",G280= "",G280&lt;&gt;"NA"),"",IF(OR(AD280="NA",I280="NA",I280=0),"NA",(AD280/I280)))),"Not Req.")</f>
        <v/>
      </c>
      <c r="AW280" s="284" t="str">
        <f>IF(Start!$C$18="x",(IF(AND(F280="",G280= "",G280&lt;&gt;"NA"),"",IF(OR(AF280="NA",I280="NA",I280=0),"NA",(AF280/I280)))),"Not Req.")</f>
        <v/>
      </c>
      <c r="AX280" s="284" t="str">
        <f>IF(Start!$C$18="x",(IF(F280 ="","",IF(OR(AO280="NA",I280="NA",I280=0),"NA",(AO280/I280)))),"Not Req.")</f>
        <v/>
      </c>
      <c r="AY280" s="344" t="str">
        <f>IF(Start!$C$18="x",(IF(F280 ="","",IF(OR(AU280="NA",I280="NA",I280=0),"NA",(AU280/I280)))),"Not Req.")</f>
        <v/>
      </c>
      <c r="AZ280" s="208"/>
    </row>
    <row r="281" spans="1:52" s="183" customFormat="1" x14ac:dyDescent="0.25">
      <c r="A281" s="405" t="s">
        <v>599</v>
      </c>
      <c r="B281" s="347" t="str">
        <f>IF(Start!$C$18="x",IF(AND(OR(F281="",F281="NA"),OR(G281="",G281="NA")),"",IF(I281="NA","NA",IF(AND(I281="",K281="--"),"NA",IF(AD281="NA","Missing Data",IF(I281="","No Criteria",IF(AD281&gt;=I281,"Needed","No")))))),"---")</f>
        <v/>
      </c>
      <c r="C281" s="501" t="str">
        <f>IF(Start!$C$18="x",IF(AND(OR(F281="",F281="NA"),OR(G281="",G281="NA")),"",IF(I281="NA","NA",IF(AND(I281="",K281="--"),"NA",IF(AF281="NA","Missing Data",IF(I281="","No Criteria",IF(AF281&gt;=I281,"Needed","No")))))),"---")</f>
        <v/>
      </c>
      <c r="D281" s="347" t="str">
        <f>IF(Start!$C$18="x",IF(AND(OR(F281="",F281="NA"),OR(G281="",G281="NA")),"",IF(I281="NA","NA",IF(AND(I281="",K281="--"),"NA",IF(AO281="NA","Missing Data",IF(I281="","No Criteria",IF(AO281&gt;=I281,"Needed","No")))))),"---")</f>
        <v/>
      </c>
      <c r="E281" s="401" t="str">
        <f>IF(Start!$C$18="x",IF(AND(OR(F281="",F281="NA"),OR(G281="",G281="NA")),"",IF(I281="NA","NA",IF(AND(I281="",K281="--"),"NA",IF(AU281="NA","Missing Data",IF(I281="","No Criteria",IF(AU281&gt;=I281,"Needed","No")))))),"---")</f>
        <v/>
      </c>
      <c r="F281" s="431" t="str">
        <f>IF(TRUE=ISBLANK(ChemData!B281),"",(ChemData!B281))</f>
        <v/>
      </c>
      <c r="G281" s="432" t="str">
        <f>IF(TRUE=ISBLANK(ChemData!C281),"",(ChemData!C281))</f>
        <v/>
      </c>
      <c r="H281" s="433" t="str">
        <f>IF(TRUE=ISBLANK(ChemData!D281),"",(ChemData!D281))</f>
        <v/>
      </c>
      <c r="I281" s="919" t="str">
        <f>IF(TRUE=ISBLANK(ChemData!K281),"",(ChemData!K281))</f>
        <v>NA</v>
      </c>
      <c r="J281" s="290">
        <f>IF(TRUE=ISBLANK(ChemData!M281),"",(ChemData!M281))</f>
        <v>292</v>
      </c>
      <c r="K281" s="290">
        <f>IF(TRUE=ISBLANK(ChemData!N281),"",(ChemData!N281))</f>
        <v>2.1000000000000001E-4</v>
      </c>
      <c r="L281" s="290">
        <f>IF(TRUE=ISBLANK(ChemData!O281),"",(ChemData!O281))</f>
        <v>0.15086626862237232</v>
      </c>
      <c r="M281" s="290">
        <f>IF(TRUE=ISBLANK(ChemData!Q281),"",(ChemData!Q281))</f>
        <v>23302.709372310041</v>
      </c>
      <c r="N281" s="290">
        <f>IF(TRUE=ISBLANK(ChemData!R281),"",(ChemData!R281))</f>
        <v>23302.709372310041</v>
      </c>
      <c r="O281" s="290">
        <f>IF(TRUE=ISBLANK(ChemData!S281),"",(ChemData!S281))</f>
        <v>1</v>
      </c>
      <c r="P281" s="291">
        <f>IF(TRUE=ISBLANK(ChemData!T281),"",(ChemData!T281))</f>
        <v>1</v>
      </c>
      <c r="Q281" s="375">
        <f>IF(Start!$C$18="x",IF(OR(K281="NA",K281="",K281="--"),"NA",(K281*1000000/82.1/Data!$D$50)),"---")</f>
        <v>8.2511492672193622E-3</v>
      </c>
      <c r="R281" s="376">
        <f>IF(Start!$C$18="x",IF(OR(J281="NA",J281=0,J281=""),"NA",(0.32*(Data!$D$48+Data!$D$49)*(18/J281)^0.5)),"---")</f>
        <v>0.20458417566250536</v>
      </c>
      <c r="S281" s="376">
        <f>IF(Start!$C$18="x",IF(OR(J281="NA",J281= 0,J281=""),"NA",(0.0065*((Data!$D$49^0.969)/(Data!$D$51^0.673))*(32/J281)^0.5*EXP(0.526*Data!$D$48^-1.9))),"---")</f>
        <v>4.31207392936318E-4</v>
      </c>
      <c r="T281" s="377">
        <f>IF(Start!$C$18="x",IF(OR(S281="NA",R281="NA",R281=0,Q281="NA",S281=0,Q281=0),"NA",(1/(1/S281+(1/(R281*Q281))))),"---")</f>
        <v>3.4346938844319211E-4</v>
      </c>
      <c r="U281" s="375" t="str">
        <f>IF(Start!$C$18="x",IF(OR(F281="NA",F281="",O281="",O281="NA"),"NA",(F281*$O281)),"---")</f>
        <v>NA</v>
      </c>
      <c r="V281" s="376" t="str">
        <f>IF(Start!$C$18="x",IF(OR(U281="NA",M281="NA",M281="",U281=""),"NA",U281/((Data!$D$18+((1-Data!$D$18)*Data!$D$14*M281))/((1-Data!$D$18)*Data!$D$14*1000))),"---")</f>
        <v>NA</v>
      </c>
      <c r="W281" s="376" t="str">
        <f>IF(Start!$C$18="x",IF(OR(G281="NA",U281="NA",G281="",U281=""),"NA",(U281 +($G281*(Data!$D$19-Data!$D$22)/(Data!$D$19*Data!$D$22)))),"---")</f>
        <v>NA</v>
      </c>
      <c r="X281" s="376" t="str">
        <f>IF(Start!$C$18="x",IF(OR(G281="NA",V281="NA",G281="",V281=""),"NA",(((Data!$D$22*Data!$D$18)*V281)+(Data!$D$19-Data!$D$22)*$G281)/((Data!$D$22*Data!$D$18)+Data!$D$19-Data!$D$22)),"---")</f>
        <v>NA</v>
      </c>
      <c r="Y281" s="376" t="str">
        <f>IF(Start!$C$18="x",IF(OR(W281="NA",W281="",M281="NA",M281=""),"NA",(W281/((Data!$D$23+((1-Data!$D$23)*Data!$D$14*M281)) /((1-Data!$D$23)*Data!$D$14*1000)))),"---")</f>
        <v>NA</v>
      </c>
      <c r="Z281" s="376" t="str">
        <f>IF(Start!$C$18="x",IF(OR(Y281="NA",X281="NA"),"NA",IF(Y281&gt;X281, Y281, X281)),"---")</f>
        <v>NA</v>
      </c>
      <c r="AA281" s="461" t="str">
        <f>IF(Start!$C$18="x",IF(OR(Z281="NA",T281="NA"),"NA",Z281*T281/(1000000000)),"---")</f>
        <v>NA</v>
      </c>
      <c r="AB281" s="1057" t="str">
        <f>IF(Start!$C$18="x",IF(AA281 = "NA", "NA", AA281*(Data!$D$52*Data!$D$53*10000)),"---")</f>
        <v>NA</v>
      </c>
      <c r="AC281" s="375" t="str">
        <f>IF(Start!$C$18="x",IF(AB281="NA", "NA", AB281*Data!$D$54),"---")</f>
        <v>NA</v>
      </c>
      <c r="AD281" s="498" t="str">
        <f>IF(Start!$C$18="x",IF(AC281="NA","NA",AC281*Data!$D$41),"---")</f>
        <v>NA</v>
      </c>
      <c r="AE281" s="376" t="str">
        <f>IF(Start!$C$18="x",IF(AB281 = "NA", "NA", AB281/(Data!$D$53*3*Data!$D$48)*1000),"---")</f>
        <v>NA</v>
      </c>
      <c r="AF281" s="498" t="str">
        <f>IF(Start!$C$18="x",IF(AE281="NA","NA",AE281*Data!$D$46),"---")</f>
        <v>NA</v>
      </c>
      <c r="AG281" s="375">
        <f>IF(Start!$C$18="x",IF(OR($L281="NA",L281=""),"NA",($L281*(Data!$D$55^3.33)/(Data!$D$18^2))),"---")</f>
        <v>1.5369491560450717E-3</v>
      </c>
      <c r="AH281" s="376" t="str">
        <f>IF(Start!$C$18="x",IF(OR(F281="NA",F281="",P281="NA",P281=""),"NA",IF(100/Data!$D$10&gt;Data!$D$13,(F281*$P281),(F281*$P281)*Data!$D$13)),"---")</f>
        <v>NA</v>
      </c>
      <c r="AI281" s="489">
        <f>IF(Start!$C$18="x",IF(OR($N281="NA",$Q281="NA",$Q281=0,Q281="",N281=""),"NA",(1000*$N281/$Q281)),"---")</f>
        <v>2824177410.641252</v>
      </c>
      <c r="AJ281" s="376">
        <f>IF(Start!$C$18="x",IF(OR(Q281 = "NA",Q281=0,N281 = "NA",N281="",Q281=""), "NA", IF($AG281="NA","NA",(3.1416*Data!$D$57*86400/($AG281*(Data!$D$55+(N281*Data!$D$19/(Q281*1000)))))^0.5)),"---")</f>
        <v>46.99715265339799</v>
      </c>
      <c r="AK281" s="376" t="str">
        <f>IF(Start!$C$18="x",IF(OR(AH281 = "NA",AI281="NA",AI281=0,AI281="",AH281=""), "NA", AH281/AI281),"---")</f>
        <v>NA</v>
      </c>
      <c r="AL281" s="376" t="str">
        <f>IF(Start!$C$18="x",IF(OR(AK281 ="NA",AK281="",AJ281= "NA",R281="NA",R281=0),"NA",(2*AK281)/(1000*(1/$R281+AJ281))),"---")</f>
        <v>NA</v>
      </c>
      <c r="AM281" s="376" t="str">
        <f>IF(Start!$C$18="x",IF(AL281 = "NA", "NA", AL281*(Data!$D$52*Data!$D$53*10000)),"---")</f>
        <v>NA</v>
      </c>
      <c r="AN281" s="376" t="str">
        <f>IF(Start!$C$18="x",IF(AM281 = "NA", "NA", AM281*(Data!$D$54)),"---")</f>
        <v>NA</v>
      </c>
      <c r="AO281" s="498" t="str">
        <f>IF(Start!$C$18="x",IF(AN281="NA","NA",AN281*Data!$D$41),"---")</f>
        <v>NA</v>
      </c>
      <c r="AP281" s="376">
        <f>IF(Start!$C$18="x",IF(OR(Q281=0,N281="NA",N281="",AG281="NA",AG281="",AG281=0,Q281="",Q281="NA"),"NA", (3.1416*Data!$D$56*86400/($AG281*(Data!$D$55+(N281*Data!$D$19/(Q281*1000)))))^0.5),"---")</f>
        <v>46.99715265339799</v>
      </c>
      <c r="AQ281" s="376" t="str">
        <f>IF(Start!$C$18="x",IF(OR(AH281="NA",AI281="NA",AI281="",AI281=0,AH281=""),"NA", AH281/AI281),"---")</f>
        <v>NA</v>
      </c>
      <c r="AR281" s="376" t="str">
        <f>IF(Start!$C$18="x",IF(OR(AQ281="NA",AP281="NA",$R281="NA",R281=0,R281=""),"NA",(2*AQ281)/(1000*(1/$R281+AP281))),"---")</f>
        <v>NA</v>
      </c>
      <c r="AS281" s="376" t="str">
        <f>IF(Start!$C$18="x",IF(AR281 = "NA", "NA", AR281*(Data!$D$52*Data!$D$53*10000)),"---")</f>
        <v>NA</v>
      </c>
      <c r="AT281" s="376" t="str">
        <f>IF(Start!$C$18="x",IF(AS281 = "NA", "NA", (AS281*1000)/(Data!$D$48*3*Data!$D$53)),"---")</f>
        <v>NA</v>
      </c>
      <c r="AU281" s="498" t="str">
        <f>IF(Start!$C$18="x",IF(AT281="NA","NA",AT281*Data!$D$47),"---")</f>
        <v>NA</v>
      </c>
      <c r="AV281" s="283" t="str">
        <f>IF(Start!$C$18="x",(IF(AND(F281="",G281= "",G281&lt;&gt;"NA"),"",IF(OR(AD281="NA",I281="NA",I281=0),"NA",(AD281/I281)))),"Not Req.")</f>
        <v/>
      </c>
      <c r="AW281" s="284" t="str">
        <f>IF(Start!$C$18="x",(IF(AND(F281="",G281= "",G281&lt;&gt;"NA"),"",IF(OR(AF281="NA",I281="NA",I281=0),"NA",(AF281/I281)))),"Not Req.")</f>
        <v/>
      </c>
      <c r="AX281" s="284" t="str">
        <f>IF(Start!$C$18="x",(IF(F281 ="","",IF(OR(AO281="NA",I281="NA",I281=0),"NA",(AO281/I281)))),"Not Req.")</f>
        <v/>
      </c>
      <c r="AY281" s="344" t="str">
        <f>IF(Start!$C$18="x",(IF(F281 ="","",IF(OR(AU281="NA",I281="NA",I281=0),"NA",(AU281/I281)))),"Not Req.")</f>
        <v/>
      </c>
      <c r="AZ281" s="208"/>
    </row>
    <row r="282" spans="1:52" s="183" customFormat="1" x14ac:dyDescent="0.25">
      <c r="A282" s="405" t="s">
        <v>600</v>
      </c>
      <c r="B282" s="347" t="str">
        <f>IF(Start!$C$18="x",IF(AND(OR(F282="",F282="NA"),OR(G282="",G282="NA")),"",IF(I282="NA","NA",IF(AND(I282="",K282="--"),"NA",IF(AD282="NA","Missing Data",IF(I282="","No Criteria",IF(AD282&gt;=I282,"Needed","No")))))),"---")</f>
        <v/>
      </c>
      <c r="C282" s="501" t="str">
        <f>IF(Start!$C$18="x",IF(AND(OR(F282="",F282="NA"),OR(G282="",G282="NA")),"",IF(I282="NA","NA",IF(AND(I282="",K282="--"),"NA",IF(AF282="NA","Missing Data",IF(I282="","No Criteria",IF(AF282&gt;=I282,"Needed","No")))))),"---")</f>
        <v/>
      </c>
      <c r="D282" s="347" t="str">
        <f>IF(Start!$C$18="x",IF(AND(OR(F282="",F282="NA"),OR(G282="",G282="NA")),"",IF(I282="NA","NA",IF(AND(I282="",K282="--"),"NA",IF(AO282="NA","Missing Data",IF(I282="","No Criteria",IF(AO282&gt;=I282,"Needed","No")))))),"---")</f>
        <v/>
      </c>
      <c r="E282" s="401" t="str">
        <f>IF(Start!$C$18="x",IF(AND(OR(F282="",F282="NA"),OR(G282="",G282="NA")),"",IF(I282="NA","NA",IF(AND(I282="",K282="--"),"NA",IF(AU282="NA","Missing Data",IF(I282="","No Criteria",IF(AU282&gt;=I282,"Needed","No")))))),"---")</f>
        <v/>
      </c>
      <c r="F282" s="431" t="str">
        <f>IF(TRUE=ISBLANK(ChemData!B282),"",(ChemData!B282))</f>
        <v/>
      </c>
      <c r="G282" s="432" t="str">
        <f>IF(TRUE=ISBLANK(ChemData!C282),"",(ChemData!C282))</f>
        <v/>
      </c>
      <c r="H282" s="433" t="str">
        <f>IF(TRUE=ISBLANK(ChemData!D282),"",(ChemData!D282))</f>
        <v/>
      </c>
      <c r="I282" s="919" t="str">
        <f>IF(TRUE=ISBLANK(ChemData!K282),"",(ChemData!K282))</f>
        <v>NA</v>
      </c>
      <c r="J282" s="290">
        <f>IF(TRUE=ISBLANK(ChemData!M282),"",(ChemData!M282))</f>
        <v>292</v>
      </c>
      <c r="K282" s="290">
        <f>IF(TRUE=ISBLANK(ChemData!N282),"",(ChemData!N282))</f>
        <v>4.6969999999999998E-4</v>
      </c>
      <c r="L282" s="290">
        <f>IF(TRUE=ISBLANK(ChemData!O282),"",(ChemData!O282))</f>
        <v>0.15086626862237232</v>
      </c>
      <c r="M282" s="290">
        <f>IF(TRUE=ISBLANK(ChemData!Q282),"",(ChemData!Q282))</f>
        <v>23302.709372310041</v>
      </c>
      <c r="N282" s="290">
        <f>IF(TRUE=ISBLANK(ChemData!R282),"",(ChemData!R282))</f>
        <v>23302.709372310041</v>
      </c>
      <c r="O282" s="290">
        <f>IF(TRUE=ISBLANK(ChemData!S282),"",(ChemData!S282))</f>
        <v>1</v>
      </c>
      <c r="P282" s="291">
        <f>IF(TRUE=ISBLANK(ChemData!T282),"",(ChemData!T282))</f>
        <v>1</v>
      </c>
      <c r="Q282" s="375">
        <f>IF(Start!$C$18="x",IF(OR(K282="NA",K282="",K282="--"),"NA",(K282*1000000/82.1/Data!$D$50)),"---")</f>
        <v>1.8455070527680643E-2</v>
      </c>
      <c r="R282" s="376">
        <f>IF(Start!$C$18="x",IF(OR(J282="NA",J282=0,J282=""),"NA",(0.32*(Data!$D$48+Data!$D$49)*(18/J282)^0.5)),"---")</f>
        <v>0.20458417566250536</v>
      </c>
      <c r="S282" s="376">
        <f>IF(Start!$C$18="x",IF(OR(J282="NA",J282= 0,J282=""),"NA",(0.0065*((Data!$D$49^0.969)/(Data!$D$51^0.673))*(32/J282)^0.5*EXP(0.526*Data!$D$48^-1.9))),"---")</f>
        <v>4.31207392936318E-4</v>
      </c>
      <c r="T282" s="377">
        <f>IF(Start!$C$18="x",IF(OR(S282="NA",R282="NA",R282=0,Q282="NA",S282=0,Q282=0),"NA",(1/(1/S282+(1/(R282*Q282))))),"---")</f>
        <v>3.8700780923950747E-4</v>
      </c>
      <c r="U282" s="375" t="str">
        <f>IF(Start!$C$18="x",IF(OR(F282="NA",F282="",O282="",O282="NA"),"NA",(F282*$O282)),"---")</f>
        <v>NA</v>
      </c>
      <c r="V282" s="376" t="str">
        <f>IF(Start!$C$18="x",IF(OR(U282="NA",M282="NA",M282="",U282=""),"NA",U282/((Data!$D$18+((1-Data!$D$18)*Data!$D$14*M282))/((1-Data!$D$18)*Data!$D$14*1000))),"---")</f>
        <v>NA</v>
      </c>
      <c r="W282" s="376" t="str">
        <f>IF(Start!$C$18="x",IF(OR(G282="NA",U282="NA",G282="",U282=""),"NA",(U282 +($G282*(Data!$D$19-Data!$D$22)/(Data!$D$19*Data!$D$22)))),"---")</f>
        <v>NA</v>
      </c>
      <c r="X282" s="376" t="str">
        <f>IF(Start!$C$18="x",IF(OR(G282="NA",V282="NA",G282="",V282=""),"NA",(((Data!$D$22*Data!$D$18)*V282)+(Data!$D$19-Data!$D$22)*$G282)/((Data!$D$22*Data!$D$18)+Data!$D$19-Data!$D$22)),"---")</f>
        <v>NA</v>
      </c>
      <c r="Y282" s="376" t="str">
        <f>IF(Start!$C$18="x",IF(OR(W282="NA",W282="",M282="NA",M282=""),"NA",(W282/((Data!$D$23+((1-Data!$D$23)*Data!$D$14*M282)) /((1-Data!$D$23)*Data!$D$14*1000)))),"---")</f>
        <v>NA</v>
      </c>
      <c r="Z282" s="376" t="str">
        <f>IF(Start!$C$18="x",IF(OR(Y282="NA",X282="NA"),"NA",IF(Y282&gt;X282, Y282, X282)),"---")</f>
        <v>NA</v>
      </c>
      <c r="AA282" s="461" t="str">
        <f>IF(Start!$C$18="x",IF(OR(Z282="NA",T282="NA"),"NA",Z282*T282/(1000000000)),"---")</f>
        <v>NA</v>
      </c>
      <c r="AB282" s="1057" t="str">
        <f>IF(Start!$C$18="x",IF(AA282 = "NA", "NA", AA282*(Data!$D$52*Data!$D$53*10000)),"---")</f>
        <v>NA</v>
      </c>
      <c r="AC282" s="375" t="str">
        <f>IF(Start!$C$18="x",IF(AB282="NA", "NA", AB282*Data!$D$54),"---")</f>
        <v>NA</v>
      </c>
      <c r="AD282" s="498" t="str">
        <f>IF(Start!$C$18="x",IF(AC282="NA","NA",AC282*Data!$D$41),"---")</f>
        <v>NA</v>
      </c>
      <c r="AE282" s="376" t="str">
        <f>IF(Start!$C$18="x",IF(AB282 = "NA", "NA", AB282/(Data!$D$53*3*Data!$D$48)*1000),"---")</f>
        <v>NA</v>
      </c>
      <c r="AF282" s="498" t="str">
        <f>IF(Start!$C$18="x",IF(AE282="NA","NA",AE282*Data!$D$46),"---")</f>
        <v>NA</v>
      </c>
      <c r="AG282" s="375">
        <f>IF(Start!$C$18="x",IF(OR($L282="NA",L282=""),"NA",($L282*(Data!$D$55^3.33)/(Data!$D$18^2))),"---")</f>
        <v>1.5369491560450717E-3</v>
      </c>
      <c r="AH282" s="376" t="str">
        <f>IF(Start!$C$18="x",IF(OR(F282="NA",F282="",P282="NA",P282=""),"NA",IF(100/Data!$D$10&gt;Data!$D$13,(F282*$P282),(F282*$P282)*Data!$D$13)),"---")</f>
        <v>NA</v>
      </c>
      <c r="AI282" s="489">
        <f>IF(Start!$C$18="x",IF(OR($N282="NA",$Q282="NA",$Q282=0,Q282="",N282=""),"NA",(1000*$N282/$Q282)),"---")</f>
        <v>1262672463.7740321</v>
      </c>
      <c r="AJ282" s="376">
        <f>IF(Start!$C$18="x",IF(OR(Q282 = "NA",Q282=0,N282 = "NA",N282="",Q282=""), "NA", IF($AG282="NA","NA",(3.1416*Data!$D$57*86400/($AG282*(Data!$D$55+(N282*Data!$D$19/(Q282*1000)))))^0.5)),"---")</f>
        <v>70.286538755910939</v>
      </c>
      <c r="AK282" s="376" t="str">
        <f>IF(Start!$C$18="x",IF(OR(AH282 = "NA",AI282="NA",AI282=0,AI282="",AH282=""), "NA", AH282/AI282),"---")</f>
        <v>NA</v>
      </c>
      <c r="AL282" s="376" t="str">
        <f>IF(Start!$C$18="x",IF(OR(AK282 ="NA",AK282="",AJ282= "NA",R282="NA",R282=0),"NA",(2*AK282)/(1000*(1/$R282+AJ282))),"---")</f>
        <v>NA</v>
      </c>
      <c r="AM282" s="376" t="str">
        <f>IF(Start!$C$18="x",IF(AL282 = "NA", "NA", AL282*(Data!$D$52*Data!$D$53*10000)),"---")</f>
        <v>NA</v>
      </c>
      <c r="AN282" s="376" t="str">
        <f>IF(Start!$C$18="x",IF(AM282 = "NA", "NA", AM282*(Data!$D$54)),"---")</f>
        <v>NA</v>
      </c>
      <c r="AO282" s="498" t="str">
        <f>IF(Start!$C$18="x",IF(AN282="NA","NA",AN282*Data!$D$41),"---")</f>
        <v>NA</v>
      </c>
      <c r="AP282" s="376">
        <f>IF(Start!$C$18="x",IF(OR(Q282=0,N282="NA",N282="",AG282="NA",AG282="",AG282=0,Q282="",Q282="NA"),"NA", (3.1416*Data!$D$56*86400/($AG282*(Data!$D$55+(N282*Data!$D$19/(Q282*1000)))))^0.5),"---")</f>
        <v>70.286538755910939</v>
      </c>
      <c r="AQ282" s="376" t="str">
        <f>IF(Start!$C$18="x",IF(OR(AH282="NA",AI282="NA",AI282="",AI282=0,AH282=""),"NA", AH282/AI282),"---")</f>
        <v>NA</v>
      </c>
      <c r="AR282" s="376" t="str">
        <f>IF(Start!$C$18="x",IF(OR(AQ282="NA",AP282="NA",$R282="NA",R282=0,R282=""),"NA",(2*AQ282)/(1000*(1/$R282+AP282))),"---")</f>
        <v>NA</v>
      </c>
      <c r="AS282" s="376" t="str">
        <f>IF(Start!$C$18="x",IF(AR282 = "NA", "NA", AR282*(Data!$D$52*Data!$D$53*10000)),"---")</f>
        <v>NA</v>
      </c>
      <c r="AT282" s="376" t="str">
        <f>IF(Start!$C$18="x",IF(AS282 = "NA", "NA", (AS282*1000)/(Data!$D$48*3*Data!$D$53)),"---")</f>
        <v>NA</v>
      </c>
      <c r="AU282" s="498" t="str">
        <f>IF(Start!$C$18="x",IF(AT282="NA","NA",AT282*Data!$D$47),"---")</f>
        <v>NA</v>
      </c>
      <c r="AV282" s="283" t="str">
        <f>IF(Start!$C$18="x",(IF(AND(F282="",G282= "",G282&lt;&gt;"NA"),"",IF(OR(AD282="NA",I282="NA",I282=0),"NA",(AD282/I282)))),"Not Req.")</f>
        <v/>
      </c>
      <c r="AW282" s="284" t="str">
        <f>IF(Start!$C$18="x",(IF(AND(F282="",G282= "",G282&lt;&gt;"NA"),"",IF(OR(AF282="NA",I282="NA",I282=0),"NA",(AF282/I282)))),"Not Req.")</f>
        <v/>
      </c>
      <c r="AX282" s="284" t="str">
        <f>IF(Start!$C$18="x",(IF(F282 ="","",IF(OR(AO282="NA",I282="NA",I282=0),"NA",(AO282/I282)))),"Not Req.")</f>
        <v/>
      </c>
      <c r="AY282" s="344" t="str">
        <f>IF(Start!$C$18="x",(IF(F282 ="","",IF(OR(AU282="NA",I282="NA",I282=0),"NA",(AU282/I282)))),"Not Req.")</f>
        <v/>
      </c>
      <c r="AZ282" s="208"/>
    </row>
    <row r="283" spans="1:52" s="183" customFormat="1" x14ac:dyDescent="0.25">
      <c r="A283" s="405" t="s">
        <v>601</v>
      </c>
      <c r="B283" s="347" t="str">
        <f>IF(Start!$C$18="x",IF(AND(OR(F283="",F283="NA"),OR(G283="",G283="NA")),"",IF(I283="NA","NA",IF(AND(I283="",K283="--"),"NA",IF(AD283="NA","Missing Data",IF(I283="","No Criteria",IF(AD283&gt;=I283,"Needed","No")))))),"---")</f>
        <v/>
      </c>
      <c r="C283" s="501" t="str">
        <f>IF(Start!$C$18="x",IF(AND(OR(F283="",F283="NA"),OR(G283="",G283="NA")),"",IF(I283="NA","NA",IF(AND(I283="",K283="--"),"NA",IF(AF283="NA","Missing Data",IF(I283="","No Criteria",IF(AF283&gt;=I283,"Needed","No")))))),"---")</f>
        <v/>
      </c>
      <c r="D283" s="347" t="str">
        <f>IF(Start!$C$18="x",IF(AND(OR(F283="",F283="NA"),OR(G283="",G283="NA")),"",IF(I283="NA","NA",IF(AND(I283="",K283="--"),"NA",IF(AO283="NA","Missing Data",IF(I283="","No Criteria",IF(AO283&gt;=I283,"Needed","No")))))),"---")</f>
        <v/>
      </c>
      <c r="E283" s="401" t="str">
        <f>IF(Start!$C$18="x",IF(AND(OR(F283="",F283="NA"),OR(G283="",G283="NA")),"",IF(I283="NA","NA",IF(AND(I283="",K283="--"),"NA",IF(AU283="NA","Missing Data",IF(I283="","No Criteria",IF(AU283&gt;=I283,"Needed","No")))))),"---")</f>
        <v/>
      </c>
      <c r="F283" s="431" t="str">
        <f>IF(TRUE=ISBLANK(ChemData!B283),"",(ChemData!B283))</f>
        <v/>
      </c>
      <c r="G283" s="432" t="str">
        <f>IF(TRUE=ISBLANK(ChemData!C283),"",(ChemData!C283))</f>
        <v/>
      </c>
      <c r="H283" s="433" t="str">
        <f>IF(TRUE=ISBLANK(ChemData!D283),"",(ChemData!D283))</f>
        <v/>
      </c>
      <c r="I283" s="919" t="str">
        <f>IF(TRUE=ISBLANK(ChemData!K283),"",(ChemData!K283))</f>
        <v>NA</v>
      </c>
      <c r="J283" s="290">
        <f>IF(TRUE=ISBLANK(ChemData!M283),"",(ChemData!M283))</f>
        <v>292</v>
      </c>
      <c r="K283" s="290">
        <f>IF(TRUE=ISBLANK(ChemData!N283),"",(ChemData!N283))</f>
        <v>1.2E-4</v>
      </c>
      <c r="L283" s="290">
        <f>IF(TRUE=ISBLANK(ChemData!O283),"",(ChemData!O283))</f>
        <v>0.15086626862237232</v>
      </c>
      <c r="M283" s="290">
        <f>IF(TRUE=ISBLANK(ChemData!Q283),"",(ChemData!Q283))</f>
        <v>11679.020446328394</v>
      </c>
      <c r="N283" s="290">
        <f>IF(TRUE=ISBLANK(ChemData!R283),"",(ChemData!R283))</f>
        <v>11679.020446328394</v>
      </c>
      <c r="O283" s="290">
        <f>IF(TRUE=ISBLANK(ChemData!S283),"",(ChemData!S283))</f>
        <v>1</v>
      </c>
      <c r="P283" s="291">
        <f>IF(TRUE=ISBLANK(ChemData!T283),"",(ChemData!T283))</f>
        <v>1</v>
      </c>
      <c r="Q283" s="375">
        <f>IF(Start!$C$18="x",IF(OR(K283="NA",K283="",K283="--"),"NA",(K283*1000000/82.1/Data!$D$50)),"---")</f>
        <v>4.714942438411065E-3</v>
      </c>
      <c r="R283" s="376">
        <f>IF(Start!$C$18="x",IF(OR(J283="NA",J283=0,J283=""),"NA",(0.32*(Data!$D$48+Data!$D$49)*(18/J283)^0.5)),"---")</f>
        <v>0.20458417566250536</v>
      </c>
      <c r="S283" s="376">
        <f>IF(Start!$C$18="x",IF(OR(J283="NA",J283= 0,J283=""),"NA",(0.0065*((Data!$D$49^0.969)/(Data!$D$51^0.673))*(32/J283)^0.5*EXP(0.526*Data!$D$48^-1.9))),"---")</f>
        <v>4.31207392936318E-4</v>
      </c>
      <c r="T283" s="377">
        <f>IF(Start!$C$18="x",IF(OR(S283="NA",R283="NA",R283=0,Q283="NA",S283=0,Q283=0),"NA",(1/(1/S283+(1/(R283*Q283))))),"---")</f>
        <v>2.979945523222204E-4</v>
      </c>
      <c r="U283" s="375" t="str">
        <f>IF(Start!$C$18="x",IF(OR(F283="NA",F283="",O283="",O283="NA"),"NA",(F283*$O283)),"---")</f>
        <v>NA</v>
      </c>
      <c r="V283" s="376" t="str">
        <f>IF(Start!$C$18="x",IF(OR(U283="NA",M283="NA",M283="",U283=""),"NA",U283/((Data!$D$18+((1-Data!$D$18)*Data!$D$14*M283))/((1-Data!$D$18)*Data!$D$14*1000))),"---")</f>
        <v>NA</v>
      </c>
      <c r="W283" s="376" t="str">
        <f>IF(Start!$C$18="x",IF(OR(G283="NA",U283="NA",G283="",U283=""),"NA",(U283 +($G283*(Data!$D$19-Data!$D$22)/(Data!$D$19*Data!$D$22)))),"---")</f>
        <v>NA</v>
      </c>
      <c r="X283" s="376" t="str">
        <f>IF(Start!$C$18="x",IF(OR(G283="NA",V283="NA",G283="",V283=""),"NA",(((Data!$D$22*Data!$D$18)*V283)+(Data!$D$19-Data!$D$22)*$G283)/((Data!$D$22*Data!$D$18)+Data!$D$19-Data!$D$22)),"---")</f>
        <v>NA</v>
      </c>
      <c r="Y283" s="376" t="str">
        <f>IF(Start!$C$18="x",IF(OR(W283="NA",W283="",M283="NA",M283=""),"NA",(W283/((Data!$D$23+((1-Data!$D$23)*Data!$D$14*M283)) /((1-Data!$D$23)*Data!$D$14*1000)))),"---")</f>
        <v>NA</v>
      </c>
      <c r="Z283" s="376" t="str">
        <f>IF(Start!$C$18="x",IF(OR(Y283="NA",X283="NA"),"NA",IF(Y283&gt;X283, Y283, X283)),"---")</f>
        <v>NA</v>
      </c>
      <c r="AA283" s="461" t="str">
        <f>IF(Start!$C$18="x",IF(OR(Z283="NA",T283="NA"),"NA",Z283*T283/(1000000000)),"---")</f>
        <v>NA</v>
      </c>
      <c r="AB283" s="1057" t="str">
        <f>IF(Start!$C$18="x",IF(AA283 = "NA", "NA", AA283*(Data!$D$52*Data!$D$53*10000)),"---")</f>
        <v>NA</v>
      </c>
      <c r="AC283" s="375" t="str">
        <f>IF(Start!$C$18="x",IF(AB283="NA", "NA", AB283*Data!$D$54),"---")</f>
        <v>NA</v>
      </c>
      <c r="AD283" s="498" t="str">
        <f>IF(Start!$C$18="x",IF(AC283="NA","NA",AC283*Data!$D$41),"---")</f>
        <v>NA</v>
      </c>
      <c r="AE283" s="376" t="str">
        <f>IF(Start!$C$18="x",IF(AB283 = "NA", "NA", AB283/(Data!$D$53*3*Data!$D$48)*1000),"---")</f>
        <v>NA</v>
      </c>
      <c r="AF283" s="498" t="str">
        <f>IF(Start!$C$18="x",IF(AE283="NA","NA",AE283*Data!$D$46),"---")</f>
        <v>NA</v>
      </c>
      <c r="AG283" s="375">
        <f>IF(Start!$C$18="x",IF(OR($L283="NA",L283=""),"NA",($L283*(Data!$D$55^3.33)/(Data!$D$18^2))),"---")</f>
        <v>1.5369491560450717E-3</v>
      </c>
      <c r="AH283" s="376" t="str">
        <f>IF(Start!$C$18="x",IF(OR(F283="NA",F283="",P283="NA",P283=""),"NA",IF(100/Data!$D$10&gt;Data!$D$13,(F283*$P283),(F283*$P283)*Data!$D$13)),"---")</f>
        <v>NA</v>
      </c>
      <c r="AI283" s="489">
        <f>IF(Start!$C$18="x",IF(OR($N283="NA",$Q283="NA",$Q283=0,Q283="",N283=""),"NA",(1000*$N283/$Q283)),"---")</f>
        <v>2477022911.4958658</v>
      </c>
      <c r="AJ283" s="376">
        <f>IF(Start!$C$18="x",IF(OR(Q283 = "NA",Q283=0,N283 = "NA",N283="",Q283=""), "NA", IF($AG283="NA","NA",(3.1416*Data!$D$57*86400/($AG283*(Data!$D$55+(N283*Data!$D$19/(Q283*1000)))))^0.5)),"---")</f>
        <v>50.182526186646179</v>
      </c>
      <c r="AK283" s="376" t="str">
        <f>IF(Start!$C$18="x",IF(OR(AH283 = "NA",AI283="NA",AI283=0,AI283="",AH283=""), "NA", AH283/AI283),"---")</f>
        <v>NA</v>
      </c>
      <c r="AL283" s="376" t="str">
        <f>IF(Start!$C$18="x",IF(OR(AK283 ="NA",AK283="",AJ283= "NA",R283="NA",R283=0),"NA",(2*AK283)/(1000*(1/$R283+AJ283))),"---")</f>
        <v>NA</v>
      </c>
      <c r="AM283" s="376" t="str">
        <f>IF(Start!$C$18="x",IF(AL283 = "NA", "NA", AL283*(Data!$D$52*Data!$D$53*10000)),"---")</f>
        <v>NA</v>
      </c>
      <c r="AN283" s="376" t="str">
        <f>IF(Start!$C$18="x",IF(AM283 = "NA", "NA", AM283*(Data!$D$54)),"---")</f>
        <v>NA</v>
      </c>
      <c r="AO283" s="498" t="str">
        <f>IF(Start!$C$18="x",IF(AN283="NA","NA",AN283*Data!$D$41),"---")</f>
        <v>NA</v>
      </c>
      <c r="AP283" s="376">
        <f>IF(Start!$C$18="x",IF(OR(Q283=0,N283="NA",N283="",AG283="NA",AG283="",AG283=0,Q283="",Q283="NA"),"NA", (3.1416*Data!$D$56*86400/($AG283*(Data!$D$55+(N283*Data!$D$19/(Q283*1000)))))^0.5),"---")</f>
        <v>50.182526186646179</v>
      </c>
      <c r="AQ283" s="376" t="str">
        <f>IF(Start!$C$18="x",IF(OR(AH283="NA",AI283="NA",AI283="",AI283=0,AH283=""),"NA", AH283/AI283),"---")</f>
        <v>NA</v>
      </c>
      <c r="AR283" s="376" t="str">
        <f>IF(Start!$C$18="x",IF(OR(AQ283="NA",AP283="NA",$R283="NA",R283=0,R283=""),"NA",(2*AQ283)/(1000*(1/$R283+AP283))),"---")</f>
        <v>NA</v>
      </c>
      <c r="AS283" s="376" t="str">
        <f>IF(Start!$C$18="x",IF(AR283 = "NA", "NA", AR283*(Data!$D$52*Data!$D$53*10000)),"---")</f>
        <v>NA</v>
      </c>
      <c r="AT283" s="376" t="str">
        <f>IF(Start!$C$18="x",IF(AS283 = "NA", "NA", (AS283*1000)/(Data!$D$48*3*Data!$D$53)),"---")</f>
        <v>NA</v>
      </c>
      <c r="AU283" s="498" t="str">
        <f>IF(Start!$C$18="x",IF(AT283="NA","NA",AT283*Data!$D$47),"---")</f>
        <v>NA</v>
      </c>
      <c r="AV283" s="283" t="str">
        <f>IF(Start!$C$18="x",(IF(AND(F283="",G283= "",G283&lt;&gt;"NA"),"",IF(OR(AD283="NA",I283="NA",I283=0),"NA",(AD283/I283)))),"Not Req.")</f>
        <v/>
      </c>
      <c r="AW283" s="284" t="str">
        <f>IF(Start!$C$18="x",(IF(AND(F283="",G283= "",G283&lt;&gt;"NA"),"",IF(OR(AF283="NA",I283="NA",I283=0),"NA",(AF283/I283)))),"Not Req.")</f>
        <v/>
      </c>
      <c r="AX283" s="284" t="str">
        <f>IF(Start!$C$18="x",(IF(F283 ="","",IF(OR(AO283="NA",I283="NA",I283=0),"NA",(AO283/I283)))),"Not Req.")</f>
        <v/>
      </c>
      <c r="AY283" s="344" t="str">
        <f>IF(Start!$C$18="x",(IF(F283 ="","",IF(OR(AU283="NA",I283="NA",I283=0),"NA",(AU283/I283)))),"Not Req.")</f>
        <v/>
      </c>
      <c r="AZ283" s="208"/>
    </row>
    <row r="284" spans="1:52" s="183" customFormat="1" x14ac:dyDescent="0.25">
      <c r="A284" s="405" t="s">
        <v>602</v>
      </c>
      <c r="B284" s="347" t="str">
        <f>IF(Start!$C$18="x",IF(AND(OR(F284="",F284="NA"),OR(G284="",G284="NA")),"",IF(I284="NA","NA",IF(AND(I284="",K284="--"),"NA",IF(AD284="NA","Missing Data",IF(I284="","No Criteria",IF(AD284&gt;=I284,"Needed","No")))))),"---")</f>
        <v/>
      </c>
      <c r="C284" s="501" t="str">
        <f>IF(Start!$C$18="x",IF(AND(OR(F284="",F284="NA"),OR(G284="",G284="NA")),"",IF(I284="NA","NA",IF(AND(I284="",K284="--"),"NA",IF(AF284="NA","Missing Data",IF(I284="","No Criteria",IF(AF284&gt;=I284,"Needed","No")))))),"---")</f>
        <v/>
      </c>
      <c r="D284" s="347" t="str">
        <f>IF(Start!$C$18="x",IF(AND(OR(F284="",F284="NA"),OR(G284="",G284="NA")),"",IF(I284="NA","NA",IF(AND(I284="",K284="--"),"NA",IF(AO284="NA","Missing Data",IF(I284="","No Criteria",IF(AO284&gt;=I284,"Needed","No")))))),"---")</f>
        <v/>
      </c>
      <c r="E284" s="401" t="str">
        <f>IF(Start!$C$18="x",IF(AND(OR(F284="",F284="NA"),OR(G284="",G284="NA")),"",IF(I284="NA","NA",IF(AND(I284="",K284="--"),"NA",IF(AU284="NA","Missing Data",IF(I284="","No Criteria",IF(AU284&gt;=I284,"Needed","No")))))),"---")</f>
        <v/>
      </c>
      <c r="F284" s="431" t="str">
        <f>IF(TRUE=ISBLANK(ChemData!B284),"",(ChemData!B284))</f>
        <v/>
      </c>
      <c r="G284" s="432" t="str">
        <f>IF(TRUE=ISBLANK(ChemData!C284),"",(ChemData!C284))</f>
        <v/>
      </c>
      <c r="H284" s="433" t="str">
        <f>IF(TRUE=ISBLANK(ChemData!D284),"",(ChemData!D284))</f>
        <v/>
      </c>
      <c r="I284" s="919" t="str">
        <f>IF(TRUE=ISBLANK(ChemData!K284),"",(ChemData!K284))</f>
        <v>NA</v>
      </c>
      <c r="J284" s="290">
        <f>IF(TRUE=ISBLANK(ChemData!M284),"",(ChemData!M284))</f>
        <v>292</v>
      </c>
      <c r="K284" s="290">
        <f>IF(TRUE=ISBLANK(ChemData!N284),"",(ChemData!N284))</f>
        <v>1.6974999999999999E-5</v>
      </c>
      <c r="L284" s="290">
        <f>IF(TRUE=ISBLANK(ChemData!O284),"",(ChemData!O284))</f>
        <v>0.15086626862237232</v>
      </c>
      <c r="M284" s="290">
        <f>IF(TRUE=ISBLANK(ChemData!Q284),"",(ChemData!Q284))</f>
        <v>58533.759489716802</v>
      </c>
      <c r="N284" s="290">
        <f>IF(TRUE=ISBLANK(ChemData!R284),"",(ChemData!R284))</f>
        <v>58533.759489716802</v>
      </c>
      <c r="O284" s="290">
        <f>IF(TRUE=ISBLANK(ChemData!S284),"",(ChemData!S284))</f>
        <v>1</v>
      </c>
      <c r="P284" s="291">
        <f>IF(TRUE=ISBLANK(ChemData!T284),"",(ChemData!T284))</f>
        <v>1</v>
      </c>
      <c r="Q284" s="375">
        <f>IF(Start!$C$18="x",IF(OR(K284="NA",K284="",K284="--"),"NA",(K284*1000000/82.1/Data!$D$50)),"---")</f>
        <v>6.6696789910023174E-4</v>
      </c>
      <c r="R284" s="376">
        <f>IF(Start!$C$18="x",IF(OR(J284="NA",J284=0,J284=""),"NA",(0.32*(Data!$D$48+Data!$D$49)*(18/J284)^0.5)),"---")</f>
        <v>0.20458417566250536</v>
      </c>
      <c r="S284" s="376">
        <f>IF(Start!$C$18="x",IF(OR(J284="NA",J284= 0,J284=""),"NA",(0.0065*((Data!$D$49^0.969)/(Data!$D$51^0.673))*(32/J284)^0.5*EXP(0.526*Data!$D$48^-1.9))),"---")</f>
        <v>4.31207392936318E-4</v>
      </c>
      <c r="T284" s="377">
        <f>IF(Start!$C$18="x",IF(OR(S284="NA",R284="NA",R284=0,Q284="NA",S284=0,Q284=0),"NA",(1/(1/S284+(1/(R284*Q284))))),"---")</f>
        <v>1.0365160843147174E-4</v>
      </c>
      <c r="U284" s="375" t="str">
        <f>IF(Start!$C$18="x",IF(OR(F284="NA",F284="",O284="",O284="NA"),"NA",(F284*$O284)),"---")</f>
        <v>NA</v>
      </c>
      <c r="V284" s="376" t="str">
        <f>IF(Start!$C$18="x",IF(OR(U284="NA",M284="NA",M284="",U284=""),"NA",U284/((Data!$D$18+((1-Data!$D$18)*Data!$D$14*M284))/((1-Data!$D$18)*Data!$D$14*1000))),"---")</f>
        <v>NA</v>
      </c>
      <c r="W284" s="376" t="str">
        <f>IF(Start!$C$18="x",IF(OR(G284="NA",U284="NA",G284="",U284=""),"NA",(U284 +($G284*(Data!$D$19-Data!$D$22)/(Data!$D$19*Data!$D$22)))),"---")</f>
        <v>NA</v>
      </c>
      <c r="X284" s="376" t="str">
        <f>IF(Start!$C$18="x",IF(OR(G284="NA",V284="NA",G284="",V284=""),"NA",(((Data!$D$22*Data!$D$18)*V284)+(Data!$D$19-Data!$D$22)*$G284)/((Data!$D$22*Data!$D$18)+Data!$D$19-Data!$D$22)),"---")</f>
        <v>NA</v>
      </c>
      <c r="Y284" s="376" t="str">
        <f>IF(Start!$C$18="x",IF(OR(W284="NA",W284="",M284="NA",M284=""),"NA",(W284/((Data!$D$23+((1-Data!$D$23)*Data!$D$14*M284)) /((1-Data!$D$23)*Data!$D$14*1000)))),"---")</f>
        <v>NA</v>
      </c>
      <c r="Z284" s="376" t="str">
        <f>IF(Start!$C$18="x",IF(OR(Y284="NA",X284="NA"),"NA",IF(Y284&gt;X284, Y284, X284)),"---")</f>
        <v>NA</v>
      </c>
      <c r="AA284" s="461" t="str">
        <f>IF(Start!$C$18="x",IF(OR(Z284="NA",T284="NA"),"NA",Z284*T284/(1000000000)),"---")</f>
        <v>NA</v>
      </c>
      <c r="AB284" s="1057" t="str">
        <f>IF(Start!$C$18="x",IF(AA284 = "NA", "NA", AA284*(Data!$D$52*Data!$D$53*10000)),"---")</f>
        <v>NA</v>
      </c>
      <c r="AC284" s="375" t="str">
        <f>IF(Start!$C$18="x",IF(AB284="NA", "NA", AB284*Data!$D$54),"---")</f>
        <v>NA</v>
      </c>
      <c r="AD284" s="498" t="str">
        <f>IF(Start!$C$18="x",IF(AC284="NA","NA",AC284*Data!$D$41),"---")</f>
        <v>NA</v>
      </c>
      <c r="AE284" s="376" t="str">
        <f>IF(Start!$C$18="x",IF(AB284 = "NA", "NA", AB284/(Data!$D$53*3*Data!$D$48)*1000),"---")</f>
        <v>NA</v>
      </c>
      <c r="AF284" s="498" t="str">
        <f>IF(Start!$C$18="x",IF(AE284="NA","NA",AE284*Data!$D$46),"---")</f>
        <v>NA</v>
      </c>
      <c r="AG284" s="375">
        <f>IF(Start!$C$18="x",IF(OR($L284="NA",L284=""),"NA",($L284*(Data!$D$55^3.33)/(Data!$D$18^2))),"---")</f>
        <v>1.5369491560450717E-3</v>
      </c>
      <c r="AH284" s="376" t="str">
        <f>IF(Start!$C$18="x",IF(OR(F284="NA",F284="",P284="NA",P284=""),"NA",IF(100/Data!$D$10&gt;Data!$D$13,(F284*$P284),(F284*$P284)*Data!$D$13)),"---")</f>
        <v>NA</v>
      </c>
      <c r="AI284" s="489">
        <f>IF(Start!$C$18="x",IF(OR($N284="NA",$Q284="NA",$Q284=0,Q284="",N284=""),"NA",(1000*$N284/$Q284)),"---")</f>
        <v>87760984552.152145</v>
      </c>
      <c r="AJ284" s="376">
        <f>IF(Start!$C$18="x",IF(OR(Q284 = "NA",Q284=0,N284 = "NA",N284="",Q284=""), "NA", IF($AG284="NA","NA",(3.1416*Data!$D$57*86400/($AG284*(Data!$D$55+(N284*Data!$D$19/(Q284*1000)))))^0.5)),"---")</f>
        <v>8.4307615932693629</v>
      </c>
      <c r="AK284" s="376" t="str">
        <f>IF(Start!$C$18="x",IF(OR(AH284 = "NA",AI284="NA",AI284=0,AI284="",AH284=""), "NA", AH284/AI284),"---")</f>
        <v>NA</v>
      </c>
      <c r="AL284" s="376" t="str">
        <f>IF(Start!$C$18="x",IF(OR(AK284 ="NA",AK284="",AJ284= "NA",R284="NA",R284=0),"NA",(2*AK284)/(1000*(1/$R284+AJ284))),"---")</f>
        <v>NA</v>
      </c>
      <c r="AM284" s="376" t="str">
        <f>IF(Start!$C$18="x",IF(AL284 = "NA", "NA", AL284*(Data!$D$52*Data!$D$53*10000)),"---")</f>
        <v>NA</v>
      </c>
      <c r="AN284" s="376" t="str">
        <f>IF(Start!$C$18="x",IF(AM284 = "NA", "NA", AM284*(Data!$D$54)),"---")</f>
        <v>NA</v>
      </c>
      <c r="AO284" s="498" t="str">
        <f>IF(Start!$C$18="x",IF(AN284="NA","NA",AN284*Data!$D$41),"---")</f>
        <v>NA</v>
      </c>
      <c r="AP284" s="376">
        <f>IF(Start!$C$18="x",IF(OR(Q284=0,N284="NA",N284="",AG284="NA",AG284="",AG284=0,Q284="",Q284="NA"),"NA", (3.1416*Data!$D$56*86400/($AG284*(Data!$D$55+(N284*Data!$D$19/(Q284*1000)))))^0.5),"---")</f>
        <v>8.4307615932693629</v>
      </c>
      <c r="AQ284" s="376" t="str">
        <f>IF(Start!$C$18="x",IF(OR(AH284="NA",AI284="NA",AI284="",AI284=0,AH284=""),"NA", AH284/AI284),"---")</f>
        <v>NA</v>
      </c>
      <c r="AR284" s="376" t="str">
        <f>IF(Start!$C$18="x",IF(OR(AQ284="NA",AP284="NA",$R284="NA",R284=0,R284=""),"NA",(2*AQ284)/(1000*(1/$R284+AP284))),"---")</f>
        <v>NA</v>
      </c>
      <c r="AS284" s="376" t="str">
        <f>IF(Start!$C$18="x",IF(AR284 = "NA", "NA", AR284*(Data!$D$52*Data!$D$53*10000)),"---")</f>
        <v>NA</v>
      </c>
      <c r="AT284" s="376" t="str">
        <f>IF(Start!$C$18="x",IF(AS284 = "NA", "NA", (AS284*1000)/(Data!$D$48*3*Data!$D$53)),"---")</f>
        <v>NA</v>
      </c>
      <c r="AU284" s="498" t="str">
        <f>IF(Start!$C$18="x",IF(AT284="NA","NA",AT284*Data!$D$47),"---")</f>
        <v>NA</v>
      </c>
      <c r="AV284" s="283" t="str">
        <f>IF(Start!$C$18="x",(IF(AND(F284="",G284= "",G284&lt;&gt;"NA"),"",IF(OR(AD284="NA",I284="NA",I284=0),"NA",(AD284/I284)))),"Not Req.")</f>
        <v/>
      </c>
      <c r="AW284" s="284" t="str">
        <f>IF(Start!$C$18="x",(IF(AND(F284="",G284= "",G284&lt;&gt;"NA"),"",IF(OR(AF284="NA",I284="NA",I284=0),"NA",(AF284/I284)))),"Not Req.")</f>
        <v/>
      </c>
      <c r="AX284" s="284" t="str">
        <f>IF(Start!$C$18="x",(IF(F284 ="","",IF(OR(AO284="NA",I284="NA",I284=0),"NA",(AO284/I284)))),"Not Req.")</f>
        <v/>
      </c>
      <c r="AY284" s="344" t="str">
        <f>IF(Start!$C$18="x",(IF(F284 ="","",IF(OR(AU284="NA",I284="NA",I284=0),"NA",(AU284/I284)))),"Not Req.")</f>
        <v/>
      </c>
      <c r="AZ284" s="208"/>
    </row>
    <row r="285" spans="1:52" s="183" customFormat="1" x14ac:dyDescent="0.25">
      <c r="A285" s="405" t="s">
        <v>603</v>
      </c>
      <c r="B285" s="347" t="str">
        <f>IF(Start!$C$18="x",IF(AND(OR(F285="",F285="NA"),OR(G285="",G285="NA")),"",IF(I285="NA","NA",IF(AND(I285="",K285="--"),"NA",IF(AD285="NA","Missing Data",IF(I285="","No Criteria",IF(AD285&gt;=I285,"Needed","No")))))),"---")</f>
        <v/>
      </c>
      <c r="C285" s="501" t="str">
        <f>IF(Start!$C$18="x",IF(AND(OR(F285="",F285="NA"),OR(G285="",G285="NA")),"",IF(I285="NA","NA",IF(AND(I285="",K285="--"),"NA",IF(AF285="NA","Missing Data",IF(I285="","No Criteria",IF(AF285&gt;=I285,"Needed","No")))))),"---")</f>
        <v/>
      </c>
      <c r="D285" s="347" t="str">
        <f>IF(Start!$C$18="x",IF(AND(OR(F285="",F285="NA"),OR(G285="",G285="NA")),"",IF(I285="NA","NA",IF(AND(I285="",K285="--"),"NA",IF(AO285="NA","Missing Data",IF(I285="","No Criteria",IF(AO285&gt;=I285,"Needed","No")))))),"---")</f>
        <v/>
      </c>
      <c r="E285" s="401" t="str">
        <f>IF(Start!$C$18="x",IF(AND(OR(F285="",F285="NA"),OR(G285="",G285="NA")),"",IF(I285="NA","NA",IF(AND(I285="",K285="--"),"NA",IF(AU285="NA","Missing Data",IF(I285="","No Criteria",IF(AU285&gt;=I285,"Needed","No")))))),"---")</f>
        <v/>
      </c>
      <c r="F285" s="431" t="str">
        <f>IF(TRUE=ISBLANK(ChemData!B285),"",(ChemData!B285))</f>
        <v/>
      </c>
      <c r="G285" s="432" t="str">
        <f>IF(TRUE=ISBLANK(ChemData!C285),"",(ChemData!C285))</f>
        <v/>
      </c>
      <c r="H285" s="433" t="str">
        <f>IF(TRUE=ISBLANK(ChemData!D285),"",(ChemData!D285))</f>
        <v/>
      </c>
      <c r="I285" s="919" t="str">
        <f>IF(TRUE=ISBLANK(ChemData!K285),"",(ChemData!K285))</f>
        <v>NA</v>
      </c>
      <c r="J285" s="290">
        <f>IF(TRUE=ISBLANK(ChemData!M285),"",(ChemData!M285))</f>
        <v>326.39999999999998</v>
      </c>
      <c r="K285" s="290">
        <f>IF(TRUE=ISBLANK(ChemData!N285),"",(ChemData!N285))</f>
        <v>2.4489999999999999E-4</v>
      </c>
      <c r="L285" s="290">
        <f>IF(TRUE=ISBLANK(ChemData!O285),"",(ChemData!O285))</f>
        <v>0.15014700018423585</v>
      </c>
      <c r="M285" s="290">
        <f>IF(TRUE=ISBLANK(ChemData!Q285),"",(ChemData!Q285))</f>
        <v>58533.759489716802</v>
      </c>
      <c r="N285" s="290">
        <f>IF(TRUE=ISBLANK(ChemData!R285),"",(ChemData!R285))</f>
        <v>58533.759489716802</v>
      </c>
      <c r="O285" s="290">
        <f>IF(TRUE=ISBLANK(ChemData!S285),"",(ChemData!S285))</f>
        <v>1</v>
      </c>
      <c r="P285" s="291">
        <f>IF(TRUE=ISBLANK(ChemData!T285),"",(ChemData!T285))</f>
        <v>1</v>
      </c>
      <c r="Q285" s="375">
        <f>IF(Start!$C$18="x",IF(OR(K285="NA",K285="",K285="--"),"NA",(K285*1000000/82.1/Data!$D$50)),"---")</f>
        <v>9.6224116930572479E-3</v>
      </c>
      <c r="R285" s="376">
        <f>IF(Start!$C$18="x",IF(OR(J285="NA",J285=0,J285=""),"NA",(0.32*(Data!$D$48+Data!$D$49)*(18/J285)^0.5)),"---")</f>
        <v>0.1935033059453112</v>
      </c>
      <c r="S285" s="376">
        <f>IF(Start!$C$18="x",IF(OR(J285="NA",J285= 0,J285=""),"NA",(0.0065*((Data!$D$49^0.969)/(Data!$D$51^0.673))*(32/J285)^0.5*EXP(0.526*Data!$D$48^-1.9))),"---")</f>
        <v>4.078519553676733E-4</v>
      </c>
      <c r="T285" s="377">
        <f>IF(Start!$C$18="x",IF(OR(S285="NA",R285="NA",R285=0,Q285="NA",S285=0,Q285=0),"NA",(1/(1/S285+(1/(R285*Q285))))),"---")</f>
        <v>3.3456720765739689E-4</v>
      </c>
      <c r="U285" s="375" t="str">
        <f>IF(Start!$C$18="x",IF(OR(F285="NA",F285="",O285="",O285="NA"),"NA",(F285*$O285)),"---")</f>
        <v>NA</v>
      </c>
      <c r="V285" s="376" t="str">
        <f>IF(Start!$C$18="x",IF(OR(U285="NA",M285="NA",M285="",U285=""),"NA",U285/((Data!$D$18+((1-Data!$D$18)*Data!$D$14*M285))/((1-Data!$D$18)*Data!$D$14*1000))),"---")</f>
        <v>NA</v>
      </c>
      <c r="W285" s="376" t="str">
        <f>IF(Start!$C$18="x",IF(OR(G285="NA",U285="NA",G285="",U285=""),"NA",(U285 +($G285*(Data!$D$19-Data!$D$22)/(Data!$D$19*Data!$D$22)))),"---")</f>
        <v>NA</v>
      </c>
      <c r="X285" s="376" t="str">
        <f>IF(Start!$C$18="x",IF(OR(G285="NA",V285="NA",G285="",V285=""),"NA",(((Data!$D$22*Data!$D$18)*V285)+(Data!$D$19-Data!$D$22)*$G285)/((Data!$D$22*Data!$D$18)+Data!$D$19-Data!$D$22)),"---")</f>
        <v>NA</v>
      </c>
      <c r="Y285" s="376" t="str">
        <f>IF(Start!$C$18="x",IF(OR(W285="NA",W285="",M285="NA",M285=""),"NA",(W285/((Data!$D$23+((1-Data!$D$23)*Data!$D$14*M285)) /((1-Data!$D$23)*Data!$D$14*1000)))),"---")</f>
        <v>NA</v>
      </c>
      <c r="Z285" s="376" t="str">
        <f>IF(Start!$C$18="x",IF(OR(Y285="NA",X285="NA"),"NA",IF(Y285&gt;X285, Y285, X285)),"---")</f>
        <v>NA</v>
      </c>
      <c r="AA285" s="461" t="str">
        <f>IF(Start!$C$18="x",IF(OR(Z285="NA",T285="NA"),"NA",Z285*T285/(1000000000)),"---")</f>
        <v>NA</v>
      </c>
      <c r="AB285" s="1057" t="str">
        <f>IF(Start!$C$18="x",IF(AA285 = "NA", "NA", AA285*(Data!$D$52*Data!$D$53*10000)),"---")</f>
        <v>NA</v>
      </c>
      <c r="AC285" s="375" t="str">
        <f>IF(Start!$C$18="x",IF(AB285="NA", "NA", AB285*Data!$D$54),"---")</f>
        <v>NA</v>
      </c>
      <c r="AD285" s="498" t="str">
        <f>IF(Start!$C$18="x",IF(AC285="NA","NA",AC285*Data!$D$41),"---")</f>
        <v>NA</v>
      </c>
      <c r="AE285" s="376" t="str">
        <f>IF(Start!$C$18="x",IF(AB285 = "NA", "NA", AB285/(Data!$D$53*3*Data!$D$48)*1000),"---")</f>
        <v>NA</v>
      </c>
      <c r="AF285" s="498" t="str">
        <f>IF(Start!$C$18="x",IF(AE285="NA","NA",AE285*Data!$D$46),"---")</f>
        <v>NA</v>
      </c>
      <c r="AG285" s="375">
        <f>IF(Start!$C$18="x",IF(OR($L285="NA",L285=""),"NA",($L285*(Data!$D$55^3.33)/(Data!$D$18^2))),"---")</f>
        <v>1.5296216133872044E-3</v>
      </c>
      <c r="AH285" s="376" t="str">
        <f>IF(Start!$C$18="x",IF(OR(F285="NA",F285="",P285="NA",P285=""),"NA",IF(100/Data!$D$10&gt;Data!$D$13,(F285*$P285),(F285*$P285)*Data!$D$13)),"---")</f>
        <v>NA</v>
      </c>
      <c r="AI285" s="489">
        <f>IF(Start!$C$18="x",IF(OR($N285="NA",$Q285="NA",$Q285=0,Q285="",N285=""),"NA",(1000*$N285/$Q285)),"---")</f>
        <v>6083065384.9439869</v>
      </c>
      <c r="AJ285" s="376">
        <f>IF(Start!$C$18="x",IF(OR(Q285 = "NA",Q285=0,N285 = "NA",N285="",Q285=""), "NA", IF($AG285="NA","NA",(3.1416*Data!$D$57*86400/($AG285*(Data!$D$55+(N285*Data!$D$19/(Q285*1000)))))^0.5)),"---")</f>
        <v>32.099187995988416</v>
      </c>
      <c r="AK285" s="376" t="str">
        <f>IF(Start!$C$18="x",IF(OR(AH285 = "NA",AI285="NA",AI285=0,AI285="",AH285=""), "NA", AH285/AI285),"---")</f>
        <v>NA</v>
      </c>
      <c r="AL285" s="376" t="str">
        <f>IF(Start!$C$18="x",IF(OR(AK285 ="NA",AK285="",AJ285= "NA",R285="NA",R285=0),"NA",(2*AK285)/(1000*(1/$R285+AJ285))),"---")</f>
        <v>NA</v>
      </c>
      <c r="AM285" s="376" t="str">
        <f>IF(Start!$C$18="x",IF(AL285 = "NA", "NA", AL285*(Data!$D$52*Data!$D$53*10000)),"---")</f>
        <v>NA</v>
      </c>
      <c r="AN285" s="376" t="str">
        <f>IF(Start!$C$18="x",IF(AM285 = "NA", "NA", AM285*(Data!$D$54)),"---")</f>
        <v>NA</v>
      </c>
      <c r="AO285" s="498" t="str">
        <f>IF(Start!$C$18="x",IF(AN285="NA","NA",AN285*Data!$D$41),"---")</f>
        <v>NA</v>
      </c>
      <c r="AP285" s="376">
        <f>IF(Start!$C$18="x",IF(OR(Q285=0,N285="NA",N285="",AG285="NA",AG285="",AG285=0,Q285="",Q285="NA"),"NA", (3.1416*Data!$D$56*86400/($AG285*(Data!$D$55+(N285*Data!$D$19/(Q285*1000)))))^0.5),"---")</f>
        <v>32.099187995988416</v>
      </c>
      <c r="AQ285" s="376" t="str">
        <f>IF(Start!$C$18="x",IF(OR(AH285="NA",AI285="NA",AI285="",AI285=0,AH285=""),"NA", AH285/AI285),"---")</f>
        <v>NA</v>
      </c>
      <c r="AR285" s="376" t="str">
        <f>IF(Start!$C$18="x",IF(OR(AQ285="NA",AP285="NA",$R285="NA",R285=0,R285=""),"NA",(2*AQ285)/(1000*(1/$R285+AP285))),"---")</f>
        <v>NA</v>
      </c>
      <c r="AS285" s="376" t="str">
        <f>IF(Start!$C$18="x",IF(AR285 = "NA", "NA", AR285*(Data!$D$52*Data!$D$53*10000)),"---")</f>
        <v>NA</v>
      </c>
      <c r="AT285" s="376" t="str">
        <f>IF(Start!$C$18="x",IF(AS285 = "NA", "NA", (AS285*1000)/(Data!$D$48*3*Data!$D$53)),"---")</f>
        <v>NA</v>
      </c>
      <c r="AU285" s="498" t="str">
        <f>IF(Start!$C$18="x",IF(AT285="NA","NA",AT285*Data!$D$47),"---")</f>
        <v>NA</v>
      </c>
      <c r="AV285" s="283" t="str">
        <f>IF(Start!$C$18="x",(IF(AND(F285="",G285= "",G285&lt;&gt;"NA"),"",IF(OR(AD285="NA",I285="NA",I285=0),"NA",(AD285/I285)))),"Not Req.")</f>
        <v/>
      </c>
      <c r="AW285" s="284" t="str">
        <f>IF(Start!$C$18="x",(IF(AND(F285="",G285= "",G285&lt;&gt;"NA"),"",IF(OR(AF285="NA",I285="NA",I285=0),"NA",(AF285/I285)))),"Not Req.")</f>
        <v/>
      </c>
      <c r="AX285" s="284" t="str">
        <f>IF(Start!$C$18="x",(IF(F285 ="","",IF(OR(AO285="NA",I285="NA",I285=0),"NA",(AO285/I285)))),"Not Req.")</f>
        <v/>
      </c>
      <c r="AY285" s="344" t="str">
        <f>IF(Start!$C$18="x",(IF(F285 ="","",IF(OR(AU285="NA",I285="NA",I285=0),"NA",(AU285/I285)))),"Not Req.")</f>
        <v/>
      </c>
      <c r="AZ285" s="208"/>
    </row>
    <row r="286" spans="1:52" s="183" customFormat="1" x14ac:dyDescent="0.25">
      <c r="A286" s="405" t="s">
        <v>604</v>
      </c>
      <c r="B286" s="347" t="str">
        <f>IF(Start!$C$18="x",IF(AND(OR(F286="",F286="NA"),OR(G286="",G286="NA")),"",IF(I286="NA","NA",IF(AND(I286="",K286="--"),"NA",IF(AD286="NA","Missing Data",IF(I286="","No Criteria",IF(AD286&gt;=I286,"Needed","No")))))),"---")</f>
        <v/>
      </c>
      <c r="C286" s="501" t="str">
        <f>IF(Start!$C$18="x",IF(AND(OR(F286="",F286="NA"),OR(G286="",G286="NA")),"",IF(I286="NA","NA",IF(AND(I286="",K286="--"),"NA",IF(AF286="NA","Missing Data",IF(I286="","No Criteria",IF(AF286&gt;=I286,"Needed","No")))))),"---")</f>
        <v/>
      </c>
      <c r="D286" s="347" t="str">
        <f>IF(Start!$C$18="x",IF(AND(OR(F286="",F286="NA"),OR(G286="",G286="NA")),"",IF(I286="NA","NA",IF(AND(I286="",K286="--"),"NA",IF(AO286="NA","Missing Data",IF(I286="","No Criteria",IF(AO286&gt;=I286,"Needed","No")))))),"---")</f>
        <v/>
      </c>
      <c r="E286" s="401" t="str">
        <f>IF(Start!$C$18="x",IF(AND(OR(F286="",F286="NA"),OR(G286="",G286="NA")),"",IF(I286="NA","NA",IF(AND(I286="",K286="--"),"NA",IF(AU286="NA","Missing Data",IF(I286="","No Criteria",IF(AU286&gt;=I286,"Needed","No")))))),"---")</f>
        <v/>
      </c>
      <c r="F286" s="431" t="str">
        <f>IF(TRUE=ISBLANK(ChemData!B286),"",(ChemData!B286))</f>
        <v/>
      </c>
      <c r="G286" s="432" t="str">
        <f>IF(TRUE=ISBLANK(ChemData!C286),"",(ChemData!C286))</f>
        <v/>
      </c>
      <c r="H286" s="433" t="str">
        <f>IF(TRUE=ISBLANK(ChemData!D286),"",(ChemData!D286))</f>
        <v/>
      </c>
      <c r="I286" s="919" t="str">
        <f>IF(TRUE=ISBLANK(ChemData!K286),"",(ChemData!K286))</f>
        <v>NA</v>
      </c>
      <c r="J286" s="290">
        <f>IF(TRUE=ISBLANK(ChemData!M286),"",(ChemData!M286))</f>
        <v>326.39999999999998</v>
      </c>
      <c r="K286" s="290">
        <f>IF(TRUE=ISBLANK(ChemData!N286),"",(ChemData!N286))</f>
        <v>3.502E-4</v>
      </c>
      <c r="L286" s="290">
        <f>IF(TRUE=ISBLANK(ChemData!O286),"",(ChemData!O286))</f>
        <v>0.15014700018423585</v>
      </c>
      <c r="M286" s="290">
        <f>IF(TRUE=ISBLANK(ChemData!Q286),"",(ChemData!Q286))</f>
        <v>46495.01784724246</v>
      </c>
      <c r="N286" s="290">
        <f>IF(TRUE=ISBLANK(ChemData!R286),"",(ChemData!R286))</f>
        <v>46495.01784724246</v>
      </c>
      <c r="O286" s="290">
        <f>IF(TRUE=ISBLANK(ChemData!S286),"",(ChemData!S286))</f>
        <v>1</v>
      </c>
      <c r="P286" s="291">
        <f>IF(TRUE=ISBLANK(ChemData!T286),"",(ChemData!T286))</f>
        <v>1</v>
      </c>
      <c r="Q286" s="375">
        <f>IF(Start!$C$18="x",IF(OR(K286="NA",K286="",K286="--"),"NA",(K286*1000000/82.1/Data!$D$50)),"---")</f>
        <v>1.3759773682762957E-2</v>
      </c>
      <c r="R286" s="376">
        <f>IF(Start!$C$18="x",IF(OR(J286="NA",J286=0,J286=""),"NA",(0.32*(Data!$D$48+Data!$D$49)*(18/J286)^0.5)),"---")</f>
        <v>0.1935033059453112</v>
      </c>
      <c r="S286" s="376">
        <f>IF(Start!$C$18="x",IF(OR(J286="NA",J286= 0,J286=""),"NA",(0.0065*((Data!$D$49^0.969)/(Data!$D$51^0.673))*(32/J286)^0.5*EXP(0.526*Data!$D$48^-1.9))),"---")</f>
        <v>4.078519553676733E-4</v>
      </c>
      <c r="T286" s="377">
        <f>IF(Start!$C$18="x",IF(OR(S286="NA",R286="NA",R286=0,Q286="NA",S286=0,Q286=0),"NA",(1/(1/S286+(1/(R286*Q286))))),"---")</f>
        <v>3.5367579659941454E-4</v>
      </c>
      <c r="U286" s="375" t="str">
        <f>IF(Start!$C$18="x",IF(OR(F286="NA",F286="",O286="",O286="NA"),"NA",(F286*$O286)),"---")</f>
        <v>NA</v>
      </c>
      <c r="V286" s="376" t="str">
        <f>IF(Start!$C$18="x",IF(OR(U286="NA",M286="NA",M286="",U286=""),"NA",U286/((Data!$D$18+((1-Data!$D$18)*Data!$D$14*M286))/((1-Data!$D$18)*Data!$D$14*1000))),"---")</f>
        <v>NA</v>
      </c>
      <c r="W286" s="376" t="str">
        <f>IF(Start!$C$18="x",IF(OR(G286="NA",U286="NA",G286="",U286=""),"NA",(U286 +($G286*(Data!$D$19-Data!$D$22)/(Data!$D$19*Data!$D$22)))),"---")</f>
        <v>NA</v>
      </c>
      <c r="X286" s="376" t="str">
        <f>IF(Start!$C$18="x",IF(OR(G286="NA",V286="NA",G286="",V286=""),"NA",(((Data!$D$22*Data!$D$18)*V286)+(Data!$D$19-Data!$D$22)*$G286)/((Data!$D$22*Data!$D$18)+Data!$D$19-Data!$D$22)),"---")</f>
        <v>NA</v>
      </c>
      <c r="Y286" s="376" t="str">
        <f>IF(Start!$C$18="x",IF(OR(W286="NA",W286="",M286="NA",M286=""),"NA",(W286/((Data!$D$23+((1-Data!$D$23)*Data!$D$14*M286)) /((1-Data!$D$23)*Data!$D$14*1000)))),"---")</f>
        <v>NA</v>
      </c>
      <c r="Z286" s="376" t="str">
        <f>IF(Start!$C$18="x",IF(OR(Y286="NA",X286="NA"),"NA",IF(Y286&gt;X286, Y286, X286)),"---")</f>
        <v>NA</v>
      </c>
      <c r="AA286" s="461" t="str">
        <f>IF(Start!$C$18="x",IF(OR(Z286="NA",T286="NA"),"NA",Z286*T286/(1000000000)),"---")</f>
        <v>NA</v>
      </c>
      <c r="AB286" s="1057" t="str">
        <f>IF(Start!$C$18="x",IF(AA286 = "NA", "NA", AA286*(Data!$D$52*Data!$D$53*10000)),"---")</f>
        <v>NA</v>
      </c>
      <c r="AC286" s="375" t="str">
        <f>IF(Start!$C$18="x",IF(AB286="NA", "NA", AB286*Data!$D$54),"---")</f>
        <v>NA</v>
      </c>
      <c r="AD286" s="498" t="str">
        <f>IF(Start!$C$18="x",IF(AC286="NA","NA",AC286*Data!$D$41),"---")</f>
        <v>NA</v>
      </c>
      <c r="AE286" s="376" t="str">
        <f>IF(Start!$C$18="x",IF(AB286 = "NA", "NA", AB286/(Data!$D$53*3*Data!$D$48)*1000),"---")</f>
        <v>NA</v>
      </c>
      <c r="AF286" s="498" t="str">
        <f>IF(Start!$C$18="x",IF(AE286="NA","NA",AE286*Data!$D$46),"---")</f>
        <v>NA</v>
      </c>
      <c r="AG286" s="375">
        <f>IF(Start!$C$18="x",IF(OR($L286="NA",L286=""),"NA",($L286*(Data!$D$55^3.33)/(Data!$D$18^2))),"---")</f>
        <v>1.5296216133872044E-3</v>
      </c>
      <c r="AH286" s="376" t="str">
        <f>IF(Start!$C$18="x",IF(OR(F286="NA",F286="",P286="NA",P286=""),"NA",IF(100/Data!$D$10&gt;Data!$D$13,(F286*$P286),(F286*$P286)*Data!$D$13)),"---")</f>
        <v>NA</v>
      </c>
      <c r="AI286" s="489">
        <f>IF(Start!$C$18="x",IF(OR($N286="NA",$Q286="NA",$Q286=0,Q286="",N286=""),"NA",(1000*$N286/$Q286)),"---")</f>
        <v>3379053966.9622154</v>
      </c>
      <c r="AJ286" s="376">
        <f>IF(Start!$C$18="x",IF(OR(Q286 = "NA",Q286=0,N286 = "NA",N286="",Q286=""), "NA", IF($AG286="NA","NA",(3.1416*Data!$D$57*86400/($AG286*(Data!$D$55+(N286*Data!$D$19/(Q286*1000)))))^0.5)),"---")</f>
        <v>43.06829884540052</v>
      </c>
      <c r="AK286" s="376" t="str">
        <f>IF(Start!$C$18="x",IF(OR(AH286 = "NA",AI286="NA",AI286=0,AI286="",AH286=""), "NA", AH286/AI286),"---")</f>
        <v>NA</v>
      </c>
      <c r="AL286" s="376" t="str">
        <f>IF(Start!$C$18="x",IF(OR(AK286 ="NA",AK286="",AJ286= "NA",R286="NA",R286=0),"NA",(2*AK286)/(1000*(1/$R286+AJ286))),"---")</f>
        <v>NA</v>
      </c>
      <c r="AM286" s="376" t="str">
        <f>IF(Start!$C$18="x",IF(AL286 = "NA", "NA", AL286*(Data!$D$52*Data!$D$53*10000)),"---")</f>
        <v>NA</v>
      </c>
      <c r="AN286" s="376" t="str">
        <f>IF(Start!$C$18="x",IF(AM286 = "NA", "NA", AM286*(Data!$D$54)),"---")</f>
        <v>NA</v>
      </c>
      <c r="AO286" s="498" t="str">
        <f>IF(Start!$C$18="x",IF(AN286="NA","NA",AN286*Data!$D$41),"---")</f>
        <v>NA</v>
      </c>
      <c r="AP286" s="376">
        <f>IF(Start!$C$18="x",IF(OR(Q286=0,N286="NA",N286="",AG286="NA",AG286="",AG286=0,Q286="",Q286="NA"),"NA", (3.1416*Data!$D$56*86400/($AG286*(Data!$D$55+(N286*Data!$D$19/(Q286*1000)))))^0.5),"---")</f>
        <v>43.06829884540052</v>
      </c>
      <c r="AQ286" s="376" t="str">
        <f>IF(Start!$C$18="x",IF(OR(AH286="NA",AI286="NA",AI286="",AI286=0,AH286=""),"NA", AH286/AI286),"---")</f>
        <v>NA</v>
      </c>
      <c r="AR286" s="376" t="str">
        <f>IF(Start!$C$18="x",IF(OR(AQ286="NA",AP286="NA",$R286="NA",R286=0,R286=""),"NA",(2*AQ286)/(1000*(1/$R286+AP286))),"---")</f>
        <v>NA</v>
      </c>
      <c r="AS286" s="376" t="str">
        <f>IF(Start!$C$18="x",IF(AR286 = "NA", "NA", AR286*(Data!$D$52*Data!$D$53*10000)),"---")</f>
        <v>NA</v>
      </c>
      <c r="AT286" s="376" t="str">
        <f>IF(Start!$C$18="x",IF(AS286 = "NA", "NA", (AS286*1000)/(Data!$D$48*3*Data!$D$53)),"---")</f>
        <v>NA</v>
      </c>
      <c r="AU286" s="498" t="str">
        <f>IF(Start!$C$18="x",IF(AT286="NA","NA",AT286*Data!$D$47),"---")</f>
        <v>NA</v>
      </c>
      <c r="AV286" s="283" t="str">
        <f>IF(Start!$C$18="x",(IF(AND(F286="",G286= "",G286&lt;&gt;"NA"),"",IF(OR(AD286="NA",I286="NA",I286=0),"NA",(AD286/I286)))),"Not Req.")</f>
        <v/>
      </c>
      <c r="AW286" s="284" t="str">
        <f>IF(Start!$C$18="x",(IF(AND(F286="",G286= "",G286&lt;&gt;"NA"),"",IF(OR(AF286="NA",I286="NA",I286=0),"NA",(AF286/I286)))),"Not Req.")</f>
        <v/>
      </c>
      <c r="AX286" s="284" t="str">
        <f>IF(Start!$C$18="x",(IF(F286 ="","",IF(OR(AO286="NA",I286="NA",I286=0),"NA",(AO286/I286)))),"Not Req.")</f>
        <v/>
      </c>
      <c r="AY286" s="344" t="str">
        <f>IF(Start!$C$18="x",(IF(F286 ="","",IF(OR(AU286="NA",I286="NA",I286=0),"NA",(AU286/I286)))),"Not Req.")</f>
        <v/>
      </c>
      <c r="AZ286" s="208"/>
    </row>
    <row r="287" spans="1:52" s="183" customFormat="1" x14ac:dyDescent="0.25">
      <c r="A287" s="405" t="s">
        <v>605</v>
      </c>
      <c r="B287" s="347" t="str">
        <f>IF(Start!$C$18="x",IF(AND(OR(F287="",F287="NA"),OR(G287="",G287="NA")),"",IF(I287="NA","NA",IF(AND(I287="",K287="--"),"NA",IF(AD287="NA","Missing Data",IF(I287="","No Criteria",IF(AD287&gt;=I287,"Needed","No")))))),"---")</f>
        <v/>
      </c>
      <c r="C287" s="501" t="str">
        <f>IF(Start!$C$18="x",IF(AND(OR(F287="",F287="NA"),OR(G287="",G287="NA")),"",IF(I287="NA","NA",IF(AND(I287="",K287="--"),"NA",IF(AF287="NA","Missing Data",IF(I287="","No Criteria",IF(AF287&gt;=I287,"Needed","No")))))),"---")</f>
        <v/>
      </c>
      <c r="D287" s="347" t="str">
        <f>IF(Start!$C$18="x",IF(AND(OR(F287="",F287="NA"),OR(G287="",G287="NA")),"",IF(I287="NA","NA",IF(AND(I287="",K287="--"),"NA",IF(AO287="NA","Missing Data",IF(I287="","No Criteria",IF(AO287&gt;=I287,"Needed","No")))))),"---")</f>
        <v/>
      </c>
      <c r="E287" s="401" t="str">
        <f>IF(Start!$C$18="x",IF(AND(OR(F287="",F287="NA"),OR(G287="",G287="NA")),"",IF(I287="NA","NA",IF(AND(I287="",K287="--"),"NA",IF(AU287="NA","Missing Data",IF(I287="","No Criteria",IF(AU287&gt;=I287,"Needed","No")))))),"---")</f>
        <v/>
      </c>
      <c r="F287" s="431" t="str">
        <f>IF(TRUE=ISBLANK(ChemData!B287),"",(ChemData!B287))</f>
        <v/>
      </c>
      <c r="G287" s="432" t="str">
        <f>IF(TRUE=ISBLANK(ChemData!C287),"",(ChemData!C287))</f>
        <v/>
      </c>
      <c r="H287" s="433" t="str">
        <f>IF(TRUE=ISBLANK(ChemData!D287),"",(ChemData!D287))</f>
        <v/>
      </c>
      <c r="I287" s="919" t="str">
        <f>IF(TRUE=ISBLANK(ChemData!K287),"",(ChemData!K287))</f>
        <v>NA</v>
      </c>
      <c r="J287" s="290">
        <f>IF(TRUE=ISBLANK(ChemData!M287),"",(ChemData!M287))</f>
        <v>326.39999999999998</v>
      </c>
      <c r="K287" s="290">
        <f>IF(TRUE=ISBLANK(ChemData!N287),"",(ChemData!N287))</f>
        <v>8.25E-4</v>
      </c>
      <c r="L287" s="290">
        <f>IF(TRUE=ISBLANK(ChemData!O287),"",(ChemData!O287))</f>
        <v>0.15014700018423585</v>
      </c>
      <c r="M287" s="290">
        <f>IF(TRUE=ISBLANK(ChemData!Q287),"",(ChemData!Q287))</f>
        <v>114131.73484456044</v>
      </c>
      <c r="N287" s="290">
        <f>IF(TRUE=ISBLANK(ChemData!R287),"",(ChemData!R287))</f>
        <v>114131.73484456044</v>
      </c>
      <c r="O287" s="290">
        <f>IF(TRUE=ISBLANK(ChemData!S287),"",(ChemData!S287))</f>
        <v>1</v>
      </c>
      <c r="P287" s="291">
        <f>IF(TRUE=ISBLANK(ChemData!T287),"",(ChemData!T287))</f>
        <v>1</v>
      </c>
      <c r="Q287" s="375">
        <f>IF(Start!$C$18="x",IF(OR(K287="NA",K287="",K287="--"),"NA",(K287*1000000/82.1/Data!$D$50)),"---")</f>
        <v>3.241522926407607E-2</v>
      </c>
      <c r="R287" s="376">
        <f>IF(Start!$C$18="x",IF(OR(J287="NA",J287=0,J287=""),"NA",(0.32*(Data!$D$48+Data!$D$49)*(18/J287)^0.5)),"---")</f>
        <v>0.1935033059453112</v>
      </c>
      <c r="S287" s="376">
        <f>IF(Start!$C$18="x",IF(OR(J287="NA",J287= 0,J287=""),"NA",(0.0065*((Data!$D$49^0.969)/(Data!$D$51^0.673))*(32/J287)^0.5*EXP(0.526*Data!$D$48^-1.9))),"---")</f>
        <v>4.078519553676733E-4</v>
      </c>
      <c r="T287" s="377">
        <f>IF(Start!$C$18="x",IF(OR(S287="NA",R287="NA",R287=0,Q287="NA",S287=0,Q287=0),"NA",(1/(1/S287+(1/(R287*Q287))))),"---")</f>
        <v>3.8295141668399631E-4</v>
      </c>
      <c r="U287" s="375" t="str">
        <f>IF(Start!$C$18="x",IF(OR(F287="NA",F287="",O287="",O287="NA"),"NA",(F287*$O287)),"---")</f>
        <v>NA</v>
      </c>
      <c r="V287" s="376" t="str">
        <f>IF(Start!$C$18="x",IF(OR(U287="NA",M287="NA",M287="",U287=""),"NA",U287/((Data!$D$18+((1-Data!$D$18)*Data!$D$14*M287))/((1-Data!$D$18)*Data!$D$14*1000))),"---")</f>
        <v>NA</v>
      </c>
      <c r="W287" s="376" t="str">
        <f>IF(Start!$C$18="x",IF(OR(G287="NA",U287="NA",G287="",U287=""),"NA",(U287 +($G287*(Data!$D$19-Data!$D$22)/(Data!$D$19*Data!$D$22)))),"---")</f>
        <v>NA</v>
      </c>
      <c r="X287" s="376" t="str">
        <f>IF(Start!$C$18="x",IF(OR(G287="NA",V287="NA",G287="",V287=""),"NA",(((Data!$D$22*Data!$D$18)*V287)+(Data!$D$19-Data!$D$22)*$G287)/((Data!$D$22*Data!$D$18)+Data!$D$19-Data!$D$22)),"---")</f>
        <v>NA</v>
      </c>
      <c r="Y287" s="376" t="str">
        <f>IF(Start!$C$18="x",IF(OR(W287="NA",W287="",M287="NA",M287=""),"NA",(W287/((Data!$D$23+((1-Data!$D$23)*Data!$D$14*M287)) /((1-Data!$D$23)*Data!$D$14*1000)))),"---")</f>
        <v>NA</v>
      </c>
      <c r="Z287" s="376" t="str">
        <f>IF(Start!$C$18="x",IF(OR(Y287="NA",X287="NA"),"NA",IF(Y287&gt;X287, Y287, X287)),"---")</f>
        <v>NA</v>
      </c>
      <c r="AA287" s="461" t="str">
        <f>IF(Start!$C$18="x",IF(OR(Z287="NA",T287="NA"),"NA",Z287*T287/(1000000000)),"---")</f>
        <v>NA</v>
      </c>
      <c r="AB287" s="1057" t="str">
        <f>IF(Start!$C$18="x",IF(AA287 = "NA", "NA", AA287*(Data!$D$52*Data!$D$53*10000)),"---")</f>
        <v>NA</v>
      </c>
      <c r="AC287" s="375" t="str">
        <f>IF(Start!$C$18="x",IF(AB287="NA", "NA", AB287*Data!$D$54),"---")</f>
        <v>NA</v>
      </c>
      <c r="AD287" s="498" t="str">
        <f>IF(Start!$C$18="x",IF(AC287="NA","NA",AC287*Data!$D$41),"---")</f>
        <v>NA</v>
      </c>
      <c r="AE287" s="376" t="str">
        <f>IF(Start!$C$18="x",IF(AB287 = "NA", "NA", AB287/(Data!$D$53*3*Data!$D$48)*1000),"---")</f>
        <v>NA</v>
      </c>
      <c r="AF287" s="498" t="str">
        <f>IF(Start!$C$18="x",IF(AE287="NA","NA",AE287*Data!$D$46),"---")</f>
        <v>NA</v>
      </c>
      <c r="AG287" s="375">
        <f>IF(Start!$C$18="x",IF(OR($L287="NA",L287=""),"NA",($L287*(Data!$D$55^3.33)/(Data!$D$18^2))),"---")</f>
        <v>1.5296216133872044E-3</v>
      </c>
      <c r="AH287" s="376" t="str">
        <f>IF(Start!$C$18="x",IF(OR(F287="NA",F287="",P287="NA",P287=""),"NA",IF(100/Data!$D$10&gt;Data!$D$13,(F287*$P287),(F287*$P287)*Data!$D$13)),"---")</f>
        <v>NA</v>
      </c>
      <c r="AI287" s="489">
        <f>IF(Start!$C$18="x",IF(OR($N287="NA",$Q287="NA",$Q287=0,Q287="",N287=""),"NA",(1000*$N287/$Q287)),"---")</f>
        <v>3520929434.5804939</v>
      </c>
      <c r="AJ287" s="376">
        <f>IF(Start!$C$18="x",IF(OR(Q287 = "NA",Q287=0,N287 = "NA",N287="",Q287=""), "NA", IF($AG287="NA","NA",(3.1416*Data!$D$57*86400/($AG287*(Data!$D$55+(N287*Data!$D$19/(Q287*1000)))))^0.5)),"---")</f>
        <v>42.191660893708239</v>
      </c>
      <c r="AK287" s="376" t="str">
        <f>IF(Start!$C$18="x",IF(OR(AH287 = "NA",AI287="NA",AI287=0,AI287="",AH287=""), "NA", AH287/AI287),"---")</f>
        <v>NA</v>
      </c>
      <c r="AL287" s="376" t="str">
        <f>IF(Start!$C$18="x",IF(OR(AK287 ="NA",AK287="",AJ287= "NA",R287="NA",R287=0),"NA",(2*AK287)/(1000*(1/$R287+AJ287))),"---")</f>
        <v>NA</v>
      </c>
      <c r="AM287" s="376" t="str">
        <f>IF(Start!$C$18="x",IF(AL287 = "NA", "NA", AL287*(Data!$D$52*Data!$D$53*10000)),"---")</f>
        <v>NA</v>
      </c>
      <c r="AN287" s="376" t="str">
        <f>IF(Start!$C$18="x",IF(AM287 = "NA", "NA", AM287*(Data!$D$54)),"---")</f>
        <v>NA</v>
      </c>
      <c r="AO287" s="498" t="str">
        <f>IF(Start!$C$18="x",IF(AN287="NA","NA",AN287*Data!$D$41),"---")</f>
        <v>NA</v>
      </c>
      <c r="AP287" s="376">
        <f>IF(Start!$C$18="x",IF(OR(Q287=0,N287="NA",N287="",AG287="NA",AG287="",AG287=0,Q287="",Q287="NA"),"NA", (3.1416*Data!$D$56*86400/($AG287*(Data!$D$55+(N287*Data!$D$19/(Q287*1000)))))^0.5),"---")</f>
        <v>42.191660893708239</v>
      </c>
      <c r="AQ287" s="376" t="str">
        <f>IF(Start!$C$18="x",IF(OR(AH287="NA",AI287="NA",AI287="",AI287=0,AH287=""),"NA", AH287/AI287),"---")</f>
        <v>NA</v>
      </c>
      <c r="AR287" s="376" t="str">
        <f>IF(Start!$C$18="x",IF(OR(AQ287="NA",AP287="NA",$R287="NA",R287=0,R287=""),"NA",(2*AQ287)/(1000*(1/$R287+AP287))),"---")</f>
        <v>NA</v>
      </c>
      <c r="AS287" s="376" t="str">
        <f>IF(Start!$C$18="x",IF(AR287 = "NA", "NA", AR287*(Data!$D$52*Data!$D$53*10000)),"---")</f>
        <v>NA</v>
      </c>
      <c r="AT287" s="376" t="str">
        <f>IF(Start!$C$18="x",IF(AS287 = "NA", "NA", (AS287*1000)/(Data!$D$48*3*Data!$D$53)),"---")</f>
        <v>NA</v>
      </c>
      <c r="AU287" s="498" t="str">
        <f>IF(Start!$C$18="x",IF(AT287="NA","NA",AT287*Data!$D$47),"---")</f>
        <v>NA</v>
      </c>
      <c r="AV287" s="283" t="str">
        <f>IF(Start!$C$18="x",(IF(AND(F287="",G287= "",G287&lt;&gt;"NA"),"",IF(OR(AD287="NA",I287="NA",I287=0),"NA",(AD287/I287)))),"Not Req.")</f>
        <v/>
      </c>
      <c r="AW287" s="284" t="str">
        <f>IF(Start!$C$18="x",(IF(AND(F287="",G287= "",G287&lt;&gt;"NA"),"",IF(OR(AF287="NA",I287="NA",I287=0),"NA",(AF287/I287)))),"Not Req.")</f>
        <v/>
      </c>
      <c r="AX287" s="284" t="str">
        <f>IF(Start!$C$18="x",(IF(F287 ="","",IF(OR(AO287="NA",I287="NA",I287=0),"NA",(AO287/I287)))),"Not Req.")</f>
        <v/>
      </c>
      <c r="AY287" s="344" t="str">
        <f>IF(Start!$C$18="x",(IF(F287 ="","",IF(OR(AU287="NA",I287="NA",I287=0),"NA",(AU287/I287)))),"Not Req.")</f>
        <v/>
      </c>
      <c r="AZ287" s="208"/>
    </row>
    <row r="288" spans="1:52" s="183" customFormat="1" x14ac:dyDescent="0.25">
      <c r="A288" s="405" t="s">
        <v>606</v>
      </c>
      <c r="B288" s="347" t="str">
        <f>IF(Start!$C$18="x",IF(AND(OR(F288="",F288="NA"),OR(G288="",G288="NA")),"",IF(I288="NA","NA",IF(AND(I288="",K288="--"),"NA",IF(AD288="NA","Missing Data",IF(I288="","No Criteria",IF(AD288&gt;=I288,"Needed","No")))))),"---")</f>
        <v/>
      </c>
      <c r="C288" s="501" t="str">
        <f>IF(Start!$C$18="x",IF(AND(OR(F288="",F288="NA"),OR(G288="",G288="NA")),"",IF(I288="NA","NA",IF(AND(I288="",K288="--"),"NA",IF(AF288="NA","Missing Data",IF(I288="","No Criteria",IF(AF288&gt;=I288,"Needed","No")))))),"---")</f>
        <v/>
      </c>
      <c r="D288" s="347" t="str">
        <f>IF(Start!$C$18="x",IF(AND(OR(F288="",F288="NA"),OR(G288="",G288="NA")),"",IF(I288="NA","NA",IF(AND(I288="",K288="--"),"NA",IF(AO288="NA","Missing Data",IF(I288="","No Criteria",IF(AO288&gt;=I288,"Needed","No")))))),"---")</f>
        <v/>
      </c>
      <c r="E288" s="401" t="str">
        <f>IF(Start!$C$18="x",IF(AND(OR(F288="",F288="NA"),OR(G288="",G288="NA")),"",IF(I288="NA","NA",IF(AND(I288="",K288="--"),"NA",IF(AU288="NA","Missing Data",IF(I288="","No Criteria",IF(AU288&gt;=I288,"Needed","No")))))),"---")</f>
        <v/>
      </c>
      <c r="F288" s="431" t="str">
        <f>IF(TRUE=ISBLANK(ChemData!B288),"",(ChemData!B288))</f>
        <v/>
      </c>
      <c r="G288" s="432" t="str">
        <f>IF(TRUE=ISBLANK(ChemData!C288),"",(ChemData!C288))</f>
        <v/>
      </c>
      <c r="H288" s="433" t="str">
        <f>IF(TRUE=ISBLANK(ChemData!D288),"",(ChemData!D288))</f>
        <v/>
      </c>
      <c r="I288" s="919" t="str">
        <f>IF(TRUE=ISBLANK(ChemData!K288),"",(ChemData!K288))</f>
        <v>NA</v>
      </c>
      <c r="J288" s="290">
        <f>IF(TRUE=ISBLANK(ChemData!M288),"",(ChemData!M288))</f>
        <v>326.39999999999998</v>
      </c>
      <c r="K288" s="290">
        <f>IF(TRUE=ISBLANK(ChemData!N288),"",(ChemData!N288))</f>
        <v>2.8800000000000001E-4</v>
      </c>
      <c r="L288" s="290">
        <f>IF(TRUE=ISBLANK(ChemData!O288),"",(ChemData!O288))</f>
        <v>0.15014700018423585</v>
      </c>
      <c r="M288" s="290">
        <f>IF(TRUE=ISBLANK(ChemData!Q288),"",(ChemData!Q288))</f>
        <v>53383.423122873501</v>
      </c>
      <c r="N288" s="290">
        <f>IF(TRUE=ISBLANK(ChemData!R288),"",(ChemData!R288))</f>
        <v>53383.423122873501</v>
      </c>
      <c r="O288" s="290">
        <f>IF(TRUE=ISBLANK(ChemData!S288),"",(ChemData!S288))</f>
        <v>1</v>
      </c>
      <c r="P288" s="291">
        <f>IF(TRUE=ISBLANK(ChemData!T288),"",(ChemData!T288))</f>
        <v>1</v>
      </c>
      <c r="Q288" s="375">
        <f>IF(Start!$C$18="x",IF(OR(K288="NA",K288="",K288="--"),"NA",(K288*1000000/82.1/Data!$D$50)),"---")</f>
        <v>1.1315861852186556E-2</v>
      </c>
      <c r="R288" s="376">
        <f>IF(Start!$C$18="x",IF(OR(J288="NA",J288=0,J288=""),"NA",(0.32*(Data!$D$48+Data!$D$49)*(18/J288)^0.5)),"---")</f>
        <v>0.1935033059453112</v>
      </c>
      <c r="S288" s="376">
        <f>IF(Start!$C$18="x",IF(OR(J288="NA",J288= 0,J288=""),"NA",(0.0065*((Data!$D$49^0.969)/(Data!$D$51^0.673))*(32/J288)^0.5*EXP(0.526*Data!$D$48^-1.9))),"---")</f>
        <v>4.078519553676733E-4</v>
      </c>
      <c r="T288" s="377">
        <f>IF(Start!$C$18="x",IF(OR(S288="NA",R288="NA",R288=0,Q288="NA",S288=0,Q288=0),"NA",(1/(1/S288+(1/(R288*Q288))))),"---")</f>
        <v>3.4381243097141218E-4</v>
      </c>
      <c r="U288" s="375" t="str">
        <f>IF(Start!$C$18="x",IF(OR(F288="NA",F288="",O288="",O288="NA"),"NA",(F288*$O288)),"---")</f>
        <v>NA</v>
      </c>
      <c r="V288" s="376" t="str">
        <f>IF(Start!$C$18="x",IF(OR(U288="NA",M288="NA",M288="",U288=""),"NA",U288/((Data!$D$18+((1-Data!$D$18)*Data!$D$14*M288))/((1-Data!$D$18)*Data!$D$14*1000))),"---")</f>
        <v>NA</v>
      </c>
      <c r="W288" s="376" t="str">
        <f>IF(Start!$C$18="x",IF(OR(G288="NA",U288="NA",G288="",U288=""),"NA",(U288 +($G288*(Data!$D$19-Data!$D$22)/(Data!$D$19*Data!$D$22)))),"---")</f>
        <v>NA</v>
      </c>
      <c r="X288" s="376" t="str">
        <f>IF(Start!$C$18="x",IF(OR(G288="NA",V288="NA",G288="",V288=""),"NA",(((Data!$D$22*Data!$D$18)*V288)+(Data!$D$19-Data!$D$22)*$G288)/((Data!$D$22*Data!$D$18)+Data!$D$19-Data!$D$22)),"---")</f>
        <v>NA</v>
      </c>
      <c r="Y288" s="376" t="str">
        <f>IF(Start!$C$18="x",IF(OR(W288="NA",W288="",M288="NA",M288=""),"NA",(W288/((Data!$D$23+((1-Data!$D$23)*Data!$D$14*M288)) /((1-Data!$D$23)*Data!$D$14*1000)))),"---")</f>
        <v>NA</v>
      </c>
      <c r="Z288" s="376" t="str">
        <f>IF(Start!$C$18="x",IF(OR(Y288="NA",X288="NA"),"NA",IF(Y288&gt;X288, Y288, X288)),"---")</f>
        <v>NA</v>
      </c>
      <c r="AA288" s="461" t="str">
        <f>IF(Start!$C$18="x",IF(OR(Z288="NA",T288="NA"),"NA",Z288*T288/(1000000000)),"---")</f>
        <v>NA</v>
      </c>
      <c r="AB288" s="1057" t="str">
        <f>IF(Start!$C$18="x",IF(AA288 = "NA", "NA", AA288*(Data!$D$52*Data!$D$53*10000)),"---")</f>
        <v>NA</v>
      </c>
      <c r="AC288" s="375" t="str">
        <f>IF(Start!$C$18="x",IF(AB288="NA", "NA", AB288*Data!$D$54),"---")</f>
        <v>NA</v>
      </c>
      <c r="AD288" s="498" t="str">
        <f>IF(Start!$C$18="x",IF(AC288="NA","NA",AC288*Data!$D$41),"---")</f>
        <v>NA</v>
      </c>
      <c r="AE288" s="376" t="str">
        <f>IF(Start!$C$18="x",IF(AB288 = "NA", "NA", AB288/(Data!$D$53*3*Data!$D$48)*1000),"---")</f>
        <v>NA</v>
      </c>
      <c r="AF288" s="498" t="str">
        <f>IF(Start!$C$18="x",IF(AE288="NA","NA",AE288*Data!$D$46),"---")</f>
        <v>NA</v>
      </c>
      <c r="AG288" s="375">
        <f>IF(Start!$C$18="x",IF(OR($L288="NA",L288=""),"NA",($L288*(Data!$D$55^3.33)/(Data!$D$18^2))),"---")</f>
        <v>1.5296216133872044E-3</v>
      </c>
      <c r="AH288" s="376" t="str">
        <f>IF(Start!$C$18="x",IF(OR(F288="NA",F288="",P288="NA",P288=""),"NA",IF(100/Data!$D$10&gt;Data!$D$13,(F288*$P288),(F288*$P288)*Data!$D$13)),"---")</f>
        <v>NA</v>
      </c>
      <c r="AI288" s="489">
        <f>IF(Start!$C$18="x",IF(OR($N288="NA",$Q288="NA",$Q288=0,Q288="",N288=""),"NA",(1000*$N288/$Q288)),"---")</f>
        <v>4717574659.3758793</v>
      </c>
      <c r="AJ288" s="376">
        <f>IF(Start!$C$18="x",IF(OR(Q288 = "NA",Q288=0,N288 = "NA",N288="",Q288=""), "NA", IF($AG288="NA","NA",(3.1416*Data!$D$57*86400/($AG288*(Data!$D$55+(N288*Data!$D$19/(Q288*1000)))))^0.5)),"---")</f>
        <v>36.449862570376439</v>
      </c>
      <c r="AK288" s="376" t="str">
        <f>IF(Start!$C$18="x",IF(OR(AH288 = "NA",AI288="NA",AI288=0,AI288="",AH288=""), "NA", AH288/AI288),"---")</f>
        <v>NA</v>
      </c>
      <c r="AL288" s="376" t="str">
        <f>IF(Start!$C$18="x",IF(OR(AK288 ="NA",AK288="",AJ288= "NA",R288="NA",R288=0),"NA",(2*AK288)/(1000*(1/$R288+AJ288))),"---")</f>
        <v>NA</v>
      </c>
      <c r="AM288" s="376" t="str">
        <f>IF(Start!$C$18="x",IF(AL288 = "NA", "NA", AL288*(Data!$D$52*Data!$D$53*10000)),"---")</f>
        <v>NA</v>
      </c>
      <c r="AN288" s="376" t="str">
        <f>IF(Start!$C$18="x",IF(AM288 = "NA", "NA", AM288*(Data!$D$54)),"---")</f>
        <v>NA</v>
      </c>
      <c r="AO288" s="498" t="str">
        <f>IF(Start!$C$18="x",IF(AN288="NA","NA",AN288*Data!$D$41),"---")</f>
        <v>NA</v>
      </c>
      <c r="AP288" s="376">
        <f>IF(Start!$C$18="x",IF(OR(Q288=0,N288="NA",N288="",AG288="NA",AG288="",AG288=0,Q288="",Q288="NA"),"NA", (3.1416*Data!$D$56*86400/($AG288*(Data!$D$55+(N288*Data!$D$19/(Q288*1000)))))^0.5),"---")</f>
        <v>36.449862570376439</v>
      </c>
      <c r="AQ288" s="376" t="str">
        <f>IF(Start!$C$18="x",IF(OR(AH288="NA",AI288="NA",AI288="",AI288=0,AH288=""),"NA", AH288/AI288),"---")</f>
        <v>NA</v>
      </c>
      <c r="AR288" s="376" t="str">
        <f>IF(Start!$C$18="x",IF(OR(AQ288="NA",AP288="NA",$R288="NA",R288=0,R288=""),"NA",(2*AQ288)/(1000*(1/$R288+AP288))),"---")</f>
        <v>NA</v>
      </c>
      <c r="AS288" s="376" t="str">
        <f>IF(Start!$C$18="x",IF(AR288 = "NA", "NA", AR288*(Data!$D$52*Data!$D$53*10000)),"---")</f>
        <v>NA</v>
      </c>
      <c r="AT288" s="376" t="str">
        <f>IF(Start!$C$18="x",IF(AS288 = "NA", "NA", (AS288*1000)/(Data!$D$48*3*Data!$D$53)),"---")</f>
        <v>NA</v>
      </c>
      <c r="AU288" s="498" t="str">
        <f>IF(Start!$C$18="x",IF(AT288="NA","NA",AT288*Data!$D$47),"---")</f>
        <v>NA</v>
      </c>
      <c r="AV288" s="283" t="str">
        <f>IF(Start!$C$18="x",(IF(AND(F288="",G288= "",G288&lt;&gt;"NA"),"",IF(OR(AD288="NA",I288="NA",I288=0),"NA",(AD288/I288)))),"Not Req.")</f>
        <v/>
      </c>
      <c r="AW288" s="284" t="str">
        <f>IF(Start!$C$18="x",(IF(AND(F288="",G288= "",G288&lt;&gt;"NA"),"",IF(OR(AF288="NA",I288="NA",I288=0),"NA",(AF288/I288)))),"Not Req.")</f>
        <v/>
      </c>
      <c r="AX288" s="284" t="str">
        <f>IF(Start!$C$18="x",(IF(F288 ="","",IF(OR(AO288="NA",I288="NA",I288=0),"NA",(AO288/I288)))),"Not Req.")</f>
        <v/>
      </c>
      <c r="AY288" s="344" t="str">
        <f>IF(Start!$C$18="x",(IF(F288 ="","",IF(OR(AU288="NA",I288="NA",I288=0),"NA",(AU288/I288)))),"Not Req.")</f>
        <v/>
      </c>
      <c r="AZ288" s="208"/>
    </row>
    <row r="289" spans="1:52" s="183" customFormat="1" x14ac:dyDescent="0.25">
      <c r="A289" s="405" t="s">
        <v>607</v>
      </c>
      <c r="B289" s="347" t="str">
        <f>IF(Start!$C$18="x",IF(AND(OR(F289="",F289="NA"),OR(G289="",G289="NA")),"",IF(I289="NA","NA",IF(AND(I289="",K289="--"),"NA",IF(AD289="NA","Missing Data",IF(I289="","No Criteria",IF(AD289&gt;=I289,"Needed","No")))))),"---")</f>
        <v/>
      </c>
      <c r="C289" s="501" t="str">
        <f>IF(Start!$C$18="x",IF(AND(OR(F289="",F289="NA"),OR(G289="",G289="NA")),"",IF(I289="NA","NA",IF(AND(I289="",K289="--"),"NA",IF(AF289="NA","Missing Data",IF(I289="","No Criteria",IF(AF289&gt;=I289,"Needed","No")))))),"---")</f>
        <v/>
      </c>
      <c r="D289" s="347" t="str">
        <f>IF(Start!$C$18="x",IF(AND(OR(F289="",F289="NA"),OR(G289="",G289="NA")),"",IF(I289="NA","NA",IF(AND(I289="",K289="--"),"NA",IF(AO289="NA","Missing Data",IF(I289="","No Criteria",IF(AO289&gt;=I289,"Needed","No")))))),"---")</f>
        <v/>
      </c>
      <c r="E289" s="401" t="str">
        <f>IF(Start!$C$18="x",IF(AND(OR(F289="",F289="NA"),OR(G289="",G289="NA")),"",IF(I289="NA","NA",IF(AND(I289="",K289="--"),"NA",IF(AU289="NA","Missing Data",IF(I289="","No Criteria",IF(AU289&gt;=I289,"Needed","No")))))),"---")</f>
        <v/>
      </c>
      <c r="F289" s="431" t="str">
        <f>IF(TRUE=ISBLANK(ChemData!B289),"",(ChemData!B289))</f>
        <v/>
      </c>
      <c r="G289" s="432" t="str">
        <f>IF(TRUE=ISBLANK(ChemData!C289),"",(ChemData!C289))</f>
        <v/>
      </c>
      <c r="H289" s="433" t="str">
        <f>IF(TRUE=ISBLANK(ChemData!D289),"",(ChemData!D289))</f>
        <v/>
      </c>
      <c r="I289" s="919" t="str">
        <f>IF(TRUE=ISBLANK(ChemData!K289),"",(ChemData!K289))</f>
        <v>NA</v>
      </c>
      <c r="J289" s="290">
        <f>IF(TRUE=ISBLANK(ChemData!M289),"",(ChemData!M289))</f>
        <v>326.39999999999998</v>
      </c>
      <c r="K289" s="290" t="str">
        <f>IF(TRUE=ISBLANK(ChemData!N289),"",(ChemData!N289))</f>
        <v>NA</v>
      </c>
      <c r="L289" s="290" t="str">
        <f>IF(TRUE=ISBLANK(ChemData!O289),"",(ChemData!O289))</f>
        <v>NA</v>
      </c>
      <c r="M289" s="290">
        <f>IF(TRUE=ISBLANK(ChemData!Q289),"",(ChemData!Q289))</f>
        <v>73689.637269452403</v>
      </c>
      <c r="N289" s="290">
        <f>IF(TRUE=ISBLANK(ChemData!R289),"",(ChemData!R289))</f>
        <v>73689.637269452403</v>
      </c>
      <c r="O289" s="290">
        <f>IF(TRUE=ISBLANK(ChemData!S289),"",(ChemData!S289))</f>
        <v>1</v>
      </c>
      <c r="P289" s="291">
        <f>IF(TRUE=ISBLANK(ChemData!T289),"",(ChemData!T289))</f>
        <v>1</v>
      </c>
      <c r="Q289" s="375" t="str">
        <f>IF(Start!$C$18="x",IF(OR(K289="NA",K289="",K289="--"),"NA",(K289*1000000/82.1/Data!$D$50)),"---")</f>
        <v>NA</v>
      </c>
      <c r="R289" s="376">
        <f>IF(Start!$C$18="x",IF(OR(J289="NA",J289=0,J289=""),"NA",(0.32*(Data!$D$48+Data!$D$49)*(18/J289)^0.5)),"---")</f>
        <v>0.1935033059453112</v>
      </c>
      <c r="S289" s="376">
        <f>IF(Start!$C$18="x",IF(OR(J289="NA",J289= 0,J289=""),"NA",(0.0065*((Data!$D$49^0.969)/(Data!$D$51^0.673))*(32/J289)^0.5*EXP(0.526*Data!$D$48^-1.9))),"---")</f>
        <v>4.078519553676733E-4</v>
      </c>
      <c r="T289" s="377" t="str">
        <f>IF(Start!$C$18="x",IF(OR(S289="NA",R289="NA",R289=0,Q289="NA",S289=0,Q289=0),"NA",(1/(1/S289+(1/(R289*Q289))))),"---")</f>
        <v>NA</v>
      </c>
      <c r="U289" s="375" t="str">
        <f>IF(Start!$C$18="x",IF(OR(F289="NA",F289="",O289="",O289="NA"),"NA",(F289*$O289)),"---")</f>
        <v>NA</v>
      </c>
      <c r="V289" s="376" t="str">
        <f>IF(Start!$C$18="x",IF(OR(U289="NA",M289="NA",M289="",U289=""),"NA",U289/((Data!$D$18+((1-Data!$D$18)*Data!$D$14*M289))/((1-Data!$D$18)*Data!$D$14*1000))),"---")</f>
        <v>NA</v>
      </c>
      <c r="W289" s="376" t="str">
        <f>IF(Start!$C$18="x",IF(OR(G289="NA",U289="NA",G289="",U289=""),"NA",(U289 +($G289*(Data!$D$19-Data!$D$22)/(Data!$D$19*Data!$D$22)))),"---")</f>
        <v>NA</v>
      </c>
      <c r="X289" s="376" t="str">
        <f>IF(Start!$C$18="x",IF(OR(G289="NA",V289="NA",G289="",V289=""),"NA",(((Data!$D$22*Data!$D$18)*V289)+(Data!$D$19-Data!$D$22)*$G289)/((Data!$D$22*Data!$D$18)+Data!$D$19-Data!$D$22)),"---")</f>
        <v>NA</v>
      </c>
      <c r="Y289" s="376" t="str">
        <f>IF(Start!$C$18="x",IF(OR(W289="NA",W289="",M289="NA",M289=""),"NA",(W289/((Data!$D$23+((1-Data!$D$23)*Data!$D$14*M289)) /((1-Data!$D$23)*Data!$D$14*1000)))),"---")</f>
        <v>NA</v>
      </c>
      <c r="Z289" s="376" t="str">
        <f>IF(Start!$C$18="x",IF(OR(Y289="NA",X289="NA"),"NA",IF(Y289&gt;X289, Y289, X289)),"---")</f>
        <v>NA</v>
      </c>
      <c r="AA289" s="461" t="str">
        <f>IF(Start!$C$18="x",IF(OR(Z289="NA",T289="NA"),"NA",Z289*T289/(1000000000)),"---")</f>
        <v>NA</v>
      </c>
      <c r="AB289" s="1057" t="str">
        <f>IF(Start!$C$18="x",IF(AA289 = "NA", "NA", AA289*(Data!$D$52*Data!$D$53*10000)),"---")</f>
        <v>NA</v>
      </c>
      <c r="AC289" s="375" t="str">
        <f>IF(Start!$C$18="x",IF(AB289="NA", "NA", AB289*Data!$D$54),"---")</f>
        <v>NA</v>
      </c>
      <c r="AD289" s="498" t="str">
        <f>IF(Start!$C$18="x",IF(AC289="NA","NA",AC289*Data!$D$41),"---")</f>
        <v>NA</v>
      </c>
      <c r="AE289" s="376" t="str">
        <f>IF(Start!$C$18="x",IF(AB289 = "NA", "NA", AB289/(Data!$D$53*3*Data!$D$48)*1000),"---")</f>
        <v>NA</v>
      </c>
      <c r="AF289" s="498" t="str">
        <f>IF(Start!$C$18="x",IF(AE289="NA","NA",AE289*Data!$D$46),"---")</f>
        <v>NA</v>
      </c>
      <c r="AG289" s="375" t="str">
        <f>IF(Start!$C$18="x",IF(OR($L289="NA",L289=""),"NA",($L289*(Data!$D$55^3.33)/(Data!$D$18^2))),"---")</f>
        <v>NA</v>
      </c>
      <c r="AH289" s="376" t="str">
        <f>IF(Start!$C$18="x",IF(OR(F289="NA",F289="",P289="NA",P289=""),"NA",IF(100/Data!$D$10&gt;Data!$D$13,(F289*$P289),(F289*$P289)*Data!$D$13)),"---")</f>
        <v>NA</v>
      </c>
      <c r="AI289" s="489" t="str">
        <f>IF(Start!$C$18="x",IF(OR($N289="NA",$Q289="NA",$Q289=0,Q289="",N289=""),"NA",(1000*$N289/$Q289)),"---")</f>
        <v>NA</v>
      </c>
      <c r="AJ289" s="376" t="str">
        <f>IF(Start!$C$18="x",IF(OR(Q289 = "NA",Q289=0,N289 = "NA",N289="",Q289=""), "NA", IF($AG289="NA","NA",(3.1416*Data!$D$57*86400/($AG289*(Data!$D$55+(N289*Data!$D$19/(Q289*1000)))))^0.5)),"---")</f>
        <v>NA</v>
      </c>
      <c r="AK289" s="376" t="str">
        <f>IF(Start!$C$18="x",IF(OR(AH289 = "NA",AI289="NA",AI289=0,AI289="",AH289=""), "NA", AH289/AI289),"---")</f>
        <v>NA</v>
      </c>
      <c r="AL289" s="376" t="str">
        <f>IF(Start!$C$18="x",IF(OR(AK289 ="NA",AK289="",AJ289= "NA",R289="NA",R289=0),"NA",(2*AK289)/(1000*(1/$R289+AJ289))),"---")</f>
        <v>NA</v>
      </c>
      <c r="AM289" s="376" t="str">
        <f>IF(Start!$C$18="x",IF(AL289 = "NA", "NA", AL289*(Data!$D$52*Data!$D$53*10000)),"---")</f>
        <v>NA</v>
      </c>
      <c r="AN289" s="376" t="str">
        <f>IF(Start!$C$18="x",IF(AM289 = "NA", "NA", AM289*(Data!$D$54)),"---")</f>
        <v>NA</v>
      </c>
      <c r="AO289" s="498" t="str">
        <f>IF(Start!$C$18="x",IF(AN289="NA","NA",AN289*Data!$D$41),"---")</f>
        <v>NA</v>
      </c>
      <c r="AP289" s="376" t="str">
        <f>IF(Start!$C$18="x",IF(OR(Q289=0,N289="NA",N289="",AG289="NA",AG289="",AG289=0,Q289="",Q289="NA"),"NA", (3.1416*Data!$D$56*86400/($AG289*(Data!$D$55+(N289*Data!$D$19/(Q289*1000)))))^0.5),"---")</f>
        <v>NA</v>
      </c>
      <c r="AQ289" s="376" t="str">
        <f>IF(Start!$C$18="x",IF(OR(AH289="NA",AI289="NA",AI289="",AI289=0,AH289=""),"NA", AH289/AI289),"---")</f>
        <v>NA</v>
      </c>
      <c r="AR289" s="376" t="str">
        <f>IF(Start!$C$18="x",IF(OR(AQ289="NA",AP289="NA",$R289="NA",R289=0,R289=""),"NA",(2*AQ289)/(1000*(1/$R289+AP289))),"---")</f>
        <v>NA</v>
      </c>
      <c r="AS289" s="376" t="str">
        <f>IF(Start!$C$18="x",IF(AR289 = "NA", "NA", AR289*(Data!$D$52*Data!$D$53*10000)),"---")</f>
        <v>NA</v>
      </c>
      <c r="AT289" s="376" t="str">
        <f>IF(Start!$C$18="x",IF(AS289 = "NA", "NA", (AS289*1000)/(Data!$D$48*3*Data!$D$53)),"---")</f>
        <v>NA</v>
      </c>
      <c r="AU289" s="498" t="str">
        <f>IF(Start!$C$18="x",IF(AT289="NA","NA",AT289*Data!$D$47),"---")</f>
        <v>NA</v>
      </c>
      <c r="AV289" s="283" t="str">
        <f>IF(Start!$C$18="x",(IF(AND(F289="",G289= "",G289&lt;&gt;"NA"),"",IF(OR(AD289="NA",I289="NA",I289=0),"NA",(AD289/I289)))),"Not Req.")</f>
        <v/>
      </c>
      <c r="AW289" s="284" t="str">
        <f>IF(Start!$C$18="x",(IF(AND(F289="",G289= "",G289&lt;&gt;"NA"),"",IF(OR(AF289="NA",I289="NA",I289=0),"NA",(AF289/I289)))),"Not Req.")</f>
        <v/>
      </c>
      <c r="AX289" s="284" t="str">
        <f>IF(Start!$C$18="x",(IF(F289 ="","",IF(OR(AO289="NA",I289="NA",I289=0),"NA",(AO289/I289)))),"Not Req.")</f>
        <v/>
      </c>
      <c r="AY289" s="344" t="str">
        <f>IF(Start!$C$18="x",(IF(F289 ="","",IF(OR(AU289="NA",I289="NA",I289=0),"NA",(AU289/I289)))),"Not Req.")</f>
        <v/>
      </c>
      <c r="AZ289" s="208"/>
    </row>
    <row r="290" spans="1:52" s="183" customFormat="1" x14ac:dyDescent="0.25">
      <c r="A290" s="405" t="s">
        <v>608</v>
      </c>
      <c r="B290" s="347" t="str">
        <f>IF(Start!$C$18="x",IF(AND(OR(F290="",F290="NA"),OR(G290="",G290="NA")),"",IF(I290="NA","NA",IF(AND(I290="",K290="--"),"NA",IF(AD290="NA","Missing Data",IF(I290="","No Criteria",IF(AD290&gt;=I290,"Needed","No")))))),"---")</f>
        <v/>
      </c>
      <c r="C290" s="501" t="str">
        <f>IF(Start!$C$18="x",IF(AND(OR(F290="",F290="NA"),OR(G290="",G290="NA")),"",IF(I290="NA","NA",IF(AND(I290="",K290="--"),"NA",IF(AF290="NA","Missing Data",IF(I290="","No Criteria",IF(AF290&gt;=I290,"Needed","No")))))),"---")</f>
        <v/>
      </c>
      <c r="D290" s="347" t="str">
        <f>IF(Start!$C$18="x",IF(AND(OR(F290="",F290="NA"),OR(G290="",G290="NA")),"",IF(I290="NA","NA",IF(AND(I290="",K290="--"),"NA",IF(AO290="NA","Missing Data",IF(I290="","No Criteria",IF(AO290&gt;=I290,"Needed","No")))))),"---")</f>
        <v/>
      </c>
      <c r="E290" s="401" t="str">
        <f>IF(Start!$C$18="x",IF(AND(OR(F290="",F290="NA"),OR(G290="",G290="NA")),"",IF(I290="NA","NA",IF(AND(I290="",K290="--"),"NA",IF(AU290="NA","Missing Data",IF(I290="","No Criteria",IF(AU290&gt;=I290,"Needed","No")))))),"---")</f>
        <v/>
      </c>
      <c r="F290" s="431" t="str">
        <f>IF(TRUE=ISBLANK(ChemData!B290),"",(ChemData!B290))</f>
        <v/>
      </c>
      <c r="G290" s="432" t="str">
        <f>IF(TRUE=ISBLANK(ChemData!C290),"",(ChemData!C290))</f>
        <v/>
      </c>
      <c r="H290" s="433" t="str">
        <f>IF(TRUE=ISBLANK(ChemData!D290),"",(ChemData!D290))</f>
        <v/>
      </c>
      <c r="I290" s="919" t="str">
        <f>IF(TRUE=ISBLANK(ChemData!K290),"",(ChemData!K290))</f>
        <v>NA</v>
      </c>
      <c r="J290" s="290">
        <f>IF(TRUE=ISBLANK(ChemData!M290),"",(ChemData!M290))</f>
        <v>360.9</v>
      </c>
      <c r="K290" s="290">
        <f>IF(TRUE=ISBLANK(ChemData!N290),"",(ChemData!N290))</f>
        <v>1.175E-4</v>
      </c>
      <c r="L290" s="290">
        <f>IF(TRUE=ISBLANK(ChemData!O290),"",(ChemData!O290))</f>
        <v>0.14956081451285605</v>
      </c>
      <c r="M290" s="290">
        <f>IF(TRUE=ISBLANK(ChemData!Q290),"",(ChemData!Q290))</f>
        <v>377925.6935583303</v>
      </c>
      <c r="N290" s="290">
        <f>IF(TRUE=ISBLANK(ChemData!R290),"",(ChemData!R290))</f>
        <v>377925.6935583303</v>
      </c>
      <c r="O290" s="290">
        <f>IF(TRUE=ISBLANK(ChemData!S290),"",(ChemData!S290))</f>
        <v>1</v>
      </c>
      <c r="P290" s="291">
        <f>IF(TRUE=ISBLANK(ChemData!T290),"",(ChemData!T290))</f>
        <v>1</v>
      </c>
      <c r="Q290" s="375">
        <f>IF(Start!$C$18="x",IF(OR(K290="NA",K290="",K290="--"),"NA",(K290*1000000/82.1/Data!$D$50)),"---")</f>
        <v>4.6167144709441674E-3</v>
      </c>
      <c r="R290" s="376">
        <f>IF(Start!$C$18="x",IF(OR(J290="NA",J290=0,J290=""),"NA",(0.32*(Data!$D$48+Data!$D$49)*(18/J290)^0.5)),"---")</f>
        <v>0.18402211728722398</v>
      </c>
      <c r="S290" s="376">
        <f>IF(Start!$C$18="x",IF(OR(J290="NA",J290= 0,J290=""),"NA",(0.0065*((Data!$D$49^0.969)/(Data!$D$51^0.673))*(32/J290)^0.5*EXP(0.526*Data!$D$48^-1.9))),"---")</f>
        <v>3.8786820721143473E-4</v>
      </c>
      <c r="T290" s="377">
        <f>IF(Start!$C$18="x",IF(OR(S290="NA",R290="NA",R290=0,Q290="NA",S290=0,Q290=0),"NA",(1/(1/S290+(1/(R290*Q290))))),"---")</f>
        <v>2.6629379263056575E-4</v>
      </c>
      <c r="U290" s="375" t="str">
        <f>IF(Start!$C$18="x",IF(OR(F290="NA",F290="",O290="",O290="NA"),"NA",(F290*$O290)),"---")</f>
        <v>NA</v>
      </c>
      <c r="V290" s="376" t="str">
        <f>IF(Start!$C$18="x",IF(OR(U290="NA",M290="NA",M290="",U290=""),"NA",U290/((Data!$D$18+((1-Data!$D$18)*Data!$D$14*M290))/((1-Data!$D$18)*Data!$D$14*1000))),"---")</f>
        <v>NA</v>
      </c>
      <c r="W290" s="376" t="str">
        <f>IF(Start!$C$18="x",IF(OR(G290="NA",U290="NA",G290="",U290=""),"NA",(U290 +($G290*(Data!$D$19-Data!$D$22)/(Data!$D$19*Data!$D$22)))),"---")</f>
        <v>NA</v>
      </c>
      <c r="X290" s="376" t="str">
        <f>IF(Start!$C$18="x",IF(OR(G290="NA",V290="NA",G290="",V290=""),"NA",(((Data!$D$22*Data!$D$18)*V290)+(Data!$D$19-Data!$D$22)*$G290)/((Data!$D$22*Data!$D$18)+Data!$D$19-Data!$D$22)),"---")</f>
        <v>NA</v>
      </c>
      <c r="Y290" s="376" t="str">
        <f>IF(Start!$C$18="x",IF(OR(W290="NA",W290="",M290="NA",M290=""),"NA",(W290/((Data!$D$23+((1-Data!$D$23)*Data!$D$14*M290)) /((1-Data!$D$23)*Data!$D$14*1000)))),"---")</f>
        <v>NA</v>
      </c>
      <c r="Z290" s="376" t="str">
        <f>IF(Start!$C$18="x",IF(OR(Y290="NA",X290="NA"),"NA",IF(Y290&gt;X290, Y290, X290)),"---")</f>
        <v>NA</v>
      </c>
      <c r="AA290" s="461" t="str">
        <f>IF(Start!$C$18="x",IF(OR(Z290="NA",T290="NA"),"NA",Z290*T290/(1000000000)),"---")</f>
        <v>NA</v>
      </c>
      <c r="AB290" s="1057" t="str">
        <f>IF(Start!$C$18="x",IF(AA290 = "NA", "NA", AA290*(Data!$D$52*Data!$D$53*10000)),"---")</f>
        <v>NA</v>
      </c>
      <c r="AC290" s="375" t="str">
        <f>IF(Start!$C$18="x",IF(AB290="NA", "NA", AB290*Data!$D$54),"---")</f>
        <v>NA</v>
      </c>
      <c r="AD290" s="498" t="str">
        <f>IF(Start!$C$18="x",IF(AC290="NA","NA",AC290*Data!$D$41),"---")</f>
        <v>NA</v>
      </c>
      <c r="AE290" s="376" t="str">
        <f>IF(Start!$C$18="x",IF(AB290 = "NA", "NA", AB290/(Data!$D$53*3*Data!$D$48)*1000),"---")</f>
        <v>NA</v>
      </c>
      <c r="AF290" s="498" t="str">
        <f>IF(Start!$C$18="x",IF(AE290="NA","NA",AE290*Data!$D$46),"---")</f>
        <v>NA</v>
      </c>
      <c r="AG290" s="375">
        <f>IF(Start!$C$18="x",IF(OR($L290="NA",L290=""),"NA",($L290*(Data!$D$55^3.33)/(Data!$D$18^2))),"---")</f>
        <v>1.5236498505727611E-3</v>
      </c>
      <c r="AH290" s="376" t="str">
        <f>IF(Start!$C$18="x",IF(OR(F290="NA",F290="",P290="NA",P290=""),"NA",IF(100/Data!$D$10&gt;Data!$D$13,(F290*$P290),(F290*$P290)*Data!$D$13)),"---")</f>
        <v>NA</v>
      </c>
      <c r="AI290" s="489">
        <f>IF(Start!$C$18="x",IF(OR($N290="NA",$Q290="NA",$Q290=0,Q290="",N290=""),"NA",(1000*$N290/$Q290)),"---")</f>
        <v>81860313419.175018</v>
      </c>
      <c r="AJ290" s="376">
        <f>IF(Start!$C$18="x",IF(OR(Q290 = "NA",Q290=0,N290 = "NA",N290="",Q290=""), "NA", IF($AG290="NA","NA",(3.1416*Data!$D$57*86400/($AG290*(Data!$D$55+(N290*Data!$D$19/(Q290*1000)))))^0.5)),"---")</f>
        <v>8.7673433298267973</v>
      </c>
      <c r="AK290" s="376" t="str">
        <f>IF(Start!$C$18="x",IF(OR(AH290 = "NA",AI290="NA",AI290=0,AI290="",AH290=""), "NA", AH290/AI290),"---")</f>
        <v>NA</v>
      </c>
      <c r="AL290" s="376" t="str">
        <f>IF(Start!$C$18="x",IF(OR(AK290 ="NA",AK290="",AJ290= "NA",R290="NA",R290=0),"NA",(2*AK290)/(1000*(1/$R290+AJ290))),"---")</f>
        <v>NA</v>
      </c>
      <c r="AM290" s="376" t="str">
        <f>IF(Start!$C$18="x",IF(AL290 = "NA", "NA", AL290*(Data!$D$52*Data!$D$53*10000)),"---")</f>
        <v>NA</v>
      </c>
      <c r="AN290" s="376" t="str">
        <f>IF(Start!$C$18="x",IF(AM290 = "NA", "NA", AM290*(Data!$D$54)),"---")</f>
        <v>NA</v>
      </c>
      <c r="AO290" s="498" t="str">
        <f>IF(Start!$C$18="x",IF(AN290="NA","NA",AN290*Data!$D$41),"---")</f>
        <v>NA</v>
      </c>
      <c r="AP290" s="376">
        <f>IF(Start!$C$18="x",IF(OR(Q290=0,N290="NA",N290="",AG290="NA",AG290="",AG290=0,Q290="",Q290="NA"),"NA", (3.1416*Data!$D$56*86400/($AG290*(Data!$D$55+(N290*Data!$D$19/(Q290*1000)))))^0.5),"---")</f>
        <v>8.7673433298267973</v>
      </c>
      <c r="AQ290" s="376" t="str">
        <f>IF(Start!$C$18="x",IF(OR(AH290="NA",AI290="NA",AI290="",AI290=0,AH290=""),"NA", AH290/AI290),"---")</f>
        <v>NA</v>
      </c>
      <c r="AR290" s="376" t="str">
        <f>IF(Start!$C$18="x",IF(OR(AQ290="NA",AP290="NA",$R290="NA",R290=0,R290=""),"NA",(2*AQ290)/(1000*(1/$R290+AP290))),"---")</f>
        <v>NA</v>
      </c>
      <c r="AS290" s="376" t="str">
        <f>IF(Start!$C$18="x",IF(AR290 = "NA", "NA", AR290*(Data!$D$52*Data!$D$53*10000)),"---")</f>
        <v>NA</v>
      </c>
      <c r="AT290" s="376" t="str">
        <f>IF(Start!$C$18="x",IF(AS290 = "NA", "NA", (AS290*1000)/(Data!$D$48*3*Data!$D$53)),"---")</f>
        <v>NA</v>
      </c>
      <c r="AU290" s="498" t="str">
        <f>IF(Start!$C$18="x",IF(AT290="NA","NA",AT290*Data!$D$47),"---")</f>
        <v>NA</v>
      </c>
      <c r="AV290" s="283" t="str">
        <f>IF(Start!$C$18="x",(IF(AND(F290="",G290= "",G290&lt;&gt;"NA"),"",IF(OR(AD290="NA",I290="NA",I290=0),"NA",(AD290/I290)))),"Not Req.")</f>
        <v/>
      </c>
      <c r="AW290" s="284" t="str">
        <f>IF(Start!$C$18="x",(IF(AND(F290="",G290= "",G290&lt;&gt;"NA"),"",IF(OR(AF290="NA",I290="NA",I290=0),"NA",(AF290/I290)))),"Not Req.")</f>
        <v/>
      </c>
      <c r="AX290" s="284" t="str">
        <f>IF(Start!$C$18="x",(IF(F290 ="","",IF(OR(AO290="NA",I290="NA",I290=0),"NA",(AO290/I290)))),"Not Req.")</f>
        <v/>
      </c>
      <c r="AY290" s="344" t="str">
        <f>IF(Start!$C$18="x",(IF(F290 ="","",IF(OR(AU290="NA",I290="NA",I290=0),"NA",(AU290/I290)))),"Not Req.")</f>
        <v/>
      </c>
      <c r="AZ290" s="208"/>
    </row>
    <row r="291" spans="1:52" s="183" customFormat="1" x14ac:dyDescent="0.25">
      <c r="A291" s="405" t="s">
        <v>609</v>
      </c>
      <c r="B291" s="347" t="str">
        <f>IF(Start!$C$18="x",IF(AND(OR(F291="",F291="NA"),OR(G291="",G291="NA")),"",IF(I291="NA","NA",IF(AND(I291="",K291="--"),"NA",IF(AD291="NA","Missing Data",IF(I291="","No Criteria",IF(AD291&gt;=I291,"Needed","No")))))),"---")</f>
        <v/>
      </c>
      <c r="C291" s="501" t="str">
        <f>IF(Start!$C$18="x",IF(AND(OR(F291="",F291="NA"),OR(G291="",G291="NA")),"",IF(I291="NA","NA",IF(AND(I291="",K291="--"),"NA",IF(AF291="NA","Missing Data",IF(I291="","No Criteria",IF(AF291&gt;=I291,"Needed","No")))))),"---")</f>
        <v/>
      </c>
      <c r="D291" s="347" t="str">
        <f>IF(Start!$C$18="x",IF(AND(OR(F291="",F291="NA"),OR(G291="",G291="NA")),"",IF(I291="NA","NA",IF(AND(I291="",K291="--"),"NA",IF(AO291="NA","Missing Data",IF(I291="","No Criteria",IF(AO291&gt;=I291,"Needed","No")))))),"---")</f>
        <v/>
      </c>
      <c r="E291" s="401" t="str">
        <f>IF(Start!$C$18="x",IF(AND(OR(F291="",F291="NA"),OR(G291="",G291="NA")),"",IF(I291="NA","NA",IF(AND(I291="",K291="--"),"NA",IF(AU291="NA","Missing Data",IF(I291="","No Criteria",IF(AU291&gt;=I291,"Needed","No")))))),"---")</f>
        <v/>
      </c>
      <c r="F291" s="431" t="str">
        <f>IF(TRUE=ISBLANK(ChemData!B291),"",(ChemData!B291))</f>
        <v/>
      </c>
      <c r="G291" s="432" t="str">
        <f>IF(TRUE=ISBLANK(ChemData!C291),"",(ChemData!C291))</f>
        <v/>
      </c>
      <c r="H291" s="433" t="str">
        <f>IF(TRUE=ISBLANK(ChemData!D291),"",(ChemData!D291))</f>
        <v/>
      </c>
      <c r="I291" s="919" t="str">
        <f>IF(TRUE=ISBLANK(ChemData!K291),"",(ChemData!K291))</f>
        <v>NA</v>
      </c>
      <c r="J291" s="290">
        <f>IF(TRUE=ISBLANK(ChemData!M291),"",(ChemData!M291))</f>
        <v>360.9</v>
      </c>
      <c r="K291" s="290">
        <f>IF(TRUE=ISBLANK(ChemData!N291),"",(ChemData!N291))</f>
        <v>2.0999999999999999E-5</v>
      </c>
      <c r="L291" s="290">
        <f>IF(TRUE=ISBLANK(ChemData!O291),"",(ChemData!O291))</f>
        <v>0.14956081451285605</v>
      </c>
      <c r="M291" s="290">
        <f>IF(TRUE=ISBLANK(ChemData!Q291),"",(ChemData!Q291))</f>
        <v>94930.64217680179</v>
      </c>
      <c r="N291" s="290">
        <f>IF(TRUE=ISBLANK(ChemData!R291),"",(ChemData!R291))</f>
        <v>94930.64217680179</v>
      </c>
      <c r="O291" s="290">
        <f>IF(TRUE=ISBLANK(ChemData!S291),"",(ChemData!S291))</f>
        <v>1</v>
      </c>
      <c r="P291" s="291">
        <f>IF(TRUE=ISBLANK(ChemData!T291),"",(ChemData!T291))</f>
        <v>1</v>
      </c>
      <c r="Q291" s="375">
        <f>IF(Start!$C$18="x",IF(OR(K291="NA",K291="",K291="--"),"NA",(K291*1000000/82.1/Data!$D$50)),"---")</f>
        <v>8.2511492672193633E-4</v>
      </c>
      <c r="R291" s="376">
        <f>IF(Start!$C$18="x",IF(OR(J291="NA",J291=0,J291=""),"NA",(0.32*(Data!$D$48+Data!$D$49)*(18/J291)^0.5)),"---")</f>
        <v>0.18402211728722398</v>
      </c>
      <c r="S291" s="376">
        <f>IF(Start!$C$18="x",IF(OR(J291="NA",J291= 0,J291=""),"NA",(0.0065*((Data!$D$49^0.969)/(Data!$D$51^0.673))*(32/J291)^0.5*EXP(0.526*Data!$D$48^-1.9))),"---")</f>
        <v>3.8786820721143473E-4</v>
      </c>
      <c r="T291" s="377">
        <f>IF(Start!$C$18="x",IF(OR(S291="NA",R291="NA",R291=0,Q291="NA",S291=0,Q291=0),"NA",(1/(1/S291+(1/(R291*Q291))))),"---")</f>
        <v>1.0912144633531414E-4</v>
      </c>
      <c r="U291" s="375" t="str">
        <f>IF(Start!$C$18="x",IF(OR(F291="NA",F291="",O291="",O291="NA"),"NA",(F291*$O291)),"---")</f>
        <v>NA</v>
      </c>
      <c r="V291" s="376" t="str">
        <f>IF(Start!$C$18="x",IF(OR(U291="NA",M291="NA",M291="",U291=""),"NA",U291/((Data!$D$18+((1-Data!$D$18)*Data!$D$14*M291))/((1-Data!$D$18)*Data!$D$14*1000))),"---")</f>
        <v>NA</v>
      </c>
      <c r="W291" s="376" t="str">
        <f>IF(Start!$C$18="x",IF(OR(G291="NA",U291="NA",G291="",U291=""),"NA",(U291 +($G291*(Data!$D$19-Data!$D$22)/(Data!$D$19*Data!$D$22)))),"---")</f>
        <v>NA</v>
      </c>
      <c r="X291" s="376" t="str">
        <f>IF(Start!$C$18="x",IF(OR(G291="NA",V291="NA",G291="",V291=""),"NA",(((Data!$D$22*Data!$D$18)*V291)+(Data!$D$19-Data!$D$22)*$G291)/((Data!$D$22*Data!$D$18)+Data!$D$19-Data!$D$22)),"---")</f>
        <v>NA</v>
      </c>
      <c r="Y291" s="376" t="str">
        <f>IF(Start!$C$18="x",IF(OR(W291="NA",W291="",M291="NA",M291=""),"NA",(W291/((Data!$D$23+((1-Data!$D$23)*Data!$D$14*M291)) /((1-Data!$D$23)*Data!$D$14*1000)))),"---")</f>
        <v>NA</v>
      </c>
      <c r="Z291" s="376" t="str">
        <f>IF(Start!$C$18="x",IF(OR(Y291="NA",X291="NA"),"NA",IF(Y291&gt;X291, Y291, X291)),"---")</f>
        <v>NA</v>
      </c>
      <c r="AA291" s="461" t="str">
        <f>IF(Start!$C$18="x",IF(OR(Z291="NA",T291="NA"),"NA",Z291*T291/(1000000000)),"---")</f>
        <v>NA</v>
      </c>
      <c r="AB291" s="1057" t="str">
        <f>IF(Start!$C$18="x",IF(AA291 = "NA", "NA", AA291*(Data!$D$52*Data!$D$53*10000)),"---")</f>
        <v>NA</v>
      </c>
      <c r="AC291" s="375" t="str">
        <f>IF(Start!$C$18="x",IF(AB291="NA", "NA", AB291*Data!$D$54),"---")</f>
        <v>NA</v>
      </c>
      <c r="AD291" s="498" t="str">
        <f>IF(Start!$C$18="x",IF(AC291="NA","NA",AC291*Data!$D$41),"---")</f>
        <v>NA</v>
      </c>
      <c r="AE291" s="376" t="str">
        <f>IF(Start!$C$18="x",IF(AB291 = "NA", "NA", AB291/(Data!$D$53*3*Data!$D$48)*1000),"---")</f>
        <v>NA</v>
      </c>
      <c r="AF291" s="498" t="str">
        <f>IF(Start!$C$18="x",IF(AE291="NA","NA",AE291*Data!$D$46),"---")</f>
        <v>NA</v>
      </c>
      <c r="AG291" s="375">
        <f>IF(Start!$C$18="x",IF(OR($L291="NA",L291=""),"NA",($L291*(Data!$D$55^3.33)/(Data!$D$18^2))),"---")</f>
        <v>1.5236498505727611E-3</v>
      </c>
      <c r="AH291" s="376" t="str">
        <f>IF(Start!$C$18="x",IF(OR(F291="NA",F291="",P291="NA",P291=""),"NA",IF(100/Data!$D$10&gt;Data!$D$13,(F291*$P291),(F291*$P291)*Data!$D$13)),"---")</f>
        <v>NA</v>
      </c>
      <c r="AI291" s="489">
        <f>IF(Start!$C$18="x",IF(OR($N291="NA",$Q291="NA",$Q291=0,Q291="",N291=""),"NA",(1000*$N291/$Q291)),"---")</f>
        <v>115051417811.51343</v>
      </c>
      <c r="AJ291" s="376">
        <f>IF(Start!$C$18="x",IF(OR(Q291 = "NA",Q291=0,N291 = "NA",N291="",Q291=""), "NA", IF($AG291="NA","NA",(3.1416*Data!$D$57*86400/($AG291*(Data!$D$55+(N291*Data!$D$19/(Q291*1000)))))^0.5)),"---")</f>
        <v>7.3953499224387844</v>
      </c>
      <c r="AK291" s="376" t="str">
        <f>IF(Start!$C$18="x",IF(OR(AH291 = "NA",AI291="NA",AI291=0,AI291="",AH291=""), "NA", AH291/AI291),"---")</f>
        <v>NA</v>
      </c>
      <c r="AL291" s="376" t="str">
        <f>IF(Start!$C$18="x",IF(OR(AK291 ="NA",AK291="",AJ291= "NA",R291="NA",R291=0),"NA",(2*AK291)/(1000*(1/$R291+AJ291))),"---")</f>
        <v>NA</v>
      </c>
      <c r="AM291" s="376" t="str">
        <f>IF(Start!$C$18="x",IF(AL291 = "NA", "NA", AL291*(Data!$D$52*Data!$D$53*10000)),"---")</f>
        <v>NA</v>
      </c>
      <c r="AN291" s="376" t="str">
        <f>IF(Start!$C$18="x",IF(AM291 = "NA", "NA", AM291*(Data!$D$54)),"---")</f>
        <v>NA</v>
      </c>
      <c r="AO291" s="498" t="str">
        <f>IF(Start!$C$18="x",IF(AN291="NA","NA",AN291*Data!$D$41),"---")</f>
        <v>NA</v>
      </c>
      <c r="AP291" s="376">
        <f>IF(Start!$C$18="x",IF(OR(Q291=0,N291="NA",N291="",AG291="NA",AG291="",AG291=0,Q291="",Q291="NA"),"NA", (3.1416*Data!$D$56*86400/($AG291*(Data!$D$55+(N291*Data!$D$19/(Q291*1000)))))^0.5),"---")</f>
        <v>7.3953499224387844</v>
      </c>
      <c r="AQ291" s="376" t="str">
        <f>IF(Start!$C$18="x",IF(OR(AH291="NA",AI291="NA",AI291="",AI291=0,AH291=""),"NA", AH291/AI291),"---")</f>
        <v>NA</v>
      </c>
      <c r="AR291" s="376" t="str">
        <f>IF(Start!$C$18="x",IF(OR(AQ291="NA",AP291="NA",$R291="NA",R291=0,R291=""),"NA",(2*AQ291)/(1000*(1/$R291+AP291))),"---")</f>
        <v>NA</v>
      </c>
      <c r="AS291" s="376" t="str">
        <f>IF(Start!$C$18="x",IF(AR291 = "NA", "NA", AR291*(Data!$D$52*Data!$D$53*10000)),"---")</f>
        <v>NA</v>
      </c>
      <c r="AT291" s="376" t="str">
        <f>IF(Start!$C$18="x",IF(AS291 = "NA", "NA", (AS291*1000)/(Data!$D$48*3*Data!$D$53)),"---")</f>
        <v>NA</v>
      </c>
      <c r="AU291" s="498" t="str">
        <f>IF(Start!$C$18="x",IF(AT291="NA","NA",AT291*Data!$D$47),"---")</f>
        <v>NA</v>
      </c>
      <c r="AV291" s="283" t="str">
        <f>IF(Start!$C$18="x",(IF(AND(F291="",G291= "",G291&lt;&gt;"NA"),"",IF(OR(AD291="NA",I291="NA",I291=0),"NA",(AD291/I291)))),"Not Req.")</f>
        <v/>
      </c>
      <c r="AW291" s="284" t="str">
        <f>IF(Start!$C$18="x",(IF(AND(F291="",G291= "",G291&lt;&gt;"NA"),"",IF(OR(AF291="NA",I291="NA",I291=0),"NA",(AF291/I291)))),"Not Req.")</f>
        <v/>
      </c>
      <c r="AX291" s="284" t="str">
        <f>IF(Start!$C$18="x",(IF(F291 ="","",IF(OR(AO291="NA",I291="NA",I291=0),"NA",(AO291/I291)))),"Not Req.")</f>
        <v/>
      </c>
      <c r="AY291" s="344" t="str">
        <f>IF(Start!$C$18="x",(IF(F291 ="","",IF(OR(AU291="NA",I291="NA",I291=0),"NA",(AU291/I291)))),"Not Req.")</f>
        <v/>
      </c>
      <c r="AZ291" s="208"/>
    </row>
    <row r="292" spans="1:52" s="183" customFormat="1" x14ac:dyDescent="0.25">
      <c r="A292" s="405" t="s">
        <v>610</v>
      </c>
      <c r="B292" s="347" t="str">
        <f>IF(Start!$C$18="x",IF(AND(OR(F292="",F292="NA"),OR(G292="",G292="NA")),"",IF(I292="NA","NA",IF(AND(I292="",K292="--"),"NA",IF(AD292="NA","Missing Data",IF(I292="","No Criteria",IF(AD292&gt;=I292,"Needed","No")))))),"---")</f>
        <v/>
      </c>
      <c r="C292" s="501" t="str">
        <f>IF(Start!$C$18="x",IF(AND(OR(F292="",F292="NA"),OR(G292="",G292="NA")),"",IF(I292="NA","NA",IF(AND(I292="",K292="--"),"NA",IF(AF292="NA","Missing Data",IF(I292="","No Criteria",IF(AF292&gt;=I292,"Needed","No")))))),"---")</f>
        <v/>
      </c>
      <c r="D292" s="347" t="str">
        <f>IF(Start!$C$18="x",IF(AND(OR(F292="",F292="NA"),OR(G292="",G292="NA")),"",IF(I292="NA","NA",IF(AND(I292="",K292="--"),"NA",IF(AO292="NA","Missing Data",IF(I292="","No Criteria",IF(AO292&gt;=I292,"Needed","No")))))),"---")</f>
        <v/>
      </c>
      <c r="E292" s="401" t="str">
        <f>IF(Start!$C$18="x",IF(AND(OR(F292="",F292="NA"),OR(G292="",G292="NA")),"",IF(I292="NA","NA",IF(AND(I292="",K292="--"),"NA",IF(AU292="NA","Missing Data",IF(I292="","No Criteria",IF(AU292&gt;=I292,"Needed","No")))))),"---")</f>
        <v/>
      </c>
      <c r="F292" s="431" t="str">
        <f>IF(TRUE=ISBLANK(ChemData!B292),"",(ChemData!B292))</f>
        <v/>
      </c>
      <c r="G292" s="432" t="str">
        <f>IF(TRUE=ISBLANK(ChemData!C292),"",(ChemData!C292))</f>
        <v/>
      </c>
      <c r="H292" s="433" t="str">
        <f>IF(TRUE=ISBLANK(ChemData!D292),"",(ChemData!D292))</f>
        <v/>
      </c>
      <c r="I292" s="919" t="str">
        <f>IF(TRUE=ISBLANK(ChemData!K292),"",(ChemData!K292))</f>
        <v>NA</v>
      </c>
      <c r="J292" s="290">
        <f>IF(TRUE=ISBLANK(ChemData!M292),"",(ChemData!M292))</f>
        <v>360.9</v>
      </c>
      <c r="K292" s="290">
        <f>IF(TRUE=ISBLANK(ChemData!N292),"",(ChemData!N292))</f>
        <v>4.2339999999999999E-4</v>
      </c>
      <c r="L292" s="290">
        <f>IF(TRUE=ISBLANK(ChemData!O292),"",(ChemData!O292))</f>
        <v>0.14956081451285605</v>
      </c>
      <c r="M292" s="290">
        <f>IF(TRUE=ISBLANK(ChemData!Q292),"",(ChemData!Q292))</f>
        <v>147030.15624746474</v>
      </c>
      <c r="N292" s="290">
        <f>IF(TRUE=ISBLANK(ChemData!R292),"",(ChemData!R292))</f>
        <v>147030.15624746474</v>
      </c>
      <c r="O292" s="290">
        <f>IF(TRUE=ISBLANK(ChemData!S292),"",(ChemData!S292))</f>
        <v>1</v>
      </c>
      <c r="P292" s="291">
        <f>IF(TRUE=ISBLANK(ChemData!T292),"",(ChemData!T292))</f>
        <v>1</v>
      </c>
      <c r="Q292" s="375">
        <f>IF(Start!$C$18="x",IF(OR(K292="NA",K292="",K292="--"),"NA",(K292*1000000/82.1/Data!$D$50)),"---")</f>
        <v>1.6635888570193706E-2</v>
      </c>
      <c r="R292" s="376">
        <f>IF(Start!$C$18="x",IF(OR(J292="NA",J292=0,J292=""),"NA",(0.32*(Data!$D$48+Data!$D$49)*(18/J292)^0.5)),"---")</f>
        <v>0.18402211728722398</v>
      </c>
      <c r="S292" s="376">
        <f>IF(Start!$C$18="x",IF(OR(J292="NA",J292= 0,J292=""),"NA",(0.0065*((Data!$D$49^0.969)/(Data!$D$51^0.673))*(32/J292)^0.5*EXP(0.526*Data!$D$48^-1.9))),"---")</f>
        <v>3.8786820721143473E-4</v>
      </c>
      <c r="T292" s="377">
        <f>IF(Start!$C$18="x",IF(OR(S292="NA",R292="NA",R292=0,Q292="NA",S292=0,Q292=0),"NA",(1/(1/S292+(1/(R292*Q292))))),"---")</f>
        <v>3.4425229134142209E-4</v>
      </c>
      <c r="U292" s="375" t="str">
        <f>IF(Start!$C$18="x",IF(OR(F292="NA",F292="",O292="",O292="NA"),"NA",(F292*$O292)),"---")</f>
        <v>NA</v>
      </c>
      <c r="V292" s="376" t="str">
        <f>IF(Start!$C$18="x",IF(OR(U292="NA",M292="NA",M292="",U292=""),"NA",U292/((Data!$D$18+((1-Data!$D$18)*Data!$D$14*M292))/((1-Data!$D$18)*Data!$D$14*1000))),"---")</f>
        <v>NA</v>
      </c>
      <c r="W292" s="376" t="str">
        <f>IF(Start!$C$18="x",IF(OR(G292="NA",U292="NA",G292="",U292=""),"NA",(U292 +($G292*(Data!$D$19-Data!$D$22)/(Data!$D$19*Data!$D$22)))),"---")</f>
        <v>NA</v>
      </c>
      <c r="X292" s="376" t="str">
        <f>IF(Start!$C$18="x",IF(OR(G292="NA",V292="NA",G292="",V292=""),"NA",(((Data!$D$22*Data!$D$18)*V292)+(Data!$D$19-Data!$D$22)*$G292)/((Data!$D$22*Data!$D$18)+Data!$D$19-Data!$D$22)),"---")</f>
        <v>NA</v>
      </c>
      <c r="Y292" s="376" t="str">
        <f>IF(Start!$C$18="x",IF(OR(W292="NA",W292="",M292="NA",M292=""),"NA",(W292/((Data!$D$23+((1-Data!$D$23)*Data!$D$14*M292)) /((1-Data!$D$23)*Data!$D$14*1000)))),"---")</f>
        <v>NA</v>
      </c>
      <c r="Z292" s="376" t="str">
        <f>IF(Start!$C$18="x",IF(OR(Y292="NA",X292="NA"),"NA",IF(Y292&gt;X292, Y292, X292)),"---")</f>
        <v>NA</v>
      </c>
      <c r="AA292" s="461" t="str">
        <f>IF(Start!$C$18="x",IF(OR(Z292="NA",T292="NA"),"NA",Z292*T292/(1000000000)),"---")</f>
        <v>NA</v>
      </c>
      <c r="AB292" s="1057" t="str">
        <f>IF(Start!$C$18="x",IF(AA292 = "NA", "NA", AA292*(Data!$D$52*Data!$D$53*10000)),"---")</f>
        <v>NA</v>
      </c>
      <c r="AC292" s="375" t="str">
        <f>IF(Start!$C$18="x",IF(AB292="NA", "NA", AB292*Data!$D$54),"---")</f>
        <v>NA</v>
      </c>
      <c r="AD292" s="498" t="str">
        <f>IF(Start!$C$18="x",IF(AC292="NA","NA",AC292*Data!$D$41),"---")</f>
        <v>NA</v>
      </c>
      <c r="AE292" s="376" t="str">
        <f>IF(Start!$C$18="x",IF(AB292 = "NA", "NA", AB292/(Data!$D$53*3*Data!$D$48)*1000),"---")</f>
        <v>NA</v>
      </c>
      <c r="AF292" s="498" t="str">
        <f>IF(Start!$C$18="x",IF(AE292="NA","NA",AE292*Data!$D$46),"---")</f>
        <v>NA</v>
      </c>
      <c r="AG292" s="375">
        <f>IF(Start!$C$18="x",IF(OR($L292="NA",L292=""),"NA",($L292*(Data!$D$55^3.33)/(Data!$D$18^2))),"---")</f>
        <v>1.5236498505727611E-3</v>
      </c>
      <c r="AH292" s="376" t="str">
        <f>IF(Start!$C$18="x",IF(OR(F292="NA",F292="",P292="NA",P292=""),"NA",IF(100/Data!$D$10&gt;Data!$D$13,(F292*$P292),(F292*$P292)*Data!$D$13)),"---")</f>
        <v>NA</v>
      </c>
      <c r="AI292" s="489">
        <f>IF(Start!$C$18="x",IF(OR($N292="NA",$Q292="NA",$Q292=0,Q292="",N292=""),"NA",(1000*$N292/$Q292)),"---")</f>
        <v>8838130625.069025</v>
      </c>
      <c r="AJ292" s="376">
        <f>IF(Start!$C$18="x",IF(OR(Q292 = "NA",Q292=0,N292 = "NA",N292="",Q292=""), "NA", IF($AG292="NA","NA",(3.1416*Data!$D$57*86400/($AG292*(Data!$D$55+(N292*Data!$D$19/(Q292*1000)))))^0.5)),"---")</f>
        <v>26.682376150307274</v>
      </c>
      <c r="AK292" s="376" t="str">
        <f>IF(Start!$C$18="x",IF(OR(AH292 = "NA",AI292="NA",AI292=0,AI292="",AH292=""), "NA", AH292/AI292),"---")</f>
        <v>NA</v>
      </c>
      <c r="AL292" s="376" t="str">
        <f>IF(Start!$C$18="x",IF(OR(AK292 ="NA",AK292="",AJ292= "NA",R292="NA",R292=0),"NA",(2*AK292)/(1000*(1/$R292+AJ292))),"---")</f>
        <v>NA</v>
      </c>
      <c r="AM292" s="376" t="str">
        <f>IF(Start!$C$18="x",IF(AL292 = "NA", "NA", AL292*(Data!$D$52*Data!$D$53*10000)),"---")</f>
        <v>NA</v>
      </c>
      <c r="AN292" s="376" t="str">
        <f>IF(Start!$C$18="x",IF(AM292 = "NA", "NA", AM292*(Data!$D$54)),"---")</f>
        <v>NA</v>
      </c>
      <c r="AO292" s="498" t="str">
        <f>IF(Start!$C$18="x",IF(AN292="NA","NA",AN292*Data!$D$41),"---")</f>
        <v>NA</v>
      </c>
      <c r="AP292" s="376">
        <f>IF(Start!$C$18="x",IF(OR(Q292=0,N292="NA",N292="",AG292="NA",AG292="",AG292=0,Q292="",Q292="NA"),"NA", (3.1416*Data!$D$56*86400/($AG292*(Data!$D$55+(N292*Data!$D$19/(Q292*1000)))))^0.5),"---")</f>
        <v>26.682376150307274</v>
      </c>
      <c r="AQ292" s="376" t="str">
        <f>IF(Start!$C$18="x",IF(OR(AH292="NA",AI292="NA",AI292="",AI292=0,AH292=""),"NA", AH292/AI292),"---")</f>
        <v>NA</v>
      </c>
      <c r="AR292" s="376" t="str">
        <f>IF(Start!$C$18="x",IF(OR(AQ292="NA",AP292="NA",$R292="NA",R292=0,R292=""),"NA",(2*AQ292)/(1000*(1/$R292+AP292))),"---")</f>
        <v>NA</v>
      </c>
      <c r="AS292" s="376" t="str">
        <f>IF(Start!$C$18="x",IF(AR292 = "NA", "NA", AR292*(Data!$D$52*Data!$D$53*10000)),"---")</f>
        <v>NA</v>
      </c>
      <c r="AT292" s="376" t="str">
        <f>IF(Start!$C$18="x",IF(AS292 = "NA", "NA", (AS292*1000)/(Data!$D$48*3*Data!$D$53)),"---")</f>
        <v>NA</v>
      </c>
      <c r="AU292" s="498" t="str">
        <f>IF(Start!$C$18="x",IF(AT292="NA","NA",AT292*Data!$D$47),"---")</f>
        <v>NA</v>
      </c>
      <c r="AV292" s="283" t="str">
        <f>IF(Start!$C$18="x",(IF(AND(F292="",G292= "",G292&lt;&gt;"NA"),"",IF(OR(AD292="NA",I292="NA",I292=0),"NA",(AD292/I292)))),"Not Req.")</f>
        <v/>
      </c>
      <c r="AW292" s="284" t="str">
        <f>IF(Start!$C$18="x",(IF(AND(F292="",G292= "",G292&lt;&gt;"NA"),"",IF(OR(AF292="NA",I292="NA",I292=0),"NA",(AF292/I292)))),"Not Req.")</f>
        <v/>
      </c>
      <c r="AX292" s="284" t="str">
        <f>IF(Start!$C$18="x",(IF(F292 ="","",IF(OR(AO292="NA",I292="NA",I292=0),"NA",(AO292/I292)))),"Not Req.")</f>
        <v/>
      </c>
      <c r="AY292" s="344" t="str">
        <f>IF(Start!$C$18="x",(IF(F292 ="","",IF(OR(AU292="NA",I292="NA",I292=0),"NA",(AU292/I292)))),"Not Req.")</f>
        <v/>
      </c>
      <c r="AZ292" s="208"/>
    </row>
    <row r="293" spans="1:52" s="183" customFormat="1" x14ac:dyDescent="0.25">
      <c r="A293" s="405" t="s">
        <v>611</v>
      </c>
      <c r="B293" s="347" t="str">
        <f>IF(Start!$C$18="x",IF(AND(OR(F293="",F293="NA"),OR(G293="",G293="NA")),"",IF(I293="NA","NA",IF(AND(I293="",K293="--"),"NA",IF(AD293="NA","Missing Data",IF(I293="","No Criteria",IF(AD293&gt;=I293,"Needed","No")))))),"---")</f>
        <v/>
      </c>
      <c r="C293" s="501" t="str">
        <f>IF(Start!$C$18="x",IF(AND(OR(F293="",F293="NA"),OR(G293="",G293="NA")),"",IF(I293="NA","NA",IF(AND(I293="",K293="--"),"NA",IF(AF293="NA","Missing Data",IF(I293="","No Criteria",IF(AF293&gt;=I293,"Needed","No")))))),"---")</f>
        <v/>
      </c>
      <c r="D293" s="347" t="str">
        <f>IF(Start!$C$18="x",IF(AND(OR(F293="",F293="NA"),OR(G293="",G293="NA")),"",IF(I293="NA","NA",IF(AND(I293="",K293="--"),"NA",IF(AO293="NA","Missing Data",IF(I293="","No Criteria",IF(AO293&gt;=I293,"Needed","No")))))),"---")</f>
        <v/>
      </c>
      <c r="E293" s="401" t="str">
        <f>IF(Start!$C$18="x",IF(AND(OR(F293="",F293="NA"),OR(G293="",G293="NA")),"",IF(I293="NA","NA",IF(AND(I293="",K293="--"),"NA",IF(AU293="NA","Missing Data",IF(I293="","No Criteria",IF(AU293&gt;=I293,"Needed","No")))))),"---")</f>
        <v/>
      </c>
      <c r="F293" s="431" t="str">
        <f>IF(TRUE=ISBLANK(ChemData!B293),"",(ChemData!B293))</f>
        <v/>
      </c>
      <c r="G293" s="432" t="str">
        <f>IF(TRUE=ISBLANK(ChemData!C293),"",(ChemData!C293))</f>
        <v/>
      </c>
      <c r="H293" s="433" t="str">
        <f>IF(TRUE=ISBLANK(ChemData!D293),"",(ChemData!D293))</f>
        <v/>
      </c>
      <c r="I293" s="919" t="str">
        <f>IF(TRUE=ISBLANK(ChemData!K293),"",(ChemData!K293))</f>
        <v>NA</v>
      </c>
      <c r="J293" s="290">
        <f>IF(TRUE=ISBLANK(ChemData!M293),"",(ChemData!M293))</f>
        <v>360.9</v>
      </c>
      <c r="K293" s="290">
        <f>IF(TRUE=ISBLANK(ChemData!N293),"",(ChemData!N293))</f>
        <v>1.4300000000000001E-4</v>
      </c>
      <c r="L293" s="290">
        <f>IF(TRUE=ISBLANK(ChemData!O293),"",(ChemData!O293))</f>
        <v>0.14956081451285605</v>
      </c>
      <c r="M293" s="290">
        <f>IF(TRUE=ISBLANK(ChemData!Q293),"",(ChemData!Q293))</f>
        <v>128057.91271709518</v>
      </c>
      <c r="N293" s="290">
        <f>IF(TRUE=ISBLANK(ChemData!R293),"",(ChemData!R293))</f>
        <v>128057.91271709518</v>
      </c>
      <c r="O293" s="290">
        <f>IF(TRUE=ISBLANK(ChemData!S293),"",(ChemData!S293))</f>
        <v>1</v>
      </c>
      <c r="P293" s="291">
        <f>IF(TRUE=ISBLANK(ChemData!T293),"",(ChemData!T293))</f>
        <v>1</v>
      </c>
      <c r="Q293" s="375">
        <f>IF(Start!$C$18="x",IF(OR(K293="NA",K293="",K293="--"),"NA",(K293*1000000/82.1/Data!$D$50)),"---")</f>
        <v>5.6186397391065181E-3</v>
      </c>
      <c r="R293" s="376">
        <f>IF(Start!$C$18="x",IF(OR(J293="NA",J293=0,J293=""),"NA",(0.32*(Data!$D$48+Data!$D$49)*(18/J293)^0.5)),"---")</f>
        <v>0.18402211728722398</v>
      </c>
      <c r="S293" s="376">
        <f>IF(Start!$C$18="x",IF(OR(J293="NA",J293= 0,J293=""),"NA",(0.0065*((Data!$D$49^0.969)/(Data!$D$51^0.673))*(32/J293)^0.5*EXP(0.526*Data!$D$48^-1.9))),"---")</f>
        <v>3.8786820721143473E-4</v>
      </c>
      <c r="T293" s="377">
        <f>IF(Start!$C$18="x",IF(OR(S293="NA",R293="NA",R293=0,Q293="NA",S293=0,Q293=0),"NA",(1/(1/S293+(1/(R293*Q293))))),"---")</f>
        <v>2.8205909310003346E-4</v>
      </c>
      <c r="U293" s="375" t="str">
        <f>IF(Start!$C$18="x",IF(OR(F293="NA",F293="",O293="",O293="NA"),"NA",(F293*$O293)),"---")</f>
        <v>NA</v>
      </c>
      <c r="V293" s="376" t="str">
        <f>IF(Start!$C$18="x",IF(OR(U293="NA",M293="NA",M293="",U293=""),"NA",U293/((Data!$D$18+((1-Data!$D$18)*Data!$D$14*M293))/((1-Data!$D$18)*Data!$D$14*1000))),"---")</f>
        <v>NA</v>
      </c>
      <c r="W293" s="376" t="str">
        <f>IF(Start!$C$18="x",IF(OR(G293="NA",U293="NA",G293="",U293=""),"NA",(U293 +($G293*(Data!$D$19-Data!$D$22)/(Data!$D$19*Data!$D$22)))),"---")</f>
        <v>NA</v>
      </c>
      <c r="X293" s="376" t="str">
        <f>IF(Start!$C$18="x",IF(OR(G293="NA",V293="NA",G293="",V293=""),"NA",(((Data!$D$22*Data!$D$18)*V293)+(Data!$D$19-Data!$D$22)*$G293)/((Data!$D$22*Data!$D$18)+Data!$D$19-Data!$D$22)),"---")</f>
        <v>NA</v>
      </c>
      <c r="Y293" s="376" t="str">
        <f>IF(Start!$C$18="x",IF(OR(W293="NA",W293="",M293="NA",M293=""),"NA",(W293/((Data!$D$23+((1-Data!$D$23)*Data!$D$14*M293)) /((1-Data!$D$23)*Data!$D$14*1000)))),"---")</f>
        <v>NA</v>
      </c>
      <c r="Z293" s="376" t="str">
        <f>IF(Start!$C$18="x",IF(OR(Y293="NA",X293="NA"),"NA",IF(Y293&gt;X293, Y293, X293)),"---")</f>
        <v>NA</v>
      </c>
      <c r="AA293" s="461" t="str">
        <f>IF(Start!$C$18="x",IF(OR(Z293="NA",T293="NA"),"NA",Z293*T293/(1000000000)),"---")</f>
        <v>NA</v>
      </c>
      <c r="AB293" s="1057" t="str">
        <f>IF(Start!$C$18="x",IF(AA293 = "NA", "NA", AA293*(Data!$D$52*Data!$D$53*10000)),"---")</f>
        <v>NA</v>
      </c>
      <c r="AC293" s="375" t="str">
        <f>IF(Start!$C$18="x",IF(AB293="NA", "NA", AB293*Data!$D$54),"---")</f>
        <v>NA</v>
      </c>
      <c r="AD293" s="498" t="str">
        <f>IF(Start!$C$18="x",IF(AC293="NA","NA",AC293*Data!$D$41),"---")</f>
        <v>NA</v>
      </c>
      <c r="AE293" s="376" t="str">
        <f>IF(Start!$C$18="x",IF(AB293 = "NA", "NA", AB293/(Data!$D$53*3*Data!$D$48)*1000),"---")</f>
        <v>NA</v>
      </c>
      <c r="AF293" s="498" t="str">
        <f>IF(Start!$C$18="x",IF(AE293="NA","NA",AE293*Data!$D$46),"---")</f>
        <v>NA</v>
      </c>
      <c r="AG293" s="375">
        <f>IF(Start!$C$18="x",IF(OR($L293="NA",L293=""),"NA",($L293*(Data!$D$55^3.33)/(Data!$D$18^2))),"---")</f>
        <v>1.5236498505727611E-3</v>
      </c>
      <c r="AH293" s="376" t="str">
        <f>IF(Start!$C$18="x",IF(OR(F293="NA",F293="",P293="NA",P293=""),"NA",IF(100/Data!$D$10&gt;Data!$D$13,(F293*$P293),(F293*$P293)*Data!$D$13)),"---")</f>
        <v>NA</v>
      </c>
      <c r="AI293" s="489">
        <f>IF(Start!$C$18="x",IF(OR($N293="NA",$Q293="NA",$Q293=0,Q293="",N293=""),"NA",(1000*$N293/$Q293)),"---")</f>
        <v>22791621934.005524</v>
      </c>
      <c r="AJ293" s="376">
        <f>IF(Start!$C$18="x",IF(OR(Q293 = "NA",Q293=0,N293 = "NA",N293="",Q293=""), "NA", IF($AG293="NA","NA",(3.1416*Data!$D$57*86400/($AG293*(Data!$D$55+(N293*Data!$D$19/(Q293*1000)))))^0.5)),"---")</f>
        <v>16.615640904519012</v>
      </c>
      <c r="AK293" s="376" t="str">
        <f>IF(Start!$C$18="x",IF(OR(AH293 = "NA",AI293="NA",AI293=0,AI293="",AH293=""), "NA", AH293/AI293),"---")</f>
        <v>NA</v>
      </c>
      <c r="AL293" s="376" t="str">
        <f>IF(Start!$C$18="x",IF(OR(AK293 ="NA",AK293="",AJ293= "NA",R293="NA",R293=0),"NA",(2*AK293)/(1000*(1/$R293+AJ293))),"---")</f>
        <v>NA</v>
      </c>
      <c r="AM293" s="376" t="str">
        <f>IF(Start!$C$18="x",IF(AL293 = "NA", "NA", AL293*(Data!$D$52*Data!$D$53*10000)),"---")</f>
        <v>NA</v>
      </c>
      <c r="AN293" s="376" t="str">
        <f>IF(Start!$C$18="x",IF(AM293 = "NA", "NA", AM293*(Data!$D$54)),"---")</f>
        <v>NA</v>
      </c>
      <c r="AO293" s="498" t="str">
        <f>IF(Start!$C$18="x",IF(AN293="NA","NA",AN293*Data!$D$41),"---")</f>
        <v>NA</v>
      </c>
      <c r="AP293" s="376">
        <f>IF(Start!$C$18="x",IF(OR(Q293=0,N293="NA",N293="",AG293="NA",AG293="",AG293=0,Q293="",Q293="NA"),"NA", (3.1416*Data!$D$56*86400/($AG293*(Data!$D$55+(N293*Data!$D$19/(Q293*1000)))))^0.5),"---")</f>
        <v>16.615640904519012</v>
      </c>
      <c r="AQ293" s="376" t="str">
        <f>IF(Start!$C$18="x",IF(OR(AH293="NA",AI293="NA",AI293="",AI293=0,AH293=""),"NA", AH293/AI293),"---")</f>
        <v>NA</v>
      </c>
      <c r="AR293" s="376" t="str">
        <f>IF(Start!$C$18="x",IF(OR(AQ293="NA",AP293="NA",$R293="NA",R293=0,R293=""),"NA",(2*AQ293)/(1000*(1/$R293+AP293))),"---")</f>
        <v>NA</v>
      </c>
      <c r="AS293" s="376" t="str">
        <f>IF(Start!$C$18="x",IF(AR293 = "NA", "NA", AR293*(Data!$D$52*Data!$D$53*10000)),"---")</f>
        <v>NA</v>
      </c>
      <c r="AT293" s="376" t="str">
        <f>IF(Start!$C$18="x",IF(AS293 = "NA", "NA", (AS293*1000)/(Data!$D$48*3*Data!$D$53)),"---")</f>
        <v>NA</v>
      </c>
      <c r="AU293" s="498" t="str">
        <f>IF(Start!$C$18="x",IF(AT293="NA","NA",AT293*Data!$D$47),"---")</f>
        <v>NA</v>
      </c>
      <c r="AV293" s="283" t="str">
        <f>IF(Start!$C$18="x",(IF(AND(F293="",G293= "",G293&lt;&gt;"NA"),"",IF(OR(AD293="NA",I293="NA",I293=0),"NA",(AD293/I293)))),"Not Req.")</f>
        <v/>
      </c>
      <c r="AW293" s="284" t="str">
        <f>IF(Start!$C$18="x",(IF(AND(F293="",G293= "",G293&lt;&gt;"NA"),"",IF(OR(AF293="NA",I293="NA",I293=0),"NA",(AF293/I293)))),"Not Req.")</f>
        <v/>
      </c>
      <c r="AX293" s="284" t="str">
        <f>IF(Start!$C$18="x",(IF(F293 ="","",IF(OR(AO293="NA",I293="NA",I293=0),"NA",(AO293/I293)))),"Not Req.")</f>
        <v/>
      </c>
      <c r="AY293" s="344" t="str">
        <f>IF(Start!$C$18="x",(IF(F293 ="","",IF(OR(AU293="NA",I293="NA",I293=0),"NA",(AU293/I293)))),"Not Req.")</f>
        <v/>
      </c>
      <c r="AZ293" s="208"/>
    </row>
    <row r="294" spans="1:52" s="183" customFormat="1" x14ac:dyDescent="0.25">
      <c r="A294" s="405" t="s">
        <v>612</v>
      </c>
      <c r="B294" s="347" t="str">
        <f>IF(Start!$C$18="x",IF(AND(OR(F294="",F294="NA"),OR(G294="",G294="NA")),"",IF(I294="NA","NA",IF(AND(I294="",K294="--"),"NA",IF(AD294="NA","Missing Data",IF(I294="","No Criteria",IF(AD294&gt;=I294,"Needed","No")))))),"---")</f>
        <v/>
      </c>
      <c r="C294" s="501" t="str">
        <f>IF(Start!$C$18="x",IF(AND(OR(F294="",F294="NA"),OR(G294="",G294="NA")),"",IF(I294="NA","NA",IF(AND(I294="",K294="--"),"NA",IF(AF294="NA","Missing Data",IF(I294="","No Criteria",IF(AF294&gt;=I294,"Needed","No")))))),"---")</f>
        <v/>
      </c>
      <c r="D294" s="347" t="str">
        <f>IF(Start!$C$18="x",IF(AND(OR(F294="",F294="NA"),OR(G294="",G294="NA")),"",IF(I294="NA","NA",IF(AND(I294="",K294="--"),"NA",IF(AO294="NA","Missing Data",IF(I294="","No Criteria",IF(AO294&gt;=I294,"Needed","No")))))),"---")</f>
        <v/>
      </c>
      <c r="E294" s="401" t="str">
        <f>IF(Start!$C$18="x",IF(AND(OR(F294="",F294="NA"),OR(G294="",G294="NA")),"",IF(I294="NA","NA",IF(AND(I294="",K294="--"),"NA",IF(AU294="NA","Missing Data",IF(I294="","No Criteria",IF(AU294&gt;=I294,"Needed","No")))))),"---")</f>
        <v/>
      </c>
      <c r="F294" s="431" t="str">
        <f>IF(TRUE=ISBLANK(ChemData!B294),"",(ChemData!B294))</f>
        <v/>
      </c>
      <c r="G294" s="432" t="str">
        <f>IF(TRUE=ISBLANK(ChemData!C294),"",(ChemData!C294))</f>
        <v/>
      </c>
      <c r="H294" s="433" t="str">
        <f>IF(TRUE=ISBLANK(ChemData!D294),"",(ChemData!D294))</f>
        <v/>
      </c>
      <c r="I294" s="919" t="str">
        <f>IF(TRUE=ISBLANK(ChemData!K294),"",(ChemData!K294))</f>
        <v>NA</v>
      </c>
      <c r="J294" s="290">
        <f>IF(TRUE=ISBLANK(ChemData!M294),"",(ChemData!M294))</f>
        <v>360.9</v>
      </c>
      <c r="K294" s="290">
        <f>IF(TRUE=ISBLANK(ChemData!N294),"",(ChemData!N294))</f>
        <v>6.8499999999999998E-5</v>
      </c>
      <c r="L294" s="290">
        <f>IF(TRUE=ISBLANK(ChemData!O294),"",(ChemData!O294))</f>
        <v>0.14956081451285605</v>
      </c>
      <c r="M294" s="290">
        <f>IF(TRUE=ISBLANK(ChemData!Q294),"",(ChemData!Q294))</f>
        <v>212523.23533907303</v>
      </c>
      <c r="N294" s="290">
        <f>IF(TRUE=ISBLANK(ChemData!R294),"",(ChemData!R294))</f>
        <v>212523.23533907303</v>
      </c>
      <c r="O294" s="290">
        <f>IF(TRUE=ISBLANK(ChemData!S294),"",(ChemData!S294))</f>
        <v>1</v>
      </c>
      <c r="P294" s="291">
        <f>IF(TRUE=ISBLANK(ChemData!T294),"",(ChemData!T294))</f>
        <v>1</v>
      </c>
      <c r="Q294" s="375">
        <f>IF(Start!$C$18="x",IF(OR(K294="NA",K294="",K294="--"),"NA",(K294*1000000/82.1/Data!$D$50)),"---")</f>
        <v>2.6914463085929829E-3</v>
      </c>
      <c r="R294" s="376">
        <f>IF(Start!$C$18="x",IF(OR(J294="NA",J294=0,J294=""),"NA",(0.32*(Data!$D$48+Data!$D$49)*(18/J294)^0.5)),"---")</f>
        <v>0.18402211728722398</v>
      </c>
      <c r="S294" s="376">
        <f>IF(Start!$C$18="x",IF(OR(J294="NA",J294= 0,J294=""),"NA",(0.0065*((Data!$D$49^0.969)/(Data!$D$51^0.673))*(32/J294)^0.5*EXP(0.526*Data!$D$48^-1.9))),"---")</f>
        <v>3.8786820721143473E-4</v>
      </c>
      <c r="T294" s="377">
        <f>IF(Start!$C$18="x",IF(OR(S294="NA",R294="NA",R294=0,Q294="NA",S294=0,Q294=0),"NA",(1/(1/S294+(1/(R294*Q294))))),"---")</f>
        <v>2.175221851323788E-4</v>
      </c>
      <c r="U294" s="375" t="str">
        <f>IF(Start!$C$18="x",IF(OR(F294="NA",F294="",O294="",O294="NA"),"NA",(F294*$O294)),"---")</f>
        <v>NA</v>
      </c>
      <c r="V294" s="376" t="str">
        <f>IF(Start!$C$18="x",IF(OR(U294="NA",M294="NA",M294="",U294=""),"NA",U294/((Data!$D$18+((1-Data!$D$18)*Data!$D$14*M294))/((1-Data!$D$18)*Data!$D$14*1000))),"---")</f>
        <v>NA</v>
      </c>
      <c r="W294" s="376" t="str">
        <f>IF(Start!$C$18="x",IF(OR(G294="NA",U294="NA",G294="",U294=""),"NA",(U294 +($G294*(Data!$D$19-Data!$D$22)/(Data!$D$19*Data!$D$22)))),"---")</f>
        <v>NA</v>
      </c>
      <c r="X294" s="376" t="str">
        <f>IF(Start!$C$18="x",IF(OR(G294="NA",V294="NA",G294="",V294=""),"NA",(((Data!$D$22*Data!$D$18)*V294)+(Data!$D$19-Data!$D$22)*$G294)/((Data!$D$22*Data!$D$18)+Data!$D$19-Data!$D$22)),"---")</f>
        <v>NA</v>
      </c>
      <c r="Y294" s="376" t="str">
        <f>IF(Start!$C$18="x",IF(OR(W294="NA",W294="",M294="NA",M294=""),"NA",(W294/((Data!$D$23+((1-Data!$D$23)*Data!$D$14*M294)) /((1-Data!$D$23)*Data!$D$14*1000)))),"---")</f>
        <v>NA</v>
      </c>
      <c r="Z294" s="376" t="str">
        <f>IF(Start!$C$18="x",IF(OR(Y294="NA",X294="NA"),"NA",IF(Y294&gt;X294, Y294, X294)),"---")</f>
        <v>NA</v>
      </c>
      <c r="AA294" s="461" t="str">
        <f>IF(Start!$C$18="x",IF(OR(Z294="NA",T294="NA"),"NA",Z294*T294/(1000000000)),"---")</f>
        <v>NA</v>
      </c>
      <c r="AB294" s="1057" t="str">
        <f>IF(Start!$C$18="x",IF(AA294 = "NA", "NA", AA294*(Data!$D$52*Data!$D$53*10000)),"---")</f>
        <v>NA</v>
      </c>
      <c r="AC294" s="375" t="str">
        <f>IF(Start!$C$18="x",IF(AB294="NA", "NA", AB294*Data!$D$54),"---")</f>
        <v>NA</v>
      </c>
      <c r="AD294" s="498" t="str">
        <f>IF(Start!$C$18="x",IF(AC294="NA","NA",AC294*Data!$D$41),"---")</f>
        <v>NA</v>
      </c>
      <c r="AE294" s="376" t="str">
        <f>IF(Start!$C$18="x",IF(AB294 = "NA", "NA", AB294/(Data!$D$53*3*Data!$D$48)*1000),"---")</f>
        <v>NA</v>
      </c>
      <c r="AF294" s="498" t="str">
        <f>IF(Start!$C$18="x",IF(AE294="NA","NA",AE294*Data!$D$46),"---")</f>
        <v>NA</v>
      </c>
      <c r="AG294" s="375">
        <f>IF(Start!$C$18="x",IF(OR($L294="NA",L294=""),"NA",($L294*(Data!$D$55^3.33)/(Data!$D$18^2))),"---")</f>
        <v>1.5236498505727611E-3</v>
      </c>
      <c r="AH294" s="376" t="str">
        <f>IF(Start!$C$18="x",IF(OR(F294="NA",F294="",P294="NA",P294=""),"NA",IF(100/Data!$D$10&gt;Data!$D$13,(F294*$P294),(F294*$P294)*Data!$D$13)),"---")</f>
        <v>NA</v>
      </c>
      <c r="AI294" s="489">
        <f>IF(Start!$C$18="x",IF(OR($N294="NA",$Q294="NA",$Q294=0,Q294="",N294=""),"NA",(1000*$N294/$Q294)),"---")</f>
        <v>78962465147.660538</v>
      </c>
      <c r="AJ294" s="376">
        <f>IF(Start!$C$18="x",IF(OR(Q294 = "NA",Q294=0,N294 = "NA",N294="",Q294=""), "NA", IF($AG294="NA","NA",(3.1416*Data!$D$57*86400/($AG294*(Data!$D$55+(N294*Data!$D$19/(Q294*1000)))))^0.5)),"---")</f>
        <v>8.9267704332289508</v>
      </c>
      <c r="AK294" s="376" t="str">
        <f>IF(Start!$C$18="x",IF(OR(AH294 = "NA",AI294="NA",AI294=0,AI294="",AH294=""), "NA", AH294/AI294),"---")</f>
        <v>NA</v>
      </c>
      <c r="AL294" s="376" t="str">
        <f>IF(Start!$C$18="x",IF(OR(AK294 ="NA",AK294="",AJ294= "NA",R294="NA",R294=0),"NA",(2*AK294)/(1000*(1/$R294+AJ294))),"---")</f>
        <v>NA</v>
      </c>
      <c r="AM294" s="376" t="str">
        <f>IF(Start!$C$18="x",IF(AL294 = "NA", "NA", AL294*(Data!$D$52*Data!$D$53*10000)),"---")</f>
        <v>NA</v>
      </c>
      <c r="AN294" s="376" t="str">
        <f>IF(Start!$C$18="x",IF(AM294 = "NA", "NA", AM294*(Data!$D$54)),"---")</f>
        <v>NA</v>
      </c>
      <c r="AO294" s="498" t="str">
        <f>IF(Start!$C$18="x",IF(AN294="NA","NA",AN294*Data!$D$41),"---")</f>
        <v>NA</v>
      </c>
      <c r="AP294" s="376">
        <f>IF(Start!$C$18="x",IF(OR(Q294=0,N294="NA",N294="",AG294="NA",AG294="",AG294=0,Q294="",Q294="NA"),"NA", (3.1416*Data!$D$56*86400/($AG294*(Data!$D$55+(N294*Data!$D$19/(Q294*1000)))))^0.5),"---")</f>
        <v>8.9267704332289508</v>
      </c>
      <c r="AQ294" s="376" t="str">
        <f>IF(Start!$C$18="x",IF(OR(AH294="NA",AI294="NA",AI294="",AI294=0,AH294=""),"NA", AH294/AI294),"---")</f>
        <v>NA</v>
      </c>
      <c r="AR294" s="376" t="str">
        <f>IF(Start!$C$18="x",IF(OR(AQ294="NA",AP294="NA",$R294="NA",R294=0,R294=""),"NA",(2*AQ294)/(1000*(1/$R294+AP294))),"---")</f>
        <v>NA</v>
      </c>
      <c r="AS294" s="376" t="str">
        <f>IF(Start!$C$18="x",IF(AR294 = "NA", "NA", AR294*(Data!$D$52*Data!$D$53*10000)),"---")</f>
        <v>NA</v>
      </c>
      <c r="AT294" s="376" t="str">
        <f>IF(Start!$C$18="x",IF(AS294 = "NA", "NA", (AS294*1000)/(Data!$D$48*3*Data!$D$53)),"---")</f>
        <v>NA</v>
      </c>
      <c r="AU294" s="498" t="str">
        <f>IF(Start!$C$18="x",IF(AT294="NA","NA",AT294*Data!$D$47),"---")</f>
        <v>NA</v>
      </c>
      <c r="AV294" s="283" t="str">
        <f>IF(Start!$C$18="x",(IF(AND(F294="",G294= "",G294&lt;&gt;"NA"),"",IF(OR(AD294="NA",I294="NA",I294=0),"NA",(AD294/I294)))),"Not Req.")</f>
        <v/>
      </c>
      <c r="AW294" s="284" t="str">
        <f>IF(Start!$C$18="x",(IF(AND(F294="",G294= "",G294&lt;&gt;"NA"),"",IF(OR(AF294="NA",I294="NA",I294=0),"NA",(AF294/I294)))),"Not Req.")</f>
        <v/>
      </c>
      <c r="AX294" s="284" t="str">
        <f>IF(Start!$C$18="x",(IF(F294 ="","",IF(OR(AO294="NA",I294="NA",I294=0),"NA",(AO294/I294)))),"Not Req.")</f>
        <v/>
      </c>
      <c r="AY294" s="344" t="str">
        <f>IF(Start!$C$18="x",(IF(F294 ="","",IF(OR(AU294="NA",I294="NA",I294=0),"NA",(AU294/I294)))),"Not Req.")</f>
        <v/>
      </c>
      <c r="AZ294" s="208"/>
    </row>
    <row r="295" spans="1:52" s="183" customFormat="1" x14ac:dyDescent="0.25">
      <c r="A295" s="405" t="s">
        <v>613</v>
      </c>
      <c r="B295" s="347" t="str">
        <f>IF(Start!$C$18="x",IF(AND(OR(F295="",F295="NA"),OR(G295="",G295="NA")),"",IF(I295="NA","NA",IF(AND(I295="",K295="--"),"NA",IF(AD295="NA","Missing Data",IF(I295="","No Criteria",IF(AD295&gt;=I295,"Needed","No")))))),"---")</f>
        <v/>
      </c>
      <c r="C295" s="501" t="str">
        <f>IF(Start!$C$18="x",IF(AND(OR(F295="",F295="NA"),OR(G295="",G295="NA")),"",IF(I295="NA","NA",IF(AND(I295="",K295="--"),"NA",IF(AF295="NA","Missing Data",IF(I295="","No Criteria",IF(AF295&gt;=I295,"Needed","No")))))),"---")</f>
        <v/>
      </c>
      <c r="D295" s="347" t="str">
        <f>IF(Start!$C$18="x",IF(AND(OR(F295="",F295="NA"),OR(G295="",G295="NA")),"",IF(I295="NA","NA",IF(AND(I295="",K295="--"),"NA",IF(AO295="NA","Missing Data",IF(I295="","No Criteria",IF(AO295&gt;=I295,"Needed","No")))))),"---")</f>
        <v/>
      </c>
      <c r="E295" s="401" t="str">
        <f>IF(Start!$C$18="x",IF(AND(OR(F295="",F295="NA"),OR(G295="",G295="NA")),"",IF(I295="NA","NA",IF(AND(I295="",K295="--"),"NA",IF(AU295="NA","Missing Data",IF(I295="","No Criteria",IF(AU295&gt;=I295,"Needed","No")))))),"---")</f>
        <v/>
      </c>
      <c r="F295" s="431" t="str">
        <f>IF(TRUE=ISBLANK(ChemData!B295),"",(ChemData!B295))</f>
        <v/>
      </c>
      <c r="G295" s="432" t="str">
        <f>IF(TRUE=ISBLANK(ChemData!C295),"",(ChemData!C295))</f>
        <v/>
      </c>
      <c r="H295" s="433" t="str">
        <f>IF(TRUE=ISBLANK(ChemData!D295),"",(ChemData!D295))</f>
        <v/>
      </c>
      <c r="I295" s="919" t="str">
        <f>IF(TRUE=ISBLANK(ChemData!K295),"",(ChemData!K295))</f>
        <v>NA</v>
      </c>
      <c r="J295" s="290">
        <f>IF(TRUE=ISBLANK(ChemData!M295),"",(ChemData!M295))</f>
        <v>395.3</v>
      </c>
      <c r="K295" s="290">
        <f>IF(TRUE=ISBLANK(ChemData!N295),"",(ChemData!N295))</f>
        <v>9.0000000000000002E-6</v>
      </c>
      <c r="L295" s="290">
        <f>IF(TRUE=ISBLANK(ChemData!O295),"",(ChemData!O295))</f>
        <v>0.14907647275152078</v>
      </c>
      <c r="M295" s="290">
        <f>IF(TRUE=ISBLANK(ChemData!Q295),"",(ChemData!Q295))</f>
        <v>227722.74947737175</v>
      </c>
      <c r="N295" s="290">
        <f>IF(TRUE=ISBLANK(ChemData!R295),"",(ChemData!R295))</f>
        <v>227722.74947737175</v>
      </c>
      <c r="O295" s="290">
        <f>IF(TRUE=ISBLANK(ChemData!S295),"",(ChemData!S295))</f>
        <v>1</v>
      </c>
      <c r="P295" s="291">
        <f>IF(TRUE=ISBLANK(ChemData!T295),"",(ChemData!T295))</f>
        <v>1</v>
      </c>
      <c r="Q295" s="375">
        <f>IF(Start!$C$18="x",IF(OR(K295="NA",K295="",K295="--"),"NA",(K295*1000000/82.1/Data!$D$50)),"---")</f>
        <v>3.5362068288082986E-4</v>
      </c>
      <c r="R295" s="376">
        <f>IF(Start!$C$18="x",IF(OR(J295="NA",J295=0,J295=""),"NA",(0.32*(Data!$D$48+Data!$D$49)*(18/J295)^0.5)),"---")</f>
        <v>0.17583286685236027</v>
      </c>
      <c r="S295" s="376">
        <f>IF(Start!$C$18="x",IF(OR(J295="NA",J295= 0,J295=""),"NA",(0.0065*((Data!$D$49^0.969)/(Data!$D$51^0.673))*(32/J295)^0.5*EXP(0.526*Data!$D$48^-1.9))),"---")</f>
        <v>3.7060751088101291E-4</v>
      </c>
      <c r="T295" s="377">
        <f>IF(Start!$C$18="x",IF(OR(S295="NA",R295="NA",R295=0,Q295="NA",S295=0,Q295=0),"NA",(1/(1/S295+(1/(R295*Q295))))),"---")</f>
        <v>5.3245030553910458E-5</v>
      </c>
      <c r="U295" s="375" t="str">
        <f>IF(Start!$C$18="x",IF(OR(F295="NA",F295="",O295="",O295="NA"),"NA",(F295*$O295)),"---")</f>
        <v>NA</v>
      </c>
      <c r="V295" s="376" t="str">
        <f>IF(Start!$C$18="x",IF(OR(U295="NA",M295="NA",M295="",U295=""),"NA",U295/((Data!$D$18+((1-Data!$D$18)*Data!$D$14*M295))/((1-Data!$D$18)*Data!$D$14*1000))),"---")</f>
        <v>NA</v>
      </c>
      <c r="W295" s="376" t="str">
        <f>IF(Start!$C$18="x",IF(OR(G295="NA",U295="NA",G295="",U295=""),"NA",(U295 +($G295*(Data!$D$19-Data!$D$22)/(Data!$D$19*Data!$D$22)))),"---")</f>
        <v>NA</v>
      </c>
      <c r="X295" s="376" t="str">
        <f>IF(Start!$C$18="x",IF(OR(G295="NA",V295="NA",G295="",V295=""),"NA",(((Data!$D$22*Data!$D$18)*V295)+(Data!$D$19-Data!$D$22)*$G295)/((Data!$D$22*Data!$D$18)+Data!$D$19-Data!$D$22)),"---")</f>
        <v>NA</v>
      </c>
      <c r="Y295" s="376" t="str">
        <f>IF(Start!$C$18="x",IF(OR(W295="NA",W295="",M295="NA",M295=""),"NA",(W295/((Data!$D$23+((1-Data!$D$23)*Data!$D$14*M295)) /((1-Data!$D$23)*Data!$D$14*1000)))),"---")</f>
        <v>NA</v>
      </c>
      <c r="Z295" s="376" t="str">
        <f>IF(Start!$C$18="x",IF(OR(Y295="NA",X295="NA"),"NA",IF(Y295&gt;X295, Y295, X295)),"---")</f>
        <v>NA</v>
      </c>
      <c r="AA295" s="461" t="str">
        <f>IF(Start!$C$18="x",IF(OR(Z295="NA",T295="NA"),"NA",Z295*T295/(1000000000)),"---")</f>
        <v>NA</v>
      </c>
      <c r="AB295" s="1057" t="str">
        <f>IF(Start!$C$18="x",IF(AA295 = "NA", "NA", AA295*(Data!$D$52*Data!$D$53*10000)),"---")</f>
        <v>NA</v>
      </c>
      <c r="AC295" s="375" t="str">
        <f>IF(Start!$C$18="x",IF(AB295="NA", "NA", AB295*Data!$D$54),"---")</f>
        <v>NA</v>
      </c>
      <c r="AD295" s="498" t="str">
        <f>IF(Start!$C$18="x",IF(AC295="NA","NA",AC295*Data!$D$41),"---")</f>
        <v>NA</v>
      </c>
      <c r="AE295" s="376" t="str">
        <f>IF(Start!$C$18="x",IF(AB295 = "NA", "NA", AB295/(Data!$D$53*3*Data!$D$48)*1000),"---")</f>
        <v>NA</v>
      </c>
      <c r="AF295" s="498" t="str">
        <f>IF(Start!$C$18="x",IF(AE295="NA","NA",AE295*Data!$D$46),"---")</f>
        <v>NA</v>
      </c>
      <c r="AG295" s="375">
        <f>IF(Start!$C$18="x",IF(OR($L295="NA",L295=""),"NA",($L295*(Data!$D$55^3.33)/(Data!$D$18^2))),"---")</f>
        <v>1.5187156219468453E-3</v>
      </c>
      <c r="AH295" s="376" t="str">
        <f>IF(Start!$C$18="x",IF(OR(F295="NA",F295="",P295="NA",P295=""),"NA",IF(100/Data!$D$10&gt;Data!$D$13,(F295*$P295),(F295*$P295)*Data!$D$13)),"---")</f>
        <v>NA</v>
      </c>
      <c r="AI295" s="489">
        <f>IF(Start!$C$18="x",IF(OR($N295="NA",$Q295="NA",$Q295=0,Q295="",N295=""),"NA",(1000*$N295/$Q295)),"---")</f>
        <v>643974632994.2876</v>
      </c>
      <c r="AJ295" s="376">
        <f>IF(Start!$C$18="x",IF(OR(Q295 = "NA",Q295=0,N295 = "NA",N295="",Q295=""), "NA", IF($AG295="NA","NA",(3.1416*Data!$D$57*86400/($AG295*(Data!$D$55+(N295*Data!$D$19/(Q295*1000)))))^0.5)),"---")</f>
        <v>3.1309396205925855</v>
      </c>
      <c r="AK295" s="376" t="str">
        <f>IF(Start!$C$18="x",IF(OR(AH295 = "NA",AI295="NA",AI295=0,AI295="",AH295=""), "NA", AH295/AI295),"---")</f>
        <v>NA</v>
      </c>
      <c r="AL295" s="376" t="str">
        <f>IF(Start!$C$18="x",IF(OR(AK295 ="NA",AK295="",AJ295= "NA",R295="NA",R295=0),"NA",(2*AK295)/(1000*(1/$R295+AJ295))),"---")</f>
        <v>NA</v>
      </c>
      <c r="AM295" s="376" t="str">
        <f>IF(Start!$C$18="x",IF(AL295 = "NA", "NA", AL295*(Data!$D$52*Data!$D$53*10000)),"---")</f>
        <v>NA</v>
      </c>
      <c r="AN295" s="376" t="str">
        <f>IF(Start!$C$18="x",IF(AM295 = "NA", "NA", AM295*(Data!$D$54)),"---")</f>
        <v>NA</v>
      </c>
      <c r="AO295" s="498" t="str">
        <f>IF(Start!$C$18="x",IF(AN295="NA","NA",AN295*Data!$D$41),"---")</f>
        <v>NA</v>
      </c>
      <c r="AP295" s="376">
        <f>IF(Start!$C$18="x",IF(OR(Q295=0,N295="NA",N295="",AG295="NA",AG295="",AG295=0,Q295="",Q295="NA"),"NA", (3.1416*Data!$D$56*86400/($AG295*(Data!$D$55+(N295*Data!$D$19/(Q295*1000)))))^0.5),"---")</f>
        <v>3.1309396205925855</v>
      </c>
      <c r="AQ295" s="376" t="str">
        <f>IF(Start!$C$18="x",IF(OR(AH295="NA",AI295="NA",AI295="",AI295=0,AH295=""),"NA", AH295/AI295),"---")</f>
        <v>NA</v>
      </c>
      <c r="AR295" s="376" t="str">
        <f>IF(Start!$C$18="x",IF(OR(AQ295="NA",AP295="NA",$R295="NA",R295=0,R295=""),"NA",(2*AQ295)/(1000*(1/$R295+AP295))),"---")</f>
        <v>NA</v>
      </c>
      <c r="AS295" s="376" t="str">
        <f>IF(Start!$C$18="x",IF(AR295 = "NA", "NA", AR295*(Data!$D$52*Data!$D$53*10000)),"---")</f>
        <v>NA</v>
      </c>
      <c r="AT295" s="376" t="str">
        <f>IF(Start!$C$18="x",IF(AS295 = "NA", "NA", (AS295*1000)/(Data!$D$48*3*Data!$D$53)),"---")</f>
        <v>NA</v>
      </c>
      <c r="AU295" s="498" t="str">
        <f>IF(Start!$C$18="x",IF(AT295="NA","NA",AT295*Data!$D$47),"---")</f>
        <v>NA</v>
      </c>
      <c r="AV295" s="283" t="str">
        <f>IF(Start!$C$18="x",(IF(AND(F295="",G295= "",G295&lt;&gt;"NA"),"",IF(OR(AD295="NA",I295="NA",I295=0),"NA",(AD295/I295)))),"Not Req.")</f>
        <v/>
      </c>
      <c r="AW295" s="284" t="str">
        <f>IF(Start!$C$18="x",(IF(AND(F295="",G295= "",G295&lt;&gt;"NA"),"",IF(OR(AF295="NA",I295="NA",I295=0),"NA",(AF295/I295)))),"Not Req.")</f>
        <v/>
      </c>
      <c r="AX295" s="284" t="str">
        <f>IF(Start!$C$18="x",(IF(F295 ="","",IF(OR(AO295="NA",I295="NA",I295=0),"NA",(AO295/I295)))),"Not Req.")</f>
        <v/>
      </c>
      <c r="AY295" s="344" t="str">
        <f>IF(Start!$C$18="x",(IF(F295 ="","",IF(OR(AU295="NA",I295="NA",I295=0),"NA",(AU295/I295)))),"Not Req.")</f>
        <v/>
      </c>
      <c r="AZ295" s="208"/>
    </row>
    <row r="296" spans="1:52" s="183" customFormat="1" x14ac:dyDescent="0.25">
      <c r="A296" s="405" t="s">
        <v>614</v>
      </c>
      <c r="B296" s="347" t="str">
        <f>IF(Start!$C$18="x",IF(AND(OR(F296="",F296="NA"),OR(G296="",G296="NA")),"",IF(I296="NA","NA",IF(AND(I296="",K296="--"),"NA",IF(AD296="NA","Missing Data",IF(I296="","No Criteria",IF(AD296&gt;=I296,"Needed","No")))))),"---")</f>
        <v/>
      </c>
      <c r="C296" s="501" t="str">
        <f>IF(Start!$C$18="x",IF(AND(OR(F296="",F296="NA"),OR(G296="",G296="NA")),"",IF(I296="NA","NA",IF(AND(I296="",K296="--"),"NA",IF(AF296="NA","Missing Data",IF(I296="","No Criteria",IF(AF296&gt;=I296,"Needed","No")))))),"---")</f>
        <v/>
      </c>
      <c r="D296" s="347" t="str">
        <f>IF(Start!$C$18="x",IF(AND(OR(F296="",F296="NA"),OR(G296="",G296="NA")),"",IF(I296="NA","NA",IF(AND(I296="",K296="--"),"NA",IF(AO296="NA","Missing Data",IF(I296="","No Criteria",IF(AO296&gt;=I296,"Needed","No")))))),"---")</f>
        <v/>
      </c>
      <c r="E296" s="401" t="str">
        <f>IF(Start!$C$18="x",IF(AND(OR(F296="",F296="NA"),OR(G296="",G296="NA")),"",IF(I296="NA","NA",IF(AND(I296="",K296="--"),"NA",IF(AU296="NA","Missing Data",IF(I296="","No Criteria",IF(AU296&gt;=I296,"Needed","No")))))),"---")</f>
        <v/>
      </c>
      <c r="F296" s="431" t="str">
        <f>IF(TRUE=ISBLANK(ChemData!B296),"",(ChemData!B296))</f>
        <v/>
      </c>
      <c r="G296" s="432" t="str">
        <f>IF(TRUE=ISBLANK(ChemData!C296),"",(ChemData!C296))</f>
        <v/>
      </c>
      <c r="H296" s="433" t="str">
        <f>IF(TRUE=ISBLANK(ChemData!D296),"",(ChemData!D296))</f>
        <v/>
      </c>
      <c r="I296" s="919" t="str">
        <f>IF(TRUE=ISBLANK(ChemData!K296),"",(ChemData!K296))</f>
        <v>NA</v>
      </c>
      <c r="J296" s="290">
        <f>IF(TRUE=ISBLANK(ChemData!M296),"",(ChemData!M296))</f>
        <v>395.3</v>
      </c>
      <c r="K296" s="290">
        <f>IF(TRUE=ISBLANK(ChemData!N296),"",(ChemData!N296))</f>
        <v>1.0000000000000001E-5</v>
      </c>
      <c r="L296" s="290">
        <f>IF(TRUE=ISBLANK(ChemData!O296),"",(ChemData!O296))</f>
        <v>0.14907647275152078</v>
      </c>
      <c r="M296" s="290">
        <f>IF(TRUE=ISBLANK(ChemData!Q296),"",(ChemData!Q296))</f>
        <v>273782.96264993591</v>
      </c>
      <c r="N296" s="290">
        <f>IF(TRUE=ISBLANK(ChemData!R296),"",(ChemData!R296))</f>
        <v>273782.96264993591</v>
      </c>
      <c r="O296" s="290">
        <f>IF(TRUE=ISBLANK(ChemData!S296),"",(ChemData!S296))</f>
        <v>1</v>
      </c>
      <c r="P296" s="291">
        <f>IF(TRUE=ISBLANK(ChemData!T296),"",(ChemData!T296))</f>
        <v>1</v>
      </c>
      <c r="Q296" s="375">
        <f>IF(Start!$C$18="x",IF(OR(K296="NA",K296="",K296="--"),"NA",(K296*1000000/82.1/Data!$D$50)),"---")</f>
        <v>3.9291186986758873E-4</v>
      </c>
      <c r="R296" s="376">
        <f>IF(Start!$C$18="x",IF(OR(J296="NA",J296=0,J296=""),"NA",(0.32*(Data!$D$48+Data!$D$49)*(18/J296)^0.5)),"---")</f>
        <v>0.17583286685236027</v>
      </c>
      <c r="S296" s="376">
        <f>IF(Start!$C$18="x",IF(OR(J296="NA",J296= 0,J296=""),"NA",(0.0065*((Data!$D$49^0.969)/(Data!$D$51^0.673))*(32/J296)^0.5*EXP(0.526*Data!$D$48^-1.9))),"---")</f>
        <v>3.7060751088101291E-4</v>
      </c>
      <c r="T296" s="377">
        <f>IF(Start!$C$18="x",IF(OR(S296="NA",R296="NA",R296=0,Q296="NA",S296=0,Q296=0),"NA",(1/(1/S296+(1/(R296*Q296))))),"---")</f>
        <v>5.8231577604152914E-5</v>
      </c>
      <c r="U296" s="375" t="str">
        <f>IF(Start!$C$18="x",IF(OR(F296="NA",F296="",O296="",O296="NA"),"NA",(F296*$O296)),"---")</f>
        <v>NA</v>
      </c>
      <c r="V296" s="376" t="str">
        <f>IF(Start!$C$18="x",IF(OR(U296="NA",M296="NA",M296="",U296=""),"NA",U296/((Data!$D$18+((1-Data!$D$18)*Data!$D$14*M296))/((1-Data!$D$18)*Data!$D$14*1000))),"---")</f>
        <v>NA</v>
      </c>
      <c r="W296" s="376" t="str">
        <f>IF(Start!$C$18="x",IF(OR(G296="NA",U296="NA",G296="",U296=""),"NA",(U296 +($G296*(Data!$D$19-Data!$D$22)/(Data!$D$19*Data!$D$22)))),"---")</f>
        <v>NA</v>
      </c>
      <c r="X296" s="376" t="str">
        <f>IF(Start!$C$18="x",IF(OR(G296="NA",V296="NA",G296="",V296=""),"NA",(((Data!$D$22*Data!$D$18)*V296)+(Data!$D$19-Data!$D$22)*$G296)/((Data!$D$22*Data!$D$18)+Data!$D$19-Data!$D$22)),"---")</f>
        <v>NA</v>
      </c>
      <c r="Y296" s="376" t="str">
        <f>IF(Start!$C$18="x",IF(OR(W296="NA",W296="",M296="NA",M296=""),"NA",(W296/((Data!$D$23+((1-Data!$D$23)*Data!$D$14*M296)) /((1-Data!$D$23)*Data!$D$14*1000)))),"---")</f>
        <v>NA</v>
      </c>
      <c r="Z296" s="376" t="str">
        <f>IF(Start!$C$18="x",IF(OR(Y296="NA",X296="NA"),"NA",IF(Y296&gt;X296, Y296, X296)),"---")</f>
        <v>NA</v>
      </c>
      <c r="AA296" s="461" t="str">
        <f>IF(Start!$C$18="x",IF(OR(Z296="NA",T296="NA"),"NA",Z296*T296/(1000000000)),"---")</f>
        <v>NA</v>
      </c>
      <c r="AB296" s="1057" t="str">
        <f>IF(Start!$C$18="x",IF(AA296 = "NA", "NA", AA296*(Data!$D$52*Data!$D$53*10000)),"---")</f>
        <v>NA</v>
      </c>
      <c r="AC296" s="375" t="str">
        <f>IF(Start!$C$18="x",IF(AB296="NA", "NA", AB296*Data!$D$54),"---")</f>
        <v>NA</v>
      </c>
      <c r="AD296" s="498" t="str">
        <f>IF(Start!$C$18="x",IF(AC296="NA","NA",AC296*Data!$D$41),"---")</f>
        <v>NA</v>
      </c>
      <c r="AE296" s="376" t="str">
        <f>IF(Start!$C$18="x",IF(AB296 = "NA", "NA", AB296/(Data!$D$53*3*Data!$D$48)*1000),"---")</f>
        <v>NA</v>
      </c>
      <c r="AF296" s="498" t="str">
        <f>IF(Start!$C$18="x",IF(AE296="NA","NA",AE296*Data!$D$46),"---")</f>
        <v>NA</v>
      </c>
      <c r="AG296" s="375">
        <f>IF(Start!$C$18="x",IF(OR($L296="NA",L296=""),"NA",($L296*(Data!$D$55^3.33)/(Data!$D$18^2))),"---")</f>
        <v>1.5187156219468453E-3</v>
      </c>
      <c r="AH296" s="376" t="str">
        <f>IF(Start!$C$18="x",IF(OR(F296="NA",F296="",P296="NA",P296=""),"NA",IF(100/Data!$D$10&gt;Data!$D$13,(F296*$P296),(F296*$P296)*Data!$D$13)),"---")</f>
        <v>NA</v>
      </c>
      <c r="AI296" s="489">
        <f>IF(Start!$C$18="x",IF(OR($N296="NA",$Q296="NA",$Q296=0,Q296="",N296=""),"NA",(1000*$N296/$Q296)),"---")</f>
        <v>696805018240.35181</v>
      </c>
      <c r="AJ296" s="376">
        <f>IF(Start!$C$18="x",IF(OR(Q296 = "NA",Q296=0,N296 = "NA",N296="",Q296=""), "NA", IF($AG296="NA","NA",(3.1416*Data!$D$57*86400/($AG296*(Data!$D$55+(N296*Data!$D$19/(Q296*1000)))))^0.5)),"---")</f>
        <v>3.0099095001004779</v>
      </c>
      <c r="AK296" s="376" t="str">
        <f>IF(Start!$C$18="x",IF(OR(AH296 = "NA",AI296="NA",AI296=0,AI296="",AH296=""), "NA", AH296/AI296),"---")</f>
        <v>NA</v>
      </c>
      <c r="AL296" s="376" t="str">
        <f>IF(Start!$C$18="x",IF(OR(AK296 ="NA",AK296="",AJ296= "NA",R296="NA",R296=0),"NA",(2*AK296)/(1000*(1/$R296+AJ296))),"---")</f>
        <v>NA</v>
      </c>
      <c r="AM296" s="376" t="str">
        <f>IF(Start!$C$18="x",IF(AL296 = "NA", "NA", AL296*(Data!$D$52*Data!$D$53*10000)),"---")</f>
        <v>NA</v>
      </c>
      <c r="AN296" s="376" t="str">
        <f>IF(Start!$C$18="x",IF(AM296 = "NA", "NA", AM296*(Data!$D$54)),"---")</f>
        <v>NA</v>
      </c>
      <c r="AO296" s="498" t="str">
        <f>IF(Start!$C$18="x",IF(AN296="NA","NA",AN296*Data!$D$41),"---")</f>
        <v>NA</v>
      </c>
      <c r="AP296" s="376">
        <f>IF(Start!$C$18="x",IF(OR(Q296=0,N296="NA",N296="",AG296="NA",AG296="",AG296=0,Q296="",Q296="NA"),"NA", (3.1416*Data!$D$56*86400/($AG296*(Data!$D$55+(N296*Data!$D$19/(Q296*1000)))))^0.5),"---")</f>
        <v>3.0099095001004779</v>
      </c>
      <c r="AQ296" s="376" t="str">
        <f>IF(Start!$C$18="x",IF(OR(AH296="NA",AI296="NA",AI296="",AI296=0,AH296=""),"NA", AH296/AI296),"---")</f>
        <v>NA</v>
      </c>
      <c r="AR296" s="376" t="str">
        <f>IF(Start!$C$18="x",IF(OR(AQ296="NA",AP296="NA",$R296="NA",R296=0,R296=""),"NA",(2*AQ296)/(1000*(1/$R296+AP296))),"---")</f>
        <v>NA</v>
      </c>
      <c r="AS296" s="376" t="str">
        <f>IF(Start!$C$18="x",IF(AR296 = "NA", "NA", AR296*(Data!$D$52*Data!$D$53*10000)),"---")</f>
        <v>NA</v>
      </c>
      <c r="AT296" s="376" t="str">
        <f>IF(Start!$C$18="x",IF(AS296 = "NA", "NA", (AS296*1000)/(Data!$D$48*3*Data!$D$53)),"---")</f>
        <v>NA</v>
      </c>
      <c r="AU296" s="498" t="str">
        <f>IF(Start!$C$18="x",IF(AT296="NA","NA",AT296*Data!$D$47),"---")</f>
        <v>NA</v>
      </c>
      <c r="AV296" s="283" t="str">
        <f>IF(Start!$C$18="x",(IF(AND(F296="",G296= "",G296&lt;&gt;"NA"),"",IF(OR(AD296="NA",I296="NA",I296=0),"NA",(AD296/I296)))),"Not Req.")</f>
        <v/>
      </c>
      <c r="AW296" s="284" t="str">
        <f>IF(Start!$C$18="x",(IF(AND(F296="",G296= "",G296&lt;&gt;"NA"),"",IF(OR(AF296="NA",I296="NA",I296=0),"NA",(AF296/I296)))),"Not Req.")</f>
        <v/>
      </c>
      <c r="AX296" s="284" t="str">
        <f>IF(Start!$C$18="x",(IF(F296 ="","",IF(OR(AO296="NA",I296="NA",I296=0),"NA",(AO296/I296)))),"Not Req.")</f>
        <v/>
      </c>
      <c r="AY296" s="344" t="str">
        <f>IF(Start!$C$18="x",(IF(F296 ="","",IF(OR(AU296="NA",I296="NA",I296=0),"NA",(AU296/I296)))),"Not Req.")</f>
        <v/>
      </c>
      <c r="AZ296" s="208"/>
    </row>
    <row r="297" spans="1:52" s="183" customFormat="1" x14ac:dyDescent="0.25">
      <c r="A297" s="405" t="s">
        <v>615</v>
      </c>
      <c r="B297" s="347" t="str">
        <f>IF(Start!$C$18="x",IF(AND(OR(F297="",F297="NA"),OR(G297="",G297="NA")),"",IF(I297="NA","NA",IF(AND(I297="",K297="--"),"NA",IF(AD297="NA","Missing Data",IF(I297="","No Criteria",IF(AD297&gt;=I297,"Needed","No")))))),"---")</f>
        <v/>
      </c>
      <c r="C297" s="501" t="str">
        <f>IF(Start!$C$18="x",IF(AND(OR(F297="",F297="NA"),OR(G297="",G297="NA")),"",IF(I297="NA","NA",IF(AND(I297="",K297="--"),"NA",IF(AF297="NA","Missing Data",IF(I297="","No Criteria",IF(AF297&gt;=I297,"Needed","No")))))),"---")</f>
        <v/>
      </c>
      <c r="D297" s="347" t="str">
        <f>IF(Start!$C$18="x",IF(AND(OR(F297="",F297="NA"),OR(G297="",G297="NA")),"",IF(I297="NA","NA",IF(AND(I297="",K297="--"),"NA",IF(AO297="NA","Missing Data",IF(I297="","No Criteria",IF(AO297&gt;=I297,"Needed","No")))))),"---")</f>
        <v/>
      </c>
      <c r="E297" s="401" t="str">
        <f>IF(Start!$C$18="x",IF(AND(OR(F297="",F297="NA"),OR(G297="",G297="NA")),"",IF(I297="NA","NA",IF(AND(I297="",K297="--"),"NA",IF(AU297="NA","Missing Data",IF(I297="","No Criteria",IF(AU297&gt;=I297,"Needed","No")))))),"---")</f>
        <v/>
      </c>
      <c r="F297" s="431" t="str">
        <f>IF(TRUE=ISBLANK(ChemData!B297),"",(ChemData!B297))</f>
        <v/>
      </c>
      <c r="G297" s="432" t="str">
        <f>IF(TRUE=ISBLANK(ChemData!C297),"",(ChemData!C297))</f>
        <v/>
      </c>
      <c r="H297" s="433" t="str">
        <f>IF(TRUE=ISBLANK(ChemData!D297),"",(ChemData!D297))</f>
        <v/>
      </c>
      <c r="I297" s="919" t="str">
        <f>IF(TRUE=ISBLANK(ChemData!K297),"",(ChemData!K297))</f>
        <v>NA</v>
      </c>
      <c r="J297" s="290">
        <f>IF(TRUE=ISBLANK(ChemData!M297),"",(ChemData!M297))</f>
        <v>395.3</v>
      </c>
      <c r="K297" s="290">
        <f>IF(TRUE=ISBLANK(ChemData!N297),"",(ChemData!N297))</f>
        <v>5.0699999999999999E-5</v>
      </c>
      <c r="L297" s="290">
        <f>IF(TRUE=ISBLANK(ChemData!O297),"",(ChemData!O297))</f>
        <v>0.14907647275152078</v>
      </c>
      <c r="M297" s="290">
        <f>IF(TRUE=ISBLANK(ChemData!Q297),"",(ChemData!Q297))</f>
        <v>198338.22339948098</v>
      </c>
      <c r="N297" s="290">
        <f>IF(TRUE=ISBLANK(ChemData!R297),"",(ChemData!R297))</f>
        <v>198338.22339948098</v>
      </c>
      <c r="O297" s="290">
        <f>IF(TRUE=ISBLANK(ChemData!S297),"",(ChemData!S297))</f>
        <v>1</v>
      </c>
      <c r="P297" s="291">
        <f>IF(TRUE=ISBLANK(ChemData!T297),"",(ChemData!T297))</f>
        <v>1</v>
      </c>
      <c r="Q297" s="375">
        <f>IF(Start!$C$18="x",IF(OR(K297="NA",K297="",K297="--"),"NA",(K297*1000000/82.1/Data!$D$50)),"---")</f>
        <v>1.9920631802286749E-3</v>
      </c>
      <c r="R297" s="376">
        <f>IF(Start!$C$18="x",IF(OR(J297="NA",J297=0,J297=""),"NA",(0.32*(Data!$D$48+Data!$D$49)*(18/J297)^0.5)),"---")</f>
        <v>0.17583286685236027</v>
      </c>
      <c r="S297" s="376">
        <f>IF(Start!$C$18="x",IF(OR(J297="NA",J297= 0,J297=""),"NA",(0.0065*((Data!$D$49^0.969)/(Data!$D$51^0.673))*(32/J297)^0.5*EXP(0.526*Data!$D$48^-1.9))),"---")</f>
        <v>3.7060751088101291E-4</v>
      </c>
      <c r="T297" s="377">
        <f>IF(Start!$C$18="x",IF(OR(S297="NA",R297="NA",R297=0,Q297="NA",S297=0,Q297=0),"NA",(1/(1/S297+(1/(R297*Q297))))),"---")</f>
        <v>1.8007598400469213E-4</v>
      </c>
      <c r="U297" s="375" t="str">
        <f>IF(Start!$C$18="x",IF(OR(F297="NA",F297="",O297="",O297="NA"),"NA",(F297*$O297)),"---")</f>
        <v>NA</v>
      </c>
      <c r="V297" s="376" t="str">
        <f>IF(Start!$C$18="x",IF(OR(U297="NA",M297="NA",M297="",U297=""),"NA",U297/((Data!$D$18+((1-Data!$D$18)*Data!$D$14*M297))/((1-Data!$D$18)*Data!$D$14*1000))),"---")</f>
        <v>NA</v>
      </c>
      <c r="W297" s="376" t="str">
        <f>IF(Start!$C$18="x",IF(OR(G297="NA",U297="NA",G297="",U297=""),"NA",(U297 +($G297*(Data!$D$19-Data!$D$22)/(Data!$D$19*Data!$D$22)))),"---")</f>
        <v>NA</v>
      </c>
      <c r="X297" s="376" t="str">
        <f>IF(Start!$C$18="x",IF(OR(G297="NA",V297="NA",G297="",V297=""),"NA",(((Data!$D$22*Data!$D$18)*V297)+(Data!$D$19-Data!$D$22)*$G297)/((Data!$D$22*Data!$D$18)+Data!$D$19-Data!$D$22)),"---")</f>
        <v>NA</v>
      </c>
      <c r="Y297" s="376" t="str">
        <f>IF(Start!$C$18="x",IF(OR(W297="NA",W297="",M297="NA",M297=""),"NA",(W297/((Data!$D$23+((1-Data!$D$23)*Data!$D$14*M297)) /((1-Data!$D$23)*Data!$D$14*1000)))),"---")</f>
        <v>NA</v>
      </c>
      <c r="Z297" s="376" t="str">
        <f>IF(Start!$C$18="x",IF(OR(Y297="NA",X297="NA"),"NA",IF(Y297&gt;X297, Y297, X297)),"---")</f>
        <v>NA</v>
      </c>
      <c r="AA297" s="461" t="str">
        <f>IF(Start!$C$18="x",IF(OR(Z297="NA",T297="NA"),"NA",Z297*T297/(1000000000)),"---")</f>
        <v>NA</v>
      </c>
      <c r="AB297" s="1057" t="str">
        <f>IF(Start!$C$18="x",IF(AA297 = "NA", "NA", AA297*(Data!$D$52*Data!$D$53*10000)),"---")</f>
        <v>NA</v>
      </c>
      <c r="AC297" s="375" t="str">
        <f>IF(Start!$C$18="x",IF(AB297="NA", "NA", AB297*Data!$D$54),"---")</f>
        <v>NA</v>
      </c>
      <c r="AD297" s="498" t="str">
        <f>IF(Start!$C$18="x",IF(AC297="NA","NA",AC297*Data!$D$41),"---")</f>
        <v>NA</v>
      </c>
      <c r="AE297" s="376" t="str">
        <f>IF(Start!$C$18="x",IF(AB297 = "NA", "NA", AB297/(Data!$D$53*3*Data!$D$48)*1000),"---")</f>
        <v>NA</v>
      </c>
      <c r="AF297" s="498" t="str">
        <f>IF(Start!$C$18="x",IF(AE297="NA","NA",AE297*Data!$D$46),"---")</f>
        <v>NA</v>
      </c>
      <c r="AG297" s="375">
        <f>IF(Start!$C$18="x",IF(OR($L297="NA",L297=""),"NA",($L297*(Data!$D$55^3.33)/(Data!$D$18^2))),"---")</f>
        <v>1.5187156219468453E-3</v>
      </c>
      <c r="AH297" s="376" t="str">
        <f>IF(Start!$C$18="x",IF(OR(F297="NA",F297="",P297="NA",P297=""),"NA",IF(100/Data!$D$10&gt;Data!$D$13,(F297*$P297),(F297*$P297)*Data!$D$13)),"---")</f>
        <v>NA</v>
      </c>
      <c r="AI297" s="489">
        <f>IF(Start!$C$18="x",IF(OR($N297="NA",$Q297="NA",$Q297=0,Q297="",N297=""),"NA",(1000*$N297/$Q297)),"---")</f>
        <v>99564223347.932739</v>
      </c>
      <c r="AJ297" s="376">
        <f>IF(Start!$C$18="x",IF(OR(Q297 = "NA",Q297=0,N297 = "NA",N297="",Q297=""), "NA", IF($AG297="NA","NA",(3.1416*Data!$D$57*86400/($AG297*(Data!$D$55+(N297*Data!$D$19/(Q297*1000)))))^0.5)),"---")</f>
        <v>7.9626461553880006</v>
      </c>
      <c r="AK297" s="376" t="str">
        <f>IF(Start!$C$18="x",IF(OR(AH297 = "NA",AI297="NA",AI297=0,AI297="",AH297=""), "NA", AH297/AI297),"---")</f>
        <v>NA</v>
      </c>
      <c r="AL297" s="376" t="str">
        <f>IF(Start!$C$18="x",IF(OR(AK297 ="NA",AK297="",AJ297= "NA",R297="NA",R297=0),"NA",(2*AK297)/(1000*(1/$R297+AJ297))),"---")</f>
        <v>NA</v>
      </c>
      <c r="AM297" s="376" t="str">
        <f>IF(Start!$C$18="x",IF(AL297 = "NA", "NA", AL297*(Data!$D$52*Data!$D$53*10000)),"---")</f>
        <v>NA</v>
      </c>
      <c r="AN297" s="376" t="str">
        <f>IF(Start!$C$18="x",IF(AM297 = "NA", "NA", AM297*(Data!$D$54)),"---")</f>
        <v>NA</v>
      </c>
      <c r="AO297" s="498" t="str">
        <f>IF(Start!$C$18="x",IF(AN297="NA","NA",AN297*Data!$D$41),"---")</f>
        <v>NA</v>
      </c>
      <c r="AP297" s="376">
        <f>IF(Start!$C$18="x",IF(OR(Q297=0,N297="NA",N297="",AG297="NA",AG297="",AG297=0,Q297="",Q297="NA"),"NA", (3.1416*Data!$D$56*86400/($AG297*(Data!$D$55+(N297*Data!$D$19/(Q297*1000)))))^0.5),"---")</f>
        <v>7.9626461553880006</v>
      </c>
      <c r="AQ297" s="376" t="str">
        <f>IF(Start!$C$18="x",IF(OR(AH297="NA",AI297="NA",AI297="",AI297=0,AH297=""),"NA", AH297/AI297),"---")</f>
        <v>NA</v>
      </c>
      <c r="AR297" s="376" t="str">
        <f>IF(Start!$C$18="x",IF(OR(AQ297="NA",AP297="NA",$R297="NA",R297=0,R297=""),"NA",(2*AQ297)/(1000*(1/$R297+AP297))),"---")</f>
        <v>NA</v>
      </c>
      <c r="AS297" s="376" t="str">
        <f>IF(Start!$C$18="x",IF(AR297 = "NA", "NA", AR297*(Data!$D$52*Data!$D$53*10000)),"---")</f>
        <v>NA</v>
      </c>
      <c r="AT297" s="376" t="str">
        <f>IF(Start!$C$18="x",IF(AS297 = "NA", "NA", (AS297*1000)/(Data!$D$48*3*Data!$D$53)),"---")</f>
        <v>NA</v>
      </c>
      <c r="AU297" s="498" t="str">
        <f>IF(Start!$C$18="x",IF(AT297="NA","NA",AT297*Data!$D$47),"---")</f>
        <v>NA</v>
      </c>
      <c r="AV297" s="283" t="str">
        <f>IF(Start!$C$18="x",(IF(AND(F297="",G297= "",G297&lt;&gt;"NA"),"",IF(OR(AD297="NA",I297="NA",I297=0),"NA",(AD297/I297)))),"Not Req.")</f>
        <v/>
      </c>
      <c r="AW297" s="284" t="str">
        <f>IF(Start!$C$18="x",(IF(AND(F297="",G297= "",G297&lt;&gt;"NA"),"",IF(OR(AF297="NA",I297="NA",I297=0),"NA",(AF297/I297)))),"Not Req.")</f>
        <v/>
      </c>
      <c r="AX297" s="284" t="str">
        <f>IF(Start!$C$18="x",(IF(F297 ="","",IF(OR(AO297="NA",I297="NA",I297=0),"NA",(AO297/I297)))),"Not Req.")</f>
        <v/>
      </c>
      <c r="AY297" s="344" t="str">
        <f>IF(Start!$C$18="x",(IF(F297 ="","",IF(OR(AU297="NA",I297="NA",I297=0),"NA",(AU297/I297)))),"Not Req.")</f>
        <v/>
      </c>
      <c r="AZ297" s="208"/>
    </row>
    <row r="298" spans="1:52" s="183" customFormat="1" x14ac:dyDescent="0.25">
      <c r="A298" s="405" t="s">
        <v>616</v>
      </c>
      <c r="B298" s="347" t="str">
        <f>IF(Start!$C$18="x",IF(AND(OR(F298="",F298="NA"),OR(G298="",G298="NA")),"",IF(I298="NA","NA",IF(AND(I298="",K298="--"),"NA",IF(AD298="NA","Missing Data",IF(I298="","No Criteria",IF(AD298&gt;=I298,"Needed","No")))))),"---")</f>
        <v/>
      </c>
      <c r="C298" s="501" t="str">
        <f>IF(Start!$C$18="x",IF(AND(OR(F298="",F298="NA"),OR(G298="",G298="NA")),"",IF(I298="NA","NA",IF(AND(I298="",K298="--"),"NA",IF(AF298="NA","Missing Data",IF(I298="","No Criteria",IF(AF298&gt;=I298,"Needed","No")))))),"---")</f>
        <v/>
      </c>
      <c r="D298" s="347" t="str">
        <f>IF(Start!$C$18="x",IF(AND(OR(F298="",F298="NA"),OR(G298="",G298="NA")),"",IF(I298="NA","NA",IF(AND(I298="",K298="--"),"NA",IF(AO298="NA","Missing Data",IF(I298="","No Criteria",IF(AO298&gt;=I298,"Needed","No")))))),"---")</f>
        <v/>
      </c>
      <c r="E298" s="401" t="str">
        <f>IF(Start!$C$18="x",IF(AND(OR(F298="",F298="NA"),OR(G298="",G298="NA")),"",IF(I298="NA","NA",IF(AND(I298="",K298="--"),"NA",IF(AU298="NA","Missing Data",IF(I298="","No Criteria",IF(AU298&gt;=I298,"Needed","No")))))),"---")</f>
        <v/>
      </c>
      <c r="F298" s="431" t="str">
        <f>IF(TRUE=ISBLANK(ChemData!B298),"",(ChemData!B298))</f>
        <v/>
      </c>
      <c r="G298" s="432" t="str">
        <f>IF(TRUE=ISBLANK(ChemData!C298),"",(ChemData!C298))</f>
        <v/>
      </c>
      <c r="H298" s="433" t="str">
        <f>IF(TRUE=ISBLANK(ChemData!D298),"",(ChemData!D298))</f>
        <v/>
      </c>
      <c r="I298" s="919" t="str">
        <f>IF(TRUE=ISBLANK(ChemData!K298),"",(ChemData!K298))</f>
        <v>NA</v>
      </c>
      <c r="J298" s="290">
        <f>IF(TRUE=ISBLANK(ChemData!M298),"",(ChemData!M298))</f>
        <v>395.3</v>
      </c>
      <c r="K298" s="290" t="str">
        <f>IF(TRUE=ISBLANK(ChemData!N298),"",(ChemData!N298))</f>
        <v>NA</v>
      </c>
      <c r="L298" s="290" t="str">
        <f>IF(TRUE=ISBLANK(ChemData!O298),"",(ChemData!O298))</f>
        <v>NA</v>
      </c>
      <c r="M298" s="290">
        <f>IF(TRUE=ISBLANK(ChemData!Q298),"",(ChemData!Q298))</f>
        <v>99404.5855081341</v>
      </c>
      <c r="N298" s="290">
        <f>IF(TRUE=ISBLANK(ChemData!R298),"",(ChemData!R298))</f>
        <v>99404.5855081341</v>
      </c>
      <c r="O298" s="290">
        <f>IF(TRUE=ISBLANK(ChemData!S298),"",(ChemData!S298))</f>
        <v>1</v>
      </c>
      <c r="P298" s="291">
        <f>IF(TRUE=ISBLANK(ChemData!T298),"",(ChemData!T298))</f>
        <v>1</v>
      </c>
      <c r="Q298" s="375" t="str">
        <f>IF(Start!$C$18="x",IF(OR(K298="NA",K298="",K298="--"),"NA",(K298*1000000/82.1/Data!$D$50)),"---")</f>
        <v>NA</v>
      </c>
      <c r="R298" s="376">
        <f>IF(Start!$C$18="x",IF(OR(J298="NA",J298=0,J298=""),"NA",(0.32*(Data!$D$48+Data!$D$49)*(18/J298)^0.5)),"---")</f>
        <v>0.17583286685236027</v>
      </c>
      <c r="S298" s="376">
        <f>IF(Start!$C$18="x",IF(OR(J298="NA",J298= 0,J298=""),"NA",(0.0065*((Data!$D$49^0.969)/(Data!$D$51^0.673))*(32/J298)^0.5*EXP(0.526*Data!$D$48^-1.9))),"---")</f>
        <v>3.7060751088101291E-4</v>
      </c>
      <c r="T298" s="377" t="str">
        <f>IF(Start!$C$18="x",IF(OR(S298="NA",R298="NA",R298=0,Q298="NA",S298=0,Q298=0),"NA",(1/(1/S298+(1/(R298*Q298))))),"---")</f>
        <v>NA</v>
      </c>
      <c r="U298" s="375" t="str">
        <f>IF(Start!$C$18="x",IF(OR(F298="NA",F298="",O298="",O298="NA"),"NA",(F298*$O298)),"---")</f>
        <v>NA</v>
      </c>
      <c r="V298" s="376" t="str">
        <f>IF(Start!$C$18="x",IF(OR(U298="NA",M298="NA",M298="",U298=""),"NA",U298/((Data!$D$18+((1-Data!$D$18)*Data!$D$14*M298))/((1-Data!$D$18)*Data!$D$14*1000))),"---")</f>
        <v>NA</v>
      </c>
      <c r="W298" s="376" t="str">
        <f>IF(Start!$C$18="x",IF(OR(G298="NA",U298="NA",G298="",U298=""),"NA",(U298 +($G298*(Data!$D$19-Data!$D$22)/(Data!$D$19*Data!$D$22)))),"---")</f>
        <v>NA</v>
      </c>
      <c r="X298" s="376" t="str">
        <f>IF(Start!$C$18="x",IF(OR(G298="NA",V298="NA",G298="",V298=""),"NA",(((Data!$D$22*Data!$D$18)*V298)+(Data!$D$19-Data!$D$22)*$G298)/((Data!$D$22*Data!$D$18)+Data!$D$19-Data!$D$22)),"---")</f>
        <v>NA</v>
      </c>
      <c r="Y298" s="376" t="str">
        <f>IF(Start!$C$18="x",IF(OR(W298="NA",W298="",M298="NA",M298=""),"NA",(W298/((Data!$D$23+((1-Data!$D$23)*Data!$D$14*M298)) /((1-Data!$D$23)*Data!$D$14*1000)))),"---")</f>
        <v>NA</v>
      </c>
      <c r="Z298" s="376" t="str">
        <f>IF(Start!$C$18="x",IF(OR(Y298="NA",X298="NA"),"NA",IF(Y298&gt;X298, Y298, X298)),"---")</f>
        <v>NA</v>
      </c>
      <c r="AA298" s="461" t="str">
        <f>IF(Start!$C$18="x",IF(OR(Z298="NA",T298="NA"),"NA",Z298*T298/(1000000000)),"---")</f>
        <v>NA</v>
      </c>
      <c r="AB298" s="1057" t="str">
        <f>IF(Start!$C$18="x",IF(AA298 = "NA", "NA", AA298*(Data!$D$52*Data!$D$53*10000)),"---")</f>
        <v>NA</v>
      </c>
      <c r="AC298" s="375" t="str">
        <f>IF(Start!$C$18="x",IF(AB298="NA", "NA", AB298*Data!$D$54),"---")</f>
        <v>NA</v>
      </c>
      <c r="AD298" s="498" t="str">
        <f>IF(Start!$C$18="x",IF(AC298="NA","NA",AC298*Data!$D$41),"---")</f>
        <v>NA</v>
      </c>
      <c r="AE298" s="376" t="str">
        <f>IF(Start!$C$18="x",IF(AB298 = "NA", "NA", AB298/(Data!$D$53*3*Data!$D$48)*1000),"---")</f>
        <v>NA</v>
      </c>
      <c r="AF298" s="498" t="str">
        <f>IF(Start!$C$18="x",IF(AE298="NA","NA",AE298*Data!$D$46),"---")</f>
        <v>NA</v>
      </c>
      <c r="AG298" s="375" t="str">
        <f>IF(Start!$C$18="x",IF(OR($L298="NA",L298=""),"NA",($L298*(Data!$D$55^3.33)/(Data!$D$18^2))),"---")</f>
        <v>NA</v>
      </c>
      <c r="AH298" s="376" t="str">
        <f>IF(Start!$C$18="x",IF(OR(F298="NA",F298="",P298="NA",P298=""),"NA",IF(100/Data!$D$10&gt;Data!$D$13,(F298*$P298),(F298*$P298)*Data!$D$13)),"---")</f>
        <v>NA</v>
      </c>
      <c r="AI298" s="489" t="str">
        <f>IF(Start!$C$18="x",IF(OR($N298="NA",$Q298="NA",$Q298=0,Q298="",N298=""),"NA",(1000*$N298/$Q298)),"---")</f>
        <v>NA</v>
      </c>
      <c r="AJ298" s="376" t="str">
        <f>IF(Start!$C$18="x",IF(OR(Q298 = "NA",Q298=0,N298 = "NA",N298="",Q298=""), "NA", IF($AG298="NA","NA",(3.1416*Data!$D$57*86400/($AG298*(Data!$D$55+(N298*Data!$D$19/(Q298*1000)))))^0.5)),"---")</f>
        <v>NA</v>
      </c>
      <c r="AK298" s="376" t="str">
        <f>IF(Start!$C$18="x",IF(OR(AH298 = "NA",AI298="NA",AI298=0,AI298="",AH298=""), "NA", AH298/AI298),"---")</f>
        <v>NA</v>
      </c>
      <c r="AL298" s="376" t="str">
        <f>IF(Start!$C$18="x",IF(OR(AK298 ="NA",AK298="",AJ298= "NA",R298="NA",R298=0),"NA",(2*AK298)/(1000*(1/$R298+AJ298))),"---")</f>
        <v>NA</v>
      </c>
      <c r="AM298" s="376" t="str">
        <f>IF(Start!$C$18="x",IF(AL298 = "NA", "NA", AL298*(Data!$D$52*Data!$D$53*10000)),"---")</f>
        <v>NA</v>
      </c>
      <c r="AN298" s="376" t="str">
        <f>IF(Start!$C$18="x",IF(AM298 = "NA", "NA", AM298*(Data!$D$54)),"---")</f>
        <v>NA</v>
      </c>
      <c r="AO298" s="498" t="str">
        <f>IF(Start!$C$18="x",IF(AN298="NA","NA",AN298*Data!$D$41),"---")</f>
        <v>NA</v>
      </c>
      <c r="AP298" s="376" t="str">
        <f>IF(Start!$C$18="x",IF(OR(Q298=0,N298="NA",N298="",AG298="NA",AG298="",AG298=0,Q298="",Q298="NA"),"NA", (3.1416*Data!$D$56*86400/($AG298*(Data!$D$55+(N298*Data!$D$19/(Q298*1000)))))^0.5),"---")</f>
        <v>NA</v>
      </c>
      <c r="AQ298" s="376" t="str">
        <f>IF(Start!$C$18="x",IF(OR(AH298="NA",AI298="NA",AI298="",AI298=0,AH298=""),"NA", AH298/AI298),"---")</f>
        <v>NA</v>
      </c>
      <c r="AR298" s="376" t="str">
        <f>IF(Start!$C$18="x",IF(OR(AQ298="NA",AP298="NA",$R298="NA",R298=0,R298=""),"NA",(2*AQ298)/(1000*(1/$R298+AP298))),"---")</f>
        <v>NA</v>
      </c>
      <c r="AS298" s="376" t="str">
        <f>IF(Start!$C$18="x",IF(AR298 = "NA", "NA", AR298*(Data!$D$52*Data!$D$53*10000)),"---")</f>
        <v>NA</v>
      </c>
      <c r="AT298" s="376" t="str">
        <f>IF(Start!$C$18="x",IF(AS298 = "NA", "NA", (AS298*1000)/(Data!$D$48*3*Data!$D$53)),"---")</f>
        <v>NA</v>
      </c>
      <c r="AU298" s="498" t="str">
        <f>IF(Start!$C$18="x",IF(AT298="NA","NA",AT298*Data!$D$47),"---")</f>
        <v>NA</v>
      </c>
      <c r="AV298" s="283" t="str">
        <f>IF(Start!$C$18="x",(IF(AND(F298="",G298= "",G298&lt;&gt;"NA"),"",IF(OR(AD298="NA",I298="NA",I298=0),"NA",(AD298/I298)))),"Not Req.")</f>
        <v/>
      </c>
      <c r="AW298" s="284" t="str">
        <f>IF(Start!$C$18="x",(IF(AND(F298="",G298= "",G298&lt;&gt;"NA"),"",IF(OR(AF298="NA",I298="NA",I298=0),"NA",(AF298/I298)))),"Not Req.")</f>
        <v/>
      </c>
      <c r="AX298" s="284" t="str">
        <f>IF(Start!$C$18="x",(IF(F298 ="","",IF(OR(AO298="NA",I298="NA",I298=0),"NA",(AO298/I298)))),"Not Req.")</f>
        <v/>
      </c>
      <c r="AY298" s="344" t="str">
        <f>IF(Start!$C$18="x",(IF(F298 ="","",IF(OR(AU298="NA",I298="NA",I298=0),"NA",(AU298/I298)))),"Not Req.")</f>
        <v/>
      </c>
      <c r="AZ298" s="208"/>
    </row>
    <row r="299" spans="1:52" s="183" customFormat="1" x14ac:dyDescent="0.25">
      <c r="A299" s="405" t="s">
        <v>617</v>
      </c>
      <c r="B299" s="347" t="str">
        <f>IF(Start!$C$18="x",IF(AND(OR(F299="",F299="NA"),OR(G299="",G299="NA")),"",IF(I299="NA","NA",IF(AND(I299="",K299="--"),"NA",IF(AD299="NA","Missing Data",IF(I299="","No Criteria",IF(AD299&gt;=I299,"Needed","No")))))),"---")</f>
        <v/>
      </c>
      <c r="C299" s="501" t="str">
        <f>IF(Start!$C$18="x",IF(AND(OR(F299="",F299="NA"),OR(G299="",G299="NA")),"",IF(I299="NA","NA",IF(AND(I299="",K299="--"),"NA",IF(AF299="NA","Missing Data",IF(I299="","No Criteria",IF(AF299&gt;=I299,"Needed","No")))))),"---")</f>
        <v/>
      </c>
      <c r="D299" s="347" t="str">
        <f>IF(Start!$C$18="x",IF(AND(OR(F299="",F299="NA"),OR(G299="",G299="NA")),"",IF(I299="NA","NA",IF(AND(I299="",K299="--"),"NA",IF(AO299="NA","Missing Data",IF(I299="","No Criteria",IF(AO299&gt;=I299,"Needed","No")))))),"---")</f>
        <v/>
      </c>
      <c r="E299" s="401" t="str">
        <f>IF(Start!$C$18="x",IF(AND(OR(F299="",F299="NA"),OR(G299="",G299="NA")),"",IF(I299="NA","NA",IF(AND(I299="",K299="--"),"NA",IF(AU299="NA","Missing Data",IF(I299="","No Criteria",IF(AU299&gt;=I299,"Needed","No")))))),"---")</f>
        <v/>
      </c>
      <c r="F299" s="431" t="str">
        <f>IF(TRUE=ISBLANK(ChemData!B299),"",(ChemData!B299))</f>
        <v/>
      </c>
      <c r="G299" s="432" t="str">
        <f>IF(TRUE=ISBLANK(ChemData!C299),"",(ChemData!C299))</f>
        <v/>
      </c>
      <c r="H299" s="433" t="str">
        <f>IF(TRUE=ISBLANK(ChemData!D299),"",(ChemData!D299))</f>
        <v/>
      </c>
      <c r="I299" s="919" t="str">
        <f>IF(TRUE=ISBLANK(ChemData!K299),"",(ChemData!K299))</f>
        <v>NA</v>
      </c>
      <c r="J299" s="290">
        <f>IF(TRUE=ISBLANK(ChemData!M299),"",(ChemData!M299))</f>
        <v>395.3</v>
      </c>
      <c r="K299" s="290">
        <f>IF(TRUE=ISBLANK(ChemData!N299),"",(ChemData!N299))</f>
        <v>5.0699999999999999E-5</v>
      </c>
      <c r="L299" s="290">
        <f>IF(TRUE=ISBLANK(ChemData!O299),"",(ChemData!O299))</f>
        <v>0.14907647275152078</v>
      </c>
      <c r="M299" s="290">
        <f>IF(TRUE=ISBLANK(ChemData!Q299),"",(ChemData!Q299))</f>
        <v>189411.5328711677</v>
      </c>
      <c r="N299" s="290">
        <f>IF(TRUE=ISBLANK(ChemData!R299),"",(ChemData!R299))</f>
        <v>189411.5328711677</v>
      </c>
      <c r="O299" s="290">
        <f>IF(TRUE=ISBLANK(ChemData!S299),"",(ChemData!S299))</f>
        <v>1</v>
      </c>
      <c r="P299" s="291">
        <f>IF(TRUE=ISBLANK(ChemData!T299),"",(ChemData!T299))</f>
        <v>1</v>
      </c>
      <c r="Q299" s="375">
        <f>IF(Start!$C$18="x",IF(OR(K299="NA",K299="",K299="--"),"NA",(K299*1000000/82.1/Data!$D$50)),"---")</f>
        <v>1.9920631802286749E-3</v>
      </c>
      <c r="R299" s="376">
        <f>IF(Start!$C$18="x",IF(OR(J299="NA",J299=0,J299=""),"NA",(0.32*(Data!$D$48+Data!$D$49)*(18/J299)^0.5)),"---")</f>
        <v>0.17583286685236027</v>
      </c>
      <c r="S299" s="376">
        <f>IF(Start!$C$18="x",IF(OR(J299="NA",J299= 0,J299=""),"NA",(0.0065*((Data!$D$49^0.969)/(Data!$D$51^0.673))*(32/J299)^0.5*EXP(0.526*Data!$D$48^-1.9))),"---")</f>
        <v>3.7060751088101291E-4</v>
      </c>
      <c r="T299" s="377">
        <f>IF(Start!$C$18="x",IF(OR(S299="NA",R299="NA",R299=0,Q299="NA",S299=0,Q299=0),"NA",(1/(1/S299+(1/(R299*Q299))))),"---")</f>
        <v>1.8007598400469213E-4</v>
      </c>
      <c r="U299" s="375" t="str">
        <f>IF(Start!$C$18="x",IF(OR(F299="NA",F299="",O299="",O299="NA"),"NA",(F299*$O299)),"---")</f>
        <v>NA</v>
      </c>
      <c r="V299" s="376" t="str">
        <f>IF(Start!$C$18="x",IF(OR(U299="NA",M299="NA",M299="",U299=""),"NA",U299/((Data!$D$18+((1-Data!$D$18)*Data!$D$14*M299))/((1-Data!$D$18)*Data!$D$14*1000))),"---")</f>
        <v>NA</v>
      </c>
      <c r="W299" s="376" t="str">
        <f>IF(Start!$C$18="x",IF(OR(G299="NA",U299="NA",G299="",U299=""),"NA",(U299 +($G299*(Data!$D$19-Data!$D$22)/(Data!$D$19*Data!$D$22)))),"---")</f>
        <v>NA</v>
      </c>
      <c r="X299" s="376" t="str">
        <f>IF(Start!$C$18="x",IF(OR(G299="NA",V299="NA",G299="",V299=""),"NA",(((Data!$D$22*Data!$D$18)*V299)+(Data!$D$19-Data!$D$22)*$G299)/((Data!$D$22*Data!$D$18)+Data!$D$19-Data!$D$22)),"---")</f>
        <v>NA</v>
      </c>
      <c r="Y299" s="376" t="str">
        <f>IF(Start!$C$18="x",IF(OR(W299="NA",W299="",M299="NA",M299=""),"NA",(W299/((Data!$D$23+((1-Data!$D$23)*Data!$D$14*M299)) /((1-Data!$D$23)*Data!$D$14*1000)))),"---")</f>
        <v>NA</v>
      </c>
      <c r="Z299" s="376" t="str">
        <f>IF(Start!$C$18="x",IF(OR(Y299="NA",X299="NA"),"NA",IF(Y299&gt;X299, Y299, X299)),"---")</f>
        <v>NA</v>
      </c>
      <c r="AA299" s="461" t="str">
        <f>IF(Start!$C$18="x",IF(OR(Z299="NA",T299="NA"),"NA",Z299*T299/(1000000000)),"---")</f>
        <v>NA</v>
      </c>
      <c r="AB299" s="1057" t="str">
        <f>IF(Start!$C$18="x",IF(AA299 = "NA", "NA", AA299*(Data!$D$52*Data!$D$53*10000)),"---")</f>
        <v>NA</v>
      </c>
      <c r="AC299" s="375" t="str">
        <f>IF(Start!$C$18="x",IF(AB299="NA", "NA", AB299*Data!$D$54),"---")</f>
        <v>NA</v>
      </c>
      <c r="AD299" s="498" t="str">
        <f>IF(Start!$C$18="x",IF(AC299="NA","NA",AC299*Data!$D$41),"---")</f>
        <v>NA</v>
      </c>
      <c r="AE299" s="376" t="str">
        <f>IF(Start!$C$18="x",IF(AB299 = "NA", "NA", AB299/(Data!$D$53*3*Data!$D$48)*1000),"---")</f>
        <v>NA</v>
      </c>
      <c r="AF299" s="498" t="str">
        <f>IF(Start!$C$18="x",IF(AE299="NA","NA",AE299*Data!$D$46),"---")</f>
        <v>NA</v>
      </c>
      <c r="AG299" s="375">
        <f>IF(Start!$C$18="x",IF(OR($L299="NA",L299=""),"NA",($L299*(Data!$D$55^3.33)/(Data!$D$18^2))),"---")</f>
        <v>1.5187156219468453E-3</v>
      </c>
      <c r="AH299" s="376" t="str">
        <f>IF(Start!$C$18="x",IF(OR(F299="NA",F299="",P299="NA",P299=""),"NA",IF(100/Data!$D$10&gt;Data!$D$13,(F299*$P299),(F299*$P299)*Data!$D$13)),"---")</f>
        <v>NA</v>
      </c>
      <c r="AI299" s="489">
        <f>IF(Start!$C$18="x",IF(OR($N299="NA",$Q299="NA",$Q299=0,Q299="",N299=""),"NA",(1000*$N299/$Q299)),"---")</f>
        <v>95083095130.258148</v>
      </c>
      <c r="AJ299" s="376">
        <f>IF(Start!$C$18="x",IF(OR(Q299 = "NA",Q299=0,N299 = "NA",N299="",Q299=""), "NA", IF($AG299="NA","NA",(3.1416*Data!$D$57*86400/($AG299*(Data!$D$55+(N299*Data!$D$19/(Q299*1000)))))^0.5)),"---")</f>
        <v>8.1481200103657319</v>
      </c>
      <c r="AK299" s="376" t="str">
        <f>IF(Start!$C$18="x",IF(OR(AH299 = "NA",AI299="NA",AI299=0,AI299="",AH299=""), "NA", AH299/AI299),"---")</f>
        <v>NA</v>
      </c>
      <c r="AL299" s="376" t="str">
        <f>IF(Start!$C$18="x",IF(OR(AK299 ="NA",AK299="",AJ299= "NA",R299="NA",R299=0),"NA",(2*AK299)/(1000*(1/$R299+AJ299))),"---")</f>
        <v>NA</v>
      </c>
      <c r="AM299" s="376" t="str">
        <f>IF(Start!$C$18="x",IF(AL299 = "NA", "NA", AL299*(Data!$D$52*Data!$D$53*10000)),"---")</f>
        <v>NA</v>
      </c>
      <c r="AN299" s="376" t="str">
        <f>IF(Start!$C$18="x",IF(AM299 = "NA", "NA", AM299*(Data!$D$54)),"---")</f>
        <v>NA</v>
      </c>
      <c r="AO299" s="498" t="str">
        <f>IF(Start!$C$18="x",IF(AN299="NA","NA",AN299*Data!$D$41),"---")</f>
        <v>NA</v>
      </c>
      <c r="AP299" s="376">
        <f>IF(Start!$C$18="x",IF(OR(Q299=0,N299="NA",N299="",AG299="NA",AG299="",AG299=0,Q299="",Q299="NA"),"NA", (3.1416*Data!$D$56*86400/($AG299*(Data!$D$55+(N299*Data!$D$19/(Q299*1000)))))^0.5),"---")</f>
        <v>8.1481200103657319</v>
      </c>
      <c r="AQ299" s="376" t="str">
        <f>IF(Start!$C$18="x",IF(OR(AH299="NA",AI299="NA",AI299="",AI299=0,AH299=""),"NA", AH299/AI299),"---")</f>
        <v>NA</v>
      </c>
      <c r="AR299" s="376" t="str">
        <f>IF(Start!$C$18="x",IF(OR(AQ299="NA",AP299="NA",$R299="NA",R299=0,R299=""),"NA",(2*AQ299)/(1000*(1/$R299+AP299))),"---")</f>
        <v>NA</v>
      </c>
      <c r="AS299" s="376" t="str">
        <f>IF(Start!$C$18="x",IF(AR299 = "NA", "NA", AR299*(Data!$D$52*Data!$D$53*10000)),"---")</f>
        <v>NA</v>
      </c>
      <c r="AT299" s="376" t="str">
        <f>IF(Start!$C$18="x",IF(AS299 = "NA", "NA", (AS299*1000)/(Data!$D$48*3*Data!$D$53)),"---")</f>
        <v>NA</v>
      </c>
      <c r="AU299" s="498" t="str">
        <f>IF(Start!$C$18="x",IF(AT299="NA","NA",AT299*Data!$D$47),"---")</f>
        <v>NA</v>
      </c>
      <c r="AV299" s="283" t="str">
        <f>IF(Start!$C$18="x",(IF(AND(F299="",G299= "",G299&lt;&gt;"NA"),"",IF(OR(AD299="NA",I299="NA",I299=0),"NA",(AD299/I299)))),"Not Req.")</f>
        <v/>
      </c>
      <c r="AW299" s="284" t="str">
        <f>IF(Start!$C$18="x",(IF(AND(F299="",G299= "",G299&lt;&gt;"NA"),"",IF(OR(AF299="NA",I299="NA",I299=0),"NA",(AF299/I299)))),"Not Req.")</f>
        <v/>
      </c>
      <c r="AX299" s="284" t="str">
        <f>IF(Start!$C$18="x",(IF(F299 ="","",IF(OR(AO299="NA",I299="NA",I299=0),"NA",(AO299/I299)))),"Not Req.")</f>
        <v/>
      </c>
      <c r="AY299" s="344" t="str">
        <f>IF(Start!$C$18="x",(IF(F299 ="","",IF(OR(AU299="NA",I299="NA",I299=0),"NA",(AU299/I299)))),"Not Req.")</f>
        <v/>
      </c>
      <c r="AZ299" s="208"/>
    </row>
    <row r="300" spans="1:52" s="183" customFormat="1" x14ac:dyDescent="0.25">
      <c r="A300" s="405" t="s">
        <v>618</v>
      </c>
      <c r="B300" s="347" t="str">
        <f>IF(Start!$C$18="x",IF(AND(OR(F300="",F300="NA"),OR(G300="",G300="NA")),"",IF(I300="NA","NA",IF(AND(I300="",K300="--"),"NA",IF(AD300="NA","Missing Data",IF(I300="","No Criteria",IF(AD300&gt;=I300,"Needed","No")))))),"---")</f>
        <v/>
      </c>
      <c r="C300" s="501" t="str">
        <f>IF(Start!$C$18="x",IF(AND(OR(F300="",F300="NA"),OR(G300="",G300="NA")),"",IF(I300="NA","NA",IF(AND(I300="",K300="--"),"NA",IF(AF300="NA","Missing Data",IF(I300="","No Criteria",IF(AF300&gt;=I300,"Needed","No")))))),"---")</f>
        <v/>
      </c>
      <c r="D300" s="347" t="str">
        <f>IF(Start!$C$18="x",IF(AND(OR(F300="",F300="NA"),OR(G300="",G300="NA")),"",IF(I300="NA","NA",IF(AND(I300="",K300="--"),"NA",IF(AO300="NA","Missing Data",IF(I300="","No Criteria",IF(AO300&gt;=I300,"Needed","No")))))),"---")</f>
        <v/>
      </c>
      <c r="E300" s="401" t="str">
        <f>IF(Start!$C$18="x",IF(AND(OR(F300="",F300="NA"),OR(G300="",G300="NA")),"",IF(I300="NA","NA",IF(AND(I300="",K300="--"),"NA",IF(AU300="NA","Missing Data",IF(I300="","No Criteria",IF(AU300&gt;=I300,"Needed","No")))))),"---")</f>
        <v/>
      </c>
      <c r="F300" s="431" t="str">
        <f>IF(TRUE=ISBLANK(ChemData!B300),"",(ChemData!B300))</f>
        <v/>
      </c>
      <c r="G300" s="432" t="str">
        <f>IF(TRUE=ISBLANK(ChemData!C300),"",(ChemData!C300))</f>
        <v/>
      </c>
      <c r="H300" s="433" t="str">
        <f>IF(TRUE=ISBLANK(ChemData!D300),"",(ChemData!D300))</f>
        <v/>
      </c>
      <c r="I300" s="919" t="str">
        <f>IF(TRUE=ISBLANK(ChemData!K300),"",(ChemData!K300))</f>
        <v>NA</v>
      </c>
      <c r="J300" s="290">
        <f>IF(TRUE=ISBLANK(ChemData!M300),"",(ChemData!M300))</f>
        <v>429.77</v>
      </c>
      <c r="K300" s="290">
        <f>IF(TRUE=ISBLANK(ChemData!N300),"",(ChemData!N300))</f>
        <v>1.1E-5</v>
      </c>
      <c r="L300" s="290">
        <f>IF(TRUE=ISBLANK(ChemData!O300),"",(ChemData!O300))</f>
        <v>0.14866769588457515</v>
      </c>
      <c r="M300" s="290">
        <f>IF(TRUE=ISBLANK(ChemData!Q300),"",(ChemData!Q300))</f>
        <v>404954.67659306258</v>
      </c>
      <c r="N300" s="290">
        <f>IF(TRUE=ISBLANK(ChemData!R300),"",(ChemData!R300))</f>
        <v>404954.67659306258</v>
      </c>
      <c r="O300" s="290">
        <f>IF(TRUE=ISBLANK(ChemData!S300),"",(ChemData!S300))</f>
        <v>1</v>
      </c>
      <c r="P300" s="291">
        <f>IF(TRUE=ISBLANK(ChemData!T300),"",(ChemData!T300))</f>
        <v>1</v>
      </c>
      <c r="Q300" s="375">
        <f>IF(Start!$C$18="x",IF(OR(K300="NA",K300="",K300="--"),"NA",(K300*1000000/82.1/Data!$D$50)),"---")</f>
        <v>4.322030568543476E-4</v>
      </c>
      <c r="R300" s="376">
        <f>IF(Start!$C$18="x",IF(OR(J300="NA",J300=0,J300=""),"NA",(0.32*(Data!$D$48+Data!$D$49)*(18/J300)^0.5)),"---")</f>
        <v>0.16863410656870287</v>
      </c>
      <c r="S300" s="376">
        <f>IF(Start!$C$18="x",IF(OR(J300="NA",J300= 0,J300=""),"NA",(0.0065*((Data!$D$49^0.969)/(Data!$D$51^0.673))*(32/J300)^0.5*EXP(0.526*Data!$D$48^-1.9))),"---")</f>
        <v>3.5543449642748919E-4</v>
      </c>
      <c r="T300" s="377">
        <f>IF(Start!$C$18="x",IF(OR(S300="NA",R300="NA",R300=0,Q300="NA",S300=0,Q300=0),"NA",(1/(1/S300+(1/(R300*Q300))))),"---")</f>
        <v>6.0481954592781882E-5</v>
      </c>
      <c r="U300" s="375" t="str">
        <f>IF(Start!$C$18="x",IF(OR(F300="NA",F300="",O300="",O300="NA"),"NA",(F300*$O300)),"---")</f>
        <v>NA</v>
      </c>
      <c r="V300" s="376" t="str">
        <f>IF(Start!$C$18="x",IF(OR(U300="NA",M300="NA",M300="",U300=""),"NA",U300/((Data!$D$18+((1-Data!$D$18)*Data!$D$14*M300))/((1-Data!$D$18)*Data!$D$14*1000))),"---")</f>
        <v>NA</v>
      </c>
      <c r="W300" s="376" t="str">
        <f>IF(Start!$C$18="x",IF(OR(G300="NA",U300="NA",G300="",U300=""),"NA",(U300 +($G300*(Data!$D$19-Data!$D$22)/(Data!$D$19*Data!$D$22)))),"---")</f>
        <v>NA</v>
      </c>
      <c r="X300" s="376" t="str">
        <f>IF(Start!$C$18="x",IF(OR(G300="NA",V300="NA",G300="",V300=""),"NA",(((Data!$D$22*Data!$D$18)*V300)+(Data!$D$19-Data!$D$22)*$G300)/((Data!$D$22*Data!$D$18)+Data!$D$19-Data!$D$22)),"---")</f>
        <v>NA</v>
      </c>
      <c r="Y300" s="376" t="str">
        <f>IF(Start!$C$18="x",IF(OR(W300="NA",W300="",M300="NA",M300=""),"NA",(W300/((Data!$D$23+((1-Data!$D$23)*Data!$D$14*M300)) /((1-Data!$D$23)*Data!$D$14*1000)))),"---")</f>
        <v>NA</v>
      </c>
      <c r="Z300" s="376" t="str">
        <f>IF(Start!$C$18="x",IF(OR(Y300="NA",X300="NA"),"NA",IF(Y300&gt;X300, Y300, X300)),"---")</f>
        <v>NA</v>
      </c>
      <c r="AA300" s="461" t="str">
        <f>IF(Start!$C$18="x",IF(OR(Z300="NA",T300="NA"),"NA",Z300*T300/(1000000000)),"---")</f>
        <v>NA</v>
      </c>
      <c r="AB300" s="1057" t="str">
        <f>IF(Start!$C$18="x",IF(AA300 = "NA", "NA", AA300*(Data!$D$52*Data!$D$53*10000)),"---")</f>
        <v>NA</v>
      </c>
      <c r="AC300" s="375" t="str">
        <f>IF(Start!$C$18="x",IF(AB300="NA", "NA", AB300*Data!$D$54),"---")</f>
        <v>NA</v>
      </c>
      <c r="AD300" s="498" t="str">
        <f>IF(Start!$C$18="x",IF(AC300="NA","NA",AC300*Data!$D$41),"---")</f>
        <v>NA</v>
      </c>
      <c r="AE300" s="376" t="str">
        <f>IF(Start!$C$18="x",IF(AB300 = "NA", "NA", AB300/(Data!$D$53*3*Data!$D$48)*1000),"---")</f>
        <v>NA</v>
      </c>
      <c r="AF300" s="498" t="str">
        <f>IF(Start!$C$18="x",IF(AE300="NA","NA",AE300*Data!$D$46),"---")</f>
        <v>NA</v>
      </c>
      <c r="AG300" s="375">
        <f>IF(Start!$C$18="x",IF(OR($L300="NA",L300=""),"NA",($L300*(Data!$D$55^3.33)/(Data!$D$18^2))),"---")</f>
        <v>1.5145512102039166E-3</v>
      </c>
      <c r="AH300" s="376" t="str">
        <f>IF(Start!$C$18="x",IF(OR(F300="NA",F300="",P300="NA",P300=""),"NA",IF(100/Data!$D$10&gt;Data!$D$13,(F300*$P300),(F300*$P300)*Data!$D$13)),"---")</f>
        <v>NA</v>
      </c>
      <c r="AI300" s="489">
        <f>IF(Start!$C$18="x",IF(OR($N300="NA",$Q300="NA",$Q300=0,Q300="",N300=""),"NA",(1000*$N300/$Q300)),"---")</f>
        <v>936954679451.82141</v>
      </c>
      <c r="AJ300" s="376">
        <f>IF(Start!$C$18="x",IF(OR(Q300 = "NA",Q300=0,N300 = "NA",N300="",Q300=""), "NA", IF($AG300="NA","NA",(3.1416*Data!$D$57*86400/($AG300*(Data!$D$55+(N300*Data!$D$19/(Q300*1000)))))^0.5)),"---")</f>
        <v>2.5992378901635282</v>
      </c>
      <c r="AK300" s="376" t="str">
        <f>IF(Start!$C$18="x",IF(OR(AH300 = "NA",AI300="NA",AI300=0,AI300="",AH300=""), "NA", AH300/AI300),"---")</f>
        <v>NA</v>
      </c>
      <c r="AL300" s="376" t="str">
        <f>IF(Start!$C$18="x",IF(OR(AK300 ="NA",AK300="",AJ300= "NA",R300="NA",R300=0),"NA",(2*AK300)/(1000*(1/$R300+AJ300))),"---")</f>
        <v>NA</v>
      </c>
      <c r="AM300" s="376" t="str">
        <f>IF(Start!$C$18="x",IF(AL300 = "NA", "NA", AL300*(Data!$D$52*Data!$D$53*10000)),"---")</f>
        <v>NA</v>
      </c>
      <c r="AN300" s="376" t="str">
        <f>IF(Start!$C$18="x",IF(AM300 = "NA", "NA", AM300*(Data!$D$54)),"---")</f>
        <v>NA</v>
      </c>
      <c r="AO300" s="498" t="str">
        <f>IF(Start!$C$18="x",IF(AN300="NA","NA",AN300*Data!$D$41),"---")</f>
        <v>NA</v>
      </c>
      <c r="AP300" s="376">
        <f>IF(Start!$C$18="x",IF(OR(Q300=0,N300="NA",N300="",AG300="NA",AG300="",AG300=0,Q300="",Q300="NA"),"NA", (3.1416*Data!$D$56*86400/($AG300*(Data!$D$55+(N300*Data!$D$19/(Q300*1000)))))^0.5),"---")</f>
        <v>2.5992378901635282</v>
      </c>
      <c r="AQ300" s="376" t="str">
        <f>IF(Start!$C$18="x",IF(OR(AH300="NA",AI300="NA",AI300="",AI300=0,AH300=""),"NA", AH300/AI300),"---")</f>
        <v>NA</v>
      </c>
      <c r="AR300" s="376" t="str">
        <f>IF(Start!$C$18="x",IF(OR(AQ300="NA",AP300="NA",$R300="NA",R300=0,R300=""),"NA",(2*AQ300)/(1000*(1/$R300+AP300))),"---")</f>
        <v>NA</v>
      </c>
      <c r="AS300" s="376" t="str">
        <f>IF(Start!$C$18="x",IF(AR300 = "NA", "NA", AR300*(Data!$D$52*Data!$D$53*10000)),"---")</f>
        <v>NA</v>
      </c>
      <c r="AT300" s="376" t="str">
        <f>IF(Start!$C$18="x",IF(AS300 = "NA", "NA", (AS300*1000)/(Data!$D$48*3*Data!$D$53)),"---")</f>
        <v>NA</v>
      </c>
      <c r="AU300" s="498" t="str">
        <f>IF(Start!$C$18="x",IF(AT300="NA","NA",AT300*Data!$D$47),"---")</f>
        <v>NA</v>
      </c>
      <c r="AV300" s="283" t="str">
        <f>IF(Start!$C$18="x",(IF(AND(F300="",G300= "",G300&lt;&gt;"NA"),"",IF(OR(AD300="NA",I300="NA",I300=0),"NA",(AD300/I300)))),"Not Req.")</f>
        <v/>
      </c>
      <c r="AW300" s="284" t="str">
        <f>IF(Start!$C$18="x",(IF(AND(F300="",G300= "",G300&lt;&gt;"NA"),"",IF(OR(AF300="NA",I300="NA",I300=0),"NA",(AF300/I300)))),"Not Req.")</f>
        <v/>
      </c>
      <c r="AX300" s="284" t="str">
        <f>IF(Start!$C$18="x",(IF(F300 ="","",IF(OR(AO300="NA",I300="NA",I300=0),"NA",(AO300/I300)))),"Not Req.")</f>
        <v/>
      </c>
      <c r="AY300" s="344" t="str">
        <f>IF(Start!$C$18="x",(IF(F300 ="","",IF(OR(AU300="NA",I300="NA",I300=0),"NA",(AU300/I300)))),"Not Req.")</f>
        <v/>
      </c>
      <c r="AZ300" s="208"/>
    </row>
    <row r="301" spans="1:52" s="183" customFormat="1" x14ac:dyDescent="0.25">
      <c r="A301" s="405" t="s">
        <v>619</v>
      </c>
      <c r="B301" s="347" t="str">
        <f>IF(Start!$C$18="x",IF(AND(OR(F301="",F301="NA"),OR(G301="",G301="NA")),"",IF(I301="NA","NA",IF(AND(I301="",K301="--"),"NA",IF(AD301="NA","Missing Data",IF(I301="","No Criteria",IF(AD301&gt;=I301,"Needed","No")))))),"---")</f>
        <v/>
      </c>
      <c r="C301" s="501" t="str">
        <f>IF(Start!$C$18="x",IF(AND(OR(F301="",F301="NA"),OR(G301="",G301="NA")),"",IF(I301="NA","NA",IF(AND(I301="",K301="--"),"NA",IF(AF301="NA","Missing Data",IF(I301="","No Criteria",IF(AF301&gt;=I301,"Needed","No")))))),"---")</f>
        <v/>
      </c>
      <c r="D301" s="347" t="str">
        <f>IF(Start!$C$18="x",IF(AND(OR(F301="",F301="NA"),OR(G301="",G301="NA")),"",IF(I301="NA","NA",IF(AND(I301="",K301="--"),"NA",IF(AO301="NA","Missing Data",IF(I301="","No Criteria",IF(AO301&gt;=I301,"Needed","No")))))),"---")</f>
        <v/>
      </c>
      <c r="E301" s="401" t="str">
        <f>IF(Start!$C$18="x",IF(AND(OR(F301="",F301="NA"),OR(G301="",G301="NA")),"",IF(I301="NA","NA",IF(AND(I301="",K301="--"),"NA",IF(AU301="NA","Missing Data",IF(I301="","No Criteria",IF(AU301&gt;=I301,"Needed","No")))))),"---")</f>
        <v/>
      </c>
      <c r="F301" s="431" t="str">
        <f>IF(TRUE=ISBLANK(ChemData!B301),"",(ChemData!B301))</f>
        <v/>
      </c>
      <c r="G301" s="432" t="str">
        <f>IF(TRUE=ISBLANK(ChemData!C301),"",(ChemData!C301))</f>
        <v/>
      </c>
      <c r="H301" s="433" t="str">
        <f>IF(TRUE=ISBLANK(ChemData!D301),"",(ChemData!D301))</f>
        <v/>
      </c>
      <c r="I301" s="919" t="str">
        <f>IF(TRUE=ISBLANK(ChemData!K301),"",(ChemData!K301))</f>
        <v>NA</v>
      </c>
      <c r="J301" s="290">
        <f>IF(TRUE=ISBLANK(ChemData!M301),"",(ChemData!M301))</f>
        <v>464.2</v>
      </c>
      <c r="K301" s="290">
        <f>IF(TRUE=ISBLANK(ChemData!N301),"",(ChemData!N301))</f>
        <v>8.1130000000000004E-4</v>
      </c>
      <c r="L301" s="290">
        <f>IF(TRUE=ISBLANK(ChemData!O301),"",(ChemData!O301))</f>
        <v>0.14831910996773687</v>
      </c>
      <c r="M301" s="290">
        <f>IF(TRUE=ISBLANK(ChemData!Q301),"",(ChemData!Q301))</f>
        <v>293363.72992455278</v>
      </c>
      <c r="N301" s="290">
        <f>IF(TRUE=ISBLANK(ChemData!R301),"",(ChemData!R301))</f>
        <v>293363.72992455278</v>
      </c>
      <c r="O301" s="290">
        <f>IF(TRUE=ISBLANK(ChemData!S301),"",(ChemData!S301))</f>
        <v>1</v>
      </c>
      <c r="P301" s="291">
        <f>IF(TRUE=ISBLANK(ChemData!T301),"",(ChemData!T301))</f>
        <v>1</v>
      </c>
      <c r="Q301" s="375">
        <f>IF(Start!$C$18="x",IF(OR(K301="NA",K301="",K301="--"),"NA",(K301*1000000/82.1/Data!$D$50)),"---")</f>
        <v>3.1876940002357482E-2</v>
      </c>
      <c r="R301" s="376">
        <f>IF(Start!$C$18="x",IF(OR(J301="NA",J301=0,J301=""),"NA",(0.32*(Data!$D$48+Data!$D$49)*(18/J301)^0.5)),"---")</f>
        <v>0.16225978500085039</v>
      </c>
      <c r="S301" s="376">
        <f>IF(Start!$C$18="x",IF(OR(J301="NA",J301= 0,J301=""),"NA",(0.0065*((Data!$D$49^0.969)/(Data!$D$51^0.673))*(32/J301)^0.5*EXP(0.526*Data!$D$48^-1.9))),"---")</f>
        <v>3.4199917291768966E-4</v>
      </c>
      <c r="T301" s="377">
        <f>IF(Start!$C$18="x",IF(OR(S301="NA",R301="NA",R301=0,Q301="NA",S301=0,Q301=0),"NA",(1/(1/S301+(1/(R301*Q301))))),"---")</f>
        <v>3.20788413947782E-4</v>
      </c>
      <c r="U301" s="375" t="str">
        <f>IF(Start!$C$18="x",IF(OR(F301="NA",F301="",O301="",O301="NA"),"NA",(F301*$O301)),"---")</f>
        <v>NA</v>
      </c>
      <c r="V301" s="376" t="str">
        <f>IF(Start!$C$18="x",IF(OR(U301="NA",M301="NA",M301="",U301=""),"NA",U301/((Data!$D$18+((1-Data!$D$18)*Data!$D$14*M301))/((1-Data!$D$18)*Data!$D$14*1000))),"---")</f>
        <v>NA</v>
      </c>
      <c r="W301" s="376" t="str">
        <f>IF(Start!$C$18="x",IF(OR(G301="NA",U301="NA",G301="",U301=""),"NA",(U301 +($G301*(Data!$D$19-Data!$D$22)/(Data!$D$19*Data!$D$22)))),"---")</f>
        <v>NA</v>
      </c>
      <c r="X301" s="376" t="str">
        <f>IF(Start!$C$18="x",IF(OR(G301="NA",V301="NA",G301="",V301=""),"NA",(((Data!$D$22*Data!$D$18)*V301)+(Data!$D$19-Data!$D$22)*$G301)/((Data!$D$22*Data!$D$18)+Data!$D$19-Data!$D$22)),"---")</f>
        <v>NA</v>
      </c>
      <c r="Y301" s="376" t="str">
        <f>IF(Start!$C$18="x",IF(OR(W301="NA",W301="",M301="NA",M301=""),"NA",(W301/((Data!$D$23+((1-Data!$D$23)*Data!$D$14*M301)) /((1-Data!$D$23)*Data!$D$14*1000)))),"---")</f>
        <v>NA</v>
      </c>
      <c r="Z301" s="376" t="str">
        <f>IF(Start!$C$18="x",IF(OR(Y301="NA",X301="NA"),"NA",IF(Y301&gt;X301, Y301, X301)),"---")</f>
        <v>NA</v>
      </c>
      <c r="AA301" s="461" t="str">
        <f>IF(Start!$C$18="x",IF(OR(Z301="NA",T301="NA"),"NA",Z301*T301/(1000000000)),"---")</f>
        <v>NA</v>
      </c>
      <c r="AB301" s="1057" t="str">
        <f>IF(Start!$C$18="x",IF(AA301 = "NA", "NA", AA301*(Data!$D$52*Data!$D$53*10000)),"---")</f>
        <v>NA</v>
      </c>
      <c r="AC301" s="375" t="str">
        <f>IF(Start!$C$18="x",IF(AB301="NA", "NA", AB301*Data!$D$54),"---")</f>
        <v>NA</v>
      </c>
      <c r="AD301" s="498" t="str">
        <f>IF(Start!$C$18="x",IF(AC301="NA","NA",AC301*Data!$D$41),"---")</f>
        <v>NA</v>
      </c>
      <c r="AE301" s="376" t="str">
        <f>IF(Start!$C$18="x",IF(AB301 = "NA", "NA", AB301/(Data!$D$53*3*Data!$D$48)*1000),"---")</f>
        <v>NA</v>
      </c>
      <c r="AF301" s="498" t="str">
        <f>IF(Start!$C$18="x",IF(AE301="NA","NA",AE301*Data!$D$46),"---")</f>
        <v>NA</v>
      </c>
      <c r="AG301" s="375">
        <f>IF(Start!$C$18="x",IF(OR($L301="NA",L301=""),"NA",($L301*(Data!$D$55^3.33)/(Data!$D$18^2))),"---")</f>
        <v>1.5109999933839735E-3</v>
      </c>
      <c r="AH301" s="376" t="str">
        <f>IF(Start!$C$18="x",IF(OR(F301="NA",F301="",P301="NA",P301=""),"NA",IF(100/Data!$D$10&gt;Data!$D$13,(F301*$P301),(F301*$P301)*Data!$D$13)),"---")</f>
        <v>NA</v>
      </c>
      <c r="AI301" s="489">
        <f>IF(Start!$C$18="x",IF(OR($N301="NA",$Q301="NA",$Q301=0,Q301="",N301=""),"NA",(1000*$N301/$Q301)),"---")</f>
        <v>9203007876.6298428</v>
      </c>
      <c r="AJ301" s="376">
        <f>IF(Start!$C$18="x",IF(OR(Q301 = "NA",Q301=0,N301 = "NA",N301="",Q301=""), "NA", IF($AG301="NA","NA",(3.1416*Data!$D$57*86400/($AG301*(Data!$D$55+(N301*Data!$D$19/(Q301*1000)))))^0.5)),"---")</f>
        <v>26.25730622451907</v>
      </c>
      <c r="AK301" s="376" t="str">
        <f>IF(Start!$C$18="x",IF(OR(AH301 = "NA",AI301="NA",AI301=0,AI301="",AH301=""), "NA", AH301/AI301),"---")</f>
        <v>NA</v>
      </c>
      <c r="AL301" s="376" t="str">
        <f>IF(Start!$C$18="x",IF(OR(AK301 ="NA",AK301="",AJ301= "NA",R301="NA",R301=0),"NA",(2*AK301)/(1000*(1/$R301+AJ301))),"---")</f>
        <v>NA</v>
      </c>
      <c r="AM301" s="376" t="str">
        <f>IF(Start!$C$18="x",IF(AL301 = "NA", "NA", AL301*(Data!$D$52*Data!$D$53*10000)),"---")</f>
        <v>NA</v>
      </c>
      <c r="AN301" s="376" t="str">
        <f>IF(Start!$C$18="x",IF(AM301 = "NA", "NA", AM301*(Data!$D$54)),"---")</f>
        <v>NA</v>
      </c>
      <c r="AO301" s="498" t="str">
        <f>IF(Start!$C$18="x",IF(AN301="NA","NA",AN301*Data!$D$41),"---")</f>
        <v>NA</v>
      </c>
      <c r="AP301" s="376">
        <f>IF(Start!$C$18="x",IF(OR(Q301=0,N301="NA",N301="",AG301="NA",AG301="",AG301=0,Q301="",Q301="NA"),"NA", (3.1416*Data!$D$56*86400/($AG301*(Data!$D$55+(N301*Data!$D$19/(Q301*1000)))))^0.5),"---")</f>
        <v>26.25730622451907</v>
      </c>
      <c r="AQ301" s="376" t="str">
        <f>IF(Start!$C$18="x",IF(OR(AH301="NA",AI301="NA",AI301="",AI301=0,AH301=""),"NA", AH301/AI301),"---")</f>
        <v>NA</v>
      </c>
      <c r="AR301" s="376" t="str">
        <f>IF(Start!$C$18="x",IF(OR(AQ301="NA",AP301="NA",$R301="NA",R301=0,R301=""),"NA",(2*AQ301)/(1000*(1/$R301+AP301))),"---")</f>
        <v>NA</v>
      </c>
      <c r="AS301" s="376" t="str">
        <f>IF(Start!$C$18="x",IF(AR301 = "NA", "NA", AR301*(Data!$D$52*Data!$D$53*10000)),"---")</f>
        <v>NA</v>
      </c>
      <c r="AT301" s="376" t="str">
        <f>IF(Start!$C$18="x",IF(AS301 = "NA", "NA", (AS301*1000)/(Data!$D$48*3*Data!$D$53)),"---")</f>
        <v>NA</v>
      </c>
      <c r="AU301" s="498" t="str">
        <f>IF(Start!$C$18="x",IF(AT301="NA","NA",AT301*Data!$D$47),"---")</f>
        <v>NA</v>
      </c>
      <c r="AV301" s="283" t="str">
        <f>IF(Start!$C$18="x",(IF(AND(F301="",G301= "",G301&lt;&gt;"NA"),"",IF(OR(AD301="NA",I301="NA",I301=0),"NA",(AD301/I301)))),"Not Req.")</f>
        <v/>
      </c>
      <c r="AW301" s="284" t="str">
        <f>IF(Start!$C$18="x",(IF(AND(F301="",G301= "",G301&lt;&gt;"NA"),"",IF(OR(AF301="NA",I301="NA",I301=0),"NA",(AF301/I301)))),"Not Req.")</f>
        <v/>
      </c>
      <c r="AX301" s="284" t="str">
        <f>IF(Start!$C$18="x",(IF(F301 ="","",IF(OR(AO301="NA",I301="NA",I301=0),"NA",(AO301/I301)))),"Not Req.")</f>
        <v/>
      </c>
      <c r="AY301" s="344" t="str">
        <f>IF(Start!$C$18="x",(IF(F301 ="","",IF(OR(AU301="NA",I301="NA",I301=0),"NA",(AU301/I301)))),"Not Req.")</f>
        <v/>
      </c>
      <c r="AZ301" s="208"/>
    </row>
    <row r="302" spans="1:52" s="183" customFormat="1" x14ac:dyDescent="0.25">
      <c r="A302" s="405" t="s">
        <v>620</v>
      </c>
      <c r="B302" s="347" t="str">
        <f>IF(Start!$C$18="x",IF(AND(OR(F302="",F302="NA"),OR(G302="",G302="NA")),"",IF(I302="NA","NA",IF(AND(I302="",K302="--"),"NA",IF(AD302="NA","Missing Data",IF(I302="","No Criteria",IF(AD302&gt;=I302,"Needed","No")))))),"---")</f>
        <v/>
      </c>
      <c r="C302" s="501" t="str">
        <f>IF(Start!$C$18="x",IF(AND(OR(F302="",F302="NA"),OR(G302="",G302="NA")),"",IF(I302="NA","NA",IF(AND(I302="",K302="--"),"NA",IF(AF302="NA","Missing Data",IF(I302="","No Criteria",IF(AF302&gt;=I302,"Needed","No")))))),"---")</f>
        <v/>
      </c>
      <c r="D302" s="347" t="str">
        <f>IF(Start!$C$18="x",IF(AND(OR(F302="",F302="NA"),OR(G302="",G302="NA")),"",IF(I302="NA","NA",IF(AND(I302="",K302="--"),"NA",IF(AO302="NA","Missing Data",IF(I302="","No Criteria",IF(AO302&gt;=I302,"Needed","No")))))),"---")</f>
        <v/>
      </c>
      <c r="E302" s="401" t="str">
        <f>IF(Start!$C$18="x",IF(AND(OR(F302="",F302="NA"),OR(G302="",G302="NA")),"",IF(I302="NA","NA",IF(AND(I302="",K302="--"),"NA",IF(AU302="NA","Missing Data",IF(I302="","No Criteria",IF(AU302&gt;=I302,"Needed","No")))))),"---")</f>
        <v/>
      </c>
      <c r="F302" s="431" t="str">
        <f>IF(TRUE=ISBLANK(ChemData!B302),"",(ChemData!B302))</f>
        <v/>
      </c>
      <c r="G302" s="432" t="str">
        <f>IF(TRUE=ISBLANK(ChemData!C302),"",(ChemData!C302))</f>
        <v/>
      </c>
      <c r="H302" s="433" t="str">
        <f>IF(TRUE=ISBLANK(ChemData!D302),"",(ChemData!D302))</f>
        <v/>
      </c>
      <c r="I302" s="919" t="str">
        <f>IF(TRUE=ISBLANK(ChemData!K302),"",(ChemData!K302))</f>
        <v>NA</v>
      </c>
      <c r="J302" s="290">
        <f>IF(TRUE=ISBLANK(ChemData!M302),"",(ChemData!M302))</f>
        <v>498.7</v>
      </c>
      <c r="K302" s="290">
        <f>IF(TRUE=ISBLANK(ChemData!N302),"",(ChemData!N302))</f>
        <v>2.0570000000000001E-4</v>
      </c>
      <c r="L302" s="290">
        <f>IF(TRUE=ISBLANK(ChemData!O302),"",(ChemData!O302))</f>
        <v>0.1480174340924108</v>
      </c>
      <c r="M302" s="290">
        <f>IF(TRUE=ISBLANK(ChemData!Q302),"",(ChemData!Q302))</f>
        <v>3368266.2892870889</v>
      </c>
      <c r="N302" s="290">
        <f>IF(TRUE=ISBLANK(ChemData!R302),"",(ChemData!R302))</f>
        <v>3368266.2892870889</v>
      </c>
      <c r="O302" s="290">
        <f>IF(TRUE=ISBLANK(ChemData!S302),"",(ChemData!S302))</f>
        <v>1</v>
      </c>
      <c r="P302" s="291">
        <f>IF(TRUE=ISBLANK(ChemData!T302),"",(ChemData!T302))</f>
        <v>1</v>
      </c>
      <c r="Q302" s="375">
        <f>IF(Start!$C$18="x",IF(OR(K302="NA",K302="",K302="--"),"NA",(K302*1000000/82.1/Data!$D$50)),"---")</f>
        <v>8.0821971631763016E-3</v>
      </c>
      <c r="R302" s="376">
        <f>IF(Start!$C$18="x",IF(OR(J302="NA",J302=0,J302=""),"NA",(0.32*(Data!$D$48+Data!$D$49)*(18/J302)^0.5)),"---")</f>
        <v>0.15654665061869522</v>
      </c>
      <c r="S302" s="376">
        <f>IF(Start!$C$18="x",IF(OR(J302="NA",J302= 0,J302=""),"NA",(0.0065*((Data!$D$49^0.969)/(Data!$D$51^0.673))*(32/J302)^0.5*EXP(0.526*Data!$D$48^-1.9))),"---")</f>
        <v>3.2995745085171726E-4</v>
      </c>
      <c r="T302" s="377">
        <f>IF(Start!$C$18="x",IF(OR(S302="NA",R302="NA",R302=0,Q302="NA",S302=0,Q302=0),"NA",(1/(1/S302+(1/(R302*Q302))))),"---")</f>
        <v>2.6170768139881033E-4</v>
      </c>
      <c r="U302" s="375" t="str">
        <f>IF(Start!$C$18="x",IF(OR(F302="NA",F302="",O302="",O302="NA"),"NA",(F302*$O302)),"---")</f>
        <v>NA</v>
      </c>
      <c r="V302" s="376" t="str">
        <f>IF(Start!$C$18="x",IF(OR(U302="NA",M302="NA",M302="",U302=""),"NA",U302/((Data!$D$18+((1-Data!$D$18)*Data!$D$14*M302))/((1-Data!$D$18)*Data!$D$14*1000))),"---")</f>
        <v>NA</v>
      </c>
      <c r="W302" s="376" t="str">
        <f>IF(Start!$C$18="x",IF(OR(G302="NA",U302="NA",G302="",U302=""),"NA",(U302 +($G302*(Data!$D$19-Data!$D$22)/(Data!$D$19*Data!$D$22)))),"---")</f>
        <v>NA</v>
      </c>
      <c r="X302" s="376" t="str">
        <f>IF(Start!$C$18="x",IF(OR(G302="NA",V302="NA",G302="",V302=""),"NA",(((Data!$D$22*Data!$D$18)*V302)+(Data!$D$19-Data!$D$22)*$G302)/((Data!$D$22*Data!$D$18)+Data!$D$19-Data!$D$22)),"---")</f>
        <v>NA</v>
      </c>
      <c r="Y302" s="376" t="str">
        <f>IF(Start!$C$18="x",IF(OR(W302="NA",W302="",M302="NA",M302=""),"NA",(W302/((Data!$D$23+((1-Data!$D$23)*Data!$D$14*M302)) /((1-Data!$D$23)*Data!$D$14*1000)))),"---")</f>
        <v>NA</v>
      </c>
      <c r="Z302" s="376" t="str">
        <f>IF(Start!$C$18="x",IF(OR(Y302="NA",X302="NA"),"NA",IF(Y302&gt;X302, Y302, X302)),"---")</f>
        <v>NA</v>
      </c>
      <c r="AA302" s="461" t="str">
        <f>IF(Start!$C$18="x",IF(OR(Z302="NA",T302="NA"),"NA",Z302*T302/(1000000000)),"---")</f>
        <v>NA</v>
      </c>
      <c r="AB302" s="1057" t="str">
        <f>IF(Start!$C$18="x",IF(AA302 = "NA", "NA", AA302*(Data!$D$52*Data!$D$53*10000)),"---")</f>
        <v>NA</v>
      </c>
      <c r="AC302" s="375" t="str">
        <f>IF(Start!$C$18="x",IF(AB302="NA", "NA", AB302*Data!$D$54),"---")</f>
        <v>NA</v>
      </c>
      <c r="AD302" s="498" t="str">
        <f>IF(Start!$C$18="x",IF(AC302="NA","NA",AC302*Data!$D$41),"---")</f>
        <v>NA</v>
      </c>
      <c r="AE302" s="376" t="str">
        <f>IF(Start!$C$18="x",IF(AB302 = "NA", "NA", AB302/(Data!$D$53*3*Data!$D$48)*1000),"---")</f>
        <v>NA</v>
      </c>
      <c r="AF302" s="498" t="str">
        <f>IF(Start!$C$18="x",IF(AE302="NA","NA",AE302*Data!$D$46),"---")</f>
        <v>NA</v>
      </c>
      <c r="AG302" s="375">
        <f>IF(Start!$C$18="x",IF(OR($L302="NA",L302=""),"NA",($L302*(Data!$D$55^3.33)/(Data!$D$18^2))),"---")</f>
        <v>1.5079266723148211E-3</v>
      </c>
      <c r="AH302" s="376" t="str">
        <f>IF(Start!$C$18="x",IF(OR(F302="NA",F302="",P302="NA",P302=""),"NA",IF(100/Data!$D$10&gt;Data!$D$13,(F302*$P302),(F302*$P302)*Data!$D$13)),"---")</f>
        <v>NA</v>
      </c>
      <c r="AI302" s="489">
        <f>IF(Start!$C$18="x",IF(OR($N302="NA",$Q302="NA",$Q302=0,Q302="",N302=""),"NA",(1000*$N302/$Q302)),"---")</f>
        <v>416751314188.84625</v>
      </c>
      <c r="AJ302" s="376">
        <f>IF(Start!$C$18="x",IF(OR(Q302 = "NA",Q302=0,N302 = "NA",N302="",Q302=""), "NA", IF($AG302="NA","NA",(3.1416*Data!$D$57*86400/($AG302*(Data!$D$55+(N302*Data!$D$19/(Q302*1000)))))^0.5)),"---")</f>
        <v>3.9058782527309943</v>
      </c>
      <c r="AK302" s="376" t="str">
        <f>IF(Start!$C$18="x",IF(OR(AH302 = "NA",AI302="NA",AI302=0,AI302="",AH302=""), "NA", AH302/AI302),"---")</f>
        <v>NA</v>
      </c>
      <c r="AL302" s="376" t="str">
        <f>IF(Start!$C$18="x",IF(OR(AK302 ="NA",AK302="",AJ302= "NA",R302="NA",R302=0),"NA",(2*AK302)/(1000*(1/$R302+AJ302))),"---")</f>
        <v>NA</v>
      </c>
      <c r="AM302" s="376" t="str">
        <f>IF(Start!$C$18="x",IF(AL302 = "NA", "NA", AL302*(Data!$D$52*Data!$D$53*10000)),"---")</f>
        <v>NA</v>
      </c>
      <c r="AN302" s="376" t="str">
        <f>IF(Start!$C$18="x",IF(AM302 = "NA", "NA", AM302*(Data!$D$54)),"---")</f>
        <v>NA</v>
      </c>
      <c r="AO302" s="498" t="str">
        <f>IF(Start!$C$18="x",IF(AN302="NA","NA",AN302*Data!$D$41),"---")</f>
        <v>NA</v>
      </c>
      <c r="AP302" s="376">
        <f>IF(Start!$C$18="x",IF(OR(Q302=0,N302="NA",N302="",AG302="NA",AG302="",AG302=0,Q302="",Q302="NA"),"NA", (3.1416*Data!$D$56*86400/($AG302*(Data!$D$55+(N302*Data!$D$19/(Q302*1000)))))^0.5),"---")</f>
        <v>3.9058782527309943</v>
      </c>
      <c r="AQ302" s="376" t="str">
        <f>IF(Start!$C$18="x",IF(OR(AH302="NA",AI302="NA",AI302="",AI302=0,AH302=""),"NA", AH302/AI302),"---")</f>
        <v>NA</v>
      </c>
      <c r="AR302" s="376" t="str">
        <f>IF(Start!$C$18="x",IF(OR(AQ302="NA",AP302="NA",$R302="NA",R302=0,R302=""),"NA",(2*AQ302)/(1000*(1/$R302+AP302))),"---")</f>
        <v>NA</v>
      </c>
      <c r="AS302" s="376" t="str">
        <f>IF(Start!$C$18="x",IF(AR302 = "NA", "NA", AR302*(Data!$D$52*Data!$D$53*10000)),"---")</f>
        <v>NA</v>
      </c>
      <c r="AT302" s="376" t="str">
        <f>IF(Start!$C$18="x",IF(AS302 = "NA", "NA", (AS302*1000)/(Data!$D$48*3*Data!$D$53)),"---")</f>
        <v>NA</v>
      </c>
      <c r="AU302" s="498" t="str">
        <f>IF(Start!$C$18="x",IF(AT302="NA","NA",AT302*Data!$D$47),"---")</f>
        <v>NA</v>
      </c>
      <c r="AV302" s="283" t="str">
        <f>IF(Start!$C$18="x",(IF(AND(F302="",G302= "",G302&lt;&gt;"NA"),"",IF(OR(AD302="NA",I302="NA",I302=0),"NA",(AD302/I302)))),"Not Req.")</f>
        <v/>
      </c>
      <c r="AW302" s="284" t="str">
        <f>IF(Start!$C$18="x",(IF(AND(F302="",G302= "",G302&lt;&gt;"NA"),"",IF(OR(AF302="NA",I302="NA",I302=0),"NA",(AF302/I302)))),"Not Req.")</f>
        <v/>
      </c>
      <c r="AX302" s="284" t="str">
        <f>IF(Start!$C$18="x",(IF(F302 ="","",IF(OR(AO302="NA",I302="NA",I302=0),"NA",(AO302/I302)))),"Not Req.")</f>
        <v/>
      </c>
      <c r="AY302" s="344" t="str">
        <f>IF(Start!$C$18="x",(IF(F302 ="","",IF(OR(AU302="NA",I302="NA",I302=0),"NA",(AU302/I302)))),"Not Req.")</f>
        <v/>
      </c>
      <c r="AZ302" s="208"/>
    </row>
    <row r="303" spans="1:52" s="183" customFormat="1" x14ac:dyDescent="0.25">
      <c r="A303" s="405" t="s">
        <v>621</v>
      </c>
      <c r="B303" s="347" t="str">
        <f>IF(Start!$C$18="x",IF(AND(OR(F303="",F303="NA"),OR(G303="",G303="NA")),"",IF(I303="NA","NA",IF(AND(I303="",K303="--"),"NA",IF(AD303="NA","Missing Data",IF(I303="","No Criteria",IF(AD303&gt;=I303,"Needed","No")))))),"---")</f>
        <v/>
      </c>
      <c r="C303" s="501" t="str">
        <f>IF(Start!$C$18="x",IF(AND(OR(F303="",F303="NA"),OR(G303="",G303="NA")),"",IF(I303="NA","NA",IF(AND(I303="",K303="--"),"NA",IF(AF303="NA","Missing Data",IF(I303="","No Criteria",IF(AF303&gt;=I303,"Needed","No")))))),"---")</f>
        <v/>
      </c>
      <c r="D303" s="347" t="str">
        <f>IF(Start!$C$18="x",IF(AND(OR(F303="",F303="NA"),OR(G303="",G303="NA")),"",IF(I303="NA","NA",IF(AND(I303="",K303="--"),"NA",IF(AO303="NA","Missing Data",IF(I303="","No Criteria",IF(AO303&gt;=I303,"Needed","No")))))),"---")</f>
        <v/>
      </c>
      <c r="E303" s="401" t="str">
        <f>IF(Start!$C$18="x",IF(AND(OR(F303="",F303="NA"),OR(G303="",G303="NA")),"",IF(I303="NA","NA",IF(AND(I303="",K303="--"),"NA",IF(AU303="NA","Missing Data",IF(I303="","No Criteria",IF(AU303&gt;=I303,"Needed","No")))))),"---")</f>
        <v/>
      </c>
      <c r="F303" s="431" t="str">
        <f>IF(TRUE=ISBLANK(ChemData!B303),"",(ChemData!B303))</f>
        <v/>
      </c>
      <c r="G303" s="432" t="str">
        <f>IF(TRUE=ISBLANK(ChemData!C303),"",(ChemData!C303))</f>
        <v/>
      </c>
      <c r="H303" s="433" t="str">
        <f>IF(TRUE=ISBLANK(ChemData!D303),"",(ChemData!D303))</f>
        <v/>
      </c>
      <c r="I303" s="919">
        <f>IF(TRUE=ISBLANK(ChemData!K303),"",(ChemData!K303))</f>
        <v>6.9999999999999994E-5</v>
      </c>
      <c r="J303" s="290">
        <f>IF(TRUE=ISBLANK(ChemData!M303),"",(ChemData!M303))</f>
        <v>257.89999999999998</v>
      </c>
      <c r="K303" s="290">
        <f>IF(TRUE=ISBLANK(ChemData!N303),"",(ChemData!N303))</f>
        <v>3.3E-4</v>
      </c>
      <c r="L303" s="290">
        <f>IF(TRUE=ISBLANK(ChemData!O303),"",(ChemData!O303))</f>
        <v>2.2200000000000001E-2</v>
      </c>
      <c r="M303" s="290">
        <f>IF(TRUE=ISBLANK(ChemData!Q303),"",(ChemData!Q303))</f>
        <v>7037.3057258936005</v>
      </c>
      <c r="N303" s="290">
        <f>IF(TRUE=ISBLANK(ChemData!R303),"",(ChemData!R303))</f>
        <v>7037.3057258936005</v>
      </c>
      <c r="O303" s="290">
        <f>IF(TRUE=ISBLANK(ChemData!S303),"",(ChemData!S303))</f>
        <v>1</v>
      </c>
      <c r="P303" s="291">
        <f>IF(TRUE=ISBLANK(ChemData!T303),"",(ChemData!T303))</f>
        <v>1</v>
      </c>
      <c r="Q303" s="375">
        <f>IF(Start!$C$18="x",IF(OR(K303="NA",K303="",K303="--"),"NA",(K303*1000000/82.1/Data!$D$50)),"---")</f>
        <v>1.2966091705630428E-2</v>
      </c>
      <c r="R303" s="376">
        <f>IF(Start!$C$18="x",IF(OR(J303="NA",J303=0,J303=""),"NA",(0.32*(Data!$D$48+Data!$D$49)*(18/J303)^0.5)),"---")</f>
        <v>0.21768965605030238</v>
      </c>
      <c r="S303" s="376">
        <f>IF(Start!$C$18="x",IF(OR(J303="NA",J303= 0,J303=""),"NA",(0.0065*((Data!$D$49^0.969)/(Data!$D$51^0.673))*(32/J303)^0.5*EXP(0.526*Data!$D$48^-1.9))),"---")</f>
        <v>4.5883015512161301E-4</v>
      </c>
      <c r="T303" s="377">
        <f>IF(Start!$C$18="x",IF(OR(S303="NA",R303="NA",R303=0,Q303="NA",S303=0,Q303=0),"NA",(1/(1/S303+(1/(R303*Q303))))),"---")</f>
        <v>3.9467333172408538E-4</v>
      </c>
      <c r="U303" s="375" t="str">
        <f>IF(Start!$C$18="x",IF(OR(F303="NA",F303="",O303="",O303="NA"),"NA",(F303*$O303)),"---")</f>
        <v>NA</v>
      </c>
      <c r="V303" s="376" t="str">
        <f>IF(Start!$C$18="x",IF(OR(U303="NA",M303="NA",M303="",U303=""),"NA",U303/((Data!$D$18+((1-Data!$D$18)*Data!$D$14*M303))/((1-Data!$D$18)*Data!$D$14*1000))),"---")</f>
        <v>NA</v>
      </c>
      <c r="W303" s="376" t="str">
        <f>IF(Start!$C$18="x",IF(OR(G303="NA",U303="NA",G303="",U303=""),"NA",(U303 +($G303*(Data!$D$19-Data!$D$22)/(Data!$D$19*Data!$D$22)))),"---")</f>
        <v>NA</v>
      </c>
      <c r="X303" s="376" t="str">
        <f>IF(Start!$C$18="x",IF(OR(G303="NA",V303="NA",G303="",V303=""),"NA",(((Data!$D$22*Data!$D$18)*V303)+(Data!$D$19-Data!$D$22)*$G303)/((Data!$D$22*Data!$D$18)+Data!$D$19-Data!$D$22)),"---")</f>
        <v>NA</v>
      </c>
      <c r="Y303" s="376" t="str">
        <f>IF(Start!$C$18="x",IF(OR(W303="NA",W303="",M303="NA",M303=""),"NA",(W303/((Data!$D$23+((1-Data!$D$23)*Data!$D$14*M303)) /((1-Data!$D$23)*Data!$D$14*1000)))),"---")</f>
        <v>NA</v>
      </c>
      <c r="Z303" s="376" t="str">
        <f>IF(Start!$C$18="x",IF(OR(Y303="NA",X303="NA"),"NA",IF(Y303&gt;X303, Y303, X303)),"---")</f>
        <v>NA</v>
      </c>
      <c r="AA303" s="461" t="str">
        <f>IF(Start!$C$18="x",IF(OR(Z303="NA",T303="NA"),"NA",Z303*T303/(1000000000)),"---")</f>
        <v>NA</v>
      </c>
      <c r="AB303" s="1057" t="str">
        <f>IF(Start!$C$18="x",IF(AA303 = "NA", "NA", AA303*(Data!$D$52*Data!$D$53*10000)),"---")</f>
        <v>NA</v>
      </c>
      <c r="AC303" s="375" t="str">
        <f>IF(Start!$C$18="x",IF(AB303="NA", "NA", AB303*Data!$D$54),"---")</f>
        <v>NA</v>
      </c>
      <c r="AD303" s="498" t="str">
        <f>IF(Start!$C$18="x",IF(AC303="NA","NA",AC303*Data!$D$41),"---")</f>
        <v>NA</v>
      </c>
      <c r="AE303" s="376" t="str">
        <f>IF(Start!$C$18="x",IF(AB303 = "NA", "NA", AB303/(Data!$D$53*3*Data!$D$48)*1000),"---")</f>
        <v>NA</v>
      </c>
      <c r="AF303" s="498" t="str">
        <f>IF(Start!$C$18="x",IF(AE303="NA","NA",AE303*Data!$D$46),"---")</f>
        <v>NA</v>
      </c>
      <c r="AG303" s="375">
        <f>IF(Start!$C$18="x",IF(OR($L303="NA",L303=""),"NA",($L303*(Data!$D$55^3.33)/(Data!$D$18^2))),"---")</f>
        <v>2.2616235939132133E-4</v>
      </c>
      <c r="AH303" s="376" t="str">
        <f>IF(Start!$C$18="x",IF(OR(F303="NA",F303="",P303="NA",P303=""),"NA",IF(100/Data!$D$10&gt;Data!$D$13,(F303*$P303),(F303*$P303)*Data!$D$13)),"---")</f>
        <v>NA</v>
      </c>
      <c r="AI303" s="489">
        <f>IF(Start!$C$18="x",IF(OR($N303="NA",$Q303="NA",$Q303=0,Q303="",N303=""),"NA",(1000*$N303/$Q303)),"---")</f>
        <v>542746872.81732738</v>
      </c>
      <c r="AJ303" s="376">
        <f>IF(Start!$C$18="x",IF(OR(Q303 = "NA",Q303=0,N303 = "NA",N303="",Q303=""), "NA", IF($AG303="NA","NA",(3.1416*Data!$D$57*86400/($AG303*(Data!$D$55+(N303*Data!$D$19/(Q303*1000)))))^0.5)),"---")</f>
        <v>279.47204996720671</v>
      </c>
      <c r="AK303" s="376" t="str">
        <f>IF(Start!$C$18="x",IF(OR(AH303 = "NA",AI303="NA",AI303=0,AI303="",AH303=""), "NA", AH303/AI303),"---")</f>
        <v>NA</v>
      </c>
      <c r="AL303" s="376" t="str">
        <f>IF(Start!$C$18="x",IF(OR(AK303 ="NA",AK303="",AJ303= "NA",R303="NA",R303=0),"NA",(2*AK303)/(1000*(1/$R303+AJ303))),"---")</f>
        <v>NA</v>
      </c>
      <c r="AM303" s="376" t="str">
        <f>IF(Start!$C$18="x",IF(AL303 = "NA", "NA", AL303*(Data!$D$52*Data!$D$53*10000)),"---")</f>
        <v>NA</v>
      </c>
      <c r="AN303" s="376" t="str">
        <f>IF(Start!$C$18="x",IF(AM303 = "NA", "NA", AM303*(Data!$D$54)),"---")</f>
        <v>NA</v>
      </c>
      <c r="AO303" s="498" t="str">
        <f>IF(Start!$C$18="x",IF(AN303="NA","NA",AN303*Data!$D$41),"---")</f>
        <v>NA</v>
      </c>
      <c r="AP303" s="376">
        <f>IF(Start!$C$18="x",IF(OR(Q303=0,N303="NA",N303="",AG303="NA",AG303="",AG303=0,Q303="",Q303="NA"),"NA", (3.1416*Data!$D$56*86400/($AG303*(Data!$D$55+(N303*Data!$D$19/(Q303*1000)))))^0.5),"---")</f>
        <v>279.47204996720671</v>
      </c>
      <c r="AQ303" s="376" t="str">
        <f>IF(Start!$C$18="x",IF(OR(AH303="NA",AI303="NA",AI303="",AI303=0,AH303=""),"NA", AH303/AI303),"---")</f>
        <v>NA</v>
      </c>
      <c r="AR303" s="376" t="str">
        <f>IF(Start!$C$18="x",IF(OR(AQ303="NA",AP303="NA",$R303="NA",R303=0,R303=""),"NA",(2*AQ303)/(1000*(1/$R303+AP303))),"---")</f>
        <v>NA</v>
      </c>
      <c r="AS303" s="376" t="str">
        <f>IF(Start!$C$18="x",IF(AR303 = "NA", "NA", AR303*(Data!$D$52*Data!$D$53*10000)),"---")</f>
        <v>NA</v>
      </c>
      <c r="AT303" s="376" t="str">
        <f>IF(Start!$C$18="x",IF(AS303 = "NA", "NA", (AS303*1000)/(Data!$D$48*3*Data!$D$53)),"---")</f>
        <v>NA</v>
      </c>
      <c r="AU303" s="498" t="str">
        <f>IF(Start!$C$18="x",IF(AT303="NA","NA",AT303*Data!$D$47),"---")</f>
        <v>NA</v>
      </c>
      <c r="AV303" s="283" t="str">
        <f>IF(Start!$C$18="x",(IF(AND(F303="",G303= "",G303&lt;&gt;"NA"),"",IF(OR(AD303="NA",I303="NA",I303=0),"NA",(AD303/I303)))),"Not Req.")</f>
        <v/>
      </c>
      <c r="AW303" s="284" t="str">
        <f>IF(Start!$C$18="x",(IF(AND(F303="",G303= "",G303&lt;&gt;"NA"),"",IF(OR(AF303="NA",I303="NA",I303=0),"NA",(AF303/I303)))),"Not Req.")</f>
        <v/>
      </c>
      <c r="AX303" s="284" t="str">
        <f>IF(Start!$C$18="x",(IF(F303 ="","",IF(OR(AO303="NA",I303="NA",I303=0),"NA",(AO303/I303)))),"Not Req.")</f>
        <v/>
      </c>
      <c r="AY303" s="344" t="str">
        <f>IF(Start!$C$18="x",(IF(F303 ="","",IF(OR(AU303="NA",I303="NA",I303=0),"NA",(AU303/I303)))),"Not Req.")</f>
        <v/>
      </c>
      <c r="AZ303" s="208"/>
    </row>
    <row r="304" spans="1:52" s="183" customFormat="1" x14ac:dyDescent="0.25">
      <c r="A304" s="405" t="s">
        <v>622</v>
      </c>
      <c r="B304" s="347" t="str">
        <f>IF(Start!$C$18="x",IF(AND(OR(F304="",F304="NA"),OR(G304="",G304="NA")),"",IF(I304="NA","NA",IF(AND(I304="",K304="--"),"NA",IF(AD304="NA","Missing Data",IF(I304="","No Criteria",IF(AD304&gt;=I304,"Needed","No")))))),"---")</f>
        <v/>
      </c>
      <c r="C304" s="501" t="str">
        <f>IF(Start!$C$18="x",IF(AND(OR(F304="",F304="NA"),OR(G304="",G304="NA")),"",IF(I304="NA","NA",IF(AND(I304="",K304="--"),"NA",IF(AF304="NA","Missing Data",IF(I304="","No Criteria",IF(AF304&gt;=I304,"Needed","No")))))),"---")</f>
        <v/>
      </c>
      <c r="D304" s="347" t="str">
        <f>IF(Start!$C$18="x",IF(AND(OR(F304="",F304="NA"),OR(G304="",G304="NA")),"",IF(I304="NA","NA",IF(AND(I304="",K304="--"),"NA",IF(AO304="NA","Missing Data",IF(I304="","No Criteria",IF(AO304&gt;=I304,"Needed","No")))))),"---")</f>
        <v/>
      </c>
      <c r="E304" s="401" t="str">
        <f>IF(Start!$C$18="x",IF(AND(OR(F304="",F304="NA"),OR(G304="",G304="NA")),"",IF(I304="NA","NA",IF(AND(I304="",K304="--"),"NA",IF(AU304="NA","Missing Data",IF(I304="","No Criteria",IF(AU304&gt;=I304,"Needed","No")))))),"---")</f>
        <v/>
      </c>
      <c r="F304" s="431" t="str">
        <f>IF(TRUE=ISBLANK(ChemData!B304),"",(ChemData!B304))</f>
        <v/>
      </c>
      <c r="G304" s="432" t="str">
        <f>IF(TRUE=ISBLANK(ChemData!C304),"",(ChemData!C304))</f>
        <v/>
      </c>
      <c r="H304" s="433" t="str">
        <f>IF(TRUE=ISBLANK(ChemData!D304),"",(ChemData!D304))</f>
        <v/>
      </c>
      <c r="I304" s="919" t="str">
        <f>IF(TRUE=ISBLANK(ChemData!K304),"",(ChemData!K304))</f>
        <v>NA</v>
      </c>
      <c r="J304" s="290">
        <f>IF(TRUE=ISBLANK(ChemData!M304),"",(ChemData!M304))</f>
        <v>200.7</v>
      </c>
      <c r="K304" s="290">
        <f>IF(TRUE=ISBLANK(ChemData!N304),"",(ChemData!N304))</f>
        <v>1.7000000000000001E-4</v>
      </c>
      <c r="L304" s="290">
        <f>IF(TRUE=ISBLANK(ChemData!O304),"",(ChemData!O304))</f>
        <v>0.15393231564168047</v>
      </c>
      <c r="M304" s="290">
        <f>IF(TRUE=ISBLANK(ChemData!Q304),"",(ChemData!Q304))</f>
        <v>222.53914684768353</v>
      </c>
      <c r="N304" s="290">
        <f>IF(TRUE=ISBLANK(ChemData!R304),"",(ChemData!R304))</f>
        <v>222.53914684768353</v>
      </c>
      <c r="O304" s="290">
        <f>IF(TRUE=ISBLANK(ChemData!S304),"",(ChemData!S304))</f>
        <v>1</v>
      </c>
      <c r="P304" s="291">
        <f>IF(TRUE=ISBLANK(ChemData!T304),"",(ChemData!T304))</f>
        <v>1</v>
      </c>
      <c r="Q304" s="375">
        <f>IF(Start!$C$18="x",IF(OR(K304="NA",K304="",K304="--"),"NA",(K304*1000000/82.1/Data!$D$50)),"---")</f>
        <v>6.6795017877490075E-3</v>
      </c>
      <c r="R304" s="376">
        <f>IF(Start!$C$18="x",IF(OR(J304="NA",J304=0,J304=""),"NA",(0.32*(Data!$D$48+Data!$D$49)*(18/J304)^0.5)),"---")</f>
        <v>0.2467685322730177</v>
      </c>
      <c r="S304" s="376">
        <f>IF(Start!$C$18="x",IF(OR(J304="NA",J304= 0,J304=""),"NA",(0.0065*((Data!$D$49^0.969)/(Data!$D$51^0.673))*(32/J304)^0.5*EXP(0.526*Data!$D$48^-1.9))),"---")</f>
        <v>5.2012045953987902E-4</v>
      </c>
      <c r="T304" s="377">
        <f>IF(Start!$C$18="x",IF(OR(S304="NA",R304="NA",R304=0,Q304="NA",S304=0,Q304=0),"NA",(1/(1/S304+(1/(R304*Q304))))),"---")</f>
        <v>3.9536308950925876E-4</v>
      </c>
      <c r="U304" s="375" t="str">
        <f>IF(Start!$C$18="x",IF(OR(F304="NA",F304="",O304="",O304="NA"),"NA",(F304*$O304)),"---")</f>
        <v>NA</v>
      </c>
      <c r="V304" s="376" t="str">
        <f>IF(Start!$C$18="x",IF(OR(U304="NA",M304="NA",M304="",U304=""),"NA",U304/((Data!$D$18+((1-Data!$D$18)*Data!$D$14*M304))/((1-Data!$D$18)*Data!$D$14*1000))),"---")</f>
        <v>NA</v>
      </c>
      <c r="W304" s="376" t="str">
        <f>IF(Start!$C$18="x",IF(OR(G304="NA",U304="NA",G304="",U304=""),"NA",(U304 +($G304*(Data!$D$19-Data!$D$22)/(Data!$D$19*Data!$D$22)))),"---")</f>
        <v>NA</v>
      </c>
      <c r="X304" s="376" t="str">
        <f>IF(Start!$C$18="x",IF(OR(G304="NA",V304="NA",G304="",V304=""),"NA",(((Data!$D$22*Data!$D$18)*V304)+(Data!$D$19-Data!$D$22)*$G304)/((Data!$D$22*Data!$D$18)+Data!$D$19-Data!$D$22)),"---")</f>
        <v>NA</v>
      </c>
      <c r="Y304" s="376" t="str">
        <f>IF(Start!$C$18="x",IF(OR(W304="NA",W304="",M304="NA",M304=""),"NA",(W304/((Data!$D$23+((1-Data!$D$23)*Data!$D$14*M304)) /((1-Data!$D$23)*Data!$D$14*1000)))),"---")</f>
        <v>NA</v>
      </c>
      <c r="Z304" s="376" t="str">
        <f>IF(Start!$C$18="x",IF(OR(Y304="NA",X304="NA"),"NA",IF(Y304&gt;X304, Y304, X304)),"---")</f>
        <v>NA</v>
      </c>
      <c r="AA304" s="461" t="str">
        <f>IF(Start!$C$18="x",IF(OR(Z304="NA",T304="NA"),"NA",Z304*T304/(1000000000)),"---")</f>
        <v>NA</v>
      </c>
      <c r="AB304" s="1057" t="str">
        <f>IF(Start!$C$18="x",IF(AA304 = "NA", "NA", AA304*(Data!$D$52*Data!$D$53*10000)),"---")</f>
        <v>NA</v>
      </c>
      <c r="AC304" s="375" t="str">
        <f>IF(Start!$C$18="x",IF(AB304="NA", "NA", AB304*Data!$D$54),"---")</f>
        <v>NA</v>
      </c>
      <c r="AD304" s="498" t="str">
        <f>IF(Start!$C$18="x",IF(AC304="NA","NA",AC304*Data!$D$41),"---")</f>
        <v>NA</v>
      </c>
      <c r="AE304" s="376" t="str">
        <f>IF(Start!$C$18="x",IF(AB304 = "NA", "NA", AB304/(Data!$D$53*3*Data!$D$48)*1000),"---")</f>
        <v>NA</v>
      </c>
      <c r="AF304" s="498" t="str">
        <f>IF(Start!$C$18="x",IF(AE304="NA","NA",AE304*Data!$D$46),"---")</f>
        <v>NA</v>
      </c>
      <c r="AG304" s="375">
        <f>IF(Start!$C$18="x",IF(OR($L304="NA",L304=""),"NA",($L304*(Data!$D$55^3.33)/(Data!$D$18^2))),"---")</f>
        <v>1.568184490634777E-3</v>
      </c>
      <c r="AH304" s="376" t="str">
        <f>IF(Start!$C$18="x",IF(OR(F304="NA",F304="",P304="NA",P304=""),"NA",IF(100/Data!$D$10&gt;Data!$D$13,(F304*$P304),(F304*$P304)*Data!$D$13)),"---")</f>
        <v>NA</v>
      </c>
      <c r="AI304" s="489">
        <f>IF(Start!$C$18="x",IF(OR($N304="NA",$Q304="NA",$Q304=0,Q304="",N304=""),"NA",(1000*$N304/$Q304)),"---")</f>
        <v>33316728.390708201</v>
      </c>
      <c r="AJ304" s="376">
        <f>IF(Start!$C$18="x",IF(OR(Q304 = "NA",Q304=0,N304 = "NA",N304="",Q304=""), "NA", IF($AG304="NA","NA",(3.1416*Data!$D$57*86400/($AG304*(Data!$D$55+(N304*Data!$D$19/(Q304*1000)))))^0.5)),"---")</f>
        <v>428.36700975593482</v>
      </c>
      <c r="AK304" s="376" t="str">
        <f>IF(Start!$C$18="x",IF(OR(AH304 = "NA",AI304="NA",AI304=0,AI304="",AH304=""), "NA", AH304/AI304),"---")</f>
        <v>NA</v>
      </c>
      <c r="AL304" s="376" t="str">
        <f>IF(Start!$C$18="x",IF(OR(AK304 ="NA",AK304="",AJ304= "NA",R304="NA",R304=0),"NA",(2*AK304)/(1000*(1/$R304+AJ304))),"---")</f>
        <v>NA</v>
      </c>
      <c r="AM304" s="376" t="str">
        <f>IF(Start!$C$18="x",IF(AL304 = "NA", "NA", AL304*(Data!$D$52*Data!$D$53*10000)),"---")</f>
        <v>NA</v>
      </c>
      <c r="AN304" s="376" t="str">
        <f>IF(Start!$C$18="x",IF(AM304 = "NA", "NA", AM304*(Data!$D$54)),"---")</f>
        <v>NA</v>
      </c>
      <c r="AO304" s="498" t="str">
        <f>IF(Start!$C$18="x",IF(AN304="NA","NA",AN304*Data!$D$41),"---")</f>
        <v>NA</v>
      </c>
      <c r="AP304" s="376">
        <f>IF(Start!$C$18="x",IF(OR(Q304=0,N304="NA",N304="",AG304="NA",AG304="",AG304=0,Q304="",Q304="NA"),"NA", (3.1416*Data!$D$56*86400/($AG304*(Data!$D$55+(N304*Data!$D$19/(Q304*1000)))))^0.5),"---")</f>
        <v>428.36700975593482</v>
      </c>
      <c r="AQ304" s="376" t="str">
        <f>IF(Start!$C$18="x",IF(OR(AH304="NA",AI304="NA",AI304="",AI304=0,AH304=""),"NA", AH304/AI304),"---")</f>
        <v>NA</v>
      </c>
      <c r="AR304" s="376" t="str">
        <f>IF(Start!$C$18="x",IF(OR(AQ304="NA",AP304="NA",$R304="NA",R304=0,R304=""),"NA",(2*AQ304)/(1000*(1/$R304+AP304))),"---")</f>
        <v>NA</v>
      </c>
      <c r="AS304" s="376" t="str">
        <f>IF(Start!$C$18="x",IF(AR304 = "NA", "NA", AR304*(Data!$D$52*Data!$D$53*10000)),"---")</f>
        <v>NA</v>
      </c>
      <c r="AT304" s="376" t="str">
        <f>IF(Start!$C$18="x",IF(AS304 = "NA", "NA", (AS304*1000)/(Data!$D$48*3*Data!$D$53)),"---")</f>
        <v>NA</v>
      </c>
      <c r="AU304" s="498" t="str">
        <f>IF(Start!$C$18="x",IF(AT304="NA","NA",AT304*Data!$D$47),"---")</f>
        <v>NA</v>
      </c>
      <c r="AV304" s="283" t="str">
        <f>IF(Start!$C$18="x",(IF(AND(F304="",G304= "",G304&lt;&gt;"NA"),"",IF(OR(AD304="NA",I304="NA",I304=0),"NA",(AD304/I304)))),"Not Req.")</f>
        <v/>
      </c>
      <c r="AW304" s="284" t="str">
        <f>IF(Start!$C$18="x",(IF(AND(F304="",G304= "",G304&lt;&gt;"NA"),"",IF(OR(AF304="NA",I304="NA",I304=0),"NA",(AF304/I304)))),"Not Req.")</f>
        <v/>
      </c>
      <c r="AX304" s="284" t="str">
        <f>IF(Start!$C$18="x",(IF(F304 ="","",IF(OR(AO304="NA",I304="NA",I304=0),"NA",(AO304/I304)))),"Not Req.")</f>
        <v/>
      </c>
      <c r="AY304" s="344" t="str">
        <f>IF(Start!$C$18="x",(IF(F304 ="","",IF(OR(AU304="NA",I304="NA",I304=0),"NA",(AU304/I304)))),"Not Req.")</f>
        <v/>
      </c>
      <c r="AZ304" s="208"/>
    </row>
    <row r="305" spans="1:52" s="183" customFormat="1" x14ac:dyDescent="0.25">
      <c r="A305" s="405" t="s">
        <v>623</v>
      </c>
      <c r="B305" s="347" t="str">
        <f>IF(Start!$C$18="x",IF(AND(OR(F305="",F305="NA"),OR(G305="",G305="NA")),"",IF(I305="NA","NA",IF(AND(I305="",K305="--"),"NA",IF(AD305="NA","Missing Data",IF(I305="","No Criteria",IF(AD305&gt;=I305,"Needed","No")))))),"---")</f>
        <v/>
      </c>
      <c r="C305" s="501" t="str">
        <f>IF(Start!$C$18="x",IF(AND(OR(F305="",F305="NA"),OR(G305="",G305="NA")),"",IF(I305="NA","NA",IF(AND(I305="",K305="--"),"NA",IF(AF305="NA","Missing Data",IF(I305="","No Criteria",IF(AF305&gt;=I305,"Needed","No")))))),"---")</f>
        <v/>
      </c>
      <c r="D305" s="347" t="str">
        <f>IF(Start!$C$18="x",IF(AND(OR(F305="",F305="NA"),OR(G305="",G305="NA")),"",IF(I305="NA","NA",IF(AND(I305="",K305="--"),"NA",IF(AO305="NA","Missing Data",IF(I305="","No Criteria",IF(AO305&gt;=I305,"Needed","No")))))),"---")</f>
        <v/>
      </c>
      <c r="E305" s="401" t="str">
        <f>IF(Start!$C$18="x",IF(AND(OR(F305="",F305="NA"),OR(G305="",G305="NA")),"",IF(I305="NA","NA",IF(AND(I305="",K305="--"),"NA",IF(AU305="NA","Missing Data",IF(I305="","No Criteria",IF(AU305&gt;=I305,"Needed","No")))))),"---")</f>
        <v/>
      </c>
      <c r="F305" s="431" t="str">
        <f>IF(TRUE=ISBLANK(ChemData!B305),"",(ChemData!B305))</f>
        <v/>
      </c>
      <c r="G305" s="432" t="str">
        <f>IF(TRUE=ISBLANK(ChemData!C305),"",(ChemData!C305))</f>
        <v/>
      </c>
      <c r="H305" s="433" t="str">
        <f>IF(TRUE=ISBLANK(ChemData!D305),"",(ChemData!D305))</f>
        <v/>
      </c>
      <c r="I305" s="919" t="str">
        <f>IF(TRUE=ISBLANK(ChemData!K305),"",(ChemData!K305))</f>
        <v>NA</v>
      </c>
      <c r="J305" s="290">
        <f>IF(TRUE=ISBLANK(ChemData!M305),"",(ChemData!M305))</f>
        <v>232.2</v>
      </c>
      <c r="K305" s="290">
        <f>IF(TRUE=ISBLANK(ChemData!N305),"",(ChemData!N305))</f>
        <v>1.13E-5</v>
      </c>
      <c r="L305" s="290">
        <f>IF(TRUE=ISBLANK(ChemData!O305),"",(ChemData!O305))</f>
        <v>0.15260961281023519</v>
      </c>
      <c r="M305" s="290">
        <f>IF(TRUE=ISBLANK(ChemData!Q305),"",(ChemData!Q305))</f>
        <v>29.336372992455249</v>
      </c>
      <c r="N305" s="290">
        <f>IF(TRUE=ISBLANK(ChemData!R305),"",(ChemData!R305))</f>
        <v>29.336372992455249</v>
      </c>
      <c r="O305" s="290">
        <f>IF(TRUE=ISBLANK(ChemData!S305),"",(ChemData!S305))</f>
        <v>1</v>
      </c>
      <c r="P305" s="291">
        <f>IF(TRUE=ISBLANK(ChemData!T305),"",(ChemData!T305))</f>
        <v>1</v>
      </c>
      <c r="Q305" s="375">
        <f>IF(Start!$C$18="x",IF(OR(K305="NA",K305="",K305="--"),"NA",(K305*1000000/82.1/Data!$D$50)),"---")</f>
        <v>4.4399041295037524E-4</v>
      </c>
      <c r="R305" s="376">
        <f>IF(Start!$C$18="x",IF(OR(J305="NA",J305=0,J305=""),"NA",(0.32*(Data!$D$48+Data!$D$49)*(18/J305)^0.5)),"---")</f>
        <v>0.22942057111255826</v>
      </c>
      <c r="S305" s="376">
        <f>IF(Start!$C$18="x",IF(OR(J305="NA",J305= 0,J305=""),"NA",(0.0065*((Data!$D$49^0.969)/(Data!$D$51^0.673))*(32/J305)^0.5*EXP(0.526*Data!$D$48^-1.9))),"---")</f>
        <v>4.8355571018652427E-4</v>
      </c>
      <c r="T305" s="377">
        <f>IF(Start!$C$18="x",IF(OR(S305="NA",R305="NA",R305=0,Q305="NA",S305=0,Q305=0),"NA",(1/(1/S305+(1/(R305*Q305))))),"---")</f>
        <v>8.4137130444270197E-5</v>
      </c>
      <c r="U305" s="375" t="str">
        <f>IF(Start!$C$18="x",IF(OR(F305="NA",F305="",O305="",O305="NA"),"NA",(F305*$O305)),"---")</f>
        <v>NA</v>
      </c>
      <c r="V305" s="376" t="str">
        <f>IF(Start!$C$18="x",IF(OR(U305="NA",M305="NA",M305="",U305=""),"NA",U305/((Data!$D$18+((1-Data!$D$18)*Data!$D$14*M305))/((1-Data!$D$18)*Data!$D$14*1000))),"---")</f>
        <v>NA</v>
      </c>
      <c r="W305" s="376" t="str">
        <f>IF(Start!$C$18="x",IF(OR(G305="NA",U305="NA",G305="",U305=""),"NA",(U305 +($G305*(Data!$D$19-Data!$D$22)/(Data!$D$19*Data!$D$22)))),"---")</f>
        <v>NA</v>
      </c>
      <c r="X305" s="376" t="str">
        <f>IF(Start!$C$18="x",IF(OR(G305="NA",V305="NA",G305="",V305=""),"NA",(((Data!$D$22*Data!$D$18)*V305)+(Data!$D$19-Data!$D$22)*$G305)/((Data!$D$22*Data!$D$18)+Data!$D$19-Data!$D$22)),"---")</f>
        <v>NA</v>
      </c>
      <c r="Y305" s="376" t="str">
        <f>IF(Start!$C$18="x",IF(OR(W305="NA",W305="",M305="NA",M305=""),"NA",(W305/((Data!$D$23+((1-Data!$D$23)*Data!$D$14*M305)) /((1-Data!$D$23)*Data!$D$14*1000)))),"---")</f>
        <v>NA</v>
      </c>
      <c r="Z305" s="376" t="str">
        <f>IF(Start!$C$18="x",IF(OR(Y305="NA",X305="NA"),"NA",IF(Y305&gt;X305, Y305, X305)),"---")</f>
        <v>NA</v>
      </c>
      <c r="AA305" s="461" t="str">
        <f>IF(Start!$C$18="x",IF(OR(Z305="NA",T305="NA"),"NA",Z305*T305/(1000000000)),"---")</f>
        <v>NA</v>
      </c>
      <c r="AB305" s="1057" t="str">
        <f>IF(Start!$C$18="x",IF(AA305 = "NA", "NA", AA305*(Data!$D$52*Data!$D$53*10000)),"---")</f>
        <v>NA</v>
      </c>
      <c r="AC305" s="375" t="str">
        <f>IF(Start!$C$18="x",IF(AB305="NA", "NA", AB305*Data!$D$54),"---")</f>
        <v>NA</v>
      </c>
      <c r="AD305" s="498" t="str">
        <f>IF(Start!$C$18="x",IF(AC305="NA","NA",AC305*Data!$D$41),"---")</f>
        <v>NA</v>
      </c>
      <c r="AE305" s="376" t="str">
        <f>IF(Start!$C$18="x",IF(AB305 = "NA", "NA", AB305/(Data!$D$53*3*Data!$D$48)*1000),"---")</f>
        <v>NA</v>
      </c>
      <c r="AF305" s="498" t="str">
        <f>IF(Start!$C$18="x",IF(AE305="NA","NA",AE305*Data!$D$46),"---")</f>
        <v>NA</v>
      </c>
      <c r="AG305" s="375">
        <f>IF(Start!$C$18="x",IF(OR($L305="NA",L305=""),"NA",($L305*(Data!$D$55^3.33)/(Data!$D$18^2))),"---")</f>
        <v>1.5547094639170634E-3</v>
      </c>
      <c r="AH305" s="376" t="str">
        <f>IF(Start!$C$18="x",IF(OR(F305="NA",F305="",P305="NA",P305=""),"NA",IF(100/Data!$D$10&gt;Data!$D$13,(F305*$P305),(F305*$P305)*Data!$D$13)),"---")</f>
        <v>NA</v>
      </c>
      <c r="AI305" s="489">
        <f>IF(Start!$C$18="x",IF(OR($N305="NA",$Q305="NA",$Q305=0,Q305="",N305=""),"NA",(1000*$N305/$Q305)),"---")</f>
        <v>66074338.85229899</v>
      </c>
      <c r="AJ305" s="376">
        <f>IF(Start!$C$18="x",IF(OR(Q305 = "NA",Q305=0,N305 = "NA",N305="",Q305=""), "NA", IF($AG305="NA","NA",(3.1416*Data!$D$57*86400/($AG305*(Data!$D$55+(N305*Data!$D$19/(Q305*1000)))))^0.5)),"---")</f>
        <v>305.49597642838881</v>
      </c>
      <c r="AK305" s="376" t="str">
        <f>IF(Start!$C$18="x",IF(OR(AH305 = "NA",AI305="NA",AI305=0,AI305="",AH305=""), "NA", AH305/AI305),"---")</f>
        <v>NA</v>
      </c>
      <c r="AL305" s="376" t="str">
        <f>IF(Start!$C$18="x",IF(OR(AK305 ="NA",AK305="",AJ305= "NA",R305="NA",R305=0),"NA",(2*AK305)/(1000*(1/$R305+AJ305))),"---")</f>
        <v>NA</v>
      </c>
      <c r="AM305" s="376" t="str">
        <f>IF(Start!$C$18="x",IF(AL305 = "NA", "NA", AL305*(Data!$D$52*Data!$D$53*10000)),"---")</f>
        <v>NA</v>
      </c>
      <c r="AN305" s="376" t="str">
        <f>IF(Start!$C$18="x",IF(AM305 = "NA", "NA", AM305*(Data!$D$54)),"---")</f>
        <v>NA</v>
      </c>
      <c r="AO305" s="498" t="str">
        <f>IF(Start!$C$18="x",IF(AN305="NA","NA",AN305*Data!$D$41),"---")</f>
        <v>NA</v>
      </c>
      <c r="AP305" s="376">
        <f>IF(Start!$C$18="x",IF(OR(Q305=0,N305="NA",N305="",AG305="NA",AG305="",AG305=0,Q305="",Q305="NA"),"NA", (3.1416*Data!$D$56*86400/($AG305*(Data!$D$55+(N305*Data!$D$19/(Q305*1000)))))^0.5),"---")</f>
        <v>305.49597642838881</v>
      </c>
      <c r="AQ305" s="376" t="str">
        <f>IF(Start!$C$18="x",IF(OR(AH305="NA",AI305="NA",AI305="",AI305=0,AH305=""),"NA", AH305/AI305),"---")</f>
        <v>NA</v>
      </c>
      <c r="AR305" s="376" t="str">
        <f>IF(Start!$C$18="x",IF(OR(AQ305="NA",AP305="NA",$R305="NA",R305=0,R305=""),"NA",(2*AQ305)/(1000*(1/$R305+AP305))),"---")</f>
        <v>NA</v>
      </c>
      <c r="AS305" s="376" t="str">
        <f>IF(Start!$C$18="x",IF(AR305 = "NA", "NA", AR305*(Data!$D$52*Data!$D$53*10000)),"---")</f>
        <v>NA</v>
      </c>
      <c r="AT305" s="376" t="str">
        <f>IF(Start!$C$18="x",IF(AS305 = "NA", "NA", (AS305*1000)/(Data!$D$48*3*Data!$D$53)),"---")</f>
        <v>NA</v>
      </c>
      <c r="AU305" s="498" t="str">
        <f>IF(Start!$C$18="x",IF(AT305="NA","NA",AT305*Data!$D$47),"---")</f>
        <v>NA</v>
      </c>
      <c r="AV305" s="283" t="str">
        <f>IF(Start!$C$18="x",(IF(AND(F305="",G305= "",G305&lt;&gt;"NA"),"",IF(OR(AD305="NA",I305="NA",I305=0),"NA",(AD305/I305)))),"Not Req.")</f>
        <v/>
      </c>
      <c r="AW305" s="284" t="str">
        <f>IF(Start!$C$18="x",(IF(AND(F305="",G305= "",G305&lt;&gt;"NA"),"",IF(OR(AF305="NA",I305="NA",I305=0),"NA",(AF305/I305)))),"Not Req.")</f>
        <v/>
      </c>
      <c r="AX305" s="284" t="str">
        <f>IF(Start!$C$18="x",(IF(F305 ="","",IF(OR(AO305="NA",I305="NA",I305=0),"NA",(AO305/I305)))),"Not Req.")</f>
        <v/>
      </c>
      <c r="AY305" s="344" t="str">
        <f>IF(Start!$C$18="x",(IF(F305 ="","",IF(OR(AU305="NA",I305="NA",I305=0),"NA",(AU305/I305)))),"Not Req.")</f>
        <v/>
      </c>
      <c r="AZ305" s="208"/>
    </row>
    <row r="306" spans="1:52" s="183" customFormat="1" x14ac:dyDescent="0.25">
      <c r="A306" s="405" t="s">
        <v>624</v>
      </c>
      <c r="B306" s="347" t="str">
        <f>IF(Start!$C$18="x",IF(AND(OR(F306="",F306="NA"),OR(G306="",G306="NA")),"",IF(I306="NA","NA",IF(AND(I306="",K306="--"),"NA",IF(AD306="NA","Missing Data",IF(I306="","No Criteria",IF(AD306&gt;=I306,"Needed","No")))))),"---")</f>
        <v/>
      </c>
      <c r="C306" s="501" t="str">
        <f>IF(Start!$C$18="x",IF(AND(OR(F306="",F306="NA"),OR(G306="",G306="NA")),"",IF(I306="NA","NA",IF(AND(I306="",K306="--"),"NA",IF(AF306="NA","Missing Data",IF(I306="","No Criteria",IF(AF306&gt;=I306,"Needed","No")))))),"---")</f>
        <v/>
      </c>
      <c r="D306" s="347" t="str">
        <f>IF(Start!$C$18="x",IF(AND(OR(F306="",F306="NA"),OR(G306="",G306="NA")),"",IF(I306="NA","NA",IF(AND(I306="",K306="--"),"NA",IF(AO306="NA","Missing Data",IF(I306="","No Criteria",IF(AO306&gt;=I306,"Needed","No")))))),"---")</f>
        <v/>
      </c>
      <c r="E306" s="401" t="str">
        <f>IF(Start!$C$18="x",IF(AND(OR(F306="",F306="NA"),OR(G306="",G306="NA")),"",IF(I306="NA","NA",IF(AND(I306="",K306="--"),"NA",IF(AU306="NA","Missing Data",IF(I306="","No Criteria",IF(AU306&gt;=I306,"Needed","No")))))),"---")</f>
        <v/>
      </c>
      <c r="F306" s="431" t="str">
        <f>IF(TRUE=ISBLANK(ChemData!B306),"",(ChemData!B306))</f>
        <v/>
      </c>
      <c r="G306" s="432" t="str">
        <f>IF(TRUE=ISBLANK(ChemData!C306),"",(ChemData!C306))</f>
        <v/>
      </c>
      <c r="H306" s="433" t="str">
        <f>IF(TRUE=ISBLANK(ChemData!D306),"",(ChemData!D306))</f>
        <v/>
      </c>
      <c r="I306" s="919" t="str">
        <f>IF(TRUE=ISBLANK(ChemData!K306),"",(ChemData!K306))</f>
        <v>NA</v>
      </c>
      <c r="J306" s="290">
        <f>IF(TRUE=ISBLANK(ChemData!M306),"",(ChemData!M306))</f>
        <v>266.5</v>
      </c>
      <c r="K306" s="290">
        <f>IF(TRUE=ISBLANK(ChemData!N306),"",(ChemData!N306))</f>
        <v>1.98E-3</v>
      </c>
      <c r="L306" s="290">
        <f>IF(TRUE=ISBLANK(ChemData!O306),"",(ChemData!O306))</f>
        <v>2.1399999999999999E-2</v>
      </c>
      <c r="M306" s="290">
        <f>IF(TRUE=ISBLANK(ChemData!Q306),"",(ChemData!Q306))</f>
        <v>238.45499201839945</v>
      </c>
      <c r="N306" s="290">
        <f>IF(TRUE=ISBLANK(ChemData!R306),"",(ChemData!R306))</f>
        <v>238.45499201839945</v>
      </c>
      <c r="O306" s="290">
        <f>IF(TRUE=ISBLANK(ChemData!S306),"",(ChemData!S306))</f>
        <v>1</v>
      </c>
      <c r="P306" s="291">
        <f>IF(TRUE=ISBLANK(ChemData!T306),"",(ChemData!T306))</f>
        <v>1</v>
      </c>
      <c r="Q306" s="375">
        <f>IF(Start!$C$18="x",IF(OR(K306="NA",K306="",K306="--"),"NA",(K306*1000000/82.1/Data!$D$50)),"---")</f>
        <v>7.7796550233782569E-2</v>
      </c>
      <c r="R306" s="376">
        <f>IF(Start!$C$18="x",IF(OR(J306="NA",J306=0,J306=""),"NA",(0.32*(Data!$D$48+Data!$D$49)*(18/J306)^0.5)),"---")</f>
        <v>0.21414841165388943</v>
      </c>
      <c r="S306" s="376">
        <f>IF(Start!$C$18="x",IF(OR(J306="NA",J306= 0,J306=""),"NA",(0.0065*((Data!$D$49^0.969)/(Data!$D$51^0.673))*(32/J306)^0.5*EXP(0.526*Data!$D$48^-1.9))),"---")</f>
        <v>4.5136618211889828E-4</v>
      </c>
      <c r="T306" s="377">
        <f>IF(Start!$C$18="x",IF(OR(S306="NA",R306="NA",R306=0,Q306="NA",S306=0,Q306=0),"NA",(1/(1/S306+(1/(R306*Q306))))),"---")</f>
        <v>4.3945998264104233E-4</v>
      </c>
      <c r="U306" s="375" t="str">
        <f>IF(Start!$C$18="x",IF(OR(F306="NA",F306="",O306="",O306="NA"),"NA",(F306*$O306)),"---")</f>
        <v>NA</v>
      </c>
      <c r="V306" s="376" t="str">
        <f>IF(Start!$C$18="x",IF(OR(U306="NA",M306="NA",M306="",U306=""),"NA",U306/((Data!$D$18+((1-Data!$D$18)*Data!$D$14*M306))/((1-Data!$D$18)*Data!$D$14*1000))),"---")</f>
        <v>NA</v>
      </c>
      <c r="W306" s="376" t="str">
        <f>IF(Start!$C$18="x",IF(OR(G306="NA",U306="NA",G306="",U306=""),"NA",(U306 +($G306*(Data!$D$19-Data!$D$22)/(Data!$D$19*Data!$D$22)))),"---")</f>
        <v>NA</v>
      </c>
      <c r="X306" s="376" t="str">
        <f>IF(Start!$C$18="x",IF(OR(G306="NA",V306="NA",G306="",V306=""),"NA",(((Data!$D$22*Data!$D$18)*V306)+(Data!$D$19-Data!$D$22)*$G306)/((Data!$D$22*Data!$D$18)+Data!$D$19-Data!$D$22)),"---")</f>
        <v>NA</v>
      </c>
      <c r="Y306" s="376" t="str">
        <f>IF(Start!$C$18="x",IF(OR(W306="NA",W306="",M306="NA",M306=""),"NA",(W306/((Data!$D$23+((1-Data!$D$23)*Data!$D$14*M306)) /((1-Data!$D$23)*Data!$D$14*1000)))),"---")</f>
        <v>NA</v>
      </c>
      <c r="Z306" s="376" t="str">
        <f>IF(Start!$C$18="x",IF(OR(Y306="NA",X306="NA"),"NA",IF(Y306&gt;X306, Y306, X306)),"---")</f>
        <v>NA</v>
      </c>
      <c r="AA306" s="461" t="str">
        <f>IF(Start!$C$18="x",IF(OR(Z306="NA",T306="NA"),"NA",Z306*T306/(1000000000)),"---")</f>
        <v>NA</v>
      </c>
      <c r="AB306" s="1057" t="str">
        <f>IF(Start!$C$18="x",IF(AA306 = "NA", "NA", AA306*(Data!$D$52*Data!$D$53*10000)),"---")</f>
        <v>NA</v>
      </c>
      <c r="AC306" s="375" t="str">
        <f>IF(Start!$C$18="x",IF(AB306="NA", "NA", AB306*Data!$D$54),"---")</f>
        <v>NA</v>
      </c>
      <c r="AD306" s="498" t="str">
        <f>IF(Start!$C$18="x",IF(AC306="NA","NA",AC306*Data!$D$41),"---")</f>
        <v>NA</v>
      </c>
      <c r="AE306" s="376" t="str">
        <f>IF(Start!$C$18="x",IF(AB306 = "NA", "NA", AB306/(Data!$D$53*3*Data!$D$48)*1000),"---")</f>
        <v>NA</v>
      </c>
      <c r="AF306" s="498" t="str">
        <f>IF(Start!$C$18="x",IF(AE306="NA","NA",AE306*Data!$D$46),"---")</f>
        <v>NA</v>
      </c>
      <c r="AG306" s="375">
        <f>IF(Start!$C$18="x",IF(OR($L306="NA",L306=""),"NA",($L306*(Data!$D$55^3.33)/(Data!$D$18^2))),"---")</f>
        <v>2.1801236445830071E-4</v>
      </c>
      <c r="AH306" s="376" t="str">
        <f>IF(Start!$C$18="x",IF(OR(F306="NA",F306="",P306="NA",P306=""),"NA",IF(100/Data!$D$10&gt;Data!$D$13,(F306*$P306),(F306*$P306)*Data!$D$13)),"---")</f>
        <v>NA</v>
      </c>
      <c r="AI306" s="489">
        <f>IF(Start!$C$18="x",IF(OR($N306="NA",$Q306="NA",$Q306=0,Q306="",N306=""),"NA",(1000*$N306/$Q306)),"---")</f>
        <v>3065110.1019496382</v>
      </c>
      <c r="AJ306" s="376">
        <f>IF(Start!$C$18="x",IF(OR(Q306 = "NA",Q306=0,N306 = "NA",N306="",Q306=""), "NA", IF($AG306="NA","NA",(3.1416*Data!$D$57*86400/($AG306*(Data!$D$55+(N306*Data!$D$19/(Q306*1000)))))^0.5)),"---")</f>
        <v>3787.6253904046216</v>
      </c>
      <c r="AK306" s="376" t="str">
        <f>IF(Start!$C$18="x",IF(OR(AH306 = "NA",AI306="NA",AI306=0,AI306="",AH306=""), "NA", AH306/AI306),"---")</f>
        <v>NA</v>
      </c>
      <c r="AL306" s="376" t="str">
        <f>IF(Start!$C$18="x",IF(OR(AK306 ="NA",AK306="",AJ306= "NA",R306="NA",R306=0),"NA",(2*AK306)/(1000*(1/$R306+AJ306))),"---")</f>
        <v>NA</v>
      </c>
      <c r="AM306" s="376" t="str">
        <f>IF(Start!$C$18="x",IF(AL306 = "NA", "NA", AL306*(Data!$D$52*Data!$D$53*10000)),"---")</f>
        <v>NA</v>
      </c>
      <c r="AN306" s="376" t="str">
        <f>IF(Start!$C$18="x",IF(AM306 = "NA", "NA", AM306*(Data!$D$54)),"---")</f>
        <v>NA</v>
      </c>
      <c r="AO306" s="498" t="str">
        <f>IF(Start!$C$18="x",IF(AN306="NA","NA",AN306*Data!$D$41),"---")</f>
        <v>NA</v>
      </c>
      <c r="AP306" s="376">
        <f>IF(Start!$C$18="x",IF(OR(Q306=0,N306="NA",N306="",AG306="NA",AG306="",AG306=0,Q306="",Q306="NA"),"NA", (3.1416*Data!$D$56*86400/($AG306*(Data!$D$55+(N306*Data!$D$19/(Q306*1000)))))^0.5),"---")</f>
        <v>3787.6253904046216</v>
      </c>
      <c r="AQ306" s="376" t="str">
        <f>IF(Start!$C$18="x",IF(OR(AH306="NA",AI306="NA",AI306="",AI306=0,AH306=""),"NA", AH306/AI306),"---")</f>
        <v>NA</v>
      </c>
      <c r="AR306" s="376" t="str">
        <f>IF(Start!$C$18="x",IF(OR(AQ306="NA",AP306="NA",$R306="NA",R306=0,R306=""),"NA",(2*AQ306)/(1000*(1/$R306+AP306))),"---")</f>
        <v>NA</v>
      </c>
      <c r="AS306" s="376" t="str">
        <f>IF(Start!$C$18="x",IF(AR306 = "NA", "NA", AR306*(Data!$D$52*Data!$D$53*10000)),"---")</f>
        <v>NA</v>
      </c>
      <c r="AT306" s="376" t="str">
        <f>IF(Start!$C$18="x",IF(AS306 = "NA", "NA", (AS306*1000)/(Data!$D$48*3*Data!$D$53)),"---")</f>
        <v>NA</v>
      </c>
      <c r="AU306" s="498" t="str">
        <f>IF(Start!$C$18="x",IF(AT306="NA","NA",AT306*Data!$D$47),"---")</f>
        <v>NA</v>
      </c>
      <c r="AV306" s="283" t="str">
        <f>IF(Start!$C$18="x",(IF(AND(F306="",G306= "",G306&lt;&gt;"NA"),"",IF(OR(AD306="NA",I306="NA",I306=0),"NA",(AD306/I306)))),"Not Req.")</f>
        <v/>
      </c>
      <c r="AW306" s="284" t="str">
        <f>IF(Start!$C$18="x",(IF(AND(F306="",G306= "",G306&lt;&gt;"NA"),"",IF(OR(AF306="NA",I306="NA",I306=0),"NA",(AF306/I306)))),"Not Req.")</f>
        <v/>
      </c>
      <c r="AX306" s="284" t="str">
        <f>IF(Start!$C$18="x",(IF(F306 ="","",IF(OR(AO306="NA",I306="NA",I306=0),"NA",(AO306/I306)))),"Not Req.")</f>
        <v/>
      </c>
      <c r="AY306" s="344" t="str">
        <f>IF(Start!$C$18="x",(IF(F306 ="","",IF(OR(AU306="NA",I306="NA",I306=0),"NA",(AU306/I306)))),"Not Req.")</f>
        <v/>
      </c>
      <c r="AZ306" s="208"/>
    </row>
    <row r="307" spans="1:52" s="183" customFormat="1" x14ac:dyDescent="0.25">
      <c r="A307" s="405" t="s">
        <v>625</v>
      </c>
      <c r="B307" s="347" t="str">
        <f>IF(Start!$C$18="x",IF(AND(OR(F307="",F307="NA"),OR(G307="",G307="NA")),"",IF(I307="NA","NA",IF(AND(I307="",K307="--"),"NA",IF(AD307="NA","Missing Data",IF(I307="","No Criteria",IF(AD307&gt;=I307,"Needed","No")))))),"---")</f>
        <v/>
      </c>
      <c r="C307" s="501" t="str">
        <f>IF(Start!$C$18="x",IF(AND(OR(F307="",F307="NA"),OR(G307="",G307="NA")),"",IF(I307="NA","NA",IF(AND(I307="",K307="--"),"NA",IF(AF307="NA","Missing Data",IF(I307="","No Criteria",IF(AF307&gt;=I307,"Needed","No")))))),"---")</f>
        <v/>
      </c>
      <c r="D307" s="347" t="str">
        <f>IF(Start!$C$18="x",IF(AND(OR(F307="",F307="NA"),OR(G307="",G307="NA")),"",IF(I307="NA","NA",IF(AND(I307="",K307="--"),"NA",IF(AO307="NA","Missing Data",IF(I307="","No Criteria",IF(AO307&gt;=I307,"Needed","No")))))),"---")</f>
        <v/>
      </c>
      <c r="E307" s="401" t="str">
        <f>IF(Start!$C$18="x",IF(AND(OR(F307="",F307="NA"),OR(G307="",G307="NA")),"",IF(I307="NA","NA",IF(AND(I307="",K307="--"),"NA",IF(AU307="NA","Missing Data",IF(I307="","No Criteria",IF(AU307&gt;=I307,"Needed","No")))))),"---")</f>
        <v/>
      </c>
      <c r="F307" s="431" t="str">
        <f>IF(TRUE=ISBLANK(ChemData!B307),"",(ChemData!B307))</f>
        <v/>
      </c>
      <c r="G307" s="432" t="str">
        <f>IF(TRUE=ISBLANK(ChemData!C307),"",(ChemData!C307))</f>
        <v/>
      </c>
      <c r="H307" s="433" t="str">
        <f>IF(TRUE=ISBLANK(ChemData!D307),"",(ChemData!D307))</f>
        <v/>
      </c>
      <c r="I307" s="919" t="str">
        <f>IF(TRUE=ISBLANK(ChemData!K307),"",(ChemData!K307))</f>
        <v>NA</v>
      </c>
      <c r="J307" s="290">
        <f>IF(TRUE=ISBLANK(ChemData!M307),"",(ChemData!M307))</f>
        <v>299.5</v>
      </c>
      <c r="K307" s="290">
        <f>IF(TRUE=ISBLANK(ChemData!N307),"",(ChemData!N307))</f>
        <v>3.5999999999999999E-3</v>
      </c>
      <c r="L307" s="290">
        <f>IF(TRUE=ISBLANK(ChemData!O307),"",(ChemData!O307))</f>
        <v>0.15069567756923907</v>
      </c>
      <c r="M307" s="290">
        <f>IF(TRUE=ISBLANK(ChemData!Q307),"",(ChemData!Q307))</f>
        <v>10651.393240110776</v>
      </c>
      <c r="N307" s="290">
        <f>IF(TRUE=ISBLANK(ChemData!R307),"",(ChemData!R307))</f>
        <v>10651.393240110776</v>
      </c>
      <c r="O307" s="290">
        <f>IF(TRUE=ISBLANK(ChemData!S307),"",(ChemData!S307))</f>
        <v>1</v>
      </c>
      <c r="P307" s="291">
        <f>IF(TRUE=ISBLANK(ChemData!T307),"",(ChemData!T307))</f>
        <v>1</v>
      </c>
      <c r="Q307" s="375">
        <f>IF(Start!$C$18="x",IF(OR(K307="NA",K307="",K307="--"),"NA",(K307*1000000/82.1/Data!$D$50)),"---")</f>
        <v>0.14144827315233194</v>
      </c>
      <c r="R307" s="376">
        <f>IF(Start!$C$18="x",IF(OR(J307="NA",J307=0,J307=""),"NA",(0.32*(Data!$D$48+Data!$D$49)*(18/J307)^0.5)),"---")</f>
        <v>0.20200636364131203</v>
      </c>
      <c r="S307" s="376">
        <f>IF(Start!$C$18="x",IF(OR(J307="NA",J307= 0,J307=""),"NA",(0.0065*((Data!$D$49^0.969)/(Data!$D$51^0.673))*(32/J307)^0.5*EXP(0.526*Data!$D$48^-1.9))),"---")</f>
        <v>4.2577407143166551E-4</v>
      </c>
      <c r="T307" s="377">
        <f>IF(Start!$C$18="x",IF(OR(S307="NA",R307="NA",R307=0,Q307="NA",S307=0,Q307=0),"NA",(1/(1/S307+(1/(R307*Q307))))),"---")</f>
        <v>4.1952274721304353E-4</v>
      </c>
      <c r="U307" s="375" t="str">
        <f>IF(Start!$C$18="x",IF(OR(F307="NA",F307="",O307="",O307="NA"),"NA",(F307*$O307)),"---")</f>
        <v>NA</v>
      </c>
      <c r="V307" s="376" t="str">
        <f>IF(Start!$C$18="x",IF(OR(U307="NA",M307="NA",M307="",U307=""),"NA",U307/((Data!$D$18+((1-Data!$D$18)*Data!$D$14*M307))/((1-Data!$D$18)*Data!$D$14*1000))),"---")</f>
        <v>NA</v>
      </c>
      <c r="W307" s="376" t="str">
        <f>IF(Start!$C$18="x",IF(OR(G307="NA",U307="NA",G307="",U307=""),"NA",(U307 +($G307*(Data!$D$19-Data!$D$22)/(Data!$D$19*Data!$D$22)))),"---")</f>
        <v>NA</v>
      </c>
      <c r="X307" s="376" t="str">
        <f>IF(Start!$C$18="x",IF(OR(G307="NA",V307="NA",G307="",V307=""),"NA",(((Data!$D$22*Data!$D$18)*V307)+(Data!$D$19-Data!$D$22)*$G307)/((Data!$D$22*Data!$D$18)+Data!$D$19-Data!$D$22)),"---")</f>
        <v>NA</v>
      </c>
      <c r="Y307" s="376" t="str">
        <f>IF(Start!$C$18="x",IF(OR(W307="NA",W307="",M307="NA",M307=""),"NA",(W307/((Data!$D$23+((1-Data!$D$23)*Data!$D$14*M307)) /((1-Data!$D$23)*Data!$D$14*1000)))),"---")</f>
        <v>NA</v>
      </c>
      <c r="Z307" s="376" t="str">
        <f>IF(Start!$C$18="x",IF(OR(Y307="NA",X307="NA"),"NA",IF(Y307&gt;X307, Y307, X307)),"---")</f>
        <v>NA</v>
      </c>
      <c r="AA307" s="461" t="str">
        <f>IF(Start!$C$18="x",IF(OR(Z307="NA",T307="NA"),"NA",Z307*T307/(1000000000)),"---")</f>
        <v>NA</v>
      </c>
      <c r="AB307" s="1057" t="str">
        <f>IF(Start!$C$18="x",IF(AA307 = "NA", "NA", AA307*(Data!$D$52*Data!$D$53*10000)),"---")</f>
        <v>NA</v>
      </c>
      <c r="AC307" s="375" t="str">
        <f>IF(Start!$C$18="x",IF(AB307="NA", "NA", AB307*Data!$D$54),"---")</f>
        <v>NA</v>
      </c>
      <c r="AD307" s="498" t="str">
        <f>IF(Start!$C$18="x",IF(AC307="NA","NA",AC307*Data!$D$41),"---")</f>
        <v>NA</v>
      </c>
      <c r="AE307" s="376" t="str">
        <f>IF(Start!$C$18="x",IF(AB307 = "NA", "NA", AB307/(Data!$D$53*3*Data!$D$48)*1000),"---")</f>
        <v>NA</v>
      </c>
      <c r="AF307" s="498" t="str">
        <f>IF(Start!$C$18="x",IF(AE307="NA","NA",AE307*Data!$D$46),"---")</f>
        <v>NA</v>
      </c>
      <c r="AG307" s="375">
        <f>IF(Start!$C$18="x",IF(OR($L307="NA",L307=""),"NA",($L307*(Data!$D$55^3.33)/(Data!$D$18^2))),"---")</f>
        <v>1.5352112607717535E-3</v>
      </c>
      <c r="AH307" s="376" t="str">
        <f>IF(Start!$C$18="x",IF(OR(F307="NA",F307="",P307="NA",P307=""),"NA",IF(100/Data!$D$10&gt;Data!$D$13,(F307*$P307),(F307*$P307)*Data!$D$13)),"---")</f>
        <v>NA</v>
      </c>
      <c r="AI307" s="489">
        <f>IF(Start!$C$18="x",IF(OR($N307="NA",$Q307="NA",$Q307=0,Q307="",N307=""),"NA",(1000*$N307/$Q307)),"---")</f>
        <v>75302391.487238705</v>
      </c>
      <c r="AJ307" s="376">
        <f>IF(Start!$C$18="x",IF(OR(Q307 = "NA",Q307=0,N307 = "NA",N307="",Q307=""), "NA", IF($AG307="NA","NA",(3.1416*Data!$D$57*86400/($AG307*(Data!$D$55+(N307*Data!$D$19/(Q307*1000)))))^0.5)),"---")</f>
        <v>287.97724037178074</v>
      </c>
      <c r="AK307" s="376" t="str">
        <f>IF(Start!$C$18="x",IF(OR(AH307 = "NA",AI307="NA",AI307=0,AI307="",AH307=""), "NA", AH307/AI307),"---")</f>
        <v>NA</v>
      </c>
      <c r="AL307" s="376" t="str">
        <f>IF(Start!$C$18="x",IF(OR(AK307 ="NA",AK307="",AJ307= "NA",R307="NA",R307=0),"NA",(2*AK307)/(1000*(1/$R307+AJ307))),"---")</f>
        <v>NA</v>
      </c>
      <c r="AM307" s="376" t="str">
        <f>IF(Start!$C$18="x",IF(AL307 = "NA", "NA", AL307*(Data!$D$52*Data!$D$53*10000)),"---")</f>
        <v>NA</v>
      </c>
      <c r="AN307" s="376" t="str">
        <f>IF(Start!$C$18="x",IF(AM307 = "NA", "NA", AM307*(Data!$D$54)),"---")</f>
        <v>NA</v>
      </c>
      <c r="AO307" s="498" t="str">
        <f>IF(Start!$C$18="x",IF(AN307="NA","NA",AN307*Data!$D$41),"---")</f>
        <v>NA</v>
      </c>
      <c r="AP307" s="376">
        <f>IF(Start!$C$18="x",IF(OR(Q307=0,N307="NA",N307="",AG307="NA",AG307="",AG307=0,Q307="",Q307="NA"),"NA", (3.1416*Data!$D$56*86400/($AG307*(Data!$D$55+(N307*Data!$D$19/(Q307*1000)))))^0.5),"---")</f>
        <v>287.97724037178074</v>
      </c>
      <c r="AQ307" s="376" t="str">
        <f>IF(Start!$C$18="x",IF(OR(AH307="NA",AI307="NA",AI307="",AI307=0,AH307=""),"NA", AH307/AI307),"---")</f>
        <v>NA</v>
      </c>
      <c r="AR307" s="376" t="str">
        <f>IF(Start!$C$18="x",IF(OR(AQ307="NA",AP307="NA",$R307="NA",R307=0,R307=""),"NA",(2*AQ307)/(1000*(1/$R307+AP307))),"---")</f>
        <v>NA</v>
      </c>
      <c r="AS307" s="376" t="str">
        <f>IF(Start!$C$18="x",IF(AR307 = "NA", "NA", AR307*(Data!$D$52*Data!$D$53*10000)),"---")</f>
        <v>NA</v>
      </c>
      <c r="AT307" s="376" t="str">
        <f>IF(Start!$C$18="x",IF(AS307 = "NA", "NA", (AS307*1000)/(Data!$D$48*3*Data!$D$53)),"---")</f>
        <v>NA</v>
      </c>
      <c r="AU307" s="498" t="str">
        <f>IF(Start!$C$18="x",IF(AT307="NA","NA",AT307*Data!$D$47),"---")</f>
        <v>NA</v>
      </c>
      <c r="AV307" s="283" t="str">
        <f>IF(Start!$C$18="x",(IF(AND(F307="",G307= "",G307&lt;&gt;"NA"),"",IF(OR(AD307="NA",I307="NA",I307=0),"NA",(AD307/I307)))),"Not Req.")</f>
        <v/>
      </c>
      <c r="AW307" s="284" t="str">
        <f>IF(Start!$C$18="x",(IF(AND(F307="",G307= "",G307&lt;&gt;"NA"),"",IF(OR(AF307="NA",I307="NA",I307=0),"NA",(AF307/I307)))),"Not Req.")</f>
        <v/>
      </c>
      <c r="AX307" s="284" t="str">
        <f>IF(Start!$C$18="x",(IF(F307 ="","",IF(OR(AO307="NA",I307="NA",I307=0),"NA",(AO307/I307)))),"Not Req.")</f>
        <v/>
      </c>
      <c r="AY307" s="344" t="str">
        <f>IF(Start!$C$18="x",(IF(F307 ="","",IF(OR(AU307="NA",I307="NA",I307=0),"NA",(AU307/I307)))),"Not Req.")</f>
        <v/>
      </c>
      <c r="AZ307" s="208"/>
    </row>
    <row r="308" spans="1:52" s="183" customFormat="1" x14ac:dyDescent="0.25">
      <c r="A308" s="405" t="s">
        <v>626</v>
      </c>
      <c r="B308" s="347" t="str">
        <f>IF(Start!$C$18="x",IF(AND(OR(F308="",F308="NA"),OR(G308="",G308="NA")),"",IF(I308="NA","NA",IF(AND(I308="",K308="--"),"NA",IF(AD308="NA","Missing Data",IF(I308="","No Criteria",IF(AD308&gt;=I308,"Needed","No")))))),"---")</f>
        <v/>
      </c>
      <c r="C308" s="501" t="str">
        <f>IF(Start!$C$18="x",IF(AND(OR(F308="",F308="NA"),OR(G308="",G308="NA")),"",IF(I308="NA","NA",IF(AND(I308="",K308="--"),"NA",IF(AF308="NA","Missing Data",IF(I308="","No Criteria",IF(AF308&gt;=I308,"Needed","No")))))),"---")</f>
        <v/>
      </c>
      <c r="D308" s="347" t="str">
        <f>IF(Start!$C$18="x",IF(AND(OR(F308="",F308="NA"),OR(G308="",G308="NA")),"",IF(I308="NA","NA",IF(AND(I308="",K308="--"),"NA",IF(AO308="NA","Missing Data",IF(I308="","No Criteria",IF(AO308&gt;=I308,"Needed","No")))))),"---")</f>
        <v/>
      </c>
      <c r="E308" s="401" t="str">
        <f>IF(Start!$C$18="x",IF(AND(OR(F308="",F308="NA"),OR(G308="",G308="NA")),"",IF(I308="NA","NA",IF(AND(I308="",K308="--"),"NA",IF(AU308="NA","Missing Data",IF(I308="","No Criteria",IF(AU308&gt;=I308,"Needed","No")))))),"---")</f>
        <v/>
      </c>
      <c r="F308" s="431" t="str">
        <f>IF(TRUE=ISBLANK(ChemData!B308),"",(ChemData!B308))</f>
        <v/>
      </c>
      <c r="G308" s="432" t="str">
        <f>IF(TRUE=ISBLANK(ChemData!C308),"",(ChemData!C308))</f>
        <v/>
      </c>
      <c r="H308" s="433" t="str">
        <f>IF(TRUE=ISBLANK(ChemData!D308),"",(ChemData!D308))</f>
        <v/>
      </c>
      <c r="I308" s="919" t="str">
        <f>IF(TRUE=ISBLANK(ChemData!K308),"",(ChemData!K308))</f>
        <v>NA</v>
      </c>
      <c r="J308" s="290">
        <f>IF(TRUE=ISBLANK(ChemData!M308),"",(ChemData!M308))</f>
        <v>328.4</v>
      </c>
      <c r="K308" s="290">
        <f>IF(TRUE=ISBLANK(ChemData!N308),"",(ChemData!N308))</f>
        <v>2.5999999999999999E-3</v>
      </c>
      <c r="L308" s="290">
        <f>IF(TRUE=ISBLANK(ChemData!O308),"",(ChemData!O308))</f>
        <v>1.5599999999999999E-2</v>
      </c>
      <c r="M308" s="290">
        <f>IF(TRUE=ISBLANK(ChemData!Q308),"",(ChemData!Q308))</f>
        <v>20295.811410610371</v>
      </c>
      <c r="N308" s="290">
        <f>IF(TRUE=ISBLANK(ChemData!R308),"",(ChemData!R308))</f>
        <v>20295.811410610371</v>
      </c>
      <c r="O308" s="290">
        <f>IF(TRUE=ISBLANK(ChemData!S308),"",(ChemData!S308))</f>
        <v>1</v>
      </c>
      <c r="P308" s="291">
        <f>IF(TRUE=ISBLANK(ChemData!T308),"",(ChemData!T308))</f>
        <v>1</v>
      </c>
      <c r="Q308" s="375">
        <f>IF(Start!$C$18="x",IF(OR(K308="NA",K308="",K308="--"),"NA",(K308*1000000/82.1/Data!$D$50)),"---")</f>
        <v>0.10215708616557306</v>
      </c>
      <c r="R308" s="376">
        <f>IF(Start!$C$18="x",IF(OR(J308="NA",J308=0,J308=""),"NA",(0.32*(Data!$D$48+Data!$D$49)*(18/J308)^0.5)),"---")</f>
        <v>0.19291317555017498</v>
      </c>
      <c r="S308" s="376">
        <f>IF(Start!$C$18="x",IF(OR(J308="NA",J308= 0,J308=""),"NA",(0.0065*((Data!$D$49^0.969)/(Data!$D$51^0.673))*(32/J308)^0.5*EXP(0.526*Data!$D$48^-1.9))),"---")</f>
        <v>4.0660812217111674E-4</v>
      </c>
      <c r="T308" s="377">
        <f>IF(Start!$C$18="x",IF(OR(S308="NA",R308="NA",R308=0,Q308="NA",S308=0,Q308=0),"NA",(1/(1/S308+(1/(R308*Q308))))),"---")</f>
        <v>3.9838848885316829E-4</v>
      </c>
      <c r="U308" s="375" t="str">
        <f>IF(Start!$C$18="x",IF(OR(F308="NA",F308="",O308="",O308="NA"),"NA",(F308*$O308)),"---")</f>
        <v>NA</v>
      </c>
      <c r="V308" s="376" t="str">
        <f>IF(Start!$C$18="x",IF(OR(U308="NA",M308="NA",M308="",U308=""),"NA",U308/((Data!$D$18+((1-Data!$D$18)*Data!$D$14*M308))/((1-Data!$D$18)*Data!$D$14*1000))),"---")</f>
        <v>NA</v>
      </c>
      <c r="W308" s="376" t="str">
        <f>IF(Start!$C$18="x",IF(OR(G308="NA",U308="NA",G308="",U308=""),"NA",(U308 +($G308*(Data!$D$19-Data!$D$22)/(Data!$D$19*Data!$D$22)))),"---")</f>
        <v>NA</v>
      </c>
      <c r="X308" s="376" t="str">
        <f>IF(Start!$C$18="x",IF(OR(G308="NA",V308="NA",G308="",V308=""),"NA",(((Data!$D$22*Data!$D$18)*V308)+(Data!$D$19-Data!$D$22)*$G308)/((Data!$D$22*Data!$D$18)+Data!$D$19-Data!$D$22)),"---")</f>
        <v>NA</v>
      </c>
      <c r="Y308" s="376" t="str">
        <f>IF(Start!$C$18="x",IF(OR(W308="NA",W308="",M308="NA",M308=""),"NA",(W308/((Data!$D$23+((1-Data!$D$23)*Data!$D$14*M308)) /((1-Data!$D$23)*Data!$D$14*1000)))),"---")</f>
        <v>NA</v>
      </c>
      <c r="Z308" s="376" t="str">
        <f>IF(Start!$C$18="x",IF(OR(Y308="NA",X308="NA"),"NA",IF(Y308&gt;X308, Y308, X308)),"---")</f>
        <v>NA</v>
      </c>
      <c r="AA308" s="461" t="str">
        <f>IF(Start!$C$18="x",IF(OR(Z308="NA",T308="NA"),"NA",Z308*T308/(1000000000)),"---")</f>
        <v>NA</v>
      </c>
      <c r="AB308" s="1057" t="str">
        <f>IF(Start!$C$18="x",IF(AA308 = "NA", "NA", AA308*(Data!$D$52*Data!$D$53*10000)),"---")</f>
        <v>NA</v>
      </c>
      <c r="AC308" s="375" t="str">
        <f>IF(Start!$C$18="x",IF(AB308="NA", "NA", AB308*Data!$D$54),"---")</f>
        <v>NA</v>
      </c>
      <c r="AD308" s="498" t="str">
        <f>IF(Start!$C$18="x",IF(AC308="NA","NA",AC308*Data!$D$41),"---")</f>
        <v>NA</v>
      </c>
      <c r="AE308" s="376" t="str">
        <f>IF(Start!$C$18="x",IF(AB308 = "NA", "NA", AB308/(Data!$D$53*3*Data!$D$48)*1000),"---")</f>
        <v>NA</v>
      </c>
      <c r="AF308" s="498" t="str">
        <f>IF(Start!$C$18="x",IF(AE308="NA","NA",AE308*Data!$D$46),"---")</f>
        <v>NA</v>
      </c>
      <c r="AG308" s="375">
        <f>IF(Start!$C$18="x",IF(OR($L308="NA",L308=""),"NA",($L308*(Data!$D$55^3.33)/(Data!$D$18^2))),"---")</f>
        <v>1.5892490119390147E-4</v>
      </c>
      <c r="AH308" s="376" t="str">
        <f>IF(Start!$C$18="x",IF(OR(F308="NA",F308="",P308="NA",P308=""),"NA",IF(100/Data!$D$10&gt;Data!$D$13,(F308*$P308),(F308*$P308)*Data!$D$13)),"---")</f>
        <v>NA</v>
      </c>
      <c r="AI308" s="489">
        <f>IF(Start!$C$18="x",IF(OR($N308="NA",$Q308="NA",$Q308=0,Q308="",N308=""),"NA",(1000*$N308/$Q308)),"---")</f>
        <v>198672575.46594021</v>
      </c>
      <c r="AJ308" s="376">
        <f>IF(Start!$C$18="x",IF(OR(Q308 = "NA",Q308=0,N308 = "NA",N308="",Q308=""), "NA", IF($AG308="NA","NA",(3.1416*Data!$D$57*86400/($AG308*(Data!$D$55+(N308*Data!$D$19/(Q308*1000)))))^0.5)),"---")</f>
        <v>551.03871094765259</v>
      </c>
      <c r="AK308" s="376" t="str">
        <f>IF(Start!$C$18="x",IF(OR(AH308 = "NA",AI308="NA",AI308=0,AI308="",AH308=""), "NA", AH308/AI308),"---")</f>
        <v>NA</v>
      </c>
      <c r="AL308" s="376" t="str">
        <f>IF(Start!$C$18="x",IF(OR(AK308 ="NA",AK308="",AJ308= "NA",R308="NA",R308=0),"NA",(2*AK308)/(1000*(1/$R308+AJ308))),"---")</f>
        <v>NA</v>
      </c>
      <c r="AM308" s="376" t="str">
        <f>IF(Start!$C$18="x",IF(AL308 = "NA", "NA", AL308*(Data!$D$52*Data!$D$53*10000)),"---")</f>
        <v>NA</v>
      </c>
      <c r="AN308" s="376" t="str">
        <f>IF(Start!$C$18="x",IF(AM308 = "NA", "NA", AM308*(Data!$D$54)),"---")</f>
        <v>NA</v>
      </c>
      <c r="AO308" s="498" t="str">
        <f>IF(Start!$C$18="x",IF(AN308="NA","NA",AN308*Data!$D$41),"---")</f>
        <v>NA</v>
      </c>
      <c r="AP308" s="376">
        <f>IF(Start!$C$18="x",IF(OR(Q308=0,N308="NA",N308="",AG308="NA",AG308="",AG308=0,Q308="",Q308="NA"),"NA", (3.1416*Data!$D$56*86400/($AG308*(Data!$D$55+(N308*Data!$D$19/(Q308*1000)))))^0.5),"---")</f>
        <v>551.03871094765259</v>
      </c>
      <c r="AQ308" s="376" t="str">
        <f>IF(Start!$C$18="x",IF(OR(AH308="NA",AI308="NA",AI308="",AI308=0,AH308=""),"NA", AH308/AI308),"---")</f>
        <v>NA</v>
      </c>
      <c r="AR308" s="376" t="str">
        <f>IF(Start!$C$18="x",IF(OR(AQ308="NA",AP308="NA",$R308="NA",R308=0,R308=""),"NA",(2*AQ308)/(1000*(1/$R308+AP308))),"---")</f>
        <v>NA</v>
      </c>
      <c r="AS308" s="376" t="str">
        <f>IF(Start!$C$18="x",IF(AR308 = "NA", "NA", AR308*(Data!$D$52*Data!$D$53*10000)),"---")</f>
        <v>NA</v>
      </c>
      <c r="AT308" s="376" t="str">
        <f>IF(Start!$C$18="x",IF(AS308 = "NA", "NA", (AS308*1000)/(Data!$D$48*3*Data!$D$53)),"---")</f>
        <v>NA</v>
      </c>
      <c r="AU308" s="498" t="str">
        <f>IF(Start!$C$18="x",IF(AT308="NA","NA",AT308*Data!$D$47),"---")</f>
        <v>NA</v>
      </c>
      <c r="AV308" s="283" t="str">
        <f>IF(Start!$C$18="x",(IF(AND(F308="",G308= "",G308&lt;&gt;"NA"),"",IF(OR(AD308="NA",I308="NA",I308=0),"NA",(AD308/I308)))),"Not Req.")</f>
        <v/>
      </c>
      <c r="AW308" s="284" t="str">
        <f>IF(Start!$C$18="x",(IF(AND(F308="",G308= "",G308&lt;&gt;"NA"),"",IF(OR(AF308="NA",I308="NA",I308=0),"NA",(AF308/I308)))),"Not Req.")</f>
        <v/>
      </c>
      <c r="AX308" s="284" t="str">
        <f>IF(Start!$C$18="x",(IF(F308 ="","",IF(OR(AO308="NA",I308="NA",I308=0),"NA",(AO308/I308)))),"Not Req.")</f>
        <v/>
      </c>
      <c r="AY308" s="344" t="str">
        <f>IF(Start!$C$18="x",(IF(F308 ="","",IF(OR(AU308="NA",I308="NA",I308=0),"NA",(AU308/I308)))),"Not Req.")</f>
        <v/>
      </c>
      <c r="AZ308" s="208"/>
    </row>
    <row r="309" spans="1:52" s="183" customFormat="1" x14ac:dyDescent="0.25">
      <c r="A309" s="405" t="s">
        <v>627</v>
      </c>
      <c r="B309" s="347" t="str">
        <f>IF(Start!$C$18="x",IF(AND(OR(F309="",F309="NA"),OR(G309="",G309="NA")),"",IF(I309="NA","NA",IF(AND(I309="",K309="--"),"NA",IF(AD309="NA","Missing Data",IF(I309="","No Criteria",IF(AD309&gt;=I309,"Needed","No")))))),"---")</f>
        <v/>
      </c>
      <c r="C309" s="501" t="str">
        <f>IF(Start!$C$18="x",IF(AND(OR(F309="",F309="NA"),OR(G309="",G309="NA")),"",IF(I309="NA","NA",IF(AND(I309="",K309="--"),"NA",IF(AF309="NA","Missing Data",IF(I309="","No Criteria",IF(AF309&gt;=I309,"Needed","No")))))),"---")</f>
        <v/>
      </c>
      <c r="D309" s="347" t="str">
        <f>IF(Start!$C$18="x",IF(AND(OR(F309="",F309="NA"),OR(G309="",G309="NA")),"",IF(I309="NA","NA",IF(AND(I309="",K309="--"),"NA",IF(AO309="NA","Missing Data",IF(I309="","No Criteria",IF(AO309&gt;=I309,"Needed","No")))))),"---")</f>
        <v/>
      </c>
      <c r="E309" s="401" t="str">
        <f>IF(Start!$C$18="x",IF(AND(OR(F309="",F309="NA"),OR(G309="",G309="NA")),"",IF(I309="NA","NA",IF(AND(I309="",K309="--"),"NA",IF(AU309="NA","Missing Data",IF(I309="","No Criteria",IF(AU309&gt;=I309,"Needed","No")))))),"---")</f>
        <v/>
      </c>
      <c r="F309" s="431" t="str">
        <f>IF(TRUE=ISBLANK(ChemData!B309),"",(ChemData!B309))</f>
        <v/>
      </c>
      <c r="G309" s="432" t="str">
        <f>IF(TRUE=ISBLANK(ChemData!C309),"",(ChemData!C309))</f>
        <v/>
      </c>
      <c r="H309" s="433" t="str">
        <f>IF(TRUE=ISBLANK(ChemData!D309),"",(ChemData!D309))</f>
        <v/>
      </c>
      <c r="I309" s="919" t="str">
        <f>IF(TRUE=ISBLANK(ChemData!K309),"",(ChemData!K309))</f>
        <v>NA</v>
      </c>
      <c r="J309" s="290">
        <f>IF(TRUE=ISBLANK(ChemData!M309),"",(ChemData!M309))</f>
        <v>376</v>
      </c>
      <c r="K309" s="290">
        <f>IF(TRUE=ISBLANK(ChemData!N309),"",(ChemData!N309))</f>
        <v>0.74</v>
      </c>
      <c r="L309" s="290">
        <f>IF(TRUE=ISBLANK(ChemData!O309),"",(ChemData!O309))</f>
        <v>1.38E-2</v>
      </c>
      <c r="M309" s="290">
        <f>IF(TRUE=ISBLANK(ChemData!Q309),"",(ChemData!Q309))</f>
        <v>233027.09372310026</v>
      </c>
      <c r="N309" s="290">
        <f>IF(TRUE=ISBLANK(ChemData!R309),"",(ChemData!R309))</f>
        <v>233027.09372310026</v>
      </c>
      <c r="O309" s="290">
        <f>IF(TRUE=ISBLANK(ChemData!S309),"",(ChemData!S309))</f>
        <v>1</v>
      </c>
      <c r="P309" s="291">
        <f>IF(TRUE=ISBLANK(ChemData!T309),"",(ChemData!T309))</f>
        <v>1</v>
      </c>
      <c r="Q309" s="375">
        <f>IF(Start!$C$18="x",IF(OR(K309="NA",K309="",K309="--"),"NA",(K309*1000000/82.1/Data!$D$50)),"---")</f>
        <v>29.075478370201562</v>
      </c>
      <c r="R309" s="376">
        <f>IF(Start!$C$18="x",IF(OR(J309="NA",J309=0,J309=""),"NA",(0.32*(Data!$D$48+Data!$D$49)*(18/J309)^0.5)),"---")</f>
        <v>0.18028912949139769</v>
      </c>
      <c r="S309" s="376">
        <f>IF(Start!$C$18="x",IF(OR(J309="NA",J309= 0,J309=""),"NA",(0.0065*((Data!$D$49^0.969)/(Data!$D$51^0.673))*(32/J309)^0.5*EXP(0.526*Data!$D$48^-1.9))),"---")</f>
        <v>3.8000009165416507E-4</v>
      </c>
      <c r="T309" s="377">
        <f>IF(Start!$C$18="x",IF(OR(S309="NA",R309="NA",R309=0,Q309="NA",S309=0,Q309=0),"NA",(1/(1/S309+(1/(R309*Q309))))),"---")</f>
        <v>3.7997254686131384E-4</v>
      </c>
      <c r="U309" s="375" t="str">
        <f>IF(Start!$C$18="x",IF(OR(F309="NA",F309="",O309="",O309="NA"),"NA",(F309*$O309)),"---")</f>
        <v>NA</v>
      </c>
      <c r="V309" s="376" t="str">
        <f>IF(Start!$C$18="x",IF(OR(U309="NA",M309="NA",M309="",U309=""),"NA",U309/((Data!$D$18+((1-Data!$D$18)*Data!$D$14*M309))/((1-Data!$D$18)*Data!$D$14*1000))),"---")</f>
        <v>NA</v>
      </c>
      <c r="W309" s="376" t="str">
        <f>IF(Start!$C$18="x",IF(OR(G309="NA",U309="NA",G309="",U309=""),"NA",(U309 +($G309*(Data!$D$19-Data!$D$22)/(Data!$D$19*Data!$D$22)))),"---")</f>
        <v>NA</v>
      </c>
      <c r="X309" s="376" t="str">
        <f>IF(Start!$C$18="x",IF(OR(G309="NA",V309="NA",G309="",V309=""),"NA",(((Data!$D$22*Data!$D$18)*V309)+(Data!$D$19-Data!$D$22)*$G309)/((Data!$D$22*Data!$D$18)+Data!$D$19-Data!$D$22)),"---")</f>
        <v>NA</v>
      </c>
      <c r="Y309" s="376" t="str">
        <f>IF(Start!$C$18="x",IF(OR(W309="NA",W309="",M309="NA",M309=""),"NA",(W309/((Data!$D$23+((1-Data!$D$23)*Data!$D$14*M309)) /((1-Data!$D$23)*Data!$D$14*1000)))),"---")</f>
        <v>NA</v>
      </c>
      <c r="Z309" s="376" t="str">
        <f>IF(Start!$C$18="x",IF(OR(Y309="NA",X309="NA"),"NA",IF(Y309&gt;X309, Y309, X309)),"---")</f>
        <v>NA</v>
      </c>
      <c r="AA309" s="461" t="str">
        <f>IF(Start!$C$18="x",IF(OR(Z309="NA",T309="NA"),"NA",Z309*T309/(1000000000)),"---")</f>
        <v>NA</v>
      </c>
      <c r="AB309" s="1057" t="str">
        <f>IF(Start!$C$18="x",IF(AA309 = "NA", "NA", AA309*(Data!$D$52*Data!$D$53*10000)),"---")</f>
        <v>NA</v>
      </c>
      <c r="AC309" s="375" t="str">
        <f>IF(Start!$C$18="x",IF(AB309="NA", "NA", AB309*Data!$D$54),"---")</f>
        <v>NA</v>
      </c>
      <c r="AD309" s="498" t="str">
        <f>IF(Start!$C$18="x",IF(AC309="NA","NA",AC309*Data!$D$41),"---")</f>
        <v>NA</v>
      </c>
      <c r="AE309" s="376" t="str">
        <f>IF(Start!$C$18="x",IF(AB309 = "NA", "NA", AB309/(Data!$D$53*3*Data!$D$48)*1000),"---")</f>
        <v>NA</v>
      </c>
      <c r="AF309" s="498" t="str">
        <f>IF(Start!$C$18="x",IF(AE309="NA","NA",AE309*Data!$D$46),"---")</f>
        <v>NA</v>
      </c>
      <c r="AG309" s="375">
        <f>IF(Start!$C$18="x",IF(OR($L309="NA",L309=""),"NA",($L309*(Data!$D$55^3.33)/(Data!$D$18^2))),"---")</f>
        <v>1.4058741259460514E-4</v>
      </c>
      <c r="AH309" s="376" t="str">
        <f>IF(Start!$C$18="x",IF(OR(F309="NA",F309="",P309="NA",P309=""),"NA",IF(100/Data!$D$10&gt;Data!$D$13,(F309*$P309),(F309*$P309)*Data!$D$13)),"---")</f>
        <v>NA</v>
      </c>
      <c r="AI309" s="489">
        <f>IF(Start!$C$18="x",IF(OR($N309="NA",$Q309="NA",$Q309=0,Q309="",N309=""),"NA",(1000*$N309/$Q309)),"---")</f>
        <v>8014557.516684629</v>
      </c>
      <c r="AJ309" s="376">
        <f>IF(Start!$C$18="x",IF(OR(Q309 = "NA",Q309=0,N309 = "NA",N309="",Q309=""), "NA", IF($AG309="NA","NA",(3.1416*Data!$D$57*86400/($AG309*(Data!$D$55+(N309*Data!$D$19/(Q309*1000)))))^0.5)),"---")</f>
        <v>2916.9429077043965</v>
      </c>
      <c r="AK309" s="376" t="str">
        <f>IF(Start!$C$18="x",IF(OR(AH309 = "NA",AI309="NA",AI309=0,AI309="",AH309=""), "NA", AH309/AI309),"---")</f>
        <v>NA</v>
      </c>
      <c r="AL309" s="376" t="str">
        <f>IF(Start!$C$18="x",IF(OR(AK309 ="NA",AK309="",AJ309= "NA",R309="NA",R309=0),"NA",(2*AK309)/(1000*(1/$R309+AJ309))),"---")</f>
        <v>NA</v>
      </c>
      <c r="AM309" s="376" t="str">
        <f>IF(Start!$C$18="x",IF(AL309 = "NA", "NA", AL309*(Data!$D$52*Data!$D$53*10000)),"---")</f>
        <v>NA</v>
      </c>
      <c r="AN309" s="376" t="str">
        <f>IF(Start!$C$18="x",IF(AM309 = "NA", "NA", AM309*(Data!$D$54)),"---")</f>
        <v>NA</v>
      </c>
      <c r="AO309" s="498" t="str">
        <f>IF(Start!$C$18="x",IF(AN309="NA","NA",AN309*Data!$D$41),"---")</f>
        <v>NA</v>
      </c>
      <c r="AP309" s="376">
        <f>IF(Start!$C$18="x",IF(OR(Q309=0,N309="NA",N309="",AG309="NA",AG309="",AG309=0,Q309="",Q309="NA"),"NA", (3.1416*Data!$D$56*86400/($AG309*(Data!$D$55+(N309*Data!$D$19/(Q309*1000)))))^0.5),"---")</f>
        <v>2916.9429077043965</v>
      </c>
      <c r="AQ309" s="376" t="str">
        <f>IF(Start!$C$18="x",IF(OR(AH309="NA",AI309="NA",AI309="",AI309=0,AH309=""),"NA", AH309/AI309),"---")</f>
        <v>NA</v>
      </c>
      <c r="AR309" s="376" t="str">
        <f>IF(Start!$C$18="x",IF(OR(AQ309="NA",AP309="NA",$R309="NA",R309=0,R309=""),"NA",(2*AQ309)/(1000*(1/$R309+AP309))),"---")</f>
        <v>NA</v>
      </c>
      <c r="AS309" s="376" t="str">
        <f>IF(Start!$C$18="x",IF(AR309 = "NA", "NA", AR309*(Data!$D$52*Data!$D$53*10000)),"---")</f>
        <v>NA</v>
      </c>
      <c r="AT309" s="376" t="str">
        <f>IF(Start!$C$18="x",IF(AS309 = "NA", "NA", (AS309*1000)/(Data!$D$48*3*Data!$D$53)),"---")</f>
        <v>NA</v>
      </c>
      <c r="AU309" s="498" t="str">
        <f>IF(Start!$C$18="x",IF(AT309="NA","NA",AT309*Data!$D$47),"---")</f>
        <v>NA</v>
      </c>
      <c r="AV309" s="283" t="str">
        <f>IF(Start!$C$18="x",(IF(AND(F309="",G309= "",G309&lt;&gt;"NA"),"",IF(OR(AD309="NA",I309="NA",I309=0),"NA",(AD309/I309)))),"Not Req.")</f>
        <v/>
      </c>
      <c r="AW309" s="284" t="str">
        <f>IF(Start!$C$18="x",(IF(AND(F309="",G309= "",G309&lt;&gt;"NA"),"",IF(OR(AF309="NA",I309="NA",I309=0),"NA",(AF309/I309)))),"Not Req.")</f>
        <v/>
      </c>
      <c r="AX309" s="284" t="str">
        <f>IF(Start!$C$18="x",(IF(F309 ="","",IF(OR(AO309="NA",I309="NA",I309=0),"NA",(AO309/I309)))),"Not Req.")</f>
        <v/>
      </c>
      <c r="AY309" s="344" t="str">
        <f>IF(Start!$C$18="x",(IF(F309 ="","",IF(OR(AU309="NA",I309="NA",I309=0),"NA",(AU309/I309)))),"Not Req.")</f>
        <v/>
      </c>
      <c r="AZ309" s="208"/>
    </row>
    <row r="310" spans="1:52" s="10" customFormat="1" ht="13.8" thickBot="1" x14ac:dyDescent="0.3">
      <c r="A310" s="408" t="s">
        <v>628</v>
      </c>
      <c r="B310" s="535" t="str">
        <f>IF(Start!$C$18="x",IF(AND(OR(F310="",F310="NA"),OR(G310="",G310="NA")),"",IF(I310="NA","NA",IF(AND(I310="",K310="--"),"NA",IF(AD310="NA","Missing Data",IF(I310="","No Criteria",IF(AD310&gt;=I310,"Needed","No")))))),"---")</f>
        <v>NA</v>
      </c>
      <c r="C310" s="536" t="str">
        <f>IF(Start!$C$18="x",IF(AND(OR(F310="",F310="NA"),OR(G310="",G310="NA")),"",IF(I310="NA","NA",IF(AND(I310="",K310="--"),"NA",IF(AF310="NA","Missing Data",IF(I310="","No Criteria",IF(AF310&gt;=I310,"Needed","No")))))),"---")</f>
        <v>NA</v>
      </c>
      <c r="D310" s="535" t="str">
        <f>IF(Start!$C$18="x",IF(AND(OR(F310="",F310="NA"),OR(G310="",G310="NA")),"",IF(I310="NA","NA",IF(AND(I310="",K310="--"),"NA",IF(AO310="NA","Missing Data",IF(I310="","No Criteria",IF(AO310&gt;=I310,"Needed","No")))))),"---")</f>
        <v>NA</v>
      </c>
      <c r="E310" s="537" t="str">
        <f>IF(Start!$C$18="x",IF(AND(OR(F310="",F310="NA"),OR(G310="",G310="NA")),"",IF(I310="NA","NA",IF(AND(I310="",K310="--"),"NA",IF(AU310="NA","Missing Data",IF(I310="","No Criteria",IF(AU310&gt;=I310,"Needed","No")))))),"---")</f>
        <v>NA</v>
      </c>
      <c r="F310" s="538">
        <f>IF(TRUE=ISBLANK(ChemData!B310),"",(ChemData!B310))</f>
        <v>4.32</v>
      </c>
      <c r="G310" s="539">
        <f>IF(TRUE=ISBLANK(ChemData!C310),"",(ChemData!C310))</f>
        <v>0</v>
      </c>
      <c r="H310" s="540">
        <f>IF(TRUE=ISBLANK(ChemData!D310),"",(ChemData!D310))</f>
        <v>0</v>
      </c>
      <c r="I310" s="863" t="str">
        <f>IF(TRUE=ISBLANK(ChemData!K310),"",(ChemData!K310))</f>
        <v>NA</v>
      </c>
      <c r="J310" s="304">
        <f>IF(TRUE=ISBLANK(ChemData!M310),"",(ChemData!M310))</f>
        <v>292</v>
      </c>
      <c r="K310" s="304">
        <f>IF(TRUE=ISBLANK(ChemData!N310),"",(ChemData!N310))</f>
        <v>3.3E-4</v>
      </c>
      <c r="L310" s="304">
        <f>IF(TRUE=ISBLANK(ChemData!O310),"",(ChemData!O310))</f>
        <v>1.7500000000000002E-2</v>
      </c>
      <c r="M310" s="304">
        <f>IF(TRUE=ISBLANK(ChemData!Q310),"",(ChemData!Q310))</f>
        <v>58533.759489716802</v>
      </c>
      <c r="N310" s="304">
        <f>IF(TRUE=ISBLANK(ChemData!R310),"",(ChemData!R310))</f>
        <v>58533.759489716802</v>
      </c>
      <c r="O310" s="304">
        <f>IF(TRUE=ISBLANK(ChemData!S310),"",(ChemData!S310))</f>
        <v>1</v>
      </c>
      <c r="P310" s="305">
        <f>IF(TRUE=ISBLANK(ChemData!T310),"",(ChemData!T310))</f>
        <v>1</v>
      </c>
      <c r="Q310" s="515">
        <f>IF(Start!$C$18="x",IF(OR(K310="NA",K310="",K310="--"),"NA",(K310*1000000/82.1/Data!$D$50)),"---")</f>
        <v>1.2966091705630428E-2</v>
      </c>
      <c r="R310" s="516">
        <f>IF(Start!$C$18="x",IF(OR(J310="NA",J310=0,J310=""),"NA",(0.32*(Data!$D$48+Data!$D$49)*(18/J310)^0.5)),"---")</f>
        <v>0.20458417566250536</v>
      </c>
      <c r="S310" s="516">
        <f>IF(Start!$C$18="x",IF(OR(J310="NA",J310= 0,J310=""),"NA",(0.0065*((Data!$D$49^0.969)/(Data!$D$51^0.673))*(32/J310)^0.5*EXP(0.526*Data!$D$48^-1.9))),"---")</f>
        <v>4.31207392936318E-4</v>
      </c>
      <c r="T310" s="517">
        <f>IF(Start!$C$18="x",IF(OR(S310="NA",R310="NA",R310=0,Q310="NA",S310=0,Q310=0),"NA",(1/(1/S310+(1/(R310*Q310))))),"---")</f>
        <v>3.709129762605199E-4</v>
      </c>
      <c r="U310" s="515">
        <f>IF(Start!$C$18="x",IF(OR(F310="NA",F310="",O310="",O310="NA"),"NA",(F310*$O310)),"---")</f>
        <v>4.32</v>
      </c>
      <c r="V310" s="516">
        <f>IF(Start!$C$18="x",IF(OR(U310="NA",M310="NA",M310="",U310=""),"NA",U310/((Data!$D$18+((1-Data!$D$18)*Data!$D$14*M310))/((1-Data!$D$18)*Data!$D$14*1000))),"---")</f>
        <v>7.3802554211737537E-2</v>
      </c>
      <c r="W310" s="516">
        <f>IF(Start!$C$18="x",IF(OR(G310="NA",U310="NA",G310="",U310=""),"NA",(U310 +($G310*(Data!$D$19-Data!$D$22)/(Data!$D$19*Data!$D$22)))),"---")</f>
        <v>4.32</v>
      </c>
      <c r="X310" s="516">
        <f>IF(Start!$C$18="x",IF(OR(G310="NA",V310="NA",G310="",V310=""),"NA",(((Data!$D$22*Data!$D$18)*V310)+(Data!$D$19-Data!$D$22)*$G310)/((Data!$D$22*Data!$D$18)+Data!$D$19-Data!$D$22)),"---")</f>
        <v>3.638637556485666E-2</v>
      </c>
      <c r="Y310" s="516">
        <f>IF(Start!$C$18="x",IF(OR(W310="NA",W310="",M310="NA",M310=""),"NA",(W310/((Data!$D$23+((1-Data!$D$23)*Data!$D$14*M310)) /((1-Data!$D$23)*Data!$D$14*1000)))),"---")</f>
        <v>7.3801517009239051E-2</v>
      </c>
      <c r="Z310" s="516">
        <f>IF(Start!$C$18="x",IF(OR(Y310="NA",X310="NA"),"NA",IF(Y310&gt;X310, Y310, X310)),"---")</f>
        <v>7.3801517009239051E-2</v>
      </c>
      <c r="AA310" s="552">
        <f>IF(Start!$C$18="x",IF(OR(Z310="NA",T310="NA"),"NA",Z310*T310/(1000000000)),"---")</f>
        <v>2.7373940326438239E-14</v>
      </c>
      <c r="AB310" s="1060">
        <f>IF(Start!$C$18="x",IF(AA310 = "NA", "NA", AA310*(Data!$D$52*Data!$D$53*10000)),"---")</f>
        <v>8.2121820979314721E-7</v>
      </c>
      <c r="AC310" s="515">
        <f>IF(Start!$C$18="x",IF(AB310="NA", "NA", AB310*Data!$D$54),"---")</f>
        <v>5.74852746855203E-7</v>
      </c>
      <c r="AD310" s="541">
        <f>IF(Start!$C$18="x",IF(AC310="NA","NA",AC310*Data!$D$41),"---")</f>
        <v>5.2281344556094255E-7</v>
      </c>
      <c r="AE310" s="516">
        <f>IF(Start!$C$18="x",IF(AB310 = "NA", "NA", AB310/(Data!$D$53*3*Data!$D$48)*1000),"---")</f>
        <v>3.6498587101917652E-6</v>
      </c>
      <c r="AF310" s="541">
        <f>IF(Start!$C$18="x",IF(AE310="NA","NA",AE310*Data!$D$46),"---")</f>
        <v>8.6305050939631664E-7</v>
      </c>
      <c r="AG310" s="515">
        <f>IF(Start!$C$18="x",IF(OR($L310="NA",L310=""),"NA",($L310*(Data!$D$55^3.33)/(Data!$D$18^2))),"---")</f>
        <v>1.7828113915982537E-4</v>
      </c>
      <c r="AH310" s="516">
        <f>IF(Start!$C$18="x",IF(OR(F310="NA",F310="",P310="NA",P310=""),"NA",IF(100/Data!$D$10&gt;Data!$D$13,(F310*$P310),(F310*$P310)*Data!$D$13)),"---")</f>
        <v>35.409836065573778</v>
      </c>
      <c r="AI310" s="542">
        <f>IF(Start!$C$18="x",IF(OR($N310="NA",$Q310="NA",$Q310=0,Q310="",N310=""),"NA",(1000*$N310/$Q310)),"---")</f>
        <v>4514371856.8872194</v>
      </c>
      <c r="AJ310" s="516">
        <f>IF(Start!$C$18="x",IF(OR(Q310 = "NA",Q310=0,N310 = "NA",N310="",Q310=""), "NA", IF($AG310="NA","NA",(3.1416*Data!$D$57*86400/($AG310*(Data!$D$55+(N310*Data!$D$19/(Q310*1000)))))^0.5)),"---")</f>
        <v>109.14300987846181</v>
      </c>
      <c r="AK310" s="516">
        <f>IF(Start!$C$18="x",IF(OR(AH310 = "NA",AI310="NA",AI310=0,AI310="",AH310=""), "NA", AH310/AI310),"---")</f>
        <v>7.8438013500265369E-9</v>
      </c>
      <c r="AL310" s="516">
        <f>IF(Start!$C$18="x",IF(OR(AK310 ="NA",AK310="",AJ310= "NA",R310="NA",R310=0),"NA",(2*AK310)/(1000*(1/$R310+AJ310))),"---")</f>
        <v>1.3757317177998318E-13</v>
      </c>
      <c r="AM310" s="516">
        <f>IF(Start!$C$18="x",IF(AL310 = "NA", "NA", AL310*(Data!$D$52*Data!$D$53*10000)),"---")</f>
        <v>4.1271951533994952E-6</v>
      </c>
      <c r="AN310" s="516">
        <f>IF(Start!$C$18="x",IF(AM310 = "NA", "NA", AM310*(Data!$D$54)),"---")</f>
        <v>2.8890366073796466E-6</v>
      </c>
      <c r="AO310" s="541">
        <f>IF(Start!$C$18="x",IF(AN310="NA","NA",AN310*Data!$D$41),"---")</f>
        <v>2.6275027671326469E-6</v>
      </c>
      <c r="AP310" s="516">
        <f>IF(Start!$C$18="x",IF(OR(Q310=0,N310="NA",N310="",AG310="NA",AG310="",AG310=0,Q310="",Q310="NA"),"NA", (3.1416*Data!$D$56*86400/($AG310*(Data!$D$55+(N310*Data!$D$19/(Q310*1000)))))^0.5),"---")</f>
        <v>109.14300987846181</v>
      </c>
      <c r="AQ310" s="516">
        <f>IF(Start!$C$18="x",IF(OR(AH310="NA",AI310="NA",AI310="",AI310=0,AH310=""),"NA", AH310/AI310),"---")</f>
        <v>7.8438013500265369E-9</v>
      </c>
      <c r="AR310" s="516">
        <f>IF(Start!$C$18="x",IF(OR(AQ310="NA",AP310="NA",$R310="NA",R310=0,R310=""),"NA",(2*AQ310)/(1000*(1/$R310+AP310))),"---")</f>
        <v>1.3757317177998318E-13</v>
      </c>
      <c r="AS310" s="516">
        <f>IF(Start!$C$18="x",IF(AR310 = "NA", "NA", AR310*(Data!$D$52*Data!$D$53*10000)),"---")</f>
        <v>4.1271951533994952E-6</v>
      </c>
      <c r="AT310" s="516">
        <f>IF(Start!$C$18="x",IF(AS310 = "NA", "NA", (AS310*1000)/(Data!$D$48*3*Data!$D$53)),"---")</f>
        <v>1.8343089570664423E-5</v>
      </c>
      <c r="AU310" s="541">
        <f>IF(Start!$C$18="x",IF(AT310="NA","NA",AT310*Data!$D$47),"---")</f>
        <v>3.469945344165374E-6</v>
      </c>
      <c r="AV310" s="298" t="str">
        <f>IF(Start!$C$18="x",(IF(AND(F310="",G310= "",G310&lt;&gt;"NA"),"",IF(OR(AD310="NA",I310="NA",I310=0),"NA",(AD310/I310)))),"Not Req.")</f>
        <v>NA</v>
      </c>
      <c r="AW310" s="299" t="str">
        <f>IF(Start!$C$18="x",(IF(AND(F310="",G310= "",G310&lt;&gt;"NA"),"",IF(OR(AF310="NA",I310="NA",I310=0),"NA",(AF310/I310)))),"Not Req.")</f>
        <v>NA</v>
      </c>
      <c r="AX310" s="299" t="str">
        <f>IF(Start!$C$18="x",(IF(F310 ="","",IF(OR(AO310="NA",I310="NA",I310=0),"NA",(AO310/I310)))),"Not Req.")</f>
        <v>NA</v>
      </c>
      <c r="AY310" s="300" t="str">
        <f>IF(Start!$C$18="x",(IF(F310 ="","",IF(OR(AU310="NA",I310="NA",I310=0),"NA",(AU310/I310)))),"Not Req.")</f>
        <v>NA</v>
      </c>
      <c r="AZ310" s="208"/>
    </row>
    <row r="311" spans="1:52" s="10" customFormat="1" x14ac:dyDescent="0.25">
      <c r="A311" s="8"/>
      <c r="B311" s="33"/>
      <c r="C311" s="33"/>
      <c r="D311" s="33"/>
      <c r="E311" s="33"/>
      <c r="F311"/>
      <c r="G311"/>
      <c r="H311"/>
      <c r="I311" s="490"/>
      <c r="J311" s="15"/>
      <c r="K311" s="15"/>
      <c r="L311" s="15"/>
      <c r="M311" s="15"/>
      <c r="N311" s="15"/>
      <c r="O311" s="15"/>
      <c r="P311" s="15"/>
      <c r="Q311" s="33"/>
      <c r="R311" s="33"/>
      <c r="S311" s="33"/>
      <c r="T311" s="33"/>
      <c r="U311" s="33"/>
      <c r="V311" s="33"/>
      <c r="W311" s="33"/>
      <c r="X311" s="33"/>
      <c r="Y311" s="33"/>
      <c r="Z311" s="33"/>
      <c r="AA311" s="33"/>
      <c r="AB311" s="33"/>
      <c r="AC311" s="33"/>
      <c r="AD311" s="495"/>
      <c r="AE311" s="33"/>
      <c r="AF311" s="495"/>
      <c r="AG311" s="33"/>
      <c r="AH311" s="33"/>
      <c r="AI311" s="33"/>
      <c r="AJ311" s="33"/>
      <c r="AK311" s="33"/>
      <c r="AL311" s="33"/>
      <c r="AM311" s="33"/>
      <c r="AN311" s="33"/>
      <c r="AO311" s="495"/>
      <c r="AP311" s="33"/>
      <c r="AQ311" s="33"/>
      <c r="AR311" s="33"/>
      <c r="AS311" s="33"/>
      <c r="AT311" s="33"/>
      <c r="AU311" s="495"/>
      <c r="AX311" s="11"/>
      <c r="AZ311" s="23"/>
    </row>
    <row r="312" spans="1:52" s="10" customFormat="1" x14ac:dyDescent="0.25">
      <c r="A312"/>
      <c r="B312" s="33"/>
      <c r="C312" s="33"/>
      <c r="D312" s="33"/>
      <c r="E312" s="33"/>
      <c r="F312"/>
      <c r="G312"/>
      <c r="H312"/>
      <c r="I312" s="490"/>
      <c r="J312" s="15"/>
      <c r="K312" s="15"/>
      <c r="L312" s="15"/>
      <c r="M312" s="15"/>
      <c r="N312" s="15"/>
      <c r="O312" s="15"/>
      <c r="P312" s="15"/>
      <c r="Q312" s="33"/>
      <c r="R312" s="33"/>
      <c r="S312" s="33"/>
      <c r="T312" s="33"/>
      <c r="U312" s="33"/>
      <c r="V312" s="33"/>
      <c r="W312" s="33"/>
      <c r="X312" s="33"/>
      <c r="Y312" s="33"/>
      <c r="Z312" s="33"/>
      <c r="AA312" s="33"/>
      <c r="AB312" s="33"/>
      <c r="AC312" s="33"/>
      <c r="AD312" s="495"/>
      <c r="AE312" s="33"/>
      <c r="AF312" s="495"/>
      <c r="AG312" s="33"/>
      <c r="AO312" s="500"/>
      <c r="AP312" s="33"/>
      <c r="AQ312" s="33"/>
      <c r="AR312" s="33"/>
      <c r="AS312" s="33"/>
      <c r="AT312" s="33"/>
      <c r="AU312" s="495"/>
      <c r="AX312" s="11"/>
      <c r="AZ312" s="23"/>
    </row>
    <row r="313" spans="1:52" s="10" customFormat="1" x14ac:dyDescent="0.25">
      <c r="A313"/>
      <c r="B313" s="33"/>
      <c r="C313" s="33"/>
      <c r="D313" s="33"/>
      <c r="E313" s="33"/>
      <c r="F313"/>
      <c r="G313"/>
      <c r="H313"/>
      <c r="I313" s="490"/>
      <c r="J313" s="15"/>
      <c r="K313" s="15"/>
      <c r="L313" s="15"/>
      <c r="M313" s="15"/>
      <c r="N313" s="15"/>
      <c r="O313" s="15"/>
      <c r="P313" s="15"/>
      <c r="Q313" s="33"/>
      <c r="R313" s="33"/>
      <c r="S313" s="33"/>
      <c r="T313" s="33"/>
      <c r="U313" s="33"/>
      <c r="V313" s="33"/>
      <c r="W313" s="33"/>
      <c r="X313" s="33"/>
      <c r="Y313" s="33"/>
      <c r="Z313" s="33"/>
      <c r="AA313" s="33"/>
      <c r="AB313" s="33"/>
      <c r="AC313" s="33"/>
      <c r="AD313" s="495"/>
      <c r="AE313" s="33"/>
      <c r="AF313" s="495"/>
      <c r="AG313" s="33"/>
      <c r="AO313" s="500"/>
      <c r="AP313" s="33"/>
      <c r="AQ313" s="33"/>
      <c r="AR313" s="33"/>
      <c r="AS313" s="33"/>
      <c r="AT313" s="33"/>
      <c r="AU313" s="495"/>
      <c r="AX313" s="11"/>
      <c r="AZ313" s="23"/>
    </row>
    <row r="314" spans="1:52" s="10" customFormat="1" x14ac:dyDescent="0.25">
      <c r="A314"/>
      <c r="B314" s="33"/>
      <c r="C314" s="33"/>
      <c r="D314" s="33"/>
      <c r="E314" s="33"/>
      <c r="F314"/>
      <c r="G314"/>
      <c r="H314"/>
      <c r="I314" s="490"/>
      <c r="J314" s="15"/>
      <c r="K314" s="15"/>
      <c r="L314" s="15"/>
      <c r="M314" s="15"/>
      <c r="N314" s="15"/>
      <c r="O314" s="15"/>
      <c r="P314" s="15"/>
      <c r="Q314" s="33"/>
      <c r="R314" s="33"/>
      <c r="S314" s="33"/>
      <c r="T314" s="33"/>
      <c r="U314" s="33"/>
      <c r="V314" s="33"/>
      <c r="W314" s="33"/>
      <c r="X314" s="33"/>
      <c r="Y314" s="33"/>
      <c r="Z314" s="33"/>
      <c r="AA314" s="33"/>
      <c r="AB314" s="33"/>
      <c r="AC314" s="33"/>
      <c r="AD314" s="495"/>
      <c r="AE314" s="33"/>
      <c r="AF314" s="495"/>
      <c r="AG314" s="33"/>
      <c r="AO314" s="500"/>
      <c r="AP314" s="33"/>
      <c r="AQ314" s="33"/>
      <c r="AR314" s="33"/>
      <c r="AS314" s="33"/>
      <c r="AT314" s="33"/>
      <c r="AU314" s="495"/>
      <c r="AX314" s="11"/>
      <c r="AZ314" s="23"/>
    </row>
    <row r="315" spans="1:52" s="10" customFormat="1" x14ac:dyDescent="0.25">
      <c r="A315"/>
      <c r="B315" s="33"/>
      <c r="C315" s="33"/>
      <c r="D315" s="33"/>
      <c r="E315" s="33"/>
      <c r="F315"/>
      <c r="G315"/>
      <c r="H315"/>
      <c r="I315" s="490"/>
      <c r="J315" s="15"/>
      <c r="K315" s="15"/>
      <c r="L315" s="15"/>
      <c r="M315" s="15"/>
      <c r="N315" s="15"/>
      <c r="O315" s="15"/>
      <c r="P315" s="15"/>
      <c r="Q315" s="33"/>
      <c r="R315" s="33"/>
      <c r="S315" s="5"/>
      <c r="T315" s="5"/>
      <c r="U315" s="5"/>
      <c r="V315" s="5"/>
      <c r="W315" s="5"/>
      <c r="X315" s="5"/>
      <c r="Y315" s="5"/>
      <c r="Z315" s="5"/>
      <c r="AA315" s="5"/>
      <c r="AB315" s="5"/>
      <c r="AC315" s="5"/>
      <c r="AD315" s="499"/>
      <c r="AE315" s="5"/>
      <c r="AF315" s="499"/>
      <c r="AG315" s="5"/>
      <c r="AO315" s="500"/>
      <c r="AP315" s="5"/>
      <c r="AQ315" s="5"/>
      <c r="AR315" s="5"/>
      <c r="AS315" s="5"/>
      <c r="AT315" s="5"/>
      <c r="AU315" s="499"/>
      <c r="AX315" s="11"/>
      <c r="AZ315" s="23"/>
    </row>
    <row r="316" spans="1:52" s="10" customFormat="1" x14ac:dyDescent="0.25">
      <c r="A316"/>
      <c r="B316" s="33"/>
      <c r="C316" s="33"/>
      <c r="D316" s="33"/>
      <c r="E316" s="33"/>
      <c r="F316"/>
      <c r="G316"/>
      <c r="H316"/>
      <c r="I316" s="490"/>
      <c r="J316" s="15"/>
      <c r="K316" s="15"/>
      <c r="L316" s="15"/>
      <c r="M316" s="15"/>
      <c r="N316" s="15"/>
      <c r="O316" s="15"/>
      <c r="P316" s="15"/>
      <c r="Q316" s="33"/>
      <c r="R316" s="33"/>
      <c r="S316" s="5"/>
      <c r="T316" s="5"/>
      <c r="U316" s="5"/>
      <c r="V316" s="5"/>
      <c r="W316" s="5"/>
      <c r="X316" s="5"/>
      <c r="Y316" s="5"/>
      <c r="Z316" s="5"/>
      <c r="AA316" s="5"/>
      <c r="AB316" s="5"/>
      <c r="AC316" s="5"/>
      <c r="AD316" s="499"/>
      <c r="AE316" s="5"/>
      <c r="AF316" s="499"/>
      <c r="AG316" s="5"/>
      <c r="AO316" s="500"/>
      <c r="AP316" s="5"/>
      <c r="AQ316" s="5"/>
      <c r="AR316" s="5"/>
      <c r="AS316" s="5"/>
      <c r="AT316" s="5"/>
      <c r="AU316" s="499"/>
      <c r="AX316" s="11"/>
      <c r="AZ316" s="23"/>
    </row>
    <row r="317" spans="1:52" s="10" customFormat="1" x14ac:dyDescent="0.25">
      <c r="A317"/>
      <c r="B317" s="33"/>
      <c r="C317" s="33"/>
      <c r="D317" s="33"/>
      <c r="E317" s="33"/>
      <c r="F317"/>
      <c r="G317"/>
      <c r="H317"/>
      <c r="I317" s="490"/>
      <c r="J317" s="15"/>
      <c r="K317" s="15"/>
      <c r="L317" s="15"/>
      <c r="M317" s="15"/>
      <c r="N317" s="15"/>
      <c r="O317" s="15"/>
      <c r="P317" s="15"/>
      <c r="Q317" s="33"/>
      <c r="R317" s="33"/>
      <c r="S317" s="5"/>
      <c r="T317" s="5"/>
      <c r="U317" s="5"/>
      <c r="V317" s="5"/>
      <c r="W317" s="5"/>
      <c r="X317" s="5"/>
      <c r="Y317" s="5"/>
      <c r="Z317" s="5"/>
      <c r="AA317" s="5"/>
      <c r="AB317" s="5"/>
      <c r="AC317" s="5"/>
      <c r="AD317" s="499"/>
      <c r="AE317" s="5"/>
      <c r="AF317" s="499"/>
      <c r="AG317" s="5"/>
      <c r="AO317" s="500"/>
      <c r="AP317" s="5"/>
      <c r="AQ317" s="5"/>
      <c r="AR317" s="5"/>
      <c r="AS317" s="5"/>
      <c r="AT317" s="5"/>
      <c r="AU317" s="499"/>
      <c r="AX317" s="11"/>
      <c r="AZ317" s="23"/>
    </row>
    <row r="318" spans="1:52" s="10" customFormat="1" x14ac:dyDescent="0.25">
      <c r="A318"/>
      <c r="B318" s="33"/>
      <c r="C318" s="33"/>
      <c r="D318" s="33"/>
      <c r="E318" s="33"/>
      <c r="F318"/>
      <c r="G318"/>
      <c r="H318"/>
      <c r="I318" s="490"/>
      <c r="J318" s="15"/>
      <c r="K318" s="15"/>
      <c r="L318" s="15"/>
      <c r="M318" s="15"/>
      <c r="N318" s="15"/>
      <c r="O318" s="15"/>
      <c r="P318" s="15"/>
      <c r="Q318" s="33"/>
      <c r="R318" s="33"/>
      <c r="S318" s="5"/>
      <c r="T318" s="5"/>
      <c r="U318" s="5"/>
      <c r="V318" s="5"/>
      <c r="W318" s="5"/>
      <c r="X318" s="5"/>
      <c r="Y318" s="5"/>
      <c r="Z318" s="5"/>
      <c r="AA318" s="5"/>
      <c r="AB318" s="5"/>
      <c r="AC318" s="5"/>
      <c r="AD318" s="499"/>
      <c r="AE318" s="5"/>
      <c r="AF318" s="499"/>
      <c r="AG318" s="5"/>
      <c r="AO318" s="500"/>
      <c r="AP318" s="5"/>
      <c r="AQ318" s="5"/>
      <c r="AR318" s="5"/>
      <c r="AS318" s="5"/>
      <c r="AT318" s="5"/>
      <c r="AU318" s="499"/>
      <c r="AX318" s="11"/>
      <c r="AZ318" s="23"/>
    </row>
    <row r="319" spans="1:52" s="10" customFormat="1" x14ac:dyDescent="0.25">
      <c r="A319"/>
      <c r="B319" s="33"/>
      <c r="C319" s="33"/>
      <c r="D319" s="33"/>
      <c r="E319" s="33"/>
      <c r="F319"/>
      <c r="G319"/>
      <c r="H319"/>
      <c r="I319" s="490"/>
      <c r="J319" s="15"/>
      <c r="K319" s="15"/>
      <c r="L319" s="15"/>
      <c r="M319" s="15"/>
      <c r="N319" s="15"/>
      <c r="O319" s="15"/>
      <c r="P319" s="15"/>
      <c r="Q319" s="33"/>
      <c r="R319" s="33"/>
      <c r="S319" s="5"/>
      <c r="T319" s="5"/>
      <c r="U319" s="5"/>
      <c r="V319" s="5"/>
      <c r="W319" s="5"/>
      <c r="X319" s="5"/>
      <c r="Y319" s="5"/>
      <c r="Z319" s="5"/>
      <c r="AA319" s="5"/>
      <c r="AB319" s="5"/>
      <c r="AC319" s="5"/>
      <c r="AD319" s="499"/>
      <c r="AE319" s="5"/>
      <c r="AF319" s="499"/>
      <c r="AG319" s="5"/>
      <c r="AO319" s="500"/>
      <c r="AP319" s="5"/>
      <c r="AQ319" s="5"/>
      <c r="AR319" s="5"/>
      <c r="AS319" s="5"/>
      <c r="AT319" s="5"/>
      <c r="AU319" s="499"/>
      <c r="AX319" s="11"/>
      <c r="AZ319" s="23"/>
    </row>
    <row r="320" spans="1:52" s="10" customFormat="1" x14ac:dyDescent="0.25">
      <c r="A320"/>
      <c r="B320" s="33"/>
      <c r="C320" s="33"/>
      <c r="D320" s="33"/>
      <c r="E320" s="33"/>
      <c r="F320"/>
      <c r="G320"/>
      <c r="H320"/>
      <c r="I320" s="490"/>
      <c r="J320" s="15"/>
      <c r="K320" s="15"/>
      <c r="L320" s="15"/>
      <c r="M320" s="15"/>
      <c r="N320" s="15"/>
      <c r="O320" s="15"/>
      <c r="P320" s="15"/>
      <c r="Q320" s="33"/>
      <c r="R320" s="33"/>
      <c r="S320" s="5"/>
      <c r="T320" s="5"/>
      <c r="U320" s="5"/>
      <c r="V320" s="5"/>
      <c r="W320" s="5"/>
      <c r="X320" s="5"/>
      <c r="Y320" s="5"/>
      <c r="Z320" s="5"/>
      <c r="AA320" s="5"/>
      <c r="AB320" s="5"/>
      <c r="AC320" s="5"/>
      <c r="AD320" s="499"/>
      <c r="AE320" s="5"/>
      <c r="AF320" s="499"/>
      <c r="AG320" s="5"/>
      <c r="AO320" s="500"/>
      <c r="AP320" s="5"/>
      <c r="AQ320" s="5"/>
      <c r="AR320" s="5"/>
      <c r="AS320" s="5"/>
      <c r="AT320" s="5"/>
      <c r="AU320" s="499"/>
      <c r="AX320" s="11"/>
    </row>
    <row r="321" spans="1:50" s="10" customFormat="1" x14ac:dyDescent="0.25">
      <c r="A321"/>
      <c r="B321" s="33"/>
      <c r="C321" s="33"/>
      <c r="D321" s="33"/>
      <c r="E321" s="33"/>
      <c r="F321"/>
      <c r="G321"/>
      <c r="H321"/>
      <c r="I321" s="490"/>
      <c r="J321" s="15"/>
      <c r="K321" s="15"/>
      <c r="L321" s="15"/>
      <c r="M321" s="15"/>
      <c r="N321" s="15"/>
      <c r="O321" s="15"/>
      <c r="P321" s="15"/>
      <c r="Q321" s="33"/>
      <c r="R321" s="33"/>
      <c r="S321" s="5"/>
      <c r="T321" s="5"/>
      <c r="U321" s="5"/>
      <c r="V321" s="5"/>
      <c r="W321" s="5"/>
      <c r="X321" s="5"/>
      <c r="Y321" s="5"/>
      <c r="Z321" s="5"/>
      <c r="AA321" s="5"/>
      <c r="AB321" s="5"/>
      <c r="AC321" s="5"/>
      <c r="AD321" s="499"/>
      <c r="AE321" s="5"/>
      <c r="AF321" s="499"/>
      <c r="AG321" s="5"/>
      <c r="AO321" s="500"/>
      <c r="AP321" s="5"/>
      <c r="AQ321" s="5"/>
      <c r="AR321" s="5"/>
      <c r="AS321" s="5"/>
      <c r="AT321" s="5"/>
      <c r="AU321" s="499"/>
      <c r="AX321" s="11"/>
    </row>
    <row r="322" spans="1:50" s="10" customFormat="1" x14ac:dyDescent="0.25">
      <c r="A322"/>
      <c r="B322" s="33"/>
      <c r="C322" s="33"/>
      <c r="D322" s="33"/>
      <c r="E322" s="33"/>
      <c r="F322"/>
      <c r="G322"/>
      <c r="H322"/>
      <c r="I322" s="490"/>
      <c r="J322" s="15"/>
      <c r="K322" s="15"/>
      <c r="L322" s="15"/>
      <c r="M322" s="15"/>
      <c r="N322" s="15"/>
      <c r="O322" s="15"/>
      <c r="P322" s="15"/>
      <c r="Q322" s="33"/>
      <c r="R322" s="33"/>
      <c r="S322" s="5"/>
      <c r="T322" s="5"/>
      <c r="U322" s="5"/>
      <c r="V322" s="5"/>
      <c r="W322" s="5"/>
      <c r="X322" s="5"/>
      <c r="Y322" s="5"/>
      <c r="Z322" s="5"/>
      <c r="AA322" s="5"/>
      <c r="AB322" s="5"/>
      <c r="AC322" s="5"/>
      <c r="AD322" s="499"/>
      <c r="AE322" s="5"/>
      <c r="AF322" s="499"/>
      <c r="AG322" s="5"/>
      <c r="AO322" s="500"/>
      <c r="AP322" s="5"/>
      <c r="AQ322" s="5"/>
      <c r="AR322" s="5"/>
      <c r="AS322" s="5"/>
      <c r="AT322" s="5"/>
      <c r="AU322" s="499"/>
      <c r="AX322" s="11"/>
    </row>
    <row r="323" spans="1:50" s="10" customFormat="1" x14ac:dyDescent="0.25">
      <c r="A323"/>
      <c r="B323" s="33"/>
      <c r="C323" s="33"/>
      <c r="D323" s="33"/>
      <c r="E323" s="33"/>
      <c r="F323"/>
      <c r="G323"/>
      <c r="H323"/>
      <c r="I323" s="490"/>
      <c r="J323" s="15"/>
      <c r="K323" s="15"/>
      <c r="L323" s="15"/>
      <c r="M323" s="15"/>
      <c r="N323" s="15"/>
      <c r="O323" s="15"/>
      <c r="P323" s="15"/>
      <c r="Q323" s="33"/>
      <c r="R323" s="33"/>
      <c r="S323" s="5"/>
      <c r="T323" s="5"/>
      <c r="U323" s="5"/>
      <c r="V323" s="5"/>
      <c r="W323" s="5"/>
      <c r="X323" s="5"/>
      <c r="Y323" s="5"/>
      <c r="Z323" s="5"/>
      <c r="AA323" s="5"/>
      <c r="AB323" s="5"/>
      <c r="AC323" s="5"/>
      <c r="AD323" s="499"/>
      <c r="AE323" s="5"/>
      <c r="AF323" s="499"/>
      <c r="AG323" s="5"/>
      <c r="AO323" s="500"/>
      <c r="AP323" s="5"/>
      <c r="AQ323" s="5"/>
      <c r="AR323" s="5"/>
      <c r="AS323" s="5"/>
      <c r="AT323" s="5"/>
      <c r="AU323" s="499"/>
      <c r="AX323" s="11"/>
    </row>
    <row r="324" spans="1:50" s="10" customFormat="1" x14ac:dyDescent="0.25">
      <c r="A324"/>
      <c r="B324" s="33"/>
      <c r="C324" s="33"/>
      <c r="D324" s="33"/>
      <c r="E324" s="33"/>
      <c r="F324"/>
      <c r="G324"/>
      <c r="H324"/>
      <c r="I324" s="490"/>
      <c r="J324" s="15"/>
      <c r="K324" s="15"/>
      <c r="L324" s="15"/>
      <c r="M324" s="15"/>
      <c r="N324" s="15"/>
      <c r="O324" s="15"/>
      <c r="P324" s="15"/>
      <c r="Q324" s="33"/>
      <c r="R324" s="33"/>
      <c r="S324" s="5"/>
      <c r="T324" s="5"/>
      <c r="U324" s="5"/>
      <c r="V324" s="5"/>
      <c r="W324" s="5"/>
      <c r="X324" s="5"/>
      <c r="Y324" s="5"/>
      <c r="Z324" s="5"/>
      <c r="AA324" s="5"/>
      <c r="AB324" s="5"/>
      <c r="AC324" s="5"/>
      <c r="AD324" s="499"/>
      <c r="AE324" s="5"/>
      <c r="AF324" s="499"/>
      <c r="AG324" s="5"/>
      <c r="AO324" s="500"/>
      <c r="AP324" s="5"/>
      <c r="AQ324" s="5"/>
      <c r="AR324" s="5"/>
      <c r="AS324" s="5"/>
      <c r="AT324" s="5"/>
      <c r="AU324" s="499"/>
      <c r="AX324" s="11"/>
    </row>
    <row r="325" spans="1:50" s="10" customFormat="1" x14ac:dyDescent="0.25">
      <c r="A325"/>
      <c r="B325" s="33"/>
      <c r="C325" s="33"/>
      <c r="D325" s="33"/>
      <c r="E325" s="33"/>
      <c r="F325"/>
      <c r="G325"/>
      <c r="H325"/>
      <c r="I325" s="490"/>
      <c r="J325" s="15"/>
      <c r="K325" s="15"/>
      <c r="L325" s="15"/>
      <c r="M325" s="15"/>
      <c r="N325" s="15"/>
      <c r="O325" s="15"/>
      <c r="P325" s="15"/>
      <c r="Q325" s="33"/>
      <c r="R325" s="33"/>
      <c r="S325" s="5"/>
      <c r="T325" s="5"/>
      <c r="U325" s="5"/>
      <c r="V325" s="5"/>
      <c r="W325" s="5"/>
      <c r="X325" s="5"/>
      <c r="Y325" s="5"/>
      <c r="Z325" s="5"/>
      <c r="AA325" s="5"/>
      <c r="AB325" s="5"/>
      <c r="AC325" s="5"/>
      <c r="AD325" s="499"/>
      <c r="AE325" s="5"/>
      <c r="AF325" s="499"/>
      <c r="AG325" s="5"/>
      <c r="AO325" s="500"/>
      <c r="AP325" s="5"/>
      <c r="AQ325" s="5"/>
      <c r="AR325" s="5"/>
      <c r="AS325" s="5"/>
      <c r="AT325" s="5"/>
      <c r="AU325" s="499"/>
      <c r="AX325" s="11"/>
    </row>
    <row r="326" spans="1:50" s="10" customFormat="1" x14ac:dyDescent="0.25">
      <c r="A326"/>
      <c r="B326" s="33"/>
      <c r="C326" s="33"/>
      <c r="D326" s="33"/>
      <c r="E326" s="33"/>
      <c r="F326"/>
      <c r="G326"/>
      <c r="H326"/>
      <c r="I326" s="490"/>
      <c r="J326" s="15"/>
      <c r="K326" s="15"/>
      <c r="L326" s="15"/>
      <c r="M326" s="15"/>
      <c r="N326" s="15"/>
      <c r="O326" s="15"/>
      <c r="P326" s="15"/>
      <c r="Q326" s="33"/>
      <c r="R326" s="33"/>
      <c r="S326" s="5"/>
      <c r="T326" s="5"/>
      <c r="U326" s="5"/>
      <c r="V326" s="5"/>
      <c r="W326" s="5"/>
      <c r="X326" s="5"/>
      <c r="Y326" s="5"/>
      <c r="Z326" s="5"/>
      <c r="AA326" s="5"/>
      <c r="AB326" s="5"/>
      <c r="AC326" s="5"/>
      <c r="AD326" s="499"/>
      <c r="AE326" s="5"/>
      <c r="AF326" s="499"/>
      <c r="AG326" s="5"/>
      <c r="AO326" s="500"/>
      <c r="AP326" s="5"/>
      <c r="AQ326" s="5"/>
      <c r="AR326" s="5"/>
      <c r="AS326" s="5"/>
      <c r="AT326" s="5"/>
      <c r="AU326" s="499"/>
      <c r="AX326" s="11"/>
    </row>
    <row r="327" spans="1:50" s="10" customFormat="1" x14ac:dyDescent="0.25">
      <c r="A327"/>
      <c r="B327" s="33"/>
      <c r="C327" s="33"/>
      <c r="D327" s="33"/>
      <c r="E327" s="33"/>
      <c r="F327"/>
      <c r="G327"/>
      <c r="H327"/>
      <c r="I327" s="490"/>
      <c r="J327" s="15"/>
      <c r="K327" s="15"/>
      <c r="L327" s="15"/>
      <c r="M327" s="15"/>
      <c r="N327" s="15"/>
      <c r="O327" s="15"/>
      <c r="P327" s="15"/>
      <c r="Q327" s="33"/>
      <c r="R327" s="33"/>
      <c r="S327" s="5"/>
      <c r="T327" s="5"/>
      <c r="U327" s="5"/>
      <c r="V327" s="5"/>
      <c r="W327" s="5"/>
      <c r="X327" s="5"/>
      <c r="Y327" s="5"/>
      <c r="Z327" s="5"/>
      <c r="AA327" s="5"/>
      <c r="AB327" s="5"/>
      <c r="AC327" s="5"/>
      <c r="AD327" s="499"/>
      <c r="AE327" s="5"/>
      <c r="AF327" s="499"/>
      <c r="AG327" s="5"/>
      <c r="AO327" s="500"/>
      <c r="AP327" s="5"/>
      <c r="AQ327" s="5"/>
      <c r="AR327" s="5"/>
      <c r="AS327" s="5"/>
      <c r="AT327" s="5"/>
      <c r="AU327" s="499"/>
      <c r="AX327" s="11"/>
    </row>
    <row r="328" spans="1:50" s="10" customFormat="1" x14ac:dyDescent="0.25">
      <c r="A328"/>
      <c r="B328" s="33"/>
      <c r="C328" s="33"/>
      <c r="D328" s="33"/>
      <c r="E328" s="33"/>
      <c r="F328"/>
      <c r="G328"/>
      <c r="H328"/>
      <c r="I328" s="490"/>
      <c r="J328" s="15"/>
      <c r="K328" s="15"/>
      <c r="L328" s="15"/>
      <c r="M328" s="15"/>
      <c r="N328" s="15"/>
      <c r="O328" s="15"/>
      <c r="P328" s="15"/>
      <c r="Q328" s="33"/>
      <c r="R328" s="33"/>
      <c r="S328" s="5"/>
      <c r="T328" s="5"/>
      <c r="U328" s="5"/>
      <c r="V328" s="5"/>
      <c r="W328" s="5"/>
      <c r="X328" s="5"/>
      <c r="Y328" s="5"/>
      <c r="Z328" s="5"/>
      <c r="AA328" s="5"/>
      <c r="AB328" s="5"/>
      <c r="AC328" s="5"/>
      <c r="AD328" s="499"/>
      <c r="AE328" s="5"/>
      <c r="AF328" s="499"/>
      <c r="AG328" s="5"/>
      <c r="AO328" s="500"/>
      <c r="AP328" s="5"/>
      <c r="AQ328" s="5"/>
      <c r="AR328" s="5"/>
      <c r="AS328" s="5"/>
      <c r="AT328" s="5"/>
      <c r="AU328" s="499"/>
      <c r="AX328" s="11"/>
    </row>
    <row r="329" spans="1:50" s="10" customFormat="1" x14ac:dyDescent="0.25">
      <c r="A329"/>
      <c r="B329" s="33"/>
      <c r="C329" s="33"/>
      <c r="D329" s="33"/>
      <c r="E329" s="33"/>
      <c r="F329"/>
      <c r="G329"/>
      <c r="H329"/>
      <c r="I329" s="490"/>
      <c r="J329" s="15"/>
      <c r="K329" s="15"/>
      <c r="L329" s="15"/>
      <c r="M329" s="15"/>
      <c r="N329" s="15"/>
      <c r="O329" s="15"/>
      <c r="P329" s="15"/>
      <c r="Q329" s="33"/>
      <c r="R329" s="33"/>
      <c r="S329" s="5"/>
      <c r="T329" s="5"/>
      <c r="U329" s="5"/>
      <c r="V329" s="5"/>
      <c r="W329" s="5"/>
      <c r="X329" s="5"/>
      <c r="Y329" s="5"/>
      <c r="Z329" s="5"/>
      <c r="AA329" s="5"/>
      <c r="AB329" s="5"/>
      <c r="AC329" s="5"/>
      <c r="AD329" s="499"/>
      <c r="AE329" s="5"/>
      <c r="AF329" s="499"/>
      <c r="AG329" s="5"/>
      <c r="AO329" s="500"/>
      <c r="AP329" s="5"/>
      <c r="AQ329" s="5"/>
      <c r="AR329" s="5"/>
      <c r="AS329" s="5"/>
      <c r="AT329" s="5"/>
      <c r="AU329" s="499"/>
      <c r="AX329" s="11"/>
    </row>
    <row r="330" spans="1:50" s="10" customFormat="1" x14ac:dyDescent="0.25">
      <c r="A330"/>
      <c r="B330" s="33"/>
      <c r="C330" s="33"/>
      <c r="D330" s="33"/>
      <c r="E330" s="33"/>
      <c r="F330"/>
      <c r="G330"/>
      <c r="H330"/>
      <c r="I330" s="490"/>
      <c r="J330" s="15"/>
      <c r="K330" s="15"/>
      <c r="L330" s="15"/>
      <c r="M330" s="15"/>
      <c r="N330" s="15"/>
      <c r="O330" s="15"/>
      <c r="P330" s="15"/>
      <c r="Q330" s="33"/>
      <c r="R330" s="33"/>
      <c r="S330" s="5"/>
      <c r="T330" s="5"/>
      <c r="U330" s="5"/>
      <c r="V330" s="5"/>
      <c r="W330" s="5"/>
      <c r="X330" s="5"/>
      <c r="Y330" s="5"/>
      <c r="Z330" s="5"/>
      <c r="AA330" s="5"/>
      <c r="AB330" s="5"/>
      <c r="AC330" s="5"/>
      <c r="AD330" s="499"/>
      <c r="AE330" s="5"/>
      <c r="AF330" s="499"/>
      <c r="AG330" s="5"/>
      <c r="AO330" s="500"/>
      <c r="AP330" s="5"/>
      <c r="AQ330" s="5"/>
      <c r="AR330" s="5"/>
      <c r="AS330" s="5"/>
      <c r="AT330" s="5"/>
      <c r="AU330" s="499"/>
      <c r="AX330" s="11"/>
    </row>
    <row r="331" spans="1:50" s="10" customFormat="1" x14ac:dyDescent="0.25">
      <c r="A331"/>
      <c r="B331" s="33"/>
      <c r="C331" s="33"/>
      <c r="D331" s="33"/>
      <c r="E331" s="33"/>
      <c r="F331"/>
      <c r="G331"/>
      <c r="H331"/>
      <c r="I331" s="490"/>
      <c r="J331" s="15"/>
      <c r="K331" s="15"/>
      <c r="L331" s="15"/>
      <c r="M331" s="15"/>
      <c r="N331" s="15"/>
      <c r="O331" s="15"/>
      <c r="P331" s="15"/>
      <c r="Q331" s="33"/>
      <c r="R331" s="33"/>
      <c r="S331" s="5"/>
      <c r="T331" s="5"/>
      <c r="U331" s="5"/>
      <c r="V331" s="5"/>
      <c r="W331" s="5"/>
      <c r="X331" s="5"/>
      <c r="Y331" s="5"/>
      <c r="Z331" s="5"/>
      <c r="AA331" s="5"/>
      <c r="AB331" s="5"/>
      <c r="AC331" s="5"/>
      <c r="AD331" s="499"/>
      <c r="AE331" s="5"/>
      <c r="AF331" s="499"/>
      <c r="AG331" s="5"/>
      <c r="AO331" s="500"/>
      <c r="AP331" s="5"/>
      <c r="AQ331" s="5"/>
      <c r="AR331" s="5"/>
      <c r="AS331" s="5"/>
      <c r="AT331" s="5"/>
      <c r="AU331" s="499"/>
      <c r="AX331" s="11"/>
    </row>
    <row r="332" spans="1:50" s="10" customFormat="1" x14ac:dyDescent="0.25">
      <c r="A332"/>
      <c r="B332" s="33"/>
      <c r="C332" s="33"/>
      <c r="D332" s="33"/>
      <c r="E332" s="33"/>
      <c r="F332"/>
      <c r="G332"/>
      <c r="H332"/>
      <c r="I332" s="490"/>
      <c r="J332" s="15"/>
      <c r="K332" s="15"/>
      <c r="L332" s="15"/>
      <c r="M332" s="15"/>
      <c r="N332" s="15"/>
      <c r="O332" s="15"/>
      <c r="P332" s="15"/>
      <c r="Q332" s="33"/>
      <c r="R332" s="33"/>
      <c r="S332" s="5"/>
      <c r="T332" s="5"/>
      <c r="U332" s="5"/>
      <c r="V332" s="5"/>
      <c r="W332" s="5"/>
      <c r="X332" s="5"/>
      <c r="Y332" s="5"/>
      <c r="Z332" s="5"/>
      <c r="AA332" s="5"/>
      <c r="AB332" s="5"/>
      <c r="AC332" s="5"/>
      <c r="AD332" s="499"/>
      <c r="AE332" s="5"/>
      <c r="AF332" s="499"/>
      <c r="AG332" s="5"/>
      <c r="AO332" s="500"/>
      <c r="AP332" s="5"/>
      <c r="AQ332" s="5"/>
      <c r="AR332" s="5"/>
      <c r="AS332" s="5"/>
      <c r="AT332" s="5"/>
      <c r="AU332" s="499"/>
      <c r="AX332" s="11"/>
    </row>
    <row r="333" spans="1:50" s="10" customFormat="1" x14ac:dyDescent="0.25">
      <c r="A333"/>
      <c r="B333" s="33"/>
      <c r="C333" s="33"/>
      <c r="D333" s="33"/>
      <c r="E333" s="33"/>
      <c r="F333"/>
      <c r="G333"/>
      <c r="H333"/>
      <c r="I333" s="490"/>
      <c r="J333" s="15"/>
      <c r="K333" s="15"/>
      <c r="L333" s="15"/>
      <c r="M333" s="15"/>
      <c r="N333" s="15"/>
      <c r="O333" s="15"/>
      <c r="P333" s="15"/>
      <c r="Q333" s="33"/>
      <c r="R333" s="33"/>
      <c r="S333" s="5"/>
      <c r="T333" s="5"/>
      <c r="U333" s="5"/>
      <c r="V333" s="5"/>
      <c r="W333" s="5"/>
      <c r="X333" s="5"/>
      <c r="Y333" s="5"/>
      <c r="Z333" s="5"/>
      <c r="AA333" s="5"/>
      <c r="AB333" s="5"/>
      <c r="AC333" s="5"/>
      <c r="AD333" s="499"/>
      <c r="AE333" s="5"/>
      <c r="AF333" s="499"/>
      <c r="AG333" s="5"/>
      <c r="AO333" s="500"/>
      <c r="AP333" s="5"/>
      <c r="AQ333" s="5"/>
      <c r="AR333" s="5"/>
      <c r="AS333" s="5"/>
      <c r="AT333" s="5"/>
      <c r="AU333" s="499"/>
      <c r="AX333" s="11"/>
    </row>
    <row r="334" spans="1:50" s="10" customFormat="1" x14ac:dyDescent="0.25">
      <c r="A334"/>
      <c r="B334" s="33"/>
      <c r="C334" s="33"/>
      <c r="D334" s="33"/>
      <c r="E334" s="33"/>
      <c r="F334"/>
      <c r="G334"/>
      <c r="H334"/>
      <c r="I334" s="490"/>
      <c r="J334" s="15"/>
      <c r="K334" s="15"/>
      <c r="L334" s="15"/>
      <c r="M334" s="15"/>
      <c r="N334" s="15"/>
      <c r="O334" s="15"/>
      <c r="P334" s="15"/>
      <c r="Q334" s="33"/>
      <c r="R334" s="33"/>
      <c r="S334" s="5"/>
      <c r="T334" s="5"/>
      <c r="U334" s="5"/>
      <c r="V334" s="5"/>
      <c r="W334" s="5"/>
      <c r="X334" s="5"/>
      <c r="Y334" s="5"/>
      <c r="Z334" s="5"/>
      <c r="AA334" s="5"/>
      <c r="AB334" s="5"/>
      <c r="AC334" s="5"/>
      <c r="AD334" s="499"/>
      <c r="AE334" s="5"/>
      <c r="AF334" s="499"/>
      <c r="AG334" s="5"/>
      <c r="AO334" s="500"/>
      <c r="AP334" s="5"/>
      <c r="AQ334" s="5"/>
      <c r="AR334" s="5"/>
      <c r="AS334" s="5"/>
      <c r="AT334" s="5"/>
      <c r="AU334" s="499"/>
      <c r="AX334" s="11"/>
    </row>
    <row r="335" spans="1:50" s="10" customFormat="1" x14ac:dyDescent="0.25">
      <c r="A335"/>
      <c r="B335" s="33"/>
      <c r="C335" s="33"/>
      <c r="D335" s="33"/>
      <c r="E335" s="33"/>
      <c r="F335"/>
      <c r="G335"/>
      <c r="H335"/>
      <c r="I335" s="490"/>
      <c r="J335" s="15"/>
      <c r="K335" s="15"/>
      <c r="L335" s="15"/>
      <c r="M335" s="15"/>
      <c r="N335" s="15"/>
      <c r="O335" s="15"/>
      <c r="P335" s="15"/>
      <c r="Q335" s="33"/>
      <c r="R335" s="33"/>
      <c r="S335" s="5"/>
      <c r="T335" s="5"/>
      <c r="U335" s="5"/>
      <c r="V335" s="5"/>
      <c r="W335" s="5"/>
      <c r="X335" s="5"/>
      <c r="Y335" s="5"/>
      <c r="Z335" s="5"/>
      <c r="AA335" s="5"/>
      <c r="AB335" s="5"/>
      <c r="AC335" s="5"/>
      <c r="AD335" s="499"/>
      <c r="AE335" s="5"/>
      <c r="AF335" s="499"/>
      <c r="AG335" s="5"/>
      <c r="AO335" s="500"/>
      <c r="AP335" s="5"/>
      <c r="AQ335" s="5"/>
      <c r="AR335" s="5"/>
      <c r="AS335" s="5"/>
      <c r="AT335" s="5"/>
      <c r="AU335" s="499"/>
      <c r="AX335" s="11"/>
    </row>
    <row r="336" spans="1:50" s="10" customFormat="1" x14ac:dyDescent="0.25">
      <c r="A336"/>
      <c r="B336" s="33"/>
      <c r="C336" s="33"/>
      <c r="D336" s="33"/>
      <c r="E336" s="33"/>
      <c r="F336"/>
      <c r="G336"/>
      <c r="H336"/>
      <c r="I336" s="490"/>
      <c r="J336" s="15"/>
      <c r="K336" s="15"/>
      <c r="L336" s="15"/>
      <c r="M336" s="15"/>
      <c r="N336" s="15"/>
      <c r="O336" s="15"/>
      <c r="P336" s="15"/>
      <c r="Q336" s="33"/>
      <c r="R336" s="33"/>
      <c r="S336" s="5"/>
      <c r="T336" s="5"/>
      <c r="U336" s="5"/>
      <c r="V336" s="5"/>
      <c r="W336" s="5"/>
      <c r="X336" s="5"/>
      <c r="Y336" s="5"/>
      <c r="Z336" s="5"/>
      <c r="AA336" s="5"/>
      <c r="AB336" s="5"/>
      <c r="AC336" s="5"/>
      <c r="AD336" s="499"/>
      <c r="AE336" s="5"/>
      <c r="AF336" s="499"/>
      <c r="AG336" s="5"/>
      <c r="AO336" s="500"/>
      <c r="AP336" s="5"/>
      <c r="AQ336" s="5"/>
      <c r="AR336" s="5"/>
      <c r="AS336" s="5"/>
      <c r="AT336" s="5"/>
      <c r="AU336" s="499"/>
      <c r="AX336" s="11"/>
    </row>
    <row r="337" spans="1:50" s="10" customFormat="1" x14ac:dyDescent="0.25">
      <c r="A337"/>
      <c r="B337" s="33"/>
      <c r="C337" s="33"/>
      <c r="D337" s="33"/>
      <c r="E337" s="33"/>
      <c r="F337"/>
      <c r="G337"/>
      <c r="H337"/>
      <c r="I337" s="490"/>
      <c r="J337" s="15"/>
      <c r="K337" s="15"/>
      <c r="L337" s="15"/>
      <c r="M337" s="15"/>
      <c r="N337" s="15"/>
      <c r="O337" s="15"/>
      <c r="P337" s="15"/>
      <c r="Q337" s="33"/>
      <c r="R337" s="33"/>
      <c r="S337" s="5"/>
      <c r="T337" s="5"/>
      <c r="U337" s="5"/>
      <c r="V337" s="5"/>
      <c r="W337" s="5"/>
      <c r="X337" s="5"/>
      <c r="Y337" s="5"/>
      <c r="Z337" s="5"/>
      <c r="AA337" s="5"/>
      <c r="AB337" s="5"/>
      <c r="AC337" s="5"/>
      <c r="AD337" s="499"/>
      <c r="AE337" s="5"/>
      <c r="AF337" s="499"/>
      <c r="AG337" s="5"/>
      <c r="AO337" s="500"/>
      <c r="AP337" s="5"/>
      <c r="AQ337" s="5"/>
      <c r="AR337" s="5"/>
      <c r="AS337" s="5"/>
      <c r="AT337" s="5"/>
      <c r="AU337" s="499"/>
      <c r="AX337" s="11"/>
    </row>
    <row r="338" spans="1:50" s="10" customFormat="1" x14ac:dyDescent="0.25">
      <c r="A338"/>
      <c r="B338" s="33"/>
      <c r="C338" s="33"/>
      <c r="D338" s="33"/>
      <c r="E338" s="33"/>
      <c r="F338"/>
      <c r="G338"/>
      <c r="H338"/>
      <c r="I338" s="490"/>
      <c r="J338" s="15"/>
      <c r="K338" s="15"/>
      <c r="L338" s="15"/>
      <c r="M338" s="15"/>
      <c r="N338" s="15"/>
      <c r="O338" s="15"/>
      <c r="P338" s="15"/>
      <c r="Q338" s="33"/>
      <c r="R338" s="33"/>
      <c r="S338" s="5"/>
      <c r="T338" s="5"/>
      <c r="U338" s="5"/>
      <c r="V338" s="5"/>
      <c r="W338" s="5"/>
      <c r="X338" s="5"/>
      <c r="Y338" s="5"/>
      <c r="Z338" s="5"/>
      <c r="AA338" s="5"/>
      <c r="AB338" s="5"/>
      <c r="AC338" s="5"/>
      <c r="AD338" s="499"/>
      <c r="AE338" s="5"/>
      <c r="AF338" s="499"/>
      <c r="AG338" s="5"/>
      <c r="AO338" s="500"/>
      <c r="AP338" s="5"/>
      <c r="AQ338" s="5"/>
      <c r="AR338" s="5"/>
      <c r="AS338" s="5"/>
      <c r="AT338" s="5"/>
      <c r="AU338" s="499"/>
      <c r="AX338" s="11"/>
    </row>
    <row r="339" spans="1:50" s="10" customFormat="1" x14ac:dyDescent="0.25">
      <c r="A339"/>
      <c r="B339" s="33"/>
      <c r="C339" s="33"/>
      <c r="D339" s="33"/>
      <c r="E339" s="33"/>
      <c r="F339"/>
      <c r="G339"/>
      <c r="H339"/>
      <c r="I339" s="490"/>
      <c r="J339" s="15"/>
      <c r="K339" s="15"/>
      <c r="L339" s="15"/>
      <c r="M339" s="15"/>
      <c r="N339" s="15"/>
      <c r="O339" s="15"/>
      <c r="P339" s="15"/>
      <c r="Q339" s="33"/>
      <c r="R339" s="33"/>
      <c r="S339" s="5"/>
      <c r="T339" s="5"/>
      <c r="U339" s="5"/>
      <c r="V339" s="5"/>
      <c r="W339" s="5"/>
      <c r="X339" s="5"/>
      <c r="Y339" s="5"/>
      <c r="Z339" s="5"/>
      <c r="AA339" s="5"/>
      <c r="AB339" s="5"/>
      <c r="AC339" s="5"/>
      <c r="AD339" s="499"/>
      <c r="AE339" s="5"/>
      <c r="AF339" s="499"/>
      <c r="AG339" s="5"/>
      <c r="AO339" s="500"/>
      <c r="AP339" s="5"/>
      <c r="AQ339" s="5"/>
      <c r="AR339" s="5"/>
      <c r="AS339" s="5"/>
      <c r="AT339" s="5"/>
      <c r="AU339" s="499"/>
      <c r="AX339" s="11"/>
    </row>
    <row r="340" spans="1:50" s="10" customFormat="1" x14ac:dyDescent="0.25">
      <c r="A340"/>
      <c r="B340" s="33"/>
      <c r="C340" s="33"/>
      <c r="D340" s="33"/>
      <c r="E340" s="33"/>
      <c r="F340"/>
      <c r="G340"/>
      <c r="H340"/>
      <c r="I340" s="490"/>
      <c r="J340" s="15"/>
      <c r="K340" s="15"/>
      <c r="L340" s="15"/>
      <c r="M340" s="15"/>
      <c r="N340" s="15"/>
      <c r="O340" s="15"/>
      <c r="P340" s="15"/>
      <c r="Q340" s="33"/>
      <c r="R340" s="33"/>
      <c r="S340" s="5"/>
      <c r="T340" s="5"/>
      <c r="U340" s="5"/>
      <c r="V340" s="5"/>
      <c r="W340" s="5"/>
      <c r="X340" s="5"/>
      <c r="Y340" s="5"/>
      <c r="Z340" s="5"/>
      <c r="AA340" s="5"/>
      <c r="AB340" s="5"/>
      <c r="AC340" s="5"/>
      <c r="AD340" s="499"/>
      <c r="AE340" s="5"/>
      <c r="AF340" s="499"/>
      <c r="AG340" s="5"/>
      <c r="AO340" s="500"/>
      <c r="AP340" s="5"/>
      <c r="AQ340" s="5"/>
      <c r="AR340" s="5"/>
      <c r="AS340" s="5"/>
      <c r="AT340" s="5"/>
      <c r="AU340" s="499"/>
      <c r="AX340" s="11"/>
    </row>
    <row r="341" spans="1:50" s="10" customFormat="1" x14ac:dyDescent="0.25">
      <c r="A341"/>
      <c r="B341" s="33"/>
      <c r="C341" s="33"/>
      <c r="D341" s="33"/>
      <c r="E341" s="33"/>
      <c r="F341"/>
      <c r="G341"/>
      <c r="H341"/>
      <c r="I341" s="490"/>
      <c r="J341" s="15"/>
      <c r="K341" s="15"/>
      <c r="L341" s="15"/>
      <c r="M341" s="15"/>
      <c r="N341" s="15"/>
      <c r="O341" s="15"/>
      <c r="P341" s="15"/>
      <c r="Q341" s="33"/>
      <c r="R341" s="33"/>
      <c r="S341" s="5"/>
      <c r="T341" s="5"/>
      <c r="U341" s="5"/>
      <c r="V341" s="5"/>
      <c r="W341" s="5"/>
      <c r="X341" s="5"/>
      <c r="Y341" s="5"/>
      <c r="Z341" s="5"/>
      <c r="AA341" s="5"/>
      <c r="AB341" s="5"/>
      <c r="AC341" s="5"/>
      <c r="AD341" s="499"/>
      <c r="AE341" s="5"/>
      <c r="AF341" s="499"/>
      <c r="AG341" s="5"/>
      <c r="AO341" s="500"/>
      <c r="AP341" s="5"/>
      <c r="AQ341" s="5"/>
      <c r="AR341" s="5"/>
      <c r="AS341" s="5"/>
      <c r="AT341" s="5"/>
      <c r="AU341" s="499"/>
      <c r="AX341" s="11"/>
    </row>
    <row r="342" spans="1:50" s="10" customFormat="1" x14ac:dyDescent="0.25">
      <c r="A342"/>
      <c r="B342" s="33"/>
      <c r="C342" s="33"/>
      <c r="D342" s="33"/>
      <c r="E342" s="33"/>
      <c r="F342"/>
      <c r="G342"/>
      <c r="H342"/>
      <c r="I342" s="490"/>
      <c r="J342" s="15"/>
      <c r="K342" s="15"/>
      <c r="L342" s="15"/>
      <c r="M342" s="15"/>
      <c r="N342" s="15"/>
      <c r="O342" s="15"/>
      <c r="P342" s="15"/>
      <c r="Q342" s="33"/>
      <c r="R342" s="33"/>
      <c r="S342" s="5"/>
      <c r="T342" s="5"/>
      <c r="U342" s="5"/>
      <c r="V342" s="5"/>
      <c r="W342" s="5"/>
      <c r="X342" s="5"/>
      <c r="Y342" s="5"/>
      <c r="Z342" s="5"/>
      <c r="AA342" s="5"/>
      <c r="AB342" s="5"/>
      <c r="AC342" s="5"/>
      <c r="AD342" s="499"/>
      <c r="AE342" s="5"/>
      <c r="AF342" s="499"/>
      <c r="AG342" s="5"/>
      <c r="AO342" s="500"/>
      <c r="AP342" s="5"/>
      <c r="AQ342" s="5"/>
      <c r="AR342" s="5"/>
      <c r="AS342" s="5"/>
      <c r="AT342" s="5"/>
      <c r="AU342" s="499"/>
      <c r="AX342" s="11"/>
    </row>
    <row r="343" spans="1:50" s="10" customFormat="1" x14ac:dyDescent="0.25">
      <c r="A343"/>
      <c r="B343" s="33"/>
      <c r="C343" s="33"/>
      <c r="D343" s="33"/>
      <c r="E343" s="33"/>
      <c r="F343"/>
      <c r="G343"/>
      <c r="H343"/>
      <c r="I343" s="490"/>
      <c r="J343" s="15"/>
      <c r="K343" s="15"/>
      <c r="L343" s="15"/>
      <c r="M343" s="15"/>
      <c r="N343" s="15"/>
      <c r="O343" s="15"/>
      <c r="P343" s="15"/>
      <c r="Q343" s="33"/>
      <c r="R343" s="33"/>
      <c r="S343" s="5"/>
      <c r="T343" s="5"/>
      <c r="U343" s="5"/>
      <c r="V343" s="5"/>
      <c r="W343" s="5"/>
      <c r="X343" s="5"/>
      <c r="Y343" s="5"/>
      <c r="Z343" s="5"/>
      <c r="AA343" s="5"/>
      <c r="AB343" s="5"/>
      <c r="AC343" s="5"/>
      <c r="AD343" s="499"/>
      <c r="AE343" s="5"/>
      <c r="AF343" s="499"/>
      <c r="AG343" s="5"/>
      <c r="AO343" s="500"/>
      <c r="AP343" s="5"/>
      <c r="AQ343" s="5"/>
      <c r="AR343" s="5"/>
      <c r="AS343" s="5"/>
      <c r="AT343" s="5"/>
      <c r="AU343" s="499"/>
      <c r="AX343" s="11"/>
    </row>
    <row r="344" spans="1:50" s="10" customFormat="1" x14ac:dyDescent="0.25">
      <c r="A344"/>
      <c r="B344" s="33"/>
      <c r="C344" s="33"/>
      <c r="D344" s="33"/>
      <c r="E344" s="33"/>
      <c r="F344"/>
      <c r="G344"/>
      <c r="H344"/>
      <c r="I344" s="490"/>
      <c r="J344" s="15"/>
      <c r="K344" s="15"/>
      <c r="L344" s="15"/>
      <c r="M344" s="15"/>
      <c r="N344" s="15"/>
      <c r="O344" s="15"/>
      <c r="P344" s="15"/>
      <c r="Q344" s="33"/>
      <c r="R344" s="33"/>
      <c r="S344" s="5"/>
      <c r="T344" s="5"/>
      <c r="U344" s="5"/>
      <c r="V344" s="5"/>
      <c r="W344" s="5"/>
      <c r="X344" s="5"/>
      <c r="Y344" s="5"/>
      <c r="Z344" s="5"/>
      <c r="AA344" s="5"/>
      <c r="AB344" s="5"/>
      <c r="AC344" s="5"/>
      <c r="AD344" s="499"/>
      <c r="AE344" s="5"/>
      <c r="AF344" s="499"/>
      <c r="AG344" s="5"/>
      <c r="AO344" s="500"/>
      <c r="AP344" s="5"/>
      <c r="AQ344" s="5"/>
      <c r="AR344" s="5"/>
      <c r="AS344" s="5"/>
      <c r="AT344" s="5"/>
      <c r="AU344" s="499"/>
      <c r="AX344" s="11"/>
    </row>
    <row r="345" spans="1:50" s="10" customFormat="1" x14ac:dyDescent="0.25">
      <c r="A345"/>
      <c r="B345" s="33"/>
      <c r="C345" s="33"/>
      <c r="D345" s="33"/>
      <c r="E345" s="33"/>
      <c r="F345"/>
      <c r="G345"/>
      <c r="H345"/>
      <c r="I345" s="490"/>
      <c r="J345" s="15"/>
      <c r="K345" s="15"/>
      <c r="L345" s="15"/>
      <c r="M345" s="15"/>
      <c r="N345" s="15"/>
      <c r="O345" s="15"/>
      <c r="P345" s="15"/>
      <c r="Q345" s="33"/>
      <c r="R345" s="33"/>
      <c r="S345" s="5"/>
      <c r="T345" s="5"/>
      <c r="U345" s="5"/>
      <c r="V345" s="5"/>
      <c r="W345" s="5"/>
      <c r="X345" s="5"/>
      <c r="Y345" s="5"/>
      <c r="Z345" s="5"/>
      <c r="AA345" s="5"/>
      <c r="AB345" s="5"/>
      <c r="AC345" s="5"/>
      <c r="AD345" s="499"/>
      <c r="AE345" s="5"/>
      <c r="AF345" s="499"/>
      <c r="AG345" s="5"/>
      <c r="AO345" s="500"/>
      <c r="AP345" s="5"/>
      <c r="AQ345" s="5"/>
      <c r="AR345" s="5"/>
      <c r="AS345" s="5"/>
      <c r="AT345" s="5"/>
      <c r="AU345" s="499"/>
      <c r="AX345" s="11"/>
    </row>
    <row r="346" spans="1:50" s="10" customFormat="1" x14ac:dyDescent="0.25">
      <c r="A346"/>
      <c r="B346" s="33"/>
      <c r="C346" s="33"/>
      <c r="D346" s="33"/>
      <c r="E346" s="33"/>
      <c r="F346"/>
      <c r="G346"/>
      <c r="H346"/>
      <c r="I346" s="490"/>
      <c r="J346" s="15"/>
      <c r="K346" s="15"/>
      <c r="L346" s="15"/>
      <c r="M346" s="15"/>
      <c r="N346" s="15"/>
      <c r="O346" s="15"/>
      <c r="P346" s="15"/>
      <c r="Q346" s="33"/>
      <c r="R346" s="33"/>
      <c r="S346" s="5"/>
      <c r="T346" s="5"/>
      <c r="U346" s="5"/>
      <c r="V346" s="5"/>
      <c r="W346" s="5"/>
      <c r="X346" s="5"/>
      <c r="Y346" s="5"/>
      <c r="Z346" s="5"/>
      <c r="AA346" s="5"/>
      <c r="AB346" s="5"/>
      <c r="AC346" s="5"/>
      <c r="AD346" s="499"/>
      <c r="AE346" s="5"/>
      <c r="AF346" s="499"/>
      <c r="AG346" s="5"/>
      <c r="AO346" s="500"/>
      <c r="AP346" s="5"/>
      <c r="AQ346" s="5"/>
      <c r="AR346" s="5"/>
      <c r="AS346" s="5"/>
      <c r="AT346" s="5"/>
      <c r="AU346" s="499"/>
      <c r="AX346" s="11"/>
    </row>
    <row r="347" spans="1:50" s="10" customFormat="1" x14ac:dyDescent="0.25">
      <c r="A347"/>
      <c r="B347" s="33"/>
      <c r="C347" s="33"/>
      <c r="D347" s="33"/>
      <c r="E347" s="33"/>
      <c r="F347"/>
      <c r="G347"/>
      <c r="H347"/>
      <c r="I347" s="490"/>
      <c r="J347" s="15"/>
      <c r="K347" s="15"/>
      <c r="L347" s="15"/>
      <c r="M347" s="15"/>
      <c r="N347" s="15"/>
      <c r="O347" s="15"/>
      <c r="P347" s="15"/>
      <c r="Q347" s="33"/>
      <c r="R347" s="33"/>
      <c r="S347" s="5"/>
      <c r="T347" s="5"/>
      <c r="U347" s="5"/>
      <c r="V347" s="5"/>
      <c r="W347" s="5"/>
      <c r="X347" s="5"/>
      <c r="Y347" s="5"/>
      <c r="Z347" s="5"/>
      <c r="AA347" s="5"/>
      <c r="AB347" s="5"/>
      <c r="AC347" s="5"/>
      <c r="AD347" s="499"/>
      <c r="AE347" s="5"/>
      <c r="AF347" s="499"/>
      <c r="AG347" s="5"/>
      <c r="AO347" s="500"/>
      <c r="AP347" s="5"/>
      <c r="AQ347" s="5"/>
      <c r="AR347" s="5"/>
      <c r="AS347" s="5"/>
      <c r="AT347" s="5"/>
      <c r="AU347" s="499"/>
      <c r="AX347" s="11"/>
    </row>
    <row r="348" spans="1:50" s="10" customFormat="1" x14ac:dyDescent="0.25">
      <c r="A348"/>
      <c r="B348" s="33"/>
      <c r="C348" s="33"/>
      <c r="D348" s="33"/>
      <c r="E348" s="33"/>
      <c r="F348"/>
      <c r="G348"/>
      <c r="H348"/>
      <c r="I348" s="490"/>
      <c r="J348" s="15"/>
      <c r="K348" s="15"/>
      <c r="L348" s="15"/>
      <c r="M348" s="15"/>
      <c r="N348" s="15"/>
      <c r="O348" s="15"/>
      <c r="P348" s="15"/>
      <c r="Q348" s="33"/>
      <c r="R348" s="33"/>
      <c r="S348" s="5"/>
      <c r="T348" s="5"/>
      <c r="U348" s="5"/>
      <c r="V348" s="5"/>
      <c r="W348" s="5"/>
      <c r="X348" s="5"/>
      <c r="Y348" s="5"/>
      <c r="Z348" s="5"/>
      <c r="AA348" s="5"/>
      <c r="AB348" s="5"/>
      <c r="AC348" s="5"/>
      <c r="AD348" s="499"/>
      <c r="AE348" s="5"/>
      <c r="AF348" s="499"/>
      <c r="AG348" s="5"/>
      <c r="AO348" s="500"/>
      <c r="AP348" s="5"/>
      <c r="AQ348" s="5"/>
      <c r="AR348" s="5"/>
      <c r="AS348" s="5"/>
      <c r="AT348" s="5"/>
      <c r="AU348" s="499"/>
      <c r="AX348" s="11"/>
    </row>
    <row r="349" spans="1:50" s="10" customFormat="1" x14ac:dyDescent="0.25">
      <c r="A349"/>
      <c r="B349" s="33"/>
      <c r="C349" s="33"/>
      <c r="D349" s="33"/>
      <c r="E349" s="33"/>
      <c r="F349"/>
      <c r="G349"/>
      <c r="H349"/>
      <c r="I349" s="490"/>
      <c r="J349" s="15"/>
      <c r="K349" s="15"/>
      <c r="L349" s="15"/>
      <c r="M349" s="15"/>
      <c r="N349" s="15"/>
      <c r="O349" s="15"/>
      <c r="P349" s="15"/>
      <c r="Q349" s="33"/>
      <c r="R349" s="33"/>
      <c r="S349" s="5"/>
      <c r="T349" s="5"/>
      <c r="U349" s="5"/>
      <c r="V349" s="5"/>
      <c r="W349" s="5"/>
      <c r="X349" s="5"/>
      <c r="Y349" s="5"/>
      <c r="Z349" s="5"/>
      <c r="AA349" s="5"/>
      <c r="AB349" s="5"/>
      <c r="AC349" s="5"/>
      <c r="AD349" s="499"/>
      <c r="AE349" s="5"/>
      <c r="AF349" s="499"/>
      <c r="AG349" s="5"/>
      <c r="AO349" s="500"/>
      <c r="AP349" s="5"/>
      <c r="AQ349" s="5"/>
      <c r="AR349" s="5"/>
      <c r="AS349" s="5"/>
      <c r="AT349" s="5"/>
      <c r="AU349" s="499"/>
      <c r="AX349" s="11"/>
    </row>
    <row r="350" spans="1:50" s="10" customFormat="1" x14ac:dyDescent="0.25">
      <c r="A350"/>
      <c r="B350" s="33"/>
      <c r="C350" s="33"/>
      <c r="D350" s="33"/>
      <c r="E350" s="33"/>
      <c r="F350"/>
      <c r="G350"/>
      <c r="H350"/>
      <c r="I350" s="490"/>
      <c r="J350" s="15"/>
      <c r="K350" s="15"/>
      <c r="L350" s="15"/>
      <c r="M350" s="15"/>
      <c r="N350" s="15"/>
      <c r="O350" s="15"/>
      <c r="P350" s="15"/>
      <c r="Q350" s="33"/>
      <c r="R350" s="33"/>
      <c r="S350" s="5"/>
      <c r="T350" s="5"/>
      <c r="U350" s="5"/>
      <c r="V350" s="5"/>
      <c r="W350" s="5"/>
      <c r="X350" s="5"/>
      <c r="Y350" s="5"/>
      <c r="Z350" s="5"/>
      <c r="AA350" s="5"/>
      <c r="AB350" s="5"/>
      <c r="AC350" s="5"/>
      <c r="AD350" s="499"/>
      <c r="AE350" s="5"/>
      <c r="AF350" s="499"/>
      <c r="AG350" s="5"/>
      <c r="AO350" s="500"/>
      <c r="AP350" s="5"/>
      <c r="AQ350" s="5"/>
      <c r="AR350" s="5"/>
      <c r="AS350" s="5"/>
      <c r="AT350" s="5"/>
      <c r="AU350" s="499"/>
      <c r="AX350" s="11"/>
    </row>
    <row r="351" spans="1:50" s="10" customFormat="1" x14ac:dyDescent="0.25">
      <c r="A351"/>
      <c r="B351" s="33"/>
      <c r="C351" s="33"/>
      <c r="D351" s="33"/>
      <c r="E351" s="33"/>
      <c r="F351"/>
      <c r="G351"/>
      <c r="H351"/>
      <c r="I351" s="490"/>
      <c r="J351" s="15"/>
      <c r="K351" s="15"/>
      <c r="L351" s="15"/>
      <c r="M351" s="15"/>
      <c r="N351" s="15"/>
      <c r="O351" s="15"/>
      <c r="P351" s="15"/>
      <c r="Q351" s="33"/>
      <c r="R351" s="33"/>
      <c r="S351" s="5"/>
      <c r="T351" s="5"/>
      <c r="U351" s="5"/>
      <c r="V351" s="5"/>
      <c r="W351" s="5"/>
      <c r="X351" s="5"/>
      <c r="Y351" s="5"/>
      <c r="Z351" s="5"/>
      <c r="AA351" s="5"/>
      <c r="AB351" s="5"/>
      <c r="AC351" s="5"/>
      <c r="AD351" s="499"/>
      <c r="AE351" s="5"/>
      <c r="AF351" s="499"/>
      <c r="AG351" s="5"/>
      <c r="AO351" s="500"/>
      <c r="AP351" s="5"/>
      <c r="AQ351" s="5"/>
      <c r="AR351" s="5"/>
      <c r="AS351" s="5"/>
      <c r="AT351" s="5"/>
      <c r="AU351" s="499"/>
      <c r="AX351" s="11"/>
    </row>
    <row r="352" spans="1:50" s="10" customFormat="1" x14ac:dyDescent="0.25">
      <c r="A352"/>
      <c r="B352" s="33"/>
      <c r="C352" s="33"/>
      <c r="D352" s="33"/>
      <c r="E352" s="33"/>
      <c r="F352"/>
      <c r="G352"/>
      <c r="H352"/>
      <c r="I352" s="490"/>
      <c r="J352" s="15"/>
      <c r="K352" s="15"/>
      <c r="L352" s="15"/>
      <c r="M352" s="15"/>
      <c r="N352" s="15"/>
      <c r="O352" s="15"/>
      <c r="P352" s="15"/>
      <c r="Q352" s="33"/>
      <c r="R352" s="33"/>
      <c r="S352" s="5"/>
      <c r="T352" s="5"/>
      <c r="U352" s="5"/>
      <c r="V352" s="5"/>
      <c r="W352" s="5"/>
      <c r="X352" s="5"/>
      <c r="Y352" s="5"/>
      <c r="Z352" s="5"/>
      <c r="AA352" s="5"/>
      <c r="AB352" s="5"/>
      <c r="AC352" s="5"/>
      <c r="AD352" s="499"/>
      <c r="AE352" s="5"/>
      <c r="AF352" s="499"/>
      <c r="AG352" s="5"/>
      <c r="AO352" s="500"/>
      <c r="AP352" s="5"/>
      <c r="AQ352" s="5"/>
      <c r="AR352" s="5"/>
      <c r="AS352" s="5"/>
      <c r="AT352" s="5"/>
      <c r="AU352" s="499"/>
      <c r="AX352" s="11"/>
    </row>
    <row r="353" spans="1:50" s="10" customFormat="1" x14ac:dyDescent="0.25">
      <c r="A353"/>
      <c r="B353" s="33"/>
      <c r="C353" s="33"/>
      <c r="D353" s="33"/>
      <c r="E353" s="33"/>
      <c r="F353"/>
      <c r="G353"/>
      <c r="H353"/>
      <c r="I353" s="490"/>
      <c r="J353" s="15"/>
      <c r="K353" s="15"/>
      <c r="L353" s="15"/>
      <c r="M353" s="15"/>
      <c r="N353" s="15"/>
      <c r="O353" s="15"/>
      <c r="P353" s="15"/>
      <c r="Q353" s="33"/>
      <c r="R353" s="33"/>
      <c r="S353" s="5"/>
      <c r="T353" s="5"/>
      <c r="U353" s="5"/>
      <c r="V353" s="5"/>
      <c r="W353" s="5"/>
      <c r="X353" s="5"/>
      <c r="Y353" s="5"/>
      <c r="Z353" s="5"/>
      <c r="AA353" s="5"/>
      <c r="AB353" s="5"/>
      <c r="AC353" s="5"/>
      <c r="AD353" s="499"/>
      <c r="AE353" s="5"/>
      <c r="AF353" s="499"/>
      <c r="AG353" s="5"/>
      <c r="AO353" s="500"/>
      <c r="AP353" s="5"/>
      <c r="AQ353" s="5"/>
      <c r="AR353" s="5"/>
      <c r="AS353" s="5"/>
      <c r="AT353" s="5"/>
      <c r="AU353" s="499"/>
      <c r="AX353" s="11"/>
    </row>
    <row r="354" spans="1:50" s="10" customFormat="1" x14ac:dyDescent="0.25">
      <c r="A354"/>
      <c r="B354" s="33"/>
      <c r="C354" s="33"/>
      <c r="D354" s="33"/>
      <c r="E354" s="33"/>
      <c r="F354"/>
      <c r="G354"/>
      <c r="H354"/>
      <c r="I354" s="490"/>
      <c r="J354" s="15"/>
      <c r="K354" s="15"/>
      <c r="L354" s="15"/>
      <c r="M354" s="15"/>
      <c r="N354" s="15"/>
      <c r="O354" s="15"/>
      <c r="P354" s="15"/>
      <c r="Q354" s="33"/>
      <c r="R354" s="33"/>
      <c r="S354" s="5"/>
      <c r="T354" s="5"/>
      <c r="U354" s="5"/>
      <c r="V354" s="5"/>
      <c r="W354" s="5"/>
      <c r="X354" s="5"/>
      <c r="Y354" s="5"/>
      <c r="Z354" s="5"/>
      <c r="AA354" s="5"/>
      <c r="AB354" s="5"/>
      <c r="AC354" s="5"/>
      <c r="AD354" s="499"/>
      <c r="AE354" s="5"/>
      <c r="AF354" s="499"/>
      <c r="AG354" s="5"/>
      <c r="AO354" s="500"/>
      <c r="AP354" s="5"/>
      <c r="AQ354" s="5"/>
      <c r="AR354" s="5"/>
      <c r="AS354" s="5"/>
      <c r="AT354" s="5"/>
      <c r="AU354" s="499"/>
      <c r="AX354" s="11"/>
    </row>
    <row r="355" spans="1:50" s="10" customFormat="1" x14ac:dyDescent="0.25">
      <c r="A355"/>
      <c r="B355" s="33"/>
      <c r="C355" s="33"/>
      <c r="D355" s="33"/>
      <c r="E355" s="33"/>
      <c r="F355"/>
      <c r="G355"/>
      <c r="H355"/>
      <c r="I355" s="490"/>
      <c r="J355" s="15"/>
      <c r="K355" s="15"/>
      <c r="L355" s="15"/>
      <c r="M355" s="15"/>
      <c r="N355" s="15"/>
      <c r="O355" s="15"/>
      <c r="P355" s="15"/>
      <c r="Q355" s="33"/>
      <c r="R355" s="33"/>
      <c r="S355" s="5"/>
      <c r="T355" s="5"/>
      <c r="U355" s="5"/>
      <c r="V355" s="5"/>
      <c r="W355" s="5"/>
      <c r="X355" s="5"/>
      <c r="Y355" s="5"/>
      <c r="Z355" s="5"/>
      <c r="AA355" s="5"/>
      <c r="AB355" s="5"/>
      <c r="AC355" s="5"/>
      <c r="AD355" s="499"/>
      <c r="AE355" s="5"/>
      <c r="AF355" s="499"/>
      <c r="AG355" s="5"/>
      <c r="AO355" s="500"/>
      <c r="AP355" s="5"/>
      <c r="AQ355" s="5"/>
      <c r="AR355" s="5"/>
      <c r="AS355" s="5"/>
      <c r="AT355" s="5"/>
      <c r="AU355" s="499"/>
      <c r="AX355" s="11"/>
    </row>
    <row r="356" spans="1:50" s="10" customFormat="1" x14ac:dyDescent="0.25">
      <c r="A356"/>
      <c r="B356" s="33"/>
      <c r="C356" s="33"/>
      <c r="D356" s="33"/>
      <c r="E356" s="33"/>
      <c r="F356"/>
      <c r="G356"/>
      <c r="H356"/>
      <c r="I356" s="490"/>
      <c r="J356" s="15"/>
      <c r="K356" s="15"/>
      <c r="L356" s="15"/>
      <c r="M356" s="15"/>
      <c r="N356" s="15"/>
      <c r="O356" s="15"/>
      <c r="P356" s="15"/>
      <c r="Q356" s="33"/>
      <c r="R356" s="33"/>
      <c r="S356" s="5"/>
      <c r="T356" s="5"/>
      <c r="U356" s="5"/>
      <c r="V356" s="5"/>
      <c r="W356" s="5"/>
      <c r="X356" s="5"/>
      <c r="Y356" s="5"/>
      <c r="Z356" s="5"/>
      <c r="AA356" s="5"/>
      <c r="AB356" s="5"/>
      <c r="AC356" s="5"/>
      <c r="AD356" s="499"/>
      <c r="AE356" s="5"/>
      <c r="AF356" s="499"/>
      <c r="AG356" s="5"/>
      <c r="AO356" s="500"/>
      <c r="AP356" s="5"/>
      <c r="AQ356" s="5"/>
      <c r="AR356" s="5"/>
      <c r="AS356" s="5"/>
      <c r="AT356" s="5"/>
      <c r="AU356" s="499"/>
      <c r="AX356" s="11"/>
    </row>
    <row r="357" spans="1:50" s="10" customFormat="1" x14ac:dyDescent="0.25">
      <c r="A357"/>
      <c r="B357" s="33"/>
      <c r="C357" s="33"/>
      <c r="D357" s="33"/>
      <c r="E357" s="33"/>
      <c r="F357"/>
      <c r="G357"/>
      <c r="H357"/>
      <c r="I357" s="490"/>
      <c r="J357" s="15"/>
      <c r="K357" s="15"/>
      <c r="L357" s="15"/>
      <c r="M357" s="15"/>
      <c r="N357" s="15"/>
      <c r="O357" s="15"/>
      <c r="P357" s="15"/>
      <c r="Q357" s="33"/>
      <c r="R357" s="33"/>
      <c r="S357" s="5"/>
      <c r="T357" s="5"/>
      <c r="U357" s="5"/>
      <c r="V357" s="5"/>
      <c r="W357" s="5"/>
      <c r="X357" s="5"/>
      <c r="Y357" s="5"/>
      <c r="Z357" s="5"/>
      <c r="AA357" s="5"/>
      <c r="AB357" s="5"/>
      <c r="AC357" s="5"/>
      <c r="AD357" s="499"/>
      <c r="AE357" s="5"/>
      <c r="AF357" s="499"/>
      <c r="AG357" s="5"/>
      <c r="AO357" s="500"/>
      <c r="AP357" s="5"/>
      <c r="AQ357" s="5"/>
      <c r="AR357" s="5"/>
      <c r="AS357" s="5"/>
      <c r="AT357" s="5"/>
      <c r="AU357" s="499"/>
      <c r="AX357" s="11"/>
    </row>
    <row r="358" spans="1:50" s="10" customFormat="1" x14ac:dyDescent="0.25">
      <c r="A358"/>
      <c r="B358" s="33"/>
      <c r="C358" s="33"/>
      <c r="D358" s="33"/>
      <c r="E358" s="33"/>
      <c r="F358"/>
      <c r="G358"/>
      <c r="H358"/>
      <c r="I358" s="490"/>
      <c r="J358" s="15"/>
      <c r="K358" s="15"/>
      <c r="L358" s="15"/>
      <c r="M358" s="15"/>
      <c r="N358" s="15"/>
      <c r="O358" s="15"/>
      <c r="P358" s="15"/>
      <c r="Q358" s="33"/>
      <c r="R358" s="33"/>
      <c r="S358" s="5"/>
      <c r="T358" s="5"/>
      <c r="U358" s="5"/>
      <c r="V358" s="5"/>
      <c r="W358" s="5"/>
      <c r="X358" s="5"/>
      <c r="Y358" s="5"/>
      <c r="Z358" s="5"/>
      <c r="AA358" s="5"/>
      <c r="AB358" s="5"/>
      <c r="AC358" s="5"/>
      <c r="AD358" s="499"/>
      <c r="AE358" s="5"/>
      <c r="AF358" s="499"/>
      <c r="AG358" s="5"/>
      <c r="AO358" s="500"/>
      <c r="AP358" s="5"/>
      <c r="AQ358" s="5"/>
      <c r="AR358" s="5"/>
      <c r="AS358" s="5"/>
      <c r="AT358" s="5"/>
      <c r="AU358" s="499"/>
      <c r="AX358" s="11"/>
    </row>
    <row r="359" spans="1:50" s="10" customFormat="1" x14ac:dyDescent="0.25">
      <c r="A359"/>
      <c r="B359" s="33"/>
      <c r="C359" s="33"/>
      <c r="D359" s="33"/>
      <c r="E359" s="33"/>
      <c r="F359"/>
      <c r="G359"/>
      <c r="H359"/>
      <c r="I359" s="490"/>
      <c r="J359" s="15"/>
      <c r="K359" s="15"/>
      <c r="L359" s="15"/>
      <c r="M359" s="15"/>
      <c r="N359" s="15"/>
      <c r="O359" s="15"/>
      <c r="P359" s="15"/>
      <c r="Q359" s="33"/>
      <c r="R359" s="33"/>
      <c r="S359" s="5"/>
      <c r="T359" s="5"/>
      <c r="U359" s="5"/>
      <c r="V359" s="5"/>
      <c r="W359" s="5"/>
      <c r="X359" s="5"/>
      <c r="Y359" s="5"/>
      <c r="Z359" s="5"/>
      <c r="AA359" s="5"/>
      <c r="AB359" s="5"/>
      <c r="AC359" s="5"/>
      <c r="AD359" s="499"/>
      <c r="AE359" s="5"/>
      <c r="AF359" s="499"/>
      <c r="AG359" s="5"/>
      <c r="AO359" s="500"/>
      <c r="AP359" s="5"/>
      <c r="AQ359" s="5"/>
      <c r="AR359" s="5"/>
      <c r="AS359" s="5"/>
      <c r="AT359" s="5"/>
      <c r="AU359" s="499"/>
      <c r="AX359" s="11"/>
    </row>
    <row r="360" spans="1:50" s="10" customFormat="1" x14ac:dyDescent="0.25">
      <c r="A360"/>
      <c r="B360" s="33"/>
      <c r="C360" s="33"/>
      <c r="D360" s="33"/>
      <c r="E360" s="33"/>
      <c r="F360"/>
      <c r="G360"/>
      <c r="H360"/>
      <c r="I360" s="490"/>
      <c r="J360" s="15"/>
      <c r="K360" s="15"/>
      <c r="L360" s="15"/>
      <c r="M360" s="15"/>
      <c r="N360" s="15"/>
      <c r="O360" s="15"/>
      <c r="P360" s="15"/>
      <c r="Q360" s="33"/>
      <c r="R360" s="33"/>
      <c r="S360" s="5"/>
      <c r="T360" s="5"/>
      <c r="U360" s="5"/>
      <c r="V360" s="5"/>
      <c r="W360" s="5"/>
      <c r="X360" s="5"/>
      <c r="Y360" s="5"/>
      <c r="Z360" s="5"/>
      <c r="AA360" s="5"/>
      <c r="AB360" s="5"/>
      <c r="AC360" s="5"/>
      <c r="AD360" s="499"/>
      <c r="AE360" s="5"/>
      <c r="AF360" s="499"/>
      <c r="AG360" s="5"/>
      <c r="AO360" s="500"/>
      <c r="AP360" s="5"/>
      <c r="AQ360" s="5"/>
      <c r="AR360" s="5"/>
      <c r="AS360" s="5"/>
      <c r="AT360" s="5"/>
      <c r="AU360" s="499"/>
      <c r="AX360" s="11"/>
    </row>
    <row r="361" spans="1:50" s="10" customFormat="1" x14ac:dyDescent="0.25">
      <c r="A361"/>
      <c r="B361" s="33"/>
      <c r="C361" s="33"/>
      <c r="D361" s="33"/>
      <c r="E361" s="33"/>
      <c r="F361"/>
      <c r="G361"/>
      <c r="H361"/>
      <c r="I361" s="490"/>
      <c r="J361" s="15"/>
      <c r="K361" s="15"/>
      <c r="L361" s="15"/>
      <c r="M361" s="15"/>
      <c r="N361" s="15"/>
      <c r="O361" s="15"/>
      <c r="P361" s="15"/>
      <c r="Q361" s="33"/>
      <c r="R361" s="33"/>
      <c r="S361" s="5"/>
      <c r="T361" s="5"/>
      <c r="U361" s="5"/>
      <c r="V361" s="5"/>
      <c r="W361" s="5"/>
      <c r="X361" s="5"/>
      <c r="Y361" s="5"/>
      <c r="Z361" s="5"/>
      <c r="AA361" s="5"/>
      <c r="AB361" s="5"/>
      <c r="AC361" s="5"/>
      <c r="AD361" s="499"/>
      <c r="AE361" s="5"/>
      <c r="AF361" s="499"/>
      <c r="AG361" s="5"/>
      <c r="AO361" s="500"/>
      <c r="AP361" s="5"/>
      <c r="AQ361" s="5"/>
      <c r="AR361" s="5"/>
      <c r="AS361" s="5"/>
      <c r="AT361" s="5"/>
      <c r="AU361" s="499"/>
      <c r="AX361" s="11"/>
    </row>
    <row r="362" spans="1:50" s="10" customFormat="1" x14ac:dyDescent="0.25">
      <c r="A362"/>
      <c r="B362" s="33"/>
      <c r="C362" s="33"/>
      <c r="D362" s="33"/>
      <c r="E362" s="33"/>
      <c r="F362"/>
      <c r="G362"/>
      <c r="H362"/>
      <c r="I362" s="490"/>
      <c r="J362" s="15"/>
      <c r="K362" s="15"/>
      <c r="L362" s="15"/>
      <c r="M362" s="15"/>
      <c r="N362" s="15"/>
      <c r="O362" s="15"/>
      <c r="P362" s="15"/>
      <c r="Q362" s="33"/>
      <c r="R362" s="33"/>
      <c r="S362" s="5"/>
      <c r="T362" s="5"/>
      <c r="U362" s="5"/>
      <c r="V362" s="5"/>
      <c r="W362" s="5"/>
      <c r="X362" s="5"/>
      <c r="Y362" s="5"/>
      <c r="Z362" s="5"/>
      <c r="AA362" s="5"/>
      <c r="AB362" s="5"/>
      <c r="AC362" s="5"/>
      <c r="AD362" s="499"/>
      <c r="AE362" s="5"/>
      <c r="AF362" s="499"/>
      <c r="AG362" s="5"/>
      <c r="AO362" s="500"/>
      <c r="AP362" s="5"/>
      <c r="AQ362" s="5"/>
      <c r="AR362" s="5"/>
      <c r="AS362" s="5"/>
      <c r="AT362" s="5"/>
      <c r="AU362" s="499"/>
      <c r="AX362" s="11"/>
    </row>
    <row r="363" spans="1:50" s="10" customFormat="1" x14ac:dyDescent="0.25">
      <c r="A363"/>
      <c r="B363" s="33"/>
      <c r="C363" s="33"/>
      <c r="D363" s="33"/>
      <c r="E363" s="33"/>
      <c r="F363"/>
      <c r="G363"/>
      <c r="H363"/>
      <c r="I363" s="490"/>
      <c r="J363" s="15"/>
      <c r="K363" s="15"/>
      <c r="L363" s="15"/>
      <c r="M363" s="15"/>
      <c r="N363" s="15"/>
      <c r="O363" s="15"/>
      <c r="P363" s="15"/>
      <c r="Q363" s="33"/>
      <c r="R363" s="33"/>
      <c r="S363" s="5"/>
      <c r="T363" s="5"/>
      <c r="U363" s="5"/>
      <c r="V363" s="5"/>
      <c r="W363" s="5"/>
      <c r="X363" s="5"/>
      <c r="Y363" s="5"/>
      <c r="Z363" s="5"/>
      <c r="AA363" s="5"/>
      <c r="AB363" s="5"/>
      <c r="AC363" s="5"/>
      <c r="AD363" s="499"/>
      <c r="AE363" s="5"/>
      <c r="AF363" s="499"/>
      <c r="AG363" s="5"/>
      <c r="AO363" s="500"/>
      <c r="AP363" s="5"/>
      <c r="AQ363" s="5"/>
      <c r="AR363" s="5"/>
      <c r="AS363" s="5"/>
      <c r="AT363" s="5"/>
      <c r="AU363" s="499"/>
      <c r="AX363" s="11"/>
    </row>
    <row r="364" spans="1:50" s="10" customFormat="1" x14ac:dyDescent="0.25">
      <c r="A364"/>
      <c r="B364" s="33"/>
      <c r="C364" s="33"/>
      <c r="D364" s="33"/>
      <c r="E364" s="33"/>
      <c r="F364"/>
      <c r="G364"/>
      <c r="H364"/>
      <c r="I364" s="490"/>
      <c r="J364" s="15"/>
      <c r="K364" s="15"/>
      <c r="L364" s="15"/>
      <c r="M364" s="15"/>
      <c r="N364" s="15"/>
      <c r="O364" s="15"/>
      <c r="P364" s="15"/>
      <c r="Q364" s="33"/>
      <c r="R364" s="33"/>
      <c r="S364" s="5"/>
      <c r="T364" s="5"/>
      <c r="U364" s="5"/>
      <c r="V364" s="5"/>
      <c r="W364" s="5"/>
      <c r="X364" s="5"/>
      <c r="Y364" s="5"/>
      <c r="Z364" s="5"/>
      <c r="AA364" s="5"/>
      <c r="AB364" s="5"/>
      <c r="AC364" s="5"/>
      <c r="AD364" s="499"/>
      <c r="AE364" s="5"/>
      <c r="AF364" s="499"/>
      <c r="AG364" s="5"/>
      <c r="AO364" s="500"/>
      <c r="AP364" s="5"/>
      <c r="AQ364" s="5"/>
      <c r="AR364" s="5"/>
      <c r="AS364" s="5"/>
      <c r="AT364" s="5"/>
      <c r="AU364" s="499"/>
      <c r="AX364" s="11"/>
    </row>
    <row r="365" spans="1:50" s="10" customFormat="1" x14ac:dyDescent="0.25">
      <c r="A365"/>
      <c r="B365" s="33"/>
      <c r="C365" s="33"/>
      <c r="D365" s="33"/>
      <c r="E365" s="33"/>
      <c r="F365"/>
      <c r="G365"/>
      <c r="H365"/>
      <c r="I365" s="490"/>
      <c r="J365" s="15"/>
      <c r="K365" s="15"/>
      <c r="L365" s="15"/>
      <c r="M365" s="15"/>
      <c r="N365" s="15"/>
      <c r="O365" s="15"/>
      <c r="P365" s="15"/>
      <c r="Q365" s="33"/>
      <c r="R365" s="33"/>
      <c r="S365" s="5"/>
      <c r="T365" s="5"/>
      <c r="U365" s="5"/>
      <c r="V365" s="5"/>
      <c r="W365" s="5"/>
      <c r="X365" s="5"/>
      <c r="Y365" s="5"/>
      <c r="Z365" s="5"/>
      <c r="AA365" s="5"/>
      <c r="AB365" s="5"/>
      <c r="AC365" s="5"/>
      <c r="AD365" s="499"/>
      <c r="AE365" s="5"/>
      <c r="AF365" s="499"/>
      <c r="AG365" s="5"/>
      <c r="AO365" s="500"/>
      <c r="AP365" s="5"/>
      <c r="AQ365" s="5"/>
      <c r="AR365" s="5"/>
      <c r="AS365" s="5"/>
      <c r="AT365" s="5"/>
      <c r="AU365" s="499"/>
      <c r="AX365" s="11"/>
    </row>
    <row r="366" spans="1:50" s="10" customFormat="1" x14ac:dyDescent="0.25">
      <c r="A366"/>
      <c r="B366" s="33"/>
      <c r="C366" s="33"/>
      <c r="D366" s="33"/>
      <c r="E366" s="33"/>
      <c r="F366"/>
      <c r="G366"/>
      <c r="H366"/>
      <c r="I366" s="490"/>
      <c r="J366" s="15"/>
      <c r="K366" s="15"/>
      <c r="L366" s="15"/>
      <c r="M366" s="15"/>
      <c r="N366" s="15"/>
      <c r="O366" s="15"/>
      <c r="P366" s="15"/>
      <c r="Q366" s="33"/>
      <c r="R366" s="33"/>
      <c r="S366" s="5"/>
      <c r="T366" s="5"/>
      <c r="U366" s="5"/>
      <c r="V366" s="5"/>
      <c r="W366" s="5"/>
      <c r="X366" s="5"/>
      <c r="Y366" s="5"/>
      <c r="Z366" s="5"/>
      <c r="AA366" s="5"/>
      <c r="AB366" s="5"/>
      <c r="AC366" s="5"/>
      <c r="AD366" s="499"/>
      <c r="AE366" s="5"/>
      <c r="AF366" s="499"/>
      <c r="AG366" s="5"/>
      <c r="AO366" s="500"/>
      <c r="AP366" s="5"/>
      <c r="AQ366" s="5"/>
      <c r="AR366" s="5"/>
      <c r="AS366" s="5"/>
      <c r="AT366" s="5"/>
      <c r="AU366" s="499"/>
      <c r="AX366" s="11"/>
    </row>
    <row r="367" spans="1:50" s="10" customFormat="1" x14ac:dyDescent="0.25">
      <c r="A367"/>
      <c r="B367" s="33"/>
      <c r="C367" s="33"/>
      <c r="D367" s="33"/>
      <c r="E367" s="33"/>
      <c r="F367"/>
      <c r="G367"/>
      <c r="H367"/>
      <c r="I367" s="490"/>
      <c r="J367" s="15"/>
      <c r="K367" s="15"/>
      <c r="L367" s="15"/>
      <c r="M367" s="15"/>
      <c r="N367" s="15"/>
      <c r="O367" s="15"/>
      <c r="P367" s="15"/>
      <c r="Q367" s="33"/>
      <c r="R367" s="33"/>
      <c r="S367" s="5"/>
      <c r="T367" s="5"/>
      <c r="U367" s="5"/>
      <c r="V367" s="5"/>
      <c r="W367" s="5"/>
      <c r="X367" s="5"/>
      <c r="Y367" s="5"/>
      <c r="Z367" s="5"/>
      <c r="AA367" s="5"/>
      <c r="AB367" s="5"/>
      <c r="AC367" s="5"/>
      <c r="AD367" s="499"/>
      <c r="AE367" s="5"/>
      <c r="AF367" s="499"/>
      <c r="AG367" s="5"/>
      <c r="AO367" s="500"/>
      <c r="AP367" s="5"/>
      <c r="AQ367" s="5"/>
      <c r="AR367" s="5"/>
      <c r="AS367" s="5"/>
      <c r="AT367" s="5"/>
      <c r="AU367" s="499"/>
      <c r="AX367" s="11"/>
    </row>
    <row r="368" spans="1:50" s="10" customFormat="1" x14ac:dyDescent="0.25">
      <c r="A368"/>
      <c r="B368" s="33"/>
      <c r="C368" s="33"/>
      <c r="D368" s="33"/>
      <c r="E368" s="33"/>
      <c r="F368"/>
      <c r="G368"/>
      <c r="H368"/>
      <c r="I368" s="490"/>
      <c r="J368" s="15"/>
      <c r="K368" s="15"/>
      <c r="L368" s="15"/>
      <c r="M368" s="15"/>
      <c r="N368" s="15"/>
      <c r="O368" s="15"/>
      <c r="P368" s="15"/>
      <c r="Q368" s="33"/>
      <c r="R368" s="33"/>
      <c r="S368" s="5"/>
      <c r="T368" s="5"/>
      <c r="U368" s="5"/>
      <c r="V368" s="5"/>
      <c r="W368" s="5"/>
      <c r="X368" s="5"/>
      <c r="Y368" s="5"/>
      <c r="Z368" s="5"/>
      <c r="AA368" s="5"/>
      <c r="AB368" s="5"/>
      <c r="AC368" s="5"/>
      <c r="AD368" s="499"/>
      <c r="AE368" s="5"/>
      <c r="AF368" s="499"/>
      <c r="AG368" s="5"/>
      <c r="AO368" s="500"/>
      <c r="AP368" s="5"/>
      <c r="AQ368" s="5"/>
      <c r="AR368" s="5"/>
      <c r="AS368" s="5"/>
      <c r="AT368" s="5"/>
      <c r="AU368" s="499"/>
    </row>
    <row r="369" spans="1:47" s="10" customFormat="1" x14ac:dyDescent="0.25">
      <c r="A369"/>
      <c r="B369" s="33"/>
      <c r="C369" s="33"/>
      <c r="D369" s="33"/>
      <c r="E369" s="33"/>
      <c r="F369"/>
      <c r="G369"/>
      <c r="H369"/>
      <c r="I369" s="490"/>
      <c r="J369" s="15"/>
      <c r="K369" s="15"/>
      <c r="L369" s="15"/>
      <c r="M369" s="15"/>
      <c r="N369" s="15"/>
      <c r="O369" s="15"/>
      <c r="P369" s="15"/>
      <c r="Q369" s="33"/>
      <c r="R369" s="33"/>
      <c r="S369" s="5"/>
      <c r="T369" s="5"/>
      <c r="U369" s="5"/>
      <c r="V369" s="5"/>
      <c r="W369" s="5"/>
      <c r="X369" s="5"/>
      <c r="Y369" s="5"/>
      <c r="Z369" s="5"/>
      <c r="AA369" s="5"/>
      <c r="AB369" s="5"/>
      <c r="AC369" s="5"/>
      <c r="AD369" s="499"/>
      <c r="AE369" s="5"/>
      <c r="AF369" s="499"/>
      <c r="AG369" s="5"/>
      <c r="AO369" s="500"/>
      <c r="AP369" s="5"/>
      <c r="AQ369" s="5"/>
      <c r="AR369" s="5"/>
      <c r="AS369" s="5"/>
      <c r="AT369" s="5"/>
      <c r="AU369" s="499"/>
    </row>
    <row r="370" spans="1:47" s="10" customFormat="1" x14ac:dyDescent="0.25">
      <c r="A370"/>
      <c r="B370" s="33"/>
      <c r="C370" s="33"/>
      <c r="D370" s="33"/>
      <c r="E370" s="33"/>
      <c r="F370"/>
      <c r="G370"/>
      <c r="H370"/>
      <c r="I370" s="490"/>
      <c r="J370" s="15"/>
      <c r="K370" s="15"/>
      <c r="L370" s="15"/>
      <c r="M370" s="15"/>
      <c r="N370" s="15"/>
      <c r="O370" s="15"/>
      <c r="P370" s="15"/>
      <c r="Q370" s="33"/>
      <c r="R370" s="33"/>
      <c r="S370" s="5"/>
      <c r="T370" s="5"/>
      <c r="U370" s="5"/>
      <c r="V370" s="5"/>
      <c r="W370" s="5"/>
      <c r="X370" s="5"/>
      <c r="Y370" s="5"/>
      <c r="Z370" s="5"/>
      <c r="AA370" s="5"/>
      <c r="AB370" s="5"/>
      <c r="AC370" s="5"/>
      <c r="AD370" s="499"/>
      <c r="AE370" s="5"/>
      <c r="AF370" s="499"/>
      <c r="AG370" s="5"/>
      <c r="AO370" s="500"/>
      <c r="AP370" s="5"/>
      <c r="AQ370" s="5"/>
      <c r="AR370" s="5"/>
      <c r="AS370" s="5"/>
      <c r="AT370" s="5"/>
      <c r="AU370" s="499"/>
    </row>
    <row r="371" spans="1:47" s="10" customFormat="1" x14ac:dyDescent="0.25">
      <c r="A371"/>
      <c r="B371" s="33"/>
      <c r="C371" s="33"/>
      <c r="D371" s="33"/>
      <c r="E371" s="33"/>
      <c r="F371"/>
      <c r="G371"/>
      <c r="H371"/>
      <c r="I371" s="490"/>
      <c r="J371" s="15"/>
      <c r="K371" s="15"/>
      <c r="L371" s="15"/>
      <c r="M371" s="15"/>
      <c r="N371" s="15"/>
      <c r="O371" s="15"/>
      <c r="P371" s="15"/>
      <c r="Q371" s="33"/>
      <c r="R371" s="33"/>
      <c r="S371" s="5"/>
      <c r="T371" s="5"/>
      <c r="U371" s="5"/>
      <c r="V371" s="5"/>
      <c r="W371" s="5"/>
      <c r="X371" s="5"/>
      <c r="Y371" s="5"/>
      <c r="Z371" s="5"/>
      <c r="AA371" s="5"/>
      <c r="AB371" s="5"/>
      <c r="AC371" s="5"/>
      <c r="AD371" s="499"/>
      <c r="AE371" s="5"/>
      <c r="AF371" s="499"/>
      <c r="AG371" s="5"/>
      <c r="AO371" s="500"/>
      <c r="AP371" s="5"/>
      <c r="AQ371" s="5"/>
      <c r="AR371" s="5"/>
      <c r="AS371" s="5"/>
      <c r="AT371" s="5"/>
      <c r="AU371" s="499"/>
    </row>
    <row r="372" spans="1:47" s="10" customFormat="1" x14ac:dyDescent="0.25">
      <c r="A372"/>
      <c r="B372" s="33"/>
      <c r="C372" s="33"/>
      <c r="D372" s="33"/>
      <c r="E372" s="33"/>
      <c r="F372"/>
      <c r="G372"/>
      <c r="H372"/>
      <c r="I372" s="490"/>
      <c r="J372" s="15"/>
      <c r="K372" s="15"/>
      <c r="L372" s="15"/>
      <c r="M372" s="15"/>
      <c r="N372" s="15"/>
      <c r="O372" s="15"/>
      <c r="P372" s="15"/>
      <c r="Q372" s="33"/>
      <c r="R372" s="33"/>
      <c r="S372" s="5"/>
      <c r="T372" s="5"/>
      <c r="U372" s="5"/>
      <c r="V372" s="5"/>
      <c r="W372" s="5"/>
      <c r="X372" s="5"/>
      <c r="Y372" s="5"/>
      <c r="Z372" s="5"/>
      <c r="AA372" s="5"/>
      <c r="AB372" s="5"/>
      <c r="AC372" s="5"/>
      <c r="AD372" s="499"/>
      <c r="AE372" s="5"/>
      <c r="AF372" s="499"/>
      <c r="AG372" s="5"/>
      <c r="AO372" s="500"/>
      <c r="AP372" s="5"/>
      <c r="AQ372" s="5"/>
      <c r="AR372" s="5"/>
      <c r="AS372" s="5"/>
      <c r="AT372" s="5"/>
      <c r="AU372" s="499"/>
    </row>
    <row r="373" spans="1:47" s="10" customFormat="1" x14ac:dyDescent="0.25">
      <c r="A373"/>
      <c r="B373" s="33"/>
      <c r="C373" s="33"/>
      <c r="D373" s="33"/>
      <c r="E373" s="33"/>
      <c r="F373"/>
      <c r="G373"/>
      <c r="H373"/>
      <c r="I373" s="490"/>
      <c r="J373" s="15"/>
      <c r="K373" s="15"/>
      <c r="L373" s="15"/>
      <c r="M373" s="15"/>
      <c r="N373" s="15"/>
      <c r="O373" s="15"/>
      <c r="P373" s="15"/>
      <c r="Q373" s="33"/>
      <c r="R373" s="33"/>
      <c r="S373" s="5"/>
      <c r="T373" s="5"/>
      <c r="U373" s="5"/>
      <c r="V373" s="5"/>
      <c r="W373" s="5"/>
      <c r="X373" s="5"/>
      <c r="Y373" s="5"/>
      <c r="Z373" s="5"/>
      <c r="AA373" s="5"/>
      <c r="AB373" s="5"/>
      <c r="AC373" s="5"/>
      <c r="AD373" s="499"/>
      <c r="AE373" s="5"/>
      <c r="AF373" s="499"/>
      <c r="AG373" s="5"/>
      <c r="AO373" s="500"/>
      <c r="AP373" s="5"/>
      <c r="AQ373" s="5"/>
      <c r="AR373" s="5"/>
      <c r="AS373" s="5"/>
      <c r="AT373" s="5"/>
      <c r="AU373" s="499"/>
    </row>
    <row r="374" spans="1:47" s="10" customFormat="1" x14ac:dyDescent="0.25">
      <c r="A374"/>
      <c r="B374" s="33"/>
      <c r="C374" s="33"/>
      <c r="D374" s="33"/>
      <c r="E374" s="33"/>
      <c r="F374"/>
      <c r="G374"/>
      <c r="H374"/>
      <c r="I374" s="490"/>
      <c r="J374" s="15"/>
      <c r="K374" s="15"/>
      <c r="L374" s="15"/>
      <c r="M374" s="15"/>
      <c r="N374" s="15"/>
      <c r="O374" s="15"/>
      <c r="P374" s="15"/>
      <c r="Q374" s="33"/>
      <c r="R374" s="33"/>
      <c r="S374" s="5"/>
      <c r="T374" s="5"/>
      <c r="U374" s="5"/>
      <c r="V374" s="5"/>
      <c r="W374" s="5"/>
      <c r="X374" s="5"/>
      <c r="Y374" s="5"/>
      <c r="Z374" s="5"/>
      <c r="AA374" s="5"/>
      <c r="AB374" s="5"/>
      <c r="AC374" s="5"/>
      <c r="AD374" s="499"/>
      <c r="AE374" s="5"/>
      <c r="AF374" s="499"/>
      <c r="AG374" s="5"/>
      <c r="AO374" s="500"/>
      <c r="AP374" s="5"/>
      <c r="AQ374" s="5"/>
      <c r="AR374" s="5"/>
      <c r="AS374" s="5"/>
      <c r="AT374" s="5"/>
      <c r="AU374" s="499"/>
    </row>
    <row r="375" spans="1:47" s="10" customFormat="1" x14ac:dyDescent="0.25">
      <c r="A375"/>
      <c r="B375" s="33"/>
      <c r="C375" s="33"/>
      <c r="D375" s="33"/>
      <c r="E375" s="33"/>
      <c r="F375"/>
      <c r="G375"/>
      <c r="H375"/>
      <c r="I375" s="490"/>
      <c r="J375" s="15"/>
      <c r="K375" s="15"/>
      <c r="L375" s="15"/>
      <c r="M375" s="15"/>
      <c r="N375" s="15"/>
      <c r="O375" s="15"/>
      <c r="P375" s="15"/>
      <c r="Q375" s="33"/>
      <c r="R375" s="33"/>
      <c r="S375" s="5"/>
      <c r="T375" s="5"/>
      <c r="U375" s="5"/>
      <c r="V375" s="5"/>
      <c r="W375" s="5"/>
      <c r="X375" s="5"/>
      <c r="Y375" s="5"/>
      <c r="Z375" s="5"/>
      <c r="AA375" s="5"/>
      <c r="AB375" s="5"/>
      <c r="AC375" s="5"/>
      <c r="AD375" s="499"/>
      <c r="AE375" s="5"/>
      <c r="AF375" s="499"/>
      <c r="AG375" s="5"/>
      <c r="AO375" s="500"/>
      <c r="AP375" s="5"/>
      <c r="AQ375" s="5"/>
      <c r="AR375" s="5"/>
      <c r="AS375" s="5"/>
      <c r="AT375" s="5"/>
      <c r="AU375" s="499"/>
    </row>
    <row r="376" spans="1:47" s="10" customFormat="1" x14ac:dyDescent="0.25">
      <c r="A376"/>
      <c r="B376" s="33"/>
      <c r="C376" s="33"/>
      <c r="D376" s="33"/>
      <c r="E376" s="33"/>
      <c r="F376"/>
      <c r="G376"/>
      <c r="H376"/>
      <c r="I376" s="490"/>
      <c r="J376" s="15"/>
      <c r="K376" s="15"/>
      <c r="L376" s="15"/>
      <c r="M376" s="15"/>
      <c r="N376" s="15"/>
      <c r="O376" s="15"/>
      <c r="P376" s="15"/>
      <c r="Q376" s="33"/>
      <c r="R376" s="33"/>
      <c r="S376" s="5"/>
      <c r="T376" s="5"/>
      <c r="U376" s="5"/>
      <c r="V376" s="5"/>
      <c r="W376" s="5"/>
      <c r="X376" s="5"/>
      <c r="Y376" s="5"/>
      <c r="Z376" s="5"/>
      <c r="AA376" s="5"/>
      <c r="AB376" s="5"/>
      <c r="AC376" s="5"/>
      <c r="AD376" s="499"/>
      <c r="AE376" s="5"/>
      <c r="AF376" s="499"/>
      <c r="AG376" s="5"/>
      <c r="AO376" s="500"/>
      <c r="AP376" s="5"/>
      <c r="AQ376" s="5"/>
      <c r="AR376" s="5"/>
      <c r="AS376" s="5"/>
      <c r="AT376" s="5"/>
      <c r="AU376" s="499"/>
    </row>
    <row r="377" spans="1:47" s="10" customFormat="1" x14ac:dyDescent="0.25">
      <c r="A377"/>
      <c r="B377" s="33"/>
      <c r="C377" s="33"/>
      <c r="D377" s="33"/>
      <c r="E377" s="33"/>
      <c r="F377"/>
      <c r="G377"/>
      <c r="H377"/>
      <c r="I377" s="490"/>
      <c r="J377" s="15"/>
      <c r="K377" s="15"/>
      <c r="L377" s="15"/>
      <c r="M377" s="15"/>
      <c r="N377" s="15"/>
      <c r="O377" s="15"/>
      <c r="P377" s="15"/>
      <c r="Q377" s="33"/>
      <c r="R377" s="33"/>
      <c r="S377" s="5"/>
      <c r="T377" s="5"/>
      <c r="U377" s="5"/>
      <c r="V377" s="5"/>
      <c r="W377" s="5"/>
      <c r="X377" s="5"/>
      <c r="Y377" s="5"/>
      <c r="Z377" s="5"/>
      <c r="AA377" s="5"/>
      <c r="AB377" s="5"/>
      <c r="AC377" s="5"/>
      <c r="AD377" s="499"/>
      <c r="AE377" s="5"/>
      <c r="AF377" s="499"/>
      <c r="AG377" s="5"/>
      <c r="AO377" s="500"/>
      <c r="AP377" s="5"/>
      <c r="AQ377" s="5"/>
      <c r="AR377" s="5"/>
      <c r="AS377" s="5"/>
      <c r="AT377" s="5"/>
      <c r="AU377" s="499"/>
    </row>
    <row r="378" spans="1:47" s="10" customFormat="1" x14ac:dyDescent="0.25">
      <c r="A378"/>
      <c r="B378" s="33"/>
      <c r="C378" s="33"/>
      <c r="D378" s="33"/>
      <c r="E378" s="33"/>
      <c r="F378"/>
      <c r="G378"/>
      <c r="H378"/>
      <c r="I378" s="490"/>
      <c r="J378" s="15"/>
      <c r="K378" s="15"/>
      <c r="L378" s="15"/>
      <c r="M378" s="15"/>
      <c r="N378" s="15"/>
      <c r="O378" s="15"/>
      <c r="P378" s="15"/>
      <c r="Q378" s="33"/>
      <c r="R378" s="33"/>
      <c r="S378" s="5"/>
      <c r="T378" s="5"/>
      <c r="U378" s="5"/>
      <c r="V378" s="5"/>
      <c r="W378" s="5"/>
      <c r="X378" s="5"/>
      <c r="Y378" s="5"/>
      <c r="Z378" s="5"/>
      <c r="AA378" s="5"/>
      <c r="AB378" s="5"/>
      <c r="AC378" s="5"/>
      <c r="AD378" s="499"/>
      <c r="AE378" s="5"/>
      <c r="AF378" s="499"/>
      <c r="AG378" s="5"/>
      <c r="AO378" s="500"/>
      <c r="AP378" s="5"/>
      <c r="AQ378" s="5"/>
      <c r="AR378" s="5"/>
      <c r="AS378" s="5"/>
      <c r="AT378" s="5"/>
      <c r="AU378" s="499"/>
    </row>
    <row r="379" spans="1:47" s="10" customFormat="1" x14ac:dyDescent="0.25">
      <c r="A379"/>
      <c r="B379" s="33"/>
      <c r="C379" s="33"/>
      <c r="D379" s="33"/>
      <c r="E379" s="33"/>
      <c r="F379"/>
      <c r="G379"/>
      <c r="H379"/>
      <c r="I379" s="490"/>
      <c r="J379" s="15"/>
      <c r="K379" s="15"/>
      <c r="L379" s="15"/>
      <c r="M379" s="15"/>
      <c r="N379" s="15"/>
      <c r="O379" s="15"/>
      <c r="P379" s="15"/>
      <c r="Q379" s="33"/>
      <c r="R379" s="33"/>
      <c r="S379" s="5"/>
      <c r="T379" s="5"/>
      <c r="U379" s="5"/>
      <c r="V379" s="5"/>
      <c r="W379" s="5"/>
      <c r="X379" s="5"/>
      <c r="Y379" s="5"/>
      <c r="Z379" s="5"/>
      <c r="AA379" s="5"/>
      <c r="AB379" s="5"/>
      <c r="AC379" s="5"/>
      <c r="AD379" s="499"/>
      <c r="AE379" s="5"/>
      <c r="AF379" s="499"/>
      <c r="AG379" s="5"/>
      <c r="AO379" s="500"/>
      <c r="AP379" s="5"/>
      <c r="AQ379" s="5"/>
      <c r="AR379" s="5"/>
      <c r="AS379" s="5"/>
      <c r="AT379" s="5"/>
      <c r="AU379" s="499"/>
    </row>
    <row r="380" spans="1:47" s="10" customFormat="1" x14ac:dyDescent="0.25">
      <c r="A380"/>
      <c r="B380" s="33"/>
      <c r="C380" s="33"/>
      <c r="D380" s="33"/>
      <c r="E380" s="33"/>
      <c r="F380"/>
      <c r="G380"/>
      <c r="H380"/>
      <c r="I380" s="490"/>
      <c r="J380" s="15"/>
      <c r="K380" s="15"/>
      <c r="L380" s="15"/>
      <c r="M380" s="15"/>
      <c r="N380" s="15"/>
      <c r="O380" s="15"/>
      <c r="P380" s="15"/>
      <c r="Q380" s="33"/>
      <c r="R380" s="33"/>
      <c r="S380" s="5"/>
      <c r="T380" s="5"/>
      <c r="U380" s="5"/>
      <c r="V380" s="5"/>
      <c r="W380" s="5"/>
      <c r="X380" s="5"/>
      <c r="Y380" s="5"/>
      <c r="Z380" s="5"/>
      <c r="AA380" s="5"/>
      <c r="AB380" s="5"/>
      <c r="AC380" s="5"/>
      <c r="AD380" s="499"/>
      <c r="AE380" s="5"/>
      <c r="AF380" s="499"/>
      <c r="AG380" s="5"/>
      <c r="AO380" s="500"/>
      <c r="AP380" s="5"/>
      <c r="AQ380" s="5"/>
      <c r="AR380" s="5"/>
      <c r="AS380" s="5"/>
      <c r="AT380" s="5"/>
      <c r="AU380" s="499"/>
    </row>
    <row r="381" spans="1:47" s="10" customFormat="1" x14ac:dyDescent="0.25">
      <c r="A381"/>
      <c r="B381" s="33"/>
      <c r="C381" s="33"/>
      <c r="D381" s="33"/>
      <c r="E381" s="33"/>
      <c r="F381"/>
      <c r="G381"/>
      <c r="H381"/>
      <c r="I381" s="490"/>
      <c r="J381" s="15"/>
      <c r="K381" s="15"/>
      <c r="L381" s="15"/>
      <c r="M381" s="15"/>
      <c r="N381" s="15"/>
      <c r="O381" s="15"/>
      <c r="P381" s="15"/>
      <c r="Q381" s="33"/>
      <c r="R381" s="33"/>
      <c r="S381" s="5"/>
      <c r="T381" s="5"/>
      <c r="U381" s="5"/>
      <c r="V381" s="5"/>
      <c r="W381" s="5"/>
      <c r="X381" s="5"/>
      <c r="Y381" s="5"/>
      <c r="Z381" s="5"/>
      <c r="AA381" s="5"/>
      <c r="AB381" s="5"/>
      <c r="AC381" s="5"/>
      <c r="AD381" s="499"/>
      <c r="AE381" s="5"/>
      <c r="AF381" s="499"/>
      <c r="AG381" s="5"/>
      <c r="AO381" s="500"/>
      <c r="AP381" s="5"/>
      <c r="AQ381" s="5"/>
      <c r="AR381" s="5"/>
      <c r="AS381" s="5"/>
      <c r="AT381" s="5"/>
      <c r="AU381" s="499"/>
    </row>
    <row r="382" spans="1:47" s="10" customFormat="1" x14ac:dyDescent="0.25">
      <c r="A382"/>
      <c r="B382" s="33"/>
      <c r="C382" s="33"/>
      <c r="D382" s="33"/>
      <c r="E382" s="33"/>
      <c r="F382"/>
      <c r="G382"/>
      <c r="H382"/>
      <c r="I382" s="490"/>
      <c r="J382" s="15"/>
      <c r="K382" s="15"/>
      <c r="L382" s="15"/>
      <c r="M382" s="15"/>
      <c r="N382" s="15"/>
      <c r="O382" s="15"/>
      <c r="P382" s="15"/>
      <c r="Q382" s="33"/>
      <c r="R382" s="33"/>
      <c r="S382" s="5"/>
      <c r="T382" s="5"/>
      <c r="U382" s="5"/>
      <c r="V382" s="5"/>
      <c r="W382" s="5"/>
      <c r="X382" s="5"/>
      <c r="Y382" s="5"/>
      <c r="Z382" s="5"/>
      <c r="AA382" s="5"/>
      <c r="AB382" s="5"/>
      <c r="AC382" s="5"/>
      <c r="AD382" s="499"/>
      <c r="AE382" s="5"/>
      <c r="AF382" s="499"/>
      <c r="AG382" s="5"/>
      <c r="AO382" s="500"/>
      <c r="AP382" s="5"/>
      <c r="AQ382" s="5"/>
      <c r="AR382" s="5"/>
      <c r="AS382" s="5"/>
      <c r="AT382" s="5"/>
      <c r="AU382" s="499"/>
    </row>
    <row r="383" spans="1:47" s="10" customFormat="1" x14ac:dyDescent="0.25">
      <c r="A383"/>
      <c r="B383" s="33"/>
      <c r="C383" s="33"/>
      <c r="D383" s="33"/>
      <c r="E383" s="33"/>
      <c r="F383"/>
      <c r="G383"/>
      <c r="H383"/>
      <c r="I383" s="490"/>
      <c r="J383" s="15"/>
      <c r="K383" s="15"/>
      <c r="L383" s="15"/>
      <c r="M383" s="15"/>
      <c r="N383" s="15"/>
      <c r="O383" s="15"/>
      <c r="P383" s="15"/>
      <c r="Q383" s="33"/>
      <c r="R383" s="33"/>
      <c r="S383" s="5"/>
      <c r="T383" s="5"/>
      <c r="U383" s="5"/>
      <c r="V383" s="5"/>
      <c r="W383" s="5"/>
      <c r="X383" s="5"/>
      <c r="Y383" s="5"/>
      <c r="Z383" s="5"/>
      <c r="AA383" s="5"/>
      <c r="AB383" s="5"/>
      <c r="AC383" s="5"/>
      <c r="AD383" s="499"/>
      <c r="AE383" s="5"/>
      <c r="AF383" s="499"/>
      <c r="AG383" s="5"/>
      <c r="AO383" s="500"/>
      <c r="AP383" s="5"/>
      <c r="AQ383" s="5"/>
      <c r="AR383" s="5"/>
      <c r="AS383" s="5"/>
      <c r="AT383" s="5"/>
      <c r="AU383" s="499"/>
    </row>
    <row r="384" spans="1:47" s="10" customFormat="1" x14ac:dyDescent="0.25">
      <c r="A384"/>
      <c r="B384" s="33"/>
      <c r="C384" s="33"/>
      <c r="D384" s="33"/>
      <c r="E384" s="33"/>
      <c r="F384"/>
      <c r="G384"/>
      <c r="H384"/>
      <c r="I384" s="490"/>
      <c r="J384" s="15"/>
      <c r="K384" s="15"/>
      <c r="L384" s="15"/>
      <c r="M384" s="15"/>
      <c r="N384" s="15"/>
      <c r="O384" s="15"/>
      <c r="P384" s="15"/>
      <c r="Q384" s="33"/>
      <c r="R384" s="33"/>
      <c r="S384" s="5"/>
      <c r="T384" s="5"/>
      <c r="U384" s="5"/>
      <c r="V384" s="5"/>
      <c r="W384" s="5"/>
      <c r="X384" s="5"/>
      <c r="Y384" s="5"/>
      <c r="Z384" s="5"/>
      <c r="AA384" s="5"/>
      <c r="AB384" s="5"/>
      <c r="AC384" s="5"/>
      <c r="AD384" s="499"/>
      <c r="AE384" s="5"/>
      <c r="AF384" s="499"/>
      <c r="AG384" s="5"/>
      <c r="AO384" s="500"/>
      <c r="AP384" s="5"/>
      <c r="AQ384" s="5"/>
      <c r="AR384" s="5"/>
      <c r="AS384" s="5"/>
      <c r="AT384" s="5"/>
      <c r="AU384" s="499"/>
    </row>
    <row r="385" spans="1:47" s="10" customFormat="1" x14ac:dyDescent="0.25">
      <c r="A385"/>
      <c r="B385" s="33"/>
      <c r="C385" s="33"/>
      <c r="D385" s="33"/>
      <c r="E385" s="33"/>
      <c r="F385"/>
      <c r="G385"/>
      <c r="H385"/>
      <c r="I385" s="490"/>
      <c r="J385" s="15"/>
      <c r="K385" s="15"/>
      <c r="L385" s="15"/>
      <c r="M385" s="15"/>
      <c r="N385" s="15"/>
      <c r="O385" s="15"/>
      <c r="P385" s="15"/>
      <c r="Q385" s="33"/>
      <c r="R385" s="33"/>
      <c r="S385" s="5"/>
      <c r="T385" s="5"/>
      <c r="U385" s="5"/>
      <c r="V385" s="5"/>
      <c r="W385" s="5"/>
      <c r="X385" s="5"/>
      <c r="Y385" s="5"/>
      <c r="Z385" s="5"/>
      <c r="AA385" s="5"/>
      <c r="AB385" s="5"/>
      <c r="AC385" s="5"/>
      <c r="AD385" s="499"/>
      <c r="AE385" s="5"/>
      <c r="AF385" s="499"/>
      <c r="AG385" s="5"/>
      <c r="AO385" s="500"/>
      <c r="AP385" s="5"/>
      <c r="AQ385" s="5"/>
      <c r="AR385" s="5"/>
      <c r="AS385" s="5"/>
      <c r="AT385" s="5"/>
      <c r="AU385" s="499"/>
    </row>
    <row r="386" spans="1:47" s="10" customFormat="1" x14ac:dyDescent="0.25">
      <c r="A386"/>
      <c r="B386" s="33"/>
      <c r="C386" s="33"/>
      <c r="D386" s="33"/>
      <c r="E386" s="33"/>
      <c r="F386"/>
      <c r="G386"/>
      <c r="H386"/>
      <c r="I386" s="490"/>
      <c r="J386" s="15"/>
      <c r="K386" s="15"/>
      <c r="L386" s="15"/>
      <c r="M386" s="15"/>
      <c r="N386" s="15"/>
      <c r="O386" s="15"/>
      <c r="P386" s="15"/>
      <c r="Q386" s="33"/>
      <c r="R386" s="33"/>
      <c r="S386" s="5"/>
      <c r="T386" s="5"/>
      <c r="U386" s="5"/>
      <c r="V386" s="5"/>
      <c r="W386" s="5"/>
      <c r="X386" s="5"/>
      <c r="Y386" s="5"/>
      <c r="Z386" s="5"/>
      <c r="AA386" s="5"/>
      <c r="AB386" s="5"/>
      <c r="AC386" s="5"/>
      <c r="AD386" s="499"/>
      <c r="AE386" s="5"/>
      <c r="AF386" s="499"/>
      <c r="AG386" s="5"/>
      <c r="AO386" s="500"/>
      <c r="AP386" s="5"/>
      <c r="AQ386" s="5"/>
      <c r="AR386" s="5"/>
      <c r="AS386" s="5"/>
      <c r="AT386" s="5"/>
      <c r="AU386" s="499"/>
    </row>
    <row r="387" spans="1:47" s="10" customFormat="1" x14ac:dyDescent="0.25">
      <c r="A387"/>
      <c r="B387" s="33"/>
      <c r="C387" s="33"/>
      <c r="D387" s="33"/>
      <c r="E387" s="33"/>
      <c r="F387"/>
      <c r="G387"/>
      <c r="H387"/>
      <c r="I387" s="490"/>
      <c r="J387" s="15"/>
      <c r="K387" s="15"/>
      <c r="L387" s="15"/>
      <c r="M387" s="15"/>
      <c r="N387" s="15"/>
      <c r="O387" s="15"/>
      <c r="P387" s="15"/>
      <c r="Q387" s="33"/>
      <c r="R387" s="33"/>
      <c r="S387" s="5"/>
      <c r="T387" s="5"/>
      <c r="U387" s="5"/>
      <c r="V387" s="5"/>
      <c r="W387" s="5"/>
      <c r="X387" s="5"/>
      <c r="Y387" s="5"/>
      <c r="Z387" s="5"/>
      <c r="AA387" s="5"/>
      <c r="AB387" s="5"/>
      <c r="AC387" s="5"/>
      <c r="AD387" s="499"/>
      <c r="AE387" s="5"/>
      <c r="AF387" s="499"/>
      <c r="AG387" s="5"/>
      <c r="AO387" s="500"/>
      <c r="AP387" s="5"/>
      <c r="AQ387" s="5"/>
      <c r="AR387" s="5"/>
      <c r="AS387" s="5"/>
      <c r="AT387" s="5"/>
      <c r="AU387" s="499"/>
    </row>
    <row r="388" spans="1:47" s="10" customFormat="1" x14ac:dyDescent="0.25">
      <c r="A388"/>
      <c r="B388" s="33"/>
      <c r="C388" s="33"/>
      <c r="D388" s="33"/>
      <c r="E388" s="33"/>
      <c r="F388"/>
      <c r="G388"/>
      <c r="H388"/>
      <c r="I388" s="490"/>
      <c r="J388" s="15"/>
      <c r="K388" s="15"/>
      <c r="L388" s="15"/>
      <c r="M388" s="15"/>
      <c r="N388" s="15"/>
      <c r="O388" s="15"/>
      <c r="P388" s="15"/>
      <c r="Q388" s="33"/>
      <c r="R388" s="33"/>
      <c r="S388" s="5"/>
      <c r="T388" s="5"/>
      <c r="U388" s="5"/>
      <c r="V388" s="5"/>
      <c r="W388" s="5"/>
      <c r="X388" s="5"/>
      <c r="Y388" s="5"/>
      <c r="Z388" s="5"/>
      <c r="AA388" s="5"/>
      <c r="AB388" s="5"/>
      <c r="AC388" s="5"/>
      <c r="AD388" s="499"/>
      <c r="AE388" s="5"/>
      <c r="AF388" s="499"/>
      <c r="AG388" s="5"/>
      <c r="AO388" s="500"/>
      <c r="AP388" s="5"/>
      <c r="AQ388" s="5"/>
      <c r="AR388" s="5"/>
      <c r="AS388" s="5"/>
      <c r="AT388" s="5"/>
      <c r="AU388" s="499"/>
    </row>
    <row r="389" spans="1:47" s="10" customFormat="1" x14ac:dyDescent="0.25">
      <c r="A389"/>
      <c r="B389" s="33"/>
      <c r="C389" s="33"/>
      <c r="D389" s="33"/>
      <c r="E389" s="33"/>
      <c r="F389"/>
      <c r="G389"/>
      <c r="H389"/>
      <c r="I389" s="490"/>
      <c r="J389" s="15"/>
      <c r="K389" s="15"/>
      <c r="L389" s="15"/>
      <c r="M389" s="15"/>
      <c r="N389" s="15"/>
      <c r="O389" s="15"/>
      <c r="P389" s="15"/>
      <c r="Q389" s="33"/>
      <c r="R389" s="33"/>
      <c r="S389" s="5"/>
      <c r="T389" s="5"/>
      <c r="U389" s="5"/>
      <c r="V389" s="5"/>
      <c r="W389" s="5"/>
      <c r="X389" s="5"/>
      <c r="Y389" s="5"/>
      <c r="Z389" s="5"/>
      <c r="AA389" s="5"/>
      <c r="AB389" s="5"/>
      <c r="AC389" s="5"/>
      <c r="AD389" s="499"/>
      <c r="AE389" s="5"/>
      <c r="AF389" s="499"/>
      <c r="AG389" s="5"/>
      <c r="AO389" s="500"/>
      <c r="AP389" s="5"/>
      <c r="AQ389" s="5"/>
      <c r="AR389" s="5"/>
      <c r="AS389" s="5"/>
      <c r="AT389" s="5"/>
      <c r="AU389" s="499"/>
    </row>
    <row r="390" spans="1:47" s="10" customFormat="1" x14ac:dyDescent="0.25">
      <c r="A390"/>
      <c r="B390" s="33"/>
      <c r="C390" s="33"/>
      <c r="D390" s="33"/>
      <c r="E390" s="33"/>
      <c r="F390"/>
      <c r="G390"/>
      <c r="H390"/>
      <c r="I390" s="490"/>
      <c r="J390" s="15"/>
      <c r="K390" s="15"/>
      <c r="L390" s="15"/>
      <c r="M390" s="15"/>
      <c r="N390" s="15"/>
      <c r="O390" s="15"/>
      <c r="P390" s="15"/>
      <c r="Q390" s="33"/>
      <c r="R390" s="33"/>
      <c r="S390" s="5"/>
      <c r="T390" s="5"/>
      <c r="U390" s="5"/>
      <c r="V390" s="5"/>
      <c r="W390" s="5"/>
      <c r="X390" s="5"/>
      <c r="Y390" s="5"/>
      <c r="Z390" s="5"/>
      <c r="AA390" s="5"/>
      <c r="AB390" s="5"/>
      <c r="AC390" s="5"/>
      <c r="AD390" s="499"/>
      <c r="AE390" s="5"/>
      <c r="AF390" s="499"/>
      <c r="AG390" s="5"/>
      <c r="AO390" s="500"/>
      <c r="AP390" s="5"/>
      <c r="AQ390" s="5"/>
      <c r="AR390" s="5"/>
      <c r="AS390" s="5"/>
      <c r="AT390" s="5"/>
      <c r="AU390" s="499"/>
    </row>
    <row r="391" spans="1:47" s="10" customFormat="1" x14ac:dyDescent="0.25">
      <c r="A391"/>
      <c r="B391" s="33"/>
      <c r="C391" s="33"/>
      <c r="D391" s="33"/>
      <c r="E391" s="33"/>
      <c r="F391"/>
      <c r="G391"/>
      <c r="H391"/>
      <c r="I391" s="490"/>
      <c r="J391" s="15"/>
      <c r="K391" s="15"/>
      <c r="L391" s="15"/>
      <c r="M391" s="15"/>
      <c r="N391" s="15"/>
      <c r="O391" s="15"/>
      <c r="P391" s="15"/>
      <c r="Q391" s="33"/>
      <c r="R391" s="33"/>
      <c r="S391" s="5"/>
      <c r="T391" s="5"/>
      <c r="U391" s="5"/>
      <c r="V391" s="5"/>
      <c r="W391" s="5"/>
      <c r="X391" s="5"/>
      <c r="Y391" s="5"/>
      <c r="Z391" s="5"/>
      <c r="AA391" s="5"/>
      <c r="AB391" s="5"/>
      <c r="AC391" s="5"/>
      <c r="AD391" s="499"/>
      <c r="AE391" s="5"/>
      <c r="AF391" s="499"/>
      <c r="AG391" s="5"/>
      <c r="AO391" s="500"/>
      <c r="AP391" s="5"/>
      <c r="AQ391" s="5"/>
      <c r="AR391" s="5"/>
      <c r="AS391" s="5"/>
      <c r="AT391" s="5"/>
      <c r="AU391" s="499"/>
    </row>
    <row r="392" spans="1:47" s="10" customFormat="1" x14ac:dyDescent="0.25">
      <c r="A392"/>
      <c r="B392" s="33"/>
      <c r="C392" s="33"/>
      <c r="D392" s="33"/>
      <c r="E392" s="33"/>
      <c r="F392"/>
      <c r="G392"/>
      <c r="H392"/>
      <c r="I392" s="490"/>
      <c r="J392" s="15"/>
      <c r="K392" s="15"/>
      <c r="L392" s="15"/>
      <c r="M392" s="15"/>
      <c r="N392" s="15"/>
      <c r="O392" s="15"/>
      <c r="P392" s="15"/>
      <c r="Q392" s="33"/>
      <c r="R392" s="33"/>
      <c r="S392" s="5"/>
      <c r="T392" s="5"/>
      <c r="U392" s="5"/>
      <c r="V392" s="5"/>
      <c r="W392" s="5"/>
      <c r="X392" s="5"/>
      <c r="Y392" s="5"/>
      <c r="Z392" s="5"/>
      <c r="AA392" s="5"/>
      <c r="AB392" s="5"/>
      <c r="AC392" s="5"/>
      <c r="AD392" s="499"/>
      <c r="AE392" s="5"/>
      <c r="AF392" s="499"/>
      <c r="AG392" s="5"/>
      <c r="AO392" s="500"/>
      <c r="AP392" s="5"/>
      <c r="AQ392" s="5"/>
      <c r="AR392" s="5"/>
      <c r="AS392" s="5"/>
      <c r="AT392" s="5"/>
      <c r="AU392" s="499"/>
    </row>
    <row r="393" spans="1:47" s="10" customFormat="1" x14ac:dyDescent="0.25">
      <c r="A393"/>
      <c r="B393" s="33"/>
      <c r="C393" s="33"/>
      <c r="D393" s="33"/>
      <c r="E393" s="33"/>
      <c r="F393"/>
      <c r="G393"/>
      <c r="H393"/>
      <c r="I393" s="490"/>
      <c r="J393" s="15"/>
      <c r="K393" s="15"/>
      <c r="L393" s="15"/>
      <c r="M393" s="15"/>
      <c r="N393" s="15"/>
      <c r="O393" s="15"/>
      <c r="P393" s="15"/>
      <c r="Q393" s="33"/>
      <c r="R393" s="33"/>
      <c r="S393" s="5"/>
      <c r="T393" s="5"/>
      <c r="U393" s="5"/>
      <c r="V393" s="5"/>
      <c r="W393" s="5"/>
      <c r="X393" s="5"/>
      <c r="Y393" s="5"/>
      <c r="Z393" s="5"/>
      <c r="AA393" s="5"/>
      <c r="AB393" s="5"/>
      <c r="AC393" s="5"/>
      <c r="AD393" s="499"/>
      <c r="AE393" s="5"/>
      <c r="AF393" s="499"/>
      <c r="AG393" s="5"/>
      <c r="AO393" s="500"/>
      <c r="AP393" s="5"/>
      <c r="AQ393" s="5"/>
      <c r="AR393" s="5"/>
      <c r="AS393" s="5"/>
      <c r="AT393" s="5"/>
      <c r="AU393" s="499"/>
    </row>
    <row r="394" spans="1:47" s="10" customFormat="1" x14ac:dyDescent="0.25">
      <c r="A394"/>
      <c r="B394" s="33"/>
      <c r="C394" s="33"/>
      <c r="D394" s="33"/>
      <c r="E394" s="33"/>
      <c r="F394"/>
      <c r="G394"/>
      <c r="H394"/>
      <c r="I394" s="490"/>
      <c r="J394" s="15"/>
      <c r="K394" s="15"/>
      <c r="L394" s="15"/>
      <c r="M394" s="15"/>
      <c r="N394" s="15"/>
      <c r="O394" s="15"/>
      <c r="P394" s="15"/>
      <c r="Q394" s="33"/>
      <c r="R394" s="33"/>
      <c r="S394" s="5"/>
      <c r="T394" s="5"/>
      <c r="U394" s="5"/>
      <c r="V394" s="5"/>
      <c r="W394" s="5"/>
      <c r="X394" s="5"/>
      <c r="Y394" s="5"/>
      <c r="Z394" s="5"/>
      <c r="AA394" s="5"/>
      <c r="AB394" s="5"/>
      <c r="AC394" s="5"/>
      <c r="AD394" s="499"/>
      <c r="AE394" s="5"/>
      <c r="AF394" s="499"/>
      <c r="AG394" s="5"/>
      <c r="AO394" s="500"/>
      <c r="AP394" s="5"/>
      <c r="AQ394" s="5"/>
      <c r="AR394" s="5"/>
      <c r="AS394" s="5"/>
      <c r="AT394" s="5"/>
      <c r="AU394" s="499"/>
    </row>
    <row r="395" spans="1:47" s="10" customFormat="1" x14ac:dyDescent="0.25">
      <c r="A395"/>
      <c r="B395" s="33"/>
      <c r="C395" s="33"/>
      <c r="D395" s="33"/>
      <c r="E395" s="33"/>
      <c r="F395"/>
      <c r="G395"/>
      <c r="H395"/>
      <c r="I395" s="490"/>
      <c r="J395" s="15"/>
      <c r="K395" s="15"/>
      <c r="L395" s="15"/>
      <c r="M395" s="15"/>
      <c r="N395" s="15"/>
      <c r="O395" s="15"/>
      <c r="P395" s="15"/>
      <c r="Q395" s="33"/>
      <c r="R395" s="33"/>
      <c r="S395" s="5"/>
      <c r="T395" s="5"/>
      <c r="U395" s="5"/>
      <c r="V395" s="5"/>
      <c r="W395" s="5"/>
      <c r="X395" s="5"/>
      <c r="Y395" s="5"/>
      <c r="Z395" s="5"/>
      <c r="AA395" s="5"/>
      <c r="AB395" s="5"/>
      <c r="AC395" s="5"/>
      <c r="AD395" s="499"/>
      <c r="AE395" s="5"/>
      <c r="AF395" s="499"/>
      <c r="AG395" s="5"/>
      <c r="AO395" s="500"/>
      <c r="AP395" s="5"/>
      <c r="AQ395" s="5"/>
      <c r="AR395" s="5"/>
      <c r="AS395" s="5"/>
      <c r="AT395" s="5"/>
      <c r="AU395" s="499"/>
    </row>
  </sheetData>
  <mergeCells count="13">
    <mergeCell ref="AX4:AY4"/>
    <mergeCell ref="AV3:AY3"/>
    <mergeCell ref="AP4:AU4"/>
    <mergeCell ref="AC4:AD4"/>
    <mergeCell ref="AE4:AF4"/>
    <mergeCell ref="Q3:AF3"/>
    <mergeCell ref="AJ4:AO4"/>
    <mergeCell ref="AG3:AU3"/>
    <mergeCell ref="B4:C4"/>
    <mergeCell ref="D4:E4"/>
    <mergeCell ref="B3:E3"/>
    <mergeCell ref="I3:P3"/>
    <mergeCell ref="AV4:AW4"/>
  </mergeCells>
  <phoneticPr fontId="2" type="noConversion"/>
  <conditionalFormatting sqref="B10:E311 B314:E318 B320:E323 B326:E424">
    <cfRule type="cellIs" dxfId="18" priority="5" stopIfTrue="1" operator="equal">
      <formula>"No"</formula>
    </cfRule>
    <cfRule type="cellIs" dxfId="17" priority="6" stopIfTrue="1" operator="equal">
      <formula>"Needed"</formula>
    </cfRule>
    <cfRule type="cellIs" dxfId="16" priority="7" stopIfTrue="1" operator="equal">
      <formula>"Caution"</formula>
    </cfRule>
  </conditionalFormatting>
  <conditionalFormatting sqref="C1:E2 B1:B9 C4:D4 C5:E8 B425:E65536">
    <cfRule type="cellIs" dxfId="15" priority="4" stopIfTrue="1" operator="equal">
      <formula>0</formula>
    </cfRule>
  </conditionalFormatting>
  <conditionalFormatting sqref="H1:H9 D9 H425:H65536 AC5:AC9">
    <cfRule type="cellIs" dxfId="14" priority="3" stopIfTrue="1" operator="equal">
      <formula>"Suggested"</formula>
    </cfRule>
  </conditionalFormatting>
  <conditionalFormatting sqref="H1:H9 D9 H425:H65536">
    <cfRule type="cellIs" dxfId="13" priority="2" stopIfTrue="1" operator="equal">
      <formula>"NA"</formula>
    </cfRule>
  </conditionalFormatting>
  <conditionalFormatting sqref="W5:W7">
    <cfRule type="cellIs" dxfId="12" priority="8" stopIfTrue="1" operator="equal">
      <formula>"NA"</formula>
    </cfRule>
  </conditionalFormatting>
  <conditionalFormatting sqref="AV1:AZ3 Q2 AV4:AV6 AZ4:AZ7 AW4:AY8 U4:V9 X4:AC9 AL5:AM5 AR5:AS5 AN5:AO9 AT5:AU9 AD8 AF8 AZ9:AZ31 F10:AH10 AI10:AY42 I11:AH42 F12:H38 AZ33:AZ34 AZ40 F43:AZ43 F44:H44 I44:AY311 F49:H54 AZ49:AZ54 F59:H64 AZ59:AZ64 F66:H66 AZ66 F68:H77 AZ68:AZ77 AZ194:AZ200 F194:H204 AZ204 AZ207:AZ212 AZ217:AZ243 F245:H245 AZ245 F253:H254 AZ253:AZ254 F257:H257 AZ257 F259:H272 AZ259:AZ272 F276:H276 AZ276 F278:H278 AZ278 F282:H282 AZ282 F285:H285 AZ285 F291:H293 AZ291:AZ293 F295:H305 AZ295:AZ305 F310:H311 AZ310:AZ311 F314:AZ318 F320:AZ323 AK326:AY390 F326:AJ424 AZ326:AZ65536 AK391:AU424 AV391:AY65536">
    <cfRule type="cellIs" dxfId="11" priority="1" stopIfTrue="1" operator="equal">
      <formula>"NA"</formula>
    </cfRule>
  </conditionalFormatting>
  <pageMargins left="0.25" right="0.25" top="0.34" bottom="0.3" header="0" footer="0"/>
  <pageSetup paperSize="17" scale="60" fitToWidth="2" fitToHeight="3" orientation="landscape" horizontalDpi="300"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P396"/>
  <sheetViews>
    <sheetView showGridLines="0" zoomScaleNormal="100" workbookViewId="0">
      <pane xSplit="1" ySplit="9" topLeftCell="B26" activePane="bottomRight" state="frozenSplit"/>
      <selection pane="topRight" activeCell="B1" sqref="B1"/>
      <selection pane="bottomLeft" activeCell="A10" sqref="A10"/>
      <selection pane="bottomRight" activeCell="A43" sqref="A43"/>
    </sheetView>
  </sheetViews>
  <sheetFormatPr defaultRowHeight="13.2" x14ac:dyDescent="0.25"/>
  <cols>
    <col min="1" max="1" width="30.44140625" style="4" customWidth="1"/>
    <col min="2" max="13" width="10.5546875" style="4" customWidth="1"/>
  </cols>
  <sheetData>
    <row r="1" spans="1:13" ht="17.399999999999999" x14ac:dyDescent="0.3">
      <c r="A1" s="14"/>
      <c r="B1" s="202"/>
      <c r="D1" s="97"/>
      <c r="H1" s="97"/>
    </row>
    <row r="2" spans="1:13" x14ac:dyDescent="0.25">
      <c r="E2" s="96"/>
    </row>
    <row r="3" spans="1:13" ht="13.8" thickBot="1" x14ac:dyDescent="0.3">
      <c r="C3" s="24"/>
      <c r="D3" s="24"/>
      <c r="E3" s="24"/>
      <c r="F3" s="24"/>
      <c r="G3" s="24"/>
      <c r="H3" s="157"/>
      <c r="I3" s="24"/>
      <c r="J3" s="24"/>
      <c r="K3" s="24"/>
      <c r="L3" s="32"/>
      <c r="M3" s="32"/>
    </row>
    <row r="4" spans="1:13" ht="13.8" thickBot="1" x14ac:dyDescent="0.3">
      <c r="A4" s="94"/>
      <c r="B4" s="466"/>
      <c r="C4" s="467" t="s">
        <v>211</v>
      </c>
      <c r="D4" s="468" t="s">
        <v>212</v>
      </c>
      <c r="E4" s="469" t="s">
        <v>213</v>
      </c>
      <c r="F4" s="436" t="s">
        <v>213</v>
      </c>
      <c r="G4" s="470" t="s">
        <v>283</v>
      </c>
      <c r="H4" s="1192" t="s">
        <v>843</v>
      </c>
      <c r="I4" s="1193"/>
      <c r="J4" s="1194"/>
      <c r="K4" s="471"/>
      <c r="L4" s="472" t="s">
        <v>771</v>
      </c>
      <c r="M4" s="473"/>
    </row>
    <row r="5" spans="1:13" x14ac:dyDescent="0.25">
      <c r="B5" s="443" t="str">
        <f>IF(Start!C19="x","Further","Testing")</f>
        <v>Testing</v>
      </c>
      <c r="C5" s="474" t="s">
        <v>218</v>
      </c>
      <c r="D5" s="475" t="s">
        <v>221</v>
      </c>
      <c r="E5" s="476" t="s">
        <v>222</v>
      </c>
      <c r="F5" s="438" t="s">
        <v>291</v>
      </c>
      <c r="G5" s="477" t="s">
        <v>300</v>
      </c>
      <c r="H5" s="447" t="s">
        <v>221</v>
      </c>
      <c r="I5" s="446" t="s">
        <v>213</v>
      </c>
      <c r="J5" s="447" t="s">
        <v>844</v>
      </c>
      <c r="K5" s="425" t="s">
        <v>648</v>
      </c>
      <c r="L5" s="425" t="s">
        <v>218</v>
      </c>
      <c r="M5" s="425" t="s">
        <v>218</v>
      </c>
    </row>
    <row r="6" spans="1:13" s="10" customFormat="1" x14ac:dyDescent="0.25">
      <c r="A6" s="4"/>
      <c r="B6" s="443" t="str">
        <f>IF(Start!C19="x","Testing","Not Required")</f>
        <v>Not Required</v>
      </c>
      <c r="C6" s="474" t="s">
        <v>212</v>
      </c>
      <c r="D6" s="475" t="s">
        <v>233</v>
      </c>
      <c r="E6" s="476" t="s">
        <v>233</v>
      </c>
      <c r="F6" s="438" t="s">
        <v>248</v>
      </c>
      <c r="G6" s="477" t="s">
        <v>314</v>
      </c>
      <c r="H6" s="447" t="s">
        <v>845</v>
      </c>
      <c r="I6" s="446" t="s">
        <v>845</v>
      </c>
      <c r="J6" s="446" t="s">
        <v>845</v>
      </c>
      <c r="K6" s="425" t="s">
        <v>653</v>
      </c>
      <c r="L6" s="425" t="s">
        <v>212</v>
      </c>
      <c r="M6" s="425" t="s">
        <v>212</v>
      </c>
    </row>
    <row r="7" spans="1:13" s="10" customFormat="1" x14ac:dyDescent="0.25">
      <c r="A7" s="4"/>
      <c r="B7" s="443" t="str">
        <f>IF(Start!C19="x","Required?","based on")</f>
        <v>based on</v>
      </c>
      <c r="C7" s="474" t="s">
        <v>248</v>
      </c>
      <c r="D7" s="478" t="s">
        <v>846</v>
      </c>
      <c r="E7" s="476" t="s">
        <v>847</v>
      </c>
      <c r="F7" s="438" t="s">
        <v>848</v>
      </c>
      <c r="G7" s="477" t="s">
        <v>849</v>
      </c>
      <c r="H7" s="479"/>
      <c r="I7" s="446"/>
      <c r="J7" s="446"/>
      <c r="K7" s="425" t="s">
        <v>656</v>
      </c>
      <c r="L7" s="425" t="s">
        <v>850</v>
      </c>
      <c r="M7" s="425" t="s">
        <v>850</v>
      </c>
    </row>
    <row r="8" spans="1:13" s="10" customFormat="1" x14ac:dyDescent="0.25">
      <c r="A8" s="4"/>
      <c r="B8" s="443" t="str">
        <f>IF(Start!C19="x","","Tier I Results")</f>
        <v>Tier I Results</v>
      </c>
      <c r="C8" s="474" t="s">
        <v>266</v>
      </c>
      <c r="D8" s="480" t="s">
        <v>662</v>
      </c>
      <c r="E8" s="481" t="s">
        <v>662</v>
      </c>
      <c r="F8" s="438"/>
      <c r="G8" s="477"/>
      <c r="H8" s="479" t="s">
        <v>662</v>
      </c>
      <c r="I8" s="446"/>
      <c r="J8" s="446"/>
      <c r="K8" s="392" t="s">
        <v>662</v>
      </c>
      <c r="L8" s="425" t="s">
        <v>213</v>
      </c>
      <c r="M8" s="425" t="s">
        <v>300</v>
      </c>
    </row>
    <row r="9" spans="1:13" s="10" customFormat="1" ht="13.8" thickBot="1" x14ac:dyDescent="0.3">
      <c r="A9" s="95" t="s">
        <v>723</v>
      </c>
      <c r="B9" s="482"/>
      <c r="C9" s="483" t="s">
        <v>285</v>
      </c>
      <c r="D9" s="475" t="s">
        <v>287</v>
      </c>
      <c r="E9" s="476" t="s">
        <v>287</v>
      </c>
      <c r="F9" s="484" t="s">
        <v>285</v>
      </c>
      <c r="G9" s="484" t="s">
        <v>285</v>
      </c>
      <c r="H9" s="451"/>
      <c r="I9" s="451"/>
      <c r="J9" s="451"/>
      <c r="K9" s="485"/>
      <c r="L9" s="485" t="s">
        <v>291</v>
      </c>
      <c r="M9" s="485" t="s">
        <v>314</v>
      </c>
    </row>
    <row r="10" spans="1:13" s="10" customFormat="1" x14ac:dyDescent="0.25">
      <c r="A10" s="505" t="s">
        <v>326</v>
      </c>
      <c r="B10" s="546"/>
      <c r="C10" s="545"/>
      <c r="D10" s="547"/>
      <c r="E10" s="548"/>
      <c r="F10" s="511" t="str">
        <f>IF(TRUE=ISBLANK(ChemData!E10),"",(ChemData!E10))</f>
        <v/>
      </c>
      <c r="G10" s="513"/>
      <c r="H10" s="543"/>
      <c r="I10" s="511"/>
      <c r="J10" s="513"/>
      <c r="K10" s="543"/>
      <c r="L10" s="511"/>
      <c r="M10" s="513"/>
    </row>
    <row r="11" spans="1:13" s="10" customFormat="1" x14ac:dyDescent="0.25">
      <c r="A11" s="405" t="s">
        <v>327</v>
      </c>
      <c r="B11" s="456" t="str">
        <f>IF(Start!$C$19="x",IF(AND(H11="",I11="",J11=""),"",(IF(H11="OK","No",(IF(H11="Exceeded",(IF(J11="OK","No",(IF(J11="Exceeded","Needed",(IF(J11="No Criteria","No Criteria","Missing Data")))))),(IF(I11="OK","No",(IF(J11="OK","No",(IF(J11="Exceeded","Needed",(IF(J11="No Criteria","No Criteria","Missing Data"))))))))))))),"---")</f>
        <v>---</v>
      </c>
      <c r="C11" s="457" t="str">
        <f>IF(TRUE=ISBLANK(ChemData!B11),"",(ChemData!B11))</f>
        <v/>
      </c>
      <c r="D11" s="402" t="str">
        <f>IF(TRUE=ISBLANK(ChemData!F11),"",(ChemData!F11))</f>
        <v/>
      </c>
      <c r="E11" s="458" t="str">
        <f>IF(TRUE=ISBLANK(ChemData!G11),"",(ChemData!G11))</f>
        <v/>
      </c>
      <c r="F11" s="459" t="str">
        <f>IF(TRUE=ISBLANK(ChemData!E11),"",(ChemData!E11))</f>
        <v/>
      </c>
      <c r="G11" s="291">
        <f>IF(TRUE=ISBLANK(ChemData!L11),"",(ChemData!L11))</f>
        <v>190000</v>
      </c>
      <c r="H11" s="460" t="str">
        <f>IF(Start!$C$19="x",IF(OR(D11="",D11="NA"),"",IF(OR(E11="",E11="NA"),"No Ref",IF(D11&gt;E11,"Exceeded","OK"))),"---")</f>
        <v>---</v>
      </c>
      <c r="I11" s="461" t="str">
        <f>IF(Start!$C$19="x",IF(OR(C11="",C11="NA"),"",IF(OR(F11="",F11="NA"),"No Ref",(IF((C11*100/Data!$D$10)&gt;(F11*100/Data!$D$60),"Exceeded","OK")))),"---")</f>
        <v>---</v>
      </c>
      <c r="J11" s="377" t="str">
        <f>IF(Start!$C$19="x",IF(OR(C11="",C11="NA"),"",IF(OR(G11="",G11="NA"),"No Criteria",(IF(C11&gt;(G11*Data!$D$10/100),"Exceeded","OK")))),"---")</f>
        <v>---</v>
      </c>
      <c r="K11" s="343" t="str">
        <f>IF(Start!$C$19="x",IF(OR(D11="",D11="NA"),"",IF(OR(E11="",E11="NA"),"No Ref",IF(E11=0,"No Criteria",(D11/E11)))),"Not Req.")</f>
        <v>Not Req.</v>
      </c>
      <c r="L11" s="286" t="str">
        <f>IF(Start!$C$19="x",IF(C11="","NA",IF(F11="","No Ref", (IF(F11 = 0, "NA", ((C11*100/Data!$D$10)/(F11*100/Data!$D$60)))))),"Not Req.")</f>
        <v>Not Req.</v>
      </c>
      <c r="M11" s="285" t="str">
        <f>IF(Start!$C$19="x",IF(C11="","NA",IF(OR(G11="",G11="NA"),"No Criteria",(IF(G11 = 0, "NA", (C11/(G11*Data!$D$10/100)))))),"Not Req.")</f>
        <v>Not Req.</v>
      </c>
    </row>
    <row r="12" spans="1:13" s="10" customFormat="1" x14ac:dyDescent="0.25">
      <c r="A12" s="405" t="s">
        <v>330</v>
      </c>
      <c r="B12" s="456" t="str">
        <f>IF(Start!$C$19="x",IF(AND(H12="",I12="",J12=""),"",(IF(H12="OK","No",(IF(H12="Exceeded",(IF(J12="OK","No",(IF(J12="Exceeded","Needed",(IF(J12="No Criteria","No Criteria","Missing Data")))))),(IF(I12="OK","No",(IF(J12="OK","No",(IF(J12="Exceeded","Needed",(IF(J12="No Criteria","No Criteria","Missing Data"))))))))))))),"---")</f>
        <v>---</v>
      </c>
      <c r="C12" s="457" t="str">
        <f>IF(TRUE=ISBLANK(ChemData!B12),"",(ChemData!B12))</f>
        <v/>
      </c>
      <c r="D12" s="402" t="str">
        <f>IF(TRUE=ISBLANK(ChemData!F12),"",(ChemData!F12))</f>
        <v/>
      </c>
      <c r="E12" s="458" t="str">
        <f>IF(TRUE=ISBLANK(ChemData!G12),"",(ChemData!G12))</f>
        <v/>
      </c>
      <c r="F12" s="459" t="str">
        <f>IF(TRUE=ISBLANK(ChemData!E12),"",(ChemData!E12))</f>
        <v/>
      </c>
      <c r="G12" s="291">
        <f>IF(TRUE=ISBLANK(ChemData!L12),"",(ChemData!L12))</f>
        <v>27</v>
      </c>
      <c r="H12" s="460" t="str">
        <f>IF(Start!$C$19="x",IF(OR(D12="",D12="NA"),"",IF(OR(E12="",E12="NA"),"No Ref",IF(D12&gt;E12,"Exceeded","OK"))),"---")</f>
        <v>---</v>
      </c>
      <c r="I12" s="461" t="str">
        <f>IF(Start!$C$19="x",IF(OR(C12="",C12="NA"),"",IF(OR(F12="",F12="NA"),"No Ref",(IF((C12*100/Data!$D$10)&gt;(F12*100/Data!$D$60),"Exceeded","OK")))),"---")</f>
        <v>---</v>
      </c>
      <c r="J12" s="377" t="str">
        <f>IF(Start!$C$19="x",IF(OR(C12="",C12="NA"),"",IF(OR(G12="",G12="NA"),"No Criteria",(IF(C12&gt;(G12*Data!$D$10/100),"Exceeded","OK")))),"---")</f>
        <v>---</v>
      </c>
      <c r="K12" s="343" t="str">
        <f>IF(Start!$C$19="x",IF(OR(D12="",D12="NA"),"",IF(OR(E12="",E12="NA"),"No Ref",IF(E12=0,"No Criteria",(D12/E12)))),"Not Req.")</f>
        <v>Not Req.</v>
      </c>
      <c r="L12" s="286" t="str">
        <f>IF(Start!$C$19="x",IF(C12="","NA",IF(F12="","No Ref", (IF(F12 = 0, "NA", ((C12*100/Data!$D$10)/(F12*100/Data!$D$60)))))),"Not Req.")</f>
        <v>Not Req.</v>
      </c>
      <c r="M12" s="285" t="str">
        <f>IF(Start!$C$19="x",IF(C12="","NA",IF(OR(G12="",G12="NA"),"No Criteria",(IF(G12 = 0, "NA", (C12/(G12*Data!$D$10/100)))))),"Not Req.")</f>
        <v>Not Req.</v>
      </c>
    </row>
    <row r="13" spans="1:13" s="10" customFormat="1" x14ac:dyDescent="0.25">
      <c r="A13" s="405" t="s">
        <v>331</v>
      </c>
      <c r="B13" s="456" t="str">
        <f>IF(Start!$C$19="x",IF(AND(H13="",I13="",J13=""),"",(IF(H13="OK","No",(IF(H13="Exceeded",(IF(J13="OK","No",(IF(J13="Exceeded","Needed",(IF(J13="No Criteria","No Criteria","Missing Data")))))),(IF(I13="OK","No",(IF(J13="OK","No",(IF(J13="Exceeded","Needed",(IF(J13="No Criteria","No Criteria","Missing Data"))))))))))))),"---")</f>
        <v>---</v>
      </c>
      <c r="C13" s="457" t="str">
        <f>IF(TRUE=ISBLANK(ChemData!B13),"",(ChemData!B13))</f>
        <v/>
      </c>
      <c r="D13" s="402" t="str">
        <f>IF(TRUE=ISBLANK(ChemData!F13),"",(ChemData!F13))</f>
        <v/>
      </c>
      <c r="E13" s="458" t="str">
        <f>IF(TRUE=ISBLANK(ChemData!G13),"",(ChemData!G13))</f>
        <v/>
      </c>
      <c r="F13" s="459"/>
      <c r="G13" s="291">
        <f>IF(TRUE=ISBLANK(ChemData!L13),"",(ChemData!L13))</f>
        <v>41</v>
      </c>
      <c r="H13" s="460" t="str">
        <f>IF(Start!$C$19="x",IF(OR(D13="",D13="NA"),"",IF(OR(E13="",E13="NA"),"No Ref",IF(D13&gt;E13,"Exceeded","OK"))),"---")</f>
        <v>---</v>
      </c>
      <c r="I13" s="461" t="str">
        <f>IF(Start!$C$19="x",IF(OR(C13="",C13="NA"),"",IF(OR(F13="",F13="NA"),"No Ref",(IF((C13*100/Data!$D$10)&gt;(F13*100/Data!$D$60),"Exceeded","OK")))),"---")</f>
        <v>---</v>
      </c>
      <c r="J13" s="377" t="str">
        <f>IF(Start!$C$19="x",IF(OR(C13="",C13="NA"),"",IF(OR(G13="",G13="NA"),"No Criteria",(IF(C13&gt;(G13*Data!$D$10/100),"Exceeded","OK")))),"---")</f>
        <v>---</v>
      </c>
      <c r="K13" s="343" t="str">
        <f>IF(Start!$C$19="x",IF(OR(D13="",D13="NA"),"",IF(OR(E13="",E13="NA"),"No Ref",IF(E13=0,"No Criteria",(D13/E13)))),"Not Req.")</f>
        <v>Not Req.</v>
      </c>
      <c r="L13" s="286" t="str">
        <f>IF(Start!$C$19="x",IF(C13="","NA",IF(F13="","No Ref", (IF(F13 = 0, "NA", ((C13*100/Data!$D$10)/(F13*100/Data!$D$60)))))),"Not Req.")</f>
        <v>Not Req.</v>
      </c>
      <c r="M13" s="285" t="str">
        <f>IF(Start!$C$19="x",IF(C13="","NA",IF(OR(G13="",G13="NA"),"No Criteria",(IF(G13 = 0, "NA", (C13/(G13*Data!$D$10/100)))))),"Not Req.")</f>
        <v>Not Req.</v>
      </c>
    </row>
    <row r="14" spans="1:13" s="10" customFormat="1" x14ac:dyDescent="0.25">
      <c r="A14" s="405" t="s">
        <v>332</v>
      </c>
      <c r="B14" s="456" t="str">
        <f>IF(Start!$C$19="x",IF(AND(H14="",I14="",J14=""),"",(IF(H14="OK","No",(IF(H14="Exceeded",(IF(J14="OK","No",(IF(J14="Exceeded","Needed",(IF(J14="No Criteria","No Criteria","Missing Data")))))),(IF(I14="OK","No",(IF(J14="OK","No",(IF(J14="Exceeded","Needed",(IF(J14="No Criteria","No Criteria","Missing Data"))))))))))))),"---")</f>
        <v>---</v>
      </c>
      <c r="C14" s="457" t="str">
        <f>IF(TRUE=ISBLANK(ChemData!B14),"",(ChemData!B14))</f>
        <v/>
      </c>
      <c r="D14" s="402" t="str">
        <f>IF(TRUE=ISBLANK(ChemData!F14),"",(ChemData!F14))</f>
        <v/>
      </c>
      <c r="E14" s="458" t="str">
        <f>IF(TRUE=ISBLANK(ChemData!G14),"",(ChemData!G14))</f>
        <v/>
      </c>
      <c r="F14" s="459" t="str">
        <f>IF(TRUE=ISBLANK(ChemData!E14),"",(ChemData!E14))</f>
        <v/>
      </c>
      <c r="G14" s="291">
        <f>IF(TRUE=ISBLANK(ChemData!L14),"",(ChemData!L14))</f>
        <v>8200</v>
      </c>
      <c r="H14" s="460" t="str">
        <f>IF(Start!$C$19="x",IF(OR(D14="",D14="NA"),"",IF(OR(E14="",E14="NA"),"No Ref",IF(D14&gt;E14,"Exceeded","OK"))),"---")</f>
        <v>---</v>
      </c>
      <c r="I14" s="461" t="str">
        <f>IF(Start!$C$19="x",IF(OR(C14="",C14="NA"),"",IF(OR(F14="",F14="NA"),"No Ref",(IF((C14*100/Data!$D$10)&gt;(F14*100/Data!$D$60),"Exceeded","OK")))),"---")</f>
        <v>---</v>
      </c>
      <c r="J14" s="377" t="str">
        <f>IF(Start!$C$19="x",IF(OR(C14="",C14="NA"),"",IF(OR(G14="",G14="NA"),"No Criteria",(IF(C14&gt;(G14*Data!$D$10/100),"Exceeded","OK")))),"---")</f>
        <v>---</v>
      </c>
      <c r="K14" s="343" t="str">
        <f>IF(Start!$C$19="x",IF(OR(D14="",D14="NA"),"",IF(OR(E14="",E14="NA"),"No Ref",IF(E14=0,"No Criteria",(D14/E14)))),"Not Req.")</f>
        <v>Not Req.</v>
      </c>
      <c r="L14" s="286" t="str">
        <f>IF(Start!$C$19="x",IF(C14="","NA",IF(F14="","No Ref", (IF(F14 = 0, "NA", ((C14*100/Data!$D$10)/(F14*100/Data!$D$60)))))),"Not Req.")</f>
        <v>Not Req.</v>
      </c>
      <c r="M14" s="285" t="str">
        <f>IF(Start!$C$19="x",IF(C14="","NA",IF(OR(G14="",G14="NA"),"No Criteria",(IF(G14 = 0, "NA", (C14/(G14*Data!$D$10/100)))))),"Not Req.")</f>
        <v>Not Req.</v>
      </c>
    </row>
    <row r="15" spans="1:13" s="10" customFormat="1" x14ac:dyDescent="0.25">
      <c r="A15" s="405" t="s">
        <v>333</v>
      </c>
      <c r="B15" s="456" t="str">
        <f>IF(Start!$C$19="x",IF(AND(H15="",I15="",J15=""),"",(IF(H15="OK","No",(IF(H15="Exceeded",(IF(J15="OK","No",(IF(J15="Exceeded","Needed",(IF(J15="No Criteria","No Criteria","Missing Data")))))),(IF(I15="OK","No",(IF(J15="OK","No",(IF(J15="Exceeded","Needed",(IF(J15="No Criteria","No Criteria","Missing Data"))))))))))))),"---")</f>
        <v>---</v>
      </c>
      <c r="C15" s="457" t="str">
        <f>IF(TRUE=ISBLANK(ChemData!B15),"",(ChemData!B15))</f>
        <v/>
      </c>
      <c r="D15" s="402" t="str">
        <f>IF(TRUE=ISBLANK(ChemData!F15),"",(ChemData!F15))</f>
        <v/>
      </c>
      <c r="E15" s="458" t="str">
        <f>IF(TRUE=ISBLANK(ChemData!G15),"",(ChemData!G15))</f>
        <v/>
      </c>
      <c r="F15" s="459" t="str">
        <f>IF(TRUE=ISBLANK(ChemData!E15),"",(ChemData!E15))</f>
        <v/>
      </c>
      <c r="G15" s="291">
        <f>IF(TRUE=ISBLANK(ChemData!L15),"",(ChemData!L15))</f>
        <v>320</v>
      </c>
      <c r="H15" s="460" t="str">
        <f>IF(Start!$C$19="x",IF(OR(D15="",D15="NA"),"",IF(OR(E15="",E15="NA"),"No Ref",IF(D15&gt;E15,"Exceeded","OK"))),"---")</f>
        <v>---</v>
      </c>
      <c r="I15" s="461" t="str">
        <f>IF(Start!$C$19="x",IF(OR(C15="",C15="NA"),"",IF(OR(F15="",F15="NA"),"No Ref",(IF((C15*100/Data!$D$10)&gt;(F15*100/Data!$D$60),"Exceeded","OK")))),"---")</f>
        <v>---</v>
      </c>
      <c r="J15" s="377" t="str">
        <f>IF(Start!$C$19="x",IF(OR(C15="",C15="NA"),"",IF(OR(G15="",G15="NA"),"No Criteria",(IF(C15&gt;(G15*Data!$D$10/100),"Exceeded","OK")))),"---")</f>
        <v>---</v>
      </c>
      <c r="K15" s="343" t="str">
        <f>IF(Start!$C$19="x",IF(OR(D15="",D15="NA"),"",IF(OR(E15="",E15="NA"),"No Ref",IF(E15=0,"No Criteria",(D15/E15)))),"Not Req.")</f>
        <v>Not Req.</v>
      </c>
      <c r="L15" s="286" t="str">
        <f>IF(Start!$C$19="x",IF(C15="","NA",IF(F15="","No Ref", (IF(F15 = 0, "NA", ((C15*100/Data!$D$10)/(F15*100/Data!$D$60)))))),"Not Req.")</f>
        <v>Not Req.</v>
      </c>
      <c r="M15" s="285" t="str">
        <f>IF(Start!$C$19="x",IF(C15="","NA",IF(OR(G15="",G15="NA"),"No Criteria",(IF(G15 = 0, "NA", (C15/(G15*Data!$D$10/100)))))),"Not Req.")</f>
        <v>Not Req.</v>
      </c>
    </row>
    <row r="16" spans="1:13" s="10" customFormat="1" x14ac:dyDescent="0.25">
      <c r="A16" s="405" t="s">
        <v>334</v>
      </c>
      <c r="B16" s="456" t="str">
        <f>IF(Start!$C$19="x",IF(AND(H16="",I16="",J16=""),"",(IF(H16="OK","No",(IF(H16="Exceeded",(IF(J16="OK","No",(IF(J16="Exceeded","Needed",(IF(J16="No Criteria","No Criteria","Missing Data")))))),(IF(I16="OK","No",(IF(J16="OK","No",(IF(J16="Exceeded","Needed",(IF(J16="No Criteria","No Criteria","Missing Data"))))))))))))),"---")</f>
        <v>---</v>
      </c>
      <c r="C16" s="457" t="str">
        <f>IF(TRUE=ISBLANK(ChemData!B16),"",(ChemData!B16))</f>
        <v/>
      </c>
      <c r="D16" s="402" t="str">
        <f>IF(TRUE=ISBLANK(ChemData!F16),"",(ChemData!F16))</f>
        <v/>
      </c>
      <c r="E16" s="458" t="str">
        <f>IF(TRUE=ISBLANK(ChemData!G16),"",(ChemData!G16))</f>
        <v/>
      </c>
      <c r="F16" s="459" t="str">
        <f>IF(TRUE=ISBLANK(ChemData!E16),"",(ChemData!E16))</f>
        <v/>
      </c>
      <c r="G16" s="291">
        <f>IF(TRUE=ISBLANK(ChemData!L16),"",(ChemData!L16))</f>
        <v>6.7</v>
      </c>
      <c r="H16" s="460" t="str">
        <f>IF(Start!$C$19="x",IF(OR(D16="",D16="NA"),"",IF(OR(E16="",E16="NA"),"No Ref",IF(D16&gt;E16,"Exceeded","OK"))),"---")</f>
        <v>---</v>
      </c>
      <c r="I16" s="461" t="str">
        <f>IF(Start!$C$19="x",IF(OR(C16="",C16="NA"),"",IF(OR(F16="",F16="NA"),"No Ref",(IF((C16*100/Data!$D$10)&gt;(F16*100/Data!$D$60),"Exceeded","OK")))),"---")</f>
        <v>---</v>
      </c>
      <c r="J16" s="377" t="str">
        <f>IF(Start!$C$19="x",IF(OR(C16="",C16="NA"),"",IF(OR(G16="",G16="NA"),"No Criteria",(IF(C16&gt;(G16*Data!$D$10/100),"Exceeded","OK")))),"---")</f>
        <v>---</v>
      </c>
      <c r="K16" s="343" t="str">
        <f>IF(Start!$C$19="x",IF(OR(D16="",D16="NA"),"",IF(OR(E16="",E16="NA"),"No Ref",IF(E16=0,"No Criteria",(D16/E16)))),"Not Req.")</f>
        <v>Not Req.</v>
      </c>
      <c r="L16" s="286" t="str">
        <f>IF(Start!$C$19="x",IF(C16="","NA",IF(F16="","No Ref", (IF(F16 = 0, "NA", ((C16*100/Data!$D$10)/(F16*100/Data!$D$60)))))),"Not Req.")</f>
        <v>Not Req.</v>
      </c>
      <c r="M16" s="285" t="str">
        <f>IF(Start!$C$19="x",IF(C16="","NA",IF(OR(G16="",G16="NA"),"No Criteria",(IF(G16 = 0, "NA", (C16/(G16*Data!$D$10/100)))))),"Not Req.")</f>
        <v>Not Req.</v>
      </c>
    </row>
    <row r="17" spans="1:13" s="10" customFormat="1" x14ac:dyDescent="0.25">
      <c r="A17" s="405" t="s">
        <v>335</v>
      </c>
      <c r="B17" s="456" t="str">
        <f>IF(Start!$C$19="x",IF(AND(H17="",I17="",J17=""),"",(IF(H17="OK","No",(IF(H17="Exceeded",(IF(J17="OK","No",(IF(J17="Exceeded","Needed",(IF(J17="No Criteria","No Criteria","Missing Data")))))),(IF(I17="OK","No",(IF(J17="OK","No",(IF(J17="Exceeded","Needed",(IF(J17="No Criteria","No Criteria","Missing Data"))))))))))))),"---")</f>
        <v>---</v>
      </c>
      <c r="C17" s="457" t="str">
        <f>IF(TRUE=ISBLANK(ChemData!B17),"",(ChemData!B17))</f>
        <v/>
      </c>
      <c r="D17" s="402" t="str">
        <f>IF(TRUE=ISBLANK(ChemData!F17),"",(ChemData!F17))</f>
        <v/>
      </c>
      <c r="E17" s="458" t="str">
        <f>IF(TRUE=ISBLANK(ChemData!G17),"",(ChemData!G17))</f>
        <v/>
      </c>
      <c r="F17" s="459" t="str">
        <f>IF(TRUE=ISBLANK(ChemData!E17),"",(ChemData!E17))</f>
        <v/>
      </c>
      <c r="G17" s="291">
        <f>IF(TRUE=ISBLANK(ChemData!L17),"",(ChemData!L17))</f>
        <v>38</v>
      </c>
      <c r="H17" s="460" t="str">
        <f>IF(Start!$C$19="x",IF(OR(D17="",D17="NA"),"",IF(OR(E17="",E17="NA"),"No Ref",IF(D17&gt;E17,"Exceeded","OK"))),"---")</f>
        <v>---</v>
      </c>
      <c r="I17" s="461" t="str">
        <f>IF(Start!$C$19="x",IF(OR(C17="",C17="NA"),"",IF(OR(F17="",F17="NA"),"No Ref",(IF((C17*100/Data!$D$10)&gt;(F17*100/Data!$D$60),"Exceeded","OK")))),"---")</f>
        <v>---</v>
      </c>
      <c r="J17" s="377" t="str">
        <f>IF(Start!$C$19="x",IF(OR(C17="",C17="NA"),"",IF(OR(G17="",G17="NA"),"No Criteria",(IF(C17&gt;(G17*Data!$D$10/100),"Exceeded","OK")))),"---")</f>
        <v>---</v>
      </c>
      <c r="K17" s="343" t="str">
        <f>IF(Start!$C$19="x",IF(OR(D17="",D17="NA"),"",IF(OR(E17="",E17="NA"),"No Ref",IF(E17=0,"No Criteria",(D17/E17)))),"Not Req.")</f>
        <v>Not Req.</v>
      </c>
      <c r="L17" s="286" t="str">
        <f>IF(Start!$C$19="x",IF(C17="","NA",IF(F17="","No Ref", (IF(F17 = 0, "NA", ((C17*100/Data!$D$10)/(F17*100/Data!$D$60)))))),"Not Req.")</f>
        <v>Not Req.</v>
      </c>
      <c r="M17" s="285" t="str">
        <f>IF(Start!$C$19="x",IF(C17="","NA",IF(OR(G17="",G17="NA"),"No Criteria",(IF(G17 = 0, "NA", (C17/(G17*Data!$D$10/100)))))),"Not Req.")</f>
        <v>Not Req.</v>
      </c>
    </row>
    <row r="18" spans="1:13" s="10" customFormat="1" x14ac:dyDescent="0.25">
      <c r="A18" s="947" t="s">
        <v>336</v>
      </c>
      <c r="B18" s="988" t="str">
        <f>IF(Start!$C$19="x",IF(AND(H18="",I18="",J18=""),"",(IF(H18="OK","No",(IF(H18="Exceeded",(IF(J18="OK","No",(IF(J18="Exceeded","Needed",(IF(J18="No Criteria","No Criteria","Missing Data")))))),(IF(I18="OK","No",(IF(J18="OK","No",(IF(J18="Exceeded","Needed",(IF(J18="No Criteria","No Criteria","Missing Data"))))))))))))),"---")</f>
        <v>---</v>
      </c>
      <c r="C18" s="989" t="str">
        <f>IF(TRUE=ISBLANK(ChemData!B18),"",(ChemData!B18))</f>
        <v/>
      </c>
      <c r="D18" s="990" t="str">
        <f>IF(TRUE=ISBLANK(ChemData!F18),"",(ChemData!F18))</f>
        <v/>
      </c>
      <c r="E18" s="991" t="str">
        <f>IF(TRUE=ISBLANK(ChemData!G18),"",(ChemData!G18))</f>
        <v/>
      </c>
      <c r="F18" s="992" t="str">
        <f>IF(TRUE=ISBLANK(ChemData!E18),"",(ChemData!E18))</f>
        <v/>
      </c>
      <c r="G18" s="954">
        <f>IF(TRUE=ISBLANK(ChemData!L18),"",(ChemData!L18))</f>
        <v>190000</v>
      </c>
      <c r="H18" s="993" t="str">
        <f>IF(Start!$C$19="x",IF(OR(D18="",D18="NA"),"",IF(OR(E18="",E18="NA"),"No Ref",IF(D18&gt;E18,"Exceeded","OK"))),"---")</f>
        <v>---</v>
      </c>
      <c r="I18" s="960" t="str">
        <f>IF(Start!$C$19="x",IF(OR(C18="",C18="NA"),"",IF(OR(F18="",F18="NA"),"No Ref",(IF((C18*100/Data!$D$10)&gt;(F18*100/Data!$D$60),"Exceeded","OK")))),"---")</f>
        <v>---</v>
      </c>
      <c r="J18" s="957" t="str">
        <f>IF(Start!$C$19="x",IF(OR(C18="",C18="NA"),"",IF(OR(G18="",G18="NA"),"No Criteria",(IF(C18&gt;(G18*Data!$D$10/100),"Exceeded","OK")))),"---")</f>
        <v>---</v>
      </c>
      <c r="K18" s="959" t="str">
        <f>IF(Start!$C$19="x",IF(OR(D18="",D18="NA"),"",IF(OR(E18="",E18="NA"),"No Ref",IF(E18=0,"No Criteria",(D18/E18)))),"Not Req.")</f>
        <v>Not Req.</v>
      </c>
      <c r="L18" s="994" t="str">
        <f>IF(Start!$C$19="x",IF(C18="","NA",IF(F18="","No Ref", (IF(F18 = 0, "NA", ((C18*100/Data!$D$10)/(F18*100/Data!$D$60)))))),"Not Req.")</f>
        <v>Not Req.</v>
      </c>
      <c r="M18" s="995" t="str">
        <f>IF(Start!$C$19="x",IF(C18="","NA",IF(OR(G18="",G18="NA"),"No Criteria",(IF(G18 = 0, "NA", (C18/(G18*Data!$D$10/100)))))),"Not Req.")</f>
        <v>Not Req.</v>
      </c>
    </row>
    <row r="19" spans="1:13" s="10" customFormat="1" x14ac:dyDescent="0.25">
      <c r="A19" s="405" t="s">
        <v>337</v>
      </c>
      <c r="B19" s="456" t="str">
        <f>IF(Start!$C$19="x",IF(AND(H19="",I19="",J19=""),"",(IF(H19="OK","No",(IF(H19="Exceeded",(IF(J19="OK","No",(IF(J19="Exceeded","Needed",(IF(J19="No Criteria","No Criteria","Missing Data")))))),(IF(I19="OK","No",(IF(J19="OK","No",(IF(J19="Exceeded","Needed",(IF(J19="No Criteria","No Criteria","Missing Data"))))))))))))),"---")</f>
        <v>---</v>
      </c>
      <c r="C19" s="457" t="str">
        <f>IF(TRUE=ISBLANK(ChemData!B19),"",(ChemData!B19))</f>
        <v/>
      </c>
      <c r="D19" s="402" t="str">
        <f>IF(TRUE=ISBLANK(ChemData!F19),"",(ChemData!F19))</f>
        <v/>
      </c>
      <c r="E19" s="458" t="str">
        <f>IF(TRUE=ISBLANK(ChemData!G19),"",(ChemData!G19))</f>
        <v/>
      </c>
      <c r="F19" s="459" t="str">
        <f>IF(TRUE=ISBLANK(ChemData!E19),"",(ChemData!E19))</f>
        <v/>
      </c>
      <c r="G19" s="291">
        <f>IF(TRUE=ISBLANK(ChemData!L19),"",(ChemData!L19))</f>
        <v>94</v>
      </c>
      <c r="H19" s="460" t="str">
        <f>IF(Start!$C$19="x",IF(OR(D19="",D19="NA"),"",IF(OR(E19="",E19="NA"),"No Ref",IF(D19&gt;E19,"Exceeded","OK"))),"---")</f>
        <v>---</v>
      </c>
      <c r="I19" s="461" t="str">
        <f>IF(Start!$C$19="x",IF(OR(C19="",C19="NA"),"",IF(OR(F19="",F19="NA"),"No Ref",(IF((C19*100/Data!$D$10)&gt;(F19*100/Data!$D$60),"Exceeded","OK")))),"---")</f>
        <v>---</v>
      </c>
      <c r="J19" s="377" t="str">
        <f>IF(Start!$C$19="x",IF(OR(C19="",C19="NA"),"",IF(OR(G19="",G19="NA"),"No Criteria",(IF(C19&gt;(G19*Data!$D$10/100),"Exceeded","OK")))),"---")</f>
        <v>---</v>
      </c>
      <c r="K19" s="343" t="str">
        <f>IF(Start!$C$19="x",IF(OR(D19="",D19="NA"),"",IF(OR(E19="",E19="NA"),"No Ref",IF(E19=0,"No Criteria",(D19/E19)))),"Not Req.")</f>
        <v>Not Req.</v>
      </c>
      <c r="L19" s="286" t="str">
        <f>IF(Start!$C$19="x",IF(C19="","NA",IF(F19="","No Ref", (IF(F19 = 0, "NA", ((C19*100/Data!$D$10)/(F19*100/Data!$D$60)))))),"Not Req.")</f>
        <v>Not Req.</v>
      </c>
      <c r="M19" s="285" t="str">
        <f>IF(Start!$C$19="x",IF(C19="","NA",IF(OR(G19="",G19="NA"),"No Criteria",(IF(G19 = 0, "NA", (C19/(G19*Data!$D$10/100)))))),"Not Req.")</f>
        <v>Not Req.</v>
      </c>
    </row>
    <row r="20" spans="1:13" s="10" customFormat="1" x14ac:dyDescent="0.25">
      <c r="A20" s="405" t="s">
        <v>338</v>
      </c>
      <c r="B20" s="456" t="str">
        <f>IF(Start!$C$19="x",IF(AND(H20="",I20="",J20=""),"",(IF(H20="OK","No",(IF(H20="Exceeded",(IF(J20="OK","No",(IF(J20="Exceeded","Needed",(IF(J20="No Criteria","No Criteria","Missing Data")))))),(IF(I20="OK","No",(IF(J20="OK","No",(IF(J20="Exceeded","Needed",(IF(J20="No Criteria","No Criteria","Missing Data"))))))))))))),"---")</f>
        <v>---</v>
      </c>
      <c r="C20" s="457" t="str">
        <f>IF(TRUE=ISBLANK(ChemData!B20),"",(ChemData!B20))</f>
        <v/>
      </c>
      <c r="D20" s="402" t="str">
        <f>IF(TRUE=ISBLANK(ChemData!F20),"",(ChemData!F20))</f>
        <v/>
      </c>
      <c r="E20" s="458" t="str">
        <f>IF(TRUE=ISBLANK(ChemData!G20),"",(ChemData!G20))</f>
        <v/>
      </c>
      <c r="F20" s="459" t="str">
        <f>IF(TRUE=ISBLANK(ChemData!E20),"",(ChemData!E20))</f>
        <v/>
      </c>
      <c r="G20" s="291">
        <f>IF(TRUE=ISBLANK(ChemData!L20),"",(ChemData!L20))</f>
        <v>8.1</v>
      </c>
      <c r="H20" s="460" t="str">
        <f>IF(Start!$C$19="x",IF(OR(D20="",D20="NA"),"",IF(OR(E20="",E20="NA"),"No Ref",IF(D20&gt;E20,"Exceeded","OK"))),"---")</f>
        <v>---</v>
      </c>
      <c r="I20" s="461" t="str">
        <f>IF(Start!$C$19="x",IF(OR(C20="",C20="NA"),"",IF(OR(F20="",F20="NA"),"No Ref",(IF((C20*100/Data!$D$10)&gt;(F20*100/Data!$D$60),"Exceeded","OK")))),"---")</f>
        <v>---</v>
      </c>
      <c r="J20" s="377" t="str">
        <f>IF(Start!$C$19="x",IF(OR(C20="",C20="NA"),"",IF(OR(G20="",G20="NA"),"No Criteria",(IF(C20&gt;(G20*Data!$D$10/100),"Exceeded","OK")))),"---")</f>
        <v>---</v>
      </c>
      <c r="K20" s="343" t="str">
        <f>IF(Start!$C$19="x",IF(OR(D20="",D20="NA"),"",IF(OR(E20="",E20="NA"),"No Ref",IF(E20=0,"No Criteria",(D20/E20)))),"Not Req.")</f>
        <v>Not Req.</v>
      </c>
      <c r="L20" s="286" t="str">
        <f>IF(Start!$C$19="x",IF(C20="","NA",IF(F20="","No Ref", (IF(F20 = 0, "NA", ((C20*100/Data!$D$10)/(F20*100/Data!$D$60)))))),"Not Req.")</f>
        <v>Not Req.</v>
      </c>
      <c r="M20" s="285" t="str">
        <f>IF(Start!$C$19="x",IF(C20="","NA",IF(OR(G20="",G20="NA"),"No Criteria",(IF(G20 = 0, "NA", (C20/(G20*Data!$D$10/100)))))),"Not Req.")</f>
        <v>Not Req.</v>
      </c>
    </row>
    <row r="21" spans="1:13" s="10" customFormat="1" x14ac:dyDescent="0.25">
      <c r="A21" s="405" t="s">
        <v>339</v>
      </c>
      <c r="B21" s="456" t="str">
        <f>IF(Start!$C$19="x",IF(AND(H21="",I21="",J21=""),"",(IF(H21="OK","No",(IF(H21="Exceeded",(IF(J21="OK","No",(IF(J21="Exceeded","Needed",(IF(J21="No Criteria","No Criteria","Missing Data")))))),(IF(I21="OK","No",(IF(J21="OK","No",(IF(J21="Exceeded","Needed",(IF(J21="No Criteria","No Criteria","Missing Data"))))))))))))),"---")</f>
        <v>---</v>
      </c>
      <c r="C21" s="457" t="str">
        <f>IF(TRUE=ISBLANK(ChemData!B21),"",(ChemData!B21))</f>
        <v/>
      </c>
      <c r="D21" s="402" t="str">
        <f>IF(TRUE=ISBLANK(ChemData!F21),"",(ChemData!F21))</f>
        <v/>
      </c>
      <c r="E21" s="458" t="str">
        <f>IF(TRUE=ISBLANK(ChemData!G21),"",(ChemData!G21))</f>
        <v/>
      </c>
      <c r="F21" s="459" t="str">
        <f>IF(TRUE=ISBLANK(ChemData!E21),"",(ChemData!E21))</f>
        <v/>
      </c>
      <c r="G21" s="291">
        <f>IF(TRUE=ISBLANK(ChemData!L21),"",(ChemData!L21))</f>
        <v>8200</v>
      </c>
      <c r="H21" s="460" t="str">
        <f>IF(Start!$C$19="x",IF(OR(D21="",D21="NA"),"",IF(OR(E21="",E21="NA"),"No Ref",IF(D21&gt;E21,"Exceeded","OK"))),"---")</f>
        <v>---</v>
      </c>
      <c r="I21" s="461" t="str">
        <f>IF(Start!$C$19="x",IF(OR(C21="",C21="NA"),"",IF(OR(F21="",F21="NA"),"No Ref",(IF((C21*100/Data!$D$10)&gt;(F21*100/Data!$D$60),"Exceeded","OK")))),"---")</f>
        <v>---</v>
      </c>
      <c r="J21" s="377" t="str">
        <f>IF(Start!$C$19="x",IF(OR(C21="",C21="NA"),"",IF(OR(G21="",G21="NA"),"No Criteria",(IF(C21&gt;(G21*Data!$D$10/100),"Exceeded","OK")))),"---")</f>
        <v>---</v>
      </c>
      <c r="K21" s="343" t="str">
        <f>IF(Start!$C$19="x",IF(OR(D21="",D21="NA"),"",IF(OR(E21="",E21="NA"),"No Ref",IF(E21=0,"No Criteria",(D21/E21)))),"Not Req.")</f>
        <v>Not Req.</v>
      </c>
      <c r="L21" s="286" t="str">
        <f>IF(Start!$C$19="x",IF(C21="","NA",IF(F21="","No Ref", (IF(F21 = 0, "NA", ((C21*100/Data!$D$10)/(F21*100/Data!$D$60)))))),"Not Req.")</f>
        <v>Not Req.</v>
      </c>
      <c r="M21" s="285" t="str">
        <f>IF(Start!$C$19="x",IF(C21="","NA",IF(OR(G21="",G21="NA"),"No Criteria",(IF(G21 = 0, "NA", (C21/(G21*Data!$D$10/100)))))),"Not Req.")</f>
        <v>Not Req.</v>
      </c>
    </row>
    <row r="22" spans="1:13" s="10" customFormat="1" x14ac:dyDescent="0.25">
      <c r="A22" s="405" t="s">
        <v>340</v>
      </c>
      <c r="B22" s="456" t="str">
        <f>IF(Start!$C$19="x",IF(AND(H22="",I22="",J22=""),"",(IF(H22="OK","No",(IF(H22="Exceeded",(IF(J22="OK","No",(IF(J22="Exceeded","Needed",(IF(J22="No Criteria","No Criteria","Missing Data")))))),(IF(I22="OK","No",(IF(J22="OK","No",(IF(J22="Exceeded","Needed",(IF(J22="No Criteria","No Criteria","Missing Data"))))))))))))),"---")</f>
        <v>---</v>
      </c>
      <c r="C22" s="457" t="str">
        <f>IF(TRUE=ISBLANK(ChemData!B22),"",(ChemData!B22))</f>
        <v/>
      </c>
      <c r="D22" s="402" t="str">
        <f>IF(TRUE=ISBLANK(ChemData!F22),"",(ChemData!F22))</f>
        <v/>
      </c>
      <c r="E22" s="458" t="str">
        <f>IF(TRUE=ISBLANK(ChemData!G22),"",(ChemData!G22))</f>
        <v/>
      </c>
      <c r="F22" s="459" t="str">
        <f>IF(TRUE=ISBLANK(ChemData!E22),"",(ChemData!E22))</f>
        <v/>
      </c>
      <c r="G22" s="291">
        <f>IF(TRUE=ISBLANK(ChemData!L22),"",(ChemData!L22))</f>
        <v>190000</v>
      </c>
      <c r="H22" s="460" t="str">
        <f>IF(Start!$C$19="x",IF(OR(D22="",D22="NA"),"",IF(OR(E22="",E22="NA"),"No Ref",IF(D22&gt;E22,"Exceeded","OK"))),"---")</f>
        <v>---</v>
      </c>
      <c r="I22" s="461" t="str">
        <f>IF(Start!$C$19="x",IF(OR(C22="",C22="NA"),"",IF(OR(F22="",F22="NA"),"No Ref",(IF((C22*100/Data!$D$10)&gt;(F22*100/Data!$D$60),"Exceeded","OK")))),"---")</f>
        <v>---</v>
      </c>
      <c r="J22" s="377" t="str">
        <f>IF(Start!$C$19="x",IF(OR(C22="",C22="NA"),"",IF(OR(G22="",G22="NA"),"No Criteria",(IF(C22&gt;(G22*Data!$D$10/100),"Exceeded","OK")))),"---")</f>
        <v>---</v>
      </c>
      <c r="K22" s="343" t="str">
        <f>IF(Start!$C$19="x",IF(OR(D22="",D22="NA"),"",IF(OR(E22="",E22="NA"),"No Ref",IF(E22=0,"No Criteria",(D22/E22)))),"Not Req.")</f>
        <v>Not Req.</v>
      </c>
      <c r="L22" s="286" t="str">
        <f>IF(Start!$C$19="x",IF(C22="","NA",IF(F22="","No Ref", (IF(F22 = 0, "NA", ((C22*100/Data!$D$10)/(F22*100/Data!$D$60)))))),"Not Req.")</f>
        <v>Not Req.</v>
      </c>
      <c r="M22" s="285" t="str">
        <f>IF(Start!$C$19="x",IF(C22="","NA",IF(OR(G22="",G22="NA"),"No Criteria",(IF(G22 = 0, "NA", (C22/(G22*Data!$D$10/100)))))),"Not Req.")</f>
        <v>Not Req.</v>
      </c>
    </row>
    <row r="23" spans="1:13" s="10" customFormat="1" x14ac:dyDescent="0.25">
      <c r="A23" s="405" t="s">
        <v>341</v>
      </c>
      <c r="B23" s="456" t="str">
        <f>IF(Start!$C$19="x",IF(AND(H23="",I23="",J23=""),"",(IF(H23="OK","No",(IF(H23="Exceeded",(IF(J23="OK","No",(IF(J23="Exceeded","Needed",(IF(J23="No Criteria","No Criteria","Missing Data")))))),(IF(I23="OK","No",(IF(J23="OK","No",(IF(J23="Exceeded","Needed",(IF(J23="No Criteria","No Criteria","Missing Data"))))))))))))),"---")</f>
        <v>---</v>
      </c>
      <c r="C23" s="457" t="str">
        <f>IF(TRUE=ISBLANK(ChemData!B23),"",(ChemData!B23))</f>
        <v/>
      </c>
      <c r="D23" s="402" t="str">
        <f>IF(TRUE=ISBLANK(ChemData!F23),"",(ChemData!F23))</f>
        <v/>
      </c>
      <c r="E23" s="458" t="str">
        <f>IF(TRUE=ISBLANK(ChemData!G23),"",(ChemData!G23))</f>
        <v/>
      </c>
      <c r="F23" s="459" t="str">
        <f>IF(TRUE=ISBLANK(ChemData!E23),"",(ChemData!E23))</f>
        <v/>
      </c>
      <c r="G23" s="291">
        <f>IF(TRUE=ISBLANK(ChemData!L23),"",(ChemData!L23))</f>
        <v>450</v>
      </c>
      <c r="H23" s="460" t="str">
        <f>IF(Start!$C$19="x",IF(OR(D23="",D23="NA"),"",IF(OR(E23="",E23="NA"),"No Ref",IF(D23&gt;E23,"Exceeded","OK"))),"---")</f>
        <v>---</v>
      </c>
      <c r="I23" s="461" t="str">
        <f>IF(Start!$C$19="x",IF(OR(C23="",C23="NA"),"",IF(OR(F23="",F23="NA"),"No Ref",(IF((C23*100/Data!$D$10)&gt;(F23*100/Data!$D$60),"Exceeded","OK")))),"---")</f>
        <v>---</v>
      </c>
      <c r="J23" s="377" t="str">
        <f>IF(Start!$C$19="x",IF(OR(C23="",C23="NA"),"",IF(OR(G23="",G23="NA"),"No Criteria",(IF(C23&gt;(G23*Data!$D$10/100),"Exceeded","OK")))),"---")</f>
        <v>---</v>
      </c>
      <c r="K23" s="343" t="str">
        <f>IF(Start!$C$19="x",IF(OR(D23="",D23="NA"),"",IF(OR(E23="",E23="NA"),"No Ref",IF(E23=0,"No Criteria",(D23/E23)))),"Not Req.")</f>
        <v>Not Req.</v>
      </c>
      <c r="L23" s="286" t="str">
        <f>IF(Start!$C$19="x",IF(C23="","NA",IF(F23="","No Ref", (IF(F23 = 0, "NA", ((C23*100/Data!$D$10)/(F23*100/Data!$D$60)))))),"Not Req.")</f>
        <v>Not Req.</v>
      </c>
      <c r="M23" s="285" t="str">
        <f>IF(Start!$C$19="x",IF(C23="","NA",IF(OR(G23="",G23="NA"),"No Criteria",(IF(G23 = 0, "NA", (C23/(G23*Data!$D$10/100)))))),"Not Req.")</f>
        <v>Not Req.</v>
      </c>
    </row>
    <row r="24" spans="1:13" s="10" customFormat="1" x14ac:dyDescent="0.25">
      <c r="A24" s="405" t="s">
        <v>342</v>
      </c>
      <c r="B24" s="456" t="str">
        <f>IF(Start!$C$19="x",IF(AND(H24="",I24="",J24=""),"",(IF(H24="OK","No",(IF(H24="Exceeded",(IF(J24="OK","No",(IF(J24="Exceeded","Needed",(IF(J24="No Criteria","No Criteria","Missing Data")))))),(IF(I24="OK","No",(IF(J24="OK","No",(IF(J24="Exceeded","Needed",(IF(J24="No Criteria","No Criteria","Missing Data"))))))))))))),"---")</f>
        <v>---</v>
      </c>
      <c r="C24" s="457" t="str">
        <f>IF(TRUE=ISBLANK(ChemData!B24),"",(ChemData!B24))</f>
        <v/>
      </c>
      <c r="D24" s="402" t="str">
        <f>IF(TRUE=ISBLANK(ChemData!F24),"",(ChemData!F24))</f>
        <v/>
      </c>
      <c r="E24" s="458" t="str">
        <f>IF(TRUE=ISBLANK(ChemData!G24),"",(ChemData!G24))</f>
        <v/>
      </c>
      <c r="F24" s="459" t="str">
        <f>IF(TRUE=ISBLANK(ChemData!E24),"",(ChemData!E24))</f>
        <v/>
      </c>
      <c r="G24" s="291" t="str">
        <f>IF(TRUE=ISBLANK(ChemData!L24),"",(ChemData!L24))</f>
        <v>NA</v>
      </c>
      <c r="H24" s="460" t="str">
        <f>IF(Start!$C$19="x",IF(OR(D24="",D24="NA"),"",IF(OR(E24="",E24="NA"),"No Ref",IF(D24&gt;E24,"Exceeded","OK"))),"---")</f>
        <v>---</v>
      </c>
      <c r="I24" s="461" t="str">
        <f>IF(Start!$C$19="x",IF(OR(C24="",C24="NA"),"",IF(OR(F24="",F24="NA"),"No Ref",(IF((C24*100/Data!$D$10)&gt;(F24*100/Data!$D$60),"Exceeded","OK")))),"---")</f>
        <v>---</v>
      </c>
      <c r="J24" s="377" t="str">
        <f>IF(Start!$C$19="x",IF(OR(C24="",C24="NA"),"",IF(OR(G24="",G24="NA"),"No Criteria",(IF(C24&gt;(G24*Data!$D$10/100),"Exceeded","OK")))),"---")</f>
        <v>---</v>
      </c>
      <c r="K24" s="343" t="str">
        <f>IF(Start!$C$19="x",IF(OR(D24="",D24="NA"),"",IF(OR(E24="",E24="NA"),"No Ref",IF(E24=0,"No Criteria",(D24/E24)))),"Not Req.")</f>
        <v>Not Req.</v>
      </c>
      <c r="L24" s="286" t="str">
        <f>IF(Start!$C$19="x",IF(C24="","NA",IF(F24="","No Ref", (IF(F24 = 0, "NA", ((C24*100/Data!$D$10)/(F24*100/Data!$D$60)))))),"Not Req.")</f>
        <v>Not Req.</v>
      </c>
      <c r="M24" s="285" t="str">
        <f>IF(Start!$C$19="x",IF(C24="","NA",IF(OR(G24="",G24="NA"),"No Criteria",(IF(G24 = 0, "NA", (C24/(G24*Data!$D$10/100)))))),"Not Req.")</f>
        <v>Not Req.</v>
      </c>
    </row>
    <row r="25" spans="1:13" s="10" customFormat="1" x14ac:dyDescent="0.25">
      <c r="A25" s="405" t="s">
        <v>343</v>
      </c>
      <c r="B25" s="456" t="str">
        <f>IF(Start!$C$19="x",IF(AND(H25="",I25="",J25=""),"",(IF(H25="OK","No",(IF(H25="Exceeded",(IF(J25="OK","No",(IF(J25="Exceeded","Needed",(IF(J25="No Criteria","No Criteria","Missing Data")))))),(IF(I25="OK","No",(IF(J25="OK","No",(IF(J25="Exceeded","Needed",(IF(J25="No Criteria","No Criteria","Missing Data"))))))))))))),"---")</f>
        <v>---</v>
      </c>
      <c r="C25" s="457" t="str">
        <f>IF(TRUE=ISBLANK(ChemData!B25),"",(ChemData!B25))</f>
        <v/>
      </c>
      <c r="D25" s="402" t="str">
        <f>IF(TRUE=ISBLANK(ChemData!F25),"",(ChemData!F25))</f>
        <v/>
      </c>
      <c r="E25" s="458" t="str">
        <f>IF(TRUE=ISBLANK(ChemData!G25),"",(ChemData!G25))</f>
        <v/>
      </c>
      <c r="F25" s="459" t="str">
        <f>IF(TRUE=ISBLANK(ChemData!E25),"",(ChemData!E25))</f>
        <v/>
      </c>
      <c r="G25" s="291">
        <f>IF(TRUE=ISBLANK(ChemData!L25),"",(ChemData!L25))</f>
        <v>31000</v>
      </c>
      <c r="H25" s="460" t="str">
        <f>IF(Start!$C$19="x",IF(OR(D25="",D25="NA"),"",IF(OR(E25="",E25="NA"),"No Ref",IF(D25&gt;E25,"Exceeded","OK"))),"---")</f>
        <v>---</v>
      </c>
      <c r="I25" s="461" t="str">
        <f>IF(Start!$C$19="x",IF(OR(C25="",C25="NA"),"",IF(OR(F25="",F25="NA"),"No Ref",(IF((C25*100/Data!$D$10)&gt;(F25*100/Data!$D$60),"Exceeded","OK")))),"---")</f>
        <v>---</v>
      </c>
      <c r="J25" s="377" t="str">
        <f>IF(Start!$C$19="x",IF(OR(C25="",C25="NA"),"",IF(OR(G25="",G25="NA"),"No Criteria",(IF(C25&gt;(G25*Data!$D$10/100),"Exceeded","OK")))),"---")</f>
        <v>---</v>
      </c>
      <c r="K25" s="343" t="str">
        <f>IF(Start!$C$19="x",IF(OR(D25="",D25="NA"),"",IF(OR(E25="",E25="NA"),"No Ref",IF(E25=0,"No Criteria",(D25/E25)))),"Not Req.")</f>
        <v>Not Req.</v>
      </c>
      <c r="L25" s="286" t="str">
        <f>IF(Start!$C$19="x",IF(C25="","NA",IF(F25="","No Ref", (IF(F25 = 0, "NA", ((C25*100/Data!$D$10)/(F25*100/Data!$D$60)))))),"Not Req.")</f>
        <v>Not Req.</v>
      </c>
      <c r="M25" s="285" t="str">
        <f>IF(Start!$C$19="x",IF(C25="","NA",IF(OR(G25="",G25="NA"),"No Criteria",(IF(G25 = 0, "NA", (C25/(G25*Data!$D$10/100)))))),"Not Req.")</f>
        <v>Not Req.</v>
      </c>
    </row>
    <row r="26" spans="1:13" s="10" customFormat="1" x14ac:dyDescent="0.25">
      <c r="A26" s="405" t="s">
        <v>344</v>
      </c>
      <c r="B26" s="456" t="str">
        <f>IF(Start!$C$19="x",IF(AND(H26="",I26="",J26=""),"",(IF(H26="OK","No",(IF(H26="Exceeded",(IF(J26="OK","No",(IF(J26="Exceeded","Needed",(IF(J26="No Criteria","No Criteria","Missing Data")))))),(IF(I26="OK","No",(IF(J26="OK","No",(IF(J26="Exceeded","Needed",(IF(J26="No Criteria","No Criteria","Missing Data"))))))))))))),"---")</f>
        <v>---</v>
      </c>
      <c r="C26" s="457" t="str">
        <f>IF(TRUE=ISBLANK(ChemData!B26),"",(ChemData!B26))</f>
        <v/>
      </c>
      <c r="D26" s="402" t="str">
        <f>IF(TRUE=ISBLANK(ChemData!F26),"",(ChemData!F26))</f>
        <v/>
      </c>
      <c r="E26" s="458" t="str">
        <f>IF(TRUE=ISBLANK(ChemData!G26),"",(ChemData!G26))</f>
        <v/>
      </c>
      <c r="F26" s="459" t="str">
        <f>IF(TRUE=ISBLANK(ChemData!E26),"",(ChemData!E26))</f>
        <v/>
      </c>
      <c r="G26" s="291">
        <f>IF(TRUE=ISBLANK(ChemData!L26),"",(ChemData!L26))</f>
        <v>10</v>
      </c>
      <c r="H26" s="460" t="str">
        <f>IF(Start!$C$19="x",IF(OR(D26="",D26="NA"),"",IF(OR(E26="",E26="NA"),"No Ref",IF(D26&gt;E26,"Exceeded","OK"))),"---")</f>
        <v>---</v>
      </c>
      <c r="I26" s="461" t="str">
        <f>IF(Start!$C$19="x",IF(OR(C26="",C26="NA"),"",IF(OR(F26="",F26="NA"),"No Ref",(IF((C26*100/Data!$D$10)&gt;(F26*100/Data!$D$60),"Exceeded","OK")))),"---")</f>
        <v>---</v>
      </c>
      <c r="J26" s="377" t="str">
        <f>IF(Start!$C$19="x",IF(OR(C26="",C26="NA"),"",IF(OR(G26="",G26="NA"),"No Criteria",(IF(C26&gt;(G26*Data!$D$10/100),"Exceeded","OK")))),"---")</f>
        <v>---</v>
      </c>
      <c r="K26" s="343" t="str">
        <f>IF(Start!$C$19="x",IF(OR(D26="",D26="NA"),"",IF(OR(E26="",E26="NA"),"No Ref",IF(E26=0,"No Criteria",(D26/E26)))),"Not Req.")</f>
        <v>Not Req.</v>
      </c>
      <c r="L26" s="286" t="str">
        <f>IF(Start!$C$19="x",IF(C26="","NA",IF(F26="","No Ref", (IF(F26 = 0, "NA", ((C26*100/Data!$D$10)/(F26*100/Data!$D$60)))))),"Not Req.")</f>
        <v>Not Req.</v>
      </c>
      <c r="M26" s="285" t="str">
        <f>IF(Start!$C$19="x",IF(C26="","NA",IF(OR(G26="",G26="NA"),"No Criteria",(IF(G26 = 0, "NA", (C26/(G26*Data!$D$10/100)))))),"Not Req.")</f>
        <v>Not Req.</v>
      </c>
    </row>
    <row r="27" spans="1:13" s="10" customFormat="1" x14ac:dyDescent="0.25">
      <c r="A27" s="56" t="s">
        <v>345</v>
      </c>
      <c r="B27" s="456" t="str">
        <f>IF(Start!$C$19="x",IF(AND(H27="",I27="",J27=""),"",(IF(H27="OK","No",(IF(H27="Exceeded",(IF(J27="OK","No",(IF(J27="Exceeded","Needed",(IF(J27="No Criteria","No Criteria","Missing Data")))))),(IF(I27="OK","No",(IF(J27="OK","No",(IF(J27="Exceeded","Needed",(IF(J27="No Criteria","No Criteria","Missing Data"))))))))))))),"---")</f>
        <v>---</v>
      </c>
      <c r="C27" s="457" t="str">
        <f>IF(TRUE=ISBLANK(ChemData!B27),"",(ChemData!B27))</f>
        <v/>
      </c>
      <c r="D27" s="402" t="str">
        <f>IF(TRUE=ISBLANK(ChemData!F27),"",(ChemData!F27))</f>
        <v/>
      </c>
      <c r="E27" s="458" t="str">
        <f>IF(TRUE=ISBLANK(ChemData!G27),"",(ChemData!G27))</f>
        <v/>
      </c>
      <c r="F27" s="459" t="str">
        <f>IF(TRUE=ISBLANK(ChemData!E27),"",(ChemData!E27))</f>
        <v/>
      </c>
      <c r="G27" s="291" t="str">
        <f>IF(TRUE=ISBLANK(ChemData!L27),"",(ChemData!L27))</f>
        <v>NA</v>
      </c>
      <c r="H27" s="460" t="str">
        <f>IF(Start!$C$19="x",IF(OR(D27="",D27="NA"),"",IF(OR(E27="",E27="NA"),"No Ref",IF(D27&gt;E27,"Exceeded","OK"))),"---")</f>
        <v>---</v>
      </c>
      <c r="I27" s="461" t="str">
        <f>IF(Start!$C$19="x",IF(OR(C27="",C27="NA"),"",IF(OR(F27="",F27="NA"),"No Ref",(IF((C27*100/Data!$D$10)&gt;(F27*100/Data!$D$60),"Exceeded","OK")))),"---")</f>
        <v>---</v>
      </c>
      <c r="J27" s="377" t="str">
        <f>IF(Start!$C$19="x",IF(OR(C27="",C27="NA"),"",IF(OR(G27="",G27="NA"),"No Criteria",(IF(C27&gt;(G27*Data!$D$10/100),"Exceeded","OK")))),"---")</f>
        <v>---</v>
      </c>
      <c r="K27" s="343" t="str">
        <f>IF(Start!$C$19="x",IF(OR(D27="",D27="NA"),"",IF(OR(E27="",E27="NA"),"No Ref",IF(E27=0,"No Criteria",(D27/E27)))),"Not Req.")</f>
        <v>Not Req.</v>
      </c>
      <c r="L27" s="286" t="str">
        <f>IF(Start!$C$19="x",IF(C27="","NA",IF(F27="","No Ref", (IF(F27 = 0, "NA", ((C27*100/Data!$D$10)/(F27*100/Data!$D$60)))))),"Not Req.")</f>
        <v>Not Req.</v>
      </c>
      <c r="M27" s="285" t="str">
        <f>IF(Start!$C$19="x",IF(C27="","NA",IF(OR(G27="",G27="NA"),"No Criteria",(IF(G27 = 0, "NA", (C27/(G27*Data!$D$10/100)))))),"Not Req.")</f>
        <v>Not Req.</v>
      </c>
    </row>
    <row r="28" spans="1:13" s="10" customFormat="1" x14ac:dyDescent="0.25">
      <c r="A28" s="405" t="s">
        <v>346</v>
      </c>
      <c r="B28" s="456" t="str">
        <f>IF(Start!$C$19="x",IF(AND(H28="",I28="",J28=""),"",(IF(H28="OK","No",(IF(H28="Exceeded",(IF(J28="OK","No",(IF(J28="Exceeded","Needed",(IF(J28="No Criteria","No Criteria","Missing Data")))))),(IF(I28="OK","No",(IF(J28="OK","No",(IF(J28="Exceeded","Needed",(IF(J28="No Criteria","No Criteria","Missing Data"))))))))))))),"---")</f>
        <v>---</v>
      </c>
      <c r="C28" s="457" t="str">
        <f>IF(TRUE=ISBLANK(ChemData!B28),"",(ChemData!B28))</f>
        <v/>
      </c>
      <c r="D28" s="402" t="str">
        <f>IF(TRUE=ISBLANK(ChemData!F28),"",(ChemData!F28))</f>
        <v/>
      </c>
      <c r="E28" s="458" t="str">
        <f>IF(TRUE=ISBLANK(ChemData!G28),"",(ChemData!G28))</f>
        <v/>
      </c>
      <c r="F28" s="459" t="str">
        <f>IF(TRUE=ISBLANK(ChemData!E28),"",(ChemData!E28))</f>
        <v/>
      </c>
      <c r="G28" s="291">
        <f>IF(TRUE=ISBLANK(ChemData!L28),"",(ChemData!L28))</f>
        <v>650</v>
      </c>
      <c r="H28" s="460" t="str">
        <f>IF(Start!$C$19="x",IF(OR(D28="",D28="NA"),"",IF(OR(E28="",E28="NA"),"No Ref",IF(D28&gt;E28,"Exceeded","OK"))),"---")</f>
        <v>---</v>
      </c>
      <c r="I28" s="461" t="str">
        <f>IF(Start!$C$19="x",IF(OR(C28="",C28="NA"),"",IF(OR(F28="",F28="NA"),"No Ref",(IF((C28*100/Data!$D$10)&gt;(F28*100/Data!$D$60),"Exceeded","OK")))),"---")</f>
        <v>---</v>
      </c>
      <c r="J28" s="377" t="str">
        <f>IF(Start!$C$19="x",IF(OR(C28="",C28="NA"),"",IF(OR(G28="",G28="NA"),"No Criteria",(IF(C28&gt;(G28*Data!$D$10/100),"Exceeded","OK")))),"---")</f>
        <v>---</v>
      </c>
      <c r="K28" s="343" t="str">
        <f>IF(Start!$C$19="x",IF(OR(D28="",D28="NA"),"",IF(OR(E28="",E28="NA"),"No Ref",IF(E28=0,"No Criteria",(D28/E28)))),"Not Req.")</f>
        <v>Not Req.</v>
      </c>
      <c r="L28" s="286" t="str">
        <f>IF(Start!$C$19="x",IF(C28="","NA",IF(F28="","No Ref", (IF(F28 = 0, "NA", ((C28*100/Data!$D$10)/(F28*100/Data!$D$60)))))),"Not Req.")</f>
        <v>Not Req.</v>
      </c>
      <c r="M28" s="285" t="str">
        <f>IF(Start!$C$19="x",IF(C28="","NA",IF(OR(G28="",G28="NA"),"No Criteria",(IF(G28 = 0, "NA", (C28/(G28*Data!$D$10/100)))))),"Not Req.")</f>
        <v>Not Req.</v>
      </c>
    </row>
    <row r="29" spans="1:13" s="10" customFormat="1" x14ac:dyDescent="0.25">
      <c r="A29" s="405" t="s">
        <v>347</v>
      </c>
      <c r="B29" s="456" t="str">
        <f>IF(Start!$C$19="x",IF(AND(H29="",I29="",J29=""),"",(IF(H29="OK","No",(IF(H29="Exceeded",(IF(J29="OK","No",(IF(J29="Exceeded","Needed",(IF(J29="No Criteria","No Criteria","Missing Data")))))),(IF(I29="OK","No",(IF(J29="OK","No",(IF(J29="Exceeded","Needed",(IF(J29="No Criteria","No Criteria","Missing Data"))))))))))))),"---")</f>
        <v>---</v>
      </c>
      <c r="C29" s="457" t="str">
        <f>IF(TRUE=ISBLANK(ChemData!B29),"",(ChemData!B29))</f>
        <v/>
      </c>
      <c r="D29" s="402" t="str">
        <f>IF(TRUE=ISBLANK(ChemData!F29),"",(ChemData!F29))</f>
        <v/>
      </c>
      <c r="E29" s="458" t="str">
        <f>IF(TRUE=ISBLANK(ChemData!G29),"",(ChemData!G29))</f>
        <v/>
      </c>
      <c r="F29" s="459" t="str">
        <f>IF(TRUE=ISBLANK(ChemData!E29),"",(ChemData!E29))</f>
        <v/>
      </c>
      <c r="G29" s="291">
        <f>IF(TRUE=ISBLANK(ChemData!L29),"",(ChemData!L29))</f>
        <v>26</v>
      </c>
      <c r="H29" s="460" t="str">
        <f>IF(Start!$C$19="x",IF(OR(D29="",D29="NA"),"",IF(OR(E29="",E29="NA"),"No Ref",IF(D29&gt;E29,"Exceeded","OK"))),"---")</f>
        <v>---</v>
      </c>
      <c r="I29" s="461" t="str">
        <f>IF(Start!$C$19="x",IF(OR(C29="",C29="NA"),"",IF(OR(F29="",F29="NA"),"No Ref",(IF((C29*100/Data!$D$10)&gt;(F29*100/Data!$D$60),"Exceeded","OK")))),"---")</f>
        <v>---</v>
      </c>
      <c r="J29" s="377" t="str">
        <f>IF(Start!$C$19="x",IF(OR(C29="",C29="NA"),"",IF(OR(G29="",G29="NA"),"No Criteria",(IF(C29&gt;(G29*Data!$D$10/100),"Exceeded","OK")))),"---")</f>
        <v>---</v>
      </c>
      <c r="K29" s="343" t="str">
        <f>IF(Start!$C$19="x",IF(OR(D29="",D29="NA"),"",IF(OR(E29="",E29="NA"),"No Ref",IF(E29=0,"No Criteria",(D29/E29)))),"Not Req.")</f>
        <v>Not Req.</v>
      </c>
      <c r="L29" s="286" t="str">
        <f>IF(Start!$C$19="x",IF(C29="","NA",IF(F29="","No Ref", (IF(F29 = 0, "NA", ((C29*100/Data!$D$10)/(F29*100/Data!$D$60)))))),"Not Req.")</f>
        <v>Not Req.</v>
      </c>
      <c r="M29" s="285" t="str">
        <f>IF(Start!$C$19="x",IF(C29="","NA",IF(OR(G29="",G29="NA"),"No Criteria",(IF(G29 = 0, "NA", (C29/(G29*Data!$D$10/100)))))),"Not Req.")</f>
        <v>Not Req.</v>
      </c>
    </row>
    <row r="30" spans="1:13" s="10" customFormat="1" x14ac:dyDescent="0.25">
      <c r="A30" s="405" t="s">
        <v>348</v>
      </c>
      <c r="B30" s="456" t="str">
        <f>IF(Start!$C$19="x",IF(AND(H30="",I30="",J30=""),"",(IF(H30="OK","No",(IF(H30="Exceeded",(IF(J30="OK","No",(IF(J30="Exceeded","Needed",(IF(J30="No Criteria","No Criteria","Missing Data")))))),(IF(I30="OK","No",(IF(J30="OK","No",(IF(J30="Exceeded","Needed",(IF(J30="No Criteria","No Criteria","Missing Data"))))))))))))),"---")</f>
        <v>---</v>
      </c>
      <c r="C30" s="457" t="str">
        <f>IF(TRUE=ISBLANK(ChemData!B30),"",(ChemData!B30))</f>
        <v/>
      </c>
      <c r="D30" s="402" t="str">
        <f>IF(TRUE=ISBLANK(ChemData!F30),"",(ChemData!F30))</f>
        <v/>
      </c>
      <c r="E30" s="458" t="str">
        <f>IF(TRUE=ISBLANK(ChemData!G30),"",(ChemData!G30))</f>
        <v/>
      </c>
      <c r="F30" s="459" t="str">
        <f>IF(TRUE=ISBLANK(ChemData!E30),"",(ChemData!E30))</f>
        <v/>
      </c>
      <c r="G30" s="291">
        <f>IF(TRUE=ISBLANK(ChemData!L30),"",(ChemData!L30))</f>
        <v>84</v>
      </c>
      <c r="H30" s="460" t="str">
        <f>IF(Start!$C$19="x",IF(OR(D30="",D30="NA"),"",IF(OR(E30="",E30="NA"),"No Ref",IF(D30&gt;E30,"Exceeded","OK"))),"---")</f>
        <v>---</v>
      </c>
      <c r="I30" s="461" t="str">
        <f>IF(Start!$C$19="x",IF(OR(C30="",C30="NA"),"",IF(OR(F30="",F30="NA"),"No Ref",(IF((C30*100/Data!$D$10)&gt;(F30*100/Data!$D$60),"Exceeded","OK")))),"---")</f>
        <v>---</v>
      </c>
      <c r="J30" s="377" t="str">
        <f>IF(Start!$C$19="x",IF(OR(C30="",C30="NA"),"",IF(OR(G30="",G30="NA"),"No Criteria",(IF(C30&gt;(G30*Data!$D$10/100),"Exceeded","OK")))),"---")</f>
        <v>---</v>
      </c>
      <c r="K30" s="343" t="str">
        <f>IF(Start!$C$19="x",IF(OR(D30="",D30="NA"),"",IF(OR(E30="",E30="NA"),"No Ref",IF(E30=0,"No Criteria",(D30/E30)))),"Not Req.")</f>
        <v>Not Req.</v>
      </c>
      <c r="L30" s="286" t="str">
        <f>IF(Start!$C$19="x",IF(C30="","NA",IF(F30="","No Ref", (IF(F30 = 0, "NA", ((C30*100/Data!$D$10)/(F30*100/Data!$D$60)))))),"Not Req.")</f>
        <v>Not Req.</v>
      </c>
      <c r="M30" s="285" t="str">
        <f>IF(Start!$C$19="x",IF(C30="","NA",IF(OR(G30="",G30="NA"),"No Criteria",(IF(G30 = 0, "NA", (C30/(G30*Data!$D$10/100)))))),"Not Req.")</f>
        <v>Not Req.</v>
      </c>
    </row>
    <row r="31" spans="1:13" s="10" customFormat="1" x14ac:dyDescent="0.25">
      <c r="A31" s="405" t="s">
        <v>349</v>
      </c>
      <c r="B31" s="456" t="str">
        <f>IF(Start!$C$19="x",IF(AND(H31="",I31="",J31=""),"",(IF(H31="OK","No",(IF(H31="Exceeded",(IF(J31="OK","No",(IF(J31="Exceeded","Needed",(IF(J31="No Criteria","No Criteria","Missing Data")))))),(IF(I31="OK","No",(IF(J31="OK","No",(IF(J31="Exceeded","Needed",(IF(J31="No Criteria","No Criteria","Missing Data"))))))))))))),"---")</f>
        <v>---</v>
      </c>
      <c r="C31" s="457" t="str">
        <f>IF(TRUE=ISBLANK(ChemData!B31),"",(ChemData!B31))</f>
        <v/>
      </c>
      <c r="D31" s="402" t="str">
        <f>IF(TRUE=ISBLANK(ChemData!F31),"",(ChemData!F31))</f>
        <v/>
      </c>
      <c r="E31" s="458" t="str">
        <f>IF(TRUE=ISBLANK(ChemData!G31),"",(ChemData!G31))</f>
        <v/>
      </c>
      <c r="F31" s="459" t="str">
        <f>IF(TRUE=ISBLANK(ChemData!E31),"",(ChemData!E31))</f>
        <v/>
      </c>
      <c r="G31" s="291" t="str">
        <f>IF(TRUE=ISBLANK(ChemData!L31),"",(ChemData!L31))</f>
        <v>NA</v>
      </c>
      <c r="H31" s="460" t="str">
        <f>IF(Start!$C$19="x",IF(OR(D31="",D31="NA"),"",IF(OR(E31="",E31="NA"),"No Ref",IF(D31&gt;E31,"Exceeded","OK"))),"---")</f>
        <v>---</v>
      </c>
      <c r="I31" s="461" t="str">
        <f>IF(Start!$C$19="x",IF(OR(C31="",C31="NA"),"",IF(OR(F31="",F31="NA"),"No Ref",(IF((C31*100/Data!$D$10)&gt;(F31*100/Data!$D$60),"Exceeded","OK")))),"---")</f>
        <v>---</v>
      </c>
      <c r="J31" s="377" t="str">
        <f>IF(Start!$C$19="x",IF(OR(C31="",C31="NA"),"",IF(OR(G31="",G31="NA"),"No Criteria",(IF(C31&gt;(G31*Data!$D$10/100),"Exceeded","OK")))),"---")</f>
        <v>---</v>
      </c>
      <c r="K31" s="343" t="str">
        <f>IF(Start!$C$19="x",IF(OR(D31="",D31="NA"),"",IF(OR(E31="",E31="NA"),"No Ref",IF(E31=0,"No Criteria",(D31/E31)))),"Not Req.")</f>
        <v>Not Req.</v>
      </c>
      <c r="L31" s="286" t="str">
        <f>IF(Start!$C$19="x",IF(C31="","NA",IF(F31="","No Ref", (IF(F31 = 0, "NA", ((C31*100/Data!$D$10)/(F31*100/Data!$D$60)))))),"Not Req.")</f>
        <v>Not Req.</v>
      </c>
      <c r="M31" s="285" t="str">
        <f>IF(Start!$C$19="x",IF(C31="","NA",IF(OR(G31="",G31="NA"),"No Criteria",(IF(G31 = 0, "NA", (C31/(G31*Data!$D$10/100)))))),"Not Req.")</f>
        <v>Not Req.</v>
      </c>
    </row>
    <row r="32" spans="1:13" s="10" customFormat="1" x14ac:dyDescent="0.25">
      <c r="A32" s="405" t="s">
        <v>350</v>
      </c>
      <c r="B32" s="456" t="str">
        <f>IF(Start!$C$19="x",IF(AND(H32="",I32="",J32=""),"",(IF(H32="OK","No",(IF(H32="Exceeded",(IF(J32="OK","No",(IF(J32="Exceeded","Needed",(IF(J32="No Criteria","No Criteria","Missing Data")))))),(IF(I32="OK","No",(IF(J32="OK","No",(IF(J32="Exceeded","Needed",(IF(J32="No Criteria","No Criteria","Missing Data"))))))))))))),"---")</f>
        <v>---</v>
      </c>
      <c r="C32" s="457" t="str">
        <f>IF(TRUE=ISBLANK(ChemData!B32),"",(ChemData!B32))</f>
        <v/>
      </c>
      <c r="D32" s="402" t="str">
        <f>IF(TRUE=ISBLANK(ChemData!F32),"",(ChemData!F32))</f>
        <v/>
      </c>
      <c r="E32" s="458" t="str">
        <f>IF(TRUE=ISBLANK(ChemData!G32),"",(ChemData!G32))</f>
        <v/>
      </c>
      <c r="F32" s="459" t="str">
        <f>IF(TRUE=ISBLANK(ChemData!E32),"",(ChemData!E32))</f>
        <v/>
      </c>
      <c r="G32" s="291">
        <f>IF(TRUE=ISBLANK(ChemData!L32),"",(ChemData!L32))</f>
        <v>14</v>
      </c>
      <c r="H32" s="460" t="str">
        <f>IF(Start!$C$19="x",IF(OR(D32="",D32="NA"),"",IF(OR(E32="",E32="NA"),"No Ref",IF(D32&gt;E32,"Exceeded","OK"))),"---")</f>
        <v>---</v>
      </c>
      <c r="I32" s="461" t="str">
        <f>IF(Start!$C$19="x",IF(OR(C32="",C32="NA"),"",IF(OR(F32="",F32="NA"),"No Ref",(IF((C32*100/Data!$D$10)&gt;(F32*100/Data!$D$60),"Exceeded","OK")))),"---")</f>
        <v>---</v>
      </c>
      <c r="J32" s="377" t="str">
        <f>IF(Start!$C$19="x",IF(OR(C32="",C32="NA"),"",IF(OR(G32="",G32="NA"),"No Criteria",(IF(C32&gt;(G32*Data!$D$10/100),"Exceeded","OK")))),"---")</f>
        <v>---</v>
      </c>
      <c r="K32" s="343" t="str">
        <f>IF(Start!$C$19="x",IF(OR(D32="",D32="NA"),"",IF(OR(E32="",E32="NA"),"No Ref",IF(E32=0,"No Criteria",(D32/E32)))),"Not Req.")</f>
        <v>Not Req.</v>
      </c>
      <c r="L32" s="286" t="str">
        <f>IF(Start!$C$19="x",IF(C32="","NA",IF(F32="","No Ref", (IF(F32 = 0, "NA", ((C32*100/Data!$D$10)/(F32*100/Data!$D$60)))))),"Not Req.")</f>
        <v>Not Req.</v>
      </c>
      <c r="M32" s="285" t="str">
        <f>IF(Start!$C$19="x",IF(C32="","NA",IF(OR(G32="",G32="NA"),"No Criteria",(IF(G32 = 0, "NA", (C32/(G32*Data!$D$10/100)))))),"Not Req.")</f>
        <v>Not Req.</v>
      </c>
    </row>
    <row r="33" spans="1:13" s="10" customFormat="1" x14ac:dyDescent="0.25">
      <c r="A33" s="405" t="s">
        <v>351</v>
      </c>
      <c r="B33" s="456" t="str">
        <f>IF(Start!$C$19="x",IF(AND(H33="",I33="",J33=""),"",(IF(H33="OK","No",(IF(H33="Exceeded",(IF(J33="OK","No",(IF(J33="Exceeded","Needed",(IF(J33="No Criteria","No Criteria","Missing Data")))))),(IF(I33="OK","No",(IF(J33="OK","No",(IF(J33="Exceeded","Needed",(IF(J33="No Criteria","No Criteria","Missing Data"))))))))))))),"---")</f>
        <v>---</v>
      </c>
      <c r="C33" s="457" t="str">
        <f>IF(TRUE=ISBLANK(ChemData!B33),"",(ChemData!B33))</f>
        <v/>
      </c>
      <c r="D33" s="402" t="str">
        <f>IF(TRUE=ISBLANK(ChemData!F33),"",(ChemData!F33))</f>
        <v/>
      </c>
      <c r="E33" s="458" t="str">
        <f>IF(TRUE=ISBLANK(ChemData!G33),"",(ChemData!G33))</f>
        <v/>
      </c>
      <c r="F33" s="459" t="str">
        <f>IF(TRUE=ISBLANK(ChemData!E33),"",(ChemData!E33))</f>
        <v/>
      </c>
      <c r="G33" s="291">
        <f>IF(TRUE=ISBLANK(ChemData!L33),"",(ChemData!L33))</f>
        <v>240</v>
      </c>
      <c r="H33" s="460" t="str">
        <f>IF(Start!$C$19="x",IF(OR(D33="",D33="NA"),"",IF(OR(E33="",E33="NA"),"No Ref",IF(D33&gt;E33,"Exceeded","OK"))),"---")</f>
        <v>---</v>
      </c>
      <c r="I33" s="461" t="str">
        <f>IF(Start!$C$19="x",IF(OR(C33="",C33="NA"),"",IF(OR(F33="",F33="NA"),"No Ref",(IF((C33*100/Data!$D$10)&gt;(F33*100/Data!$D$60),"Exceeded","OK")))),"---")</f>
        <v>---</v>
      </c>
      <c r="J33" s="377" t="str">
        <f>IF(Start!$C$19="x",IF(OR(C33="",C33="NA"),"",IF(OR(G33="",G33="NA"),"No Criteria",(IF(C33&gt;(G33*Data!$D$10/100),"Exceeded","OK")))),"---")</f>
        <v>---</v>
      </c>
      <c r="K33" s="343" t="str">
        <f>IF(Start!$C$19="x",IF(OR(D33="",D33="NA"),"",IF(OR(E33="",E33="NA"),"No Ref",IF(E33=0,"No Criteria",(D33/E33)))),"Not Req.")</f>
        <v>Not Req.</v>
      </c>
      <c r="L33" s="286" t="str">
        <f>IF(Start!$C$19="x",IF(C33="","NA",IF(F33="","No Ref", (IF(F33 = 0, "NA", ((C33*100/Data!$D$10)/(F33*100/Data!$D$60)))))),"Not Req.")</f>
        <v>Not Req.</v>
      </c>
      <c r="M33" s="285" t="str">
        <f>IF(Start!$C$19="x",IF(C33="","NA",IF(OR(G33="",G33="NA"),"No Criteria",(IF(G33 = 0, "NA", (C33/(G33*Data!$D$10/100)))))),"Not Req.")</f>
        <v>Not Req.</v>
      </c>
    </row>
    <row r="34" spans="1:13" s="10" customFormat="1" x14ac:dyDescent="0.25">
      <c r="A34" s="405" t="s">
        <v>352</v>
      </c>
      <c r="B34" s="456" t="str">
        <f>IF(Start!$C$19="x",IF(AND(H34="",I34="",J34=""),"",(IF(H34="OK","No",(IF(H34="Exceeded",(IF(J34="OK","No",(IF(J34="Exceeded","Needed",(IF(J34="No Criteria","No Criteria","Missing Data")))))),(IF(I34="OK","No",(IF(J34="OK","No",(IF(J34="Exceeded","Needed",(IF(J34="No Criteria","No Criteria","Missing Data"))))))))))))),"---")</f>
        <v>---</v>
      </c>
      <c r="C34" s="457" t="str">
        <f>IF(TRUE=ISBLANK(ChemData!B34),"",(ChemData!B34))</f>
        <v/>
      </c>
      <c r="D34" s="402" t="str">
        <f>IF(TRUE=ISBLANK(ChemData!F34),"",(ChemData!F34))</f>
        <v/>
      </c>
      <c r="E34" s="458" t="str">
        <f>IF(TRUE=ISBLANK(ChemData!G34),"",(ChemData!G34))</f>
        <v/>
      </c>
      <c r="F34" s="459" t="str">
        <f>IF(TRUE=ISBLANK(ChemData!E34),"",(ChemData!E34))</f>
        <v/>
      </c>
      <c r="G34" s="291" t="str">
        <f>IF(TRUE=ISBLANK(ChemData!L34),"",(ChemData!L34))</f>
        <v>NA</v>
      </c>
      <c r="H34" s="460" t="str">
        <f>IF(Start!$C$19="x",IF(OR(D34="",D34="NA"),"",IF(OR(E34="",E34="NA"),"No Ref",IF(D34&gt;E34,"Exceeded","OK"))),"---")</f>
        <v>---</v>
      </c>
      <c r="I34" s="461" t="str">
        <f>IF(Start!$C$19="x",IF(OR(C34="",C34="NA"),"",IF(OR(F34="",F34="NA"),"No Ref",(IF((C34*100/Data!$D$10)&gt;(F34*100/Data!$D$60),"Exceeded","OK")))),"---")</f>
        <v>---</v>
      </c>
      <c r="J34" s="377" t="str">
        <f>IF(Start!$C$19="x",IF(OR(C34="",C34="NA"),"",IF(OR(G34="",G34="NA"),"No Criteria",(IF(C34&gt;(G34*Data!$D$10/100),"Exceeded","OK")))),"---")</f>
        <v>---</v>
      </c>
      <c r="K34" s="343" t="str">
        <f>IF(Start!$C$19="x",IF(OR(D34="",D34="NA"),"",IF(OR(E34="",E34="NA"),"No Ref",IF(E34=0,"No Criteria",(D34/E34)))),"Not Req.")</f>
        <v>Not Req.</v>
      </c>
      <c r="L34" s="286" t="str">
        <f>IF(Start!$C$19="x",IF(C34="","NA",IF(F34="","No Ref", (IF(F34 = 0, "NA", ((C34*100/Data!$D$10)/(F34*100/Data!$D$60)))))),"Not Req.")</f>
        <v>Not Req.</v>
      </c>
      <c r="M34" s="285" t="str">
        <f>IF(Start!$C$19="x",IF(C34="","NA",IF(OR(G34="",G34="NA"),"No Criteria",(IF(G34 = 0, "NA", (C34/(G34*Data!$D$10/100)))))),"Not Req.")</f>
        <v>Not Req.</v>
      </c>
    </row>
    <row r="35" spans="1:13" s="10" customFormat="1" x14ac:dyDescent="0.25">
      <c r="A35" s="405" t="s">
        <v>851</v>
      </c>
      <c r="B35" s="456" t="str">
        <f>IF(Start!$C$19="x",IF(AND(H35="",I35="",J35=""),"",(IF(H35="OK","No",(IF(H35="Exceeded",(IF(J35="OK","No",(IF(J35="Exceeded","Needed",(IF(J35="No Criteria","No Criteria","Missing Data")))))),(IF(I35="OK","No",(IF(J35="OK","No",(IF(J35="Exceeded","Needed",(IF(J35="No Criteria","No Criteria","Missing Data"))))))))))))),"---")</f>
        <v>---</v>
      </c>
      <c r="C35" s="457" t="str">
        <f>IF(TRUE=ISBLANK(ChemData!B35),"",(ChemData!B35))</f>
        <v/>
      </c>
      <c r="D35" s="402" t="str">
        <f>IF(TRUE=ISBLANK(ChemData!F35),"",(ChemData!F35))</f>
        <v/>
      </c>
      <c r="E35" s="458" t="str">
        <f>IF(TRUE=ISBLANK(ChemData!G35),"",(ChemData!G35))</f>
        <v/>
      </c>
      <c r="F35" s="459" t="str">
        <f>IF(TRUE=ISBLANK(ChemData!E35),"",(ChemData!E35))</f>
        <v/>
      </c>
      <c r="G35" s="291">
        <f>IF(TRUE=ISBLANK(ChemData!L35),"",(ChemData!L35))</f>
        <v>1500</v>
      </c>
      <c r="H35" s="460" t="str">
        <f>IF(Start!$C$19="x",IF(OR(D35="",D35="NA"),"",IF(OR(E35="",E35="NA"),"No Ref",IF(D35&gt;E35,"Exceeded","OK"))),"---")</f>
        <v>---</v>
      </c>
      <c r="I35" s="461" t="str">
        <f>IF(Start!$C$19="x",IF(OR(C35="",C35="NA"),"",IF(OR(F35="",F35="NA"),"No Ref",(IF((C35*100/Data!$D$10)&gt;(F35*100/Data!$D$60),"Exceeded","OK")))),"---")</f>
        <v>---</v>
      </c>
      <c r="J35" s="377" t="str">
        <f>IF(Start!$C$19="x",IF(OR(C35="",C35="NA"),"",IF(OR(G35="",G35="NA"),"No Criteria",(IF(C35&gt;(G35*Data!$D$10/100),"Exceeded","OK")))),"---")</f>
        <v>---</v>
      </c>
      <c r="K35" s="343" t="str">
        <f>IF(Start!$C$19="x",IF(OR(D35="",D35="NA"),"",IF(OR(E35="",E35="NA"),"No Ref",IF(E35=0,"No Criteria",(D35/E35)))),"Not Req.")</f>
        <v>Not Req.</v>
      </c>
      <c r="L35" s="286" t="str">
        <f>IF(Start!$C$19="x",IF(C35="","NA",IF(F35="","No Ref", (IF(F35 = 0, "NA", ((C35*100/Data!$D$10)/(F35*100/Data!$D$60)))))),"Not Req.")</f>
        <v>Not Req.</v>
      </c>
      <c r="M35" s="285" t="str">
        <f>IF(Start!$C$19="x",IF(C35="","NA",IF(OR(G35="",G35="NA"),"No Criteria",(IF(G35 = 0, "NA", (C35/(G35*Data!$D$10/100)))))),"Not Req.")</f>
        <v>Not Req.</v>
      </c>
    </row>
    <row r="36" spans="1:13" s="10" customFormat="1" x14ac:dyDescent="0.25">
      <c r="A36" s="405" t="s">
        <v>354</v>
      </c>
      <c r="B36" s="456" t="str">
        <f>IF(Start!$C$19="x",IF(AND(H36="",I36="",J36=""),"",(IF(H36="OK","No",(IF(H36="Exceeded",(IF(J36="OK","No",(IF(J36="Exceeded","Needed",(IF(J36="No Criteria","No Criteria","Missing Data")))))),(IF(I36="OK","No",(IF(J36="OK","No",(IF(J36="Exceeded","Needed",(IF(J36="No Criteria","No Criteria","Missing Data"))))))))))))),"---")</f>
        <v>---</v>
      </c>
      <c r="C36" s="457" t="str">
        <f>IF(TRUE=ISBLANK(ChemData!B36),"",(ChemData!B36))</f>
        <v/>
      </c>
      <c r="D36" s="402" t="str">
        <f>IF(TRUE=ISBLANK(ChemData!F36),"",(ChemData!F36))</f>
        <v/>
      </c>
      <c r="E36" s="458" t="str">
        <f>IF(TRUE=ISBLANK(ChemData!G36),"",(ChemData!G36))</f>
        <v/>
      </c>
      <c r="F36" s="459" t="str">
        <f>IF(TRUE=ISBLANK(ChemData!E36),"",(ChemData!E36))</f>
        <v/>
      </c>
      <c r="G36" s="291">
        <f>IF(TRUE=ISBLANK(ChemData!L36),"",(ChemData!L36))</f>
        <v>12000</v>
      </c>
      <c r="H36" s="460" t="str">
        <f>IF(Start!$C$19="x",IF(OR(D36="",D36="NA"),"",IF(OR(E36="",E36="NA"),"No Ref",IF(D36&gt;E36,"Exceeded","OK"))),"---")</f>
        <v>---</v>
      </c>
      <c r="I36" s="461" t="str">
        <f>IF(Start!$C$19="x",IF(OR(C36="",C36="NA"),"",IF(OR(F36="",F36="NA"),"No Ref",(IF((C36*100/Data!$D$10)&gt;(F36*100/Data!$D$60),"Exceeded","OK")))),"---")</f>
        <v>---</v>
      </c>
      <c r="J36" s="377" t="str">
        <f>IF(Start!$C$19="x",IF(OR(C36="",C36="NA"),"",IF(OR(G36="",G36="NA"),"No Criteria",(IF(C36&gt;(G36*Data!$D$10/100),"Exceeded","OK")))),"---")</f>
        <v>---</v>
      </c>
      <c r="K36" s="343" t="str">
        <f>IF(Start!$C$19="x",IF(OR(D36="",D36="NA"),"",IF(OR(E36="",E36="NA"),"No Ref",IF(E36=0,"No Criteria",(D36/E36)))),"Not Req.")</f>
        <v>Not Req.</v>
      </c>
      <c r="L36" s="286" t="str">
        <f>IF(Start!$C$19="x",IF(C36="","NA",IF(F36="","No Ref", (IF(F36 = 0, "NA", ((C36*100/Data!$D$10)/(F36*100/Data!$D$60)))))),"Not Req.")</f>
        <v>Not Req.</v>
      </c>
      <c r="M36" s="285" t="str">
        <f>IF(Start!$C$19="x",IF(C36="","NA",IF(OR(G36="",G36="NA"),"No Criteria",(IF(G36 = 0, "NA", (C36/(G36*Data!$D$10/100)))))),"Not Req.")</f>
        <v>Not Req.</v>
      </c>
    </row>
    <row r="37" spans="1:13" s="10" customFormat="1" ht="13.8" thickBot="1" x14ac:dyDescent="0.3">
      <c r="A37" s="406" t="s">
        <v>355</v>
      </c>
      <c r="B37" s="456" t="str">
        <f>IF(Start!$C$19="x",IF(AND(H37="",I37="",J37=""),"",(IF(H37="OK","No",(IF(H37="Exceeded",(IF(J37="OK","No",(IF(J37="Exceeded","Needed",(IF(J37="No Criteria","No Criteria","Missing Data")))))),(IF(I37="OK","No",(IF(J37="OK","No",(IF(J37="Exceeded","Needed",(IF(J37="No Criteria","No Criteria","Missing Data"))))))))))))),"---")</f>
        <v>---</v>
      </c>
      <c r="C37" s="457" t="str">
        <f>IF(TRUE=ISBLANK(ChemData!B37),"",(ChemData!B37))</f>
        <v/>
      </c>
      <c r="D37" s="402" t="str">
        <f>IF(TRUE=ISBLANK(ChemData!F37),"",(ChemData!F37))</f>
        <v/>
      </c>
      <c r="E37" s="458" t="str">
        <f>IF(TRUE=ISBLANK(ChemData!G37),"",(ChemData!G37))</f>
        <v/>
      </c>
      <c r="F37" s="459" t="str">
        <f>IF(TRUE=ISBLANK(ChemData!E37),"",(ChemData!E37))</f>
        <v/>
      </c>
      <c r="G37" s="291" t="str">
        <f>IF(TRUE=ISBLANK(ChemData!L37),"",(ChemData!L37))</f>
        <v>NA</v>
      </c>
      <c r="H37" s="460" t="str">
        <f>IF(Start!$C$19="x",IF(OR(D37="",D37="NA"),"",IF(OR(E37="",E37="NA"),"No Ref",IF(D37&gt;E37,"Exceeded","OK"))),"---")</f>
        <v>---</v>
      </c>
      <c r="I37" s="461" t="str">
        <f>IF(Start!$C$19="x",IF(OR(C37="",C37="NA"),"",IF(OR(F37="",F37="NA"),"No Ref",(IF((C37*100/Data!$D$10)&gt;(F37*100/Data!$D$60),"Exceeded","OK")))),"---")</f>
        <v>---</v>
      </c>
      <c r="J37" s="377" t="str">
        <f>IF(Start!$C$19="x",IF(OR(C37="",C37="NA"),"",IF(OR(G37="",G37="NA"),"No Criteria",(IF(C37&gt;(G37*Data!$D$10/100),"Exceeded","OK")))),"---")</f>
        <v>---</v>
      </c>
      <c r="K37" s="343" t="str">
        <f>IF(Start!$C$19="x",IF(OR(D37="",D37="NA"),"",IF(OR(E37="",E37="NA"),"No Ref",IF(E37=0,"No Criteria",(D37/E37)))),"Not Req.")</f>
        <v>Not Req.</v>
      </c>
      <c r="L37" s="286" t="str">
        <f>IF(Start!$C$19="x",IF(C37="","NA",IF(F37="","No Ref", (IF(F37 = 0, "NA", ((C37*100/Data!$D$10)/(F37*100/Data!$D$60)))))),"Not Req.")</f>
        <v>Not Req.</v>
      </c>
      <c r="M37" s="285" t="str">
        <f>IF(Start!$C$19="x",IF(C37="","NA",IF(OR(G37="",G37="NA"),"No Criteria",(IF(G37 = 0, "NA", (C37/(G37*Data!$D$10/100)))))),"Not Req.")</f>
        <v>Not Req.</v>
      </c>
    </row>
    <row r="38" spans="1:13" s="10" customFormat="1" x14ac:dyDescent="0.25">
      <c r="A38" s="573" t="s">
        <v>356</v>
      </c>
      <c r="B38" s="545"/>
      <c r="C38" s="545"/>
      <c r="D38" s="547"/>
      <c r="E38" s="548"/>
      <c r="F38" s="511"/>
      <c r="G38" s="513"/>
      <c r="H38" s="543"/>
      <c r="I38" s="511"/>
      <c r="J38" s="513"/>
      <c r="K38" s="543"/>
      <c r="L38" s="511"/>
      <c r="M38" s="513"/>
    </row>
    <row r="39" spans="1:13" s="10" customFormat="1" x14ac:dyDescent="0.25">
      <c r="A39" s="405" t="s">
        <v>665</v>
      </c>
      <c r="B39" s="456" t="str">
        <f>IF(Start!$C$19="x",IF(AND(H39="",I39="",J39=""),"",(IF(H39="OK","No",(IF(H39="Exceeded",(IF(J39="OK","No",(IF(J39="Exceeded","Needed",(IF(J39="No Criteria","No Criteria","Missing Data")))))),(IF(I39="OK","No",(IF(J39="OK","No",(IF(J39="Exceeded","Needed",(IF(J39="No Criteria","No Criteria","Missing Data"))))))))))))),"---")</f>
        <v>---</v>
      </c>
      <c r="C39" s="457" t="str">
        <f>IF(TRUE=ISBLANK(ChemData!B39),"",(ChemData!B39))</f>
        <v/>
      </c>
      <c r="D39" s="502"/>
      <c r="E39" s="503"/>
      <c r="F39" s="289" t="str">
        <f>IF(TRUE=ISBLANK(ChemData!E39),"",(ChemData!E39))</f>
        <v/>
      </c>
      <c r="G39" s="291" t="str">
        <f>IF(TRUE=ISBLANK(ChemData!L39),"",(ChemData!L39))</f>
        <v>NA</v>
      </c>
      <c r="H39" s="462"/>
      <c r="I39" s="461" t="str">
        <f>IF(Start!$C$19="x",IF(OR(C39="",C39="NA"),"",IF(OR(F39="",F39="NA"),"No Ref",(IF((C39*100/Data!$D$10)&gt;(F39*100/Data!$D$60),"Exceeded","OK")))),"---")</f>
        <v>---</v>
      </c>
      <c r="J39" s="377" t="str">
        <f>IF(Start!$C$19="x",IF(OR(C39="",C39="NA"),"",IF(OR(G39="",G39="NA"),"No Criteria",(IF(C39&gt;(G39*Data!$D$10/100),"Exceeded","OK")))),"---")</f>
        <v>---</v>
      </c>
      <c r="K39" s="462"/>
      <c r="L39" s="286" t="str">
        <f>IF(Start!$C$19="x",IF(C39="","NA",IF(F39="","No Ref", (IF(F39 = 0, "NA", ((C39*100/Data!$D$10)/(F39*100/Data!$D$60)))))),"Not Req.")</f>
        <v>Not Req.</v>
      </c>
      <c r="M39" s="285" t="str">
        <f>IF(Start!$C$19="x",IF(C39="","NA",IF(OR(G39="",G39="NA"),"No Criteria",(IF(G39 = 0, "NA", (C39/(G39*Data!$D$10/100)))))),"Not Req.")</f>
        <v>Not Req.</v>
      </c>
    </row>
    <row r="40" spans="1:13" s="10" customFormat="1" x14ac:dyDescent="0.25">
      <c r="A40" s="405" t="s">
        <v>358</v>
      </c>
      <c r="B40" s="456" t="str">
        <f>IF(Start!$C$19="x",IF(AND(H40="",I40="",J40=""),"",(IF(H40="OK","No",(IF(H40="Exceeded",(IF(J40="OK","No",(IF(J40="Exceeded","Needed",(IF(J40="No Criteria","No Criteria","Missing Data")))))),(IF(I40="OK","No",(IF(J40="OK","No",(IF(J40="Exceeded","Needed",(IF(J40="No Criteria","No Criteria","Missing Data"))))))))))))),"---")</f>
        <v>---</v>
      </c>
      <c r="C40" s="457" t="str">
        <f>IF(TRUE=ISBLANK(ChemData!B40),"",(ChemData!B40))</f>
        <v/>
      </c>
      <c r="D40" s="502"/>
      <c r="E40" s="503"/>
      <c r="F40" s="289" t="str">
        <f>IF(TRUE=ISBLANK(ChemData!E40),"",(ChemData!E40))</f>
        <v/>
      </c>
      <c r="G40" s="291" t="str">
        <f>IF(TRUE=ISBLANK(ChemData!L40),"",(ChemData!L40))</f>
        <v>NA</v>
      </c>
      <c r="H40" s="462"/>
      <c r="I40" s="461" t="str">
        <f>IF(Start!$C$19="x",IF(OR(C40="",C40="NA"),"",IF(OR(F40="",F40="NA"),"No Ref",(IF((C40*100/Data!$D$10)&gt;(F40*100/Data!$D$60),"Exceeded","OK")))),"---")</f>
        <v>---</v>
      </c>
      <c r="J40" s="377" t="str">
        <f>IF(Start!$C$19="x",IF(OR(C40="",C40="NA"),"",IF(OR(G40="",G40="NA"),"No Criteria",(IF(C40&gt;(G40*Data!$D$10/100),"Exceeded","OK")))),"---")</f>
        <v>---</v>
      </c>
      <c r="K40" s="462"/>
      <c r="L40" s="286" t="str">
        <f>IF(Start!$C$19="x",IF(C40="","NA",IF(F40="","No Ref", (IF(F40 = 0, "NA", ((C40*100/Data!$D$10)/(F40*100/Data!$D$60)))))),"Not Req.")</f>
        <v>Not Req.</v>
      </c>
      <c r="M40" s="285" t="str">
        <f>IF(Start!$C$19="x",IF(C40="","NA",IF(OR(G40="",G40="NA"),"No Criteria",(IF(G40 = 0, "NA", (C40/(G40*Data!$D$10/100)))))),"Not Req.")</f>
        <v>Not Req.</v>
      </c>
    </row>
    <row r="41" spans="1:13" s="10" customFormat="1" x14ac:dyDescent="0.25">
      <c r="A41" s="405" t="s">
        <v>359</v>
      </c>
      <c r="B41" s="456" t="str">
        <f>IF(Start!$C$19="x",IF(AND(H41="",I41="",J41=""),"",(IF(H41="OK","No",(IF(H41="Exceeded",(IF(J41="OK","No",(IF(J41="Exceeded","Needed",(IF(J41="No Criteria","No Criteria","Missing Data")))))),(IF(I41="OK","No",(IF(J41="OK","No",(IF(J41="Exceeded","Needed",(IF(J41="No Criteria","No Criteria","Missing Data"))))))))))))),"---")</f>
        <v>---</v>
      </c>
      <c r="C41" s="457" t="str">
        <f>IF(TRUE=ISBLANK(ChemData!B41),"",(ChemData!B41))</f>
        <v/>
      </c>
      <c r="D41" s="502"/>
      <c r="E41" s="503"/>
      <c r="F41" s="289" t="str">
        <f>IF(TRUE=ISBLANK(ChemData!E41),"",(ChemData!E41))</f>
        <v/>
      </c>
      <c r="G41" s="291" t="str">
        <f>IF(TRUE=ISBLANK(ChemData!L41),"",(ChemData!L41))</f>
        <v>NA</v>
      </c>
      <c r="H41" s="462"/>
      <c r="I41" s="461" t="str">
        <f>IF(Start!$C$19="x",IF(OR(C41="",C41="NA"),"",IF(OR(F41="",F41="NA"),"No Ref",(IF((C41*100/Data!$D$10)&gt;(F41*100/Data!$D$60),"Exceeded","OK")))),"---")</f>
        <v>---</v>
      </c>
      <c r="J41" s="377" t="str">
        <f>IF(Start!$C$19="x",IF(OR(C41="",C41="NA"),"",IF(OR(G41="",G41="NA"),"No Criteria",(IF(C41&gt;(G41*Data!$D$10/100),"Exceeded","OK")))),"---")</f>
        <v>---</v>
      </c>
      <c r="K41" s="462"/>
      <c r="L41" s="286" t="str">
        <f>IF(Start!$C$19="x",IF(C41="","NA",IF(F41="","No Ref", (IF(F41 = 0, "NA", ((C41*100/Data!$D$10)/(F41*100/Data!$D$60)))))),"Not Req.")</f>
        <v>Not Req.</v>
      </c>
      <c r="M41" s="285" t="str">
        <f>IF(Start!$C$19="x",IF(C41="","NA",IF(OR(G41="",G41="NA"),"No Criteria",(IF(G41 = 0, "NA", (C41/(G41*Data!$D$10/100)))))),"Not Req.")</f>
        <v>Not Req.</v>
      </c>
    </row>
    <row r="42" spans="1:13" s="10" customFormat="1" x14ac:dyDescent="0.25">
      <c r="A42" s="405" t="s">
        <v>360</v>
      </c>
      <c r="B42" s="456" t="str">
        <f>IF(Start!$C$19="x",IF(AND(H42="",I42="",J42=""),"",(IF(H42="OK","No",(IF(H42="Exceeded",(IF(J42="OK","No",(IF(J42="Exceeded","Needed",(IF(J42="No Criteria","No Criteria","Missing Data")))))),(IF(I42="OK","No",(IF(J42="OK","No",(IF(J42="Exceeded","Needed",(IF(J42="No Criteria","No Criteria","Missing Data"))))))))))))),"---")</f>
        <v>---</v>
      </c>
      <c r="C42" s="457" t="str">
        <f>IF(TRUE=ISBLANK(ChemData!B42),"",(ChemData!B42))</f>
        <v/>
      </c>
      <c r="D42" s="502"/>
      <c r="E42" s="503"/>
      <c r="F42" s="289" t="str">
        <f>IF(TRUE=ISBLANK(ChemData!E42),"",(ChemData!E42))</f>
        <v/>
      </c>
      <c r="G42" s="291" t="str">
        <f>IF(TRUE=ISBLANK(ChemData!L42),"",(ChemData!L42))</f>
        <v>NA</v>
      </c>
      <c r="H42" s="462"/>
      <c r="I42" s="461" t="str">
        <f>IF(Start!$C$19="x",IF(OR(C42="",C42="NA"),"",IF(OR(F42="",F42="NA"),"No Ref",(IF((C42*100/Data!$D$10)&gt;(F42*100/Data!$D$60),"Exceeded","OK")))),"---")</f>
        <v>---</v>
      </c>
      <c r="J42" s="377" t="str">
        <f>IF(Start!$C$19="x",IF(OR(C42="",C42="NA"),"",IF(OR(G42="",G42="NA"),"No Criteria",(IF(C42&gt;(G42*Data!$D$10/100),"Exceeded","OK")))),"---")</f>
        <v>---</v>
      </c>
      <c r="K42" s="462"/>
      <c r="L42" s="286" t="str">
        <f>IF(Start!$C$19="x",IF(C42="","NA",IF(F42="","No Ref", (IF(F42 = 0, "NA", ((C42*100/Data!$D$10)/(F42*100/Data!$D$60)))))),"Not Req.")</f>
        <v>Not Req.</v>
      </c>
      <c r="M42" s="285" t="str">
        <f>IF(Start!$C$19="x",IF(C42="","NA",IF(OR(G42="",G42="NA"),"No Criteria",(IF(G42 = 0, "NA", (C42/(G42*Data!$D$10/100)))))),"Not Req.")</f>
        <v>Not Req.</v>
      </c>
    </row>
    <row r="43" spans="1:13" s="10" customFormat="1" ht="13.8" thickBot="1" x14ac:dyDescent="0.3">
      <c r="A43" s="56" t="s">
        <v>361</v>
      </c>
      <c r="B43" s="456" t="str">
        <f>IF(Start!$C$19="x",IF(AND(H43="",I43="",J43=""),"",(IF(H43="OK","No",(IF(H43="Exceeded",(IF(J43="OK","No",(IF(J43="Exceeded","Needed",(IF(J43="No Criteria","No Criteria","Missing Data")))))),(IF(I43="OK","No",(IF(J43="OK","No",(IF(J43="Exceeded","Needed",(IF(J43="No Criteria","No Criteria","Missing Data"))))))))))))),"---")</f>
        <v>---</v>
      </c>
      <c r="C43" s="457" t="str">
        <f>IF(TRUE=ISBLANK(ChemData!B43),"",(ChemData!B43))</f>
        <v/>
      </c>
      <c r="D43" s="502"/>
      <c r="E43" s="503"/>
      <c r="F43" s="459" t="str">
        <f>IF(TRUE=ISBLANK(ChemData!E43),"",(ChemData!E43))</f>
        <v/>
      </c>
      <c r="G43" s="291" t="str">
        <f>IF(TRUE=ISBLANK(ChemData!L43),"",(ChemData!L43))</f>
        <v>NA</v>
      </c>
      <c r="H43" s="462"/>
      <c r="I43" s="461" t="str">
        <f>IF(Start!$C$19="x",IF(OR(C43="",C43="NA"),"",IF(OR(F43="",F43="NA"),"No Ref",(IF((C43*100/Data!$D$10)&gt;(F43*100/Data!$D$60),"Exceeded","OK")))),"---")</f>
        <v>---</v>
      </c>
      <c r="J43" s="377" t="str">
        <f>IF(Start!$C$19="x",IF(OR(C43="",C43="NA"),"",IF(OR(G43="",G43="NA"),"No Criteria",(IF(C43&gt;(G43*Data!$D$10/100),"Exceeded","OK")))),"---")</f>
        <v>---</v>
      </c>
      <c r="K43" s="462"/>
      <c r="L43" s="286" t="str">
        <f>IF(Start!$C$19="x",IF(C43="","NA",IF(F43="","No Ref", (IF(F43 = 0, "NA", ((C43*100/Data!$D$10)/(F43*100/Data!$D$60)))))),"Not Req.")</f>
        <v>Not Req.</v>
      </c>
      <c r="M43" s="285" t="str">
        <f>IF(Start!$C$19="x",IF(C43="","NA",IF(OR(G43="",G43="NA"),"No Criteria",(IF(G43 = 0, "NA", (C43/(G43*Data!$D$10/100)))))),"Not Req.")</f>
        <v>Not Req.</v>
      </c>
    </row>
    <row r="44" spans="1:13" s="10" customFormat="1" x14ac:dyDescent="0.25">
      <c r="A44" s="505" t="s">
        <v>362</v>
      </c>
      <c r="B44" s="545"/>
      <c r="C44" s="545"/>
      <c r="D44" s="547"/>
      <c r="E44" s="548"/>
      <c r="F44" s="511"/>
      <c r="G44" s="513" t="str">
        <f>IF(TRUE=ISBLANK(ChemData!L44),"",(ChemData!L44))</f>
        <v/>
      </c>
      <c r="H44" s="543"/>
      <c r="I44" s="511"/>
      <c r="J44" s="513"/>
      <c r="K44" s="543"/>
      <c r="L44" s="511"/>
      <c r="M44" s="513"/>
    </row>
    <row r="45" spans="1:13" s="10" customFormat="1" x14ac:dyDescent="0.25">
      <c r="A45" s="405" t="s">
        <v>363</v>
      </c>
      <c r="B45" s="456" t="str">
        <f>IF(Start!$C$19="x",IF(AND(H45="",I45="",J45=""),"",(IF(H45="OK","No",(IF(H45="Exceeded",(IF(J45="OK","No",(IF(J45="Exceeded","Needed",(IF(J45="No Criteria","No Criteria","Missing Data")))))),(IF(I45="OK","No",(IF(J45="OK","No",(IF(J45="Exceeded","Needed",(IF(J45="No Criteria","No Criteria","Missing Data"))))))))))))),"---")</f>
        <v>---</v>
      </c>
      <c r="C45" s="457" t="str">
        <f>IF(TRUE=ISBLANK(ChemData!B45),"",(ChemData!B45))</f>
        <v/>
      </c>
      <c r="D45" s="502"/>
      <c r="E45" s="503"/>
      <c r="F45" s="289" t="str">
        <f>IF(TRUE=ISBLANK(ChemData!E45),"",(ChemData!E45))</f>
        <v/>
      </c>
      <c r="G45" s="291">
        <f>IF(TRUE=ISBLANK(ChemData!L45),"",(ChemData!L45))</f>
        <v>200</v>
      </c>
      <c r="H45" s="462"/>
      <c r="I45" s="461" t="str">
        <f>IF(Start!$C$19="x",IF(OR(C45="",C45="NA"),"",IF(OR(F45="",F45="NA"),"No Ref",(IF((C45*100/Data!$D$10)&gt;(F45*100/Data!$D$60),"Exceeded","OK")))),"---")</f>
        <v>---</v>
      </c>
      <c r="J45" s="377" t="str">
        <f>IF(Start!$C$19="x",IF(OR(C45="",C45="NA"),"",IF(OR(G45="",G45="NA"),"No Criteria",(IF(C45&gt;(G45*Data!$D$10/100),"Exceeded","OK")))),"---")</f>
        <v>---</v>
      </c>
      <c r="K45" s="462"/>
      <c r="L45" s="286" t="str">
        <f>IF(Start!$C$19="x",IF(C45="","NA",IF(F45="","No Ref", (IF(F45 = 0, "NA", ((C45*100/Data!$D$10)/(F45*100/Data!$D$60)))))),"Not Req.")</f>
        <v>Not Req.</v>
      </c>
      <c r="M45" s="285" t="str">
        <f>IF(Start!$C$19="x",IF(C45="","NA",IF(OR(G45="",G45="NA"),"No Criteria",(IF(G45 = 0, "NA", (C45/(G45*Data!$D$10/100)))))),"Not Req.")</f>
        <v>Not Req.</v>
      </c>
    </row>
    <row r="46" spans="1:13" s="10" customFormat="1" x14ac:dyDescent="0.25">
      <c r="A46" s="405" t="s">
        <v>364</v>
      </c>
      <c r="B46" s="456" t="str">
        <f>IF(Start!$C$19="x",IF(AND(H46="",I46="",J46=""),"",(IF(H46="OK","No",(IF(H46="Exceeded",(IF(J46="OK","No",(IF(J46="Exceeded","Needed",(IF(J46="No Criteria","No Criteria","Missing Data")))))),(IF(I46="OK","No",(IF(J46="OK","No",(IF(J46="Exceeded","Needed",(IF(J46="No Criteria","No Criteria","Missing Data"))))))))))))),"---")</f>
        <v>---</v>
      </c>
      <c r="C46" s="457">
        <f>IF(TRUE=ISBLANK(ChemData!B46),"",(ChemData!B46))</f>
        <v>10</v>
      </c>
      <c r="D46" s="502"/>
      <c r="E46" s="503"/>
      <c r="F46" s="289">
        <f>IF(TRUE=ISBLANK(ChemData!E46),"",(ChemData!E46))</f>
        <v>1</v>
      </c>
      <c r="G46" s="291">
        <f>IF(TRUE=ISBLANK(ChemData!L46),"",(ChemData!L46))</f>
        <v>360</v>
      </c>
      <c r="H46" s="462"/>
      <c r="I46" s="461" t="str">
        <f>IF(Start!$C$19="x",IF(OR(C46="",C46="NA"),"",IF(OR(F46="",F46="NA"),"No Ref",(IF((C46*100/Data!$D$10)&gt;(F46*100/Data!$D$60),"Exceeded","OK")))),"---")</f>
        <v>---</v>
      </c>
      <c r="J46" s="377" t="str">
        <f>IF(Start!$C$19="x",IF(OR(C46="",C46="NA"),"",IF(OR(G46="",G46="NA"),"No Criteria",(IF(C46&gt;(G46*Data!$D$10/100),"Exceeded","OK")))),"---")</f>
        <v>---</v>
      </c>
      <c r="K46" s="462"/>
      <c r="L46" s="286" t="str">
        <f>IF(Start!$C$19="x",IF(C46="","NA",IF(F46="","No Ref", (IF(F46 = 0, "NA", ((C46*100/Data!$D$10)/(F46*100/Data!$D$60)))))),"Not Req.")</f>
        <v>Not Req.</v>
      </c>
      <c r="M46" s="285" t="str">
        <f>IF(Start!$C$19="x",IF(C46="","NA",IF(OR(G46="",G46="NA"),"No Criteria",(IF(G46 = 0, "NA", (C46/(G46*Data!$D$10/100)))))),"Not Req.")</f>
        <v>Not Req.</v>
      </c>
    </row>
    <row r="47" spans="1:13" s="10" customFormat="1" x14ac:dyDescent="0.25">
      <c r="A47" s="405" t="s">
        <v>365</v>
      </c>
      <c r="B47" s="456" t="str">
        <f>IF(Start!$C$19="x",IF(AND(H47="",I47="",J47=""),"",(IF(H47="OK","No",(IF(H47="Exceeded",(IF(J47="OK","No",(IF(J47="Exceeded","Needed",(IF(J47="No Criteria","No Criteria","Missing Data")))))),(IF(I47="OK","No",(IF(J47="OK","No",(IF(J47="Exceeded","Needed",(IF(J47="No Criteria","No Criteria","Missing Data"))))))))))))),"---")</f>
        <v>---</v>
      </c>
      <c r="C47" s="457" t="str">
        <f>IF(TRUE=ISBLANK(ChemData!B47),"",(ChemData!B47))</f>
        <v/>
      </c>
      <c r="D47" s="502"/>
      <c r="E47" s="503"/>
      <c r="F47" s="289" t="str">
        <f>IF(TRUE=ISBLANK(ChemData!E47),"",(ChemData!E47))</f>
        <v/>
      </c>
      <c r="G47" s="291" t="str">
        <f>IF(TRUE=ISBLANK(ChemData!L47),"",(ChemData!L47))</f>
        <v>NA</v>
      </c>
      <c r="H47" s="462"/>
      <c r="I47" s="461" t="str">
        <f>IF(Start!$C$19="x",IF(OR(C47="",C47="NA"),"",IF(OR(F47="",F47="NA"),"No Ref",(IF((C47*100/Data!$D$10)&gt;(F47*100/Data!$D$60),"Exceeded","OK")))),"---")</f>
        <v>---</v>
      </c>
      <c r="J47" s="377" t="str">
        <f>IF(Start!$C$19="x",IF(OR(C47="",C47="NA"),"",IF(OR(G47="",G47="NA"),"No Criteria",(IF(C47&gt;(G47*Data!$D$10/100),"Exceeded","OK")))),"---")</f>
        <v>---</v>
      </c>
      <c r="K47" s="462"/>
      <c r="L47" s="286" t="str">
        <f>IF(Start!$C$19="x",IF(C47="","NA",IF(F47="","No Ref", (IF(F47 = 0, "NA", ((C47*100/Data!$D$10)/(F47*100/Data!$D$60)))))),"Not Req.")</f>
        <v>Not Req.</v>
      </c>
      <c r="M47" s="285" t="str">
        <f>IF(Start!$C$19="x",IF(C47="","NA",IF(OR(G47="",G47="NA"),"No Criteria",(IF(G47 = 0, "NA", (C47/(G47*Data!$D$10/100)))))),"Not Req.")</f>
        <v>Not Req.</v>
      </c>
    </row>
    <row r="48" spans="1:13" s="10" customFormat="1" ht="13.8" thickBot="1" x14ac:dyDescent="0.3">
      <c r="A48" s="406" t="s">
        <v>366</v>
      </c>
      <c r="B48" s="456" t="str">
        <f>IF(Start!$C$19="x",IF(AND(H48="",I48="",J48=""),"",(IF(H48="OK","No",(IF(H48="Exceeded",(IF(J48="OK","No",(IF(J48="Exceeded","Needed",(IF(J48="No Criteria","No Criteria","Missing Data")))))),(IF(I48="OK","No",(IF(J48="OK","No",(IF(J48="Exceeded","Needed",(IF(J48="No Criteria","No Criteria","Missing Data"))))))))))))),"---")</f>
        <v>---</v>
      </c>
      <c r="C48" s="464" t="str">
        <f>IF(TRUE=ISBLANK(ChemData!B48),"",(ChemData!B48))</f>
        <v/>
      </c>
      <c r="D48" s="502"/>
      <c r="E48" s="503"/>
      <c r="F48" s="296" t="str">
        <f>IF(TRUE=ISBLANK(ChemData!E48),"",(ChemData!E48))</f>
        <v/>
      </c>
      <c r="G48" s="291" t="str">
        <f>IF(TRUE=ISBLANK(ChemData!L48),"",(ChemData!L48))</f>
        <v>NA</v>
      </c>
      <c r="H48" s="462"/>
      <c r="I48" s="461" t="str">
        <f>IF(Start!$C$19="x",IF(OR(C48="",C48="NA"),"",IF(OR(F48="",F48="NA"),"No Ref",(IF((C48*100/Data!$D$10)&gt;(F48*100/Data!$D$60),"Exceeded","OK")))),"---")</f>
        <v>---</v>
      </c>
      <c r="J48" s="377" t="str">
        <f>IF(Start!$C$19="x",IF(OR(C48="",C48="NA"),"",IF(OR(G48="",G48="NA"),"No Criteria",(IF(C48&gt;(G48*Data!$D$10/100),"Exceeded","OK")))),"---")</f>
        <v>---</v>
      </c>
      <c r="K48" s="462"/>
      <c r="L48" s="286" t="str">
        <f>IF(Start!$C$19="x",IF(C48="","NA",IF(F48="","No Ref", (IF(F48 = 0, "NA", ((C48*100/Data!$D$10)/(F48*100/Data!$D$60)))))),"Not Req.")</f>
        <v>Not Req.</v>
      </c>
      <c r="M48" s="285" t="str">
        <f>IF(Start!$C$19="x",IF(C48="","NA",IF(OR(G48="",G48="NA"),"No Criteria",(IF(G48 = 0, "NA", (C48/(G48*Data!$D$10/100)))))),"Not Req.")</f>
        <v>Not Req.</v>
      </c>
    </row>
    <row r="49" spans="1:13" s="10" customFormat="1" x14ac:dyDescent="0.25">
      <c r="A49" s="505" t="s">
        <v>367</v>
      </c>
      <c r="B49" s="545"/>
      <c r="C49" s="545"/>
      <c r="D49" s="547"/>
      <c r="E49" s="548"/>
      <c r="F49" s="511"/>
      <c r="G49" s="513"/>
      <c r="H49" s="543"/>
      <c r="I49" s="511"/>
      <c r="J49" s="513"/>
      <c r="K49" s="543"/>
      <c r="L49" s="511"/>
      <c r="M49" s="513"/>
    </row>
    <row r="50" spans="1:13" s="10" customFormat="1" x14ac:dyDescent="0.25">
      <c r="A50" s="405" t="s">
        <v>368</v>
      </c>
      <c r="B50" s="456" t="str">
        <f>IF(Start!$C$19="x",IF(AND(H50="",I50="",J50=""),"",(IF(H50="OK","No",(IF(H50="Exceeded",(IF(J50="OK","No",(IF(J50="Exceeded","Needed",(IF(J50="No Criteria","No Criteria","Missing Data")))))),(IF(I50="OK","No",(IF(J50="OK","No",(IF(J50="Exceeded","Needed",(IF(J50="No Criteria","No Criteria","Missing Data"))))))))))))),"---")</f>
        <v>---</v>
      </c>
      <c r="C50" s="457" t="str">
        <f>IF(TRUE=ISBLANK(ChemData!B50),"",(ChemData!B50))</f>
        <v/>
      </c>
      <c r="D50" s="502"/>
      <c r="E50" s="503"/>
      <c r="F50" s="289" t="str">
        <f>IF(TRUE=ISBLANK(ChemData!E50),"",(ChemData!E50))</f>
        <v/>
      </c>
      <c r="G50" s="291">
        <f>IF(TRUE=ISBLANK(ChemData!L50),"",(ChemData!L50))</f>
        <v>2700</v>
      </c>
      <c r="H50" s="462"/>
      <c r="I50" s="461" t="str">
        <f>IF(Start!$C$19="x",IF(OR(C50="",C50="NA"),"",IF(OR(F50="",F50="NA"),"No Ref",(IF((C50*100/Data!$D$10)&gt;(F50*100/Data!$D$60),"Exceeded","OK")))),"---")</f>
        <v>---</v>
      </c>
      <c r="J50" s="377" t="str">
        <f>IF(Start!$C$19="x",IF(OR(C50="",C50="NA"),"",IF(OR(G50="",G50="NA"),"No Criteria",(IF(C50&gt;(G50*Data!$D$10/100),"Exceeded","OK")))),"---")</f>
        <v>---</v>
      </c>
      <c r="K50" s="462"/>
      <c r="L50" s="286" t="str">
        <f>IF(Start!$C$19="x",IF(C50="","NA",IF(F50="","No Ref", (IF(F50 = 0, "NA", ((C50*100/Data!$D$10)/(F50*100/Data!$D$60)))))),"Not Req.")</f>
        <v>Not Req.</v>
      </c>
      <c r="M50" s="285" t="str">
        <f>IF(Start!$C$19="x",IF(C50="","NA",IF(OR(G50="",G50="NA"),"No Criteria",(IF(G50 = 0, "NA", (C50/(G50*Data!$D$10/100)))))),"Not Req.")</f>
        <v>Not Req.</v>
      </c>
    </row>
    <row r="51" spans="1:13" s="10" customFormat="1" x14ac:dyDescent="0.25">
      <c r="A51" s="405" t="s">
        <v>369</v>
      </c>
      <c r="B51" s="456" t="str">
        <f>IF(Start!$C$19="x",IF(AND(H51="",I51="",J51=""),"",(IF(H51="OK","No",(IF(H51="Exceeded",(IF(J51="OK","No",(IF(J51="Exceeded","Needed",(IF(J51="No Criteria","No Criteria","Missing Data")))))),(IF(I51="OK","No",(IF(J51="OK","No",(IF(J51="Exceeded","Needed",(IF(J51="No Criteria","No Criteria","Missing Data"))))))))))))),"---")</f>
        <v>---</v>
      </c>
      <c r="C51" s="457" t="str">
        <f>IF(TRUE=ISBLANK(ChemData!B51),"",(ChemData!B51))</f>
        <v/>
      </c>
      <c r="D51" s="502"/>
      <c r="E51" s="503"/>
      <c r="F51" s="289" t="str">
        <f>IF(TRUE=ISBLANK(ChemData!E51),"",(ChemData!E51))</f>
        <v/>
      </c>
      <c r="G51" s="291">
        <f>IF(TRUE=ISBLANK(ChemData!L51),"",(ChemData!L51))</f>
        <v>2500</v>
      </c>
      <c r="H51" s="462"/>
      <c r="I51" s="461" t="str">
        <f>IF(Start!$C$19="x",IF(OR(C51="",C51="NA"),"",IF(OR(F51="",F51="NA"),"No Ref",(IF((C51*100/Data!$D$10)&gt;(F51*100/Data!$D$60),"Exceeded","OK")))),"---")</f>
        <v>---</v>
      </c>
      <c r="J51" s="377" t="str">
        <f>IF(Start!$C$19="x",IF(OR(C51="",C51="NA"),"",IF(OR(G51="",G51="NA"),"No Criteria",(IF(C51&gt;(G51*Data!$D$10/100),"Exceeded","OK")))),"---")</f>
        <v>---</v>
      </c>
      <c r="K51" s="462"/>
      <c r="L51" s="286" t="str">
        <f>IF(Start!$C$19="x",IF(C51="","NA",IF(F51="","No Ref", (IF(F51 = 0, "NA", ((C51*100/Data!$D$10)/(F51*100/Data!$D$60)))))),"Not Req.")</f>
        <v>Not Req.</v>
      </c>
      <c r="M51" s="285" t="str">
        <f>IF(Start!$C$19="x",IF(C51="","NA",IF(OR(G51="",G51="NA"),"No Criteria",(IF(G51 = 0, "NA", (C51/(G51*Data!$D$10/100)))))),"Not Req.")</f>
        <v>Not Req.</v>
      </c>
    </row>
    <row r="52" spans="1:13" s="10" customFormat="1" x14ac:dyDescent="0.25">
      <c r="A52" s="405" t="s">
        <v>370</v>
      </c>
      <c r="B52" s="456" t="str">
        <f>IF(Start!$C$19="x",IF(AND(H52="",I52="",J52=""),"",(IF(H52="OK","No",(IF(H52="Exceeded",(IF(J52="OK","No",(IF(J52="Exceeded","Needed",(IF(J52="No Criteria","No Criteria","Missing Data")))))),(IF(I52="OK","No",(IF(J52="OK","No",(IF(J52="Exceeded","Needed",(IF(J52="No Criteria","No Criteria","Missing Data"))))))))))))),"---")</f>
        <v>---</v>
      </c>
      <c r="C52" s="457" t="str">
        <f>IF(TRUE=ISBLANK(ChemData!B52),"",(ChemData!B52))</f>
        <v/>
      </c>
      <c r="D52" s="502"/>
      <c r="E52" s="503"/>
      <c r="F52" s="289" t="str">
        <f>IF(TRUE=ISBLANK(ChemData!E52),"",(ChemData!E52))</f>
        <v/>
      </c>
      <c r="G52" s="291">
        <f>IF(TRUE=ISBLANK(ChemData!L52),"",(ChemData!L52))</f>
        <v>350</v>
      </c>
      <c r="H52" s="462"/>
      <c r="I52" s="461" t="str">
        <f>IF(Start!$C$19="x",IF(OR(C52="",C52="NA"),"",IF(OR(F52="",F52="NA"),"No Ref",(IF((C52*100/Data!$D$10)&gt;(F52*100/Data!$D$60),"Exceeded","OK")))),"---")</f>
        <v>---</v>
      </c>
      <c r="J52" s="377" t="str">
        <f>IF(Start!$C$19="x",IF(OR(C52="",C52="NA"),"",IF(OR(G52="",G52="NA"),"No Criteria",(IF(C52&gt;(G52*Data!$D$10/100),"Exceeded","OK")))),"---")</f>
        <v>---</v>
      </c>
      <c r="K52" s="462"/>
      <c r="L52" s="286" t="str">
        <f>IF(Start!$C$19="x",IF(C52="","NA",IF(F52="","No Ref", (IF(F52 = 0, "NA", ((C52*100/Data!$D$10)/(F52*100/Data!$D$60)))))),"Not Req.")</f>
        <v>Not Req.</v>
      </c>
      <c r="M52" s="285" t="str">
        <f>IF(Start!$C$19="x",IF(C52="","NA",IF(OR(G52="",G52="NA"),"No Criteria",(IF(G52 = 0, "NA", (C52/(G52*Data!$D$10/100)))))),"Not Req.")</f>
        <v>Not Req.</v>
      </c>
    </row>
    <row r="53" spans="1:13" s="10" customFormat="1" x14ac:dyDescent="0.25">
      <c r="A53" s="405" t="s">
        <v>371</v>
      </c>
      <c r="B53" s="456" t="str">
        <f>IF(Start!$C$19="x",IF(AND(H53="",I53="",J53=""),"",(IF(H53="OK","No",(IF(H53="Exceeded",(IF(J53="OK","No",(IF(J53="Exceeded","Needed",(IF(J53="No Criteria","No Criteria","Missing Data")))))),(IF(I53="OK","No",(IF(J53="OK","No",(IF(J53="Exceeded","Needed",(IF(J53="No Criteria","No Criteria","Missing Data"))))))))))))),"---")</f>
        <v>---</v>
      </c>
      <c r="C53" s="457" t="str">
        <f>IF(TRUE=ISBLANK(ChemData!B53),"",(ChemData!B53))</f>
        <v/>
      </c>
      <c r="D53" s="502"/>
      <c r="E53" s="503"/>
      <c r="F53" s="289" t="str">
        <f>IF(TRUE=ISBLANK(ChemData!E53),"",(ChemData!E53))</f>
        <v/>
      </c>
      <c r="G53" s="291">
        <f>IF(TRUE=ISBLANK(ChemData!L53),"",(ChemData!L53))</f>
        <v>25</v>
      </c>
      <c r="H53" s="462"/>
      <c r="I53" s="461" t="str">
        <f>IF(Start!$C$19="x",IF(OR(C53="",C53="NA"),"",IF(OR(F53="",F53="NA"),"No Ref",(IF((C53*100/Data!$D$10)&gt;(F53*100/Data!$D$60),"Exceeded","OK")))),"---")</f>
        <v>---</v>
      </c>
      <c r="J53" s="377" t="str">
        <f>IF(Start!$C$19="x",IF(OR(C53="",C53="NA"),"",IF(OR(G53="",G53="NA"),"No Criteria",(IF(C53&gt;(G53*Data!$D$10/100),"Exceeded","OK")))),"---")</f>
        <v>---</v>
      </c>
      <c r="K53" s="462"/>
      <c r="L53" s="286" t="str">
        <f>IF(Start!$C$19="x",IF(C53="","NA",IF(F53="","No Ref", (IF(F53 = 0, "NA", ((C53*100/Data!$D$10)/(F53*100/Data!$D$60)))))),"Not Req.")</f>
        <v>Not Req.</v>
      </c>
      <c r="M53" s="285" t="str">
        <f>IF(Start!$C$19="x",IF(C53="","NA",IF(OR(G53="",G53="NA"),"No Criteria",(IF(G53 = 0, "NA", (C53/(G53*Data!$D$10/100)))))),"Not Req.")</f>
        <v>Not Req.</v>
      </c>
    </row>
    <row r="54" spans="1:13" s="10" customFormat="1" x14ac:dyDescent="0.25">
      <c r="A54" s="405" t="s">
        <v>372</v>
      </c>
      <c r="B54" s="456" t="str">
        <f>IF(Start!$C$19="x",IF(AND(H54="",I54="",J54=""),"",(IF(H54="OK","No",(IF(H54="Exceeded",(IF(J54="OK","No",(IF(J54="Exceeded","Needed",(IF(J54="No Criteria","No Criteria","Missing Data")))))),(IF(I54="OK","No",(IF(J54="OK","No",(IF(J54="Exceeded","Needed",(IF(J54="No Criteria","No Criteria","Missing Data"))))))))))))),"---")</f>
        <v>---</v>
      </c>
      <c r="C54" s="457" t="str">
        <f>IF(TRUE=ISBLANK(ChemData!B54),"",(ChemData!B54))</f>
        <v/>
      </c>
      <c r="D54" s="502"/>
      <c r="E54" s="503"/>
      <c r="F54" s="289" t="str">
        <f>IF(TRUE=ISBLANK(ChemData!E54),"",(ChemData!E54))</f>
        <v/>
      </c>
      <c r="G54" s="291">
        <f>IF(TRUE=ISBLANK(ChemData!L54),"",(ChemData!L54))</f>
        <v>25</v>
      </c>
      <c r="H54" s="462"/>
      <c r="I54" s="461" t="str">
        <f>IF(Start!$C$19="x",IF(OR(C54="",C54="NA"),"",IF(OR(F54="",F54="NA"),"No Ref",(IF((C54*100/Data!$D$10)&gt;(F54*100/Data!$D$60),"Exceeded","OK")))),"---")</f>
        <v>---</v>
      </c>
      <c r="J54" s="377" t="str">
        <f>IF(Start!$C$19="x",IF(OR(C54="",C54="NA"),"",IF(OR(G54="",G54="NA"),"No Criteria",(IF(C54&gt;(G54*Data!$D$10/100),"Exceeded","OK")))),"---")</f>
        <v>---</v>
      </c>
      <c r="K54" s="462"/>
      <c r="L54" s="286" t="str">
        <f>IF(Start!$C$19="x",IF(C54="","NA",IF(F54="","No Ref", (IF(F54 = 0, "NA", ((C54*100/Data!$D$10)/(F54*100/Data!$D$60)))))),"Not Req.")</f>
        <v>Not Req.</v>
      </c>
      <c r="M54" s="285" t="str">
        <f>IF(Start!$C$19="x",IF(C54="","NA",IF(OR(G54="",G54="NA"),"No Criteria",(IF(G54 = 0, "NA", (C54/(G54*Data!$D$10/100)))))),"Not Req.")</f>
        <v>Not Req.</v>
      </c>
    </row>
    <row r="55" spans="1:13" s="10" customFormat="1" x14ac:dyDescent="0.25">
      <c r="A55" s="405" t="s">
        <v>373</v>
      </c>
      <c r="B55" s="456" t="str">
        <f>IF(Start!$C$19="x",IF(AND(H55="",I55="",J55=""),"",(IF(H55="OK","No",(IF(H55="Exceeded",(IF(J55="OK","No",(IF(J55="Exceeded","Needed",(IF(J55="No Criteria","No Criteria","Missing Data")))))),(IF(I55="OK","No",(IF(J55="OK","No",(IF(J55="Exceeded","Needed",(IF(J55="No Criteria","No Criteria","Missing Data"))))))))))))),"---")</f>
        <v>---</v>
      </c>
      <c r="C55" s="457" t="str">
        <f>IF(TRUE=ISBLANK(ChemData!B55),"",(ChemData!B55))</f>
        <v/>
      </c>
      <c r="D55" s="502"/>
      <c r="E55" s="503"/>
      <c r="F55" s="289" t="str">
        <f>IF(TRUE=ISBLANK(ChemData!E55),"",(ChemData!E55))</f>
        <v/>
      </c>
      <c r="G55" s="291">
        <f>IF(TRUE=ISBLANK(ChemData!L55),"",(ChemData!L55))</f>
        <v>250</v>
      </c>
      <c r="H55" s="462"/>
      <c r="I55" s="461" t="str">
        <f>IF(Start!$C$19="x",IF(OR(C55="",C55="NA"),"",IF(OR(F55="",F55="NA"),"No Ref",(IF((C55*100/Data!$D$10)&gt;(F55*100/Data!$D$60),"Exceeded","OK")))),"---")</f>
        <v>---</v>
      </c>
      <c r="J55" s="377" t="str">
        <f>IF(Start!$C$19="x",IF(OR(C55="",C55="NA"),"",IF(OR(G55="",G55="NA"),"No Criteria",(IF(C55&gt;(G55*Data!$D$10/100),"Exceeded","OK")))),"---")</f>
        <v>---</v>
      </c>
      <c r="K55" s="462"/>
      <c r="L55" s="286" t="str">
        <f>IF(Start!$C$19="x",IF(C55="","NA",IF(F55="","No Ref", (IF(F55 = 0, "NA", ((C55*100/Data!$D$10)/(F55*100/Data!$D$60)))))),"Not Req.")</f>
        <v>Not Req.</v>
      </c>
      <c r="M55" s="285" t="str">
        <f>IF(Start!$C$19="x",IF(C55="","NA",IF(OR(G55="",G55="NA"),"No Criteria",(IF(G55 = 0, "NA", (C55/(G55*Data!$D$10/100)))))),"Not Req.")</f>
        <v>Not Req.</v>
      </c>
    </row>
    <row r="56" spans="1:13" s="10" customFormat="1" x14ac:dyDescent="0.25">
      <c r="A56" s="405" t="s">
        <v>374</v>
      </c>
      <c r="B56" s="456" t="str">
        <f>IF(Start!$C$19="x",IF(AND(H56="",I56="",J56=""),"",(IF(H56="OK","No",(IF(H56="Exceeded",(IF(J56="OK","No",(IF(J56="Exceeded","Needed",(IF(J56="No Criteria","No Criteria","Missing Data")))))),(IF(I56="OK","No",(IF(J56="OK","No",(IF(J56="Exceeded","Needed",(IF(J56="No Criteria","No Criteria","Missing Data"))))))))))))),"---")</f>
        <v>---</v>
      </c>
      <c r="C56" s="457" t="str">
        <f>IF(TRUE=ISBLANK(ChemData!B56),"",(ChemData!B56))</f>
        <v/>
      </c>
      <c r="D56" s="502"/>
      <c r="E56" s="503"/>
      <c r="F56" s="289" t="str">
        <f>IF(TRUE=ISBLANK(ChemData!E56),"",(ChemData!E56))</f>
        <v/>
      </c>
      <c r="G56" s="291">
        <f>IF(TRUE=ISBLANK(ChemData!L56),"",(ChemData!L56))</f>
        <v>180</v>
      </c>
      <c r="H56" s="462"/>
      <c r="I56" s="461" t="str">
        <f>IF(Start!$C$19="x",IF(OR(C56="",C56="NA"),"",IF(OR(F56="",F56="NA"),"No Ref",(IF((C56*100/Data!$D$10)&gt;(F56*100/Data!$D$60),"Exceeded","OK")))),"---")</f>
        <v>---</v>
      </c>
      <c r="J56" s="377" t="str">
        <f>IF(Start!$C$19="x",IF(OR(C56="",C56="NA"),"",IF(OR(G56="",G56="NA"),"No Criteria",(IF(C56&gt;(G56*Data!$D$10/100),"Exceeded","OK")))),"---")</f>
        <v>---</v>
      </c>
      <c r="K56" s="462"/>
      <c r="L56" s="286" t="str">
        <f>IF(Start!$C$19="x",IF(C56="","NA",IF(F56="","No Ref", (IF(F56 = 0, "NA", ((C56*100/Data!$D$10)/(F56*100/Data!$D$60)))))),"Not Req.")</f>
        <v>Not Req.</v>
      </c>
      <c r="M56" s="285" t="str">
        <f>IF(Start!$C$19="x",IF(C56="","NA",IF(OR(G56="",G56="NA"),"No Criteria",(IF(G56 = 0, "NA", (C56/(G56*Data!$D$10/100)))))),"Not Req.")</f>
        <v>Not Req.</v>
      </c>
    </row>
    <row r="57" spans="1:13" s="10" customFormat="1" x14ac:dyDescent="0.25">
      <c r="A57" s="405" t="s">
        <v>375</v>
      </c>
      <c r="B57" s="456" t="str">
        <f>IF(Start!$C$19="x",IF(AND(H57="",I57="",J57=""),"",(IF(H57="OK","No",(IF(H57="Exceeded",(IF(J57="OK","No",(IF(J57="Exceeded","Needed",(IF(J57="No Criteria","No Criteria","Missing Data")))))),(IF(I57="OK","No",(IF(J57="OK","No",(IF(J57="Exceeded","Needed",(IF(J57="No Criteria","No Criteria","Missing Data"))))))))))))),"---")</f>
        <v>---</v>
      </c>
      <c r="C57" s="457" t="str">
        <f>IF(TRUE=ISBLANK(ChemData!B57),"",(ChemData!B57))</f>
        <v/>
      </c>
      <c r="D57" s="502"/>
      <c r="E57" s="503"/>
      <c r="F57" s="289" t="str">
        <f>IF(TRUE=ISBLANK(ChemData!E57),"",(ChemData!E57))</f>
        <v/>
      </c>
      <c r="G57" s="291">
        <f>IF(TRUE=ISBLANK(ChemData!L57),"",(ChemData!L57))</f>
        <v>2.5</v>
      </c>
      <c r="H57" s="462"/>
      <c r="I57" s="461" t="str">
        <f>IF(Start!$C$19="x",IF(OR(C57="",C57="NA"),"",IF(OR(F57="",F57="NA"),"No Ref",(IF((C57*100/Data!$D$10)&gt;(F57*100/Data!$D$60),"Exceeded","OK")))),"---")</f>
        <v>---</v>
      </c>
      <c r="J57" s="377" t="str">
        <f>IF(Start!$C$19="x",IF(OR(C57="",C57="NA"),"",IF(OR(G57="",G57="NA"),"No Criteria",(IF(C57&gt;(G57*Data!$D$10/100),"Exceeded","OK")))),"---")</f>
        <v>---</v>
      </c>
      <c r="K57" s="462"/>
      <c r="L57" s="286" t="str">
        <f>IF(Start!$C$19="x",IF(C57="","NA",IF(F57="","No Ref", (IF(F57 = 0, "NA", ((C57*100/Data!$D$10)/(F57*100/Data!$D$60)))))),"Not Req.")</f>
        <v>Not Req.</v>
      </c>
      <c r="M57" s="285" t="str">
        <f>IF(Start!$C$19="x",IF(C57="","NA",IF(OR(G57="",G57="NA"),"No Criteria",(IF(G57 = 0, "NA", (C57/(G57*Data!$D$10/100)))))),"Not Req.")</f>
        <v>Not Req.</v>
      </c>
    </row>
    <row r="58" spans="1:13" s="10" customFormat="1" x14ac:dyDescent="0.25">
      <c r="A58" s="405" t="s">
        <v>376</v>
      </c>
      <c r="B58" s="456" t="str">
        <f>IF(Start!$C$19="x",IF(AND(H58="",I58="",J58=""),"",(IF(H58="OK","No",(IF(H58="Exceeded",(IF(J58="OK","No",(IF(J58="Exceeded","Needed",(IF(J58="No Criteria","No Criteria","Missing Data")))))),(IF(I58="OK","No",(IF(J58="OK","No",(IF(J58="Exceeded","Needed",(IF(J58="No Criteria","No Criteria","Missing Data"))))))))))))),"---")</f>
        <v>---</v>
      </c>
      <c r="C58" s="457" t="str">
        <f>IF(TRUE=ISBLANK(ChemData!B58),"",(ChemData!B58))</f>
        <v/>
      </c>
      <c r="D58" s="502"/>
      <c r="E58" s="503"/>
      <c r="F58" s="289" t="str">
        <f>IF(TRUE=ISBLANK(ChemData!E58),"",(ChemData!E58))</f>
        <v/>
      </c>
      <c r="G58" s="291" t="str">
        <f>IF(TRUE=ISBLANK(ChemData!L58),"",(ChemData!L58))</f>
        <v>NA</v>
      </c>
      <c r="H58" s="462"/>
      <c r="I58" s="461" t="str">
        <f>IF(Start!$C$19="x",IF(OR(C58="",C58="NA"),"",IF(OR(F58="",F58="NA"),"No Ref",(IF((C58*100/Data!$D$10)&gt;(F58*100/Data!$D$60),"Exceeded","OK")))),"---")</f>
        <v>---</v>
      </c>
      <c r="J58" s="377" t="str">
        <f>IF(Start!$C$19="x",IF(OR(C58="",C58="NA"),"",IF(OR(G58="",G58="NA"),"No Criteria",(IF(C58&gt;(G58*Data!$D$10/100),"Exceeded","OK")))),"---")</f>
        <v>---</v>
      </c>
      <c r="K58" s="462"/>
      <c r="L58" s="286" t="str">
        <f>IF(Start!$C$19="x",IF(C58="","NA",IF(F58="","No Ref", (IF(F58 = 0, "NA", ((C58*100/Data!$D$10)/(F58*100/Data!$D$60)))))),"Not Req.")</f>
        <v>Not Req.</v>
      </c>
      <c r="M58" s="285" t="str">
        <f>IF(Start!$C$19="x",IF(C58="","NA",IF(OR(G58="",G58="NA"),"No Criteria",(IF(G58 = 0, "NA", (C58/(G58*Data!$D$10/100)))))),"Not Req.")</f>
        <v>Not Req.</v>
      </c>
    </row>
    <row r="59" spans="1:13" s="10" customFormat="1" x14ac:dyDescent="0.25">
      <c r="A59" s="405" t="s">
        <v>377</v>
      </c>
      <c r="B59" s="456" t="str">
        <f>IF(Start!$C$19="x",IF(AND(H59="",I59="",J59=""),"",(IF(H59="OK","No",(IF(H59="Exceeded",(IF(J59="OK","No",(IF(J59="Exceeded","Needed",(IF(J59="No Criteria","No Criteria","Missing Data")))))),(IF(I59="OK","No",(IF(J59="OK","No",(IF(J59="Exceeded","Needed",(IF(J59="No Criteria","No Criteria","Missing Data"))))))))))))),"---")</f>
        <v>---</v>
      </c>
      <c r="C59" s="457" t="str">
        <f>IF(TRUE=ISBLANK(ChemData!B59),"",(ChemData!B59))</f>
        <v/>
      </c>
      <c r="D59" s="502"/>
      <c r="E59" s="503"/>
      <c r="F59" s="289" t="str">
        <f>IF(TRUE=ISBLANK(ChemData!E59),"",(ChemData!E59))</f>
        <v/>
      </c>
      <c r="G59" s="291">
        <f>IF(TRUE=ISBLANK(ChemData!L59),"",(ChemData!L59))</f>
        <v>790</v>
      </c>
      <c r="H59" s="462"/>
      <c r="I59" s="461" t="str">
        <f>IF(Start!$C$19="x",IF(OR(C59="",C59="NA"),"",IF(OR(F59="",F59="NA"),"No Ref",(IF((C59*100/Data!$D$10)&gt;(F59*100/Data!$D$60),"Exceeded","OK")))),"---")</f>
        <v>---</v>
      </c>
      <c r="J59" s="377" t="str">
        <f>IF(Start!$C$19="x",IF(OR(C59="",C59="NA"),"",IF(OR(G59="",G59="NA"),"No Criteria",(IF(C59&gt;(G59*Data!$D$10/100),"Exceeded","OK")))),"---")</f>
        <v>---</v>
      </c>
      <c r="K59" s="462"/>
      <c r="L59" s="286" t="str">
        <f>IF(Start!$C$19="x",IF(C59="","NA",IF(F59="","No Ref", (IF(F59 = 0, "NA", ((C59*100/Data!$D$10)/(F59*100/Data!$D$60)))))),"Not Req.")</f>
        <v>Not Req.</v>
      </c>
      <c r="M59" s="285" t="str">
        <f>IF(Start!$C$19="x",IF(C59="","NA",IF(OR(G59="",G59="NA"),"No Criteria",(IF(G59 = 0, "NA", (C59/(G59*Data!$D$10/100)))))),"Not Req.")</f>
        <v>Not Req.</v>
      </c>
    </row>
    <row r="60" spans="1:13" s="10" customFormat="1" x14ac:dyDescent="0.25">
      <c r="A60" s="405" t="s">
        <v>378</v>
      </c>
      <c r="B60" s="456" t="str">
        <f>IF(Start!$C$19="x",IF(AND(H60="",I60="",J60=""),"",(IF(H60="OK","No",(IF(H60="Exceeded",(IF(J60="OK","No",(IF(J60="Exceeded","Needed",(IF(J60="No Criteria","No Criteria","Missing Data")))))),(IF(I60="OK","No",(IF(J60="OK","No",(IF(J60="Exceeded","Needed",(IF(J60="No Criteria","No Criteria","Missing Data"))))))))))))),"---")</f>
        <v>---</v>
      </c>
      <c r="C60" s="457" t="str">
        <f>IF(TRUE=ISBLANK(ChemData!B60),"",(ChemData!B60))</f>
        <v/>
      </c>
      <c r="D60" s="502"/>
      <c r="E60" s="503"/>
      <c r="F60" s="289" t="str">
        <f>IF(TRUE=ISBLANK(ChemData!E60),"",(ChemData!E60))</f>
        <v/>
      </c>
      <c r="G60" s="291">
        <f>IF(TRUE=ISBLANK(ChemData!L60),"",(ChemData!L60))</f>
        <v>21</v>
      </c>
      <c r="H60" s="462"/>
      <c r="I60" s="461" t="str">
        <f>IF(Start!$C$19="x",IF(OR(C60="",C60="NA"),"",IF(OR(F60="",F60="NA"),"No Ref",(IF((C60*100/Data!$D$10)&gt;(F60*100/Data!$D$60),"Exceeded","OK")))),"---")</f>
        <v>---</v>
      </c>
      <c r="J60" s="377" t="str">
        <f>IF(Start!$C$19="x",IF(OR(C60="",C60="NA"),"",IF(OR(G60="",G60="NA"),"No Criteria",(IF(C60&gt;(G60*Data!$D$10/100),"Exceeded","OK")))),"---")</f>
        <v>---</v>
      </c>
      <c r="K60" s="462"/>
      <c r="L60" s="286" t="str">
        <f>IF(Start!$C$19="x",IF(C60="","NA",IF(F60="","No Ref", (IF(F60 = 0, "NA", ((C60*100/Data!$D$10)/(F60*100/Data!$D$60)))))),"Not Req.")</f>
        <v>Not Req.</v>
      </c>
      <c r="M60" s="285" t="str">
        <f>IF(Start!$C$19="x",IF(C60="","NA",IF(OR(G60="",G60="NA"),"No Criteria",(IF(G60 = 0, "NA", (C60/(G60*Data!$D$10/100)))))),"Not Req.")</f>
        <v>Not Req.</v>
      </c>
    </row>
    <row r="61" spans="1:13" s="10" customFormat="1" x14ac:dyDescent="0.25">
      <c r="A61" s="405" t="s">
        <v>379</v>
      </c>
      <c r="B61" s="456" t="str">
        <f>IF(Start!$C$19="x",IF(AND(H61="",I61="",J61=""),"",(IF(H61="OK","No",(IF(H61="Exceeded",(IF(J61="OK","No",(IF(J61="Exceeded","Needed",(IF(J61="No Criteria","No Criteria","Missing Data")))))),(IF(I61="OK","No",(IF(J61="OK","No",(IF(J61="Exceeded","Needed",(IF(J61="No Criteria","No Criteria","Missing Data"))))))))))))),"---")</f>
        <v>---</v>
      </c>
      <c r="C61" s="457" t="str">
        <f>IF(TRUE=ISBLANK(ChemData!B61),"",(ChemData!B61))</f>
        <v/>
      </c>
      <c r="D61" s="502"/>
      <c r="E61" s="503"/>
      <c r="F61" s="289" t="str">
        <f>IF(TRUE=ISBLANK(ChemData!E61),"",(ChemData!E61))</f>
        <v/>
      </c>
      <c r="G61" s="291">
        <f>IF(TRUE=ISBLANK(ChemData!L61),"",(ChemData!L61))</f>
        <v>230</v>
      </c>
      <c r="H61" s="462"/>
      <c r="I61" s="461" t="str">
        <f>IF(Start!$C$19="x",IF(OR(C61="",C61="NA"),"",IF(OR(F61="",F61="NA"),"No Ref",(IF((C61*100/Data!$D$10)&gt;(F61*100/Data!$D$60),"Exceeded","OK")))),"---")</f>
        <v>---</v>
      </c>
      <c r="J61" s="377" t="str">
        <f>IF(Start!$C$19="x",IF(OR(C61="",C61="NA"),"",IF(OR(G61="",G61="NA"),"No Criteria",(IF(C61&gt;(G61*Data!$D$10/100),"Exceeded","OK")))),"---")</f>
        <v>---</v>
      </c>
      <c r="K61" s="462"/>
      <c r="L61" s="286" t="str">
        <f>IF(Start!$C$19="x",IF(C61="","NA",IF(F61="","No Ref", (IF(F61 = 0, "NA", ((C61*100/Data!$D$10)/(F61*100/Data!$D$60)))))),"Not Req.")</f>
        <v>Not Req.</v>
      </c>
      <c r="M61" s="285" t="str">
        <f>IF(Start!$C$19="x",IF(C61="","NA",IF(OR(G61="",G61="NA"),"No Criteria",(IF(G61 = 0, "NA", (C61/(G61*Data!$D$10/100)))))),"Not Req.")</f>
        <v>Not Req.</v>
      </c>
    </row>
    <row r="62" spans="1:13" s="10" customFormat="1" x14ac:dyDescent="0.25">
      <c r="A62" s="405" t="s">
        <v>380</v>
      </c>
      <c r="B62" s="456" t="str">
        <f>IF(Start!$C$19="x",IF(AND(H62="",I62="",J62=""),"",(IF(H62="OK","No",(IF(H62="Exceeded",(IF(J62="OK","No",(IF(J62="Exceeded","Needed",(IF(J62="No Criteria","No Criteria","Missing Data")))))),(IF(I62="OK","No",(IF(J62="OK","No",(IF(J62="Exceeded","Needed",(IF(J62="No Criteria","No Criteria","Missing Data"))))))))))))),"---")</f>
        <v>---</v>
      </c>
      <c r="C62" s="457" t="str">
        <f>IF(TRUE=ISBLANK(ChemData!B62),"",(ChemData!B62))</f>
        <v/>
      </c>
      <c r="D62" s="502"/>
      <c r="E62" s="503"/>
      <c r="F62" s="289" t="str">
        <f>IF(TRUE=ISBLANK(ChemData!E62),"",(ChemData!E62))</f>
        <v/>
      </c>
      <c r="G62" s="291">
        <f>IF(TRUE=ISBLANK(ChemData!L62),"",(ChemData!L62))</f>
        <v>2.5</v>
      </c>
      <c r="H62" s="462"/>
      <c r="I62" s="461" t="str">
        <f>IF(Start!$C$19="x",IF(OR(C62="",C62="NA"),"",IF(OR(F62="",F62="NA"),"No Ref",(IF((C62*100/Data!$D$10)&gt;(F62*100/Data!$D$60),"Exceeded","OK")))),"---")</f>
        <v>---</v>
      </c>
      <c r="J62" s="377" t="str">
        <f>IF(Start!$C$19="x",IF(OR(C62="",C62="NA"),"",IF(OR(G62="",G62="NA"),"No Criteria",(IF(C62&gt;(G62*Data!$D$10/100),"Exceeded","OK")))),"---")</f>
        <v>---</v>
      </c>
      <c r="K62" s="462"/>
      <c r="L62" s="286" t="str">
        <f>IF(Start!$C$19="x",IF(C62="","NA",IF(F62="","No Ref", (IF(F62 = 0, "NA", ((C62*100/Data!$D$10)/(F62*100/Data!$D$60)))))),"Not Req.")</f>
        <v>Not Req.</v>
      </c>
      <c r="M62" s="285" t="str">
        <f>IF(Start!$C$19="x",IF(C62="","NA",IF(OR(G62="",G62="NA"),"No Criteria",(IF(G62 = 0, "NA", (C62/(G62*Data!$D$10/100)))))),"Not Req.")</f>
        <v>Not Req.</v>
      </c>
    </row>
    <row r="63" spans="1:13" s="10" customFormat="1" x14ac:dyDescent="0.25">
      <c r="A63" s="405" t="s">
        <v>381</v>
      </c>
      <c r="B63" s="456" t="str">
        <f>IF(Start!$C$19="x",IF(AND(H63="",I63="",J63=""),"",(IF(H63="OK","No",(IF(H63="Exceeded",(IF(J63="OK","No",(IF(J63="Exceeded","Needed",(IF(J63="No Criteria","No Criteria","Missing Data")))))),(IF(I63="OK","No",(IF(J63="OK","No",(IF(J63="Exceeded","Needed",(IF(J63="No Criteria","No Criteria","Missing Data"))))))))))))),"---")</f>
        <v>---</v>
      </c>
      <c r="C63" s="457" t="str">
        <f>IF(TRUE=ISBLANK(ChemData!B63),"",(ChemData!B63))</f>
        <v/>
      </c>
      <c r="D63" s="502"/>
      <c r="E63" s="503"/>
      <c r="F63" s="289" t="str">
        <f>IF(TRUE=ISBLANK(ChemData!E63),"",(ChemData!E63))</f>
        <v/>
      </c>
      <c r="G63" s="291" t="str">
        <f>IF(TRUE=ISBLANK(ChemData!L63),"",(ChemData!L63))</f>
        <v>NA</v>
      </c>
      <c r="H63" s="462"/>
      <c r="I63" s="461" t="str">
        <f>IF(Start!$C$19="x",IF(OR(C63="",C63="NA"),"",IF(OR(F63="",F63="NA"),"No Ref",(IF((C63*100/Data!$D$10)&gt;(F63*100/Data!$D$60),"Exceeded","OK")))),"---")</f>
        <v>---</v>
      </c>
      <c r="J63" s="377" t="str">
        <f>IF(Start!$C$19="x",IF(OR(C63="",C63="NA"),"",IF(OR(G63="",G63="NA"),"No Criteria",(IF(C63&gt;(G63*Data!$D$10/100),"Exceeded","OK")))),"---")</f>
        <v>---</v>
      </c>
      <c r="K63" s="462"/>
      <c r="L63" s="286" t="str">
        <f>IF(Start!$C$19="x",IF(C63="","NA",IF(F63="","No Ref", (IF(F63 = 0, "NA", ((C63*100/Data!$D$10)/(F63*100/Data!$D$60)))))),"Not Req.")</f>
        <v>Not Req.</v>
      </c>
      <c r="M63" s="285" t="str">
        <f>IF(Start!$C$19="x",IF(C63="","NA",IF(OR(G63="",G63="NA"),"No Criteria",(IF(G63 = 0, "NA", (C63/(G63*Data!$D$10/100)))))),"Not Req.")</f>
        <v>Not Req.</v>
      </c>
    </row>
    <row r="64" spans="1:13" s="10" customFormat="1" x14ac:dyDescent="0.25">
      <c r="A64" s="405" t="s">
        <v>382</v>
      </c>
      <c r="B64" s="456" t="str">
        <f>IF(Start!$C$19="x",IF(AND(H64="",I64="",J64=""),"",(IF(H64="OK","No",(IF(H64="Exceeded",(IF(J64="OK","No",(IF(J64="Exceeded","Needed",(IF(J64="No Criteria","No Criteria","Missing Data")))))),(IF(I64="OK","No",(IF(J64="OK","No",(IF(J64="Exceeded","Needed",(IF(J64="No Criteria","No Criteria","Missing Data"))))))))))))),"---")</f>
        <v>---</v>
      </c>
      <c r="C64" s="457" t="str">
        <f>IF(TRUE=ISBLANK(ChemData!B64),"",(ChemData!B64))</f>
        <v/>
      </c>
      <c r="D64" s="502"/>
      <c r="E64" s="503"/>
      <c r="F64" s="289" t="str">
        <f>IF(TRUE=ISBLANK(ChemData!E64),"",(ChemData!E64))</f>
        <v/>
      </c>
      <c r="G64" s="291" t="str">
        <f>IF(TRUE=ISBLANK(ChemData!L64),"",(ChemData!L64))</f>
        <v>NA</v>
      </c>
      <c r="H64" s="462"/>
      <c r="I64" s="461" t="str">
        <f>IF(Start!$C$19="x",IF(OR(C64="",C64="NA"),"",IF(OR(F64="",F64="NA"),"No Ref",(IF((C64*100/Data!$D$10)&gt;(F64*100/Data!$D$60),"Exceeded","OK")))),"---")</f>
        <v>---</v>
      </c>
      <c r="J64" s="377" t="str">
        <f>IF(Start!$C$19="x",IF(OR(C64="",C64="NA"),"",IF(OR(G64="",G64="NA"),"No Criteria",(IF(C64&gt;(G64*Data!$D$10/100),"Exceeded","OK")))),"---")</f>
        <v>---</v>
      </c>
      <c r="K64" s="462"/>
      <c r="L64" s="286" t="str">
        <f>IF(Start!$C$19="x",IF(C64="","NA",IF(F64="","No Ref", (IF(F64 = 0, "NA", ((C64*100/Data!$D$10)/(F64*100/Data!$D$60)))))),"Not Req.")</f>
        <v>Not Req.</v>
      </c>
      <c r="M64" s="285" t="str">
        <f>IF(Start!$C$19="x",IF(C64="","NA",IF(OR(G64="",G64="NA"),"No Criteria",(IF(G64 = 0, "NA", (C64/(G64*Data!$D$10/100)))))),"Not Req.")</f>
        <v>Not Req.</v>
      </c>
    </row>
    <row r="65" spans="1:13" s="10" customFormat="1" x14ac:dyDescent="0.25">
      <c r="A65" s="405" t="s">
        <v>383</v>
      </c>
      <c r="B65" s="456" t="str">
        <f>IF(Start!$C$19="x",IF(AND(H65="",I65="",J65=""),"",(IF(H65="OK","No",(IF(H65="Exceeded",(IF(J65="OK","No",(IF(J65="Exceeded","Needed",(IF(J65="No Criteria","No Criteria","Missing Data")))))),(IF(I65="OK","No",(IF(J65="OK","No",(IF(J65="Exceeded","Needed",(IF(J65="No Criteria","No Criteria","Missing Data"))))))))))))),"---")</f>
        <v>---</v>
      </c>
      <c r="C65" s="457" t="str">
        <f>IF(TRUE=ISBLANK(ChemData!B65),"",(ChemData!B65))</f>
        <v/>
      </c>
      <c r="D65" s="502"/>
      <c r="E65" s="503"/>
      <c r="F65" s="289" t="str">
        <f>IF(TRUE=ISBLANK(ChemData!E65),"",(ChemData!E65))</f>
        <v/>
      </c>
      <c r="G65" s="291" t="str">
        <f>IF(TRUE=ISBLANK(ChemData!L65),"",(ChemData!L65))</f>
        <v>NA</v>
      </c>
      <c r="H65" s="462"/>
      <c r="I65" s="461" t="str">
        <f>IF(Start!$C$19="x",IF(OR(C65="",C65="NA"),"",IF(OR(F65="",F65="NA"),"No Ref",(IF((C65*100/Data!$D$10)&gt;(F65*100/Data!$D$60),"Exceeded","OK")))),"---")</f>
        <v>---</v>
      </c>
      <c r="J65" s="377" t="str">
        <f>IF(Start!$C$19="x",IF(OR(C65="",C65="NA"),"",IF(OR(G65="",G65="NA"),"No Criteria",(IF(C65&gt;(G65*Data!$D$10/100),"Exceeded","OK")))),"---")</f>
        <v>---</v>
      </c>
      <c r="K65" s="462"/>
      <c r="L65" s="286" t="str">
        <f>IF(Start!$C$19="x",IF(C65="","NA",IF(F65="","No Ref", (IF(F65 = 0, "NA", ((C65*100/Data!$D$10)/(F65*100/Data!$D$60)))))),"Not Req.")</f>
        <v>Not Req.</v>
      </c>
      <c r="M65" s="285" t="str">
        <f>IF(Start!$C$19="x",IF(C65="","NA",IF(OR(G65="",G65="NA"),"No Criteria",(IF(G65 = 0, "NA", (C65/(G65*Data!$D$10/100)))))),"Not Req.")</f>
        <v>Not Req.</v>
      </c>
    </row>
    <row r="66" spans="1:13" s="10" customFormat="1" x14ac:dyDescent="0.25">
      <c r="A66" s="405" t="s">
        <v>384</v>
      </c>
      <c r="B66" s="456" t="str">
        <f>IF(Start!$C$19="x",IF(AND(H66="",I66="",J66=""),"",(IF(H66="OK","No",(IF(H66="Exceeded",(IF(J66="OK","No",(IF(J66="Exceeded","Needed",(IF(J66="No Criteria","No Criteria","Missing Data")))))),(IF(I66="OK","No",(IF(J66="OK","No",(IF(J66="Exceeded","Needed",(IF(J66="No Criteria","No Criteria","Missing Data"))))))))))))),"---")</f>
        <v>---</v>
      </c>
      <c r="C66" s="457" t="str">
        <f>IF(TRUE=ISBLANK(ChemData!B66),"",(ChemData!B66))</f>
        <v/>
      </c>
      <c r="D66" s="502"/>
      <c r="E66" s="503"/>
      <c r="F66" s="289" t="str">
        <f>IF(TRUE=ISBLANK(ChemData!E66),"",(ChemData!E66))</f>
        <v/>
      </c>
      <c r="G66" s="291" t="str">
        <f>IF(TRUE=ISBLANK(ChemData!L66),"",(ChemData!L66))</f>
        <v>NA</v>
      </c>
      <c r="H66" s="462"/>
      <c r="I66" s="461" t="str">
        <f>IF(Start!$C$19="x",IF(OR(C66="",C66="NA"),"",IF(OR(F66="",F66="NA"),"No Ref",(IF((C66*100/Data!$D$10)&gt;(F66*100/Data!$D$60),"Exceeded","OK")))),"---")</f>
        <v>---</v>
      </c>
      <c r="J66" s="377" t="str">
        <f>IF(Start!$C$19="x",IF(OR(C66="",C66="NA"),"",IF(OR(G66="",G66="NA"),"No Criteria",(IF(C66&gt;(G66*Data!$D$10/100),"Exceeded","OK")))),"---")</f>
        <v>---</v>
      </c>
      <c r="K66" s="462"/>
      <c r="L66" s="286" t="str">
        <f>IF(Start!$C$19="x",IF(C66="","NA",IF(F66="","No Ref", (IF(F66 = 0, "NA", ((C66*100/Data!$D$10)/(F66*100/Data!$D$60)))))),"Not Req.")</f>
        <v>Not Req.</v>
      </c>
      <c r="M66" s="285" t="str">
        <f>IF(Start!$C$19="x",IF(C66="","NA",IF(OR(G66="",G66="NA"),"No Criteria",(IF(G66 = 0, "NA", (C66/(G66*Data!$D$10/100)))))),"Not Req.")</f>
        <v>Not Req.</v>
      </c>
    </row>
    <row r="67" spans="1:13" s="10" customFormat="1" x14ac:dyDescent="0.25">
      <c r="A67" s="405" t="s">
        <v>385</v>
      </c>
      <c r="B67" s="456" t="str">
        <f>IF(Start!$C$19="x",IF(AND(H67="",I67="",J67=""),"",(IF(H67="OK","No",(IF(H67="Exceeded",(IF(J67="OK","No",(IF(J67="Exceeded","Needed",(IF(J67="No Criteria","No Criteria","Missing Data")))))),(IF(I67="OK","No",(IF(J67="OK","No",(IF(J67="Exceeded","Needed",(IF(J67="No Criteria","No Criteria","Missing Data"))))))))))))),"---")</f>
        <v>---</v>
      </c>
      <c r="C67" s="457" t="str">
        <f>IF(TRUE=ISBLANK(ChemData!B67),"",(ChemData!B67))</f>
        <v/>
      </c>
      <c r="D67" s="502"/>
      <c r="E67" s="503"/>
      <c r="F67" s="289" t="str">
        <f>IF(TRUE=ISBLANK(ChemData!E67),"",(ChemData!E67))</f>
        <v/>
      </c>
      <c r="G67" s="291" t="str">
        <f>IF(TRUE=ISBLANK(ChemData!L67),"",(ChemData!L67))</f>
        <v>NA</v>
      </c>
      <c r="H67" s="462"/>
      <c r="I67" s="461" t="str">
        <f>IF(Start!$C$19="x",IF(OR(C67="",C67="NA"),"",IF(OR(F67="",F67="NA"),"No Ref",(IF((C67*100/Data!$D$10)&gt;(F67*100/Data!$D$60),"Exceeded","OK")))),"---")</f>
        <v>---</v>
      </c>
      <c r="J67" s="377" t="str">
        <f>IF(Start!$C$19="x",IF(OR(C67="",C67="NA"),"",IF(OR(G67="",G67="NA"),"No Criteria",(IF(C67&gt;(G67*Data!$D$10/100),"Exceeded","OK")))),"---")</f>
        <v>---</v>
      </c>
      <c r="K67" s="462"/>
      <c r="L67" s="286" t="str">
        <f>IF(Start!$C$19="x",IF(C67="","NA",IF(F67="","No Ref", (IF(F67 = 0, "NA", ((C67*100/Data!$D$10)/(F67*100/Data!$D$60)))))),"Not Req.")</f>
        <v>Not Req.</v>
      </c>
      <c r="M67" s="285" t="str">
        <f>IF(Start!$C$19="x",IF(C67="","NA",IF(OR(G67="",G67="NA"),"No Criteria",(IF(G67 = 0, "NA", (C67/(G67*Data!$D$10/100)))))),"Not Req.")</f>
        <v>Not Req.</v>
      </c>
    </row>
    <row r="68" spans="1:13" s="10" customFormat="1" x14ac:dyDescent="0.25">
      <c r="A68" s="404" t="s">
        <v>386</v>
      </c>
      <c r="B68" s="456" t="str">
        <f>IF(Start!$C$19="x",IF(AND(H68="",I68="",J68=""),"",(IF(H68="OK","No",(IF(H68="Exceeded",(IF(J68="OK","No",(IF(J68="Exceeded","Needed",(IF(J68="No Criteria","No Criteria","Missing Data")))))),(IF(I68="OK","No",(IF(J68="OK","No",(IF(J68="Exceeded","Needed",(IF(J68="No Criteria","No Criteria","Missing Data"))))))))))))),"---")</f>
        <v>---</v>
      </c>
      <c r="C68" s="457" t="str">
        <f>IF(TRUE=ISBLANK(ChemData!B68),"",(ChemData!B68))</f>
        <v/>
      </c>
      <c r="D68" s="502"/>
      <c r="E68" s="503"/>
      <c r="F68" s="289">
        <v>3</v>
      </c>
      <c r="G68" s="291" t="str">
        <f>IF(TRUE=ISBLANK(ChemData!L68),"",(ChemData!L68))</f>
        <v>NA</v>
      </c>
      <c r="H68" s="462"/>
      <c r="I68" s="461" t="str">
        <f>IF(Start!$C$19="x",IF(OR(C68="",C68="NA"),"",IF(OR(F68="",F68="NA"),"No Ref",(IF((C68*100/Data!$D$10)&gt;(F68*100/Data!$D$60),"Exceeded","OK")))),"---")</f>
        <v>---</v>
      </c>
      <c r="J68" s="377" t="str">
        <f>IF(Start!$C$19="x",IF(OR(C68="",C68="NA"),"",IF(OR(G68="",G68="NA"),"No Criteria",(IF(C68&gt;(G68*Data!$D$10/100),"Exceeded","OK")))),"---")</f>
        <v>---</v>
      </c>
      <c r="K68" s="462"/>
      <c r="L68" s="286" t="str">
        <f>IF(Start!$C$19="x",IF(C68="","NA",IF(F68="","No Ref", (IF(F68 = 0, "NA", ((C68*100/Data!$D$10)/(F68*100/Data!$D$60)))))),"Not Req.")</f>
        <v>Not Req.</v>
      </c>
      <c r="M68" s="285" t="str">
        <f>IF(Start!$C$19="x",IF(C68="","NA",IF(OR(G68="",G68="NA"),"No Criteria",(IF(G68 = 0, "NA", (C68/(G68*Data!$D$10/100)))))),"Not Req.")</f>
        <v>Not Req.</v>
      </c>
    </row>
    <row r="69" spans="1:13" s="10" customFormat="1" x14ac:dyDescent="0.25">
      <c r="A69" s="405" t="s">
        <v>387</v>
      </c>
      <c r="B69" s="456" t="str">
        <f>IF(Start!$C$19="x",IF(AND(H69="",I69="",J69=""),"",(IF(H69="OK","No",(IF(H69="Exceeded",(IF(J69="OK","No",(IF(J69="Exceeded","Needed",(IF(J69="No Criteria","No Criteria","Missing Data")))))),(IF(I69="OK","No",(IF(J69="OK","No",(IF(J69="Exceeded","Needed",(IF(J69="No Criteria","No Criteria","Missing Data"))))))))))))),"---")</f>
        <v>---</v>
      </c>
      <c r="C69" s="457" t="str">
        <f>IF(TRUE=ISBLANK(ChemData!B69),"",(ChemData!B69))</f>
        <v/>
      </c>
      <c r="D69" s="502"/>
      <c r="E69" s="503"/>
      <c r="F69" s="289" t="str">
        <f>IF(TRUE=ISBLANK(ChemData!E69),"",(ChemData!E69))</f>
        <v/>
      </c>
      <c r="G69" s="291" t="str">
        <f>IF(TRUE=ISBLANK(ChemData!L69),"",(ChemData!L69))</f>
        <v>NA</v>
      </c>
      <c r="H69" s="462"/>
      <c r="I69" s="461" t="str">
        <f>IF(Start!$C$19="x",IF(OR(C69="",C69="NA"),"",IF(OR(F69="",F69="NA"),"No Ref",(IF((C69*100/Data!$D$10)&gt;(F69*100/Data!$D$60),"Exceeded","OK")))),"---")</f>
        <v>---</v>
      </c>
      <c r="J69" s="377" t="str">
        <f>IF(Start!$C$19="x",IF(OR(C69="",C69="NA"),"",IF(OR(G69="",G69="NA"),"No Criteria",(IF(C69&gt;(G69*Data!$D$10/100),"Exceeded","OK")))),"---")</f>
        <v>---</v>
      </c>
      <c r="K69" s="462"/>
      <c r="L69" s="286" t="str">
        <f>IF(Start!$C$19="x",IF(C69="","NA",IF(F69="","No Ref", (IF(F69 = 0, "NA", ((C69*100/Data!$D$10)/(F69*100/Data!$D$60)))))),"Not Req.")</f>
        <v>Not Req.</v>
      </c>
      <c r="M69" s="285" t="str">
        <f>IF(Start!$C$19="x",IF(C69="","NA",IF(OR(G69="",G69="NA"),"No Criteria",(IF(G69 = 0, "NA", (C69/(G69*Data!$D$10/100)))))),"Not Req.")</f>
        <v>Not Req.</v>
      </c>
    </row>
    <row r="70" spans="1:13" s="10" customFormat="1" x14ac:dyDescent="0.25">
      <c r="A70" s="405" t="s">
        <v>388</v>
      </c>
      <c r="B70" s="456" t="str">
        <f>IF(Start!$C$19="x",IF(AND(H70="",I70="",J70=""),"",(IF(H70="OK","No",(IF(H70="Exceeded",(IF(J70="OK","No",(IF(J70="Exceeded","Needed",(IF(J70="No Criteria","No Criteria","Missing Data")))))),(IF(I70="OK","No",(IF(J70="OK","No",(IF(J70="Exceeded","Needed",(IF(J70="No Criteria","No Criteria","Missing Data"))))))))))))),"---")</f>
        <v>---</v>
      </c>
      <c r="C70" s="457" t="str">
        <f>IF(TRUE=ISBLANK(ChemData!B70),"",(ChemData!B70))</f>
        <v/>
      </c>
      <c r="D70" s="502"/>
      <c r="E70" s="503"/>
      <c r="F70" s="289" t="str">
        <f>IF(TRUE=ISBLANK(ChemData!E70),"",(ChemData!E70))</f>
        <v/>
      </c>
      <c r="G70" s="291" t="str">
        <f>IF(TRUE=ISBLANK(ChemData!L70),"",(ChemData!L70))</f>
        <v>NA</v>
      </c>
      <c r="H70" s="462"/>
      <c r="I70" s="461" t="str">
        <f>IF(Start!$C$19="x",IF(OR(C70="",C70="NA"),"",IF(OR(F70="",F70="NA"),"No Ref",(IF((C70*100/Data!$D$10)&gt;(F70*100/Data!$D$60),"Exceeded","OK")))),"---")</f>
        <v>---</v>
      </c>
      <c r="J70" s="377" t="str">
        <f>IF(Start!$C$19="x",IF(OR(C70="",C70="NA"),"",IF(OR(G70="",G70="NA"),"No Criteria",(IF(C70&gt;(G70*Data!$D$10/100),"Exceeded","OK")))),"---")</f>
        <v>---</v>
      </c>
      <c r="K70" s="462"/>
      <c r="L70" s="286" t="str">
        <f>IF(Start!$C$19="x",IF(C70="","NA",IF(F70="","No Ref", (IF(F70 = 0, "NA", ((C70*100/Data!$D$10)/(F70*100/Data!$D$60)))))),"Not Req.")</f>
        <v>Not Req.</v>
      </c>
      <c r="M70" s="285" t="str">
        <f>IF(Start!$C$19="x",IF(C70="","NA",IF(OR(G70="",G70="NA"),"No Criteria",(IF(G70 = 0, "NA", (C70/(G70*Data!$D$10/100)))))),"Not Req.")</f>
        <v>Not Req.</v>
      </c>
    </row>
    <row r="71" spans="1:13" s="10" customFormat="1" x14ac:dyDescent="0.25">
      <c r="A71" s="405" t="s">
        <v>389</v>
      </c>
      <c r="B71" s="456" t="str">
        <f>IF(Start!$C$19="x",IF(AND(H71="",I71="",J71=""),"",(IF(H71="OK","No",(IF(H71="Exceeded",(IF(J71="OK","No",(IF(J71="Exceeded","Needed",(IF(J71="No Criteria","No Criteria","Missing Data")))))),(IF(I71="OK","No",(IF(J71="OK","No",(IF(J71="Exceeded","Needed",(IF(J71="No Criteria","No Criteria","Missing Data"))))))))))))),"---")</f>
        <v>---</v>
      </c>
      <c r="C71" s="457" t="str">
        <f>IF(TRUE=ISBLANK(ChemData!B71),"",(ChemData!B71))</f>
        <v/>
      </c>
      <c r="D71" s="502"/>
      <c r="E71" s="503"/>
      <c r="F71" s="289" t="str">
        <f>IF(TRUE=ISBLANK(ChemData!E71),"",(ChemData!E71))</f>
        <v/>
      </c>
      <c r="G71" s="291" t="str">
        <f>IF(TRUE=ISBLANK(ChemData!L71),"",(ChemData!L71))</f>
        <v>NA</v>
      </c>
      <c r="H71" s="462"/>
      <c r="I71" s="461" t="str">
        <f>IF(Start!$C$19="x",IF(OR(C71="",C71="NA"),"",IF(OR(F71="",F71="NA"),"No Ref",(IF((C71*100/Data!$D$10)&gt;(F71*100/Data!$D$60),"Exceeded","OK")))),"---")</f>
        <v>---</v>
      </c>
      <c r="J71" s="377" t="str">
        <f>IF(Start!$C$19="x",IF(OR(C71="",C71="NA"),"",IF(OR(G71="",G71="NA"),"No Criteria",(IF(C71&gt;(G71*Data!$D$10/100),"Exceeded","OK")))),"---")</f>
        <v>---</v>
      </c>
      <c r="K71" s="462"/>
      <c r="L71" s="286" t="str">
        <f>IF(Start!$C$19="x",IF(C71="","NA",IF(F71="","No Ref", (IF(F71 = 0, "NA", ((C71*100/Data!$D$10)/(F71*100/Data!$D$60)))))),"Not Req.")</f>
        <v>Not Req.</v>
      </c>
      <c r="M71" s="285" t="str">
        <f>IF(Start!$C$19="x",IF(C71="","NA",IF(OR(G71="",G71="NA"),"No Criteria",(IF(G71 = 0, "NA", (C71/(G71*Data!$D$10/100)))))),"Not Req.")</f>
        <v>Not Req.</v>
      </c>
    </row>
    <row r="72" spans="1:13" s="10" customFormat="1" x14ac:dyDescent="0.25">
      <c r="A72" s="405" t="s">
        <v>390</v>
      </c>
      <c r="B72" s="456" t="str">
        <f>IF(Start!$C$19="x",IF(AND(H72="",I72="",J72=""),"",(IF(H72="OK","No",(IF(H72="Exceeded",(IF(J72="OK","No",(IF(J72="Exceeded","Needed",(IF(J72="No Criteria","No Criteria","Missing Data")))))),(IF(I72="OK","No",(IF(J72="OK","No",(IF(J72="Exceeded","Needed",(IF(J72="No Criteria","No Criteria","Missing Data"))))))))))))),"---")</f>
        <v>---</v>
      </c>
      <c r="C72" s="457" t="str">
        <f>IF(TRUE=ISBLANK(ChemData!B72),"",(ChemData!B72))</f>
        <v/>
      </c>
      <c r="D72" s="502"/>
      <c r="E72" s="503"/>
      <c r="F72" s="289" t="str">
        <f>IF(TRUE=ISBLANK(ChemData!E72),"",(ChemData!E72))</f>
        <v/>
      </c>
      <c r="G72" s="291" t="str">
        <f>IF(TRUE=ISBLANK(ChemData!L72),"",(ChemData!L72))</f>
        <v>NA</v>
      </c>
      <c r="H72" s="462"/>
      <c r="I72" s="461" t="str">
        <f>IF(Start!$C$19="x",IF(OR(C72="",C72="NA"),"",IF(OR(F72="",F72="NA"),"No Ref",(IF((C72*100/Data!$D$10)&gt;(F72*100/Data!$D$60),"Exceeded","OK")))),"---")</f>
        <v>---</v>
      </c>
      <c r="J72" s="377" t="str">
        <f>IF(Start!$C$19="x",IF(OR(C72="",C72="NA"),"",IF(OR(G72="",G72="NA"),"No Criteria",(IF(C72&gt;(G72*Data!$D$10/100),"Exceeded","OK")))),"---")</f>
        <v>---</v>
      </c>
      <c r="K72" s="462"/>
      <c r="L72" s="286" t="str">
        <f>IF(Start!$C$19="x",IF(C72="","NA",IF(F72="","No Ref", (IF(F72 = 0, "NA", ((C72*100/Data!$D$10)/(F72*100/Data!$D$60)))))),"Not Req.")</f>
        <v>Not Req.</v>
      </c>
      <c r="M72" s="285" t="str">
        <f>IF(Start!$C$19="x",IF(C72="","NA",IF(OR(G72="",G72="NA"),"No Criteria",(IF(G72 = 0, "NA", (C72/(G72*Data!$D$10/100)))))),"Not Req.")</f>
        <v>Not Req.</v>
      </c>
    </row>
    <row r="73" spans="1:13" s="10" customFormat="1" x14ac:dyDescent="0.25">
      <c r="A73" s="405" t="s">
        <v>391</v>
      </c>
      <c r="B73" s="456" t="str">
        <f>IF(Start!$C$19="x",IF(AND(H73="",I73="",J73=""),"",(IF(H73="OK","No",(IF(H73="Exceeded",(IF(J73="OK","No",(IF(J73="Exceeded","Needed",(IF(J73="No Criteria","No Criteria","Missing Data")))))),(IF(I73="OK","No",(IF(J73="OK","No",(IF(J73="Exceeded","Needed",(IF(J73="No Criteria","No Criteria","Missing Data"))))))))))))),"---")</f>
        <v>---</v>
      </c>
      <c r="C73" s="457" t="str">
        <f>IF(TRUE=ISBLANK(ChemData!B73),"",(ChemData!B73))</f>
        <v/>
      </c>
      <c r="D73" s="502"/>
      <c r="E73" s="503"/>
      <c r="F73" s="289" t="str">
        <f>IF(TRUE=ISBLANK(ChemData!E73),"",(ChemData!E73))</f>
        <v/>
      </c>
      <c r="G73" s="291">
        <f>IF(TRUE=ISBLANK(ChemData!L73),"",(ChemData!L73))</f>
        <v>3200</v>
      </c>
      <c r="H73" s="462"/>
      <c r="I73" s="461" t="str">
        <f>IF(Start!$C$19="x",IF(OR(C73="",C73="NA"),"",IF(OR(F73="",F73="NA"),"No Ref",(IF((C73*100/Data!$D$10)&gt;(F73*100/Data!$D$60),"Exceeded","OK")))),"---")</f>
        <v>---</v>
      </c>
      <c r="J73" s="377" t="str">
        <f>IF(Start!$C$19="x",IF(OR(C73="",C73="NA"),"",IF(OR(G73="",G73="NA"),"No Criteria",(IF(C73&gt;(G73*Data!$D$10/100),"Exceeded","OK")))),"---")</f>
        <v>---</v>
      </c>
      <c r="K73" s="462"/>
      <c r="L73" s="286" t="str">
        <f>IF(Start!$C$19="x",IF(C73="","NA",IF(F73="","No Ref", (IF(F73 = 0, "NA", ((C73*100/Data!$D$10)/(F73*100/Data!$D$60)))))),"Not Req.")</f>
        <v>Not Req.</v>
      </c>
      <c r="M73" s="285" t="str">
        <f>IF(Start!$C$19="x",IF(C73="","NA",IF(OR(G73="",G73="NA"),"No Criteria",(IF(G73 = 0, "NA", (C73/(G73*Data!$D$10/100)))))),"Not Req.")</f>
        <v>Not Req.</v>
      </c>
    </row>
    <row r="74" spans="1:13" s="10" customFormat="1" x14ac:dyDescent="0.25">
      <c r="A74" s="405" t="s">
        <v>392</v>
      </c>
      <c r="B74" s="456" t="str">
        <f>IF(Start!$C$19="x",IF(AND(H74="",I74="",J74=""),"",(IF(H74="OK","No",(IF(H74="Exceeded",(IF(J74="OK","No",(IF(J74="Exceeded","Needed",(IF(J74="No Criteria","No Criteria","Missing Data")))))),(IF(I74="OK","No",(IF(J74="OK","No",(IF(J74="Exceeded","Needed",(IF(J74="No Criteria","No Criteria","Missing Data"))))))))))))),"---")</f>
        <v>---</v>
      </c>
      <c r="C74" s="457" t="str">
        <f>IF(TRUE=ISBLANK(ChemData!B74),"",(ChemData!B74))</f>
        <v/>
      </c>
      <c r="D74" s="502"/>
      <c r="E74" s="503"/>
      <c r="F74" s="289" t="str">
        <f>IF(TRUE=ISBLANK(ChemData!E74),"",(ChemData!E74))</f>
        <v/>
      </c>
      <c r="G74" s="291">
        <f>IF(TRUE=ISBLANK(ChemData!L74),"",(ChemData!L74))</f>
        <v>3000</v>
      </c>
      <c r="H74" s="462"/>
      <c r="I74" s="461" t="str">
        <f>IF(Start!$C$19="x",IF(OR(C74="",C74="NA"),"",IF(OR(F74="",F74="NA"),"No Ref",(IF((C74*100/Data!$D$10)&gt;(F74*100/Data!$D$60),"Exceeded","OK")))),"---")</f>
        <v>---</v>
      </c>
      <c r="J74" s="377" t="str">
        <f>IF(Start!$C$19="x",IF(OR(C74="",C74="NA"),"",IF(OR(G74="",G74="NA"),"No Criteria",(IF(C74&gt;(G74*Data!$D$10/100),"Exceeded","OK")))),"---")</f>
        <v>---</v>
      </c>
      <c r="K74" s="462"/>
      <c r="L74" s="286" t="str">
        <f>IF(Start!$C$19="x",IF(C74="","NA",IF(F74="","No Ref", (IF(F74 = 0, "NA", ((C74*100/Data!$D$10)/(F74*100/Data!$D$60)))))),"Not Req.")</f>
        <v>Not Req.</v>
      </c>
      <c r="M74" s="285" t="str">
        <f>IF(Start!$C$19="x",IF(C74="","NA",IF(OR(G74="",G74="NA"),"No Criteria",(IF(G74 = 0, "NA", (C74/(G74*Data!$D$10/100)))))),"Not Req.")</f>
        <v>Not Req.</v>
      </c>
    </row>
    <row r="75" spans="1:13" s="10" customFormat="1" x14ac:dyDescent="0.25">
      <c r="A75" s="405" t="s">
        <v>393</v>
      </c>
      <c r="B75" s="456" t="str">
        <f>IF(Start!$C$19="x",IF(AND(H75="",I75="",J75=""),"",(IF(H75="OK","No",(IF(H75="Exceeded",(IF(J75="OK","No",(IF(J75="Exceeded","Needed",(IF(J75="No Criteria","No Criteria","Missing Data")))))),(IF(I75="OK","No",(IF(J75="OK","No",(IF(J75="Exceeded","Needed",(IF(J75="No Criteria","No Criteria","Missing Data"))))))))))))),"---")</f>
        <v>---</v>
      </c>
      <c r="C75" s="457" t="str">
        <f>IF(TRUE=ISBLANK(ChemData!B75),"",(ChemData!B75))</f>
        <v/>
      </c>
      <c r="D75" s="502"/>
      <c r="E75" s="503"/>
      <c r="F75" s="289" t="str">
        <f>IF(TRUE=ISBLANK(ChemData!E75),"",(ChemData!E75))</f>
        <v/>
      </c>
      <c r="G75" s="291">
        <f>IF(TRUE=ISBLANK(ChemData!L75),"",(ChemData!L75))</f>
        <v>25</v>
      </c>
      <c r="H75" s="462"/>
      <c r="I75" s="461" t="str">
        <f>IF(Start!$C$19="x",IF(OR(C75="",C75="NA"),"",IF(OR(F75="",F75="NA"),"No Ref",(IF((C75*100/Data!$D$10)&gt;(F75*100/Data!$D$60),"Exceeded","OK")))),"---")</f>
        <v>---</v>
      </c>
      <c r="J75" s="377" t="str">
        <f>IF(Start!$C$19="x",IF(OR(C75="",C75="NA"),"",IF(OR(G75="",G75="NA"),"No Criteria",(IF(C75&gt;(G75*Data!$D$10/100),"Exceeded","OK")))),"---")</f>
        <v>---</v>
      </c>
      <c r="K75" s="462"/>
      <c r="L75" s="286" t="str">
        <f>IF(Start!$C$19="x",IF(C75="","NA",IF(F75="","No Ref", (IF(F75 = 0, "NA", ((C75*100/Data!$D$10)/(F75*100/Data!$D$60)))))),"Not Req.")</f>
        <v>Not Req.</v>
      </c>
      <c r="M75" s="285" t="str">
        <f>IF(Start!$C$19="x",IF(C75="","NA",IF(OR(G75="",G75="NA"),"No Criteria",(IF(G75 = 0, "NA", (C75/(G75*Data!$D$10/100)))))),"Not Req.")</f>
        <v>Not Req.</v>
      </c>
    </row>
    <row r="76" spans="1:13" s="10" customFormat="1" x14ac:dyDescent="0.25">
      <c r="A76" s="405" t="s">
        <v>394</v>
      </c>
      <c r="B76" s="456" t="str">
        <f>IF(Start!$C$19="x",IF(AND(H76="",I76="",J76=""),"",(IF(H76="OK","No",(IF(H76="Exceeded",(IF(J76="OK","No",(IF(J76="Exceeded","Needed",(IF(J76="No Criteria","No Criteria","Missing Data")))))),(IF(I76="OK","No",(IF(J76="OK","No",(IF(J76="Exceeded","Needed",(IF(J76="No Criteria","No Criteria","Missing Data"))))))))))))),"---")</f>
        <v>---</v>
      </c>
      <c r="C76" s="457" t="str">
        <f>IF(TRUE=ISBLANK(ChemData!B76),"",(ChemData!B76))</f>
        <v/>
      </c>
      <c r="D76" s="502"/>
      <c r="E76" s="503"/>
      <c r="F76" s="289" t="str">
        <f>IF(TRUE=ISBLANK(ChemData!E76),"",(ChemData!E76))</f>
        <v/>
      </c>
      <c r="G76" s="291" t="str">
        <f>IF(TRUE=ISBLANK(ChemData!L76),"",(ChemData!L76))</f>
        <v>NA</v>
      </c>
      <c r="H76" s="462"/>
      <c r="I76" s="461" t="str">
        <f>IF(Start!$C$19="x",IF(OR(C76="",C76="NA"),"",IF(OR(F76="",F76="NA"),"No Ref",(IF((C76*100/Data!$D$10)&gt;(F76*100/Data!$D$60),"Exceeded","OK")))),"---")</f>
        <v>---</v>
      </c>
      <c r="J76" s="377" t="str">
        <f>IF(Start!$C$19="x",IF(OR(C76="",C76="NA"),"",IF(OR(G76="",G76="NA"),"No Criteria",(IF(C76&gt;(G76*Data!$D$10/100),"Exceeded","OK")))),"---")</f>
        <v>---</v>
      </c>
      <c r="K76" s="462"/>
      <c r="L76" s="286" t="str">
        <f>IF(Start!$C$19="x",IF(C76="","NA",IF(F76="","No Ref", (IF(F76 = 0, "NA", ((C76*100/Data!$D$10)/(F76*100/Data!$D$60)))))),"Not Req.")</f>
        <v>Not Req.</v>
      </c>
      <c r="M76" s="285" t="str">
        <f>IF(Start!$C$19="x",IF(C76="","NA",IF(OR(G76="",G76="NA"),"No Criteria",(IF(G76 = 0, "NA", (C76/(G76*Data!$D$10/100)))))),"Not Req.")</f>
        <v>Not Req.</v>
      </c>
    </row>
    <row r="77" spans="1:13" s="10" customFormat="1" x14ac:dyDescent="0.25">
      <c r="A77" s="405" t="s">
        <v>395</v>
      </c>
      <c r="B77" s="456" t="str">
        <f>IF(Start!$C$19="x",IF(AND(H77="",I77="",J77=""),"",(IF(H77="OK","No",(IF(H77="Exceeded",(IF(J77="OK","No",(IF(J77="Exceeded","Needed",(IF(J77="No Criteria","No Criteria","Missing Data")))))),(IF(I77="OK","No",(IF(J77="OK","No",(IF(J77="Exceeded","Needed",(IF(J77="No Criteria","No Criteria","Missing Data"))))))))))))),"---")</f>
        <v>---</v>
      </c>
      <c r="C77" s="457" t="str">
        <f>IF(TRUE=ISBLANK(ChemData!B77),"",(ChemData!B77))</f>
        <v/>
      </c>
      <c r="D77" s="502"/>
      <c r="E77" s="503"/>
      <c r="F77" s="289" t="str">
        <f>IF(TRUE=ISBLANK(ChemData!E77),"",(ChemData!E77))</f>
        <v/>
      </c>
      <c r="G77" s="291" t="str">
        <f>IF(TRUE=ISBLANK(ChemData!L77),"",(ChemData!L77))</f>
        <v>NA</v>
      </c>
      <c r="H77" s="462"/>
      <c r="I77" s="461" t="str">
        <f>IF(Start!$C$19="x",IF(OR(C77="",C77="NA"),"",IF(OR(F77="",F77="NA"),"No Ref",(IF((C77*100/Data!$D$10)&gt;(F77*100/Data!$D$60),"Exceeded","OK")))),"---")</f>
        <v>---</v>
      </c>
      <c r="J77" s="377" t="str">
        <f>IF(Start!$C$19="x",IF(OR(C77="",C77="NA"),"",IF(OR(G77="",G77="NA"),"No Criteria",(IF(C77&gt;(G77*Data!$D$10/100),"Exceeded","OK")))),"---")</f>
        <v>---</v>
      </c>
      <c r="K77" s="462"/>
      <c r="L77" s="286" t="str">
        <f>IF(Start!$C$19="x",IF(C77="","NA",IF(F77="","No Ref", (IF(F77 = 0, "NA", ((C77*100/Data!$D$10)/(F77*100/Data!$D$60)))))),"Not Req.")</f>
        <v>Not Req.</v>
      </c>
      <c r="M77" s="285" t="str">
        <f>IF(Start!$C$19="x",IF(C77="","NA",IF(OR(G77="",G77="NA"),"No Criteria",(IF(G77 = 0, "NA", (C77/(G77*Data!$D$10/100)))))),"Not Req.")</f>
        <v>Not Req.</v>
      </c>
    </row>
    <row r="78" spans="1:13" s="10" customFormat="1" x14ac:dyDescent="0.25">
      <c r="A78" s="405" t="s">
        <v>396</v>
      </c>
      <c r="B78" s="456" t="str">
        <f>IF(Start!$C$19="x",IF(AND(H78="",I78="",J78=""),"",(IF(H78="OK","No",(IF(H78="Exceeded",(IF(J78="OK","No",(IF(J78="Exceeded","Needed",(IF(J78="No Criteria","No Criteria","Missing Data")))))),(IF(I78="OK","No",(IF(J78="OK","No",(IF(J78="Exceeded","Needed",(IF(J78="No Criteria","No Criteria","Missing Data"))))))))))))),"---")</f>
        <v>---</v>
      </c>
      <c r="C78" s="457" t="str">
        <f>IF(TRUE=ISBLANK(ChemData!B78),"",(ChemData!B78))</f>
        <v/>
      </c>
      <c r="D78" s="502"/>
      <c r="E78" s="503"/>
      <c r="F78" s="289" t="str">
        <f>IF(TRUE=ISBLANK(ChemData!E78),"",(ChemData!E78))</f>
        <v/>
      </c>
      <c r="G78" s="291">
        <f>IF(TRUE=ISBLANK(ChemData!L78),"",(ChemData!L78))</f>
        <v>2900</v>
      </c>
      <c r="H78" s="462"/>
      <c r="I78" s="461" t="str">
        <f>IF(Start!$C$19="x",IF(OR(C78="",C78="NA"),"",IF(OR(F78="",F78="NA"),"No Ref",(IF((C78*100/Data!$D$10)&gt;(F78*100/Data!$D$60),"Exceeded","OK")))),"---")</f>
        <v>---</v>
      </c>
      <c r="J78" s="377" t="str">
        <f>IF(Start!$C$19="x",IF(OR(C78="",C78="NA"),"",IF(OR(G78="",G78="NA"),"No Criteria",(IF(C78&gt;(G78*Data!$D$10/100),"Exceeded","OK")))),"---")</f>
        <v>---</v>
      </c>
      <c r="K78" s="462"/>
      <c r="L78" s="286" t="str">
        <f>IF(Start!$C$19="x",IF(C78="","NA",IF(F78="","No Ref", (IF(F78 = 0, "NA", ((C78*100/Data!$D$10)/(F78*100/Data!$D$60)))))),"Not Req.")</f>
        <v>Not Req.</v>
      </c>
      <c r="M78" s="285" t="str">
        <f>IF(Start!$C$19="x",IF(C78="","NA",IF(OR(G78="",G78="NA"),"No Criteria",(IF(G78 = 0, "NA", (C78/(G78*Data!$D$10/100)))))),"Not Req.")</f>
        <v>Not Req.</v>
      </c>
    </row>
    <row r="79" spans="1:13" s="10" customFormat="1" x14ac:dyDescent="0.25">
      <c r="A79" s="405" t="s">
        <v>397</v>
      </c>
      <c r="B79" s="456" t="str">
        <f>IF(Start!$C$19="x",IF(AND(H79="",I79="",J79=""),"",(IF(H79="OK","No",(IF(H79="Exceeded",(IF(J79="OK","No",(IF(J79="Exceeded","Needed",(IF(J79="No Criteria","No Criteria","Missing Data")))))),(IF(I79="OK","No",(IF(J79="OK","No",(IF(J79="Exceeded","Needed",(IF(J79="No Criteria","No Criteria","Missing Data"))))))))))))),"---")</f>
        <v>---</v>
      </c>
      <c r="C79" s="457" t="str">
        <f>IF(TRUE=ISBLANK(ChemData!B79),"",(ChemData!B79))</f>
        <v/>
      </c>
      <c r="D79" s="502"/>
      <c r="E79" s="503"/>
      <c r="F79" s="289" t="str">
        <f>IF(TRUE=ISBLANK(ChemData!E79),"",(ChemData!E79))</f>
        <v/>
      </c>
      <c r="G79" s="291">
        <f>IF(TRUE=ISBLANK(ChemData!L79),"",(ChemData!L79))</f>
        <v>25</v>
      </c>
      <c r="H79" s="462"/>
      <c r="I79" s="461" t="str">
        <f>IF(Start!$C$19="x",IF(OR(C79="",C79="NA"),"",IF(OR(F79="",F79="NA"),"No Ref",(IF((C79*100/Data!$D$10)&gt;(F79*100/Data!$D$60),"Exceeded","OK")))),"---")</f>
        <v>---</v>
      </c>
      <c r="J79" s="377" t="str">
        <f>IF(Start!$C$19="x",IF(OR(C79="",C79="NA"),"",IF(OR(G79="",G79="NA"),"No Criteria",(IF(C79&gt;(G79*Data!$D$10/100),"Exceeded","OK")))),"---")</f>
        <v>---</v>
      </c>
      <c r="K79" s="462"/>
      <c r="L79" s="286" t="str">
        <f>IF(Start!$C$19="x",IF(C79="","NA",IF(F79="","No Ref", (IF(F79 = 0, "NA", ((C79*100/Data!$D$10)/(F79*100/Data!$D$60)))))),"Not Req.")</f>
        <v>Not Req.</v>
      </c>
      <c r="M79" s="285" t="str">
        <f>IF(Start!$C$19="x",IF(C79="","NA",IF(OR(G79="",G79="NA"),"No Criteria",(IF(G79 = 0, "NA", (C79/(G79*Data!$D$10/100)))))),"Not Req.")</f>
        <v>Not Req.</v>
      </c>
    </row>
    <row r="80" spans="1:13" s="10" customFormat="1" x14ac:dyDescent="0.25">
      <c r="A80" s="405" t="s">
        <v>398</v>
      </c>
      <c r="B80" s="456" t="str">
        <f>IF(Start!$C$19="x",IF(AND(H80="",I80="",J80=""),"",(IF(H80="OK","No",(IF(H80="Exceeded",(IF(J80="OK","No",(IF(J80="Exceeded","Needed",(IF(J80="No Criteria","No Criteria","Missing Data")))))),(IF(I80="OK","No",(IF(J80="OK","No",(IF(J80="Exceeded","Needed",(IF(J80="No Criteria","No Criteria","Missing Data"))))))))))))),"---")</f>
        <v>---</v>
      </c>
      <c r="C80" s="457" t="str">
        <f>IF(TRUE=ISBLANK(ChemData!B80),"",(ChemData!B80))</f>
        <v/>
      </c>
      <c r="D80" s="502"/>
      <c r="E80" s="503"/>
      <c r="F80" s="289" t="str">
        <f>IF(TRUE=ISBLANK(ChemData!E80),"",(ChemData!E80))</f>
        <v/>
      </c>
      <c r="G80" s="291" t="str">
        <f>IF(TRUE=ISBLANK(ChemData!L80),"",(ChemData!L80))</f>
        <v>NA</v>
      </c>
      <c r="H80" s="462"/>
      <c r="I80" s="461" t="str">
        <f>IF(Start!$C$19="x",IF(OR(C80="",C80="NA"),"",IF(OR(F80="",F80="NA"),"No Ref",(IF((C80*100/Data!$D$10)&gt;(F80*100/Data!$D$60),"Exceeded","OK")))),"---")</f>
        <v>---</v>
      </c>
      <c r="J80" s="377" t="str">
        <f>IF(Start!$C$19="x",IF(OR(C80="",C80="NA"),"",IF(OR(G80="",G80="NA"),"No Criteria",(IF(C80&gt;(G80*Data!$D$10/100),"Exceeded","OK")))),"---")</f>
        <v>---</v>
      </c>
      <c r="K80" s="462"/>
      <c r="L80" s="286" t="str">
        <f>IF(Start!$C$19="x",IF(C80="","NA",IF(F80="","No Ref", (IF(F80 = 0, "NA", ((C80*100/Data!$D$10)/(F80*100/Data!$D$60)))))),"Not Req.")</f>
        <v>Not Req.</v>
      </c>
      <c r="M80" s="285" t="str">
        <f>IF(Start!$C$19="x",IF(C80="","NA",IF(OR(G80="",G80="NA"),"No Criteria",(IF(G80 = 0, "NA", (C80/(G80*Data!$D$10/100)))))),"Not Req.")</f>
        <v>Not Req.</v>
      </c>
    </row>
    <row r="81" spans="1:13" s="10" customFormat="1" x14ac:dyDescent="0.25">
      <c r="A81" s="405" t="s">
        <v>399</v>
      </c>
      <c r="B81" s="456" t="str">
        <f>IF(Start!$C$19="x",IF(AND(H81="",I81="",J81=""),"",(IF(H81="OK","No",(IF(H81="Exceeded",(IF(J81="OK","No",(IF(J81="Exceeded","Needed",(IF(J81="No Criteria","No Criteria","Missing Data")))))),(IF(I81="OK","No",(IF(J81="OK","No",(IF(J81="Exceeded","Needed",(IF(J81="No Criteria","No Criteria","Missing Data"))))))))))))),"---")</f>
        <v>---</v>
      </c>
      <c r="C81" s="457" t="str">
        <f>IF(TRUE=ISBLANK(ChemData!B81),"",(ChemData!B81))</f>
        <v/>
      </c>
      <c r="D81" s="502"/>
      <c r="E81" s="503"/>
      <c r="F81" s="289" t="str">
        <f>IF(TRUE=ISBLANK(ChemData!E81),"",(ChemData!E81))</f>
        <v/>
      </c>
      <c r="G81" s="291">
        <f>IF(TRUE=ISBLANK(ChemData!L81),"",(ChemData!L81))</f>
        <v>10000</v>
      </c>
      <c r="H81" s="462"/>
      <c r="I81" s="461" t="str">
        <f>IF(Start!$C$19="x",IF(OR(C81="",C81="NA"),"",IF(OR(F81="",F81="NA"),"No Ref",(IF((C81*100/Data!$D$10)&gt;(F81*100/Data!$D$60),"Exceeded","OK")))),"---")</f>
        <v>---</v>
      </c>
      <c r="J81" s="377" t="str">
        <f>IF(Start!$C$19="x",IF(OR(C81="",C81="NA"),"",IF(OR(G81="",G81="NA"),"No Criteria",(IF(C81&gt;(G81*Data!$D$10/100),"Exceeded","OK")))),"---")</f>
        <v>---</v>
      </c>
      <c r="K81" s="462"/>
      <c r="L81" s="286" t="str">
        <f>IF(Start!$C$19="x",IF(C81="","NA",IF(F81="","No Ref", (IF(F81 = 0, "NA", ((C81*100/Data!$D$10)/(F81*100/Data!$D$60)))))),"Not Req.")</f>
        <v>Not Req.</v>
      </c>
      <c r="M81" s="285" t="str">
        <f>IF(Start!$C$19="x",IF(C81="","NA",IF(OR(G81="",G81="NA"),"No Criteria",(IF(G81 = 0, "NA", (C81/(G81*Data!$D$10/100)))))),"Not Req.")</f>
        <v>Not Req.</v>
      </c>
    </row>
    <row r="82" spans="1:13" s="10" customFormat="1" ht="13.8" thickBot="1" x14ac:dyDescent="0.3">
      <c r="A82" s="406" t="s">
        <v>400</v>
      </c>
      <c r="B82" s="764" t="str">
        <f>IF(Start!$C$19="x",IF(AND(H82="",I82="",J82=""),"",(IF(H82="OK","No",(IF(H82="Exceeded",(IF(J82="OK","No",(IF(J82="Exceeded","Needed",(IF(J82="No Criteria","No Criteria","Missing Data")))))),(IF(I82="OK","No",(IF(J82="OK","No",(IF(J82="Exceeded","Needed",(IF(J82="No Criteria","No Criteria","Missing Data"))))))))))))),"---")</f>
        <v>---</v>
      </c>
      <c r="C82" s="765" t="str">
        <f>IF(TRUE=ISBLANK(ChemData!B82),"",(ChemData!B82))</f>
        <v/>
      </c>
      <c r="D82" s="502"/>
      <c r="E82" s="503"/>
      <c r="F82" s="522" t="str">
        <f>IF(TRUE=ISBLANK(ChemData!E82),"",(ChemData!E82))</f>
        <v/>
      </c>
      <c r="G82" s="700">
        <f>IF(TRUE=ISBLANK(ChemData!L82),"",(ChemData!L82))</f>
        <v>2200</v>
      </c>
      <c r="H82" s="462"/>
      <c r="I82" s="766" t="str">
        <f>IF(Start!$C$19="x",IF(OR(C82="",C82="NA"),"",IF(OR(F82="",F82="NA"),"No Ref",(IF((C82*100/Data!$D$10)&gt;(F82*100/Data!$D$60),"Exceeded","OK")))),"---")</f>
        <v>---</v>
      </c>
      <c r="J82" s="767" t="str">
        <f>IF(Start!$C$19="x",IF(OR(C82="",C82="NA"),"",IF(OR(G82="",G82="NA"),"No Criteria",(IF(C82&gt;(G82*Data!$D$10/100),"Exceeded","OK")))),"---")</f>
        <v>---</v>
      </c>
      <c r="K82" s="462"/>
      <c r="L82" s="768" t="str">
        <f>IF(Start!$C$19="x",IF(C82="","NA",IF(F82="","No Ref", (IF(F82 = 0, "NA", ((C82*100/Data!$D$10)/(F82*100/Data!$D$60)))))),"Not Req.")</f>
        <v>Not Req.</v>
      </c>
      <c r="M82" s="769" t="str">
        <f>IF(Start!$C$19="x",IF(C82="","NA",IF(OR(G82="",G82="NA"),"No Criteria",(IF(G82 = 0, "NA", (C82/(G82*Data!$D$10/100)))))),"Not Req.")</f>
        <v>Not Req.</v>
      </c>
    </row>
    <row r="83" spans="1:13" s="10" customFormat="1" x14ac:dyDescent="0.25">
      <c r="A83" s="505" t="s">
        <v>401</v>
      </c>
      <c r="B83" s="545"/>
      <c r="C83" s="545"/>
      <c r="D83" s="547"/>
      <c r="E83" s="548"/>
      <c r="F83" s="511"/>
      <c r="G83" s="513"/>
      <c r="H83" s="543"/>
      <c r="I83" s="511"/>
      <c r="J83" s="513"/>
      <c r="K83" s="543"/>
      <c r="L83" s="511"/>
      <c r="M83" s="513"/>
    </row>
    <row r="84" spans="1:13" s="10" customFormat="1" x14ac:dyDescent="0.25">
      <c r="A84" s="405" t="s">
        <v>402</v>
      </c>
      <c r="B84" s="456" t="str">
        <f>IF(Start!$C$19="x",IF(AND(H84="",I84="",J84=""),"",(IF(H84="OK","No",(IF(H84="Exceeded",(IF(J84="OK","No",(IF(J84="Exceeded","Needed",(IF(J84="No Criteria","No Criteria","Missing Data")))))),(IF(I84="OK","No",(IF(J84="OK","No",(IF(J84="Exceeded","Needed",(IF(J84="No Criteria","No Criteria","Missing Data"))))))))))))),"---")</f>
        <v>---</v>
      </c>
      <c r="C84" s="457" t="str">
        <f>IF(TRUE=ISBLANK(ChemData!B84),"",(ChemData!B84))</f>
        <v/>
      </c>
      <c r="D84" s="502"/>
      <c r="E84" s="503"/>
      <c r="F84" s="289" t="str">
        <f>IF(TRUE=ISBLANK(ChemData!E84),"",(ChemData!E84))</f>
        <v/>
      </c>
      <c r="G84" s="291">
        <f>IF(TRUE=ISBLANK(ChemData!L84),"",(ChemData!L84))</f>
        <v>200</v>
      </c>
      <c r="H84" s="462"/>
      <c r="I84" s="461" t="str">
        <f>IF(Start!$C$19="x",IF(OR(C84="",C84="NA"),"",IF(OR(F84="",F84="NA"),"No Ref",(IF((C84*100/Data!$D$10)&gt;(F84*100/Data!$D$60),"Exceeded","OK")))),"---")</f>
        <v>---</v>
      </c>
      <c r="J84" s="377" t="str">
        <f>IF(Start!$C$19="x",IF(OR(C84="",C84="NA"),"",IF(OR(G84="",G84="NA"),"No Criteria",(IF(C84&gt;(G84*Data!$D$10/100),"Exceeded","OK")))),"---")</f>
        <v>---</v>
      </c>
      <c r="K84" s="462"/>
      <c r="L84" s="286" t="str">
        <f>IF(Start!$C$19="x",IF(C84="","NA",IF(F84="","No Ref", (IF(F84 = 0, "NA", ((C84*100/Data!$D$10)/(F84*100/Data!$D$60)))))),"Not Req.")</f>
        <v>Not Req.</v>
      </c>
      <c r="M84" s="285" t="str">
        <f>IF(Start!$C$19="x",IF(C84="","NA",IF(OR(G84="",G84="NA"),"No Criteria",(IF(G84 = 0, "NA", (C84/(G84*Data!$D$10/100)))))),"Not Req.")</f>
        <v>Not Req.</v>
      </c>
    </row>
    <row r="85" spans="1:13" s="10" customFormat="1" x14ac:dyDescent="0.25">
      <c r="A85" s="405" t="s">
        <v>403</v>
      </c>
      <c r="B85" s="456" t="str">
        <f>IF(Start!$C$19="x",IF(AND(H85="",I85="",J85=""),"",(IF(H85="OK","No",(IF(H85="Exceeded",(IF(J85="OK","No",(IF(J85="Exceeded","Needed",(IF(J85="No Criteria","No Criteria","Missing Data")))))),(IF(I85="OK","No",(IF(J85="OK","No",(IF(J85="Exceeded","Needed",(IF(J85="No Criteria","No Criteria","Missing Data"))))))))))))),"---")</f>
        <v>---</v>
      </c>
      <c r="C85" s="457" t="str">
        <f>IF(TRUE=ISBLANK(ChemData!B85),"",(ChemData!B85))</f>
        <v/>
      </c>
      <c r="D85" s="502"/>
      <c r="E85" s="503"/>
      <c r="F85" s="289" t="str">
        <f>IF(TRUE=ISBLANK(ChemData!E85),"",(ChemData!E85))</f>
        <v/>
      </c>
      <c r="G85" s="291" t="str">
        <f>IF(TRUE=ISBLANK(ChemData!L85),"",(ChemData!L85))</f>
        <v>NA</v>
      </c>
      <c r="H85" s="462"/>
      <c r="I85" s="461" t="str">
        <f>IF(Start!$C$19="x",IF(OR(C85="",C85="NA"),"",IF(OR(F85="",F85="NA"),"No Ref",(IF((C85*100/Data!$D$10)&gt;(F85*100/Data!$D$60),"Exceeded","OK")))),"---")</f>
        <v>---</v>
      </c>
      <c r="J85" s="377" t="str">
        <f>IF(Start!$C$19="x",IF(OR(C85="",C85="NA"),"",IF(OR(G85="",G85="NA"),"No Criteria",(IF(C85&gt;(G85*Data!$D$10/100),"Exceeded","OK")))),"---")</f>
        <v>---</v>
      </c>
      <c r="K85" s="462"/>
      <c r="L85" s="286" t="str">
        <f>IF(Start!$C$19="x",IF(C85="","NA",IF(F85="","No Ref", (IF(F85 = 0, "NA", ((C85*100/Data!$D$10)/(F85*100/Data!$D$60)))))),"Not Req.")</f>
        <v>Not Req.</v>
      </c>
      <c r="M85" s="285" t="str">
        <f>IF(Start!$C$19="x",IF(C85="","NA",IF(OR(G85="",G85="NA"),"No Criteria",(IF(G85 = 0, "NA", (C85/(G85*Data!$D$10/100)))))),"Not Req.")</f>
        <v>Not Req.</v>
      </c>
    </row>
    <row r="86" spans="1:13" s="10" customFormat="1" x14ac:dyDescent="0.25">
      <c r="A86" s="405" t="s">
        <v>404</v>
      </c>
      <c r="B86" s="456" t="str">
        <f>IF(Start!$C$19="x",IF(AND(H86="",I86="",J86=""),"",(IF(H86="OK","No",(IF(H86="Exceeded",(IF(J86="OK","No",(IF(J86="Exceeded","Needed",(IF(J86="No Criteria","No Criteria","Missing Data")))))),(IF(I86="OK","No",(IF(J86="OK","No",(IF(J86="Exceeded","Needed",(IF(J86="No Criteria","No Criteria","Missing Data"))))))))))))),"---")</f>
        <v>---</v>
      </c>
      <c r="C86" s="457" t="str">
        <f>IF(TRUE=ISBLANK(ChemData!B86),"",(ChemData!B86))</f>
        <v/>
      </c>
      <c r="D86" s="502"/>
      <c r="E86" s="503"/>
      <c r="F86" s="289" t="str">
        <f>IF(TRUE=ISBLANK(ChemData!E86),"",(ChemData!E86))</f>
        <v/>
      </c>
      <c r="G86" s="291">
        <f>IF(TRUE=ISBLANK(ChemData!L86),"",(ChemData!L86))</f>
        <v>7.8E-2</v>
      </c>
      <c r="H86" s="462"/>
      <c r="I86" s="461" t="str">
        <f>IF(Start!$C$19="x",IF(OR(C86="",C86="NA"),"",IF(OR(F86="",F86="NA"),"No Ref",(IF((C86*100/Data!$D$10)&gt;(F86*100/Data!$D$60),"Exceeded","OK")))),"---")</f>
        <v>---</v>
      </c>
      <c r="J86" s="377" t="str">
        <f>IF(Start!$C$19="x",IF(OR(C86="",C86="NA"),"",IF(OR(G86="",G86="NA"),"No Criteria",(IF(C86&gt;(G86*Data!$D$10/100),"Exceeded","OK")))),"---")</f>
        <v>---</v>
      </c>
      <c r="K86" s="462"/>
      <c r="L86" s="286" t="str">
        <f>IF(Start!$C$19="x",IF(C86="","NA",IF(F86="","No Ref", (IF(F86 = 0, "NA", ((C86*100/Data!$D$10)/(F86*100/Data!$D$60)))))),"Not Req.")</f>
        <v>Not Req.</v>
      </c>
      <c r="M86" s="285" t="str">
        <f>IF(Start!$C$19="x",IF(C86="","NA",IF(OR(G86="",G86="NA"),"No Criteria",(IF(G86 = 0, "NA", (C86/(G86*Data!$D$10/100)))))),"Not Req.")</f>
        <v>Not Req.</v>
      </c>
    </row>
    <row r="87" spans="1:13" s="10" customFormat="1" x14ac:dyDescent="0.25">
      <c r="A87" s="405" t="s">
        <v>405</v>
      </c>
      <c r="B87" s="456" t="str">
        <f>IF(Start!$C$19="x",IF(AND(H87="",I87="",J87=""),"",(IF(H87="OK","No",(IF(H87="Exceeded",(IF(J87="OK","No",(IF(J87="Exceeded","Needed",(IF(J87="No Criteria","No Criteria","Missing Data")))))),(IF(I87="OK","No",(IF(J87="OK","No",(IF(J87="Exceeded","Needed",(IF(J87="No Criteria","No Criteria","Missing Data"))))))))))))),"---")</f>
        <v>---</v>
      </c>
      <c r="C87" s="457" t="str">
        <f>IF(TRUE=ISBLANK(ChemData!B87),"",(ChemData!B87))</f>
        <v/>
      </c>
      <c r="D87" s="502"/>
      <c r="E87" s="503"/>
      <c r="F87" s="289" t="str">
        <f>IF(TRUE=ISBLANK(ChemData!E87),"",(ChemData!E87))</f>
        <v/>
      </c>
      <c r="G87" s="291">
        <f>IF(TRUE=ISBLANK(ChemData!L87),"",(ChemData!L87))</f>
        <v>2900</v>
      </c>
      <c r="H87" s="462"/>
      <c r="I87" s="461" t="str">
        <f>IF(Start!$C$19="x",IF(OR(C87="",C87="NA"),"",IF(OR(F87="",F87="NA"),"No Ref",(IF((C87*100/Data!$D$10)&gt;(F87*100/Data!$D$60),"Exceeded","OK")))),"---")</f>
        <v>---</v>
      </c>
      <c r="J87" s="377" t="str">
        <f>IF(Start!$C$19="x",IF(OR(C87="",C87="NA"),"",IF(OR(G87="",G87="NA"),"No Criteria",(IF(C87&gt;(G87*Data!$D$10/100),"Exceeded","OK")))),"---")</f>
        <v>---</v>
      </c>
      <c r="K87" s="462"/>
      <c r="L87" s="286" t="str">
        <f>IF(Start!$C$19="x",IF(C87="","NA",IF(F87="","No Ref", (IF(F87 = 0, "NA", ((C87*100/Data!$D$10)/(F87*100/Data!$D$60)))))),"Not Req.")</f>
        <v>Not Req.</v>
      </c>
      <c r="M87" s="285" t="str">
        <f>IF(Start!$C$19="x",IF(C87="","NA",IF(OR(G87="",G87="NA"),"No Criteria",(IF(G87 = 0, "NA", (C87/(G87*Data!$D$10/100)))))),"Not Req.")</f>
        <v>Not Req.</v>
      </c>
    </row>
    <row r="88" spans="1:13" s="10" customFormat="1" x14ac:dyDescent="0.25">
      <c r="A88" s="405" t="s">
        <v>406</v>
      </c>
      <c r="B88" s="456" t="str">
        <f>IF(Start!$C$19="x",IF(AND(H88="",I88="",J88=""),"",(IF(H88="OK","No",(IF(H88="Exceeded",(IF(J88="OK","No",(IF(J88="Exceeded","Needed",(IF(J88="No Criteria","No Criteria","Missing Data")))))),(IF(I88="OK","No",(IF(J88="OK","No",(IF(J88="Exceeded","Needed",(IF(J88="No Criteria","No Criteria","Missing Data"))))))))))))),"---")</f>
        <v>---</v>
      </c>
      <c r="C88" s="457" t="str">
        <f>IF(TRUE=ISBLANK(ChemData!B88),"",(ChemData!B88))</f>
        <v/>
      </c>
      <c r="D88" s="502"/>
      <c r="E88" s="503"/>
      <c r="F88" s="289" t="str">
        <f>IF(TRUE=ISBLANK(ChemData!E88),"",(ChemData!E88))</f>
        <v/>
      </c>
      <c r="G88" s="291">
        <f>IF(TRUE=ISBLANK(ChemData!L88),"",(ChemData!L88))</f>
        <v>400</v>
      </c>
      <c r="H88" s="462"/>
      <c r="I88" s="461" t="str">
        <f>IF(Start!$C$19="x",IF(OR(C88="",C88="NA"),"",IF(OR(F88="",F88="NA"),"No Ref",(IF((C88*100/Data!$D$10)&gt;(F88*100/Data!$D$60),"Exceeded","OK")))),"---")</f>
        <v>---</v>
      </c>
      <c r="J88" s="377" t="str">
        <f>IF(Start!$C$19="x",IF(OR(C88="",C88="NA"),"",IF(OR(G88="",G88="NA"),"No Criteria",(IF(C88&gt;(G88*Data!$D$10/100),"Exceeded","OK")))),"---")</f>
        <v>---</v>
      </c>
      <c r="K88" s="462"/>
      <c r="L88" s="286" t="str">
        <f>IF(Start!$C$19="x",IF(C88="","NA",IF(F88="","No Ref", (IF(F88 = 0, "NA", ((C88*100/Data!$D$10)/(F88*100/Data!$D$60)))))),"Not Req.")</f>
        <v>Not Req.</v>
      </c>
      <c r="M88" s="285" t="str">
        <f>IF(Start!$C$19="x",IF(C88="","NA",IF(OR(G88="",G88="NA"),"No Criteria",(IF(G88 = 0, "NA", (C88/(G88*Data!$D$10/100)))))),"Not Req.")</f>
        <v>Not Req.</v>
      </c>
    </row>
    <row r="89" spans="1:13" s="10" customFormat="1" x14ac:dyDescent="0.25">
      <c r="A89" s="405" t="s">
        <v>407</v>
      </c>
      <c r="B89" s="456" t="str">
        <f>IF(Start!$C$19="x",IF(AND(H89="",I89="",J89=""),"",(IF(H89="OK","No",(IF(H89="Exceeded",(IF(J89="OK","No",(IF(J89="Exceeded","Needed",(IF(J89="No Criteria","No Criteria","Missing Data")))))),(IF(I89="OK","No",(IF(J89="OK","No",(IF(J89="Exceeded","Needed",(IF(J89="No Criteria","No Criteria","Missing Data"))))))))))))),"---")</f>
        <v>---</v>
      </c>
      <c r="C89" s="457" t="str">
        <f>IF(TRUE=ISBLANK(ChemData!B89),"",(ChemData!B89))</f>
        <v/>
      </c>
      <c r="D89" s="502"/>
      <c r="E89" s="503"/>
      <c r="F89" s="289" t="str">
        <f>IF(TRUE=ISBLANK(ChemData!E89),"",(ChemData!E89))</f>
        <v/>
      </c>
      <c r="G89" s="291">
        <f>IF(TRUE=ISBLANK(ChemData!L89),"",(ChemData!L89))</f>
        <v>10000</v>
      </c>
      <c r="H89" s="462"/>
      <c r="I89" s="461" t="str">
        <f>IF(Start!$C$19="x",IF(OR(C89="",C89="NA"),"",IF(OR(F89="",F89="NA"),"No Ref",(IF((C89*100/Data!$D$10)&gt;(F89*100/Data!$D$60),"Exceeded","OK")))),"---")</f>
        <v>---</v>
      </c>
      <c r="J89" s="377" t="str">
        <f>IF(Start!$C$19="x",IF(OR(C89="",C89="NA"),"",IF(OR(G89="",G89="NA"),"No Criteria",(IF(C89&gt;(G89*Data!$D$10/100),"Exceeded","OK")))),"---")</f>
        <v>---</v>
      </c>
      <c r="K89" s="462"/>
      <c r="L89" s="286" t="str">
        <f>IF(Start!$C$19="x",IF(C89="","NA",IF(F89="","No Ref", (IF(F89 = 0, "NA", ((C89*100/Data!$D$10)/(F89*100/Data!$D$60)))))),"Not Req.")</f>
        <v>Not Req.</v>
      </c>
      <c r="M89" s="285" t="str">
        <f>IF(Start!$C$19="x",IF(C89="","NA",IF(OR(G89="",G89="NA"),"No Criteria",(IF(G89 = 0, "NA", (C89/(G89*Data!$D$10/100)))))),"Not Req.")</f>
        <v>Not Req.</v>
      </c>
    </row>
    <row r="90" spans="1:13" s="10" customFormat="1" x14ac:dyDescent="0.25">
      <c r="A90" s="405" t="s">
        <v>408</v>
      </c>
      <c r="B90" s="456" t="str">
        <f>IF(Start!$C$19="x",IF(AND(H90="",I90="",J90=""),"",(IF(H90="OK","No",(IF(H90="Exceeded",(IF(J90="OK","No",(IF(J90="Exceeded","Needed",(IF(J90="No Criteria","No Criteria","Missing Data")))))),(IF(I90="OK","No",(IF(J90="OK","No",(IF(J90="Exceeded","Needed",(IF(J90="No Criteria","No Criteria","Missing Data"))))))))))))),"---")</f>
        <v>---</v>
      </c>
      <c r="C90" s="457" t="str">
        <f>IF(TRUE=ISBLANK(ChemData!B90),"",(ChemData!B90))</f>
        <v/>
      </c>
      <c r="D90" s="502"/>
      <c r="E90" s="503"/>
      <c r="F90" s="289" t="str">
        <f>IF(TRUE=ISBLANK(ChemData!E90),"",(ChemData!E90))</f>
        <v/>
      </c>
      <c r="G90" s="291" t="str">
        <f>IF(TRUE=ISBLANK(ChemData!L90),"",(ChemData!L90))</f>
        <v>NA</v>
      </c>
      <c r="H90" s="462"/>
      <c r="I90" s="461" t="str">
        <f>IF(Start!$C$19="x",IF(OR(C90="",C90="NA"),"",IF(OR(F90="",F90="NA"),"No Ref",(IF((C90*100/Data!$D$10)&gt;(F90*100/Data!$D$60),"Exceeded","OK")))),"---")</f>
        <v>---</v>
      </c>
      <c r="J90" s="377" t="str">
        <f>IF(Start!$C$19="x",IF(OR(C90="",C90="NA"),"",IF(OR(G90="",G90="NA"),"No Criteria",(IF(C90&gt;(G90*Data!$D$10/100),"Exceeded","OK")))),"---")</f>
        <v>---</v>
      </c>
      <c r="K90" s="462"/>
      <c r="L90" s="286" t="str">
        <f>IF(Start!$C$19="x",IF(C90="","NA",IF(F90="","No Ref", (IF(F90 = 0, "NA", ((C90*100/Data!$D$10)/(F90*100/Data!$D$60)))))),"Not Req.")</f>
        <v>Not Req.</v>
      </c>
      <c r="M90" s="285" t="str">
        <f>IF(Start!$C$19="x",IF(C90="","NA",IF(OR(G90="",G90="NA"),"No Criteria",(IF(G90 = 0, "NA", (C90/(G90*Data!$D$10/100)))))),"Not Req.")</f>
        <v>Not Req.</v>
      </c>
    </row>
    <row r="91" spans="1:13" s="10" customFormat="1" x14ac:dyDescent="0.25">
      <c r="A91" s="405" t="s">
        <v>409</v>
      </c>
      <c r="B91" s="456" t="str">
        <f>IF(Start!$C$19="x",IF(AND(H91="",I91="",J91=""),"",(IF(H91="OK","No",(IF(H91="Exceeded",(IF(J91="OK","No",(IF(J91="Exceeded","Needed",(IF(J91="No Criteria","No Criteria","Missing Data")))))),(IF(I91="OK","No",(IF(J91="OK","No",(IF(J91="Exceeded","Needed",(IF(J91="No Criteria","No Criteria","Missing Data"))))))))))))),"---")</f>
        <v>---</v>
      </c>
      <c r="C91" s="457" t="str">
        <f>IF(TRUE=ISBLANK(ChemData!B91),"",(ChemData!B91))</f>
        <v/>
      </c>
      <c r="D91" s="502"/>
      <c r="E91" s="503"/>
      <c r="F91" s="289" t="str">
        <f>IF(TRUE=ISBLANK(ChemData!E91),"",(ChemData!E91))</f>
        <v/>
      </c>
      <c r="G91" s="291" t="str">
        <f>IF(TRUE=ISBLANK(ChemData!L91),"",(ChemData!L91))</f>
        <v>NA</v>
      </c>
      <c r="H91" s="462"/>
      <c r="I91" s="461" t="str">
        <f>IF(Start!$C$19="x",IF(OR(C91="",C91="NA"),"",IF(OR(F91="",F91="NA"),"No Ref",(IF((C91*100/Data!$D$10)&gt;(F91*100/Data!$D$60),"Exceeded","OK")))),"---")</f>
        <v>---</v>
      </c>
      <c r="J91" s="377" t="str">
        <f>IF(Start!$C$19="x",IF(OR(C91="",C91="NA"),"",IF(OR(G91="",G91="NA"),"No Criteria",(IF(C91&gt;(G91*Data!$D$10/100),"Exceeded","OK")))),"---")</f>
        <v>---</v>
      </c>
      <c r="K91" s="462"/>
      <c r="L91" s="286" t="str">
        <f>IF(Start!$C$19="x",IF(C91="","NA",IF(F91="","No Ref", (IF(F91 = 0, "NA", ((C91*100/Data!$D$10)/(F91*100/Data!$D$60)))))),"Not Req.")</f>
        <v>Not Req.</v>
      </c>
      <c r="M91" s="285" t="str">
        <f>IF(Start!$C$19="x",IF(C91="","NA",IF(OR(G91="",G91="NA"),"No Criteria",(IF(G91 = 0, "NA", (C91/(G91*Data!$D$10/100)))))),"Not Req.")</f>
        <v>Not Req.</v>
      </c>
    </row>
    <row r="92" spans="1:13" s="10" customFormat="1" x14ac:dyDescent="0.25">
      <c r="A92" s="405" t="s">
        <v>410</v>
      </c>
      <c r="B92" s="456" t="str">
        <f>IF(Start!$C$19="x",IF(AND(H92="",I92="",J92=""),"",(IF(H92="OK","No",(IF(H92="Exceeded",(IF(J92="OK","No",(IF(J92="Exceeded","Needed",(IF(J92="No Criteria","No Criteria","Missing Data")))))),(IF(I92="OK","No",(IF(J92="OK","No",(IF(J92="Exceeded","Needed",(IF(J92="No Criteria","No Criteria","Missing Data"))))))))))))),"---")</f>
        <v>---</v>
      </c>
      <c r="C92" s="457" t="str">
        <f>IF(TRUE=ISBLANK(ChemData!B92),"",(ChemData!B92))</f>
        <v/>
      </c>
      <c r="D92" s="502"/>
      <c r="E92" s="503"/>
      <c r="F92" s="289" t="str">
        <f>IF(TRUE=ISBLANK(ChemData!E92),"",(ChemData!E92))</f>
        <v/>
      </c>
      <c r="G92" s="291">
        <f>IF(TRUE=ISBLANK(ChemData!L92),"",(ChemData!L92))</f>
        <v>3.8999999999999998E-3</v>
      </c>
      <c r="H92" s="462"/>
      <c r="I92" s="461" t="str">
        <f>IF(Start!$C$19="x",IF(OR(C92="",C92="NA"),"",IF(OR(F92="",F92="NA"),"No Ref",(IF((C92*100/Data!$D$10)&gt;(F92*100/Data!$D$60),"Exceeded","OK")))),"---")</f>
        <v>---</v>
      </c>
      <c r="J92" s="377" t="str">
        <f>IF(Start!$C$19="x",IF(OR(C92="",C92="NA"),"",IF(OR(G92="",G92="NA"),"No Criteria",(IF(C92&gt;(G92*Data!$D$10/100),"Exceeded","OK")))),"---")</f>
        <v>---</v>
      </c>
      <c r="K92" s="462"/>
      <c r="L92" s="286" t="str">
        <f>IF(Start!$C$19="x",IF(C92="","NA",IF(F92="","No Ref", (IF(F92 = 0, "NA", ((C92*100/Data!$D$10)/(F92*100/Data!$D$60)))))),"Not Req.")</f>
        <v>Not Req.</v>
      </c>
      <c r="M92" s="285" t="str">
        <f>IF(Start!$C$19="x",IF(C92="","NA",IF(OR(G92="",G92="NA"),"No Criteria",(IF(G92 = 0, "NA", (C92/(G92*Data!$D$10/100)))))),"Not Req.")</f>
        <v>Not Req.</v>
      </c>
    </row>
    <row r="93" spans="1:13" s="10" customFormat="1" x14ac:dyDescent="0.25">
      <c r="A93" s="405" t="s">
        <v>411</v>
      </c>
      <c r="B93" s="456" t="str">
        <f>IF(Start!$C$19="x",IF(AND(H93="",I93="",J93=""),"",(IF(H93="OK","No",(IF(H93="Exceeded",(IF(J93="OK","No",(IF(J93="Exceeded","Needed",(IF(J93="No Criteria","No Criteria","Missing Data")))))),(IF(I93="OK","No",(IF(J93="OK","No",(IF(J93="Exceeded","Needed",(IF(J93="No Criteria","No Criteria","Missing Data"))))))))))))),"---")</f>
        <v>---</v>
      </c>
      <c r="C93" s="457" t="str">
        <f>IF(TRUE=ISBLANK(ChemData!B93),"",(ChemData!B93))</f>
        <v/>
      </c>
      <c r="D93" s="502"/>
      <c r="E93" s="503"/>
      <c r="F93" s="289" t="str">
        <f>IF(TRUE=ISBLANK(ChemData!E93),"",(ChemData!E93))</f>
        <v/>
      </c>
      <c r="G93" s="291">
        <f>IF(TRUE=ISBLANK(ChemData!L93),"",(ChemData!L93))</f>
        <v>8</v>
      </c>
      <c r="H93" s="462"/>
      <c r="I93" s="461" t="str">
        <f>IF(Start!$C$19="x",IF(OR(C93="",C93="NA"),"",IF(OR(F93="",F93="NA"),"No Ref",(IF((C93*100/Data!$D$10)&gt;(F93*100/Data!$D$60),"Exceeded","OK")))),"---")</f>
        <v>---</v>
      </c>
      <c r="J93" s="377" t="str">
        <f>IF(Start!$C$19="x",IF(OR(C93="",C93="NA"),"",IF(OR(G93="",G93="NA"),"No Criteria",(IF(C93&gt;(G93*Data!$D$10/100),"Exceeded","OK")))),"---")</f>
        <v>---</v>
      </c>
      <c r="K93" s="462"/>
      <c r="L93" s="286" t="str">
        <f>IF(Start!$C$19="x",IF(C93="","NA",IF(F93="","No Ref", (IF(F93 = 0, "NA", ((C93*100/Data!$D$10)/(F93*100/Data!$D$60)))))),"Not Req.")</f>
        <v>Not Req.</v>
      </c>
      <c r="M93" s="285" t="str">
        <f>IF(Start!$C$19="x",IF(C93="","NA",IF(OR(G93="",G93="NA"),"No Criteria",(IF(G93 = 0, "NA", (C93/(G93*Data!$D$10/100)))))),"Not Req.")</f>
        <v>Not Req.</v>
      </c>
    </row>
    <row r="94" spans="1:13" s="10" customFormat="1" x14ac:dyDescent="0.25">
      <c r="A94" s="405" t="s">
        <v>412</v>
      </c>
      <c r="B94" s="456" t="str">
        <f>IF(Start!$C$19="x",IF(AND(H94="",I94="",J94=""),"",(IF(H94="OK","No",(IF(H94="Exceeded",(IF(J94="OK","No",(IF(J94="Exceeded","Needed",(IF(J94="No Criteria","No Criteria","Missing Data")))))),(IF(I94="OK","No",(IF(J94="OK","No",(IF(J94="Exceeded","Needed",(IF(J94="No Criteria","No Criteria","Missing Data"))))))))))))),"---")</f>
        <v>---</v>
      </c>
      <c r="C94" s="457" t="str">
        <f>IF(TRUE=ISBLANK(ChemData!B94),"",(ChemData!B94))</f>
        <v/>
      </c>
      <c r="D94" s="502"/>
      <c r="E94" s="503"/>
      <c r="F94" s="289" t="str">
        <f>IF(TRUE=ISBLANK(ChemData!E94),"",(ChemData!E94))</f>
        <v/>
      </c>
      <c r="G94" s="291">
        <f>IF(TRUE=ISBLANK(ChemData!L94),"",(ChemData!L94))</f>
        <v>130</v>
      </c>
      <c r="H94" s="462"/>
      <c r="I94" s="461" t="str">
        <f>IF(Start!$C$19="x",IF(OR(C94="",C94="NA"),"",IF(OR(F94="",F94="NA"),"No Ref",(IF((C94*100/Data!$D$10)&gt;(F94*100/Data!$D$60),"Exceeded","OK")))),"---")</f>
        <v>---</v>
      </c>
      <c r="J94" s="377" t="str">
        <f>IF(Start!$C$19="x",IF(OR(C94="",C94="NA"),"",IF(OR(G94="",G94="NA"),"No Criteria",(IF(C94&gt;(G94*Data!$D$10/100),"Exceeded","OK")))),"---")</f>
        <v>---</v>
      </c>
      <c r="K94" s="462"/>
      <c r="L94" s="286" t="str">
        <f>IF(Start!$C$19="x",IF(C94="","NA",IF(F94="","No Ref", (IF(F94 = 0, "NA", ((C94*100/Data!$D$10)/(F94*100/Data!$D$60)))))),"Not Req.")</f>
        <v>Not Req.</v>
      </c>
      <c r="M94" s="285" t="str">
        <f>IF(Start!$C$19="x",IF(C94="","NA",IF(OR(G94="",G94="NA"),"No Criteria",(IF(G94 = 0, "NA", (C94/(G94*Data!$D$10/100)))))),"Not Req.")</f>
        <v>Not Req.</v>
      </c>
    </row>
    <row r="95" spans="1:13" s="10" customFormat="1" x14ac:dyDescent="0.25">
      <c r="A95" s="405" t="s">
        <v>413</v>
      </c>
      <c r="B95" s="456" t="str">
        <f>IF(Start!$C$19="x",IF(AND(H95="",I95="",J95=""),"",(IF(H95="OK","No",(IF(H95="Exceeded",(IF(J95="OK","No",(IF(J95="Exceeded","Needed",(IF(J95="No Criteria","No Criteria","Missing Data")))))),(IF(I95="OK","No",(IF(J95="OK","No",(IF(J95="Exceeded","Needed",(IF(J95="No Criteria","No Criteria","Missing Data"))))))))))))),"---")</f>
        <v>---</v>
      </c>
      <c r="C95" s="457" t="str">
        <f>IF(TRUE=ISBLANK(ChemData!B95),"",(ChemData!B95))</f>
        <v/>
      </c>
      <c r="D95" s="502"/>
      <c r="E95" s="503"/>
      <c r="F95" s="289" t="str">
        <f>IF(TRUE=ISBLANK(ChemData!E95),"",(ChemData!E95))</f>
        <v/>
      </c>
      <c r="G95" s="291" t="str">
        <f>IF(TRUE=ISBLANK(ChemData!L95),"",(ChemData!L95))</f>
        <v>NA</v>
      </c>
      <c r="H95" s="462"/>
      <c r="I95" s="461" t="str">
        <f>IF(Start!$C$19="x",IF(OR(C95="",C95="NA"),"",IF(OR(F95="",F95="NA"),"No Ref",(IF((C95*100/Data!$D$10)&gt;(F95*100/Data!$D$60),"Exceeded","OK")))),"---")</f>
        <v>---</v>
      </c>
      <c r="J95" s="377" t="str">
        <f>IF(Start!$C$19="x",IF(OR(C95="",C95="NA"),"",IF(OR(G95="",G95="NA"),"No Criteria",(IF(C95&gt;(G95*Data!$D$10/100),"Exceeded","OK")))),"---")</f>
        <v>---</v>
      </c>
      <c r="K95" s="462"/>
      <c r="L95" s="286" t="str">
        <f>IF(Start!$C$19="x",IF(C95="","NA",IF(F95="","No Ref", (IF(F95 = 0, "NA", ((C95*100/Data!$D$10)/(F95*100/Data!$D$60)))))),"Not Req.")</f>
        <v>Not Req.</v>
      </c>
      <c r="M95" s="285" t="str">
        <f>IF(Start!$C$19="x",IF(C95="","NA",IF(OR(G95="",G95="NA"),"No Criteria",(IF(G95 = 0, "NA", (C95/(G95*Data!$D$10/100)))))),"Not Req.")</f>
        <v>Not Req.</v>
      </c>
    </row>
    <row r="96" spans="1:13" s="10" customFormat="1" x14ac:dyDescent="0.25">
      <c r="A96" s="405" t="s">
        <v>666</v>
      </c>
      <c r="B96" s="456" t="str">
        <f>IF(Start!$C$19="x",IF(AND(H96="",I96="",J96=""),"",(IF(H96="OK","No",(IF(H96="Exceeded",(IF(J96="OK","No",(IF(J96="Exceeded","Needed",(IF(J96="No Criteria","No Criteria","Missing Data")))))),(IF(I96="OK","No",(IF(J96="OK","No",(IF(J96="Exceeded","Needed",(IF(J96="No Criteria","No Criteria","Missing Data"))))))))))))),"---")</f>
        <v>---</v>
      </c>
      <c r="C96" s="457" t="str">
        <f>IF(TRUE=ISBLANK(ChemData!B96),"",(ChemData!B96))</f>
        <v/>
      </c>
      <c r="D96" s="502"/>
      <c r="E96" s="503"/>
      <c r="F96" s="289" t="str">
        <f>IF(TRUE=ISBLANK(ChemData!E96),"",(ChemData!E96))</f>
        <v/>
      </c>
      <c r="G96" s="291">
        <f>IF(TRUE=ISBLANK(ChemData!L96),"",(ChemData!L96))</f>
        <v>37</v>
      </c>
      <c r="H96" s="462"/>
      <c r="I96" s="461" t="str">
        <f>IF(Start!$C$19="x",IF(OR(C96="",C96="NA"),"",IF(OR(F96="",F96="NA"),"No Ref",(IF((C96*100/Data!$D$10)&gt;(F96*100/Data!$D$60),"Exceeded","OK")))),"---")</f>
        <v>---</v>
      </c>
      <c r="J96" s="377" t="str">
        <f>IF(Start!$C$19="x",IF(OR(C96="",C96="NA"),"",IF(OR(G96="",G96="NA"),"No Criteria",(IF(C96&gt;(G96*Data!$D$10/100),"Exceeded","OK")))),"---")</f>
        <v>---</v>
      </c>
      <c r="K96" s="462"/>
      <c r="L96" s="286" t="str">
        <f>IF(Start!$C$19="x",IF(C96="","NA",IF(F96="","No Ref", (IF(F96 = 0, "NA", ((C96*100/Data!$D$10)/(F96*100/Data!$D$60)))))),"Not Req.")</f>
        <v>Not Req.</v>
      </c>
      <c r="M96" s="285" t="str">
        <f>IF(Start!$C$19="x",IF(C96="","NA",IF(OR(G96="",G96="NA"),"No Criteria",(IF(G96 = 0, "NA", (C96/(G96*Data!$D$10/100)))))),"Not Req.")</f>
        <v>Not Req.</v>
      </c>
    </row>
    <row r="97" spans="1:13" s="10" customFormat="1" x14ac:dyDescent="0.25">
      <c r="A97" s="405" t="s">
        <v>415</v>
      </c>
      <c r="B97" s="456" t="str">
        <f>IF(Start!$C$19="x",IF(AND(H97="",I97="",J97=""),"",(IF(H97="OK","No",(IF(H97="Exceeded",(IF(J97="OK","No",(IF(J97="Exceeded","Needed",(IF(J97="No Criteria","No Criteria","Missing Data")))))),(IF(I97="OK","No",(IF(J97="OK","No",(IF(J97="Exceeded","Needed",(IF(J97="No Criteria","No Criteria","Missing Data"))))))))))))),"---")</f>
        <v>---</v>
      </c>
      <c r="C97" s="457" t="str">
        <f>IF(TRUE=ISBLANK(ChemData!B97),"",(ChemData!B97))</f>
        <v/>
      </c>
      <c r="D97" s="502"/>
      <c r="E97" s="503"/>
      <c r="F97" s="289" t="str">
        <f>IF(TRUE=ISBLANK(ChemData!E97),"",(ChemData!E97))</f>
        <v/>
      </c>
      <c r="G97" s="291">
        <f>IF(TRUE=ISBLANK(ChemData!L97),"",(ChemData!L97))</f>
        <v>19</v>
      </c>
      <c r="H97" s="462"/>
      <c r="I97" s="461" t="str">
        <f>IF(Start!$C$19="x",IF(OR(C97="",C97="NA"),"",IF(OR(F97="",F97="NA"),"No Ref",(IF((C97*100/Data!$D$10)&gt;(F97*100/Data!$D$60),"Exceeded","OK")))),"---")</f>
        <v>---</v>
      </c>
      <c r="J97" s="377" t="str">
        <f>IF(Start!$C$19="x",IF(OR(C97="",C97="NA"),"",IF(OR(G97="",G97="NA"),"No Criteria",(IF(C97&gt;(G97*Data!$D$10/100),"Exceeded","OK")))),"---")</f>
        <v>---</v>
      </c>
      <c r="K97" s="462"/>
      <c r="L97" s="286" t="str">
        <f>IF(Start!$C$19="x",IF(C97="","NA",IF(F97="","No Ref", (IF(F97 = 0, "NA", ((C97*100/Data!$D$10)/(F97*100/Data!$D$60)))))),"Not Req.")</f>
        <v>Not Req.</v>
      </c>
      <c r="M97" s="285" t="str">
        <f>IF(Start!$C$19="x",IF(C97="","NA",IF(OR(G97="",G97="NA"),"No Criteria",(IF(G97 = 0, "NA", (C97/(G97*Data!$D$10/100)))))),"Not Req.")</f>
        <v>Not Req.</v>
      </c>
    </row>
    <row r="98" spans="1:13" s="10" customFormat="1" x14ac:dyDescent="0.25">
      <c r="A98" s="405" t="s">
        <v>416</v>
      </c>
      <c r="B98" s="456" t="str">
        <f>IF(Start!$C$19="x",IF(AND(H98="",I98="",J98=""),"",(IF(H98="OK","No",(IF(H98="Exceeded",(IF(J98="OK","No",(IF(J98="Exceeded","Needed",(IF(J98="No Criteria","No Criteria","Missing Data")))))),(IF(I98="OK","No",(IF(J98="OK","No",(IF(J98="Exceeded","Needed",(IF(J98="No Criteria","No Criteria","Missing Data"))))))))))))),"---")</f>
        <v>---</v>
      </c>
      <c r="C98" s="457" t="str">
        <f>IF(TRUE=ISBLANK(ChemData!B98),"",(ChemData!B98))</f>
        <v/>
      </c>
      <c r="D98" s="502"/>
      <c r="E98" s="503"/>
      <c r="F98" s="289" t="str">
        <f>IF(TRUE=ISBLANK(ChemData!E98),"",(ChemData!E98))</f>
        <v/>
      </c>
      <c r="G98" s="291">
        <f>IF(TRUE=ISBLANK(ChemData!L98),"",(ChemData!L98))</f>
        <v>6200</v>
      </c>
      <c r="H98" s="462"/>
      <c r="I98" s="461" t="str">
        <f>IF(Start!$C$19="x",IF(OR(C98="",C98="NA"),"",IF(OR(F98="",F98="NA"),"No Ref",(IF((C98*100/Data!$D$10)&gt;(F98*100/Data!$D$60),"Exceeded","OK")))),"---")</f>
        <v>---</v>
      </c>
      <c r="J98" s="377" t="str">
        <f>IF(Start!$C$19="x",IF(OR(C98="",C98="NA"),"",IF(OR(G98="",G98="NA"),"No Criteria",(IF(C98&gt;(G98*Data!$D$10/100),"Exceeded","OK")))),"---")</f>
        <v>---</v>
      </c>
      <c r="K98" s="462"/>
      <c r="L98" s="286" t="str">
        <f>IF(Start!$C$19="x",IF(C98="","NA",IF(F98="","No Ref", (IF(F98 = 0, "NA", ((C98*100/Data!$D$10)/(F98*100/Data!$D$60)))))),"Not Req.")</f>
        <v>Not Req.</v>
      </c>
      <c r="M98" s="285" t="str">
        <f>IF(Start!$C$19="x",IF(C98="","NA",IF(OR(G98="",G98="NA"),"No Criteria",(IF(G98 = 0, "NA", (C98/(G98*Data!$D$10/100)))))),"Not Req.")</f>
        <v>Not Req.</v>
      </c>
    </row>
    <row r="99" spans="1:13" s="10" customFormat="1" x14ac:dyDescent="0.25">
      <c r="A99" s="405" t="s">
        <v>417</v>
      </c>
      <c r="B99" s="456" t="str">
        <f>IF(Start!$C$19="x",IF(AND(H99="",I99="",J99=""),"",(IF(H99="OK","No",(IF(H99="Exceeded",(IF(J99="OK","No",(IF(J99="Exceeded","Needed",(IF(J99="No Criteria","No Criteria","Missing Data")))))),(IF(I99="OK","No",(IF(J99="OK","No",(IF(J99="Exceeded","Needed",(IF(J99="No Criteria","No Criteria","Missing Data"))))))))))))),"---")</f>
        <v>---</v>
      </c>
      <c r="C99" s="457" t="str">
        <f>IF(TRUE=ISBLANK(ChemData!B99),"",(ChemData!B99))</f>
        <v/>
      </c>
      <c r="D99" s="502"/>
      <c r="E99" s="503"/>
      <c r="F99" s="289" t="str">
        <f>IF(TRUE=ISBLANK(ChemData!E99),"",(ChemData!E99))</f>
        <v/>
      </c>
      <c r="G99" s="291">
        <f>IF(TRUE=ISBLANK(ChemData!L99),"",(ChemData!L99))</f>
        <v>4.4000000000000004</v>
      </c>
      <c r="H99" s="462"/>
      <c r="I99" s="461" t="str">
        <f>IF(Start!$C$19="x",IF(OR(C99="",C99="NA"),"",IF(OR(F99="",F99="NA"),"No Ref",(IF((C99*100/Data!$D$10)&gt;(F99*100/Data!$D$60),"Exceeded","OK")))),"---")</f>
        <v>---</v>
      </c>
      <c r="J99" s="377" t="str">
        <f>IF(Start!$C$19="x",IF(OR(C99="",C99="NA"),"",IF(OR(G99="",G99="NA"),"No Criteria",(IF(C99&gt;(G99*Data!$D$10/100),"Exceeded","OK")))),"---")</f>
        <v>---</v>
      </c>
      <c r="K99" s="462"/>
      <c r="L99" s="286" t="str">
        <f>IF(Start!$C$19="x",IF(C99="","NA",IF(F99="","No Ref", (IF(F99 = 0, "NA", ((C99*100/Data!$D$10)/(F99*100/Data!$D$60)))))),"Not Req.")</f>
        <v>Not Req.</v>
      </c>
      <c r="M99" s="285" t="str">
        <f>IF(Start!$C$19="x",IF(C99="","NA",IF(OR(G99="",G99="NA"),"No Criteria",(IF(G99 = 0, "NA", (C99/(G99*Data!$D$10/100)))))),"Not Req.")</f>
        <v>Not Req.</v>
      </c>
    </row>
    <row r="100" spans="1:13" s="10" customFormat="1" x14ac:dyDescent="0.25">
      <c r="A100" s="405" t="s">
        <v>418</v>
      </c>
      <c r="B100" s="456" t="str">
        <f>IF(Start!$C$19="x",IF(AND(H100="",I100="",J100=""),"",(IF(H100="OK","No",(IF(H100="Exceeded",(IF(J100="OK","No",(IF(J100="Exceeded","Needed",(IF(J100="No Criteria","No Criteria","Missing Data")))))),(IF(I100="OK","No",(IF(J100="OK","No",(IF(J100="Exceeded","Needed",(IF(J100="No Criteria","No Criteria","Missing Data"))))))))))))),"---")</f>
        <v>---</v>
      </c>
      <c r="C100" s="457" t="str">
        <f>IF(TRUE=ISBLANK(ChemData!B100),"",(ChemData!B100))</f>
        <v/>
      </c>
      <c r="D100" s="502"/>
      <c r="E100" s="503"/>
      <c r="F100" s="289" t="str">
        <f>IF(TRUE=ISBLANK(ChemData!E100),"",(ChemData!E100))</f>
        <v/>
      </c>
      <c r="G100" s="291" t="str">
        <f>IF(TRUE=ISBLANK(ChemData!L100),"",(ChemData!L100))</f>
        <v>NA</v>
      </c>
      <c r="H100" s="462"/>
      <c r="I100" s="461" t="str">
        <f>IF(Start!$C$19="x",IF(OR(C100="",C100="NA"),"",IF(OR(F100="",F100="NA"),"No Ref",(IF((C100*100/Data!$D$10)&gt;(F100*100/Data!$D$60),"Exceeded","OK")))),"---")</f>
        <v>---</v>
      </c>
      <c r="J100" s="377" t="str">
        <f>IF(Start!$C$19="x",IF(OR(C100="",C100="NA"),"",IF(OR(G100="",G100="NA"),"No Criteria",(IF(C100&gt;(G100*Data!$D$10/100),"Exceeded","OK")))),"---")</f>
        <v>---</v>
      </c>
      <c r="K100" s="462"/>
      <c r="L100" s="286" t="str">
        <f>IF(Start!$C$19="x",IF(C100="","NA",IF(F100="","No Ref", (IF(F100 = 0, "NA", ((C100*100/Data!$D$10)/(F100*100/Data!$D$60)))))),"Not Req.")</f>
        <v>Not Req.</v>
      </c>
      <c r="M100" s="285" t="str">
        <f>IF(Start!$C$19="x",IF(C100="","NA",IF(OR(G100="",G100="NA"),"No Criteria",(IF(G100 = 0, "NA", (C100/(G100*Data!$D$10/100)))))),"Not Req.")</f>
        <v>Not Req.</v>
      </c>
    </row>
    <row r="101" spans="1:13" s="10" customFormat="1" x14ac:dyDescent="0.25">
      <c r="A101" s="405" t="s">
        <v>419</v>
      </c>
      <c r="B101" s="456" t="str">
        <f>IF(Start!$C$19="x",IF(AND(H101="",I101="",J101=""),"",(IF(H101="OK","No",(IF(H101="Exceeded",(IF(J101="OK","No",(IF(J101="Exceeded","Needed",(IF(J101="No Criteria","No Criteria","Missing Data")))))),(IF(I101="OK","No",(IF(J101="OK","No",(IF(J101="Exceeded","Needed",(IF(J101="No Criteria","No Criteria","Missing Data"))))))))))))),"---")</f>
        <v>---</v>
      </c>
      <c r="C101" s="457" t="str">
        <f>IF(TRUE=ISBLANK(ChemData!B101),"",(ChemData!B101))</f>
        <v/>
      </c>
      <c r="D101" s="502"/>
      <c r="E101" s="503"/>
      <c r="F101" s="289" t="str">
        <f>IF(TRUE=ISBLANK(ChemData!E101),"",(ChemData!E101))</f>
        <v/>
      </c>
      <c r="G101" s="291">
        <f>IF(TRUE=ISBLANK(ChemData!L101),"",(ChemData!L101))</f>
        <v>1400</v>
      </c>
      <c r="H101" s="462"/>
      <c r="I101" s="461" t="str">
        <f>IF(Start!$C$19="x",IF(OR(C101="",C101="NA"),"",IF(OR(F101="",F101="NA"),"No Ref",(IF((C101*100/Data!$D$10)&gt;(F101*100/Data!$D$60),"Exceeded","OK")))),"---")</f>
        <v>---</v>
      </c>
      <c r="J101" s="377" t="str">
        <f>IF(Start!$C$19="x",IF(OR(C101="",C101="NA"),"",IF(OR(G101="",G101="NA"),"No Criteria",(IF(C101&gt;(G101*Data!$D$10/100),"Exceeded","OK")))),"---")</f>
        <v>---</v>
      </c>
      <c r="K101" s="462"/>
      <c r="L101" s="286" t="str">
        <f>IF(Start!$C$19="x",IF(C101="","NA",IF(F101="","No Ref", (IF(F101 = 0, "NA", ((C101*100/Data!$D$10)/(F101*100/Data!$D$60)))))),"Not Req.")</f>
        <v>Not Req.</v>
      </c>
      <c r="M101" s="285" t="str">
        <f>IF(Start!$C$19="x",IF(C101="","NA",IF(OR(G101="",G101="NA"),"No Criteria",(IF(G101 = 0, "NA", (C101/(G101*Data!$D$10/100)))))),"Not Req.")</f>
        <v>Not Req.</v>
      </c>
    </row>
    <row r="102" spans="1:13" s="10" customFormat="1" x14ac:dyDescent="0.25">
      <c r="A102" s="405" t="s">
        <v>420</v>
      </c>
      <c r="B102" s="456" t="str">
        <f>IF(Start!$C$19="x",IF(AND(H102="",I102="",J102=""),"",(IF(H102="OK","No",(IF(H102="Exceeded",(IF(J102="OK","No",(IF(J102="Exceeded","Needed",(IF(J102="No Criteria","No Criteria","Missing Data")))))),(IF(I102="OK","No",(IF(J102="OK","No",(IF(J102="Exceeded","Needed",(IF(J102="No Criteria","No Criteria","Missing Data"))))))))))))),"---")</f>
        <v>---</v>
      </c>
      <c r="C102" s="457" t="str">
        <f>IF(TRUE=ISBLANK(ChemData!B102),"",(ChemData!B102))</f>
        <v/>
      </c>
      <c r="D102" s="502"/>
      <c r="E102" s="503"/>
      <c r="F102" s="289" t="str">
        <f>IF(TRUE=ISBLANK(ChemData!E102),"",(ChemData!E102))</f>
        <v/>
      </c>
      <c r="G102" s="291">
        <f>IF(TRUE=ISBLANK(ChemData!L102),"",(ChemData!L102))</f>
        <v>1500</v>
      </c>
      <c r="H102" s="462"/>
      <c r="I102" s="461" t="str">
        <f>IF(Start!$C$19="x",IF(OR(C102="",C102="NA"),"",IF(OR(F102="",F102="NA"),"No Ref",(IF((C102*100/Data!$D$10)&gt;(F102*100/Data!$D$60),"Exceeded","OK")))),"---")</f>
        <v>---</v>
      </c>
      <c r="J102" s="377" t="str">
        <f>IF(Start!$C$19="x",IF(OR(C102="",C102="NA"),"",IF(OR(G102="",G102="NA"),"No Criteria",(IF(C102&gt;(G102*Data!$D$10/100),"Exceeded","OK")))),"---")</f>
        <v>---</v>
      </c>
      <c r="K102" s="462"/>
      <c r="L102" s="286" t="str">
        <f>IF(Start!$C$19="x",IF(C102="","NA",IF(F102="","No Ref", (IF(F102 = 0, "NA", ((C102*100/Data!$D$10)/(F102*100/Data!$D$60)))))),"Not Req.")</f>
        <v>Not Req.</v>
      </c>
      <c r="M102" s="285" t="str">
        <f>IF(Start!$C$19="x",IF(C102="","NA",IF(OR(G102="",G102="NA"),"No Criteria",(IF(G102 = 0, "NA", (C102/(G102*Data!$D$10/100)))))),"Not Req.")</f>
        <v>Not Req.</v>
      </c>
    </row>
    <row r="103" spans="1:13" s="10" customFormat="1" x14ac:dyDescent="0.25">
      <c r="A103" s="405" t="s">
        <v>421</v>
      </c>
      <c r="B103" s="456" t="str">
        <f>IF(Start!$C$19="x",IF(AND(H103="",I103="",J103=""),"",(IF(H103="OK","No",(IF(H103="Exceeded",(IF(J103="OK","No",(IF(J103="Exceeded","Needed",(IF(J103="No Criteria","No Criteria","Missing Data")))))),(IF(I103="OK","No",(IF(J103="OK","No",(IF(J103="Exceeded","Needed",(IF(J103="No Criteria","No Criteria","Missing Data"))))))))))))),"---")</f>
        <v>---</v>
      </c>
      <c r="C103" s="457" t="str">
        <f>IF(TRUE=ISBLANK(ChemData!B103),"",(ChemData!B103))</f>
        <v/>
      </c>
      <c r="D103" s="502"/>
      <c r="E103" s="503"/>
      <c r="F103" s="289" t="str">
        <f>IF(TRUE=ISBLANK(ChemData!E103),"",(ChemData!E103))</f>
        <v/>
      </c>
      <c r="G103" s="291">
        <f>IF(TRUE=ISBLANK(ChemData!L103),"",(ChemData!L103))</f>
        <v>4400</v>
      </c>
      <c r="H103" s="462"/>
      <c r="I103" s="461" t="str">
        <f>IF(Start!$C$19="x",IF(OR(C103="",C103="NA"),"",IF(OR(F103="",F103="NA"),"No Ref",(IF((C103*100/Data!$D$10)&gt;(F103*100/Data!$D$60),"Exceeded","OK")))),"---")</f>
        <v>---</v>
      </c>
      <c r="J103" s="377" t="str">
        <f>IF(Start!$C$19="x",IF(OR(C103="",C103="NA"),"",IF(OR(G103="",G103="NA"),"No Criteria",(IF(C103&gt;(G103*Data!$D$10/100),"Exceeded","OK")))),"---")</f>
        <v>---</v>
      </c>
      <c r="K103" s="462"/>
      <c r="L103" s="286" t="str">
        <f>IF(Start!$C$19="x",IF(C103="","NA",IF(F103="","No Ref", (IF(F103 = 0, "NA", ((C103*100/Data!$D$10)/(F103*100/Data!$D$60)))))),"Not Req.")</f>
        <v>Not Req.</v>
      </c>
      <c r="M103" s="285" t="str">
        <f>IF(Start!$C$19="x",IF(C103="","NA",IF(OR(G103="",G103="NA"),"No Criteria",(IF(G103 = 0, "NA", (C103/(G103*Data!$D$10/100)))))),"Not Req.")</f>
        <v>Not Req.</v>
      </c>
    </row>
    <row r="104" spans="1:13" s="10" customFormat="1" x14ac:dyDescent="0.25">
      <c r="A104" s="405" t="s">
        <v>422</v>
      </c>
      <c r="B104" s="456" t="str">
        <f>IF(Start!$C$19="x",IF(AND(H104="",I104="",J104=""),"",(IF(H104="OK","No",(IF(H104="Exceeded",(IF(J104="OK","No",(IF(J104="Exceeded","Needed",(IF(J104="No Criteria","No Criteria","Missing Data")))))),(IF(I104="OK","No",(IF(J104="OK","No",(IF(J104="Exceeded","Needed",(IF(J104="No Criteria","No Criteria","Missing Data"))))))))))))),"---")</f>
        <v>---</v>
      </c>
      <c r="C104" s="457" t="str">
        <f>IF(TRUE=ISBLANK(ChemData!B104),"",(ChemData!B104))</f>
        <v/>
      </c>
      <c r="D104" s="502"/>
      <c r="E104" s="503"/>
      <c r="F104" s="289" t="str">
        <f>IF(TRUE=ISBLANK(ChemData!E104),"",(ChemData!E104))</f>
        <v/>
      </c>
      <c r="G104" s="291">
        <f>IF(TRUE=ISBLANK(ChemData!L104),"",(ChemData!L104))</f>
        <v>59</v>
      </c>
      <c r="H104" s="462"/>
      <c r="I104" s="461" t="str">
        <f>IF(Start!$C$19="x",IF(OR(C104="",C104="NA"),"",IF(OR(F104="",F104="NA"),"No Ref",(IF((C104*100/Data!$D$10)&gt;(F104*100/Data!$D$60),"Exceeded","OK")))),"---")</f>
        <v>---</v>
      </c>
      <c r="J104" s="377" t="str">
        <f>IF(Start!$C$19="x",IF(OR(C104="",C104="NA"),"",IF(OR(G104="",G104="NA"),"No Criteria",(IF(C104&gt;(G104*Data!$D$10/100),"Exceeded","OK")))),"---")</f>
        <v>---</v>
      </c>
      <c r="K104" s="462"/>
      <c r="L104" s="286" t="str">
        <f>IF(Start!$C$19="x",IF(C104="","NA",IF(F104="","No Ref", (IF(F104 = 0, "NA", ((C104*100/Data!$D$10)/(F104*100/Data!$D$60)))))),"Not Req.")</f>
        <v>Not Req.</v>
      </c>
      <c r="M104" s="285" t="str">
        <f>IF(Start!$C$19="x",IF(C104="","NA",IF(OR(G104="",G104="NA"),"No Criteria",(IF(G104 = 0, "NA", (C104/(G104*Data!$D$10/100)))))),"Not Req.")</f>
        <v>Not Req.</v>
      </c>
    </row>
    <row r="105" spans="1:13" s="10" customFormat="1" x14ac:dyDescent="0.25">
      <c r="A105" s="405" t="s">
        <v>423</v>
      </c>
      <c r="B105" s="456" t="str">
        <f>IF(Start!$C$19="x",IF(AND(H105="",I105="",J105=""),"",(IF(H105="OK","No",(IF(H105="Exceeded",(IF(J105="OK","No",(IF(J105="Exceeded","Needed",(IF(J105="No Criteria","No Criteria","Missing Data")))))),(IF(I105="OK","No",(IF(J105="OK","No",(IF(J105="Exceeded","Needed",(IF(J105="No Criteria","No Criteria","Missing Data"))))))))))))),"---")</f>
        <v>---</v>
      </c>
      <c r="C105" s="457" t="str">
        <f>IF(TRUE=ISBLANK(ChemData!B105),"",(ChemData!B105))</f>
        <v/>
      </c>
      <c r="D105" s="502"/>
      <c r="E105" s="503"/>
      <c r="F105" s="289" t="str">
        <f>IF(TRUE=ISBLANK(ChemData!E105),"",(ChemData!E105))</f>
        <v/>
      </c>
      <c r="G105" s="291">
        <f>IF(TRUE=ISBLANK(ChemData!L105),"",(ChemData!L105))</f>
        <v>61</v>
      </c>
      <c r="H105" s="462"/>
      <c r="I105" s="461" t="str">
        <f>IF(Start!$C$19="x",IF(OR(C105="",C105="NA"),"",IF(OR(F105="",F105="NA"),"No Ref",(IF((C105*100/Data!$D$10)&gt;(F105*100/Data!$D$60),"Exceeded","OK")))),"---")</f>
        <v>---</v>
      </c>
      <c r="J105" s="377" t="str">
        <f>IF(Start!$C$19="x",IF(OR(C105="",C105="NA"),"",IF(OR(G105="",G105="NA"),"No Criteria",(IF(C105&gt;(G105*Data!$D$10/100),"Exceeded","OK")))),"---")</f>
        <v>---</v>
      </c>
      <c r="K105" s="462"/>
      <c r="L105" s="286" t="str">
        <f>IF(Start!$C$19="x",IF(C105="","NA",IF(F105="","No Ref", (IF(F105 = 0, "NA", ((C105*100/Data!$D$10)/(F105*100/Data!$D$60)))))),"Not Req.")</f>
        <v>Not Req.</v>
      </c>
      <c r="M105" s="285" t="str">
        <f>IF(Start!$C$19="x",IF(C105="","NA",IF(OR(G105="",G105="NA"),"No Criteria",(IF(G105 = 0, "NA", (C105/(G105*Data!$D$10/100)))))),"Not Req.")</f>
        <v>Not Req.</v>
      </c>
    </row>
    <row r="106" spans="1:13" s="10" customFormat="1" x14ac:dyDescent="0.25">
      <c r="A106" s="405" t="s">
        <v>424</v>
      </c>
      <c r="B106" s="456" t="str">
        <f>IF(Start!$C$19="x",IF(AND(H106="",I106="",J106=""),"",(IF(H106="OK","No",(IF(H106="Exceeded",(IF(J106="OK","No",(IF(J106="Exceeded","Needed",(IF(J106="No Criteria","No Criteria","Missing Data")))))),(IF(I106="OK","No",(IF(J106="OK","No",(IF(J106="Exceeded","Needed",(IF(J106="No Criteria","No Criteria","Missing Data"))))))))))))),"---")</f>
        <v>---</v>
      </c>
      <c r="C106" s="457" t="str">
        <f>IF(TRUE=ISBLANK(ChemData!B106),"",(ChemData!B106))</f>
        <v/>
      </c>
      <c r="D106" s="502"/>
      <c r="E106" s="503"/>
      <c r="F106" s="289" t="str">
        <f>IF(TRUE=ISBLANK(ChemData!E106),"",(ChemData!E106))</f>
        <v/>
      </c>
      <c r="G106" s="291">
        <f>IF(TRUE=ISBLANK(ChemData!L106),"",(ChemData!L106))</f>
        <v>10</v>
      </c>
      <c r="H106" s="462"/>
      <c r="I106" s="461" t="str">
        <f>IF(Start!$C$19="x",IF(OR(C106="",C106="NA"),"",IF(OR(F106="",F106="NA"),"No Ref",(IF((C106*100/Data!$D$10)&gt;(F106*100/Data!$D$60),"Exceeded","OK")))),"---")</f>
        <v>---</v>
      </c>
      <c r="J106" s="377" t="str">
        <f>IF(Start!$C$19="x",IF(OR(C106="",C106="NA"),"",IF(OR(G106="",G106="NA"),"No Criteria",(IF(C106&gt;(G106*Data!$D$10/100),"Exceeded","OK")))),"---")</f>
        <v>---</v>
      </c>
      <c r="K106" s="462"/>
      <c r="L106" s="286" t="str">
        <f>IF(Start!$C$19="x",IF(C106="","NA",IF(F106="","No Ref", (IF(F106 = 0, "NA", ((C106*100/Data!$D$10)/(F106*100/Data!$D$60)))))),"Not Req.")</f>
        <v>Not Req.</v>
      </c>
      <c r="M106" s="285" t="str">
        <f>IF(Start!$C$19="x",IF(C106="","NA",IF(OR(G106="",G106="NA"),"No Criteria",(IF(G106 = 0, "NA", (C106/(G106*Data!$D$10/100)))))),"Not Req.")</f>
        <v>Not Req.</v>
      </c>
    </row>
    <row r="107" spans="1:13" s="10" customFormat="1" x14ac:dyDescent="0.25">
      <c r="A107" s="405" t="s">
        <v>425</v>
      </c>
      <c r="B107" s="456" t="str">
        <f>IF(Start!$C$19="x",IF(AND(H107="",I107="",J107=""),"",(IF(H107="OK","No",(IF(H107="Exceeded",(IF(J107="OK","No",(IF(J107="Exceeded","Needed",(IF(J107="No Criteria","No Criteria","Missing Data")))))),(IF(I107="OK","No",(IF(J107="OK","No",(IF(J107="Exceeded","Needed",(IF(J107="No Criteria","No Criteria","Missing Data"))))))))))))),"---")</f>
        <v>---</v>
      </c>
      <c r="C107" s="457" t="str">
        <f>IF(TRUE=ISBLANK(ChemData!B107),"",(ChemData!B107))</f>
        <v/>
      </c>
      <c r="D107" s="502"/>
      <c r="E107" s="503"/>
      <c r="F107" s="289" t="str">
        <f>IF(TRUE=ISBLANK(ChemData!E107),"",(ChemData!E107))</f>
        <v/>
      </c>
      <c r="G107" s="291">
        <f>IF(TRUE=ISBLANK(ChemData!L107),"",(ChemData!L107))</f>
        <v>8.3000000000000007</v>
      </c>
      <c r="H107" s="462"/>
      <c r="I107" s="461" t="str">
        <f>IF(Start!$C$19="x",IF(OR(C107="",C107="NA"),"",IF(OR(F107="",F107="NA"),"No Ref",(IF((C107*100/Data!$D$10)&gt;(F107*100/Data!$D$60),"Exceeded","OK")))),"---")</f>
        <v>---</v>
      </c>
      <c r="J107" s="377" t="str">
        <f>IF(Start!$C$19="x",IF(OR(C107="",C107="NA"),"",IF(OR(G107="",G107="NA"),"No Criteria",(IF(C107&gt;(G107*Data!$D$10/100),"Exceeded","OK")))),"---")</f>
        <v>---</v>
      </c>
      <c r="K107" s="462"/>
      <c r="L107" s="286" t="str">
        <f>IF(Start!$C$19="x",IF(C107="","NA",IF(F107="","No Ref", (IF(F107 = 0, "NA", ((C107*100/Data!$D$10)/(F107*100/Data!$D$60)))))),"Not Req.")</f>
        <v>Not Req.</v>
      </c>
      <c r="M107" s="285" t="str">
        <f>IF(Start!$C$19="x",IF(C107="","NA",IF(OR(G107="",G107="NA"),"No Criteria",(IF(G107 = 0, "NA", (C107/(G107*Data!$D$10/100)))))),"Not Req.")</f>
        <v>Not Req.</v>
      </c>
    </row>
    <row r="108" spans="1:13" s="10" customFormat="1" x14ac:dyDescent="0.25">
      <c r="A108" s="405" t="s">
        <v>426</v>
      </c>
      <c r="B108" s="456" t="str">
        <f>IF(Start!$C$19="x",IF(AND(H108="",I108="",J108=""),"",(IF(H108="OK","No",(IF(H108="Exceeded",(IF(J108="OK","No",(IF(J108="Exceeded","Needed",(IF(J108="No Criteria","No Criteria","Missing Data")))))),(IF(I108="OK","No",(IF(J108="OK","No",(IF(J108="Exceeded","Needed",(IF(J108="No Criteria","No Criteria","Missing Data"))))))))))))),"---")</f>
        <v>---</v>
      </c>
      <c r="C108" s="457" t="str">
        <f>IF(TRUE=ISBLANK(ChemData!B108),"",(ChemData!B108))</f>
        <v/>
      </c>
      <c r="D108" s="502"/>
      <c r="E108" s="503"/>
      <c r="F108" s="289" t="str">
        <f>IF(TRUE=ISBLANK(ChemData!E108),"",(ChemData!E108))</f>
        <v/>
      </c>
      <c r="G108" s="291">
        <f>IF(TRUE=ISBLANK(ChemData!L108),"",(ChemData!L108))</f>
        <v>1</v>
      </c>
      <c r="H108" s="462"/>
      <c r="I108" s="461" t="str">
        <f>IF(Start!$C$19="x",IF(OR(C108="",C108="NA"),"",IF(OR(F108="",F108="NA"),"No Ref",(IF((C108*100/Data!$D$10)&gt;(F108*100/Data!$D$60),"Exceeded","OK")))),"---")</f>
        <v>---</v>
      </c>
      <c r="J108" s="377" t="str">
        <f>IF(Start!$C$19="x",IF(OR(C108="",C108="NA"),"",IF(OR(G108="",G108="NA"),"No Criteria",(IF(C108&gt;(G108*Data!$D$10/100),"Exceeded","OK")))),"---")</f>
        <v>---</v>
      </c>
      <c r="K108" s="462"/>
      <c r="L108" s="286" t="str">
        <f>IF(Start!$C$19="x",IF(C108="","NA",IF(F108="","No Ref", (IF(F108 = 0, "NA", ((C108*100/Data!$D$10)/(F108*100/Data!$D$60)))))),"Not Req.")</f>
        <v>Not Req.</v>
      </c>
      <c r="M108" s="285" t="str">
        <f>IF(Start!$C$19="x",IF(C108="","NA",IF(OR(G108="",G108="NA"),"No Criteria",(IF(G108 = 0, "NA", (C108/(G108*Data!$D$10/100)))))),"Not Req.")</f>
        <v>Not Req.</v>
      </c>
    </row>
    <row r="109" spans="1:13" s="10" customFormat="1" x14ac:dyDescent="0.25">
      <c r="A109" s="405" t="s">
        <v>427</v>
      </c>
      <c r="B109" s="456" t="str">
        <f>IF(Start!$C$19="x",IF(AND(H109="",I109="",J109=""),"",(IF(H109="OK","No",(IF(H109="Exceeded",(IF(J109="OK","No",(IF(J109="Exceeded","Needed",(IF(J109="No Criteria","No Criteria","Missing Data")))))),(IF(I109="OK","No",(IF(J109="OK","No",(IF(J109="Exceeded","Needed",(IF(J109="No Criteria","No Criteria","Missing Data"))))))))))))),"---")</f>
        <v>---</v>
      </c>
      <c r="C109" s="457" t="str">
        <f>IF(TRUE=ISBLANK(ChemData!B109),"",(ChemData!B109))</f>
        <v/>
      </c>
      <c r="D109" s="502"/>
      <c r="E109" s="503"/>
      <c r="F109" s="289" t="str">
        <f>IF(TRUE=ISBLANK(ChemData!E109),"",(ChemData!E109))</f>
        <v/>
      </c>
      <c r="G109" s="291">
        <f>IF(TRUE=ISBLANK(ChemData!L109),"",(ChemData!L109))</f>
        <v>160</v>
      </c>
      <c r="H109" s="462"/>
      <c r="I109" s="461" t="str">
        <f>IF(Start!$C$19="x",IF(OR(C109="",C109="NA"),"",IF(OR(F109="",F109="NA"),"No Ref",(IF((C109*100/Data!$D$10)&gt;(F109*100/Data!$D$60),"Exceeded","OK")))),"---")</f>
        <v>---</v>
      </c>
      <c r="J109" s="377" t="str">
        <f>IF(Start!$C$19="x",IF(OR(C109="",C109="NA"),"",IF(OR(G109="",G109="NA"),"No Criteria",(IF(C109&gt;(G109*Data!$D$10/100),"Exceeded","OK")))),"---")</f>
        <v>---</v>
      </c>
      <c r="K109" s="462"/>
      <c r="L109" s="286" t="str">
        <f>IF(Start!$C$19="x",IF(C109="","NA",IF(F109="","No Ref", (IF(F109 = 0, "NA", ((C109*100/Data!$D$10)/(F109*100/Data!$D$60)))))),"Not Req.")</f>
        <v>Not Req.</v>
      </c>
      <c r="M109" s="285" t="str">
        <f>IF(Start!$C$19="x",IF(C109="","NA",IF(OR(G109="",G109="NA"),"No Criteria",(IF(G109 = 0, "NA", (C109/(G109*Data!$D$10/100)))))),"Not Req.")</f>
        <v>Not Req.</v>
      </c>
    </row>
    <row r="110" spans="1:13" s="10" customFormat="1" x14ac:dyDescent="0.25">
      <c r="A110" s="405" t="s">
        <v>428</v>
      </c>
      <c r="B110" s="456" t="str">
        <f>IF(Start!$C$19="x",IF(AND(H110="",I110="",J110=""),"",(IF(H110="OK","No",(IF(H110="Exceeded",(IF(J110="OK","No",(IF(J110="Exceeded","Needed",(IF(J110="No Criteria","No Criteria","Missing Data")))))),(IF(I110="OK","No",(IF(J110="OK","No",(IF(J110="Exceeded","Needed",(IF(J110="No Criteria","No Criteria","Missing Data"))))))))))))),"---")</f>
        <v>---</v>
      </c>
      <c r="C110" s="457" t="str">
        <f>IF(TRUE=ISBLANK(ChemData!B110),"",(ChemData!B110))</f>
        <v/>
      </c>
      <c r="D110" s="502"/>
      <c r="E110" s="503"/>
      <c r="F110" s="289" t="str">
        <f>IF(TRUE=ISBLANK(ChemData!E110),"",(ChemData!E110))</f>
        <v/>
      </c>
      <c r="G110" s="291" t="str">
        <f>IF(TRUE=ISBLANK(ChemData!L110),"",(ChemData!L110))</f>
        <v>NA</v>
      </c>
      <c r="H110" s="462"/>
      <c r="I110" s="461" t="str">
        <f>IF(Start!$C$19="x",IF(OR(C110="",C110="NA"),"",IF(OR(F110="",F110="NA"),"No Ref",(IF((C110*100/Data!$D$10)&gt;(F110*100/Data!$D$60),"Exceeded","OK")))),"---")</f>
        <v>---</v>
      </c>
      <c r="J110" s="377" t="str">
        <f>IF(Start!$C$19="x",IF(OR(C110="",C110="NA"),"",IF(OR(G110="",G110="NA"),"No Criteria",(IF(C110&gt;(G110*Data!$D$10/100),"Exceeded","OK")))),"---")</f>
        <v>---</v>
      </c>
      <c r="K110" s="462"/>
      <c r="L110" s="286" t="str">
        <f>IF(Start!$C$19="x",IF(C110="","NA",IF(F110="","No Ref", (IF(F110 = 0, "NA", ((C110*100/Data!$D$10)/(F110*100/Data!$D$60)))))),"Not Req.")</f>
        <v>Not Req.</v>
      </c>
      <c r="M110" s="285" t="str">
        <f>IF(Start!$C$19="x",IF(C110="","NA",IF(OR(G110="",G110="NA"),"No Criteria",(IF(G110 = 0, "NA", (C110/(G110*Data!$D$10/100)))))),"Not Req.")</f>
        <v>Not Req.</v>
      </c>
    </row>
    <row r="111" spans="1:13" s="10" customFormat="1" x14ac:dyDescent="0.25">
      <c r="A111" s="405" t="s">
        <v>429</v>
      </c>
      <c r="B111" s="456" t="str">
        <f>IF(Start!$C$19="x",IF(AND(H111="",I111="",J111=""),"",(IF(H111="OK","No",(IF(H111="Exceeded",(IF(J111="OK","No",(IF(J111="Exceeded","Needed",(IF(J111="No Criteria","No Criteria","Missing Data")))))),(IF(I111="OK","No",(IF(J111="OK","No",(IF(J111="Exceeded","Needed",(IF(J111="No Criteria","No Criteria","Missing Data"))))))))))))),"---")</f>
        <v>---</v>
      </c>
      <c r="C111" s="457" t="str">
        <f>IF(TRUE=ISBLANK(ChemData!B111),"",(ChemData!B111))</f>
        <v/>
      </c>
      <c r="D111" s="502"/>
      <c r="E111" s="503"/>
      <c r="F111" s="289" t="str">
        <f>IF(TRUE=ISBLANK(ChemData!E111),"",(ChemData!E111))</f>
        <v/>
      </c>
      <c r="G111" s="291">
        <f>IF(TRUE=ISBLANK(ChemData!L111),"",(ChemData!L111))</f>
        <v>32</v>
      </c>
      <c r="H111" s="462"/>
      <c r="I111" s="461" t="str">
        <f>IF(Start!$C$19="x",IF(OR(C111="",C111="NA"),"",IF(OR(F111="",F111="NA"),"No Ref",(IF((C111*100/Data!$D$10)&gt;(F111*100/Data!$D$60),"Exceeded","OK")))),"---")</f>
        <v>---</v>
      </c>
      <c r="J111" s="377" t="str">
        <f>IF(Start!$C$19="x",IF(OR(C111="",C111="NA"),"",IF(OR(G111="",G111="NA"),"No Criteria",(IF(C111&gt;(G111*Data!$D$10/100),"Exceeded","OK")))),"---")</f>
        <v>---</v>
      </c>
      <c r="K111" s="462"/>
      <c r="L111" s="286" t="str">
        <f>IF(Start!$C$19="x",IF(C111="","NA",IF(F111="","No Ref", (IF(F111 = 0, "NA", ((C111*100/Data!$D$10)/(F111*100/Data!$D$60)))))),"Not Req.")</f>
        <v>Not Req.</v>
      </c>
      <c r="M111" s="285" t="str">
        <f>IF(Start!$C$19="x",IF(C111="","NA",IF(OR(G111="",G111="NA"),"No Criteria",(IF(G111 = 0, "NA", (C111/(G111*Data!$D$10/100)))))),"Not Req.")</f>
        <v>Not Req.</v>
      </c>
    </row>
    <row r="112" spans="1:13" s="10" customFormat="1" x14ac:dyDescent="0.25">
      <c r="A112" s="405" t="s">
        <v>430</v>
      </c>
      <c r="B112" s="456" t="str">
        <f>IF(Start!$C$19="x",IF(AND(H112="",I112="",J112=""),"",(IF(H112="OK","No",(IF(H112="Exceeded",(IF(J112="OK","No",(IF(J112="Exceeded","Needed",(IF(J112="No Criteria","No Criteria","Missing Data")))))),(IF(I112="OK","No",(IF(J112="OK","No",(IF(J112="Exceeded","Needed",(IF(J112="No Criteria","No Criteria","Missing Data"))))))))))))),"---")</f>
        <v>---</v>
      </c>
      <c r="C112" s="457" t="str">
        <f>IF(TRUE=ISBLANK(ChemData!B112),"",(ChemData!B112))</f>
        <v/>
      </c>
      <c r="D112" s="502"/>
      <c r="E112" s="503"/>
      <c r="F112" s="289" t="str">
        <f>IF(TRUE=ISBLANK(ChemData!E112),"",(ChemData!E112))</f>
        <v/>
      </c>
      <c r="G112" s="291" t="str">
        <f>IF(TRUE=ISBLANK(ChemData!L112),"",(ChemData!L112))</f>
        <v>NA</v>
      </c>
      <c r="H112" s="462"/>
      <c r="I112" s="461" t="str">
        <f>IF(Start!$C$19="x",IF(OR(C112="",C112="NA"),"",IF(OR(F112="",F112="NA"),"No Ref",(IF((C112*100/Data!$D$10)&gt;(F112*100/Data!$D$60),"Exceeded","OK")))),"---")</f>
        <v>---</v>
      </c>
      <c r="J112" s="377" t="str">
        <f>IF(Start!$C$19="x",IF(OR(C112="",C112="NA"),"",IF(OR(G112="",G112="NA"),"No Criteria",(IF(C112&gt;(G112*Data!$D$10/100),"Exceeded","OK")))),"---")</f>
        <v>---</v>
      </c>
      <c r="K112" s="462"/>
      <c r="L112" s="286" t="str">
        <f>IF(Start!$C$19="x",IF(C112="","NA",IF(F112="","No Ref", (IF(F112 = 0, "NA", ((C112*100/Data!$D$10)/(F112*100/Data!$D$60)))))),"Not Req.")</f>
        <v>Not Req.</v>
      </c>
      <c r="M112" s="285" t="str">
        <f>IF(Start!$C$19="x",IF(C112="","NA",IF(OR(G112="",G112="NA"),"No Criteria",(IF(G112 = 0, "NA", (C112/(G112*Data!$D$10/100)))))),"Not Req.")</f>
        <v>Not Req.</v>
      </c>
    </row>
    <row r="113" spans="1:13" s="10" customFormat="1" x14ac:dyDescent="0.25">
      <c r="A113" s="405" t="s">
        <v>431</v>
      </c>
      <c r="B113" s="456" t="str">
        <f>IF(Start!$C$19="x",IF(AND(H113="",I113="",J113=""),"",(IF(H113="OK","No",(IF(H113="Exceeded",(IF(J113="OK","No",(IF(J113="Exceeded","Needed",(IF(J113="No Criteria","No Criteria","Missing Data")))))),(IF(I113="OK","No",(IF(J113="OK","No",(IF(J113="Exceeded","Needed",(IF(J113="No Criteria","No Criteria","Missing Data"))))))))))))),"---")</f>
        <v>---</v>
      </c>
      <c r="C113" s="457" t="str">
        <f>IF(TRUE=ISBLANK(ChemData!B113),"",(ChemData!B113))</f>
        <v/>
      </c>
      <c r="D113" s="502"/>
      <c r="E113" s="503"/>
      <c r="F113" s="289" t="str">
        <f>IF(TRUE=ISBLANK(ChemData!E113),"",(ChemData!E113))</f>
        <v/>
      </c>
      <c r="G113" s="291">
        <f>IF(TRUE=ISBLANK(ChemData!L113),"",(ChemData!L113))</f>
        <v>0.21</v>
      </c>
      <c r="H113" s="462"/>
      <c r="I113" s="461" t="str">
        <f>IF(Start!$C$19="x",IF(OR(C113="",C113="NA"),"",IF(OR(F113="",F113="NA"),"No Ref",(IF((C113*100/Data!$D$10)&gt;(F113*100/Data!$D$60),"Exceeded","OK")))),"---")</f>
        <v>---</v>
      </c>
      <c r="J113" s="377" t="str">
        <f>IF(Start!$C$19="x",IF(OR(C113="",C113="NA"),"",IF(OR(G113="",G113="NA"),"No Criteria",(IF(C113&gt;(G113*Data!$D$10/100),"Exceeded","OK")))),"---")</f>
        <v>---</v>
      </c>
      <c r="K113" s="462"/>
      <c r="L113" s="286" t="str">
        <f>IF(Start!$C$19="x",IF(C113="","NA",IF(F113="","No Ref", (IF(F113 = 0, "NA", ((C113*100/Data!$D$10)/(F113*100/Data!$D$60)))))),"Not Req.")</f>
        <v>Not Req.</v>
      </c>
      <c r="M113" s="285" t="str">
        <f>IF(Start!$C$19="x",IF(C113="","NA",IF(OR(G113="",G113="NA"),"No Criteria",(IF(G113 = 0, "NA", (C113/(G113*Data!$D$10/100)))))),"Not Req.")</f>
        <v>Not Req.</v>
      </c>
    </row>
    <row r="114" spans="1:13" s="10" customFormat="1" x14ac:dyDescent="0.25">
      <c r="A114" s="405" t="s">
        <v>432</v>
      </c>
      <c r="B114" s="456" t="str">
        <f>IF(Start!$C$19="x",IF(AND(H114="",I114="",J114=""),"",(IF(H114="OK","No",(IF(H114="Exceeded",(IF(J114="OK","No",(IF(J114="Exceeded","Needed",(IF(J114="No Criteria","No Criteria","Missing Data")))))),(IF(I114="OK","No",(IF(J114="OK","No",(IF(J114="Exceeded","Needed",(IF(J114="No Criteria","No Criteria","Missing Data"))))))))))))),"---")</f>
        <v>---</v>
      </c>
      <c r="C114" s="457" t="str">
        <f>IF(TRUE=ISBLANK(ChemData!B114),"",(ChemData!B114))</f>
        <v/>
      </c>
      <c r="D114" s="502"/>
      <c r="E114" s="503"/>
      <c r="F114" s="289" t="str">
        <f>IF(TRUE=ISBLANK(ChemData!E114),"",(ChemData!E114))</f>
        <v/>
      </c>
      <c r="G114" s="291">
        <f>IF(TRUE=ISBLANK(ChemData!L114),"",(ChemData!L114))</f>
        <v>0.05</v>
      </c>
      <c r="H114" s="462"/>
      <c r="I114" s="461" t="str">
        <f>IF(Start!$C$19="x",IF(OR(C114="",C114="NA"),"",IF(OR(F114="",F114="NA"),"No Ref",(IF((C114*100/Data!$D$10)&gt;(F114*100/Data!$D$60),"Exceeded","OK")))),"---")</f>
        <v>---</v>
      </c>
      <c r="J114" s="377" t="str">
        <f>IF(Start!$C$19="x",IF(OR(C114="",C114="NA"),"",IF(OR(G114="",G114="NA"),"No Criteria",(IF(C114&gt;(G114*Data!$D$10/100),"Exceeded","OK")))),"---")</f>
        <v>---</v>
      </c>
      <c r="K114" s="462"/>
      <c r="L114" s="286" t="str">
        <f>IF(Start!$C$19="x",IF(C114="","NA",IF(F114="","No Ref", (IF(F114 = 0, "NA", ((C114*100/Data!$D$10)/(F114*100/Data!$D$60)))))),"Not Req.")</f>
        <v>Not Req.</v>
      </c>
      <c r="M114" s="285" t="str">
        <f>IF(Start!$C$19="x",IF(C114="","NA",IF(OR(G114="",G114="NA"),"No Criteria",(IF(G114 = 0, "NA", (C114/(G114*Data!$D$10/100)))))),"Not Req.")</f>
        <v>Not Req.</v>
      </c>
    </row>
    <row r="115" spans="1:13" s="10" customFormat="1" x14ac:dyDescent="0.25">
      <c r="A115" s="405" t="s">
        <v>433</v>
      </c>
      <c r="B115" s="456" t="str">
        <f>IF(Start!$C$19="x",IF(AND(H115="",I115="",J115=""),"",(IF(H115="OK","No",(IF(H115="Exceeded",(IF(J115="OK","No",(IF(J115="Exceeded","Needed",(IF(J115="No Criteria","No Criteria","Missing Data")))))),(IF(I115="OK","No",(IF(J115="OK","No",(IF(J115="Exceeded","Needed",(IF(J115="No Criteria","No Criteria","Missing Data"))))))))))))),"---")</f>
        <v>---</v>
      </c>
      <c r="C115" s="457" t="str">
        <f>IF(TRUE=ISBLANK(ChemData!B115),"",(ChemData!B115))</f>
        <v/>
      </c>
      <c r="D115" s="502"/>
      <c r="E115" s="503"/>
      <c r="F115" s="289" t="str">
        <f>IF(TRUE=ISBLANK(ChemData!E115),"",(ChemData!E115))</f>
        <v/>
      </c>
      <c r="G115" s="291">
        <f>IF(TRUE=ISBLANK(ChemData!L115),"",(ChemData!L115))</f>
        <v>1.1000000000000001</v>
      </c>
      <c r="H115" s="462"/>
      <c r="I115" s="461" t="str">
        <f>IF(Start!$C$19="x",IF(OR(C115="",C115="NA"),"",IF(OR(F115="",F115="NA"),"No Ref",(IF((C115*100/Data!$D$10)&gt;(F115*100/Data!$D$60),"Exceeded","OK")))),"---")</f>
        <v>---</v>
      </c>
      <c r="J115" s="377" t="str">
        <f>IF(Start!$C$19="x",IF(OR(C115="",C115="NA"),"",IF(OR(G115="",G115="NA"),"No Criteria",(IF(C115&gt;(G115*Data!$D$10/100),"Exceeded","OK")))),"---")</f>
        <v>---</v>
      </c>
      <c r="K115" s="462"/>
      <c r="L115" s="286" t="str">
        <f>IF(Start!$C$19="x",IF(C115="","NA",IF(F115="","No Ref", (IF(F115 = 0, "NA", ((C115*100/Data!$D$10)/(F115*100/Data!$D$60)))))),"Not Req.")</f>
        <v>Not Req.</v>
      </c>
      <c r="M115" s="285" t="str">
        <f>IF(Start!$C$19="x",IF(C115="","NA",IF(OR(G115="",G115="NA"),"No Criteria",(IF(G115 = 0, "NA", (C115/(G115*Data!$D$10/100)))))),"Not Req.")</f>
        <v>Not Req.</v>
      </c>
    </row>
    <row r="116" spans="1:13" s="10" customFormat="1" x14ac:dyDescent="0.25">
      <c r="A116" s="405" t="s">
        <v>434</v>
      </c>
      <c r="B116" s="456" t="str">
        <f>IF(Start!$C$19="x",IF(AND(H116="",I116="",J116=""),"",(IF(H116="OK","No",(IF(H116="Exceeded",(IF(J116="OK","No",(IF(J116="Exceeded","Needed",(IF(J116="No Criteria","No Criteria","Missing Data")))))),(IF(I116="OK","No",(IF(J116="OK","No",(IF(J116="Exceeded","Needed",(IF(J116="No Criteria","No Criteria","Missing Data"))))))))))))),"---")</f>
        <v>---</v>
      </c>
      <c r="C116" s="457" t="str">
        <f>IF(TRUE=ISBLANK(ChemData!B116),"",(ChemData!B116))</f>
        <v/>
      </c>
      <c r="D116" s="502"/>
      <c r="E116" s="503"/>
      <c r="F116" s="289" t="str">
        <f>IF(TRUE=ISBLANK(ChemData!E116),"",(ChemData!E116))</f>
        <v/>
      </c>
      <c r="G116" s="291">
        <f>IF(TRUE=ISBLANK(ChemData!L116),"",(ChemData!L116))</f>
        <v>0.15</v>
      </c>
      <c r="H116" s="462"/>
      <c r="I116" s="461" t="str">
        <f>IF(Start!$C$19="x",IF(OR(C116="",C116="NA"),"",IF(OR(F116="",F116="NA"),"No Ref",(IF((C116*100/Data!$D$10)&gt;(F116*100/Data!$D$60),"Exceeded","OK")))),"---")</f>
        <v>---</v>
      </c>
      <c r="J116" s="377" t="str">
        <f>IF(Start!$C$19="x",IF(OR(C116="",C116="NA"),"",IF(OR(G116="",G116="NA"),"No Criteria",(IF(C116&gt;(G116*Data!$D$10/100),"Exceeded","OK")))),"---")</f>
        <v>---</v>
      </c>
      <c r="K116" s="462"/>
      <c r="L116" s="286" t="str">
        <f>IF(Start!$C$19="x",IF(C116="","NA",IF(F116="","No Ref", (IF(F116 = 0, "NA", ((C116*100/Data!$D$10)/(F116*100/Data!$D$60)))))),"Not Req.")</f>
        <v>Not Req.</v>
      </c>
      <c r="M116" s="285" t="str">
        <f>IF(Start!$C$19="x",IF(C116="","NA",IF(OR(G116="",G116="NA"),"No Criteria",(IF(G116 = 0, "NA", (C116/(G116*Data!$D$10/100)))))),"Not Req.")</f>
        <v>Not Req.</v>
      </c>
    </row>
    <row r="117" spans="1:13" s="10" customFormat="1" x14ac:dyDescent="0.25">
      <c r="A117" s="405" t="s">
        <v>435</v>
      </c>
      <c r="B117" s="456" t="str">
        <f>IF(Start!$C$19="x",IF(AND(H117="",I117="",J117=""),"",(IF(H117="OK","No",(IF(H117="Exceeded",(IF(J117="OK","No",(IF(J117="Exceeded","Needed",(IF(J117="No Criteria","No Criteria","Missing Data")))))),(IF(I117="OK","No",(IF(J117="OK","No",(IF(J117="Exceeded","Needed",(IF(J117="No Criteria","No Criteria","Missing Data"))))))))))))),"---")</f>
        <v>---</v>
      </c>
      <c r="C117" s="457" t="str">
        <f>IF(TRUE=ISBLANK(ChemData!B117),"",(ChemData!B117))</f>
        <v/>
      </c>
      <c r="D117" s="502"/>
      <c r="E117" s="503"/>
      <c r="F117" s="289" t="str">
        <f>IF(TRUE=ISBLANK(ChemData!E117),"",(ChemData!E117))</f>
        <v/>
      </c>
      <c r="G117" s="291">
        <f>IF(TRUE=ISBLANK(ChemData!L117),"",(ChemData!L117))</f>
        <v>0.96</v>
      </c>
      <c r="H117" s="462"/>
      <c r="I117" s="461" t="str">
        <f>IF(Start!$C$19="x",IF(OR(C117="",C117="NA"),"",IF(OR(F117="",F117="NA"),"No Ref",(IF((C117*100/Data!$D$10)&gt;(F117*100/Data!$D$60),"Exceeded","OK")))),"---")</f>
        <v>---</v>
      </c>
      <c r="J117" s="377" t="str">
        <f>IF(Start!$C$19="x",IF(OR(C117="",C117="NA"),"",IF(OR(G117="",G117="NA"),"No Criteria",(IF(C117&gt;(G117*Data!$D$10/100),"Exceeded","OK")))),"---")</f>
        <v>---</v>
      </c>
      <c r="K117" s="462"/>
      <c r="L117" s="286" t="str">
        <f>IF(Start!$C$19="x",IF(C117="","NA",IF(F117="","No Ref", (IF(F117 = 0, "NA", ((C117*100/Data!$D$10)/(F117*100/Data!$D$60)))))),"Not Req.")</f>
        <v>Not Req.</v>
      </c>
      <c r="M117" s="285" t="str">
        <f>IF(Start!$C$19="x",IF(C117="","NA",IF(OR(G117="",G117="NA"),"No Criteria",(IF(G117 = 0, "NA", (C117/(G117*Data!$D$10/100)))))),"Not Req.")</f>
        <v>Not Req.</v>
      </c>
    </row>
    <row r="118" spans="1:13" s="10" customFormat="1" x14ac:dyDescent="0.25">
      <c r="A118" s="405" t="s">
        <v>436</v>
      </c>
      <c r="B118" s="456" t="str">
        <f>IF(Start!$C$19="x",IF(AND(H118="",I118="",J118=""),"",(IF(H118="OK","No",(IF(H118="Exceeded",(IF(J118="OK","No",(IF(J118="Exceeded","Needed",(IF(J118="No Criteria","No Criteria","Missing Data")))))),(IF(I118="OK","No",(IF(J118="OK","No",(IF(J118="Exceeded","Needed",(IF(J118="No Criteria","No Criteria","Missing Data"))))))))))))),"---")</f>
        <v>---</v>
      </c>
      <c r="C118" s="457" t="str">
        <f>IF(TRUE=ISBLANK(ChemData!B118),"",(ChemData!B118))</f>
        <v/>
      </c>
      <c r="D118" s="502"/>
      <c r="E118" s="503"/>
      <c r="F118" s="289" t="str">
        <f>IF(TRUE=ISBLANK(ChemData!E118),"",(ChemData!E118))</f>
        <v/>
      </c>
      <c r="G118" s="291">
        <f>IF(TRUE=ISBLANK(ChemData!L118),"",(ChemData!L118))</f>
        <v>1.2</v>
      </c>
      <c r="H118" s="462"/>
      <c r="I118" s="461" t="str">
        <f>IF(Start!$C$19="x",IF(OR(C118="",C118="NA"),"",IF(OR(F118="",F118="NA"),"No Ref",(IF((C118*100/Data!$D$10)&gt;(F118*100/Data!$D$60),"Exceeded","OK")))),"---")</f>
        <v>---</v>
      </c>
      <c r="J118" s="377" t="str">
        <f>IF(Start!$C$19="x",IF(OR(C118="",C118="NA"),"",IF(OR(G118="",G118="NA"),"No Criteria",(IF(C118&gt;(G118*Data!$D$10/100),"Exceeded","OK")))),"---")</f>
        <v>---</v>
      </c>
      <c r="K118" s="462"/>
      <c r="L118" s="286" t="str">
        <f>IF(Start!$C$19="x",IF(C118="","NA",IF(F118="","No Ref", (IF(F118 = 0, "NA", ((C118*100/Data!$D$10)/(F118*100/Data!$D$60)))))),"Not Req.")</f>
        <v>Not Req.</v>
      </c>
      <c r="M118" s="285" t="str">
        <f>IF(Start!$C$19="x",IF(C118="","NA",IF(OR(G118="",G118="NA"),"No Criteria",(IF(G118 = 0, "NA", (C118/(G118*Data!$D$10/100)))))),"Not Req.")</f>
        <v>Not Req.</v>
      </c>
    </row>
    <row r="119" spans="1:13" s="10" customFormat="1" x14ac:dyDescent="0.25">
      <c r="A119" s="405" t="s">
        <v>437</v>
      </c>
      <c r="B119" s="456" t="str">
        <f>IF(Start!$C$19="x",IF(AND(H119="",I119="",J119=""),"",(IF(H119="OK","No",(IF(H119="Exceeded",(IF(J119="OK","No",(IF(J119="Exceeded","Needed",(IF(J119="No Criteria","No Criteria","Missing Data")))))),(IF(I119="OK","No",(IF(J119="OK","No",(IF(J119="Exceeded","Needed",(IF(J119="No Criteria","No Criteria","Missing Data"))))))))))))),"---")</f>
        <v>---</v>
      </c>
      <c r="C119" s="457" t="str">
        <f>IF(TRUE=ISBLANK(ChemData!B119),"",(ChemData!B119))</f>
        <v/>
      </c>
      <c r="D119" s="502"/>
      <c r="E119" s="503"/>
      <c r="F119" s="289" t="str">
        <f>IF(TRUE=ISBLANK(ChemData!E119),"",(ChemData!E119))</f>
        <v/>
      </c>
      <c r="G119" s="291">
        <f>IF(TRUE=ISBLANK(ChemData!L119),"",(ChemData!L119))</f>
        <v>91</v>
      </c>
      <c r="H119" s="462"/>
      <c r="I119" s="461" t="str">
        <f>IF(Start!$C$19="x",IF(OR(C119="",C119="NA"),"",IF(OR(F119="",F119="NA"),"No Ref",(IF((C119*100/Data!$D$10)&gt;(F119*100/Data!$D$60),"Exceeded","OK")))),"---")</f>
        <v>---</v>
      </c>
      <c r="J119" s="377" t="str">
        <f>IF(Start!$C$19="x",IF(OR(C119="",C119="NA"),"",IF(OR(G119="",G119="NA"),"No Criteria",(IF(C119&gt;(G119*Data!$D$10/100),"Exceeded","OK")))),"---")</f>
        <v>---</v>
      </c>
      <c r="K119" s="462"/>
      <c r="L119" s="286" t="str">
        <f>IF(Start!$C$19="x",IF(C119="","NA",IF(F119="","No Ref", (IF(F119 = 0, "NA", ((C119*100/Data!$D$10)/(F119*100/Data!$D$60)))))),"Not Req.")</f>
        <v>Not Req.</v>
      </c>
      <c r="M119" s="285" t="str">
        <f>IF(Start!$C$19="x",IF(C119="","NA",IF(OR(G119="",G119="NA"),"No Criteria",(IF(G119 = 0, "NA", (C119/(G119*Data!$D$10/100)))))),"Not Req.")</f>
        <v>Not Req.</v>
      </c>
    </row>
    <row r="120" spans="1:13" s="10" customFormat="1" x14ac:dyDescent="0.25">
      <c r="A120" s="405" t="s">
        <v>438</v>
      </c>
      <c r="B120" s="456" t="str">
        <f>IF(Start!$C$19="x",IF(AND(H120="",I120="",J120=""),"",(IF(H120="OK","No",(IF(H120="Exceeded",(IF(J120="OK","No",(IF(J120="Exceeded","Needed",(IF(J120="No Criteria","No Criteria","Missing Data")))))),(IF(I120="OK","No",(IF(J120="OK","No",(IF(J120="Exceeded","Needed",(IF(J120="No Criteria","No Criteria","Missing Data"))))))))))))),"---")</f>
        <v>---</v>
      </c>
      <c r="C120" s="457" t="str">
        <f>IF(TRUE=ISBLANK(ChemData!B120),"",(ChemData!B120))</f>
        <v/>
      </c>
      <c r="D120" s="502"/>
      <c r="E120" s="503"/>
      <c r="F120" s="289" t="str">
        <f>IF(TRUE=ISBLANK(ChemData!E120),"",(ChemData!E120))</f>
        <v/>
      </c>
      <c r="G120" s="291">
        <f>IF(TRUE=ISBLANK(ChemData!L120),"",(ChemData!L120))</f>
        <v>0.56000000000000005</v>
      </c>
      <c r="H120" s="462"/>
      <c r="I120" s="461" t="str">
        <f>IF(Start!$C$19="x",IF(OR(C120="",C120="NA"),"",IF(OR(F120="",F120="NA"),"No Ref",(IF((C120*100/Data!$D$10)&gt;(F120*100/Data!$D$60),"Exceeded","OK")))),"---")</f>
        <v>---</v>
      </c>
      <c r="J120" s="377" t="str">
        <f>IF(Start!$C$19="x",IF(OR(C120="",C120="NA"),"",IF(OR(G120="",G120="NA"),"No Criteria",(IF(C120&gt;(G120*Data!$D$10/100),"Exceeded","OK")))),"---")</f>
        <v>---</v>
      </c>
      <c r="K120" s="462"/>
      <c r="L120" s="286" t="str">
        <f>IF(Start!$C$19="x",IF(C120="","NA",IF(F120="","No Ref", (IF(F120 = 0, "NA", ((C120*100/Data!$D$10)/(F120*100/Data!$D$60)))))),"Not Req.")</f>
        <v>Not Req.</v>
      </c>
      <c r="M120" s="285" t="str">
        <f>IF(Start!$C$19="x",IF(C120="","NA",IF(OR(G120="",G120="NA"),"No Criteria",(IF(G120 = 0, "NA", (C120/(G120*Data!$D$10/100)))))),"Not Req.")</f>
        <v>Not Req.</v>
      </c>
    </row>
    <row r="121" spans="1:13" s="10" customFormat="1" x14ac:dyDescent="0.25">
      <c r="A121" s="405" t="s">
        <v>439</v>
      </c>
      <c r="B121" s="456" t="str">
        <f>IF(Start!$C$19="x",IF(AND(H121="",I121="",J121=""),"",(IF(H121="OK","No",(IF(H121="Exceeded",(IF(J121="OK","No",(IF(J121="Exceeded","Needed",(IF(J121="No Criteria","No Criteria","Missing Data")))))),(IF(I121="OK","No",(IF(J121="OK","No",(IF(J121="Exceeded","Needed",(IF(J121="No Criteria","No Criteria","Missing Data"))))))))))))),"---")</f>
        <v>---</v>
      </c>
      <c r="C121" s="457" t="str">
        <f>IF(TRUE=ISBLANK(ChemData!B121),"",(ChemData!B121))</f>
        <v/>
      </c>
      <c r="D121" s="502"/>
      <c r="E121" s="503"/>
      <c r="F121" s="289" t="str">
        <f>IF(TRUE=ISBLANK(ChemData!E121),"",(ChemData!E121))</f>
        <v/>
      </c>
      <c r="G121" s="291">
        <f>IF(TRUE=ISBLANK(ChemData!L121),"",(ChemData!L121))</f>
        <v>1.9</v>
      </c>
      <c r="H121" s="462"/>
      <c r="I121" s="461" t="str">
        <f>IF(Start!$C$19="x",IF(OR(C121="",C121="NA"),"",IF(OR(F121="",F121="NA"),"No Ref",(IF((C121*100/Data!$D$10)&gt;(F121*100/Data!$D$60),"Exceeded","OK")))),"---")</f>
        <v>---</v>
      </c>
      <c r="J121" s="377" t="str">
        <f>IF(Start!$C$19="x",IF(OR(C121="",C121="NA"),"",IF(OR(G121="",G121="NA"),"No Criteria",(IF(C121&gt;(G121*Data!$D$10/100),"Exceeded","OK")))),"---")</f>
        <v>---</v>
      </c>
      <c r="K121" s="462"/>
      <c r="L121" s="286" t="str">
        <f>IF(Start!$C$19="x",IF(C121="","NA",IF(F121="","No Ref", (IF(F121 = 0, "NA", ((C121*100/Data!$D$10)/(F121*100/Data!$D$60)))))),"Not Req.")</f>
        <v>Not Req.</v>
      </c>
      <c r="M121" s="285" t="str">
        <f>IF(Start!$C$19="x",IF(C121="","NA",IF(OR(G121="",G121="NA"),"No Criteria",(IF(G121 = 0, "NA", (C121/(G121*Data!$D$10/100)))))),"Not Req.")</f>
        <v>Not Req.</v>
      </c>
    </row>
    <row r="122" spans="1:13" s="10" customFormat="1" x14ac:dyDescent="0.25">
      <c r="A122" s="405" t="s">
        <v>440</v>
      </c>
      <c r="B122" s="456" t="str">
        <f>IF(Start!$C$19="x",IF(AND(H122="",I122="",J122=""),"",(IF(H122="OK","No",(IF(H122="Exceeded",(IF(J122="OK","No",(IF(J122="Exceeded","Needed",(IF(J122="No Criteria","No Criteria","Missing Data")))))),(IF(I122="OK","No",(IF(J122="OK","No",(IF(J122="Exceeded","Needed",(IF(J122="No Criteria","No Criteria","Missing Data"))))))))))))),"---")</f>
        <v>---</v>
      </c>
      <c r="C122" s="457" t="str">
        <f>IF(TRUE=ISBLANK(ChemData!B122),"",(ChemData!B122))</f>
        <v/>
      </c>
      <c r="D122" s="502"/>
      <c r="E122" s="503"/>
      <c r="F122" s="289" t="str">
        <f>IF(TRUE=ISBLANK(ChemData!E122),"",(ChemData!E122))</f>
        <v/>
      </c>
      <c r="G122" s="291" t="str">
        <f>IF(TRUE=ISBLANK(ChemData!L122),"",(ChemData!L122))</f>
        <v>NA</v>
      </c>
      <c r="H122" s="462"/>
      <c r="I122" s="461" t="str">
        <f>IF(Start!$C$19="x",IF(OR(C122="",C122="NA"),"",IF(OR(F122="",F122="NA"),"No Ref",(IF((C122*100/Data!$D$10)&gt;(F122*100/Data!$D$60),"Exceeded","OK")))),"---")</f>
        <v>---</v>
      </c>
      <c r="J122" s="377" t="str">
        <f>IF(Start!$C$19="x",IF(OR(C122="",C122="NA"),"",IF(OR(G122="",G122="NA"),"No Criteria",(IF(C122&gt;(G122*Data!$D$10/100),"Exceeded","OK")))),"---")</f>
        <v>---</v>
      </c>
      <c r="K122" s="462"/>
      <c r="L122" s="286" t="str">
        <f>IF(Start!$C$19="x",IF(C122="","NA",IF(F122="","No Ref", (IF(F122 = 0, "NA", ((C122*100/Data!$D$10)/(F122*100/Data!$D$60)))))),"Not Req.")</f>
        <v>Not Req.</v>
      </c>
      <c r="M122" s="285" t="str">
        <f>IF(Start!$C$19="x",IF(C122="","NA",IF(OR(G122="",G122="NA"),"No Criteria",(IF(G122 = 0, "NA", (C122/(G122*Data!$D$10/100)))))),"Not Req.")</f>
        <v>Not Req.</v>
      </c>
    </row>
    <row r="123" spans="1:13" s="10" customFormat="1" x14ac:dyDescent="0.25">
      <c r="A123" s="405" t="s">
        <v>441</v>
      </c>
      <c r="B123" s="456" t="str">
        <f>IF(Start!$C$19="x",IF(AND(H123="",I123="",J123=""),"",(IF(H123="OK","No",(IF(H123="Exceeded",(IF(J123="OK","No",(IF(J123="Exceeded","Needed",(IF(J123="No Criteria","No Criteria","Missing Data")))))),(IF(I123="OK","No",(IF(J123="OK","No",(IF(J123="Exceeded","Needed",(IF(J123="No Criteria","No Criteria","Missing Data"))))))))))))),"---")</f>
        <v>---</v>
      </c>
      <c r="C123" s="457" t="str">
        <f>IF(TRUE=ISBLANK(ChemData!B123),"",(ChemData!B123))</f>
        <v/>
      </c>
      <c r="D123" s="502"/>
      <c r="E123" s="503"/>
      <c r="F123" s="289" t="str">
        <f>IF(TRUE=ISBLANK(ChemData!E123),"",(ChemData!E123))</f>
        <v/>
      </c>
      <c r="G123" s="291" t="str">
        <f>IF(TRUE=ISBLANK(ChemData!L123),"",(ChemData!L123))</f>
        <v>NA</v>
      </c>
      <c r="H123" s="462"/>
      <c r="I123" s="461" t="str">
        <f>IF(Start!$C$19="x",IF(OR(C123="",C123="NA"),"",IF(OR(F123="",F123="NA"),"No Ref",(IF((C123*100/Data!$D$10)&gt;(F123*100/Data!$D$60),"Exceeded","OK")))),"---")</f>
        <v>---</v>
      </c>
      <c r="J123" s="377" t="str">
        <f>IF(Start!$C$19="x",IF(OR(C123="",C123="NA"),"",IF(OR(G123="",G123="NA"),"No Criteria",(IF(C123&gt;(G123*Data!$D$10/100),"Exceeded","OK")))),"---")</f>
        <v>---</v>
      </c>
      <c r="K123" s="462"/>
      <c r="L123" s="286" t="str">
        <f>IF(Start!$C$19="x",IF(C123="","NA",IF(F123="","No Ref", (IF(F123 = 0, "NA", ((C123*100/Data!$D$10)/(F123*100/Data!$D$60)))))),"Not Req.")</f>
        <v>Not Req.</v>
      </c>
      <c r="M123" s="285" t="str">
        <f>IF(Start!$C$19="x",IF(C123="","NA",IF(OR(G123="",G123="NA"),"No Criteria",(IF(G123 = 0, "NA", (C123/(G123*Data!$D$10/100)))))),"Not Req.")</f>
        <v>Not Req.</v>
      </c>
    </row>
    <row r="124" spans="1:13" s="10" customFormat="1" x14ac:dyDescent="0.25">
      <c r="A124" s="405" t="s">
        <v>667</v>
      </c>
      <c r="B124" s="456" t="str">
        <f>IF(Start!$C$19="x",IF(AND(H124="",I124="",J124=""),"",(IF(H124="OK","No",(IF(H124="Exceeded",(IF(J124="OK","No",(IF(J124="Exceeded","Needed",(IF(J124="No Criteria","No Criteria","Missing Data")))))),(IF(I124="OK","No",(IF(J124="OK","No",(IF(J124="Exceeded","Needed",(IF(J124="No Criteria","No Criteria","Missing Data"))))))))))))),"---")</f>
        <v>---</v>
      </c>
      <c r="C124" s="457" t="str">
        <f>IF(TRUE=ISBLANK(ChemData!B124),"",(ChemData!B124))</f>
        <v/>
      </c>
      <c r="D124" s="502"/>
      <c r="E124" s="503"/>
      <c r="F124" s="289" t="str">
        <f>IF(TRUE=ISBLANK(ChemData!E124),"",(ChemData!E124))</f>
        <v/>
      </c>
      <c r="G124" s="291">
        <f>IF(TRUE=ISBLANK(ChemData!L124),"",(ChemData!L124))</f>
        <v>64</v>
      </c>
      <c r="H124" s="462"/>
      <c r="I124" s="461" t="str">
        <f>IF(Start!$C$19="x",IF(OR(C124="",C124="NA"),"",IF(OR(F124="",F124="NA"),"No Ref",(IF((C124*100/Data!$D$10)&gt;(F124*100/Data!$D$60),"Exceeded","OK")))),"---")</f>
        <v>---</v>
      </c>
      <c r="J124" s="377" t="str">
        <f>IF(Start!$C$19="x",IF(OR(C124="",C124="NA"),"",IF(OR(G124="",G124="NA"),"No Criteria",(IF(C124&gt;(G124*Data!$D$10/100),"Exceeded","OK")))),"---")</f>
        <v>---</v>
      </c>
      <c r="K124" s="462"/>
      <c r="L124" s="286" t="str">
        <f>IF(Start!$C$19="x",IF(C124="","NA",IF(F124="","No Ref", (IF(F124 = 0, "NA", ((C124*100/Data!$D$10)/(F124*100/Data!$D$60)))))),"Not Req.")</f>
        <v>Not Req.</v>
      </c>
      <c r="M124" s="285" t="str">
        <f>IF(Start!$C$19="x",IF(C124="","NA",IF(OR(G124="",G124="NA"),"No Criteria",(IF(G124 = 0, "NA", (C124/(G124*Data!$D$10/100)))))),"Not Req.")</f>
        <v>Not Req.</v>
      </c>
    </row>
    <row r="125" spans="1:13" s="10" customFormat="1" x14ac:dyDescent="0.25">
      <c r="A125" s="405" t="s">
        <v>668</v>
      </c>
      <c r="B125" s="456" t="str">
        <f>IF(Start!$C$19="x",IF(AND(H125="",I125="",J125=""),"",(IF(H125="OK","No",(IF(H125="Exceeded",(IF(J125="OK","No",(IF(J125="Exceeded","Needed",(IF(J125="No Criteria","No Criteria","Missing Data")))))),(IF(I125="OK","No",(IF(J125="OK","No",(IF(J125="Exceeded","Needed",(IF(J125="No Criteria","No Criteria","Missing Data"))))))))))))),"---")</f>
        <v>---</v>
      </c>
      <c r="C125" s="457" t="str">
        <f>IF(TRUE=ISBLANK(ChemData!B125),"",(ChemData!B125))</f>
        <v/>
      </c>
      <c r="D125" s="502"/>
      <c r="E125" s="503"/>
      <c r="F125" s="289" t="str">
        <f>IF(TRUE=ISBLANK(ChemData!E125),"",(ChemData!E125))</f>
        <v/>
      </c>
      <c r="G125" s="291">
        <f>IF(TRUE=ISBLANK(ChemData!L125),"",(ChemData!L125))</f>
        <v>4.2</v>
      </c>
      <c r="H125" s="462"/>
      <c r="I125" s="461" t="str">
        <f>IF(Start!$C$19="x",IF(OR(C125="",C125="NA"),"",IF(OR(F125="",F125="NA"),"No Ref",(IF((C125*100/Data!$D$10)&gt;(F125*100/Data!$D$60),"Exceeded","OK")))),"---")</f>
        <v>---</v>
      </c>
      <c r="J125" s="377" t="str">
        <f>IF(Start!$C$19="x",IF(OR(C125="",C125="NA"),"",IF(OR(G125="",G125="NA"),"No Criteria",(IF(C125&gt;(G125*Data!$D$10/100),"Exceeded","OK")))),"---")</f>
        <v>---</v>
      </c>
      <c r="K125" s="462"/>
      <c r="L125" s="286" t="str">
        <f>IF(Start!$C$19="x",IF(C125="","NA",IF(F125="","No Ref", (IF(F125 = 0, "NA", ((C125*100/Data!$D$10)/(F125*100/Data!$D$60)))))),"Not Req.")</f>
        <v>Not Req.</v>
      </c>
      <c r="M125" s="285" t="str">
        <f>IF(Start!$C$19="x",IF(C125="","NA",IF(OR(G125="",G125="NA"),"No Criteria",(IF(G125 = 0, "NA", (C125/(G125*Data!$D$10/100)))))),"Not Req.")</f>
        <v>Not Req.</v>
      </c>
    </row>
    <row r="126" spans="1:13" s="10" customFormat="1" x14ac:dyDescent="0.25">
      <c r="A126" s="405" t="s">
        <v>444</v>
      </c>
      <c r="B126" s="456" t="str">
        <f>IF(Start!$C$19="x",IF(AND(H126="",I126="",J126=""),"",(IF(H126="OK","No",(IF(H126="Exceeded",(IF(J126="OK","No",(IF(J126="Exceeded","Needed",(IF(J126="No Criteria","No Criteria","Missing Data")))))),(IF(I126="OK","No",(IF(J126="OK","No",(IF(J126="Exceeded","Needed",(IF(J126="No Criteria","No Criteria","Missing Data"))))))))))))),"---")</f>
        <v>---</v>
      </c>
      <c r="C126" s="457" t="str">
        <f>IF(TRUE=ISBLANK(ChemData!B126),"",(ChemData!B126))</f>
        <v/>
      </c>
      <c r="D126" s="502"/>
      <c r="E126" s="503"/>
      <c r="F126" s="289" t="str">
        <f>IF(TRUE=ISBLANK(ChemData!E126),"",(ChemData!E126))</f>
        <v/>
      </c>
      <c r="G126" s="291">
        <f>IF(TRUE=ISBLANK(ChemData!L126),"",(ChemData!L126))</f>
        <v>3.7999999999999999E-2</v>
      </c>
      <c r="H126" s="462"/>
      <c r="I126" s="461" t="str">
        <f>IF(Start!$C$19="x",IF(OR(C126="",C126="NA"),"",IF(OR(F126="",F126="NA"),"No Ref",(IF((C126*100/Data!$D$10)&gt;(F126*100/Data!$D$60),"Exceeded","OK")))),"---")</f>
        <v>---</v>
      </c>
      <c r="J126" s="377" t="str">
        <f>IF(Start!$C$19="x",IF(OR(C126="",C126="NA"),"",IF(OR(G126="",G126="NA"),"No Criteria",(IF(C126&gt;(G126*Data!$D$10/100),"Exceeded","OK")))),"---")</f>
        <v>---</v>
      </c>
      <c r="K126" s="462"/>
      <c r="L126" s="286" t="str">
        <f>IF(Start!$C$19="x",IF(C126="","NA",IF(F126="","No Ref", (IF(F126 = 0, "NA", ((C126*100/Data!$D$10)/(F126*100/Data!$D$60)))))),"Not Req.")</f>
        <v>Not Req.</v>
      </c>
      <c r="M126" s="285" t="str">
        <f>IF(Start!$C$19="x",IF(C126="","NA",IF(OR(G126="",G126="NA"),"No Criteria",(IF(G126 = 0, "NA", (C126/(G126*Data!$D$10/100)))))),"Not Req.")</f>
        <v>Not Req.</v>
      </c>
    </row>
    <row r="127" spans="1:13" s="10" customFormat="1" x14ac:dyDescent="0.25">
      <c r="A127" s="405" t="s">
        <v>445</v>
      </c>
      <c r="B127" s="456" t="str">
        <f>IF(Start!$C$19="x",IF(AND(H127="",I127="",J127=""),"",(IF(H127="OK","No",(IF(H127="Exceeded",(IF(J127="OK","No",(IF(J127="Exceeded","Needed",(IF(J127="No Criteria","No Criteria","Missing Data")))))),(IF(I127="OK","No",(IF(J127="OK","No",(IF(J127="Exceeded","Needed",(IF(J127="No Criteria","No Criteria","Missing Data"))))))))))))),"---")</f>
        <v>---</v>
      </c>
      <c r="C127" s="457" t="str">
        <f>IF(TRUE=ISBLANK(ChemData!B127),"",(ChemData!B127))</f>
        <v/>
      </c>
      <c r="D127" s="502"/>
      <c r="E127" s="503"/>
      <c r="F127" s="289" t="str">
        <f>IF(TRUE=ISBLANK(ChemData!E127),"",(ChemData!E127))</f>
        <v/>
      </c>
      <c r="G127" s="291">
        <f>IF(TRUE=ISBLANK(ChemData!L127),"",(ChemData!L127))</f>
        <v>3.3000000000000002E-2</v>
      </c>
      <c r="H127" s="462"/>
      <c r="I127" s="461" t="str">
        <f>IF(Start!$C$19="x",IF(OR(C127="",C127="NA"),"",IF(OR(F127="",F127="NA"),"No Ref",(IF((C127*100/Data!$D$10)&gt;(F127*100/Data!$D$60),"Exceeded","OK")))),"---")</f>
        <v>---</v>
      </c>
      <c r="J127" s="377" t="str">
        <f>IF(Start!$C$19="x",IF(OR(C127="",C127="NA"),"",IF(OR(G127="",G127="NA"),"No Criteria",(IF(C127&gt;(G127*Data!$D$10/100),"Exceeded","OK")))),"---")</f>
        <v>---</v>
      </c>
      <c r="K127" s="462"/>
      <c r="L127" s="286" t="str">
        <f>IF(Start!$C$19="x",IF(C127="","NA",IF(F127="","No Ref", (IF(F127 = 0, "NA", ((C127*100/Data!$D$10)/(F127*100/Data!$D$60)))))),"Not Req.")</f>
        <v>Not Req.</v>
      </c>
      <c r="M127" s="285" t="str">
        <f>IF(Start!$C$19="x",IF(C127="","NA",IF(OR(G127="",G127="NA"),"No Criteria",(IF(G127 = 0, "NA", (C127/(G127*Data!$D$10/100)))))),"Not Req.")</f>
        <v>Not Req.</v>
      </c>
    </row>
    <row r="128" spans="1:13" s="10" customFormat="1" x14ac:dyDescent="0.25">
      <c r="A128" s="405" t="s">
        <v>446</v>
      </c>
      <c r="B128" s="456" t="str">
        <f>IF(Start!$C$19="x",IF(AND(H128="",I128="",J128=""),"",(IF(H128="OK","No",(IF(H128="Exceeded",(IF(J128="OK","No",(IF(J128="Exceeded","Needed",(IF(J128="No Criteria","No Criteria","Missing Data")))))),(IF(I128="OK","No",(IF(J128="OK","No",(IF(J128="Exceeded","Needed",(IF(J128="No Criteria","No Criteria","Missing Data"))))))))))))),"---")</f>
        <v>---</v>
      </c>
      <c r="C128" s="457" t="str">
        <f>IF(TRUE=ISBLANK(ChemData!B128),"",(ChemData!B128))</f>
        <v/>
      </c>
      <c r="D128" s="502"/>
      <c r="E128" s="503"/>
      <c r="F128" s="289" t="str">
        <f>IF(TRUE=ISBLANK(ChemData!E128),"",(ChemData!E128))</f>
        <v/>
      </c>
      <c r="G128" s="291">
        <f>IF(TRUE=ISBLANK(ChemData!L128),"",(ChemData!L128))</f>
        <v>3.1E-2</v>
      </c>
      <c r="H128" s="462"/>
      <c r="I128" s="461" t="str">
        <f>IF(Start!$C$19="x",IF(OR(C128="",C128="NA"),"",IF(OR(F128="",F128="NA"),"No Ref",(IF((C128*100/Data!$D$10)&gt;(F128*100/Data!$D$60),"Exceeded","OK")))),"---")</f>
        <v>---</v>
      </c>
      <c r="J128" s="377" t="str">
        <f>IF(Start!$C$19="x",IF(OR(C128="",C128="NA"),"",IF(OR(G128="",G128="NA"),"No Criteria",(IF(C128&gt;(G128*Data!$D$10/100),"Exceeded","OK")))),"---")</f>
        <v>---</v>
      </c>
      <c r="K128" s="462"/>
      <c r="L128" s="286" t="str">
        <f>IF(Start!$C$19="x",IF(C128="","NA",IF(F128="","No Ref", (IF(F128 = 0, "NA", ((C128*100/Data!$D$10)/(F128*100/Data!$D$60)))))),"Not Req.")</f>
        <v>Not Req.</v>
      </c>
      <c r="M128" s="285" t="str">
        <f>IF(Start!$C$19="x",IF(C128="","NA",IF(OR(G128="",G128="NA"),"No Criteria",(IF(G128 = 0, "NA", (C128/(G128*Data!$D$10/100)))))),"Not Req.")</f>
        <v>Not Req.</v>
      </c>
    </row>
    <row r="129" spans="1:13" s="10" customFormat="1" x14ac:dyDescent="0.25">
      <c r="A129" s="405" t="s">
        <v>447</v>
      </c>
      <c r="B129" s="456" t="str">
        <f>IF(Start!$C$19="x",IF(AND(H129="",I129="",J129=""),"",(IF(H129="OK","No",(IF(H129="Exceeded",(IF(J129="OK","No",(IF(J129="Exceeded","Needed",(IF(J129="No Criteria","No Criteria","Missing Data")))))),(IF(I129="OK","No",(IF(J129="OK","No",(IF(J129="Exceeded","Needed",(IF(J129="No Criteria","No Criteria","Missing Data"))))))))))))),"---")</f>
        <v>---</v>
      </c>
      <c r="C129" s="457" t="str">
        <f>IF(TRUE=ISBLANK(ChemData!B129),"",(ChemData!B129))</f>
        <v/>
      </c>
      <c r="D129" s="502"/>
      <c r="E129" s="503"/>
      <c r="F129" s="289" t="str">
        <f>IF(TRUE=ISBLANK(ChemData!E129),"",(ChemData!E129))</f>
        <v/>
      </c>
      <c r="G129" s="291">
        <f>IF(TRUE=ISBLANK(ChemData!L129),"",(ChemData!L129))</f>
        <v>5.9</v>
      </c>
      <c r="H129" s="462"/>
      <c r="I129" s="461" t="str">
        <f>IF(Start!$C$19="x",IF(OR(C129="",C129="NA"),"",IF(OR(F129="",F129="NA"),"No Ref",(IF((C129*100/Data!$D$10)&gt;(F129*100/Data!$D$60),"Exceeded","OK")))),"---")</f>
        <v>---</v>
      </c>
      <c r="J129" s="377" t="str">
        <f>IF(Start!$C$19="x",IF(OR(C129="",C129="NA"),"",IF(OR(G129="",G129="NA"),"No Criteria",(IF(C129&gt;(G129*Data!$D$10/100),"Exceeded","OK")))),"---")</f>
        <v>---</v>
      </c>
      <c r="K129" s="462"/>
      <c r="L129" s="286" t="str">
        <f>IF(Start!$C$19="x",IF(C129="","NA",IF(F129="","No Ref", (IF(F129 = 0, "NA", ((C129*100/Data!$D$10)/(F129*100/Data!$D$60)))))),"Not Req.")</f>
        <v>Not Req.</v>
      </c>
      <c r="M129" s="285" t="str">
        <f>IF(Start!$C$19="x",IF(C129="","NA",IF(OR(G129="",G129="NA"),"No Criteria",(IF(G129 = 0, "NA", (C129/(G129*Data!$D$10/100)))))),"Not Req.")</f>
        <v>Not Req.</v>
      </c>
    </row>
    <row r="130" spans="1:13" s="10" customFormat="1" x14ac:dyDescent="0.25">
      <c r="A130" s="405" t="s">
        <v>448</v>
      </c>
      <c r="B130" s="456" t="str">
        <f>IF(Start!$C$19="x",IF(AND(H130="",I130="",J130=""),"",(IF(H130="OK","No",(IF(H130="Exceeded",(IF(J130="OK","No",(IF(J130="Exceeded","Needed",(IF(J130="No Criteria","No Criteria","Missing Data")))))),(IF(I130="OK","No",(IF(J130="OK","No",(IF(J130="Exceeded","Needed",(IF(J130="No Criteria","No Criteria","Missing Data"))))))))))))),"---")</f>
        <v>---</v>
      </c>
      <c r="C130" s="457" t="str">
        <f>IF(TRUE=ISBLANK(ChemData!B130),"",(ChemData!B130))</f>
        <v/>
      </c>
      <c r="D130" s="502"/>
      <c r="E130" s="503"/>
      <c r="F130" s="289" t="str">
        <f>IF(TRUE=ISBLANK(ChemData!E130),"",(ChemData!E130))</f>
        <v/>
      </c>
      <c r="G130" s="291">
        <f>IF(TRUE=ISBLANK(ChemData!L130),"",(ChemData!L130))</f>
        <v>4.0999999999999996</v>
      </c>
      <c r="H130" s="462"/>
      <c r="I130" s="461" t="str">
        <f>IF(Start!$C$19="x",IF(OR(C130="",C130="NA"),"",IF(OR(F130="",F130="NA"),"No Ref",(IF((C130*100/Data!$D$10)&gt;(F130*100/Data!$D$60),"Exceeded","OK")))),"---")</f>
        <v>---</v>
      </c>
      <c r="J130" s="377" t="str">
        <f>IF(Start!$C$19="x",IF(OR(C130="",C130="NA"),"",IF(OR(G130="",G130="NA"),"No Criteria",(IF(C130&gt;(G130*Data!$D$10/100),"Exceeded","OK")))),"---")</f>
        <v>---</v>
      </c>
      <c r="K130" s="462"/>
      <c r="L130" s="286" t="str">
        <f>IF(Start!$C$19="x",IF(C130="","NA",IF(F130="","No Ref", (IF(F130 = 0, "NA", ((C130*100/Data!$D$10)/(F130*100/Data!$D$60)))))),"Not Req.")</f>
        <v>Not Req.</v>
      </c>
      <c r="M130" s="285" t="str">
        <f>IF(Start!$C$19="x",IF(C130="","NA",IF(OR(G130="",G130="NA"),"No Criteria",(IF(G130 = 0, "NA", (C130/(G130*Data!$D$10/100)))))),"Not Req.")</f>
        <v>Not Req.</v>
      </c>
    </row>
    <row r="131" spans="1:13" s="10" customFormat="1" x14ac:dyDescent="0.25">
      <c r="A131" s="405" t="s">
        <v>449</v>
      </c>
      <c r="B131" s="456" t="str">
        <f>IF(Start!$C$19="x",IF(AND(H131="",I131="",J131=""),"",(IF(H131="OK","No",(IF(H131="Exceeded",(IF(J131="OK","No",(IF(J131="Exceeded","Needed",(IF(J131="No Criteria","No Criteria","Missing Data")))))),(IF(I131="OK","No",(IF(J131="OK","No",(IF(J131="Exceeded","Needed",(IF(J131="No Criteria","No Criteria","Missing Data"))))))))))))),"---")</f>
        <v>---</v>
      </c>
      <c r="C131" s="457" t="str">
        <f>IF(TRUE=ISBLANK(ChemData!B131),"",(ChemData!B131))</f>
        <v/>
      </c>
      <c r="D131" s="502"/>
      <c r="E131" s="503"/>
      <c r="F131" s="289" t="str">
        <f>IF(TRUE=ISBLANK(ChemData!E131),"",(ChemData!E131))</f>
        <v/>
      </c>
      <c r="G131" s="291">
        <f>IF(TRUE=ISBLANK(ChemData!L131),"",(ChemData!L131))</f>
        <v>1.2999999999999999E-3</v>
      </c>
      <c r="H131" s="462"/>
      <c r="I131" s="461" t="str">
        <f>IF(Start!$C$19="x",IF(OR(C131="",C131="NA"),"",IF(OR(F131="",F131="NA"),"No Ref",(IF((C131*100/Data!$D$10)&gt;(F131*100/Data!$D$60),"Exceeded","OK")))),"---")</f>
        <v>---</v>
      </c>
      <c r="J131" s="377" t="str">
        <f>IF(Start!$C$19="x",IF(OR(C131="",C131="NA"),"",IF(OR(G131="",G131="NA"),"No Criteria",(IF(C131&gt;(G131*Data!$D$10/100),"Exceeded","OK")))),"---")</f>
        <v>---</v>
      </c>
      <c r="K131" s="462"/>
      <c r="L131" s="286" t="str">
        <f>IF(Start!$C$19="x",IF(C131="","NA",IF(F131="","No Ref", (IF(F131 = 0, "NA", ((C131*100/Data!$D$10)/(F131*100/Data!$D$60)))))),"Not Req.")</f>
        <v>Not Req.</v>
      </c>
      <c r="M131" s="285" t="str">
        <f>IF(Start!$C$19="x",IF(C131="","NA",IF(OR(G131="",G131="NA"),"No Criteria",(IF(G131 = 0, "NA", (C131/(G131*Data!$D$10/100)))))),"Not Req.")</f>
        <v>Not Req.</v>
      </c>
    </row>
    <row r="132" spans="1:13" s="10" customFormat="1" x14ac:dyDescent="0.25">
      <c r="A132" s="405" t="s">
        <v>450</v>
      </c>
      <c r="B132" s="456" t="str">
        <f>IF(Start!$C$19="x",IF(AND(H132="",I132="",J132=""),"",(IF(H132="OK","No",(IF(H132="Exceeded",(IF(J132="OK","No",(IF(J132="Exceeded","Needed",(IF(J132="No Criteria","No Criteria","Missing Data")))))),(IF(I132="OK","No",(IF(J132="OK","No",(IF(J132="Exceeded","Needed",(IF(J132="No Criteria","No Criteria","Missing Data"))))))))))))),"---")</f>
        <v>---</v>
      </c>
      <c r="C132" s="457" t="str">
        <f>IF(TRUE=ISBLANK(ChemData!B132),"",(ChemData!B132))</f>
        <v/>
      </c>
      <c r="D132" s="502"/>
      <c r="E132" s="503"/>
      <c r="F132" s="289" t="str">
        <f>IF(TRUE=ISBLANK(ChemData!E132),"",(ChemData!E132))</f>
        <v/>
      </c>
      <c r="G132" s="291">
        <f>IF(TRUE=ISBLANK(ChemData!L132),"",(ChemData!L132))</f>
        <v>4.1E-5</v>
      </c>
      <c r="H132" s="462"/>
      <c r="I132" s="461" t="str">
        <f>IF(Start!$C$19="x",IF(OR(C132="",C132="NA"),"",IF(OR(F132="",F132="NA"),"No Ref",(IF((C132*100/Data!$D$10)&gt;(F132*100/Data!$D$60),"Exceeded","OK")))),"---")</f>
        <v>---</v>
      </c>
      <c r="J132" s="377" t="str">
        <f>IF(Start!$C$19="x",IF(OR(C132="",C132="NA"),"",IF(OR(G132="",G132="NA"),"No Criteria",(IF(C132&gt;(G132*Data!$D$10/100),"Exceeded","OK")))),"---")</f>
        <v>---</v>
      </c>
      <c r="K132" s="462"/>
      <c r="L132" s="286" t="str">
        <f>IF(Start!$C$19="x",IF(C132="","NA",IF(F132="","No Ref", (IF(F132 = 0, "NA", ((C132*100/Data!$D$10)/(F132*100/Data!$D$60)))))),"Not Req.")</f>
        <v>Not Req.</v>
      </c>
      <c r="M132" s="285" t="str">
        <f>IF(Start!$C$19="x",IF(C132="","NA",IF(OR(G132="",G132="NA"),"No Criteria",(IF(G132 = 0, "NA", (C132/(G132*Data!$D$10/100)))))),"Not Req.")</f>
        <v>Not Req.</v>
      </c>
    </row>
    <row r="133" spans="1:13" s="10" customFormat="1" x14ac:dyDescent="0.25">
      <c r="A133" s="405" t="s">
        <v>451</v>
      </c>
      <c r="B133" s="456" t="str">
        <f>IF(Start!$C$19="x",IF(AND(H133="",I133="",J133=""),"",(IF(H133="OK","No",(IF(H133="Exceeded",(IF(J133="OK","No",(IF(J133="Exceeded","Needed",(IF(J133="No Criteria","No Criteria","Missing Data")))))),(IF(I133="OK","No",(IF(J133="OK","No",(IF(J133="Exceeded","Needed",(IF(J133="No Criteria","No Criteria","Missing Data"))))))))))))),"---")</f>
        <v>---</v>
      </c>
      <c r="C133" s="457" t="str">
        <f>IF(TRUE=ISBLANK(ChemData!B133),"",(ChemData!B133))</f>
        <v/>
      </c>
      <c r="D133" s="502"/>
      <c r="E133" s="503"/>
      <c r="F133" s="289" t="str">
        <f>IF(TRUE=ISBLANK(ChemData!E133),"",(ChemData!E133))</f>
        <v/>
      </c>
      <c r="G133" s="291">
        <f>IF(TRUE=ISBLANK(ChemData!L133),"",(ChemData!L133))</f>
        <v>20</v>
      </c>
      <c r="H133" s="462"/>
      <c r="I133" s="461" t="str">
        <f>IF(Start!$C$19="x",IF(OR(C133="",C133="NA"),"",IF(OR(F133="",F133="NA"),"No Ref",(IF((C133*100/Data!$D$10)&gt;(F133*100/Data!$D$60),"Exceeded","OK")))),"---")</f>
        <v>---</v>
      </c>
      <c r="J133" s="377" t="str">
        <f>IF(Start!$C$19="x",IF(OR(C133="",C133="NA"),"",IF(OR(G133="",G133="NA"),"No Criteria",(IF(C133&gt;(G133*Data!$D$10/100),"Exceeded","OK")))),"---")</f>
        <v>---</v>
      </c>
      <c r="K133" s="462"/>
      <c r="L133" s="286" t="str">
        <f>IF(Start!$C$19="x",IF(C133="","NA",IF(F133="","No Ref", (IF(F133 = 0, "NA", ((C133*100/Data!$D$10)/(F133*100/Data!$D$60)))))),"Not Req.")</f>
        <v>Not Req.</v>
      </c>
      <c r="M133" s="285" t="str">
        <f>IF(Start!$C$19="x",IF(C133="","NA",IF(OR(G133="",G133="NA"),"No Criteria",(IF(G133 = 0, "NA", (C133/(G133*Data!$D$10/100)))))),"Not Req.")</f>
        <v>Not Req.</v>
      </c>
    </row>
    <row r="134" spans="1:13" s="10" customFormat="1" x14ac:dyDescent="0.25">
      <c r="A134" s="405" t="s">
        <v>452</v>
      </c>
      <c r="B134" s="456" t="str">
        <f>IF(Start!$C$19="x",IF(AND(H134="",I134="",J134=""),"",(IF(H134="OK","No",(IF(H134="Exceeded",(IF(J134="OK","No",(IF(J134="Exceeded","Needed",(IF(J134="No Criteria","No Criteria","Missing Data")))))),(IF(I134="OK","No",(IF(J134="OK","No",(IF(J134="Exceeded","Needed",(IF(J134="No Criteria","No Criteria","Missing Data"))))))))))))),"---")</f>
        <v>---</v>
      </c>
      <c r="C134" s="457" t="str">
        <f>IF(TRUE=ISBLANK(ChemData!B134),"",(ChemData!B134))</f>
        <v/>
      </c>
      <c r="D134" s="502"/>
      <c r="E134" s="503"/>
      <c r="F134" s="289" t="str">
        <f>IF(TRUE=ISBLANK(ChemData!E134),"",(ChemData!E134))</f>
        <v/>
      </c>
      <c r="G134" s="291">
        <f>IF(TRUE=ISBLANK(ChemData!L134),"",(ChemData!L134))</f>
        <v>0.79</v>
      </c>
      <c r="H134" s="462"/>
      <c r="I134" s="461" t="str">
        <f>IF(Start!$C$19="x",IF(OR(C134="",C134="NA"),"",IF(OR(F134="",F134="NA"),"No Ref",(IF((C134*100/Data!$D$10)&gt;(F134*100/Data!$D$60),"Exceeded","OK")))),"---")</f>
        <v>---</v>
      </c>
      <c r="J134" s="377" t="str">
        <f>IF(Start!$C$19="x",IF(OR(C134="",C134="NA"),"",IF(OR(G134="",G134="NA"),"No Criteria",(IF(C134&gt;(G134*Data!$D$10/100),"Exceeded","OK")))),"---")</f>
        <v>---</v>
      </c>
      <c r="K134" s="462"/>
      <c r="L134" s="286" t="str">
        <f>IF(Start!$C$19="x",IF(C134="","NA",IF(F134="","No Ref", (IF(F134 = 0, "NA", ((C134*100/Data!$D$10)/(F134*100/Data!$D$60)))))),"Not Req.")</f>
        <v>Not Req.</v>
      </c>
      <c r="M134" s="285" t="str">
        <f>IF(Start!$C$19="x",IF(C134="","NA",IF(OR(G134="",G134="NA"),"No Criteria",(IF(G134 = 0, "NA", (C134/(G134*Data!$D$10/100)))))),"Not Req.")</f>
        <v>Not Req.</v>
      </c>
    </row>
    <row r="135" spans="1:13" s="10" customFormat="1" x14ac:dyDescent="0.25">
      <c r="A135" s="405" t="s">
        <v>453</v>
      </c>
      <c r="B135" s="456" t="str">
        <f>IF(Start!$C$19="x",IF(AND(H135="",I135="",J135=""),"",(IF(H135="OK","No",(IF(H135="Exceeded",(IF(J135="OK","No",(IF(J135="Exceeded","Needed",(IF(J135="No Criteria","No Criteria","Missing Data")))))),(IF(I135="OK","No",(IF(J135="OK","No",(IF(J135="Exceeded","Needed",(IF(J135="No Criteria","No Criteria","Missing Data"))))))))))))),"---")</f>
        <v>---</v>
      </c>
      <c r="C135" s="457" t="str">
        <f>IF(TRUE=ISBLANK(ChemData!B135),"",(ChemData!B135))</f>
        <v/>
      </c>
      <c r="D135" s="502"/>
      <c r="E135" s="503"/>
      <c r="F135" s="289" t="str">
        <f>IF(TRUE=ISBLANK(ChemData!E135),"",(ChemData!E135))</f>
        <v/>
      </c>
      <c r="G135" s="291">
        <f>IF(TRUE=ISBLANK(ChemData!L135),"",(ChemData!L135))</f>
        <v>180</v>
      </c>
      <c r="H135" s="462"/>
      <c r="I135" s="461" t="str">
        <f>IF(Start!$C$19="x",IF(OR(C135="",C135="NA"),"",IF(OR(F135="",F135="NA"),"No Ref",(IF((C135*100/Data!$D$10)&gt;(F135*100/Data!$D$60),"Exceeded","OK")))),"---")</f>
        <v>---</v>
      </c>
      <c r="J135" s="377" t="str">
        <f>IF(Start!$C$19="x",IF(OR(C135="",C135="NA"),"",IF(OR(G135="",G135="NA"),"No Criteria",(IF(C135&gt;(G135*Data!$D$10/100),"Exceeded","OK")))),"---")</f>
        <v>---</v>
      </c>
      <c r="K135" s="462"/>
      <c r="L135" s="286" t="str">
        <f>IF(Start!$C$19="x",IF(C135="","NA",IF(F135="","No Ref", (IF(F135 = 0, "NA", ((C135*100/Data!$D$10)/(F135*100/Data!$D$60)))))),"Not Req.")</f>
        <v>Not Req.</v>
      </c>
      <c r="M135" s="285" t="str">
        <f>IF(Start!$C$19="x",IF(C135="","NA",IF(OR(G135="",G135="NA"),"No Criteria",(IF(G135 = 0, "NA", (C135/(G135*Data!$D$10/100)))))),"Not Req.")</f>
        <v>Not Req.</v>
      </c>
    </row>
    <row r="136" spans="1:13" s="10" customFormat="1" x14ac:dyDescent="0.25">
      <c r="A136" s="405" t="s">
        <v>454</v>
      </c>
      <c r="B136" s="456" t="str">
        <f>IF(Start!$C$19="x",IF(AND(H136="",I136="",J136=""),"",(IF(H136="OK","No",(IF(H136="Exceeded",(IF(J136="OK","No",(IF(J136="Exceeded","Needed",(IF(J136="No Criteria","No Criteria","Missing Data")))))),(IF(I136="OK","No",(IF(J136="OK","No",(IF(J136="Exceeded","Needed",(IF(J136="No Criteria","No Criteria","Missing Data"))))))))))))),"---")</f>
        <v>---</v>
      </c>
      <c r="C136" s="457" t="str">
        <f>IF(TRUE=ISBLANK(ChemData!B136),"",(ChemData!B136))</f>
        <v/>
      </c>
      <c r="D136" s="502"/>
      <c r="E136" s="503"/>
      <c r="F136" s="289" t="str">
        <f>IF(TRUE=ISBLANK(ChemData!E136),"",(ChemData!E136))</f>
        <v/>
      </c>
      <c r="G136" s="291">
        <f>IF(TRUE=ISBLANK(ChemData!L136),"",(ChemData!L136))</f>
        <v>5</v>
      </c>
      <c r="H136" s="462"/>
      <c r="I136" s="461" t="str">
        <f>IF(Start!$C$19="x",IF(OR(C136="",C136="NA"),"",IF(OR(F136="",F136="NA"),"No Ref",(IF((C136*100/Data!$D$10)&gt;(F136*100/Data!$D$60),"Exceeded","OK")))),"---")</f>
        <v>---</v>
      </c>
      <c r="J136" s="377" t="str">
        <f>IF(Start!$C$19="x",IF(OR(C136="",C136="NA"),"",IF(OR(G136="",G136="NA"),"No Criteria",(IF(C136&gt;(G136*Data!$D$10/100),"Exceeded","OK")))),"---")</f>
        <v>---</v>
      </c>
      <c r="K136" s="462"/>
      <c r="L136" s="286" t="str">
        <f>IF(Start!$C$19="x",IF(C136="","NA",IF(F136="","No Ref", (IF(F136 = 0, "NA", ((C136*100/Data!$D$10)/(F136*100/Data!$D$60)))))),"Not Req.")</f>
        <v>Not Req.</v>
      </c>
      <c r="M136" s="285" t="str">
        <f>IF(Start!$C$19="x",IF(C136="","NA",IF(OR(G136="",G136="NA"),"No Criteria",(IF(G136 = 0, "NA", (C136/(G136*Data!$D$10/100)))))),"Not Req.")</f>
        <v>Not Req.</v>
      </c>
    </row>
    <row r="137" spans="1:13" s="10" customFormat="1" x14ac:dyDescent="0.25">
      <c r="A137" s="405" t="s">
        <v>455</v>
      </c>
      <c r="B137" s="456" t="str">
        <f>IF(Start!$C$19="x",IF(AND(H137="",I137="",J137=""),"",(IF(H137="OK","No",(IF(H137="Exceeded",(IF(J137="OK","No",(IF(J137="Exceeded","Needed",(IF(J137="No Criteria","No Criteria","Missing Data")))))),(IF(I137="OK","No",(IF(J137="OK","No",(IF(J137="Exceeded","Needed",(IF(J137="No Criteria","No Criteria","Missing Data"))))))))))))),"---")</f>
        <v>---</v>
      </c>
      <c r="C137" s="457" t="str">
        <f>IF(TRUE=ISBLANK(ChemData!B137),"",(ChemData!B137))</f>
        <v/>
      </c>
      <c r="D137" s="502"/>
      <c r="E137" s="503"/>
      <c r="F137" s="289" t="str">
        <f>IF(TRUE=ISBLANK(ChemData!E137),"",(ChemData!E137))</f>
        <v/>
      </c>
      <c r="G137" s="291">
        <f>IF(TRUE=ISBLANK(ChemData!L137),"",(ChemData!L137))</f>
        <v>66</v>
      </c>
      <c r="H137" s="462"/>
      <c r="I137" s="461" t="str">
        <f>IF(Start!$C$19="x",IF(OR(C137="",C137="NA"),"",IF(OR(F137="",F137="NA"),"No Ref",(IF((C137*100/Data!$D$10)&gt;(F137*100/Data!$D$60),"Exceeded","OK")))),"---")</f>
        <v>---</v>
      </c>
      <c r="J137" s="377" t="str">
        <f>IF(Start!$C$19="x",IF(OR(C137="",C137="NA"),"",IF(OR(G137="",G137="NA"),"No Criteria",(IF(C137&gt;(G137*Data!$D$10/100),"Exceeded","OK")))),"---")</f>
        <v>---</v>
      </c>
      <c r="K137" s="462"/>
      <c r="L137" s="286" t="str">
        <f>IF(Start!$C$19="x",IF(C137="","NA",IF(F137="","No Ref", (IF(F137 = 0, "NA", ((C137*100/Data!$D$10)/(F137*100/Data!$D$60)))))),"Not Req.")</f>
        <v>Not Req.</v>
      </c>
      <c r="M137" s="285" t="str">
        <f>IF(Start!$C$19="x",IF(C137="","NA",IF(OR(G137="",G137="NA"),"No Criteria",(IF(G137 = 0, "NA", (C137/(G137*Data!$D$10/100)))))),"Not Req.")</f>
        <v>Not Req.</v>
      </c>
    </row>
    <row r="138" spans="1:13" s="10" customFormat="1" x14ac:dyDescent="0.25">
      <c r="A138" s="407" t="s">
        <v>456</v>
      </c>
      <c r="B138" s="456" t="str">
        <f>IF(Start!$C$19="x",IF(AND(H138="",I138="",J138=""),"",(IF(H138="OK","No",(IF(H138="Exceeded",(IF(J138="OK","No",(IF(J138="Exceeded","Needed",(IF(J138="No Criteria","No Criteria","Missing Data")))))),(IF(I138="OK","No",(IF(J138="OK","No",(IF(J138="Exceeded","Needed",(IF(J138="No Criteria","No Criteria","Missing Data"))))))))))))),"---")</f>
        <v>---</v>
      </c>
      <c r="C138" s="457" t="str">
        <f>IF(TRUE=ISBLANK(ChemData!B138),"",(ChemData!B138))</f>
        <v/>
      </c>
      <c r="D138" s="502"/>
      <c r="E138" s="503"/>
      <c r="F138" s="289" t="str">
        <f>IF(TRUE=ISBLANK(ChemData!E138),"",(ChemData!E138))</f>
        <v/>
      </c>
      <c r="G138" s="291">
        <f>IF(TRUE=ISBLANK(ChemData!L138),"",(ChemData!L138))</f>
        <v>27</v>
      </c>
      <c r="H138" s="462"/>
      <c r="I138" s="461" t="str">
        <f>IF(Start!$C$19="x",IF(OR(C138="",C138="NA"),"",IF(OR(F138="",F138="NA"),"No Ref",(IF((C138*100/Data!$D$10)&gt;(F138*100/Data!$D$60),"Exceeded","OK")))),"---")</f>
        <v>---</v>
      </c>
      <c r="J138" s="377" t="str">
        <f>IF(Start!$C$19="x",IF(OR(C138="",C138="NA"),"",IF(OR(G138="",G138="NA"),"No Criteria",(IF(C138&gt;(G138*Data!$D$10/100),"Exceeded","OK")))),"---")</f>
        <v>---</v>
      </c>
      <c r="K138" s="462"/>
      <c r="L138" s="286" t="str">
        <f>IF(Start!$C$19="x",IF(C138="","NA",IF(F138="","No Ref", (IF(F138 = 0, "NA", ((C138*100/Data!$D$10)/(F138*100/Data!$D$60)))))),"Not Req.")</f>
        <v>Not Req.</v>
      </c>
      <c r="M138" s="285" t="str">
        <f>IF(Start!$C$19="x",IF(C138="","NA",IF(OR(G138="",G138="NA"),"No Criteria",(IF(G138 = 0, "NA", (C138/(G138*Data!$D$10/100)))))),"Not Req.")</f>
        <v>Not Req.</v>
      </c>
    </row>
    <row r="139" spans="1:13" s="10" customFormat="1" x14ac:dyDescent="0.25">
      <c r="A139" s="407" t="s">
        <v>457</v>
      </c>
      <c r="B139" s="456" t="str">
        <f>IF(Start!$C$19="x",IF(AND(H139="",I139="",J139=""),"",(IF(H139="OK","No",(IF(H139="Exceeded",(IF(J139="OK","No",(IF(J139="Exceeded","Needed",(IF(J139="No Criteria","No Criteria","Missing Data")))))),(IF(I139="OK","No",(IF(J139="OK","No",(IF(J139="Exceeded","Needed",(IF(J139="No Criteria","No Criteria","Missing Data"))))))))))))),"---")</f>
        <v>---</v>
      </c>
      <c r="C139" s="457" t="str">
        <f>IF(TRUE=ISBLANK(ChemData!B139),"",(ChemData!B139))</f>
        <v/>
      </c>
      <c r="D139" s="502"/>
      <c r="E139" s="503"/>
      <c r="F139" s="289" t="str">
        <f>IF(TRUE=ISBLANK(ChemData!E139),"",(ChemData!E139))</f>
        <v/>
      </c>
      <c r="G139" s="291">
        <f>IF(TRUE=ISBLANK(ChemData!L139),"",(ChemData!L139))</f>
        <v>2300</v>
      </c>
      <c r="H139" s="462"/>
      <c r="I139" s="461" t="str">
        <f>IF(Start!$C$19="x",IF(OR(C139="",C139="NA"),"",IF(OR(F139="",F139="NA"),"No Ref",(IF((C139*100/Data!$D$10)&gt;(F139*100/Data!$D$60),"Exceeded","OK")))),"---")</f>
        <v>---</v>
      </c>
      <c r="J139" s="377" t="str">
        <f>IF(Start!$C$19="x",IF(OR(C139="",C139="NA"),"",IF(OR(G139="",G139="NA"),"No Criteria",(IF(C139&gt;(G139*Data!$D$10/100),"Exceeded","OK")))),"---")</f>
        <v>---</v>
      </c>
      <c r="K139" s="462"/>
      <c r="L139" s="286" t="str">
        <f>IF(Start!$C$19="x",IF(C139="","NA",IF(F139="","No Ref", (IF(F139 = 0, "NA", ((C139*100/Data!$D$10)/(F139*100/Data!$D$60)))))),"Not Req.")</f>
        <v>Not Req.</v>
      </c>
      <c r="M139" s="285" t="str">
        <f>IF(Start!$C$19="x",IF(C139="","NA",IF(OR(G139="",G139="NA"),"No Criteria",(IF(G139 = 0, "NA", (C139/(G139*Data!$D$10/100)))))),"Not Req.")</f>
        <v>Not Req.</v>
      </c>
    </row>
    <row r="140" spans="1:13" s="10" customFormat="1" ht="13.8" thickBot="1" x14ac:dyDescent="0.3">
      <c r="A140" s="405" t="s">
        <v>458</v>
      </c>
      <c r="B140" s="764" t="str">
        <f>IF(Start!$C$19="x",IF(AND(H140="",I140="",J140=""),"",(IF(H140="OK","No",(IF(H140="Exceeded",(IF(J140="OK","No",(IF(J140="Exceeded","Needed",(IF(J140="No Criteria","No Criteria","Missing Data")))))),(IF(I140="OK","No",(IF(J140="OK","No",(IF(J140="Exceeded","Needed",(IF(J140="No Criteria","No Criteria","Missing Data"))))))))))))),"---")</f>
        <v>---</v>
      </c>
      <c r="C140" s="457" t="str">
        <f>IF(TRUE=ISBLANK(ChemData!B140),"",(ChemData!B140))</f>
        <v/>
      </c>
      <c r="D140" s="502"/>
      <c r="E140" s="503"/>
      <c r="F140" s="289" t="str">
        <f>IF(TRUE=ISBLANK(ChemData!E140),"",(ChemData!E140))</f>
        <v/>
      </c>
      <c r="G140" s="291">
        <f>IF(TRUE=ISBLANK(ChemData!L140),"",(ChemData!L140))</f>
        <v>3.1</v>
      </c>
      <c r="H140" s="462"/>
      <c r="I140" s="461" t="str">
        <f>IF(Start!$C$19="x",IF(OR(C140="",C140="NA"),"",IF(OR(F140="",F140="NA"),"No Ref",(IF((C140*100/Data!$D$10)&gt;(F140*100/Data!$D$60),"Exceeded","OK")))),"---")</f>
        <v>---</v>
      </c>
      <c r="J140" s="377" t="str">
        <f>IF(Start!$C$19="x",IF(OR(C140="",C140="NA"),"",IF(OR(G140="",G140="NA"),"No Criteria",(IF(C140&gt;(G140*Data!$D$10/100),"Exceeded","OK")))),"---")</f>
        <v>---</v>
      </c>
      <c r="K140" s="462"/>
      <c r="L140" s="286" t="str">
        <f>IF(Start!$C$19="x",IF(C140="","NA",IF(F140="","No Ref", (IF(F140 = 0, "NA", ((C140*100/Data!$D$10)/(F140*100/Data!$D$60)))))),"Not Req.")</f>
        <v>Not Req.</v>
      </c>
      <c r="M140" s="285" t="str">
        <f>IF(Start!$C$19="x",IF(C140="","NA",IF(OR(G140="",G140="NA"),"No Criteria",(IF(G140 = 0, "NA", (C140/(G140*Data!$D$10/100)))))),"Not Req.")</f>
        <v>Not Req.</v>
      </c>
    </row>
    <row r="141" spans="1:13" s="10" customFormat="1" x14ac:dyDescent="0.25">
      <c r="A141" s="505" t="s">
        <v>459</v>
      </c>
      <c r="B141" s="545"/>
      <c r="C141" s="545"/>
      <c r="D141" s="547"/>
      <c r="E141" s="548"/>
      <c r="F141" s="511"/>
      <c r="G141" s="513"/>
      <c r="H141" s="543"/>
      <c r="I141" s="511"/>
      <c r="J141" s="513"/>
      <c r="K141" s="543"/>
      <c r="L141" s="511"/>
      <c r="M141" s="513"/>
    </row>
    <row r="142" spans="1:13" s="10" customFormat="1" x14ac:dyDescent="0.25">
      <c r="A142" s="405" t="s">
        <v>460</v>
      </c>
      <c r="B142" s="456" t="str">
        <f>IF(Start!$C$19="x",IF(AND(H142="",I142="",J142=""),"",(IF(H142="OK","No",(IF(H142="Exceeded",(IF(J142="OK","No",(IF(J142="Exceeded","Needed",(IF(J142="No Criteria","No Criteria","Missing Data")))))),(IF(I142="OK","No",(IF(J142="OK","No",(IF(J142="Exceeded","Needed",(IF(J142="No Criteria","No Criteria","Missing Data"))))))))))))),"---")</f>
        <v>---</v>
      </c>
      <c r="C142" s="457" t="str">
        <f>IF(TRUE=ISBLANK(ChemData!B142),"",(ChemData!B142))</f>
        <v/>
      </c>
      <c r="D142" s="502"/>
      <c r="E142" s="503"/>
      <c r="F142" s="289" t="str">
        <f>IF(TRUE=ISBLANK(ChemData!E142),"",(ChemData!E142))</f>
        <v/>
      </c>
      <c r="G142" s="291">
        <f>IF(TRUE=ISBLANK(ChemData!L142),"",(ChemData!L142))</f>
        <v>41</v>
      </c>
      <c r="H142" s="462"/>
      <c r="I142" s="461" t="str">
        <f>IF(Start!$C$19="x",IF(OR(C142="",C142="NA"),"",IF(OR(F142="",F142="NA"),"No Ref",(IF((C142*100/Data!$D$10)&gt;(F142*100/Data!$D$60),"Exceeded","OK")))),"---")</f>
        <v>---</v>
      </c>
      <c r="J142" s="377" t="str">
        <f>IF(Start!$C$19="x",IF(OR(C142="",C142="NA"),"",IF(OR(G142="",G142="NA"),"No Criteria",(IF(C142&gt;(G142*Data!$D$10/100),"Exceeded","OK")))),"---")</f>
        <v>---</v>
      </c>
      <c r="K142" s="462"/>
      <c r="L142" s="286" t="str">
        <f>IF(Start!$C$19="x",IF(C142="","NA",IF(F142="","No Ref", (IF(F142 = 0, "NA", ((C142*100/Data!$D$10)/(F142*100/Data!$D$60)))))),"Not Req.")</f>
        <v>Not Req.</v>
      </c>
      <c r="M142" s="285" t="str">
        <f>IF(Start!$C$19="x",IF(C142="","NA",IF(OR(G142="",G142="NA"),"No Criteria",(IF(G142 = 0, "NA", (C142/(G142*Data!$D$10/100)))))),"Not Req.")</f>
        <v>Not Req.</v>
      </c>
    </row>
    <row r="143" spans="1:13" s="10" customFormat="1" x14ac:dyDescent="0.25">
      <c r="A143" s="405" t="s">
        <v>461</v>
      </c>
      <c r="B143" s="456" t="str">
        <f>IF(Start!$C$19="x",IF(AND(H143="",I143="",J143=""),"",(IF(H143="OK","No",(IF(H143="Exceeded",(IF(J143="OK","No",(IF(J143="Exceeded","Needed",(IF(J143="No Criteria","No Criteria","Missing Data")))))),(IF(I143="OK","No",(IF(J143="OK","No",(IF(J143="Exceeded","Needed",(IF(J143="No Criteria","No Criteria","Missing Data"))))))))))))),"---")</f>
        <v>---</v>
      </c>
      <c r="C143" s="457" t="str">
        <f>IF(TRUE=ISBLANK(ChemData!B143),"",(ChemData!B143))</f>
        <v/>
      </c>
      <c r="D143" s="502"/>
      <c r="E143" s="503"/>
      <c r="F143" s="289" t="str">
        <f>IF(TRUE=ISBLANK(ChemData!E143),"",(ChemData!E143))</f>
        <v/>
      </c>
      <c r="G143" s="291">
        <f>IF(TRUE=ISBLANK(ChemData!L143),"",(ChemData!L143))</f>
        <v>6.2E-4</v>
      </c>
      <c r="H143" s="462"/>
      <c r="I143" s="461" t="str">
        <f>IF(Start!$C$19="x",IF(OR(C143="",C143="NA"),"",IF(OR(F143="",F143="NA"),"No Ref",(IF((C143*100/Data!$D$10)&gt;(F143*100/Data!$D$60),"Exceeded","OK")))),"---")</f>
        <v>---</v>
      </c>
      <c r="J143" s="377" t="str">
        <f>IF(Start!$C$19="x",IF(OR(C143="",C143="NA"),"",IF(OR(G143="",G143="NA"),"No Criteria",(IF(C143&gt;(G143*Data!$D$10/100),"Exceeded","OK")))),"---")</f>
        <v>---</v>
      </c>
      <c r="K143" s="462"/>
      <c r="L143" s="286" t="str">
        <f>IF(Start!$C$19="x",IF(C143="","NA",IF(F143="","No Ref", (IF(F143 = 0, "NA", ((C143*100/Data!$D$10)/(F143*100/Data!$D$60)))))),"Not Req.")</f>
        <v>Not Req.</v>
      </c>
      <c r="M143" s="285" t="str">
        <f>IF(Start!$C$19="x",IF(C143="","NA",IF(OR(G143="",G143="NA"),"No Criteria",(IF(G143 = 0, "NA", (C143/(G143*Data!$D$10/100)))))),"Not Req.")</f>
        <v>Not Req.</v>
      </c>
    </row>
    <row r="144" spans="1:13" s="10" customFormat="1" x14ac:dyDescent="0.25">
      <c r="A144" s="405" t="s">
        <v>462</v>
      </c>
      <c r="B144" s="456" t="str">
        <f>IF(Start!$C$19="x",IF(AND(H144="",I144="",J144=""),"",(IF(H144="OK","No",(IF(H144="Exceeded",(IF(J144="OK","No",(IF(J144="Exceeded","Needed",(IF(J144="No Criteria","No Criteria","Missing Data")))))),(IF(I144="OK","No",(IF(J144="OK","No",(IF(J144="Exceeded","Needed",(IF(J144="No Criteria","No Criteria","Missing Data"))))))))))))),"---")</f>
        <v>---</v>
      </c>
      <c r="C144" s="457" t="str">
        <f>IF(TRUE=ISBLANK(ChemData!B144),"",(ChemData!B144))</f>
        <v/>
      </c>
      <c r="D144" s="502"/>
      <c r="E144" s="503"/>
      <c r="F144" s="289" t="str">
        <f>IF(TRUE=ISBLANK(ChemData!E144),"",(ChemData!E144))</f>
        <v/>
      </c>
      <c r="G144" s="291">
        <f>IF(TRUE=ISBLANK(ChemData!L144),"",(ChemData!L144))</f>
        <v>8.6999999999999994E-3</v>
      </c>
      <c r="H144" s="462"/>
      <c r="I144" s="461" t="str">
        <f>IF(Start!$C$19="x",IF(OR(C144="",C144="NA"),"",IF(OR(F144="",F144="NA"),"No Ref",(IF((C144*100/Data!$D$10)&gt;(F144*100/Data!$D$60),"Exceeded","OK")))),"---")</f>
        <v>---</v>
      </c>
      <c r="J144" s="377" t="str">
        <f>IF(Start!$C$19="x",IF(OR(C144="",C144="NA"),"",IF(OR(G144="",G144="NA"),"No Criteria",(IF(C144&gt;(G144*Data!$D$10/100),"Exceeded","OK")))),"---")</f>
        <v>---</v>
      </c>
      <c r="K144" s="462"/>
      <c r="L144" s="286" t="str">
        <f>IF(Start!$C$19="x",IF(C144="","NA",IF(F144="","No Ref", (IF(F144 = 0, "NA", ((C144*100/Data!$D$10)/(F144*100/Data!$D$60)))))),"Not Req.")</f>
        <v>Not Req.</v>
      </c>
      <c r="M144" s="285" t="str">
        <f>IF(Start!$C$19="x",IF(C144="","NA",IF(OR(G144="",G144="NA"),"No Criteria",(IF(G144 = 0, "NA", (C144/(G144*Data!$D$10/100)))))),"Not Req.")</f>
        <v>Not Req.</v>
      </c>
    </row>
    <row r="145" spans="1:13" s="10" customFormat="1" x14ac:dyDescent="0.25">
      <c r="A145" s="405" t="s">
        <v>463</v>
      </c>
      <c r="B145" s="456" t="str">
        <f>IF(Start!$C$19="x",IF(AND(H145="",I145="",J145=""),"",(IF(H145="OK","No",(IF(H145="Exceeded",(IF(J145="OK","No",(IF(J145="Exceeded","Needed",(IF(J145="No Criteria","No Criteria","Missing Data")))))),(IF(I145="OK","No",(IF(J145="OK","No",(IF(J145="Exceeded","Needed",(IF(J145="No Criteria","No Criteria","Missing Data"))))))))))))),"---")</f>
        <v>---</v>
      </c>
      <c r="C145" s="457" t="str">
        <f>IF(TRUE=ISBLANK(ChemData!B145),"",(ChemData!B145))</f>
        <v/>
      </c>
      <c r="D145" s="502"/>
      <c r="E145" s="503"/>
      <c r="F145" s="289" t="str">
        <f>IF(TRUE=ISBLANK(ChemData!E145),"",(ChemData!E145))</f>
        <v/>
      </c>
      <c r="G145" s="291">
        <f>IF(TRUE=ISBLANK(ChemData!L145),"",(ChemData!L145))</f>
        <v>0.13</v>
      </c>
      <c r="H145" s="462"/>
      <c r="I145" s="461" t="str">
        <f>IF(Start!$C$19="x",IF(OR(C145="",C145="NA"),"",IF(OR(F145="",F145="NA"),"No Ref",(IF((C145*100/Data!$D$10)&gt;(F145*100/Data!$D$60),"Exceeded","OK")))),"---")</f>
        <v>---</v>
      </c>
      <c r="J145" s="377" t="str">
        <f>IF(Start!$C$19="x",IF(OR(C145="",C145="NA"),"",IF(OR(G145="",G145="NA"),"No Criteria",(IF(C145&gt;(G145*Data!$D$10/100),"Exceeded","OK")))),"---")</f>
        <v>---</v>
      </c>
      <c r="K145" s="462"/>
      <c r="L145" s="286" t="str">
        <f>IF(Start!$C$19="x",IF(C145="","NA",IF(F145="","No Ref", (IF(F145 = 0, "NA", ((C145*100/Data!$D$10)/(F145*100/Data!$D$60)))))),"Not Req.")</f>
        <v>Not Req.</v>
      </c>
      <c r="M145" s="285" t="str">
        <f>IF(Start!$C$19="x",IF(C145="","NA",IF(OR(G145="",G145="NA"),"No Criteria",(IF(G145 = 0, "NA", (C145/(G145*Data!$D$10/100)))))),"Not Req.")</f>
        <v>Not Req.</v>
      </c>
    </row>
    <row r="146" spans="1:13" s="10" customFormat="1" x14ac:dyDescent="0.25">
      <c r="A146" s="405" t="s">
        <v>464</v>
      </c>
      <c r="B146" s="456" t="str">
        <f>IF(Start!$C$19="x",IF(AND(H146="",I146="",J146=""),"",(IF(H146="OK","No",(IF(H146="Exceeded",(IF(J146="OK","No",(IF(J146="Exceeded","Needed",(IF(J146="No Criteria","No Criteria","Missing Data")))))),(IF(I146="OK","No",(IF(J146="OK","No",(IF(J146="Exceeded","Needed",(IF(J146="No Criteria","No Criteria","Missing Data"))))))))))))),"---")</f>
        <v>---</v>
      </c>
      <c r="C146" s="457" t="str">
        <f>IF(TRUE=ISBLANK(ChemData!B146),"",(ChemData!B146))</f>
        <v/>
      </c>
      <c r="D146" s="502"/>
      <c r="E146" s="503"/>
      <c r="F146" s="289" t="str">
        <f>IF(TRUE=ISBLANK(ChemData!E146),"",(ChemData!E146))</f>
        <v/>
      </c>
      <c r="G146" s="291">
        <f>IF(TRUE=ISBLANK(ChemData!L146),"",(ChemData!L146))</f>
        <v>3.4</v>
      </c>
      <c r="H146" s="462"/>
      <c r="I146" s="461" t="str">
        <f>IF(Start!$C$19="x",IF(OR(C146="",C146="NA"),"",IF(OR(F146="",F146="NA"),"No Ref",(IF((C146*100/Data!$D$10)&gt;(F146*100/Data!$D$60),"Exceeded","OK")))),"---")</f>
        <v>---</v>
      </c>
      <c r="J146" s="377" t="str">
        <f>IF(Start!$C$19="x",IF(OR(C146="",C146="NA"),"",IF(OR(G146="",G146="NA"),"No Criteria",(IF(C146&gt;(G146*Data!$D$10/100),"Exceeded","OK")))),"---")</f>
        <v>---</v>
      </c>
      <c r="K146" s="462"/>
      <c r="L146" s="286" t="str">
        <f>IF(Start!$C$19="x",IF(C146="","NA",IF(F146="","No Ref", (IF(F146 = 0, "NA", ((C146*100/Data!$D$10)/(F146*100/Data!$D$60)))))),"Not Req.")</f>
        <v>Not Req.</v>
      </c>
      <c r="M146" s="285" t="str">
        <f>IF(Start!$C$19="x",IF(C146="","NA",IF(OR(G146="",G146="NA"),"No Criteria",(IF(G146 = 0, "NA", (C146/(G146*Data!$D$10/100)))))),"Not Req.")</f>
        <v>Not Req.</v>
      </c>
    </row>
    <row r="147" spans="1:13" s="10" customFormat="1" x14ac:dyDescent="0.25">
      <c r="A147" s="405" t="s">
        <v>465</v>
      </c>
      <c r="B147" s="456" t="str">
        <f>IF(Start!$C$19="x",IF(AND(H147="",I147="",J147=""),"",(IF(H147="OK","No",(IF(H147="Exceeded",(IF(J147="OK","No",(IF(J147="Exceeded","Needed",(IF(J147="No Criteria","No Criteria","Missing Data")))))),(IF(I147="OK","No",(IF(J147="OK","No",(IF(J147="Exceeded","Needed",(IF(J147="No Criteria","No Criteria","Missing Data"))))))))))))),"---")</f>
        <v>---</v>
      </c>
      <c r="C147" s="457" t="str">
        <f>IF(TRUE=ISBLANK(ChemData!B147),"",(ChemData!B147))</f>
        <v/>
      </c>
      <c r="D147" s="502"/>
      <c r="E147" s="503"/>
      <c r="F147" s="289" t="str">
        <f>IF(TRUE=ISBLANK(ChemData!E147),"",(ChemData!E147))</f>
        <v/>
      </c>
      <c r="G147" s="291">
        <f>IF(TRUE=ISBLANK(ChemData!L147),"",(ChemData!L147))</f>
        <v>4.4000000000000004</v>
      </c>
      <c r="H147" s="462"/>
      <c r="I147" s="461" t="str">
        <f>IF(Start!$C$19="x",IF(OR(C147="",C147="NA"),"",IF(OR(F147="",F147="NA"),"No Ref",(IF((C147*100/Data!$D$10)&gt;(F147*100/Data!$D$60),"Exceeded","OK")))),"---")</f>
        <v>---</v>
      </c>
      <c r="J147" s="377" t="str">
        <f>IF(Start!$C$19="x",IF(OR(C147="",C147="NA"),"",IF(OR(G147="",G147="NA"),"No Criteria",(IF(C147&gt;(G147*Data!$D$10/100),"Exceeded","OK")))),"---")</f>
        <v>---</v>
      </c>
      <c r="K147" s="462"/>
      <c r="L147" s="286" t="str">
        <f>IF(Start!$C$19="x",IF(C147="","NA",IF(F147="","No Ref", (IF(F147 = 0, "NA", ((C147*100/Data!$D$10)/(F147*100/Data!$D$60)))))),"Not Req.")</f>
        <v>Not Req.</v>
      </c>
      <c r="M147" s="285" t="str">
        <f>IF(Start!$C$19="x",IF(C147="","NA",IF(OR(G147="",G147="NA"),"No Criteria",(IF(G147 = 0, "NA", (C147/(G147*Data!$D$10/100)))))),"Not Req.")</f>
        <v>Not Req.</v>
      </c>
    </row>
    <row r="148" spans="1:13" s="10" customFormat="1" x14ac:dyDescent="0.25">
      <c r="A148" s="405" t="s">
        <v>466</v>
      </c>
      <c r="B148" s="456" t="str">
        <f>IF(Start!$C$19="x",IF(AND(H148="",I148="",J148=""),"",(IF(H148="OK","No",(IF(H148="Exceeded",(IF(J148="OK","No",(IF(J148="Exceeded","Needed",(IF(J148="No Criteria","No Criteria","Missing Data")))))),(IF(I148="OK","No",(IF(J148="OK","No",(IF(J148="Exceeded","Needed",(IF(J148="No Criteria","No Criteria","Missing Data"))))))))))))),"---")</f>
        <v>---</v>
      </c>
      <c r="C148" s="457" t="str">
        <f>IF(TRUE=ISBLANK(ChemData!B148),"",(ChemData!B148))</f>
        <v/>
      </c>
      <c r="D148" s="502"/>
      <c r="E148" s="503"/>
      <c r="F148" s="289" t="str">
        <f>IF(TRUE=ISBLANK(ChemData!E148),"",(ChemData!E148))</f>
        <v/>
      </c>
      <c r="G148" s="291">
        <f>IF(TRUE=ISBLANK(ChemData!L148),"",(ChemData!L148))</f>
        <v>0.54</v>
      </c>
      <c r="H148" s="462"/>
      <c r="I148" s="461" t="str">
        <f>IF(Start!$C$19="x",IF(OR(C148="",C148="NA"),"",IF(OR(F148="",F148="NA"),"No Ref",(IF((C148*100/Data!$D$10)&gt;(F148*100/Data!$D$60),"Exceeded","OK")))),"---")</f>
        <v>---</v>
      </c>
      <c r="J148" s="377" t="str">
        <f>IF(Start!$C$19="x",IF(OR(C148="",C148="NA"),"",IF(OR(G148="",G148="NA"),"No Criteria",(IF(C148&gt;(G148*Data!$D$10/100),"Exceeded","OK")))),"---")</f>
        <v>---</v>
      </c>
      <c r="K148" s="462"/>
      <c r="L148" s="286" t="str">
        <f>IF(Start!$C$19="x",IF(C148="","NA",IF(F148="","No Ref", (IF(F148 = 0, "NA", ((C148*100/Data!$D$10)/(F148*100/Data!$D$60)))))),"Not Req.")</f>
        <v>Not Req.</v>
      </c>
      <c r="M148" s="285" t="str">
        <f>IF(Start!$C$19="x",IF(C148="","NA",IF(OR(G148="",G148="NA"),"No Criteria",(IF(G148 = 0, "NA", (C148/(G148*Data!$D$10/100)))))),"Not Req.")</f>
        <v>Not Req.</v>
      </c>
    </row>
    <row r="149" spans="1:13" s="10" customFormat="1" x14ac:dyDescent="0.25">
      <c r="A149" s="405" t="s">
        <v>670</v>
      </c>
      <c r="B149" s="456" t="str">
        <f>IF(Start!$C$19="x",IF(AND(H149="",I149="",J149=""),"",(IF(H149="OK","No",(IF(H149="Exceeded",(IF(J149="OK","No",(IF(J149="Exceeded","Needed",(IF(J149="No Criteria","No Criteria","Missing Data")))))),(IF(I149="OK","No",(IF(J149="OK","No",(IF(J149="Exceeded","Needed",(IF(J149="No Criteria","No Criteria","Missing Data"))))))))))))),"---")</f>
        <v>---</v>
      </c>
      <c r="C149" s="457" t="str">
        <f>IF(TRUE=ISBLANK(ChemData!B149),"",(ChemData!B149))</f>
        <v/>
      </c>
      <c r="D149" s="502"/>
      <c r="E149" s="503"/>
      <c r="F149" s="289" t="str">
        <f>IF(TRUE=ISBLANK(ChemData!E149),"",(ChemData!E149))</f>
        <v/>
      </c>
      <c r="G149" s="291">
        <f>IF(TRUE=ISBLANK(ChemData!L149),"",(ChemData!L149))</f>
        <v>54</v>
      </c>
      <c r="H149" s="462"/>
      <c r="I149" s="461" t="str">
        <f>IF(Start!$C$19="x",IF(OR(C149="",C149="NA"),"",IF(OR(F149="",F149="NA"),"No Ref",(IF((C149*100/Data!$D$10)&gt;(F149*100/Data!$D$60),"Exceeded","OK")))),"---")</f>
        <v>---</v>
      </c>
      <c r="J149" s="377" t="str">
        <f>IF(Start!$C$19="x",IF(OR(C149="",C149="NA"),"",IF(OR(G149="",G149="NA"),"No Criteria",(IF(C149&gt;(G149*Data!$D$10/100),"Exceeded","OK")))),"---")</f>
        <v>---</v>
      </c>
      <c r="K149" s="462"/>
      <c r="L149" s="286" t="str">
        <f>IF(Start!$C$19="x",IF(C149="","NA",IF(F149="","No Ref", (IF(F149 = 0, "NA", ((C149*100/Data!$D$10)/(F149*100/Data!$D$60)))))),"Not Req.")</f>
        <v>Not Req.</v>
      </c>
      <c r="M149" s="285" t="str">
        <f>IF(Start!$C$19="x",IF(C149="","NA",IF(OR(G149="",G149="NA"),"No Criteria",(IF(G149 = 0, "NA", (C149/(G149*Data!$D$10/100)))))),"Not Req.")</f>
        <v>Not Req.</v>
      </c>
    </row>
    <row r="150" spans="1:13" s="10" customFormat="1" x14ac:dyDescent="0.25">
      <c r="A150" s="405" t="s">
        <v>468</v>
      </c>
      <c r="B150" s="456" t="str">
        <f>IF(Start!$C$19="x",IF(AND(H150="",I150="",J150=""),"",(IF(H150="OK","No",(IF(H150="Exceeded",(IF(J150="OK","No",(IF(J150="Exceeded","Needed",(IF(J150="No Criteria","No Criteria","Missing Data")))))),(IF(I150="OK","No",(IF(J150="OK","No",(IF(J150="Exceeded","Needed",(IF(J150="No Criteria","No Criteria","Missing Data"))))))))))))),"---")</f>
        <v>---</v>
      </c>
      <c r="C150" s="457" t="str">
        <f>IF(TRUE=ISBLANK(ChemData!B150),"",(ChemData!B150))</f>
        <v/>
      </c>
      <c r="D150" s="502"/>
      <c r="E150" s="503"/>
      <c r="F150" s="289" t="str">
        <f>IF(TRUE=ISBLANK(ChemData!E150),"",(ChemData!E150))</f>
        <v/>
      </c>
      <c r="G150" s="291">
        <f>IF(TRUE=ISBLANK(ChemData!L150),"",(ChemData!L150))</f>
        <v>160</v>
      </c>
      <c r="H150" s="462"/>
      <c r="I150" s="461" t="str">
        <f>IF(Start!$C$19="x",IF(OR(C150="",C150="NA"),"",IF(OR(F150="",F150="NA"),"No Ref",(IF((C150*100/Data!$D$10)&gt;(F150*100/Data!$D$60),"Exceeded","OK")))),"---")</f>
        <v>---</v>
      </c>
      <c r="J150" s="377" t="str">
        <f>IF(Start!$C$19="x",IF(OR(C150="",C150="NA"),"",IF(OR(G150="",G150="NA"),"No Criteria",(IF(C150&gt;(G150*Data!$D$10/100),"Exceeded","OK")))),"---")</f>
        <v>---</v>
      </c>
      <c r="K150" s="462"/>
      <c r="L150" s="286" t="str">
        <f>IF(Start!$C$19="x",IF(C150="","NA",IF(F150="","No Ref", (IF(F150 = 0, "NA", ((C150*100/Data!$D$10)/(F150*100/Data!$D$60)))))),"Not Req.")</f>
        <v>Not Req.</v>
      </c>
      <c r="M150" s="285" t="str">
        <f>IF(Start!$C$19="x",IF(C150="","NA",IF(OR(G150="",G150="NA"),"No Criteria",(IF(G150 = 0, "NA", (C150/(G150*Data!$D$10/100)))))),"Not Req.")</f>
        <v>Not Req.</v>
      </c>
    </row>
    <row r="151" spans="1:13" s="10" customFormat="1" x14ac:dyDescent="0.25">
      <c r="A151" s="405" t="s">
        <v>469</v>
      </c>
      <c r="B151" s="456" t="str">
        <f>IF(Start!$C$19="x",IF(AND(H151="",I151="",J151=""),"",(IF(H151="OK","No",(IF(H151="Exceeded",(IF(J151="OK","No",(IF(J151="Exceeded","Needed",(IF(J151="No Criteria","No Criteria","Missing Data")))))),(IF(I151="OK","No",(IF(J151="OK","No",(IF(J151="Exceeded","Needed",(IF(J151="No Criteria","No Criteria","Missing Data"))))))))))))),"---")</f>
        <v>---</v>
      </c>
      <c r="C151" s="457" t="str">
        <f>IF(TRUE=ISBLANK(ChemData!B151),"",(ChemData!B151))</f>
        <v/>
      </c>
      <c r="D151" s="502"/>
      <c r="E151" s="503"/>
      <c r="F151" s="289" t="str">
        <f>IF(TRUE=ISBLANK(ChemData!E151),"",(ChemData!E151))</f>
        <v/>
      </c>
      <c r="G151" s="291">
        <f>IF(TRUE=ISBLANK(ChemData!L151),"",(ChemData!L151))</f>
        <v>0.26</v>
      </c>
      <c r="H151" s="462"/>
      <c r="I151" s="461" t="str">
        <f>IF(Start!$C$19="x",IF(OR(C151="",C151="NA"),"",IF(OR(F151="",F151="NA"),"No Ref",(IF((C151*100/Data!$D$10)&gt;(F151*100/Data!$D$60),"Exceeded","OK")))),"---")</f>
        <v>---</v>
      </c>
      <c r="J151" s="377" t="str">
        <f>IF(Start!$C$19="x",IF(OR(C151="",C151="NA"),"",IF(OR(G151="",G151="NA"),"No Criteria",(IF(C151&gt;(G151*Data!$D$10/100),"Exceeded","OK")))),"---")</f>
        <v>---</v>
      </c>
      <c r="K151" s="462"/>
      <c r="L151" s="286" t="str">
        <f>IF(Start!$C$19="x",IF(C151="","NA",IF(F151="","No Ref", (IF(F151 = 0, "NA", ((C151*100/Data!$D$10)/(F151*100/Data!$D$60)))))),"Not Req.")</f>
        <v>Not Req.</v>
      </c>
      <c r="M151" s="285" t="str">
        <f>IF(Start!$C$19="x",IF(C151="","NA",IF(OR(G151="",G151="NA"),"No Criteria",(IF(G151 = 0, "NA", (C151/(G151*Data!$D$10/100)))))),"Not Req.")</f>
        <v>Not Req.</v>
      </c>
    </row>
    <row r="152" spans="1:13" s="10" customFormat="1" x14ac:dyDescent="0.25">
      <c r="A152" s="405" t="s">
        <v>470</v>
      </c>
      <c r="B152" s="456" t="str">
        <f>IF(Start!$C$19="x",IF(AND(H152="",I152="",J152=""),"",(IF(H152="OK","No",(IF(H152="Exceeded",(IF(J152="OK","No",(IF(J152="Exceeded","Needed",(IF(J152="No Criteria","No Criteria","Missing Data")))))),(IF(I152="OK","No",(IF(J152="OK","No",(IF(J152="Exceeded","Needed",(IF(J152="No Criteria","No Criteria","Missing Data"))))))))))))),"---")</f>
        <v>---</v>
      </c>
      <c r="C152" s="457" t="str">
        <f>IF(TRUE=ISBLANK(ChemData!B152),"",(ChemData!B152))</f>
        <v/>
      </c>
      <c r="D152" s="502"/>
      <c r="E152" s="503"/>
      <c r="F152" s="289" t="str">
        <f>IF(TRUE=ISBLANK(ChemData!E152),"",(ChemData!E152))</f>
        <v/>
      </c>
      <c r="G152" s="291">
        <f>IF(TRUE=ISBLANK(ChemData!L152),"",(ChemData!L152))</f>
        <v>6.1</v>
      </c>
      <c r="H152" s="462"/>
      <c r="I152" s="461" t="str">
        <f>IF(Start!$C$19="x",IF(OR(C152="",C152="NA"),"",IF(OR(F152="",F152="NA"),"No Ref",(IF((C152*100/Data!$D$10)&gt;(F152*100/Data!$D$60),"Exceeded","OK")))),"---")</f>
        <v>---</v>
      </c>
      <c r="J152" s="377" t="str">
        <f>IF(Start!$C$19="x",IF(OR(C152="",C152="NA"),"",IF(OR(G152="",G152="NA"),"No Criteria",(IF(C152&gt;(G152*Data!$D$10/100),"Exceeded","OK")))),"---")</f>
        <v>---</v>
      </c>
      <c r="K152" s="462"/>
      <c r="L152" s="286" t="str">
        <f>IF(Start!$C$19="x",IF(C152="","NA",IF(F152="","No Ref", (IF(F152 = 0, "NA", ((C152*100/Data!$D$10)/(F152*100/Data!$D$60)))))),"Not Req.")</f>
        <v>Not Req.</v>
      </c>
      <c r="M152" s="285" t="str">
        <f>IF(Start!$C$19="x",IF(C152="","NA",IF(OR(G152="",G152="NA"),"No Criteria",(IF(G152 = 0, "NA", (C152/(G152*Data!$D$10/100)))))),"Not Req.")</f>
        <v>Not Req.</v>
      </c>
    </row>
    <row r="153" spans="1:13" s="10" customFormat="1" x14ac:dyDescent="0.25">
      <c r="A153" s="405" t="s">
        <v>471</v>
      </c>
      <c r="B153" s="456" t="str">
        <f>IF(Start!$C$19="x",IF(AND(H153="",I153="",J153=""),"",(IF(H153="OK","No",(IF(H153="Exceeded",(IF(J153="OK","No",(IF(J153="Exceeded","Needed",(IF(J153="No Criteria","No Criteria","Missing Data")))))),(IF(I153="OK","No",(IF(J153="OK","No",(IF(J153="Exceeded","Needed",(IF(J153="No Criteria","No Criteria","Missing Data"))))))))))))),"---")</f>
        <v>---</v>
      </c>
      <c r="C153" s="457" t="str">
        <f>IF(TRUE=ISBLANK(ChemData!B153),"",(ChemData!B153))</f>
        <v/>
      </c>
      <c r="D153" s="502"/>
      <c r="E153" s="503"/>
      <c r="F153" s="289" t="str">
        <f>IF(TRUE=ISBLANK(ChemData!E153),"",(ChemData!E153))</f>
        <v/>
      </c>
      <c r="G153" s="291">
        <f>IF(TRUE=ISBLANK(ChemData!L153),"",(ChemData!L153))</f>
        <v>5</v>
      </c>
      <c r="H153" s="462"/>
      <c r="I153" s="461" t="str">
        <f>IF(Start!$C$19="x",IF(OR(C153="",C153="NA"),"",IF(OR(F153="",F153="NA"),"No Ref",(IF((C153*100/Data!$D$10)&gt;(F153*100/Data!$D$60),"Exceeded","OK")))),"---")</f>
        <v>---</v>
      </c>
      <c r="J153" s="377" t="str">
        <f>IF(Start!$C$19="x",IF(OR(C153="",C153="NA"),"",IF(OR(G153="",G153="NA"),"No Criteria",(IF(C153&gt;(G153*Data!$D$10/100),"Exceeded","OK")))),"---")</f>
        <v>---</v>
      </c>
      <c r="K153" s="462"/>
      <c r="L153" s="286" t="str">
        <f>IF(Start!$C$19="x",IF(C153="","NA",IF(F153="","No Ref", (IF(F153 = 0, "NA", ((C153*100/Data!$D$10)/(F153*100/Data!$D$60)))))),"Not Req.")</f>
        <v>Not Req.</v>
      </c>
      <c r="M153" s="285" t="str">
        <f>IF(Start!$C$19="x",IF(C153="","NA",IF(OR(G153="",G153="NA"),"No Criteria",(IF(G153 = 0, "NA", (C153/(G153*Data!$D$10/100)))))),"Not Req.")</f>
        <v>Not Req.</v>
      </c>
    </row>
    <row r="154" spans="1:13" s="10" customFormat="1" x14ac:dyDescent="0.25">
      <c r="A154" s="405" t="s">
        <v>472</v>
      </c>
      <c r="B154" s="456" t="str">
        <f>IF(Start!$C$19="x",IF(AND(H154="",I154="",J154=""),"",(IF(H154="OK","No",(IF(H154="Exceeded",(IF(J154="OK","No",(IF(J154="Exceeded","Needed",(IF(J154="No Criteria","No Criteria","Missing Data")))))),(IF(I154="OK","No",(IF(J154="OK","No",(IF(J154="Exceeded","Needed",(IF(J154="No Criteria","No Criteria","Missing Data"))))))))))))),"---")</f>
        <v>---</v>
      </c>
      <c r="C154" s="457" t="str">
        <f>IF(TRUE=ISBLANK(ChemData!B154),"",(ChemData!B154))</f>
        <v/>
      </c>
      <c r="D154" s="502"/>
      <c r="E154" s="503"/>
      <c r="F154" s="289" t="str">
        <f>IF(TRUE=ISBLANK(ChemData!E154),"",(ChemData!E154))</f>
        <v/>
      </c>
      <c r="G154" s="291">
        <f>IF(TRUE=ISBLANK(ChemData!L154),"",(ChemData!L154))</f>
        <v>2.5</v>
      </c>
      <c r="H154" s="462"/>
      <c r="I154" s="461" t="str">
        <f>IF(Start!$C$19="x",IF(OR(C154="",C154="NA"),"",IF(OR(F154="",F154="NA"),"No Ref",(IF((C154*100/Data!$D$10)&gt;(F154*100/Data!$D$60),"Exceeded","OK")))),"---")</f>
        <v>---</v>
      </c>
      <c r="J154" s="377" t="str">
        <f>IF(Start!$C$19="x",IF(OR(C154="",C154="NA"),"",IF(OR(G154="",G154="NA"),"No Criteria",(IF(C154&gt;(G154*Data!$D$10/100),"Exceeded","OK")))),"---")</f>
        <v>---</v>
      </c>
      <c r="K154" s="462"/>
      <c r="L154" s="286" t="str">
        <f>IF(Start!$C$19="x",IF(C154="","NA",IF(F154="","No Ref", (IF(F154 = 0, "NA", ((C154*100/Data!$D$10)/(F154*100/Data!$D$60)))))),"Not Req.")</f>
        <v>Not Req.</v>
      </c>
      <c r="M154" s="285" t="str">
        <f>IF(Start!$C$19="x",IF(C154="","NA",IF(OR(G154="",G154="NA"),"No Criteria",(IF(G154 = 0, "NA", (C154/(G154*Data!$D$10/100)))))),"Not Req.")</f>
        <v>Not Req.</v>
      </c>
    </row>
    <row r="155" spans="1:13" s="10" customFormat="1" x14ac:dyDescent="0.25">
      <c r="A155" s="405" t="s">
        <v>671</v>
      </c>
      <c r="B155" s="456" t="str">
        <f>IF(Start!$C$19="x",IF(AND(H155="",I155="",J155=""),"",(IF(H155="OK","No",(IF(H155="Exceeded",(IF(J155="OK","No",(IF(J155="Exceeded","Needed",(IF(J155="No Criteria","No Criteria","Missing Data")))))),(IF(I155="OK","No",(IF(J155="OK","No",(IF(J155="Exceeded","Needed",(IF(J155="No Criteria","No Criteria","Missing Data"))))))))))))),"---")</f>
        <v>---</v>
      </c>
      <c r="C155" s="457" t="str">
        <f>IF(TRUE=ISBLANK(ChemData!B155),"",(ChemData!B155))</f>
        <v/>
      </c>
      <c r="D155" s="502"/>
      <c r="E155" s="503"/>
      <c r="F155" s="289" t="str">
        <f>IF(TRUE=ISBLANK(ChemData!E155),"",(ChemData!E155))</f>
        <v/>
      </c>
      <c r="G155" s="291">
        <f>IF(TRUE=ISBLANK(ChemData!L155),"",(ChemData!L155))</f>
        <v>3.7999999999999999E-2</v>
      </c>
      <c r="H155" s="462"/>
      <c r="I155" s="461" t="str">
        <f>IF(Start!$C$19="x",IF(OR(C155="",C155="NA"),"",IF(OR(F155="",F155="NA"),"No Ref",(IF((C155*100/Data!$D$10)&gt;(F155*100/Data!$D$60),"Exceeded","OK")))),"---")</f>
        <v>---</v>
      </c>
      <c r="J155" s="377" t="str">
        <f>IF(Start!$C$19="x",IF(OR(C155="",C155="NA"),"",IF(OR(G155="",G155="NA"),"No Criteria",(IF(C155&gt;(G155*Data!$D$10/100),"Exceeded","OK")))),"---")</f>
        <v>---</v>
      </c>
      <c r="K155" s="462"/>
      <c r="L155" s="286" t="str">
        <f>IF(Start!$C$19="x",IF(C155="","NA",IF(F155="","No Ref", (IF(F155 = 0, "NA", ((C155*100/Data!$D$10)/(F155*100/Data!$D$60)))))),"Not Req.")</f>
        <v>Not Req.</v>
      </c>
      <c r="M155" s="285" t="str">
        <f>IF(Start!$C$19="x",IF(C155="","NA",IF(OR(G155="",G155="NA"),"No Criteria",(IF(G155 = 0, "NA", (C155/(G155*Data!$D$10/100)))))),"Not Req.")</f>
        <v>Not Req.</v>
      </c>
    </row>
    <row r="156" spans="1:13" s="10" customFormat="1" x14ac:dyDescent="0.25">
      <c r="A156" s="405" t="s">
        <v>474</v>
      </c>
      <c r="B156" s="456" t="str">
        <f>IF(Start!$C$19="x",IF(AND(H156="",I156="",J156=""),"",(IF(H156="OK","No",(IF(H156="Exceeded",(IF(J156="OK","No",(IF(J156="Exceeded","Needed",(IF(J156="No Criteria","No Criteria","Missing Data")))))),(IF(I156="OK","No",(IF(J156="OK","No",(IF(J156="Exceeded","Needed",(IF(J156="No Criteria","No Criteria","Missing Data"))))))))))))),"---")</f>
        <v>---</v>
      </c>
      <c r="C156" s="457" t="str">
        <f>IF(TRUE=ISBLANK(ChemData!B156),"",(ChemData!B156))</f>
        <v/>
      </c>
      <c r="D156" s="502"/>
      <c r="E156" s="503"/>
      <c r="F156" s="289" t="str">
        <f>IF(TRUE=ISBLANK(ChemData!E156),"",(ChemData!E156))</f>
        <v/>
      </c>
      <c r="G156" s="291" t="str">
        <f>IF(TRUE=ISBLANK(ChemData!L156),"",(ChemData!L156))</f>
        <v>NA</v>
      </c>
      <c r="H156" s="462"/>
      <c r="I156" s="461" t="str">
        <f>IF(Start!$C$19="x",IF(OR(C156="",C156="NA"),"",IF(OR(F156="",F156="NA"),"No Ref",(IF((C156*100/Data!$D$10)&gt;(F156*100/Data!$D$60),"Exceeded","OK")))),"---")</f>
        <v>---</v>
      </c>
      <c r="J156" s="377" t="str">
        <f>IF(Start!$C$19="x",IF(OR(C156="",C156="NA"),"",IF(OR(G156="",G156="NA"),"No Criteria",(IF(C156&gt;(G156*Data!$D$10/100),"Exceeded","OK")))),"---")</f>
        <v>---</v>
      </c>
      <c r="K156" s="462"/>
      <c r="L156" s="286" t="str">
        <f>IF(Start!$C$19="x",IF(C156="","NA",IF(F156="","No Ref", (IF(F156 = 0, "NA", ((C156*100/Data!$D$10)/(F156*100/Data!$D$60)))))),"Not Req.")</f>
        <v>Not Req.</v>
      </c>
      <c r="M156" s="285" t="str">
        <f>IF(Start!$C$19="x",IF(C156="","NA",IF(OR(G156="",G156="NA"),"No Criteria",(IF(G156 = 0, "NA", (C156/(G156*Data!$D$10/100)))))),"Not Req.")</f>
        <v>Not Req.</v>
      </c>
    </row>
    <row r="157" spans="1:13" s="10" customFormat="1" x14ac:dyDescent="0.25">
      <c r="A157" s="405" t="s">
        <v>475</v>
      </c>
      <c r="B157" s="456" t="str">
        <f>IF(Start!$C$19="x",IF(AND(H157="",I157="",J157=""),"",(IF(H157="OK","No",(IF(H157="Exceeded",(IF(J157="OK","No",(IF(J157="Exceeded","Needed",(IF(J157="No Criteria","No Criteria","Missing Data")))))),(IF(I157="OK","No",(IF(J157="OK","No",(IF(J157="Exceeded","Needed",(IF(J157="No Criteria","No Criteria","Missing Data"))))))))))))),"---")</f>
        <v>---</v>
      </c>
      <c r="C157" s="457" t="str">
        <f>IF(TRUE=ISBLANK(ChemData!B157),"",(ChemData!B157))</f>
        <v/>
      </c>
      <c r="D157" s="502"/>
      <c r="E157" s="503"/>
      <c r="F157" s="289" t="str">
        <f>IF(TRUE=ISBLANK(ChemData!E157),"",(ChemData!E157))</f>
        <v/>
      </c>
      <c r="G157" s="291">
        <f>IF(TRUE=ISBLANK(ChemData!L157),"",(ChemData!L157))</f>
        <v>3.2</v>
      </c>
      <c r="H157" s="462"/>
      <c r="I157" s="461" t="str">
        <f>IF(Start!$C$19="x",IF(OR(C157="",C157="NA"),"",IF(OR(F157="",F157="NA"),"No Ref",(IF((C157*100/Data!$D$10)&gt;(F157*100/Data!$D$60),"Exceeded","OK")))),"---")</f>
        <v>---</v>
      </c>
      <c r="J157" s="377" t="str">
        <f>IF(Start!$C$19="x",IF(OR(C157="",C157="NA"),"",IF(OR(G157="",G157="NA"),"No Criteria",(IF(C157&gt;(G157*Data!$D$10/100),"Exceeded","OK")))),"---")</f>
        <v>---</v>
      </c>
      <c r="K157" s="462"/>
      <c r="L157" s="286" t="str">
        <f>IF(Start!$C$19="x",IF(C157="","NA",IF(F157="","No Ref", (IF(F157 = 0, "NA", ((C157*100/Data!$D$10)/(F157*100/Data!$D$60)))))),"Not Req.")</f>
        <v>Not Req.</v>
      </c>
      <c r="M157" s="285" t="str">
        <f>IF(Start!$C$19="x",IF(C157="","NA",IF(OR(G157="",G157="NA"),"No Criteria",(IF(G157 = 0, "NA", (C157/(G157*Data!$D$10/100)))))),"Not Req.")</f>
        <v>Not Req.</v>
      </c>
    </row>
    <row r="158" spans="1:13" s="10" customFormat="1" x14ac:dyDescent="0.25">
      <c r="A158" s="405" t="s">
        <v>476</v>
      </c>
      <c r="B158" s="456" t="str">
        <f>IF(Start!$C$19="x",IF(AND(H158="",I158="",J158=""),"",(IF(H158="OK","No",(IF(H158="Exceeded",(IF(J158="OK","No",(IF(J158="Exceeded","Needed",(IF(J158="No Criteria","No Criteria","Missing Data")))))),(IF(I158="OK","No",(IF(J158="OK","No",(IF(J158="Exceeded","Needed",(IF(J158="No Criteria","No Criteria","Missing Data"))))))))))))),"---")</f>
        <v>---</v>
      </c>
      <c r="C158" s="457" t="str">
        <f>IF(TRUE=ISBLANK(ChemData!B158),"",(ChemData!B158))</f>
        <v/>
      </c>
      <c r="D158" s="502"/>
      <c r="E158" s="503"/>
      <c r="F158" s="289" t="str">
        <f>IF(TRUE=ISBLANK(ChemData!E158),"",(ChemData!E158))</f>
        <v/>
      </c>
      <c r="G158" s="291">
        <f>IF(TRUE=ISBLANK(ChemData!L158),"",(ChemData!L158))</f>
        <v>9.1999999999999998E-3</v>
      </c>
      <c r="H158" s="462"/>
      <c r="I158" s="461" t="str">
        <f>IF(Start!$C$19="x",IF(OR(C158="",C158="NA"),"",IF(OR(F158="",F158="NA"),"No Ref",(IF((C158*100/Data!$D$10)&gt;(F158*100/Data!$D$60),"Exceeded","OK")))),"---")</f>
        <v>---</v>
      </c>
      <c r="J158" s="377" t="str">
        <f>IF(Start!$C$19="x",IF(OR(C158="",C158="NA"),"",IF(OR(G158="",G158="NA"),"No Criteria",(IF(C158&gt;(G158*Data!$D$10/100),"Exceeded","OK")))),"---")</f>
        <v>---</v>
      </c>
      <c r="K158" s="462"/>
      <c r="L158" s="286" t="str">
        <f>IF(Start!$C$19="x",IF(C158="","NA",IF(F158="","No Ref", (IF(F158 = 0, "NA", ((C158*100/Data!$D$10)/(F158*100/Data!$D$60)))))),"Not Req.")</f>
        <v>Not Req.</v>
      </c>
      <c r="M158" s="285" t="str">
        <f>IF(Start!$C$19="x",IF(C158="","NA",IF(OR(G158="",G158="NA"),"No Criteria",(IF(G158 = 0, "NA", (C158/(G158*Data!$D$10/100)))))),"Not Req.")</f>
        <v>Not Req.</v>
      </c>
    </row>
    <row r="159" spans="1:13" s="10" customFormat="1" x14ac:dyDescent="0.25">
      <c r="A159" s="405" t="s">
        <v>672</v>
      </c>
      <c r="B159" s="456" t="str">
        <f>IF(Start!$C$19="x",IF(AND(H159="",I159="",J159=""),"",(IF(H159="OK","No",(IF(H159="Exceeded",(IF(J159="OK","No",(IF(J159="Exceeded","Needed",(IF(J159="No Criteria","No Criteria","Missing Data")))))),(IF(I159="OK","No",(IF(J159="OK","No",(IF(J159="Exceeded","Needed",(IF(J159="No Criteria","No Criteria","Missing Data"))))))))))))),"---")</f>
        <v>---</v>
      </c>
      <c r="C159" s="457" t="str">
        <f>IF(TRUE=ISBLANK(ChemData!B159),"",(ChemData!B159))</f>
        <v/>
      </c>
      <c r="D159" s="502"/>
      <c r="E159" s="503"/>
      <c r="F159" s="289" t="str">
        <f>IF(TRUE=ISBLANK(ChemData!E159),"",(ChemData!E159))</f>
        <v/>
      </c>
      <c r="G159" s="291">
        <f>IF(TRUE=ISBLANK(ChemData!L159),"",(ChemData!L159))</f>
        <v>1.1999999999999999E-3</v>
      </c>
      <c r="H159" s="462"/>
      <c r="I159" s="461" t="str">
        <f>IF(Start!$C$19="x",IF(OR(C159="",C159="NA"),"",IF(OR(F159="",F159="NA"),"No Ref",(IF((C159*100/Data!$D$10)&gt;(F159*100/Data!$D$60),"Exceeded","OK")))),"---")</f>
        <v>---</v>
      </c>
      <c r="J159" s="377" t="str">
        <f>IF(Start!$C$19="x",IF(OR(C159="",C159="NA"),"",IF(OR(G159="",G159="NA"),"No Criteria",(IF(C159&gt;(G159*Data!$D$10/100),"Exceeded","OK")))),"---")</f>
        <v>---</v>
      </c>
      <c r="K159" s="462"/>
      <c r="L159" s="286" t="str">
        <f>IF(Start!$C$19="x",IF(C159="","NA",IF(F159="","No Ref", (IF(F159 = 0, "NA", ((C159*100/Data!$D$10)/(F159*100/Data!$D$60)))))),"Not Req.")</f>
        <v>Not Req.</v>
      </c>
      <c r="M159" s="285" t="str">
        <f>IF(Start!$C$19="x",IF(C159="","NA",IF(OR(G159="",G159="NA"),"No Criteria",(IF(G159 = 0, "NA", (C159/(G159*Data!$D$10/100)))))),"Not Req.")</f>
        <v>Not Req.</v>
      </c>
    </row>
    <row r="160" spans="1:13" s="10" customFormat="1" x14ac:dyDescent="0.25">
      <c r="A160" s="405" t="s">
        <v>673</v>
      </c>
      <c r="B160" s="456" t="str">
        <f>IF(Start!$C$19="x",IF(AND(H160="",I160="",J160=""),"",(IF(H160="OK","No",(IF(H160="Exceeded",(IF(J160="OK","No",(IF(J160="Exceeded","Needed",(IF(J160="No Criteria","No Criteria","Missing Data")))))),(IF(I160="OK","No",(IF(J160="OK","No",(IF(J160="Exceeded","Needed",(IF(J160="No Criteria","No Criteria","Missing Data"))))))))))))),"---")</f>
        <v>---</v>
      </c>
      <c r="C160" s="457" t="str">
        <f>IF(TRUE=ISBLANK(ChemData!B160),"",(ChemData!B160))</f>
        <v/>
      </c>
      <c r="D160" s="502"/>
      <c r="E160" s="503"/>
      <c r="F160" s="289" t="str">
        <f>IF(TRUE=ISBLANK(ChemData!E160),"",(ChemData!E160))</f>
        <v/>
      </c>
      <c r="G160" s="291">
        <f>IF(TRUE=ISBLANK(ChemData!L160),"",(ChemData!L160))</f>
        <v>100</v>
      </c>
      <c r="H160" s="462"/>
      <c r="I160" s="461" t="str">
        <f>IF(Start!$C$19="x",IF(OR(C160="",C160="NA"),"",IF(OR(F160="",F160="NA"),"No Ref",(IF((C160*100/Data!$D$10)&gt;(F160*100/Data!$D$60),"Exceeded","OK")))),"---")</f>
        <v>---</v>
      </c>
      <c r="J160" s="377" t="str">
        <f>IF(Start!$C$19="x",IF(OR(C160="",C160="NA"),"",IF(OR(G160="",G160="NA"),"No Criteria",(IF(C160&gt;(G160*Data!$D$10/100),"Exceeded","OK")))),"---")</f>
        <v>---</v>
      </c>
      <c r="K160" s="462"/>
      <c r="L160" s="286" t="str">
        <f>IF(Start!$C$19="x",IF(C160="","NA",IF(F160="","No Ref", (IF(F160 = 0, "NA", ((C160*100/Data!$D$10)/(F160*100/Data!$D$60)))))),"Not Req.")</f>
        <v>Not Req.</v>
      </c>
      <c r="M160" s="285" t="str">
        <f>IF(Start!$C$19="x",IF(C160="","NA",IF(OR(G160="",G160="NA"),"No Criteria",(IF(G160 = 0, "NA", (C160/(G160*Data!$D$10/100)))))),"Not Req.")</f>
        <v>Not Req.</v>
      </c>
    </row>
    <row r="161" spans="1:13" s="10" customFormat="1" x14ac:dyDescent="0.25">
      <c r="A161" s="405" t="s">
        <v>479</v>
      </c>
      <c r="B161" s="456" t="str">
        <f>IF(Start!$C$19="x",IF(AND(H161="",I161="",J161=""),"",(IF(H161="OK","No",(IF(H161="Exceeded",(IF(J161="OK","No",(IF(J161="Exceeded","Needed",(IF(J161="No Criteria","No Criteria","Missing Data")))))),(IF(I161="OK","No",(IF(J161="OK","No",(IF(J161="Exceeded","Needed",(IF(J161="No Criteria","No Criteria","Missing Data"))))))))))))),"---")</f>
        <v>---</v>
      </c>
      <c r="C161" s="457" t="str">
        <f>IF(TRUE=ISBLANK(ChemData!B161),"",(ChemData!B161))</f>
        <v/>
      </c>
      <c r="D161" s="502"/>
      <c r="E161" s="503"/>
      <c r="F161" s="289" t="str">
        <f>IF(TRUE=ISBLANK(ChemData!E161),"",(ChemData!E161))</f>
        <v/>
      </c>
      <c r="G161" s="291">
        <f>IF(TRUE=ISBLANK(ChemData!L161),"",(ChemData!L161))</f>
        <v>0.65</v>
      </c>
      <c r="H161" s="462"/>
      <c r="I161" s="461" t="str">
        <f>IF(Start!$C$19="x",IF(OR(C161="",C161="NA"),"",IF(OR(F161="",F161="NA"),"No Ref",(IF((C161*100/Data!$D$10)&gt;(F161*100/Data!$D$60),"Exceeded","OK")))),"---")</f>
        <v>---</v>
      </c>
      <c r="J161" s="377" t="str">
        <f>IF(Start!$C$19="x",IF(OR(C161="",C161="NA"),"",IF(OR(G161="",G161="NA"),"No Criteria",(IF(C161&gt;(G161*Data!$D$10/100),"Exceeded","OK")))),"---")</f>
        <v>---</v>
      </c>
      <c r="K161" s="462"/>
      <c r="L161" s="286" t="str">
        <f>IF(Start!$C$19="x",IF(C161="","NA",IF(F161="","No Ref", (IF(F161 = 0, "NA", ((C161*100/Data!$D$10)/(F161*100/Data!$D$60)))))),"Not Req.")</f>
        <v>Not Req.</v>
      </c>
      <c r="M161" s="285" t="str">
        <f>IF(Start!$C$19="x",IF(C161="","NA",IF(OR(G161="",G161="NA"),"No Criteria",(IF(G161 = 0, "NA", (C161/(G161*Data!$D$10/100)))))),"Not Req.")</f>
        <v>Not Req.</v>
      </c>
    </row>
    <row r="162" spans="1:13" s="10" customFormat="1" x14ac:dyDescent="0.25">
      <c r="A162" s="405" t="s">
        <v>480</v>
      </c>
      <c r="B162" s="456" t="str">
        <f>IF(Start!$C$19="x",IF(AND(H162="",I162="",J162=""),"",(IF(H162="OK","No",(IF(H162="Exceeded",(IF(J162="OK","No",(IF(J162="Exceeded","Needed",(IF(J162="No Criteria","No Criteria","Missing Data")))))),(IF(I162="OK","No",(IF(J162="OK","No",(IF(J162="Exceeded","Needed",(IF(J162="No Criteria","No Criteria","Missing Data"))))))))))))),"---")</f>
        <v>---</v>
      </c>
      <c r="C162" s="457" t="str">
        <f>IF(TRUE=ISBLANK(ChemData!B162),"",(ChemData!B162))</f>
        <v/>
      </c>
      <c r="D162" s="502"/>
      <c r="E162" s="503"/>
      <c r="F162" s="289" t="str">
        <f>IF(TRUE=ISBLANK(ChemData!E162),"",(ChemData!E162))</f>
        <v/>
      </c>
      <c r="G162" s="291">
        <f>IF(TRUE=ISBLANK(ChemData!L162),"",(ChemData!L162))</f>
        <v>0.1</v>
      </c>
      <c r="H162" s="462"/>
      <c r="I162" s="461" t="str">
        <f>IF(Start!$C$19="x",IF(OR(C162="",C162="NA"),"",IF(OR(F162="",F162="NA"),"No Ref",(IF((C162*100/Data!$D$10)&gt;(F162*100/Data!$D$60),"Exceeded","OK")))),"---")</f>
        <v>---</v>
      </c>
      <c r="J162" s="377" t="str">
        <f>IF(Start!$C$19="x",IF(OR(C162="",C162="NA"),"",IF(OR(G162="",G162="NA"),"No Criteria",(IF(C162&gt;(G162*Data!$D$10/100),"Exceeded","OK")))),"---")</f>
        <v>---</v>
      </c>
      <c r="K162" s="462"/>
      <c r="L162" s="286" t="str">
        <f>IF(Start!$C$19="x",IF(C162="","NA",IF(F162="","No Ref", (IF(F162 = 0, "NA", ((C162*100/Data!$D$10)/(F162*100/Data!$D$60)))))),"Not Req.")</f>
        <v>Not Req.</v>
      </c>
      <c r="M162" s="285" t="str">
        <f>IF(Start!$C$19="x",IF(C162="","NA",IF(OR(G162="",G162="NA"),"No Criteria",(IF(G162 = 0, "NA", (C162/(G162*Data!$D$10/100)))))),"Not Req.")</f>
        <v>Not Req.</v>
      </c>
    </row>
    <row r="163" spans="1:13" s="10" customFormat="1" x14ac:dyDescent="0.25">
      <c r="A163" s="308" t="s">
        <v>481</v>
      </c>
      <c r="B163" s="456" t="str">
        <f>IF(Start!$C$19="x",IF(AND(H163="",I163="",J163=""),"",(IF(H163="OK","No",(IF(H163="Exceeded",(IF(J163="OK","No",(IF(J163="Exceeded","Needed",(IF(J163="No Criteria","No Criteria","Missing Data")))))),(IF(I163="OK","No",(IF(J163="OK","No",(IF(J163="Exceeded","Needed",(IF(J163="No Criteria","No Criteria","Missing Data"))))))))))))),"---")</f>
        <v>---</v>
      </c>
      <c r="C163" s="457" t="str">
        <f>IF(TRUE=ISBLANK(ChemData!B163),"",(ChemData!B163))</f>
        <v/>
      </c>
      <c r="D163" s="502"/>
      <c r="E163" s="503"/>
      <c r="F163" s="289" t="str">
        <f>IF(TRUE=ISBLANK(ChemData!E163),"",(ChemData!E163))</f>
        <v/>
      </c>
      <c r="G163" s="291">
        <f>IF(TRUE=ISBLANK(ChemData!L163),"",(ChemData!L163))</f>
        <v>0.19</v>
      </c>
      <c r="H163" s="462"/>
      <c r="I163" s="461" t="str">
        <f>IF(Start!$C$19="x",IF(OR(C163="",C163="NA"),"",IF(OR(F163="",F163="NA"),"No Ref",(IF((C163*100/Data!$D$10)&gt;(F163*100/Data!$D$60),"Exceeded","OK")))),"---")</f>
        <v>---</v>
      </c>
      <c r="J163" s="377" t="str">
        <f>IF(Start!$C$19="x",IF(OR(C163="",C163="NA"),"",IF(OR(G163="",G163="NA"),"No Criteria",(IF(C163&gt;(G163*Data!$D$10/100),"Exceeded","OK")))),"---")</f>
        <v>---</v>
      </c>
      <c r="K163" s="462"/>
      <c r="L163" s="286" t="str">
        <f>IF(Start!$C$19="x",IF(C163="","NA",IF(F163="","No Ref", (IF(F163 = 0, "NA", ((C163*100/Data!$D$10)/(F163*100/Data!$D$60)))))),"Not Req.")</f>
        <v>Not Req.</v>
      </c>
      <c r="M163" s="285" t="str">
        <f>IF(Start!$C$19="x",IF(C163="","NA",IF(OR(G163="",G163="NA"),"No Criteria",(IF(G163 = 0, "NA", (C163/(G163*Data!$D$10/100)))))),"Not Req.")</f>
        <v>Not Req.</v>
      </c>
    </row>
    <row r="164" spans="1:13" s="10" customFormat="1" x14ac:dyDescent="0.25">
      <c r="A164" s="405" t="s">
        <v>482</v>
      </c>
      <c r="B164" s="456" t="str">
        <f>IF(Start!$C$19="x",IF(AND(H164="",I164="",J164=""),"",(IF(H164="OK","No",(IF(H164="Exceeded",(IF(J164="OK","No",(IF(J164="Exceeded","Needed",(IF(J164="No Criteria","No Criteria","Missing Data")))))),(IF(I164="OK","No",(IF(J164="OK","No",(IF(J164="Exceeded","Needed",(IF(J164="No Criteria","No Criteria","Missing Data"))))))))))))),"---")</f>
        <v>---</v>
      </c>
      <c r="C164" s="457" t="str">
        <f>IF(TRUE=ISBLANK(ChemData!B164),"",(ChemData!B164))</f>
        <v/>
      </c>
      <c r="D164" s="502"/>
      <c r="E164" s="503"/>
      <c r="F164" s="289" t="str">
        <f>IF(TRUE=ISBLANK(ChemData!E164),"",(ChemData!E164))</f>
        <v/>
      </c>
      <c r="G164" s="291">
        <f>IF(TRUE=ISBLANK(ChemData!L164),"",(ChemData!L164))</f>
        <v>1.6</v>
      </c>
      <c r="H164" s="462"/>
      <c r="I164" s="461" t="str">
        <f>IF(Start!$C$19="x",IF(OR(C164="",C164="NA"),"",IF(OR(F164="",F164="NA"),"No Ref",(IF((C164*100/Data!$D$10)&gt;(F164*100/Data!$D$60),"Exceeded","OK")))),"---")</f>
        <v>---</v>
      </c>
      <c r="J164" s="377" t="str">
        <f>IF(Start!$C$19="x",IF(OR(C164="",C164="NA"),"",IF(OR(G164="",G164="NA"),"No Criteria",(IF(C164&gt;(G164*Data!$D$10/100),"Exceeded","OK")))),"---")</f>
        <v>---</v>
      </c>
      <c r="K164" s="462"/>
      <c r="L164" s="286" t="str">
        <f>IF(Start!$C$19="x",IF(C164="","NA",IF(F164="","No Ref", (IF(F164 = 0, "NA", ((C164*100/Data!$D$10)/(F164*100/Data!$D$60)))))),"Not Req.")</f>
        <v>Not Req.</v>
      </c>
      <c r="M164" s="285" t="str">
        <f>IF(Start!$C$19="x",IF(C164="","NA",IF(OR(G164="",G164="NA"),"No Criteria",(IF(G164 = 0, "NA", (C164/(G164*Data!$D$10/100)))))),"Not Req.")</f>
        <v>Not Req.</v>
      </c>
    </row>
    <row r="165" spans="1:13" s="10" customFormat="1" x14ac:dyDescent="0.25">
      <c r="A165" s="405" t="s">
        <v>483</v>
      </c>
      <c r="B165" s="456" t="str">
        <f>IF(Start!$C$19="x",IF(AND(H165="",I165="",J165=""),"",(IF(H165="OK","No",(IF(H165="Exceeded",(IF(J165="OK","No",(IF(J165="Exceeded","Needed",(IF(J165="No Criteria","No Criteria","Missing Data")))))),(IF(I165="OK","No",(IF(J165="OK","No",(IF(J165="Exceeded","Needed",(IF(J165="No Criteria","No Criteria","Missing Data"))))))))))))),"---")</f>
        <v>---</v>
      </c>
      <c r="C165" s="457" t="str">
        <f>IF(TRUE=ISBLANK(ChemData!B165),"",(ChemData!B165))</f>
        <v/>
      </c>
      <c r="D165" s="502"/>
      <c r="E165" s="503"/>
      <c r="F165" s="289" t="str">
        <f>IF(TRUE=ISBLANK(ChemData!E165),"",(ChemData!E165))</f>
        <v/>
      </c>
      <c r="G165" s="291">
        <f>IF(TRUE=ISBLANK(ChemData!L165),"",(ChemData!L165))</f>
        <v>2.2999999999999998</v>
      </c>
      <c r="H165" s="462"/>
      <c r="I165" s="461" t="str">
        <f>IF(Start!$C$19="x",IF(OR(C165="",C165="NA"),"",IF(OR(F165="",F165="NA"),"No Ref",(IF((C165*100/Data!$D$10)&gt;(F165*100/Data!$D$60),"Exceeded","OK")))),"---")</f>
        <v>---</v>
      </c>
      <c r="J165" s="377" t="str">
        <f>IF(Start!$C$19="x",IF(OR(C165="",C165="NA"),"",IF(OR(G165="",G165="NA"),"No Criteria",(IF(C165&gt;(G165*Data!$D$10/100),"Exceeded","OK")))),"---")</f>
        <v>---</v>
      </c>
      <c r="K165" s="462"/>
      <c r="L165" s="286" t="str">
        <f>IF(Start!$C$19="x",IF(C165="","NA",IF(F165="","No Ref", (IF(F165 = 0, "NA", ((C165*100/Data!$D$10)/(F165*100/Data!$D$60)))))),"Not Req.")</f>
        <v>Not Req.</v>
      </c>
      <c r="M165" s="285" t="str">
        <f>IF(Start!$C$19="x",IF(C165="","NA",IF(OR(G165="",G165="NA"),"No Criteria",(IF(G165 = 0, "NA", (C165/(G165*Data!$D$10/100)))))),"Not Req.")</f>
        <v>Not Req.</v>
      </c>
    </row>
    <row r="166" spans="1:13" s="10" customFormat="1" x14ac:dyDescent="0.25">
      <c r="A166" s="405" t="s">
        <v>484</v>
      </c>
      <c r="B166" s="456" t="str">
        <f>IF(Start!$C$19="x",IF(AND(H166="",I166="",J166=""),"",(IF(H166="OK","No",(IF(H166="Exceeded",(IF(J166="OK","No",(IF(J166="Exceeded","Needed",(IF(J166="No Criteria","No Criteria","Missing Data")))))),(IF(I166="OK","No",(IF(J166="OK","No",(IF(J166="Exceeded","Needed",(IF(J166="No Criteria","No Criteria","Missing Data"))))))))))))),"---")</f>
        <v>---</v>
      </c>
      <c r="C166" s="457" t="str">
        <f>IF(TRUE=ISBLANK(ChemData!B166),"",(ChemData!B166))</f>
        <v/>
      </c>
      <c r="D166" s="502"/>
      <c r="E166" s="503"/>
      <c r="F166" s="289" t="str">
        <f>IF(TRUE=ISBLANK(ChemData!E166),"",(ChemData!E166))</f>
        <v/>
      </c>
      <c r="G166" s="291">
        <f>IF(TRUE=ISBLANK(ChemData!L166),"",(ChemData!L166))</f>
        <v>0.11</v>
      </c>
      <c r="H166" s="462"/>
      <c r="I166" s="461" t="str">
        <f>IF(Start!$C$19="x",IF(OR(C166="",C166="NA"),"",IF(OR(F166="",F166="NA"),"No Ref",(IF((C166*100/Data!$D$10)&gt;(F166*100/Data!$D$60),"Exceeded","OK")))),"---")</f>
        <v>---</v>
      </c>
      <c r="J166" s="377" t="str">
        <f>IF(Start!$C$19="x",IF(OR(C166="",C166="NA"),"",IF(OR(G166="",G166="NA"),"No Criteria",(IF(C166&gt;(G166*Data!$D$10/100),"Exceeded","OK")))),"---")</f>
        <v>---</v>
      </c>
      <c r="K166" s="462"/>
      <c r="L166" s="286" t="str">
        <f>IF(Start!$C$19="x",IF(C166="","NA",IF(F166="","No Ref", (IF(F166 = 0, "NA", ((C166*100/Data!$D$10)/(F166*100/Data!$D$60)))))),"Not Req.")</f>
        <v>Not Req.</v>
      </c>
      <c r="M166" s="285" t="str">
        <f>IF(Start!$C$19="x",IF(C166="","NA",IF(OR(G166="",G166="NA"),"No Criteria",(IF(G166 = 0, "NA", (C166/(G166*Data!$D$10/100)))))),"Not Req.")</f>
        <v>Not Req.</v>
      </c>
    </row>
    <row r="167" spans="1:13" s="10" customFormat="1" x14ac:dyDescent="0.25">
      <c r="A167" s="405" t="s">
        <v>485</v>
      </c>
      <c r="B167" s="456" t="str">
        <f>IF(Start!$C$19="x",IF(AND(H167="",I167="",J167=""),"",(IF(H167="OK","No",(IF(H167="Exceeded",(IF(J167="OK","No",(IF(J167="Exceeded","Needed",(IF(J167="No Criteria","No Criteria","Missing Data")))))),(IF(I167="OK","No",(IF(J167="OK","No",(IF(J167="Exceeded","Needed",(IF(J167="No Criteria","No Criteria","Missing Data"))))))))))))),"---")</f>
        <v>---</v>
      </c>
      <c r="C167" s="457" t="str">
        <f>IF(TRUE=ISBLANK(ChemData!B167),"",(ChemData!B167))</f>
        <v/>
      </c>
      <c r="D167" s="502"/>
      <c r="E167" s="503"/>
      <c r="F167" s="289" t="str">
        <f>IF(TRUE=ISBLANK(ChemData!E167),"",(ChemData!E167))</f>
        <v/>
      </c>
      <c r="G167" s="291">
        <f>IF(TRUE=ISBLANK(ChemData!L167),"",(ChemData!L167))</f>
        <v>0.12</v>
      </c>
      <c r="H167" s="462"/>
      <c r="I167" s="461" t="str">
        <f>IF(Start!$C$19="x",IF(OR(C167="",C167="NA"),"",IF(OR(F167="",F167="NA"),"No Ref",(IF((C167*100/Data!$D$10)&gt;(F167*100/Data!$D$60),"Exceeded","OK")))),"---")</f>
        <v>---</v>
      </c>
      <c r="J167" s="377" t="str">
        <f>IF(Start!$C$19="x",IF(OR(C167="",C167="NA"),"",IF(OR(G167="",G167="NA"),"No Criteria",(IF(C167&gt;(G167*Data!$D$10/100),"Exceeded","OK")))),"---")</f>
        <v>---</v>
      </c>
      <c r="K167" s="462"/>
      <c r="L167" s="286" t="str">
        <f>IF(Start!$C$19="x",IF(C167="","NA",IF(F167="","No Ref", (IF(F167 = 0, "NA", ((C167*100/Data!$D$10)/(F167*100/Data!$D$60)))))),"Not Req.")</f>
        <v>Not Req.</v>
      </c>
      <c r="M167" s="285" t="str">
        <f>IF(Start!$C$19="x",IF(C167="","NA",IF(OR(G167="",G167="NA"),"No Criteria",(IF(G167 = 0, "NA", (C167/(G167*Data!$D$10/100)))))),"Not Req.")</f>
        <v>Not Req.</v>
      </c>
    </row>
    <row r="168" spans="1:13" s="10" customFormat="1" x14ac:dyDescent="0.25">
      <c r="A168" s="405" t="s">
        <v>486</v>
      </c>
      <c r="B168" s="456" t="str">
        <f>IF(Start!$C$19="x",IF(AND(H168="",I168="",J168=""),"",(IF(H168="OK","No",(IF(H168="Exceeded",(IF(J168="OK","No",(IF(J168="Exceeded","Needed",(IF(J168="No Criteria","No Criteria","Missing Data")))))),(IF(I168="OK","No",(IF(J168="OK","No",(IF(J168="Exceeded","Needed",(IF(J168="No Criteria","No Criteria","Missing Data"))))))))))))),"---")</f>
        <v>---</v>
      </c>
      <c r="C168" s="457" t="str">
        <f>IF(TRUE=ISBLANK(ChemData!B168),"",(ChemData!B168))</f>
        <v/>
      </c>
      <c r="D168" s="502"/>
      <c r="E168" s="503"/>
      <c r="F168" s="289" t="str">
        <f>IF(TRUE=ISBLANK(ChemData!E168),"",(ChemData!E168))</f>
        <v/>
      </c>
      <c r="G168" s="291">
        <f>IF(TRUE=ISBLANK(ChemData!L168),"",(ChemData!L168))</f>
        <v>0.12</v>
      </c>
      <c r="H168" s="462"/>
      <c r="I168" s="461" t="str">
        <f>IF(Start!$C$19="x",IF(OR(C168="",C168="NA"),"",IF(OR(F168="",F168="NA"),"No Ref",(IF((C168*100/Data!$D$10)&gt;(F168*100/Data!$D$60),"Exceeded","OK")))),"---")</f>
        <v>---</v>
      </c>
      <c r="J168" s="377" t="str">
        <f>IF(Start!$C$19="x",IF(OR(C168="",C168="NA"),"",IF(OR(G168="",G168="NA"),"No Criteria",(IF(C168&gt;(G168*Data!$D$10/100),"Exceeded","OK")))),"---")</f>
        <v>---</v>
      </c>
      <c r="K168" s="462"/>
      <c r="L168" s="286" t="str">
        <f>IF(Start!$C$19="x",IF(C168="","NA",IF(F168="","No Ref", (IF(F168 = 0, "NA", ((C168*100/Data!$D$10)/(F168*100/Data!$D$60)))))),"Not Req.")</f>
        <v>Not Req.</v>
      </c>
      <c r="M168" s="285" t="str">
        <f>IF(Start!$C$19="x",IF(C168="","NA",IF(OR(G168="",G168="NA"),"No Criteria",(IF(G168 = 0, "NA", (C168/(G168*Data!$D$10/100)))))),"Not Req.")</f>
        <v>Not Req.</v>
      </c>
    </row>
    <row r="169" spans="1:13" s="10" customFormat="1" x14ac:dyDescent="0.25">
      <c r="A169" s="405" t="s">
        <v>487</v>
      </c>
      <c r="B169" s="456" t="str">
        <f>IF(Start!$C$19="x",IF(AND(H169="",I169="",J169=""),"",(IF(H169="OK","No",(IF(H169="Exceeded",(IF(J169="OK","No",(IF(J169="Exceeded","Needed",(IF(J169="No Criteria","No Criteria","Missing Data")))))),(IF(I169="OK","No",(IF(J169="OK","No",(IF(J169="Exceeded","Needed",(IF(J169="No Criteria","No Criteria","Missing Data"))))))))))))),"---")</f>
        <v>---</v>
      </c>
      <c r="C169" s="457" t="str">
        <f>IF(TRUE=ISBLANK(ChemData!B169),"",(ChemData!B169))</f>
        <v/>
      </c>
      <c r="D169" s="502"/>
      <c r="E169" s="503"/>
      <c r="F169" s="289" t="str">
        <f>IF(TRUE=ISBLANK(ChemData!E169),"",(ChemData!E169))</f>
        <v/>
      </c>
      <c r="G169" s="291">
        <f>IF(TRUE=ISBLANK(ChemData!L169),"",(ChemData!L169))</f>
        <v>46</v>
      </c>
      <c r="H169" s="462"/>
      <c r="I169" s="461" t="str">
        <f>IF(Start!$C$19="x",IF(OR(C169="",C169="NA"),"",IF(OR(F169="",F169="NA"),"No Ref",(IF((C169*100/Data!$D$10)&gt;(F169*100/Data!$D$60),"Exceeded","OK")))),"---")</f>
        <v>---</v>
      </c>
      <c r="J169" s="377" t="str">
        <f>IF(Start!$C$19="x",IF(OR(C169="",C169="NA"),"",IF(OR(G169="",G169="NA"),"No Criteria",(IF(C169&gt;(G169*Data!$D$10/100),"Exceeded","OK")))),"---")</f>
        <v>---</v>
      </c>
      <c r="K169" s="462"/>
      <c r="L169" s="286" t="str">
        <f>IF(Start!$C$19="x",IF(C169="","NA",IF(F169="","No Ref", (IF(F169 = 0, "NA", ((C169*100/Data!$D$10)/(F169*100/Data!$D$60)))))),"Not Req.")</f>
        <v>Not Req.</v>
      </c>
      <c r="M169" s="285" t="str">
        <f>IF(Start!$C$19="x",IF(C169="","NA",IF(OR(G169="",G169="NA"),"No Criteria",(IF(G169 = 0, "NA", (C169/(G169*Data!$D$10/100)))))),"Not Req.")</f>
        <v>Not Req.</v>
      </c>
    </row>
    <row r="170" spans="1:13" s="10" customFormat="1" x14ac:dyDescent="0.25">
      <c r="A170" s="405" t="s">
        <v>488</v>
      </c>
      <c r="B170" s="456" t="str">
        <f>IF(Start!$C$19="x",IF(AND(H170="",I170="",J170=""),"",(IF(H170="OK","No",(IF(H170="Exceeded",(IF(J170="OK","No",(IF(J170="Exceeded","Needed",(IF(J170="No Criteria","No Criteria","Missing Data")))))),(IF(I170="OK","No",(IF(J170="OK","No",(IF(J170="Exceeded","Needed",(IF(J170="No Criteria","No Criteria","Missing Data"))))))))))))),"---")</f>
        <v>---</v>
      </c>
      <c r="C170" s="457" t="str">
        <f>IF(TRUE=ISBLANK(ChemData!B170),"",(ChemData!B170))</f>
        <v/>
      </c>
      <c r="D170" s="502"/>
      <c r="E170" s="503"/>
      <c r="F170" s="289" t="str">
        <f>IF(TRUE=ISBLANK(ChemData!E170),"",(ChemData!E170))</f>
        <v/>
      </c>
      <c r="G170" s="291">
        <f>IF(TRUE=ISBLANK(ChemData!L170),"",(ChemData!L170))</f>
        <v>500</v>
      </c>
      <c r="H170" s="462"/>
      <c r="I170" s="461" t="str">
        <f>IF(Start!$C$19="x",IF(OR(C170="",C170="NA"),"",IF(OR(F170="",F170="NA"),"No Ref",(IF((C170*100/Data!$D$10)&gt;(F170*100/Data!$D$60),"Exceeded","OK")))),"---")</f>
        <v>---</v>
      </c>
      <c r="J170" s="377" t="str">
        <f>IF(Start!$C$19="x",IF(OR(C170="",C170="NA"),"",IF(OR(G170="",G170="NA"),"No Criteria",(IF(C170&gt;(G170*Data!$D$10/100),"Exceeded","OK")))),"---")</f>
        <v>---</v>
      </c>
      <c r="K170" s="462"/>
      <c r="L170" s="286" t="str">
        <f>IF(Start!$C$19="x",IF(C170="","NA",IF(F170="","No Ref", (IF(F170 = 0, "NA", ((C170*100/Data!$D$10)/(F170*100/Data!$D$60)))))),"Not Req.")</f>
        <v>Not Req.</v>
      </c>
      <c r="M170" s="285" t="str">
        <f>IF(Start!$C$19="x",IF(C170="","NA",IF(OR(G170="",G170="NA"),"No Criteria",(IF(G170 = 0, "NA", (C170/(G170*Data!$D$10/100)))))),"Not Req.")</f>
        <v>Not Req.</v>
      </c>
    </row>
    <row r="171" spans="1:13" s="10" customFormat="1" x14ac:dyDescent="0.25">
      <c r="A171" s="405" t="s">
        <v>674</v>
      </c>
      <c r="B171" s="456" t="str">
        <f>IF(Start!$C$19="x",IF(AND(H171="",I171="",J171=""),"",(IF(H171="OK","No",(IF(H171="Exceeded",(IF(J171="OK","No",(IF(J171="Exceeded","Needed",(IF(J171="No Criteria","No Criteria","Missing Data")))))),(IF(I171="OK","No",(IF(J171="OK","No",(IF(J171="Exceeded","Needed",(IF(J171="No Criteria","No Criteria","Missing Data"))))))))))))),"---")</f>
        <v>---</v>
      </c>
      <c r="C171" s="457" t="str">
        <f>IF(TRUE=ISBLANK(ChemData!B171),"",(ChemData!B171))</f>
        <v/>
      </c>
      <c r="D171" s="502"/>
      <c r="E171" s="503"/>
      <c r="F171" s="289" t="str">
        <f>IF(TRUE=ISBLANK(ChemData!E171),"",(ChemData!E171))</f>
        <v/>
      </c>
      <c r="G171" s="291" t="str">
        <f>IF(TRUE=ISBLANK(ChemData!L171),"",(ChemData!L171))</f>
        <v>NA</v>
      </c>
      <c r="H171" s="462"/>
      <c r="I171" s="461" t="str">
        <f>IF(Start!$C$19="x",IF(OR(C171="",C171="NA"),"",IF(OR(F171="",F171="NA"),"No Ref",(IF((C171*100/Data!$D$10)&gt;(F171*100/Data!$D$60),"Exceeded","OK")))),"---")</f>
        <v>---</v>
      </c>
      <c r="J171" s="377" t="str">
        <f>IF(Start!$C$19="x",IF(OR(C171="",C171="NA"),"",IF(OR(G171="",G171="NA"),"No Criteria",(IF(C171&gt;(G171*Data!$D$10/100),"Exceeded","OK")))),"---")</f>
        <v>---</v>
      </c>
      <c r="K171" s="462"/>
      <c r="L171" s="286" t="str">
        <f>IF(Start!$C$19="x",IF(C171="","NA",IF(F171="","No Ref", (IF(F171 = 0, "NA", ((C171*100/Data!$D$10)/(F171*100/Data!$D$60)))))),"Not Req.")</f>
        <v>Not Req.</v>
      </c>
      <c r="M171" s="285" t="str">
        <f>IF(Start!$C$19="x",IF(C171="","NA",IF(OR(G171="",G171="NA"),"No Criteria",(IF(G171 = 0, "NA", (C171/(G171*Data!$D$10/100)))))),"Not Req.")</f>
        <v>Not Req.</v>
      </c>
    </row>
    <row r="172" spans="1:13" s="10" customFormat="1" x14ac:dyDescent="0.25">
      <c r="A172" s="405" t="s">
        <v>675</v>
      </c>
      <c r="B172" s="456" t="str">
        <f>IF(Start!$C$19="x",IF(AND(H172="",I172="",J172=""),"",(IF(H172="OK","No",(IF(H172="Exceeded",(IF(J172="OK","No",(IF(J172="Exceeded","Needed",(IF(J172="No Criteria","No Criteria","Missing Data")))))),(IF(I172="OK","No",(IF(J172="OK","No",(IF(J172="Exceeded","Needed",(IF(J172="No Criteria","No Criteria","Missing Data"))))))))))))),"---")</f>
        <v>---</v>
      </c>
      <c r="C172" s="457" t="str">
        <f>IF(TRUE=ISBLANK(ChemData!B172),"",(ChemData!B172))</f>
        <v/>
      </c>
      <c r="D172" s="502"/>
      <c r="E172" s="503"/>
      <c r="F172" s="289" t="str">
        <f>IF(TRUE=ISBLANK(ChemData!E172),"",(ChemData!E172))</f>
        <v/>
      </c>
      <c r="G172" s="291">
        <f>IF(TRUE=ISBLANK(ChemData!L172),"",(ChemData!L172))</f>
        <v>780</v>
      </c>
      <c r="H172" s="462"/>
      <c r="I172" s="461" t="str">
        <f>IF(Start!$C$19="x",IF(OR(C172="",C172="NA"),"",IF(OR(F172="",F172="NA"),"No Ref",(IF((C172*100/Data!$D$10)&gt;(F172*100/Data!$D$60),"Exceeded","OK")))),"---")</f>
        <v>---</v>
      </c>
      <c r="J172" s="377" t="str">
        <f>IF(Start!$C$19="x",IF(OR(C172="",C172="NA"),"",IF(OR(G172="",G172="NA"),"No Criteria",(IF(C172&gt;(G172*Data!$D$10/100),"Exceeded","OK")))),"---")</f>
        <v>---</v>
      </c>
      <c r="K172" s="462"/>
      <c r="L172" s="286" t="str">
        <f>IF(Start!$C$19="x",IF(C172="","NA",IF(F172="","No Ref", (IF(F172 = 0, "NA", ((C172*100/Data!$D$10)/(F172*100/Data!$D$60)))))),"Not Req.")</f>
        <v>Not Req.</v>
      </c>
      <c r="M172" s="285" t="str">
        <f>IF(Start!$C$19="x",IF(C172="","NA",IF(OR(G172="",G172="NA"),"No Criteria",(IF(G172 = 0, "NA", (C172/(G172*Data!$D$10/100)))))),"Not Req.")</f>
        <v>Not Req.</v>
      </c>
    </row>
    <row r="173" spans="1:13" s="10" customFormat="1" x14ac:dyDescent="0.25">
      <c r="A173" s="405" t="s">
        <v>491</v>
      </c>
      <c r="B173" s="456" t="str">
        <f>IF(Start!$C$19="x",IF(AND(H173="",I173="",J173=""),"",(IF(H173="OK","No",(IF(H173="Exceeded",(IF(J173="OK","No",(IF(J173="Exceeded","Needed",(IF(J173="No Criteria","No Criteria","Missing Data")))))),(IF(I173="OK","No",(IF(J173="OK","No",(IF(J173="Exceeded","Needed",(IF(J173="No Criteria","No Criteria","Missing Data"))))))))))))),"---")</f>
        <v>---</v>
      </c>
      <c r="C173" s="457" t="str">
        <f>IF(TRUE=ISBLANK(ChemData!B173),"",(ChemData!B173))</f>
        <v/>
      </c>
      <c r="D173" s="502"/>
      <c r="E173" s="503"/>
      <c r="F173" s="289" t="str">
        <f>IF(TRUE=ISBLANK(ChemData!E173),"",(ChemData!E173))</f>
        <v/>
      </c>
      <c r="G173" s="291">
        <f>IF(TRUE=ISBLANK(ChemData!L173),"",(ChemData!L173))</f>
        <v>690</v>
      </c>
      <c r="H173" s="462"/>
      <c r="I173" s="461" t="str">
        <f>IF(Start!$C$19="x",IF(OR(C173="",C173="NA"),"",IF(OR(F173="",F173="NA"),"No Ref",(IF((C173*100/Data!$D$10)&gt;(F173*100/Data!$D$60),"Exceeded","OK")))),"---")</f>
        <v>---</v>
      </c>
      <c r="J173" s="377" t="str">
        <f>IF(Start!$C$19="x",IF(OR(C173="",C173="NA"),"",IF(OR(G173="",G173="NA"),"No Criteria",(IF(C173&gt;(G173*Data!$D$10/100),"Exceeded","OK")))),"---")</f>
        <v>---</v>
      </c>
      <c r="K173" s="462"/>
      <c r="L173" s="286" t="str">
        <f>IF(Start!$C$19="x",IF(C173="","NA",IF(F173="","No Ref", (IF(F173 = 0, "NA", ((C173*100/Data!$D$10)/(F173*100/Data!$D$60)))))),"Not Req.")</f>
        <v>Not Req.</v>
      </c>
      <c r="M173" s="285" t="str">
        <f>IF(Start!$C$19="x",IF(C173="","NA",IF(OR(G173="",G173="NA"),"No Criteria",(IF(G173 = 0, "NA", (C173/(G173*Data!$D$10/100)))))),"Not Req.")</f>
        <v>Not Req.</v>
      </c>
    </row>
    <row r="174" spans="1:13" s="10" customFormat="1" x14ac:dyDescent="0.25">
      <c r="A174" s="405" t="s">
        <v>676</v>
      </c>
      <c r="B174" s="456" t="str">
        <f>IF(Start!$C$19="x",IF(AND(H174="",I174="",J174=""),"",(IF(H174="OK","No",(IF(H174="Exceeded",(IF(J174="OK","No",(IF(J174="Exceeded","Needed",(IF(J174="No Criteria","No Criteria","Missing Data")))))),(IF(I174="OK","No",(IF(J174="OK","No",(IF(J174="Exceeded","Needed",(IF(J174="No Criteria","No Criteria","Missing Data"))))))))))))),"---")</f>
        <v>---</v>
      </c>
      <c r="C174" s="457" t="str">
        <f>IF(TRUE=ISBLANK(ChemData!B174),"",(ChemData!B174))</f>
        <v/>
      </c>
      <c r="D174" s="502"/>
      <c r="E174" s="503"/>
      <c r="F174" s="289" t="str">
        <f>IF(TRUE=ISBLANK(ChemData!E174),"",(ChemData!E174))</f>
        <v/>
      </c>
      <c r="G174" s="291">
        <f>IF(TRUE=ISBLANK(ChemData!L174),"",(ChemData!L174))</f>
        <v>0.28000000000000003</v>
      </c>
      <c r="H174" s="462"/>
      <c r="I174" s="461" t="str">
        <f>IF(Start!$C$19="x",IF(OR(C174="",C174="NA"),"",IF(OR(F174="",F174="NA"),"No Ref",(IF((C174*100/Data!$D$10)&gt;(F174*100/Data!$D$60),"Exceeded","OK")))),"---")</f>
        <v>---</v>
      </c>
      <c r="J174" s="377" t="str">
        <f>IF(Start!$C$19="x",IF(OR(C174="",C174="NA"),"",IF(OR(G174="",G174="NA"),"No Criteria",(IF(C174&gt;(G174*Data!$D$10/100),"Exceeded","OK")))),"---")</f>
        <v>---</v>
      </c>
      <c r="K174" s="462"/>
      <c r="L174" s="286" t="str">
        <f>IF(Start!$C$19="x",IF(C174="","NA",IF(F174="","No Ref", (IF(F174 = 0, "NA", ((C174*100/Data!$D$10)/(F174*100/Data!$D$60)))))),"Not Req.")</f>
        <v>Not Req.</v>
      </c>
      <c r="M174" s="285" t="str">
        <f>IF(Start!$C$19="x",IF(C174="","NA",IF(OR(G174="",G174="NA"),"No Criteria",(IF(G174 = 0, "NA", (C174/(G174*Data!$D$10/100)))))),"Not Req.")</f>
        <v>Not Req.</v>
      </c>
    </row>
    <row r="175" spans="1:13" s="10" customFormat="1" x14ac:dyDescent="0.25">
      <c r="A175" s="405" t="s">
        <v>677</v>
      </c>
      <c r="B175" s="456" t="str">
        <f>IF(Start!$C$19="x",IF(AND(H175="",I175="",J175=""),"",(IF(H175="OK","No",(IF(H175="Exceeded",(IF(J175="OK","No",(IF(J175="Exceeded","Needed",(IF(J175="No Criteria","No Criteria","Missing Data")))))),(IF(I175="OK","No",(IF(J175="OK","No",(IF(J175="Exceeded","Needed",(IF(J175="No Criteria","No Criteria","Missing Data"))))))))))))),"---")</f>
        <v>---</v>
      </c>
      <c r="C175" s="457" t="str">
        <f>IF(TRUE=ISBLANK(ChemData!B175),"",(ChemData!B175))</f>
        <v/>
      </c>
      <c r="D175" s="502"/>
      <c r="E175" s="503"/>
      <c r="F175" s="289" t="str">
        <f>IF(TRUE=ISBLANK(ChemData!E175),"",(ChemData!E175))</f>
        <v/>
      </c>
      <c r="G175" s="291">
        <f>IF(TRUE=ISBLANK(ChemData!L175),"",(ChemData!L175))</f>
        <v>2.9</v>
      </c>
      <c r="H175" s="462"/>
      <c r="I175" s="461" t="str">
        <f>IF(Start!$C$19="x",IF(OR(C175="",C175="NA"),"",IF(OR(F175="",F175="NA"),"No Ref",(IF((C175*100/Data!$D$10)&gt;(F175*100/Data!$D$60),"Exceeded","OK")))),"---")</f>
        <v>---</v>
      </c>
      <c r="J175" s="377" t="str">
        <f>IF(Start!$C$19="x",IF(OR(C175="",C175="NA"),"",IF(OR(G175="",G175="NA"),"No Criteria",(IF(C175&gt;(G175*Data!$D$10/100),"Exceeded","OK")))),"---")</f>
        <v>---</v>
      </c>
      <c r="K175" s="462"/>
      <c r="L175" s="286" t="str">
        <f>IF(Start!$C$19="x",IF(C175="","NA",IF(F175="","No Ref", (IF(F175 = 0, "NA", ((C175*100/Data!$D$10)/(F175*100/Data!$D$60)))))),"Not Req.")</f>
        <v>Not Req.</v>
      </c>
      <c r="M175" s="285" t="str">
        <f>IF(Start!$C$19="x",IF(C175="","NA",IF(OR(G175="",G175="NA"),"No Criteria",(IF(G175 = 0, "NA", (C175/(G175*Data!$D$10/100)))))),"Not Req.")</f>
        <v>Not Req.</v>
      </c>
    </row>
    <row r="176" spans="1:13" s="10" customFormat="1" x14ac:dyDescent="0.25">
      <c r="A176" s="405" t="s">
        <v>678</v>
      </c>
      <c r="B176" s="456" t="str">
        <f>IF(Start!$C$19="x",IF(AND(H176="",I176="",J176=""),"",(IF(H176="OK","No",(IF(H176="Exceeded",(IF(J176="OK","No",(IF(J176="Exceeded","Needed",(IF(J176="No Criteria","No Criteria","Missing Data")))))),(IF(I176="OK","No",(IF(J176="OK","No",(IF(J176="Exceeded","Needed",(IF(J176="No Criteria","No Criteria","Missing Data"))))))))))))),"---")</f>
        <v>---</v>
      </c>
      <c r="C176" s="457" t="str">
        <f>IF(TRUE=ISBLANK(ChemData!B176),"",(ChemData!B176))</f>
        <v/>
      </c>
      <c r="D176" s="502"/>
      <c r="E176" s="503"/>
      <c r="F176" s="289" t="str">
        <f>IF(TRUE=ISBLANK(ChemData!E176),"",(ChemData!E176))</f>
        <v/>
      </c>
      <c r="G176" s="291">
        <f>IF(TRUE=ISBLANK(ChemData!L176),"",(ChemData!L176))</f>
        <v>7.5999999999999998E-2</v>
      </c>
      <c r="H176" s="462"/>
      <c r="I176" s="461" t="str">
        <f>IF(Start!$C$19="x",IF(OR(C176="",C176="NA"),"",IF(OR(F176="",F176="NA"),"No Ref",(IF((C176*100/Data!$D$10)&gt;(F176*100/Data!$D$60),"Exceeded","OK")))),"---")</f>
        <v>---</v>
      </c>
      <c r="J176" s="377" t="str">
        <f>IF(Start!$C$19="x",IF(OR(C176="",C176="NA"),"",IF(OR(G176="",G176="NA"),"No Criteria",(IF(C176&gt;(G176*Data!$D$10/100),"Exceeded","OK")))),"---")</f>
        <v>---</v>
      </c>
      <c r="K176" s="462"/>
      <c r="L176" s="286" t="str">
        <f>IF(Start!$C$19="x",IF(C176="","NA",IF(F176="","No Ref", (IF(F176 = 0, "NA", ((C176*100/Data!$D$10)/(F176*100/Data!$D$60)))))),"Not Req.")</f>
        <v>Not Req.</v>
      </c>
      <c r="M176" s="285" t="str">
        <f>IF(Start!$C$19="x",IF(C176="","NA",IF(OR(G176="",G176="NA"),"No Criteria",(IF(G176 = 0, "NA", (C176/(G176*Data!$D$10/100)))))),"Not Req.")</f>
        <v>Not Req.</v>
      </c>
    </row>
    <row r="177" spans="1:13" s="10" customFormat="1" x14ac:dyDescent="0.25">
      <c r="A177" s="308" t="s">
        <v>679</v>
      </c>
      <c r="B177" s="456" t="str">
        <f>IF(Start!$C$19="x",IF(AND(H177="",I177="",J177=""),"",(IF(H177="OK","No",(IF(H177="Exceeded",(IF(J177="OK","No",(IF(J177="Exceeded","Needed",(IF(J177="No Criteria","No Criteria","Missing Data")))))),(IF(I177="OK","No",(IF(J177="OK","No",(IF(J177="Exceeded","Needed",(IF(J177="No Criteria","No Criteria","Missing Data"))))))))))))),"---")</f>
        <v>---</v>
      </c>
      <c r="C177" s="457" t="str">
        <f>IF(TRUE=ISBLANK(ChemData!B177),"",(ChemData!B177))</f>
        <v/>
      </c>
      <c r="D177" s="502"/>
      <c r="E177" s="503"/>
      <c r="F177" s="289" t="str">
        <f>IF(TRUE=ISBLANK(ChemData!E177),"",(ChemData!E177))</f>
        <v/>
      </c>
      <c r="G177" s="291" t="str">
        <f>IF(TRUE=ISBLANK(ChemData!L177),"",(ChemData!L177))</f>
        <v>NA</v>
      </c>
      <c r="H177" s="462"/>
      <c r="I177" s="461" t="str">
        <f>IF(Start!$C$19="x",IF(OR(C177="",C177="NA"),"",IF(OR(F177="",F177="NA"),"No Ref",(IF((C177*100/Data!$D$10)&gt;(F177*100/Data!$D$60),"Exceeded","OK")))),"---")</f>
        <v>---</v>
      </c>
      <c r="J177" s="377" t="str">
        <f>IF(Start!$C$19="x",IF(OR(C177="",C177="NA"),"",IF(OR(G177="",G177="NA"),"No Criteria",(IF(C177&gt;(G177*Data!$D$10/100),"Exceeded","OK")))),"---")</f>
        <v>---</v>
      </c>
      <c r="K177" s="462"/>
      <c r="L177" s="286" t="str">
        <f>IF(Start!$C$19="x",IF(C177="","NA",IF(F177="","No Ref", (IF(F177 = 0, "NA", ((C177*100/Data!$D$10)/(F177*100/Data!$D$60)))))),"Not Req.")</f>
        <v>Not Req.</v>
      </c>
      <c r="M177" s="285" t="str">
        <f>IF(Start!$C$19="x",IF(C177="","NA",IF(OR(G177="",G177="NA"),"No Criteria",(IF(G177 = 0, "NA", (C177/(G177*Data!$D$10/100)))))),"Not Req.")</f>
        <v>Not Req.</v>
      </c>
    </row>
    <row r="178" spans="1:13" s="10" customFormat="1" x14ac:dyDescent="0.25">
      <c r="A178" s="308" t="s">
        <v>496</v>
      </c>
      <c r="B178" s="456" t="str">
        <f>IF(Start!$C$19="x",IF(AND(H178="",I178="",J178=""),"",(IF(H178="OK","No",(IF(H178="Exceeded",(IF(J178="OK","No",(IF(J178="Exceeded","Needed",(IF(J178="No Criteria","No Criteria","Missing Data")))))),(IF(I178="OK","No",(IF(J178="OK","No",(IF(J178="Exceeded","Needed",(IF(J178="No Criteria","No Criteria","Missing Data"))))))))))))),"---")</f>
        <v>---</v>
      </c>
      <c r="C178" s="457" t="str">
        <f>IF(TRUE=ISBLANK(ChemData!B178),"",(ChemData!B178))</f>
        <v/>
      </c>
      <c r="D178" s="502"/>
      <c r="E178" s="503"/>
      <c r="F178" s="289" t="str">
        <f>IF(TRUE=ISBLANK(ChemData!E178),"",(ChemData!E178))</f>
        <v/>
      </c>
      <c r="G178" s="291" t="str">
        <f>IF(TRUE=ISBLANK(ChemData!L178),"",(ChemData!L178))</f>
        <v>NA</v>
      </c>
      <c r="H178" s="462"/>
      <c r="I178" s="461" t="str">
        <f>IF(Start!$C$19="x",IF(OR(C178="",C178="NA"),"",IF(OR(F178="",F178="NA"),"No Ref",(IF((C178*100/Data!$D$10)&gt;(F178*100/Data!$D$60),"Exceeded","OK")))),"---")</f>
        <v>---</v>
      </c>
      <c r="J178" s="377" t="str">
        <f>IF(Start!$C$19="x",IF(OR(C178="",C178="NA"),"",IF(OR(G178="",G178="NA"),"No Criteria",(IF(C178&gt;(G178*Data!$D$10/100),"Exceeded","OK")))),"---")</f>
        <v>---</v>
      </c>
      <c r="K178" s="462"/>
      <c r="L178" s="286" t="str">
        <f>IF(Start!$C$19="x",IF(C178="","NA",IF(F178="","No Ref", (IF(F178 = 0, "NA", ((C178*100/Data!$D$10)/(F178*100/Data!$D$60)))))),"Not Req.")</f>
        <v>Not Req.</v>
      </c>
      <c r="M178" s="285" t="str">
        <f>IF(Start!$C$19="x",IF(C178="","NA",IF(OR(G178="",G178="NA"),"No Criteria",(IF(G178 = 0, "NA", (C178/(G178*Data!$D$10/100)))))),"Not Req.")</f>
        <v>Not Req.</v>
      </c>
    </row>
    <row r="179" spans="1:13" s="10" customFormat="1" x14ac:dyDescent="0.25">
      <c r="A179" s="308" t="s">
        <v>497</v>
      </c>
      <c r="B179" s="456" t="str">
        <f>IF(Start!$C$19="x",IF(AND(H179="",I179="",J179=""),"",(IF(H179="OK","No",(IF(H179="Exceeded",(IF(J179="OK","No",(IF(J179="Exceeded","Needed",(IF(J179="No Criteria","No Criteria","Missing Data")))))),(IF(I179="OK","No",(IF(J179="OK","No",(IF(J179="Exceeded","Needed",(IF(J179="No Criteria","No Criteria","Missing Data"))))))))))))),"---")</f>
        <v>---</v>
      </c>
      <c r="C179" s="457" t="str">
        <f>IF(TRUE=ISBLANK(ChemData!B179),"",(ChemData!B179))</f>
        <v/>
      </c>
      <c r="D179" s="502"/>
      <c r="E179" s="503"/>
      <c r="F179" s="289" t="str">
        <f>IF(TRUE=ISBLANK(ChemData!E179),"",(ChemData!E179))</f>
        <v/>
      </c>
      <c r="G179" s="291" t="str">
        <f>IF(TRUE=ISBLANK(ChemData!L179),"",(ChemData!L179))</f>
        <v>NA</v>
      </c>
      <c r="H179" s="462"/>
      <c r="I179" s="461" t="str">
        <f>IF(Start!$C$19="x",IF(OR(C179="",C179="NA"),"",IF(OR(F179="",F179="NA"),"No Ref",(IF((C179*100/Data!$D$10)&gt;(F179*100/Data!$D$60),"Exceeded","OK")))),"---")</f>
        <v>---</v>
      </c>
      <c r="J179" s="377" t="str">
        <f>IF(Start!$C$19="x",IF(OR(C179="",C179="NA"),"",IF(OR(G179="",G179="NA"),"No Criteria",(IF(C179&gt;(G179*Data!$D$10/100),"Exceeded","OK")))),"---")</f>
        <v>---</v>
      </c>
      <c r="K179" s="462"/>
      <c r="L179" s="286" t="str">
        <f>IF(Start!$C$19="x",IF(C179="","NA",IF(F179="","No Ref", (IF(F179 = 0, "NA", ((C179*100/Data!$D$10)/(F179*100/Data!$D$60)))))),"Not Req.")</f>
        <v>Not Req.</v>
      </c>
      <c r="M179" s="285" t="str">
        <f>IF(Start!$C$19="x",IF(C179="","NA",IF(OR(G179="",G179="NA"),"No Criteria",(IF(G179 = 0, "NA", (C179/(G179*Data!$D$10/100)))))),"Not Req.")</f>
        <v>Not Req.</v>
      </c>
    </row>
    <row r="180" spans="1:13" s="10" customFormat="1" x14ac:dyDescent="0.25">
      <c r="A180" s="405" t="s">
        <v>498</v>
      </c>
      <c r="B180" s="456" t="str">
        <f>IF(Start!$C$19="x",IF(AND(H180="",I180="",J180=""),"",(IF(H180="OK","No",(IF(H180="Exceeded",(IF(J180="OK","No",(IF(J180="Exceeded","Needed",(IF(J180="No Criteria","No Criteria","Missing Data")))))),(IF(I180="OK","No",(IF(J180="OK","No",(IF(J180="Exceeded","Needed",(IF(J180="No Criteria","No Criteria","Missing Data"))))))))))))),"---")</f>
        <v>---</v>
      </c>
      <c r="C180" s="457" t="str">
        <f>IF(TRUE=ISBLANK(ChemData!B180),"",(ChemData!B180))</f>
        <v/>
      </c>
      <c r="D180" s="502"/>
      <c r="E180" s="503"/>
      <c r="F180" s="289" t="str">
        <f>IF(TRUE=ISBLANK(ChemData!E180),"",(ChemData!E180))</f>
        <v/>
      </c>
      <c r="G180" s="291">
        <f>IF(TRUE=ISBLANK(ChemData!L180),"",(ChemData!L180))</f>
        <v>24</v>
      </c>
      <c r="H180" s="462"/>
      <c r="I180" s="461" t="str">
        <f>IF(Start!$C$19="x",IF(OR(C180="",C180="NA"),"",IF(OR(F180="",F180="NA"),"No Ref",(IF((C180*100/Data!$D$10)&gt;(F180*100/Data!$D$60),"Exceeded","OK")))),"---")</f>
        <v>---</v>
      </c>
      <c r="J180" s="377" t="str">
        <f>IF(Start!$C$19="x",IF(OR(C180="",C180="NA"),"",IF(OR(G180="",G180="NA"),"No Criteria",(IF(C180&gt;(G180*Data!$D$10/100),"Exceeded","OK")))),"---")</f>
        <v>---</v>
      </c>
      <c r="K180" s="462"/>
      <c r="L180" s="286" t="str">
        <f>IF(Start!$C$19="x",IF(C180="","NA",IF(F180="","No Ref", (IF(F180 = 0, "NA", ((C180*100/Data!$D$10)/(F180*100/Data!$D$60)))))),"Not Req.")</f>
        <v>Not Req.</v>
      </c>
      <c r="M180" s="285" t="str">
        <f>IF(Start!$C$19="x",IF(C180="","NA",IF(OR(G180="",G180="NA"),"No Criteria",(IF(G180 = 0, "NA", (C180/(G180*Data!$D$10/100)))))),"Not Req.")</f>
        <v>Not Req.</v>
      </c>
    </row>
    <row r="181" spans="1:13" s="10" customFormat="1" x14ac:dyDescent="0.25">
      <c r="A181" s="405" t="s">
        <v>499</v>
      </c>
      <c r="B181" s="456" t="str">
        <f>IF(Start!$C$19="x",IF(AND(H181="",I181="",J181=""),"",(IF(H181="OK","No",(IF(H181="Exceeded",(IF(J181="OK","No",(IF(J181="Exceeded","Needed",(IF(J181="No Criteria","No Criteria","Missing Data")))))),(IF(I181="OK","No",(IF(J181="OK","No",(IF(J181="Exceeded","Needed",(IF(J181="No Criteria","No Criteria","Missing Data"))))))))))))),"---")</f>
        <v>---</v>
      </c>
      <c r="C181" s="457" t="str">
        <f>IF(TRUE=ISBLANK(ChemData!B181),"",(ChemData!B181))</f>
        <v/>
      </c>
      <c r="D181" s="502"/>
      <c r="E181" s="503"/>
      <c r="F181" s="289" t="str">
        <f>IF(TRUE=ISBLANK(ChemData!E181),"",(ChemData!E181))</f>
        <v/>
      </c>
      <c r="G181" s="291">
        <f>IF(TRUE=ISBLANK(ChemData!L181),"",(ChemData!L181))</f>
        <v>9.2999999999999992E-3</v>
      </c>
      <c r="H181" s="462"/>
      <c r="I181" s="461" t="str">
        <f>IF(Start!$C$19="x",IF(OR(C181="",C181="NA"),"",IF(OR(F181="",F181="NA"),"No Ref",(IF((C181*100/Data!$D$10)&gt;(F181*100/Data!$D$60),"Exceeded","OK")))),"---")</f>
        <v>---</v>
      </c>
      <c r="J181" s="377" t="str">
        <f>IF(Start!$C$19="x",IF(OR(C181="",C181="NA"),"",IF(OR(G181="",G181="NA"),"No Criteria",(IF(C181&gt;(G181*Data!$D$10/100),"Exceeded","OK")))),"---")</f>
        <v>---</v>
      </c>
      <c r="K181" s="462"/>
      <c r="L181" s="286" t="str">
        <f>IF(Start!$C$19="x",IF(C181="","NA",IF(F181="","No Ref", (IF(F181 = 0, "NA", ((C181*100/Data!$D$10)/(F181*100/Data!$D$60)))))),"Not Req.")</f>
        <v>Not Req.</v>
      </c>
      <c r="M181" s="285" t="str">
        <f>IF(Start!$C$19="x",IF(C181="","NA",IF(OR(G181="",G181="NA"),"No Criteria",(IF(G181 = 0, "NA", (C181/(G181*Data!$D$10/100)))))),"Not Req.")</f>
        <v>Not Req.</v>
      </c>
    </row>
    <row r="182" spans="1:13" s="10" customFormat="1" x14ac:dyDescent="0.25">
      <c r="A182" s="405" t="s">
        <v>680</v>
      </c>
      <c r="B182" s="456" t="str">
        <f>IF(Start!$C$19="x",IF(AND(H182="",I182="",J182=""),"",(IF(H182="OK","No",(IF(H182="Exceeded",(IF(J182="OK","No",(IF(J182="Exceeded","Needed",(IF(J182="No Criteria","No Criteria","Missing Data")))))),(IF(I182="OK","No",(IF(J182="OK","No",(IF(J182="Exceeded","Needed",(IF(J182="No Criteria","No Criteria","Missing Data"))))))))))))),"---")</f>
        <v>---</v>
      </c>
      <c r="C182" s="457" t="str">
        <f>IF(TRUE=ISBLANK(ChemData!B182),"",(ChemData!B182))</f>
        <v/>
      </c>
      <c r="D182" s="502"/>
      <c r="E182" s="503"/>
      <c r="F182" s="289" t="str">
        <f>IF(TRUE=ISBLANK(ChemData!E182),"",(ChemData!E182))</f>
        <v/>
      </c>
      <c r="G182" s="291">
        <f>IF(TRUE=ISBLANK(ChemData!L182),"",(ChemData!L182))</f>
        <v>0.43</v>
      </c>
      <c r="H182" s="462"/>
      <c r="I182" s="461" t="str">
        <f>IF(Start!$C$19="x",IF(OR(C182="",C182="NA"),"",IF(OR(F182="",F182="NA"),"No Ref",(IF((C182*100/Data!$D$10)&gt;(F182*100/Data!$D$60),"Exceeded","OK")))),"---")</f>
        <v>---</v>
      </c>
      <c r="J182" s="377" t="str">
        <f>IF(Start!$C$19="x",IF(OR(C182="",C182="NA"),"",IF(OR(G182="",G182="NA"),"No Criteria",(IF(C182&gt;(G182*Data!$D$10/100),"Exceeded","OK")))),"---")</f>
        <v>---</v>
      </c>
      <c r="K182" s="462"/>
      <c r="L182" s="286" t="str">
        <f>IF(Start!$C$19="x",IF(C182="","NA",IF(F182="","No Ref", (IF(F182 = 0, "NA", ((C182*100/Data!$D$10)/(F182*100/Data!$D$60)))))),"Not Req.")</f>
        <v>Not Req.</v>
      </c>
      <c r="M182" s="285" t="str">
        <f>IF(Start!$C$19="x",IF(C182="","NA",IF(OR(G182="",G182="NA"),"No Criteria",(IF(G182 = 0, "NA", (C182/(G182*Data!$D$10/100)))))),"Not Req.")</f>
        <v>Not Req.</v>
      </c>
    </row>
    <row r="183" spans="1:13" s="10" customFormat="1" x14ac:dyDescent="0.25">
      <c r="A183" s="405" t="s">
        <v>501</v>
      </c>
      <c r="B183" s="456" t="str">
        <f>IF(Start!$C$19="x",IF(AND(H183="",I183="",J183=""),"",(IF(H183="OK","No",(IF(H183="Exceeded",(IF(J183="OK","No",(IF(J183="Exceeded","Needed",(IF(J183="No Criteria","No Criteria","Missing Data")))))),(IF(I183="OK","No",(IF(J183="OK","No",(IF(J183="Exceeded","Needed",(IF(J183="No Criteria","No Criteria","Missing Data"))))))))))))),"---")</f>
        <v>---</v>
      </c>
      <c r="C183" s="457" t="str">
        <f>IF(TRUE=ISBLANK(ChemData!B183),"",(ChemData!B183))</f>
        <v/>
      </c>
      <c r="D183" s="502"/>
      <c r="E183" s="503"/>
      <c r="F183" s="289" t="str">
        <f>IF(TRUE=ISBLANK(ChemData!E183),"",(ChemData!E183))</f>
        <v/>
      </c>
      <c r="G183" s="291">
        <f>IF(TRUE=ISBLANK(ChemData!L183),"",(ChemData!L183))</f>
        <v>44</v>
      </c>
      <c r="H183" s="462"/>
      <c r="I183" s="461" t="str">
        <f>IF(Start!$C$19="x",IF(OR(C183="",C183="NA"),"",IF(OR(F183="",F183="NA"),"No Ref",(IF((C183*100/Data!$D$10)&gt;(F183*100/Data!$D$60),"Exceeded","OK")))),"---")</f>
        <v>---</v>
      </c>
      <c r="J183" s="377" t="str">
        <f>IF(Start!$C$19="x",IF(OR(C183="",C183="NA"),"",IF(OR(G183="",G183="NA"),"No Criteria",(IF(C183&gt;(G183*Data!$D$10/100),"Exceeded","OK")))),"---")</f>
        <v>---</v>
      </c>
      <c r="K183" s="462"/>
      <c r="L183" s="286" t="str">
        <f>IF(Start!$C$19="x",IF(C183="","NA",IF(F183="","No Ref", (IF(F183 = 0, "NA", ((C183*100/Data!$D$10)/(F183*100/Data!$D$60)))))),"Not Req.")</f>
        <v>Not Req.</v>
      </c>
      <c r="M183" s="285" t="str">
        <f>IF(Start!$C$19="x",IF(C183="","NA",IF(OR(G183="",G183="NA"),"No Criteria",(IF(G183 = 0, "NA", (C183/(G183*Data!$D$10/100)))))),"Not Req.")</f>
        <v>Not Req.</v>
      </c>
    </row>
    <row r="184" spans="1:13" s="10" customFormat="1" x14ac:dyDescent="0.25">
      <c r="A184" s="405" t="s">
        <v>502</v>
      </c>
      <c r="B184" s="456" t="str">
        <f>IF(Start!$C$19="x",IF(AND(H184="",I184="",J184=""),"",(IF(H184="OK","No",(IF(H184="Exceeded",(IF(J184="OK","No",(IF(J184="Exceeded","Needed",(IF(J184="No Criteria","No Criteria","Missing Data")))))),(IF(I184="OK","No",(IF(J184="OK","No",(IF(J184="Exceeded","Needed",(IF(J184="No Criteria","No Criteria","Missing Data"))))))))))))),"---")</f>
        <v>---</v>
      </c>
      <c r="C184" s="457" t="str">
        <f>IF(TRUE=ISBLANK(ChemData!B184),"",(ChemData!B184))</f>
        <v/>
      </c>
      <c r="D184" s="502"/>
      <c r="E184" s="503"/>
      <c r="F184" s="289" t="str">
        <f>IF(TRUE=ISBLANK(ChemData!E184),"",(ChemData!E184))</f>
        <v/>
      </c>
      <c r="G184" s="291">
        <f>IF(TRUE=ISBLANK(ChemData!L184),"",(ChemData!L184))</f>
        <v>7.2</v>
      </c>
      <c r="H184" s="462"/>
      <c r="I184" s="461" t="str">
        <f>IF(Start!$C$19="x",IF(OR(C184="",C184="NA"),"",IF(OR(F184="",F184="NA"),"No Ref",(IF((C184*100/Data!$D$10)&gt;(F184*100/Data!$D$60),"Exceeded","OK")))),"---")</f>
        <v>---</v>
      </c>
      <c r="J184" s="377" t="str">
        <f>IF(Start!$C$19="x",IF(OR(C184="",C184="NA"),"",IF(OR(G184="",G184="NA"),"No Criteria",(IF(C184&gt;(G184*Data!$D$10/100),"Exceeded","OK")))),"---")</f>
        <v>---</v>
      </c>
      <c r="K184" s="462"/>
      <c r="L184" s="286" t="str">
        <f>IF(Start!$C$19="x",IF(C184="","NA",IF(F184="","No Ref", (IF(F184 = 0, "NA", ((C184*100/Data!$D$10)/(F184*100/Data!$D$60)))))),"Not Req.")</f>
        <v>Not Req.</v>
      </c>
      <c r="M184" s="285" t="str">
        <f>IF(Start!$C$19="x",IF(C184="","NA",IF(OR(G184="",G184="NA"),"No Criteria",(IF(G184 = 0, "NA", (C184/(G184*Data!$D$10/100)))))),"Not Req.")</f>
        <v>Not Req.</v>
      </c>
    </row>
    <row r="185" spans="1:13" s="10" customFormat="1" x14ac:dyDescent="0.25">
      <c r="A185" s="405" t="s">
        <v>503</v>
      </c>
      <c r="B185" s="456" t="str">
        <f>IF(Start!$C$19="x",IF(AND(H185="",I185="",J185=""),"",(IF(H185="OK","No",(IF(H185="Exceeded",(IF(J185="OK","No",(IF(J185="Exceeded","Needed",(IF(J185="No Criteria","No Criteria","Missing Data")))))),(IF(I185="OK","No",(IF(J185="OK","No",(IF(J185="Exceeded","Needed",(IF(J185="No Criteria","No Criteria","Missing Data"))))))))))))),"---")</f>
        <v>---</v>
      </c>
      <c r="C185" s="457" t="str">
        <f>IF(TRUE=ISBLANK(ChemData!B185),"",(ChemData!B185))</f>
        <v/>
      </c>
      <c r="D185" s="502"/>
      <c r="E185" s="503"/>
      <c r="F185" s="289" t="str">
        <f>IF(TRUE=ISBLANK(ChemData!E185),"",(ChemData!E185))</f>
        <v/>
      </c>
      <c r="G185" s="291">
        <f>IF(TRUE=ISBLANK(ChemData!L185),"",(ChemData!L185))</f>
        <v>0.15</v>
      </c>
      <c r="H185" s="462"/>
      <c r="I185" s="461" t="str">
        <f>IF(Start!$C$19="x",IF(OR(C185="",C185="NA"),"",IF(OR(F185="",F185="NA"),"No Ref",(IF((C185*100/Data!$D$10)&gt;(F185*100/Data!$D$60),"Exceeded","OK")))),"---")</f>
        <v>---</v>
      </c>
      <c r="J185" s="377" t="str">
        <f>IF(Start!$C$19="x",IF(OR(C185="",C185="NA"),"",IF(OR(G185="",G185="NA"),"No Criteria",(IF(C185&gt;(G185*Data!$D$10/100),"Exceeded","OK")))),"---")</f>
        <v>---</v>
      </c>
      <c r="K185" s="462"/>
      <c r="L185" s="286" t="str">
        <f>IF(Start!$C$19="x",IF(C185="","NA",IF(F185="","No Ref", (IF(F185 = 0, "NA", ((C185*100/Data!$D$10)/(F185*100/Data!$D$60)))))),"Not Req.")</f>
        <v>Not Req.</v>
      </c>
      <c r="M185" s="285" t="str">
        <f>IF(Start!$C$19="x",IF(C185="","NA",IF(OR(G185="",G185="NA"),"No Criteria",(IF(G185 = 0, "NA", (C185/(G185*Data!$D$10/100)))))),"Not Req.")</f>
        <v>Not Req.</v>
      </c>
    </row>
    <row r="186" spans="1:13" s="10" customFormat="1" x14ac:dyDescent="0.25">
      <c r="A186" s="405" t="s">
        <v>504</v>
      </c>
      <c r="B186" s="456" t="str">
        <f>IF(Start!$C$19="x",IF(AND(H186="",I186="",J186=""),"",(IF(H186="OK","No",(IF(H186="Exceeded",(IF(J186="OK","No",(IF(J186="Exceeded","Needed",(IF(J186="No Criteria","No Criteria","Missing Data")))))),(IF(I186="OK","No",(IF(J186="OK","No",(IF(J186="Exceeded","Needed",(IF(J186="No Criteria","No Criteria","Missing Data"))))))))))))),"---")</f>
        <v>---</v>
      </c>
      <c r="C186" s="457" t="str">
        <f>IF(TRUE=ISBLANK(ChemData!B186),"",(ChemData!B186))</f>
        <v/>
      </c>
      <c r="D186" s="502"/>
      <c r="E186" s="503"/>
      <c r="F186" s="289" t="str">
        <f>IF(TRUE=ISBLANK(ChemData!E186),"",(ChemData!E186))</f>
        <v/>
      </c>
      <c r="G186" s="291">
        <f>IF(TRUE=ISBLANK(ChemData!L186),"",(ChemData!L186))</f>
        <v>26000</v>
      </c>
      <c r="H186" s="462"/>
      <c r="I186" s="461" t="str">
        <f>IF(Start!$C$19="x",IF(OR(C186="",C186="NA"),"",IF(OR(F186="",F186="NA"),"No Ref",(IF((C186*100/Data!$D$10)&gt;(F186*100/Data!$D$60),"Exceeded","OK")))),"---")</f>
        <v>---</v>
      </c>
      <c r="J186" s="377" t="str">
        <f>IF(Start!$C$19="x",IF(OR(C186="",C186="NA"),"",IF(OR(G186="",G186="NA"),"No Criteria",(IF(C186&gt;(G186*Data!$D$10/100),"Exceeded","OK")))),"---")</f>
        <v>---</v>
      </c>
      <c r="K186" s="462"/>
      <c r="L186" s="286" t="str">
        <f>IF(Start!$C$19="x",IF(C186="","NA",IF(F186="","No Ref", (IF(F186 = 0, "NA", ((C186*100/Data!$D$10)/(F186*100/Data!$D$60)))))),"Not Req.")</f>
        <v>Not Req.</v>
      </c>
      <c r="M186" s="285" t="str">
        <f>IF(Start!$C$19="x",IF(C186="","NA",IF(OR(G186="",G186="NA"),"No Criteria",(IF(G186 = 0, "NA", (C186/(G186*Data!$D$10/100)))))),"Not Req.")</f>
        <v>Not Req.</v>
      </c>
    </row>
    <row r="187" spans="1:13" s="10" customFormat="1" x14ac:dyDescent="0.25">
      <c r="A187" s="405" t="s">
        <v>681</v>
      </c>
      <c r="B187" s="456" t="str">
        <f>IF(Start!$C$19="x",IF(AND(H187="",I187="",J187=""),"",(IF(H187="OK","No",(IF(H187="Exceeded",(IF(J187="OK","No",(IF(J187="Exceeded","Needed",(IF(J187="No Criteria","No Criteria","Missing Data")))))),(IF(I187="OK","No",(IF(J187="OK","No",(IF(J187="Exceeded","Needed",(IF(J187="No Criteria","No Criteria","Missing Data"))))))))))))),"---")</f>
        <v>---</v>
      </c>
      <c r="C187" s="457" t="str">
        <f>IF(TRUE=ISBLANK(ChemData!B187),"",(ChemData!B187))</f>
        <v/>
      </c>
      <c r="D187" s="502"/>
      <c r="E187" s="503"/>
      <c r="F187" s="289" t="str">
        <f>IF(TRUE=ISBLANK(ChemData!E187),"",(ChemData!E187))</f>
        <v/>
      </c>
      <c r="G187" s="291">
        <f>IF(TRUE=ISBLANK(ChemData!L187),"",(ChemData!L187))</f>
        <v>0.17</v>
      </c>
      <c r="H187" s="462"/>
      <c r="I187" s="461" t="str">
        <f>IF(Start!$C$19="x",IF(OR(C187="",C187="NA"),"",IF(OR(F187="",F187="NA"),"No Ref",(IF((C187*100/Data!$D$10)&gt;(F187*100/Data!$D$60),"Exceeded","OK")))),"---")</f>
        <v>---</v>
      </c>
      <c r="J187" s="377" t="str">
        <f>IF(Start!$C$19="x",IF(OR(C187="",C187="NA"),"",IF(OR(G187="",G187="NA"),"No Criteria",(IF(C187&gt;(G187*Data!$D$10/100),"Exceeded","OK")))),"---")</f>
        <v>---</v>
      </c>
      <c r="K187" s="462"/>
      <c r="L187" s="286" t="str">
        <f>IF(Start!$C$19="x",IF(C187="","NA",IF(F187="","No Ref", (IF(F187 = 0, "NA", ((C187*100/Data!$D$10)/(F187*100/Data!$D$60)))))),"Not Req.")</f>
        <v>Not Req.</v>
      </c>
      <c r="M187" s="285" t="str">
        <f>IF(Start!$C$19="x",IF(C187="","NA",IF(OR(G187="",G187="NA"),"No Criteria",(IF(G187 = 0, "NA", (C187/(G187*Data!$D$10/100)))))),"Not Req.")</f>
        <v>Not Req.</v>
      </c>
    </row>
    <row r="188" spans="1:13" s="10" customFormat="1" x14ac:dyDescent="0.25">
      <c r="A188" s="405" t="s">
        <v>682</v>
      </c>
      <c r="B188" s="456" t="str">
        <f>IF(Start!$C$19="x",IF(AND(H188="",I188="",J188=""),"",(IF(H188="OK","No",(IF(H188="Exceeded",(IF(J188="OK","No",(IF(J188="Exceeded","Needed",(IF(J188="No Criteria","No Criteria","Missing Data")))))),(IF(I188="OK","No",(IF(J188="OK","No",(IF(J188="Exceeded","Needed",(IF(J188="No Criteria","No Criteria","Missing Data"))))))))))))),"---")</f>
        <v>---</v>
      </c>
      <c r="C188" s="457" t="str">
        <f>IF(TRUE=ISBLANK(ChemData!B188),"",(ChemData!B188))</f>
        <v/>
      </c>
      <c r="D188" s="502"/>
      <c r="E188" s="503"/>
      <c r="F188" s="289" t="str">
        <f>IF(TRUE=ISBLANK(ChemData!E188),"",(ChemData!E188))</f>
        <v/>
      </c>
      <c r="G188" s="291">
        <f>IF(TRUE=ISBLANK(ChemData!L188),"",(ChemData!L188))</f>
        <v>87</v>
      </c>
      <c r="H188" s="462"/>
      <c r="I188" s="461" t="str">
        <f>IF(Start!$C$19="x",IF(OR(C188="",C188="NA"),"",IF(OR(F188="",F188="NA"),"No Ref",(IF((C188*100/Data!$D$10)&gt;(F188*100/Data!$D$60),"Exceeded","OK")))),"---")</f>
        <v>---</v>
      </c>
      <c r="J188" s="377" t="str">
        <f>IF(Start!$C$19="x",IF(OR(C188="",C188="NA"),"",IF(OR(G188="",G188="NA"),"No Criteria",(IF(C188&gt;(G188*Data!$D$10/100),"Exceeded","OK")))),"---")</f>
        <v>---</v>
      </c>
      <c r="K188" s="462"/>
      <c r="L188" s="286" t="str">
        <f>IF(Start!$C$19="x",IF(C188="","NA",IF(F188="","No Ref", (IF(F188 = 0, "NA", ((C188*100/Data!$D$10)/(F188*100/Data!$D$60)))))),"Not Req.")</f>
        <v>Not Req.</v>
      </c>
      <c r="M188" s="285" t="str">
        <f>IF(Start!$C$19="x",IF(C188="","NA",IF(OR(G188="",G188="NA"),"No Criteria",(IF(G188 = 0, "NA", (C188/(G188*Data!$D$10/100)))))),"Not Req.")</f>
        <v>Not Req.</v>
      </c>
    </row>
    <row r="189" spans="1:13" s="10" customFormat="1" x14ac:dyDescent="0.25">
      <c r="A189" s="308" t="s">
        <v>507</v>
      </c>
      <c r="B189" s="456" t="str">
        <f>IF(Start!$C$19="x",IF(AND(H189="",I189="",J189=""),"",(IF(H189="OK","No",(IF(H189="Exceeded",(IF(J189="OK","No",(IF(J189="Exceeded","Needed",(IF(J189="No Criteria","No Criteria","Missing Data")))))),(IF(I189="OK","No",(IF(J189="OK","No",(IF(J189="Exceeded","Needed",(IF(J189="No Criteria","No Criteria","Missing Data"))))))))))))),"---")</f>
        <v>---</v>
      </c>
      <c r="C189" s="457" t="str">
        <f>IF(TRUE=ISBLANK(ChemData!B189),"",(ChemData!B189))</f>
        <v/>
      </c>
      <c r="D189" s="502"/>
      <c r="E189" s="503"/>
      <c r="F189" s="289" t="str">
        <f>IF(TRUE=ISBLANK(ChemData!E189),"",(ChemData!E189))</f>
        <v/>
      </c>
      <c r="G189" s="291">
        <f>IF(TRUE=ISBLANK(ChemData!L189),"",(ChemData!L189))</f>
        <v>6.5</v>
      </c>
      <c r="H189" s="462"/>
      <c r="I189" s="461" t="str">
        <f>IF(Start!$C$19="x",IF(OR(C189="",C189="NA"),"",IF(OR(F189="",F189="NA"),"No Ref",(IF((C189*100/Data!$D$10)&gt;(F189*100/Data!$D$60),"Exceeded","OK")))),"---")</f>
        <v>---</v>
      </c>
      <c r="J189" s="377" t="str">
        <f>IF(Start!$C$19="x",IF(OR(C189="",C189="NA"),"",IF(OR(G189="",G189="NA"),"No Criteria",(IF(C189&gt;(G189*Data!$D$10/100),"Exceeded","OK")))),"---")</f>
        <v>---</v>
      </c>
      <c r="K189" s="462"/>
      <c r="L189" s="286" t="str">
        <f>IF(Start!$C$19="x",IF(C189="","NA",IF(F189="","No Ref", (IF(F189 = 0, "NA", ((C189*100/Data!$D$10)/(F189*100/Data!$D$60)))))),"Not Req.")</f>
        <v>Not Req.</v>
      </c>
      <c r="M189" s="285" t="str">
        <f>IF(Start!$C$19="x",IF(C189="","NA",IF(OR(G189="",G189="NA"),"No Criteria",(IF(G189 = 0, "NA", (C189/(G189*Data!$D$10/100)))))),"Not Req.")</f>
        <v>Not Req.</v>
      </c>
    </row>
    <row r="190" spans="1:13" s="10" customFormat="1" x14ac:dyDescent="0.25">
      <c r="A190" s="405" t="s">
        <v>508</v>
      </c>
      <c r="B190" s="456" t="str">
        <f>IF(Start!$C$19="x",IF(AND(H190="",I190="",J190=""),"",(IF(H190="OK","No",(IF(H190="Exceeded",(IF(J190="OK","No",(IF(J190="Exceeded","Needed",(IF(J190="No Criteria","No Criteria","Missing Data")))))),(IF(I190="OK","No",(IF(J190="OK","No",(IF(J190="Exceeded","Needed",(IF(J190="No Criteria","No Criteria","Missing Data"))))))))))))),"---")</f>
        <v>---</v>
      </c>
      <c r="C190" s="457" t="str">
        <f>IF(TRUE=ISBLANK(ChemData!B190),"",(ChemData!B190))</f>
        <v/>
      </c>
      <c r="D190" s="502"/>
      <c r="E190" s="503"/>
      <c r="F190" s="289" t="str">
        <f>IF(TRUE=ISBLANK(ChemData!E190),"",(ChemData!E190))</f>
        <v/>
      </c>
      <c r="G190" s="291">
        <f>IF(TRUE=ISBLANK(ChemData!L190),"",(ChemData!L190))</f>
        <v>0.03</v>
      </c>
      <c r="H190" s="462"/>
      <c r="I190" s="461" t="str">
        <f>IF(Start!$C$19="x",IF(OR(C190="",C190="NA"),"",IF(OR(F190="",F190="NA"),"No Ref",(IF((C190*100/Data!$D$10)&gt;(F190*100/Data!$D$60),"Exceeded","OK")))),"---")</f>
        <v>---</v>
      </c>
      <c r="J190" s="377" t="str">
        <f>IF(Start!$C$19="x",IF(OR(C190="",C190="NA"),"",IF(OR(G190="",G190="NA"),"No Criteria",(IF(C190&gt;(G190*Data!$D$10/100),"Exceeded","OK")))),"---")</f>
        <v>---</v>
      </c>
      <c r="K190" s="462"/>
      <c r="L190" s="286" t="str">
        <f>IF(Start!$C$19="x",IF(C190="","NA",IF(F190="","No Ref", (IF(F190 = 0, "NA", ((C190*100/Data!$D$10)/(F190*100/Data!$D$60)))))),"Not Req.")</f>
        <v>Not Req.</v>
      </c>
      <c r="M190" s="285" t="str">
        <f>IF(Start!$C$19="x",IF(C190="","NA",IF(OR(G190="",G190="NA"),"No Criteria",(IF(G190 = 0, "NA", (C190/(G190*Data!$D$10/100)))))),"Not Req.")</f>
        <v>Not Req.</v>
      </c>
    </row>
    <row r="191" spans="1:13" s="10" customFormat="1" x14ac:dyDescent="0.25">
      <c r="A191" s="405" t="s">
        <v>509</v>
      </c>
      <c r="B191" s="456" t="str">
        <f>IF(Start!$C$19="x",IF(AND(H191="",I191="",J191=""),"",(IF(H191="OK","No",(IF(H191="Exceeded",(IF(J191="OK","No",(IF(J191="Exceeded","Needed",(IF(J191="No Criteria","No Criteria","Missing Data")))))),(IF(I191="OK","No",(IF(J191="OK","No",(IF(J191="Exceeded","Needed",(IF(J191="No Criteria","No Criteria","Missing Data"))))))))))))),"---")</f>
        <v>---</v>
      </c>
      <c r="C191" s="457" t="str">
        <f>IF(TRUE=ISBLANK(ChemData!B191),"",(ChemData!B191))</f>
        <v/>
      </c>
      <c r="D191" s="502"/>
      <c r="E191" s="503"/>
      <c r="F191" s="289" t="str">
        <f>IF(TRUE=ISBLANK(ChemData!E191),"",(ChemData!E191))</f>
        <v/>
      </c>
      <c r="G191" s="291" t="str">
        <f>IF(TRUE=ISBLANK(ChemData!L191),"",(ChemData!L191))</f>
        <v>NA</v>
      </c>
      <c r="H191" s="462"/>
      <c r="I191" s="461" t="str">
        <f>IF(Start!$C$19="x",IF(OR(C191="",C191="NA"),"",IF(OR(F191="",F191="NA"),"No Ref",(IF((C191*100/Data!$D$10)&gt;(F191*100/Data!$D$60),"Exceeded","OK")))),"---")</f>
        <v>---</v>
      </c>
      <c r="J191" s="377" t="str">
        <f>IF(Start!$C$19="x",IF(OR(C191="",C191="NA"),"",IF(OR(G191="",G191="NA"),"No Criteria",(IF(C191&gt;(G191*Data!$D$10/100),"Exceeded","OK")))),"---")</f>
        <v>---</v>
      </c>
      <c r="K191" s="462"/>
      <c r="L191" s="286" t="str">
        <f>IF(Start!$C$19="x",IF(C191="","NA",IF(F191="","No Ref", (IF(F191 = 0, "NA", ((C191*100/Data!$D$10)/(F191*100/Data!$D$60)))))),"Not Req.")</f>
        <v>Not Req.</v>
      </c>
      <c r="M191" s="285" t="str">
        <f>IF(Start!$C$19="x",IF(C191="","NA",IF(OR(G191="",G191="NA"),"No Criteria",(IF(G191 = 0, "NA", (C191/(G191*Data!$D$10/100)))))),"Not Req.")</f>
        <v>Not Req.</v>
      </c>
    </row>
    <row r="192" spans="1:13" s="10" customFormat="1" x14ac:dyDescent="0.25">
      <c r="A192" s="405" t="s">
        <v>510</v>
      </c>
      <c r="B192" s="456" t="str">
        <f>IF(Start!$C$19="x",IF(AND(H192="",I192="",J192=""),"",(IF(H192="OK","No",(IF(H192="Exceeded",(IF(J192="OK","No",(IF(J192="Exceeded","Needed",(IF(J192="No Criteria","No Criteria","Missing Data")))))),(IF(I192="OK","No",(IF(J192="OK","No",(IF(J192="Exceeded","Needed",(IF(J192="No Criteria","No Criteria","Missing Data"))))))))))))),"---")</f>
        <v>---</v>
      </c>
      <c r="C192" s="457" t="str">
        <f>IF(TRUE=ISBLANK(ChemData!B192),"",(ChemData!B192))</f>
        <v/>
      </c>
      <c r="D192" s="502"/>
      <c r="E192" s="503"/>
      <c r="F192" s="289" t="str">
        <f>IF(TRUE=ISBLANK(ChemData!E192),"",(ChemData!E192))</f>
        <v/>
      </c>
      <c r="G192" s="291" t="str">
        <f>IF(TRUE=ISBLANK(ChemData!L192),"",(ChemData!L192))</f>
        <v>NA</v>
      </c>
      <c r="H192" s="462"/>
      <c r="I192" s="461" t="str">
        <f>IF(Start!$C$19="x",IF(OR(C192="",C192="NA"),"",IF(OR(F192="",F192="NA"),"No Ref",(IF((C192*100/Data!$D$10)&gt;(F192*100/Data!$D$60),"Exceeded","OK")))),"---")</f>
        <v>---</v>
      </c>
      <c r="J192" s="377" t="str">
        <f>IF(Start!$C$19="x",IF(OR(C192="",C192="NA"),"",IF(OR(G192="",G192="NA"),"No Criteria",(IF(C192&gt;(G192*Data!$D$10/100),"Exceeded","OK")))),"---")</f>
        <v>---</v>
      </c>
      <c r="K192" s="462"/>
      <c r="L192" s="286" t="str">
        <f>IF(Start!$C$19="x",IF(C192="","NA",IF(F192="","No Ref", (IF(F192 = 0, "NA", ((C192*100/Data!$D$10)/(F192*100/Data!$D$60)))))),"Not Req.")</f>
        <v>Not Req.</v>
      </c>
      <c r="M192" s="285" t="str">
        <f>IF(Start!$C$19="x",IF(C192="","NA",IF(OR(G192="",G192="NA"),"No Criteria",(IF(G192 = 0, "NA", (C192/(G192*Data!$D$10/100)))))),"Not Req.")</f>
        <v>Not Req.</v>
      </c>
    </row>
    <row r="193" spans="1:13" s="10" customFormat="1" ht="13.8" thickBot="1" x14ac:dyDescent="0.3">
      <c r="A193" s="407" t="s">
        <v>511</v>
      </c>
      <c r="B193" s="872" t="str">
        <f>IF(Start!$C$19="x",IF(AND(H193="",I193="",J193=""),"",(IF(H193="OK","No",(IF(H193="Exceeded",(IF(J193="OK","No",(IF(J193="Exceeded","Needed",(IF(J193="No Criteria","No Criteria","Missing Data")))))),(IF(I193="OK","No",(IF(J193="OK","No",(IF(J193="Exceeded","Needed",(IF(J193="No Criteria","No Criteria","Missing Data"))))))))))))),"---")</f>
        <v>---</v>
      </c>
      <c r="C193" s="457" t="str">
        <f>IF(TRUE=ISBLANK(ChemData!B193),"",(ChemData!B193))</f>
        <v/>
      </c>
      <c r="D193" s="502"/>
      <c r="E193" s="503"/>
      <c r="F193" s="289" t="str">
        <f>IF(TRUE=ISBLANK(ChemData!E193),"",(ChemData!E193))</f>
        <v/>
      </c>
      <c r="G193" s="291">
        <f>IF(TRUE=ISBLANK(ChemData!L193),"",(ChemData!L193))</f>
        <v>990</v>
      </c>
      <c r="H193" s="462"/>
      <c r="I193" s="461" t="str">
        <f>IF(Start!$C$19="x",IF(OR(C193="",C193="NA"),"",IF(OR(F193="",F193="NA"),"No Ref",(IF((C193*100/Data!$D$10)&gt;(F193*100/Data!$D$60),"Exceeded","OK")))),"---")</f>
        <v>---</v>
      </c>
      <c r="J193" s="377" t="str">
        <f>IF(Start!$C$19="x",IF(OR(C193="",C193="NA"),"",IF(OR(G193="",G193="NA"),"No Criteria",(IF(C193&gt;(G193*Data!$D$10/100),"Exceeded","OK")))),"---")</f>
        <v>---</v>
      </c>
      <c r="K193" s="462"/>
      <c r="L193" s="286" t="str">
        <f>IF(Start!$C$19="x",IF(C193="","NA",IF(F193="","No Ref", (IF(F193 = 0, "NA", ((C193*100/Data!$D$10)/(F193*100/Data!$D$60)))))),"Not Req.")</f>
        <v>Not Req.</v>
      </c>
      <c r="M193" s="285" t="str">
        <f>IF(Start!$C$19="x",IF(C193="","NA",IF(OR(G193="",G193="NA"),"No Criteria",(IF(G193 = 0, "NA", (C193/(G193*Data!$D$10/100)))))),"Not Req.")</f>
        <v>Not Req.</v>
      </c>
    </row>
    <row r="194" spans="1:13" s="10" customFormat="1" x14ac:dyDescent="0.25">
      <c r="A194" s="505" t="s">
        <v>512</v>
      </c>
      <c r="B194" s="545"/>
      <c r="C194" s="545"/>
      <c r="D194" s="547"/>
      <c r="E194" s="548"/>
      <c r="F194" s="511"/>
      <c r="G194" s="513"/>
      <c r="H194" s="543"/>
      <c r="I194" s="511"/>
      <c r="J194" s="513"/>
      <c r="K194" s="543"/>
      <c r="L194" s="511"/>
      <c r="M194" s="513"/>
    </row>
    <row r="195" spans="1:13" s="10" customFormat="1" x14ac:dyDescent="0.25">
      <c r="A195" s="307" t="s">
        <v>513</v>
      </c>
      <c r="B195" s="456" t="str">
        <f>IF(Start!$C$19="x",IF(AND(H195="",I195="",J195=""),"",(IF(H195="OK","No",(IF(H195="Exceeded",(IF(J195="OK","No",(IF(J195="Exceeded","Needed",(IF(J195="No Criteria","No Criteria","Missing Data")))))),(IF(I195="OK","No",(IF(J195="OK","No",(IF(J195="Exceeded","Needed",(IF(J195="No Criteria","No Criteria","Missing Data"))))))))))))),"---")</f>
        <v>---</v>
      </c>
      <c r="C195" s="457" t="str">
        <f>IF(TRUE=ISBLANK(ChemData!B195),"",(ChemData!B195))</f>
        <v/>
      </c>
      <c r="D195" s="502"/>
      <c r="E195" s="503"/>
      <c r="F195" s="289" t="str">
        <f>IF(TRUE=ISBLANK(ChemData!E195),"",(ChemData!E195))</f>
        <v/>
      </c>
      <c r="G195" s="291" t="str">
        <f>IF(TRUE=ISBLANK(ChemData!L195),"",(ChemData!L195))</f>
        <v>NA</v>
      </c>
      <c r="H195" s="462"/>
      <c r="I195" s="461" t="str">
        <f>IF(Start!$C$19="x",IF(OR(C195="",C195="NA"),"",IF(OR(F195="",F195="NA"),"No Ref",(IF((C195*100/Data!$D$10)&gt;(F195*100/Data!$D$60),"Exceeded","OK")))),"---")</f>
        <v>---</v>
      </c>
      <c r="J195" s="377" t="str">
        <f>IF(Start!$C$19="x",IF(OR(C195="",C195="NA"),"",IF(OR(G195="",G195="NA"),"No Criteria",(IF(C195&gt;(G195*Data!$D$10/100),"Exceeded","OK")))),"---")</f>
        <v>---</v>
      </c>
      <c r="K195" s="462"/>
      <c r="L195" s="286" t="str">
        <f>IF(Start!$C$19="x",IF(C195="","NA",IF(F195="","No Ref", (IF(F195 = 0, "NA", ((C195*100/Data!$D$10)/(F195*100/Data!$D$60)))))),"Not Req.")</f>
        <v>Not Req.</v>
      </c>
      <c r="M195" s="285" t="str">
        <f>IF(Start!$C$19="x",IF(C195="","NA",IF(OR(G195="",G195="NA"),"No Criteria",(IF(G195 = 0, "NA", (C195/(G195*Data!$D$10/100)))))),"Not Req.")</f>
        <v>Not Req.</v>
      </c>
    </row>
    <row r="196" spans="1:13" s="10" customFormat="1" x14ac:dyDescent="0.25">
      <c r="A196" s="405" t="s">
        <v>683</v>
      </c>
      <c r="B196" s="456" t="str">
        <f>IF(Start!$C$19="x",IF(AND(H196="",I196="",J196=""),"",(IF(H196="OK","No",(IF(H196="Exceeded",(IF(J196="OK","No",(IF(J196="Exceeded","Needed",(IF(J196="No Criteria","No Criteria","Missing Data")))))),(IF(I196="OK","No",(IF(J196="OK","No",(IF(J196="Exceeded","Needed",(IF(J196="No Criteria","No Criteria","Missing Data"))))))))))))),"---")</f>
        <v>---</v>
      </c>
      <c r="C196" s="457" t="str">
        <f>IF(TRUE=ISBLANK(ChemData!B196),"",(ChemData!B196))</f>
        <v/>
      </c>
      <c r="D196" s="502"/>
      <c r="E196" s="503"/>
      <c r="F196" s="289" t="str">
        <f>IF(TRUE=ISBLANK(ChemData!E196),"",(ChemData!E196))</f>
        <v/>
      </c>
      <c r="G196" s="291">
        <f>IF(TRUE=ISBLANK(ChemData!L196),"",(ChemData!L196))</f>
        <v>23</v>
      </c>
      <c r="H196" s="462"/>
      <c r="I196" s="461" t="str">
        <f>IF(Start!$C$19="x",IF(OR(C196="",C196="NA"),"",IF(OR(F196="",F196="NA"),"No Ref",(IF((C196*100/Data!$D$10)&gt;(F196*100/Data!$D$60),"Exceeded","OK")))),"---")</f>
        <v>---</v>
      </c>
      <c r="J196" s="377" t="str">
        <f>IF(Start!$C$19="x",IF(OR(C196="",C196="NA"),"",IF(OR(G196="",G196="NA"),"No Criteria",(IF(C196&gt;(G196*Data!$D$10/100),"Exceeded","OK")))),"---")</f>
        <v>---</v>
      </c>
      <c r="K196" s="462"/>
      <c r="L196" s="286" t="str">
        <f>IF(Start!$C$19="x",IF(C196="","NA",IF(F196="","No Ref", (IF(F196 = 0, "NA", ((C196*100/Data!$D$10)/(F196*100/Data!$D$60)))))),"Not Req.")</f>
        <v>Not Req.</v>
      </c>
      <c r="M196" s="285" t="str">
        <f>IF(Start!$C$19="x",IF(C196="","NA",IF(OR(G196="",G196="NA"),"No Criteria",(IF(G196 = 0, "NA", (C196/(G196*Data!$D$10/100)))))),"Not Req.")</f>
        <v>Not Req.</v>
      </c>
    </row>
    <row r="197" spans="1:13" s="10" customFormat="1" x14ac:dyDescent="0.25">
      <c r="A197" s="405" t="s">
        <v>515</v>
      </c>
      <c r="B197" s="456" t="str">
        <f>IF(Start!$C$19="x",IF(AND(H197="",I197="",J197=""),"",(IF(H197="OK","No",(IF(H197="Exceeded",(IF(J197="OK","No",(IF(J197="Exceeded","Needed",(IF(J197="No Criteria","No Criteria","Missing Data")))))),(IF(I197="OK","No",(IF(J197="OK","No",(IF(J197="Exceeded","Needed",(IF(J197="No Criteria","No Criteria","Missing Data"))))))))))))),"---")</f>
        <v>---</v>
      </c>
      <c r="C197" s="457" t="str">
        <f>IF(TRUE=ISBLANK(ChemData!B197),"",(ChemData!B197))</f>
        <v/>
      </c>
      <c r="D197" s="502"/>
      <c r="E197" s="503"/>
      <c r="F197" s="289" t="str">
        <f>IF(TRUE=ISBLANK(ChemData!E197),"",(ChemData!E197))</f>
        <v/>
      </c>
      <c r="G197" s="291" t="str">
        <f>IF(TRUE=ISBLANK(ChemData!L197),"",(ChemData!L197))</f>
        <v>NA</v>
      </c>
      <c r="H197" s="462"/>
      <c r="I197" s="461" t="str">
        <f>IF(Start!$C$19="x",IF(OR(C197="",C197="NA"),"",IF(OR(F197="",F197="NA"),"No Ref",(IF((C197*100/Data!$D$10)&gt;(F197*100/Data!$D$60),"Exceeded","OK")))),"---")</f>
        <v>---</v>
      </c>
      <c r="J197" s="377" t="str">
        <f>IF(Start!$C$19="x",IF(OR(C197="",C197="NA"),"",IF(OR(G197="",G197="NA"),"No Criteria",(IF(C197&gt;(G197*Data!$D$10/100),"Exceeded","OK")))),"---")</f>
        <v>---</v>
      </c>
      <c r="K197" s="462"/>
      <c r="L197" s="286" t="str">
        <f>IF(Start!$C$19="x",IF(C197="","NA",IF(F197="","No Ref", (IF(F197 = 0, "NA", ((C197*100/Data!$D$10)/(F197*100/Data!$D$60)))))),"Not Req.")</f>
        <v>Not Req.</v>
      </c>
      <c r="M197" s="285" t="str">
        <f>IF(Start!$C$19="x",IF(C197="","NA",IF(OR(G197="",G197="NA"),"No Criteria",(IF(G197 = 0, "NA", (C197/(G197*Data!$D$10/100)))))),"Not Req.")</f>
        <v>Not Req.</v>
      </c>
    </row>
    <row r="198" spans="1:13" s="10" customFormat="1" x14ac:dyDescent="0.25">
      <c r="A198" s="405" t="s">
        <v>516</v>
      </c>
      <c r="B198" s="456" t="str">
        <f>IF(Start!$C$19="x",IF(AND(H198="",I198="",J198=""),"",(IF(H198="OK","No",(IF(H198="Exceeded",(IF(J198="OK","No",(IF(J198="Exceeded","Needed",(IF(J198="No Criteria","No Criteria","Missing Data")))))),(IF(I198="OK","No",(IF(J198="OK","No",(IF(J198="Exceeded","Needed",(IF(J198="No Criteria","No Criteria","Missing Data"))))))))))))),"---")</f>
        <v>---</v>
      </c>
      <c r="C198" s="457" t="str">
        <f>IF(TRUE=ISBLANK(ChemData!B198),"",(ChemData!B198))</f>
        <v/>
      </c>
      <c r="D198" s="502"/>
      <c r="E198" s="503"/>
      <c r="F198" s="289" t="str">
        <f>IF(TRUE=ISBLANK(ChemData!E198),"",(ChemData!E198))</f>
        <v/>
      </c>
      <c r="G198" s="291">
        <f>IF(TRUE=ISBLANK(ChemData!L198),"",(ChemData!L198))</f>
        <v>8.2000000000000003E-2</v>
      </c>
      <c r="H198" s="462"/>
      <c r="I198" s="461" t="str">
        <f>IF(Start!$C$19="x",IF(OR(C198="",C198="NA"),"",IF(OR(F198="",F198="NA"),"No Ref",(IF((C198*100/Data!$D$10)&gt;(F198*100/Data!$D$60),"Exceeded","OK")))),"---")</f>
        <v>---</v>
      </c>
      <c r="J198" s="377" t="str">
        <f>IF(Start!$C$19="x",IF(OR(C198="",C198="NA"),"",IF(OR(G198="",G198="NA"),"No Criteria",(IF(C198&gt;(G198*Data!$D$10/100),"Exceeded","OK")))),"---")</f>
        <v>---</v>
      </c>
      <c r="K198" s="462"/>
      <c r="L198" s="286" t="str">
        <f>IF(Start!$C$19="x",IF(C198="","NA",IF(F198="","No Ref", (IF(F198 = 0, "NA", ((C198*100/Data!$D$10)/(F198*100/Data!$D$60)))))),"Not Req.")</f>
        <v>Not Req.</v>
      </c>
      <c r="M198" s="285" t="str">
        <f>IF(Start!$C$19="x",IF(C198="","NA",IF(OR(G198="",G198="NA"),"No Criteria",(IF(G198 = 0, "NA", (C198/(G198*Data!$D$10/100)))))),"Not Req.")</f>
        <v>Not Req.</v>
      </c>
    </row>
    <row r="199" spans="1:13" s="10" customFormat="1" x14ac:dyDescent="0.25">
      <c r="A199" s="405" t="s">
        <v>684</v>
      </c>
      <c r="B199" s="456" t="str">
        <f>IF(Start!$C$19="x",IF(AND(H199="",I199="",J199=""),"",(IF(H199="OK","No",(IF(H199="Exceeded",(IF(J199="OK","No",(IF(J199="Exceeded","Needed",(IF(J199="No Criteria","No Criteria","Missing Data")))))),(IF(I199="OK","No",(IF(J199="OK","No",(IF(J199="Exceeded","Needed",(IF(J199="No Criteria","No Criteria","Missing Data"))))))))))))),"---")</f>
        <v>---</v>
      </c>
      <c r="C199" s="457" t="str">
        <f>IF(TRUE=ISBLANK(ChemData!B199),"",(ChemData!B199))</f>
        <v/>
      </c>
      <c r="D199" s="502"/>
      <c r="E199" s="503"/>
      <c r="F199" s="289" t="str">
        <f>IF(TRUE=ISBLANK(ChemData!E199),"",(ChemData!E199))</f>
        <v/>
      </c>
      <c r="G199" s="291">
        <f>IF(TRUE=ISBLANK(ChemData!L199),"",(ChemData!L199))</f>
        <v>0.28000000000000003</v>
      </c>
      <c r="H199" s="462"/>
      <c r="I199" s="461" t="str">
        <f>IF(Start!$C$19="x",IF(OR(C199="",C199="NA"),"",IF(OR(F199="",F199="NA"),"No Ref",(IF((C199*100/Data!$D$10)&gt;(F199*100/Data!$D$60),"Exceeded","OK")))),"---")</f>
        <v>---</v>
      </c>
      <c r="J199" s="377" t="str">
        <f>IF(Start!$C$19="x",IF(OR(C199="",C199="NA"),"",IF(OR(G199="",G199="NA"),"No Criteria",(IF(C199&gt;(G199*Data!$D$10/100),"Exceeded","OK")))),"---")</f>
        <v>---</v>
      </c>
      <c r="K199" s="462"/>
      <c r="L199" s="286" t="str">
        <f>IF(Start!$C$19="x",IF(C199="","NA",IF(F199="","No Ref", (IF(F199 = 0, "NA", ((C199*100/Data!$D$10)/(F199*100/Data!$D$60)))))),"Not Req.")</f>
        <v>Not Req.</v>
      </c>
      <c r="M199" s="285" t="str">
        <f>IF(Start!$C$19="x",IF(C199="","NA",IF(OR(G199="",G199="NA"),"No Criteria",(IF(G199 = 0, "NA", (C199/(G199*Data!$D$10/100)))))),"Not Req.")</f>
        <v>Not Req.</v>
      </c>
    </row>
    <row r="200" spans="1:13" s="10" customFormat="1" x14ac:dyDescent="0.25">
      <c r="A200" s="405" t="s">
        <v>685</v>
      </c>
      <c r="B200" s="456" t="str">
        <f>IF(Start!$C$19="x",IF(AND(H200="",I200="",J200=""),"",(IF(H200="OK","No",(IF(H200="Exceeded",(IF(J200="OK","No",(IF(J200="Exceeded","Needed",(IF(J200="No Criteria","No Criteria","Missing Data")))))),(IF(I200="OK","No",(IF(J200="OK","No",(IF(J200="Exceeded","Needed",(IF(J200="No Criteria","No Criteria","Missing Data"))))))))))))),"---")</f>
        <v>---</v>
      </c>
      <c r="C200" s="457" t="str">
        <f>IF(TRUE=ISBLANK(ChemData!B200),"",(ChemData!B200))</f>
        <v/>
      </c>
      <c r="D200" s="502"/>
      <c r="E200" s="503"/>
      <c r="F200" s="289" t="str">
        <f>IF(TRUE=ISBLANK(ChemData!E200),"",(ChemData!E200))</f>
        <v/>
      </c>
      <c r="G200" s="291">
        <f>IF(TRUE=ISBLANK(ChemData!L200),"",(ChemData!L200))</f>
        <v>130</v>
      </c>
      <c r="H200" s="462"/>
      <c r="I200" s="461" t="str">
        <f>IF(Start!$C$19="x",IF(OR(C200="",C200="NA"),"",IF(OR(F200="",F200="NA"),"No Ref",(IF((C200*100/Data!$D$10)&gt;(F200*100/Data!$D$60),"Exceeded","OK")))),"---")</f>
        <v>---</v>
      </c>
      <c r="J200" s="377" t="str">
        <f>IF(Start!$C$19="x",IF(OR(C200="",C200="NA"),"",IF(OR(G200="",G200="NA"),"No Criteria",(IF(C200&gt;(G200*Data!$D$10/100),"Exceeded","OK")))),"---")</f>
        <v>---</v>
      </c>
      <c r="K200" s="462"/>
      <c r="L200" s="286" t="str">
        <f>IF(Start!$C$19="x",IF(C200="","NA",IF(F200="","No Ref", (IF(F200 = 0, "NA", ((C200*100/Data!$D$10)/(F200*100/Data!$D$60)))))),"Not Req.")</f>
        <v>Not Req.</v>
      </c>
      <c r="M200" s="285" t="str">
        <f>IF(Start!$C$19="x",IF(C200="","NA",IF(OR(G200="",G200="NA"),"No Criteria",(IF(G200 = 0, "NA", (C200/(G200*Data!$D$10/100)))))),"Not Req.")</f>
        <v>Not Req.</v>
      </c>
    </row>
    <row r="201" spans="1:13" s="10" customFormat="1" x14ac:dyDescent="0.25">
      <c r="A201" s="405" t="s">
        <v>519</v>
      </c>
      <c r="B201" s="456" t="str">
        <f>IF(Start!$C$19="x",IF(AND(H201="",I201="",J201=""),"",(IF(H201="OK","No",(IF(H201="Exceeded",(IF(J201="OK","No",(IF(J201="Exceeded","Needed",(IF(J201="No Criteria","No Criteria","Missing Data")))))),(IF(I201="OK","No",(IF(J201="OK","No",(IF(J201="Exceeded","Needed",(IF(J201="No Criteria","No Criteria","Missing Data"))))))))))))),"---")</f>
        <v>---</v>
      </c>
      <c r="C201" s="457" t="str">
        <f>IF(TRUE=ISBLANK(ChemData!B201),"",(ChemData!B201))</f>
        <v/>
      </c>
      <c r="D201" s="502"/>
      <c r="E201" s="503"/>
      <c r="F201" s="289" t="str">
        <f>IF(TRUE=ISBLANK(ChemData!E201),"",(ChemData!E201))</f>
        <v/>
      </c>
      <c r="G201" s="291">
        <f>IF(TRUE=ISBLANK(ChemData!L201),"",(ChemData!L201))</f>
        <v>34</v>
      </c>
      <c r="H201" s="462"/>
      <c r="I201" s="461" t="str">
        <f>IF(Start!$C$19="x",IF(OR(C201="",C201="NA"),"",IF(OR(F201="",F201="NA"),"No Ref",(IF((C201*100/Data!$D$10)&gt;(F201*100/Data!$D$60),"Exceeded","OK")))),"---")</f>
        <v>---</v>
      </c>
      <c r="J201" s="377" t="str">
        <f>IF(Start!$C$19="x",IF(OR(C201="",C201="NA"),"",IF(OR(G201="",G201="NA"),"No Criteria",(IF(C201&gt;(G201*Data!$D$10/100),"Exceeded","OK")))),"---")</f>
        <v>---</v>
      </c>
      <c r="K201" s="462"/>
      <c r="L201" s="286" t="str">
        <f>IF(Start!$C$19="x",IF(C201="","NA",IF(F201="","No Ref", (IF(F201 = 0, "NA", ((C201*100/Data!$D$10)/(F201*100/Data!$D$60)))))),"Not Req.")</f>
        <v>Not Req.</v>
      </c>
      <c r="M201" s="285" t="str">
        <f>IF(Start!$C$19="x",IF(C201="","NA",IF(OR(G201="",G201="NA"),"No Criteria",(IF(G201 = 0, "NA", (C201/(G201*Data!$D$10/100)))))),"Not Req.")</f>
        <v>Not Req.</v>
      </c>
    </row>
    <row r="202" spans="1:13" s="10" customFormat="1" x14ac:dyDescent="0.25">
      <c r="A202" s="405" t="s">
        <v>520</v>
      </c>
      <c r="B202" s="456" t="str">
        <f>IF(Start!$C$19="x",IF(AND(H202="",I202="",J202=""),"",(IF(H202="OK","No",(IF(H202="Exceeded",(IF(J202="OK","No",(IF(J202="Exceeded","Needed",(IF(J202="No Criteria","No Criteria","Missing Data")))))),(IF(I202="OK","No",(IF(J202="OK","No",(IF(J202="Exceeded","Needed",(IF(J202="No Criteria","No Criteria","Missing Data"))))))))))))),"---")</f>
        <v>---</v>
      </c>
      <c r="C202" s="457" t="str">
        <f>IF(TRUE=ISBLANK(ChemData!B202),"",(ChemData!B202))</f>
        <v/>
      </c>
      <c r="D202" s="502"/>
      <c r="E202" s="503"/>
      <c r="F202" s="289" t="str">
        <f>IF(TRUE=ISBLANK(ChemData!E202),"",(ChemData!E202))</f>
        <v/>
      </c>
      <c r="G202" s="291">
        <f>IF(TRUE=ISBLANK(ChemData!L202),"",(ChemData!L202))</f>
        <v>0.42</v>
      </c>
      <c r="H202" s="462"/>
      <c r="I202" s="461" t="str">
        <f>IF(Start!$C$19="x",IF(OR(C202="",C202="NA"),"",IF(OR(F202="",F202="NA"),"No Ref",(IF((C202*100/Data!$D$10)&gt;(F202*100/Data!$D$60),"Exceeded","OK")))),"---")</f>
        <v>---</v>
      </c>
      <c r="J202" s="377" t="str">
        <f>IF(Start!$C$19="x",IF(OR(C202="",C202="NA"),"",IF(OR(G202="",G202="NA"),"No Criteria",(IF(C202&gt;(G202*Data!$D$10/100),"Exceeded","OK")))),"---")</f>
        <v>---</v>
      </c>
      <c r="K202" s="462"/>
      <c r="L202" s="286" t="str">
        <f>IF(Start!$C$19="x",IF(C202="","NA",IF(F202="","No Ref", (IF(F202 = 0, "NA", ((C202*100/Data!$D$10)/(F202*100/Data!$D$60)))))),"Not Req.")</f>
        <v>Not Req.</v>
      </c>
      <c r="M202" s="285" t="str">
        <f>IF(Start!$C$19="x",IF(C202="","NA",IF(OR(G202="",G202="NA"),"No Criteria",(IF(G202 = 0, "NA", (C202/(G202*Data!$D$10/100)))))),"Not Req.")</f>
        <v>Not Req.</v>
      </c>
    </row>
    <row r="203" spans="1:13" s="10" customFormat="1" ht="13.8" thickBot="1" x14ac:dyDescent="0.3">
      <c r="A203" s="407" t="s">
        <v>521</v>
      </c>
      <c r="B203" s="872" t="str">
        <f>IF(Start!$C$19="x",IF(AND(H203="",I203="",J203=""),"",(IF(H203="OK","No",(IF(H203="Exceeded",(IF(J203="OK","No",(IF(J203="Exceeded","Needed",(IF(J203="No Criteria","No Criteria","Missing Data")))))),(IF(I203="OK","No",(IF(J203="OK","No",(IF(J203="Exceeded","Needed",(IF(J203="No Criteria","No Criteria","Missing Data"))))))))))))),"---")</f>
        <v>---</v>
      </c>
      <c r="C203" s="457" t="str">
        <f>IF(TRUE=ISBLANK(ChemData!B203),"",(ChemData!B203))</f>
        <v/>
      </c>
      <c r="D203" s="502"/>
      <c r="E203" s="503"/>
      <c r="F203" s="289" t="str">
        <f>IF(TRUE=ISBLANK(ChemData!E203),"",(ChemData!E203))</f>
        <v/>
      </c>
      <c r="G203" s="291">
        <f>IF(TRUE=ISBLANK(ChemData!L203),"",(ChemData!L203))</f>
        <v>0.41</v>
      </c>
      <c r="H203" s="462"/>
      <c r="I203" s="461" t="str">
        <f>IF(Start!$C$19="x",IF(OR(C203="",C203="NA"),"",IF(OR(F203="",F203="NA"),"No Ref",(IF((C203*100/Data!$D$10)&gt;(F203*100/Data!$D$60),"Exceeded","OK")))),"---")</f>
        <v>---</v>
      </c>
      <c r="J203" s="377" t="str">
        <f>IF(Start!$C$19="x",IF(OR(C203="",C203="NA"),"",IF(OR(G203="",G203="NA"),"No Criteria",(IF(C203&gt;(G203*Data!$D$10/100),"Exceeded","OK")))),"---")</f>
        <v>---</v>
      </c>
      <c r="K203" s="462"/>
      <c r="L203" s="286" t="str">
        <f>IF(Start!$C$19="x",IF(C203="","NA",IF(F203="","No Ref", (IF(F203 = 0, "NA", ((C203*100/Data!$D$10)/(F203*100/Data!$D$60)))))),"Not Req.")</f>
        <v>Not Req.</v>
      </c>
      <c r="M203" s="285" t="str">
        <f>IF(Start!$C$19="x",IF(C203="","NA",IF(OR(G203="",G203="NA"),"No Criteria",(IF(G203 = 0, "NA", (C203/(G203*Data!$D$10/100)))))),"Not Req.")</f>
        <v>Not Req.</v>
      </c>
    </row>
    <row r="204" spans="1:13" s="10" customFormat="1" x14ac:dyDescent="0.25">
      <c r="A204" s="505" t="s">
        <v>522</v>
      </c>
      <c r="B204" s="545"/>
      <c r="C204" s="545"/>
      <c r="D204" s="547"/>
      <c r="E204" s="548"/>
      <c r="F204" s="511"/>
      <c r="G204" s="513"/>
      <c r="H204" s="543"/>
      <c r="I204" s="511"/>
      <c r="J204" s="513"/>
      <c r="K204" s="543"/>
      <c r="L204" s="511"/>
      <c r="M204" s="513"/>
    </row>
    <row r="205" spans="1:13" s="10" customFormat="1" x14ac:dyDescent="0.25">
      <c r="A205" s="405" t="s">
        <v>523</v>
      </c>
      <c r="B205" s="456" t="str">
        <f>IF(Start!$C$19="x",IF(AND(H205="",I205="",J205=""),"",(IF(H205="OK","No",(IF(H205="Exceeded",(IF(J205="OK","No",(IF(J205="Exceeded","Needed",(IF(J205="No Criteria","No Criteria","Missing Data")))))),(IF(I205="OK","No",(IF(J205="OK","No",(IF(J205="Exceeded","Needed",(IF(J205="No Criteria","No Criteria","Missing Data"))))))))))))),"---")</f>
        <v>---</v>
      </c>
      <c r="C205" s="457" t="str">
        <f>IF(TRUE=ISBLANK(ChemData!B205),"",(ChemData!B205))</f>
        <v/>
      </c>
      <c r="D205" s="502"/>
      <c r="E205" s="503"/>
      <c r="F205" s="289" t="str">
        <f>IF(TRUE=ISBLANK(ChemData!E205),"",(ChemData!E205))</f>
        <v/>
      </c>
      <c r="G205" s="291">
        <f>IF(TRUE=ISBLANK(ChemData!L205),"",(ChemData!L205))</f>
        <v>0.1</v>
      </c>
      <c r="H205" s="462"/>
      <c r="I205" s="461" t="str">
        <f>IF(Start!$C$19="x",IF(OR(C205="",C205="NA"),"",IF(OR(F205="",F205="NA"),"No Ref",(IF((C205*100/Data!$D$10)&gt;(F205*100/Data!$D$60),"Exceeded","OK")))),"---")</f>
        <v>---</v>
      </c>
      <c r="J205" s="377" t="str">
        <f>IF(Start!$C$19="x",IF(OR(C205="",C205="NA"),"",IF(OR(G205="",G205="NA"),"No Criteria",(IF(C205&gt;(G205*Data!$D$10/100),"Exceeded","OK")))),"---")</f>
        <v>---</v>
      </c>
      <c r="K205" s="462"/>
      <c r="L205" s="286" t="str">
        <f>IF(Start!$C$19="x",IF(C205="","NA",IF(F205="","No Ref", (IF(F205 = 0, "NA", ((C205*100/Data!$D$10)/(F205*100/Data!$D$60)))))),"Not Req.")</f>
        <v>Not Req.</v>
      </c>
      <c r="M205" s="285" t="str">
        <f>IF(Start!$C$19="x",IF(C205="","NA",IF(OR(G205="",G205="NA"),"No Criteria",(IF(G205 = 0, "NA", (C205/(G205*Data!$D$10/100)))))),"Not Req.")</f>
        <v>Not Req.</v>
      </c>
    </row>
    <row r="206" spans="1:13" s="10" customFormat="1" x14ac:dyDescent="0.25">
      <c r="A206" s="405" t="s">
        <v>524</v>
      </c>
      <c r="B206" s="456" t="str">
        <f>IF(Start!$C$19="x",IF(AND(H206="",I206="",J206=""),"",(IF(H206="OK","No",(IF(H206="Exceeded",(IF(J206="OK","No",(IF(J206="Exceeded","Needed",(IF(J206="No Criteria","No Criteria","Missing Data")))))),(IF(I206="OK","No",(IF(J206="OK","No",(IF(J206="Exceeded","Needed",(IF(J206="No Criteria","No Criteria","Missing Data"))))))))))))),"---")</f>
        <v>---</v>
      </c>
      <c r="C206" s="457" t="str">
        <f>IF(TRUE=ISBLANK(ChemData!B206),"",(ChemData!B206))</f>
        <v/>
      </c>
      <c r="D206" s="502"/>
      <c r="E206" s="503"/>
      <c r="F206" s="289" t="str">
        <f>IF(TRUE=ISBLANK(ChemData!E206),"",(ChemData!E206))</f>
        <v/>
      </c>
      <c r="G206" s="291">
        <f>IF(TRUE=ISBLANK(ChemData!L206),"",(ChemData!L206))</f>
        <v>0.13</v>
      </c>
      <c r="H206" s="462"/>
      <c r="I206" s="461" t="str">
        <f>IF(Start!$C$19="x",IF(OR(C206="",C206="NA"),"",IF(OR(F206="",F206="NA"),"No Ref",(IF((C206*100/Data!$D$10)&gt;(F206*100/Data!$D$60),"Exceeded","OK")))),"---")</f>
        <v>---</v>
      </c>
      <c r="J206" s="377" t="str">
        <f>IF(Start!$C$19="x",IF(OR(C206="",C206="NA"),"",IF(OR(G206="",G206="NA"),"No Criteria",(IF(C206&gt;(G206*Data!$D$10/100),"Exceeded","OK")))),"---")</f>
        <v>---</v>
      </c>
      <c r="K206" s="462"/>
      <c r="L206" s="286" t="str">
        <f>IF(Start!$C$19="x",IF(C206="","NA",IF(F206="","No Ref", (IF(F206 = 0, "NA", ((C206*100/Data!$D$10)/(F206*100/Data!$D$60)))))),"Not Req.")</f>
        <v>Not Req.</v>
      </c>
      <c r="M206" s="285" t="str">
        <f>IF(Start!$C$19="x",IF(C206="","NA",IF(OR(G206="",G206="NA"),"No Criteria",(IF(G206 = 0, "NA", (C206/(G206*Data!$D$10/100)))))),"Not Req.")</f>
        <v>Not Req.</v>
      </c>
    </row>
    <row r="207" spans="1:13" s="10" customFormat="1" x14ac:dyDescent="0.25">
      <c r="A207" s="405" t="s">
        <v>525</v>
      </c>
      <c r="B207" s="456" t="str">
        <f>IF(Start!$C$19="x",IF(AND(H207="",I207="",J207=""),"",(IF(H207="OK","No",(IF(H207="Exceeded",(IF(J207="OK","No",(IF(J207="Exceeded","Needed",(IF(J207="No Criteria","No Criteria","Missing Data")))))),(IF(I207="OK","No",(IF(J207="OK","No",(IF(J207="Exceeded","Needed",(IF(J207="No Criteria","No Criteria","Missing Data"))))))))))))),"---")</f>
        <v>---</v>
      </c>
      <c r="C207" s="457" t="str">
        <f>IF(TRUE=ISBLANK(ChemData!B207),"",(ChemData!B207))</f>
        <v/>
      </c>
      <c r="D207" s="502"/>
      <c r="E207" s="503"/>
      <c r="F207" s="289" t="str">
        <f>IF(TRUE=ISBLANK(ChemData!E207),"",(ChemData!E207))</f>
        <v/>
      </c>
      <c r="G207" s="291">
        <f>IF(TRUE=ISBLANK(ChemData!L207),"",(ChemData!L207))</f>
        <v>4.5999999999999999E-2</v>
      </c>
      <c r="H207" s="462"/>
      <c r="I207" s="461" t="str">
        <f>IF(Start!$C$19="x",IF(OR(C207="",C207="NA"),"",IF(OR(F207="",F207="NA"),"No Ref",(IF((C207*100/Data!$D$10)&gt;(F207*100/Data!$D$60),"Exceeded","OK")))),"---")</f>
        <v>---</v>
      </c>
      <c r="J207" s="377" t="str">
        <f>IF(Start!$C$19="x",IF(OR(C207="",C207="NA"),"",IF(OR(G207="",G207="NA"),"No Criteria",(IF(C207&gt;(G207*Data!$D$10/100),"Exceeded","OK")))),"---")</f>
        <v>---</v>
      </c>
      <c r="K207" s="462"/>
      <c r="L207" s="286" t="str">
        <f>IF(Start!$C$19="x",IF(C207="","NA",IF(F207="","No Ref", (IF(F207 = 0, "NA", ((C207*100/Data!$D$10)/(F207*100/Data!$D$60)))))),"Not Req.")</f>
        <v>Not Req.</v>
      </c>
      <c r="M207" s="285" t="str">
        <f>IF(Start!$C$19="x",IF(C207="","NA",IF(OR(G207="",G207="NA"),"No Criteria",(IF(G207 = 0, "NA", (C207/(G207*Data!$D$10/100)))))),"Not Req.")</f>
        <v>Not Req.</v>
      </c>
    </row>
    <row r="208" spans="1:13" s="10" customFormat="1" x14ac:dyDescent="0.25">
      <c r="A208" s="405" t="s">
        <v>526</v>
      </c>
      <c r="B208" s="456" t="str">
        <f>IF(Start!$C$19="x",IF(AND(H208="",I208="",J208=""),"",(IF(H208="OK","No",(IF(H208="Exceeded",(IF(J208="OK","No",(IF(J208="Exceeded","Needed",(IF(J208="No Criteria","No Criteria","Missing Data")))))),(IF(I208="OK","No",(IF(J208="OK","No",(IF(J208="Exceeded","Needed",(IF(J208="No Criteria","No Criteria","Missing Data"))))))))))))),"---")</f>
        <v>---</v>
      </c>
      <c r="C208" s="457" t="str">
        <f>IF(TRUE=ISBLANK(ChemData!B208),"",(ChemData!B208))</f>
        <v/>
      </c>
      <c r="D208" s="502"/>
      <c r="E208" s="503"/>
      <c r="F208" s="289" t="str">
        <f>IF(TRUE=ISBLANK(ChemData!E208),"",(ChemData!E208))</f>
        <v/>
      </c>
      <c r="G208" s="291">
        <f>IF(TRUE=ISBLANK(ChemData!L208),"",(ChemData!L208))</f>
        <v>0.22</v>
      </c>
      <c r="H208" s="462"/>
      <c r="I208" s="461" t="str">
        <f>IF(Start!$C$19="x",IF(OR(C208="",C208="NA"),"",IF(OR(F208="",F208="NA"),"No Ref",(IF((C208*100/Data!$D$10)&gt;(F208*100/Data!$D$60),"Exceeded","OK")))),"---")</f>
        <v>---</v>
      </c>
      <c r="J208" s="377" t="str">
        <f>IF(Start!$C$19="x",IF(OR(C208="",C208="NA"),"",IF(OR(G208="",G208="NA"),"No Criteria",(IF(C208&gt;(G208*Data!$D$10/100),"Exceeded","OK")))),"---")</f>
        <v>---</v>
      </c>
      <c r="K208" s="462"/>
      <c r="L208" s="286" t="str">
        <f>IF(Start!$C$19="x",IF(C208="","NA",IF(F208="","No Ref", (IF(F208 = 0, "NA", ((C208*100/Data!$D$10)/(F208*100/Data!$D$60)))))),"Not Req.")</f>
        <v>Not Req.</v>
      </c>
      <c r="M208" s="285" t="str">
        <f>IF(Start!$C$19="x",IF(C208="","NA",IF(OR(G208="",G208="NA"),"No Criteria",(IF(G208 = 0, "NA", (C208/(G208*Data!$D$10/100)))))),"Not Req.")</f>
        <v>Not Req.</v>
      </c>
    </row>
    <row r="209" spans="1:13" s="10" customFormat="1" x14ac:dyDescent="0.25">
      <c r="A209" s="405" t="s">
        <v>527</v>
      </c>
      <c r="B209" s="456" t="str">
        <f>IF(Start!$C$19="x",IF(AND(H209="",I209="",J209=""),"",(IF(H209="OK","No",(IF(H209="Exceeded",(IF(J209="OK","No",(IF(J209="Exceeded","Needed",(IF(J209="No Criteria","No Criteria","Missing Data")))))),(IF(I209="OK","No",(IF(J209="OK","No",(IF(J209="Exceeded","Needed",(IF(J209="No Criteria","No Criteria","Missing Data"))))))))))))),"---")</f>
        <v>---</v>
      </c>
      <c r="C209" s="457" t="str">
        <f>IF(TRUE=ISBLANK(ChemData!B209),"",(ChemData!B209))</f>
        <v/>
      </c>
      <c r="D209" s="502"/>
      <c r="E209" s="503"/>
      <c r="F209" s="289" t="str">
        <f>IF(TRUE=ISBLANK(ChemData!E209),"",(ChemData!E209))</f>
        <v/>
      </c>
      <c r="G209" s="291">
        <f>IF(TRUE=ISBLANK(ChemData!L209),"",(ChemData!L209))</f>
        <v>11</v>
      </c>
      <c r="H209" s="462"/>
      <c r="I209" s="461" t="str">
        <f>IF(Start!$C$19="x",IF(OR(C209="",C209="NA"),"",IF(OR(F209="",F209="NA"),"No Ref",(IF((C209*100/Data!$D$10)&gt;(F209*100/Data!$D$60),"Exceeded","OK")))),"---")</f>
        <v>---</v>
      </c>
      <c r="J209" s="377" t="str">
        <f>IF(Start!$C$19="x",IF(OR(C209="",C209="NA"),"",IF(OR(G209="",G209="NA"),"No Criteria",(IF(C209&gt;(G209*Data!$D$10/100),"Exceeded","OK")))),"---")</f>
        <v>---</v>
      </c>
      <c r="K209" s="462"/>
      <c r="L209" s="286" t="str">
        <f>IF(Start!$C$19="x",IF(C209="","NA",IF(F209="","No Ref", (IF(F209 = 0, "NA", ((C209*100/Data!$D$10)/(F209*100/Data!$D$60)))))),"Not Req.")</f>
        <v>Not Req.</v>
      </c>
      <c r="M209" s="285" t="str">
        <f>IF(Start!$C$19="x",IF(C209="","NA",IF(OR(G209="",G209="NA"),"No Criteria",(IF(G209 = 0, "NA", (C209/(G209*Data!$D$10/100)))))),"Not Req.")</f>
        <v>Not Req.</v>
      </c>
    </row>
    <row r="210" spans="1:13" s="10" customFormat="1" x14ac:dyDescent="0.25">
      <c r="A210" s="405" t="s">
        <v>528</v>
      </c>
      <c r="B210" s="456" t="str">
        <f>IF(Start!$C$19="x",IF(AND(H210="",I210="",J210=""),"",(IF(H210="OK","No",(IF(H210="Exceeded",(IF(J210="OK","No",(IF(J210="Exceeded","Needed",(IF(J210="No Criteria","No Criteria","Missing Data")))))),(IF(I210="OK","No",(IF(J210="OK","No",(IF(J210="Exceeded","Needed",(IF(J210="No Criteria","No Criteria","Missing Data"))))))))))))),"---")</f>
        <v>---</v>
      </c>
      <c r="C210" s="457" t="str">
        <f>IF(TRUE=ISBLANK(ChemData!B210),"",(ChemData!B210))</f>
        <v/>
      </c>
      <c r="D210" s="502"/>
      <c r="E210" s="503"/>
      <c r="F210" s="289" t="str">
        <f>IF(TRUE=ISBLANK(ChemData!E210),"",(ChemData!E210))</f>
        <v/>
      </c>
      <c r="G210" s="291">
        <f>IF(TRUE=ISBLANK(ChemData!L210),"",(ChemData!L210))</f>
        <v>7.1999999999999995E-2</v>
      </c>
      <c r="H210" s="462"/>
      <c r="I210" s="461" t="str">
        <f>IF(Start!$C$19="x",IF(OR(C210="",C210="NA"),"",IF(OR(F210="",F210="NA"),"No Ref",(IF((C210*100/Data!$D$10)&gt;(F210*100/Data!$D$60),"Exceeded","OK")))),"---")</f>
        <v>---</v>
      </c>
      <c r="J210" s="377" t="str">
        <f>IF(Start!$C$19="x",IF(OR(C210="",C210="NA"),"",IF(OR(G210="",G210="NA"),"No Criteria",(IF(C210&gt;(G210*Data!$D$10/100),"Exceeded","OK")))),"---")</f>
        <v>---</v>
      </c>
      <c r="K210" s="462"/>
      <c r="L210" s="286" t="str">
        <f>IF(Start!$C$19="x",IF(C210="","NA",IF(F210="","No Ref", (IF(F210 = 0, "NA", ((C210*100/Data!$D$10)/(F210*100/Data!$D$60)))))),"Not Req.")</f>
        <v>Not Req.</v>
      </c>
      <c r="M210" s="285" t="str">
        <f>IF(Start!$C$19="x",IF(C210="","NA",IF(OR(G210="",G210="NA"),"No Criteria",(IF(G210 = 0, "NA", (C210/(G210*Data!$D$10/100)))))),"Not Req.")</f>
        <v>Not Req.</v>
      </c>
    </row>
    <row r="211" spans="1:13" s="10" customFormat="1" x14ac:dyDescent="0.25">
      <c r="A211" s="405" t="s">
        <v>529</v>
      </c>
      <c r="B211" s="456" t="str">
        <f>IF(Start!$C$19="x",IF(AND(H211="",I211="",J211=""),"",(IF(H211="OK","No",(IF(H211="Exceeded",(IF(J211="OK","No",(IF(J211="Exceeded","Needed",(IF(J211="No Criteria","No Criteria","Missing Data")))))),(IF(I211="OK","No",(IF(J211="OK","No",(IF(J211="Exceeded","Needed",(IF(J211="No Criteria","No Criteria","Missing Data"))))))))))))),"---")</f>
        <v>---</v>
      </c>
      <c r="C211" s="457" t="str">
        <f>IF(TRUE=ISBLANK(ChemData!B211),"",(ChemData!B211))</f>
        <v/>
      </c>
      <c r="D211" s="502"/>
      <c r="E211" s="503"/>
      <c r="F211" s="289" t="str">
        <f>IF(TRUE=ISBLANK(ChemData!E211),"",(ChemData!E211))</f>
        <v/>
      </c>
      <c r="G211" s="291" t="str">
        <f>IF(TRUE=ISBLANK(ChemData!L211),"",(ChemData!L211))</f>
        <v>NA</v>
      </c>
      <c r="H211" s="462"/>
      <c r="I211" s="461" t="str">
        <f>IF(Start!$C$19="x",IF(OR(C211="",C211="NA"),"",IF(OR(F211="",F211="NA"),"No Ref",(IF((C211*100/Data!$D$10)&gt;(F211*100/Data!$D$60),"Exceeded","OK")))),"---")</f>
        <v>---</v>
      </c>
      <c r="J211" s="377" t="str">
        <f>IF(Start!$C$19="x",IF(OR(C211="",C211="NA"),"",IF(OR(G211="",G211="NA"),"No Criteria",(IF(C211&gt;(G211*Data!$D$10/100),"Exceeded","OK")))),"---")</f>
        <v>---</v>
      </c>
      <c r="K211" s="462"/>
      <c r="L211" s="286" t="str">
        <f>IF(Start!$C$19="x",IF(C211="","NA",IF(F211="","No Ref", (IF(F211 = 0, "NA", ((C211*100/Data!$D$10)/(F211*100/Data!$D$60)))))),"Not Req.")</f>
        <v>Not Req.</v>
      </c>
      <c r="M211" s="285" t="str">
        <f>IF(Start!$C$19="x",IF(C211="","NA",IF(OR(G211="",G211="NA"),"No Criteria",(IF(G211 = 0, "NA", (C211/(G211*Data!$D$10/100)))))),"Not Req.")</f>
        <v>Not Req.</v>
      </c>
    </row>
    <row r="212" spans="1:13" s="10" customFormat="1" x14ac:dyDescent="0.25">
      <c r="A212" s="405" t="s">
        <v>530</v>
      </c>
      <c r="B212" s="456" t="str">
        <f>IF(Start!$C$19="x",IF(AND(H212="",I212="",J212=""),"",(IF(H212="OK","No",(IF(H212="Exceeded",(IF(J212="OK","No",(IF(J212="Exceeded","Needed",(IF(J212="No Criteria","No Criteria","Missing Data")))))),(IF(I212="OK","No",(IF(J212="OK","No",(IF(J212="Exceeded","Needed",(IF(J212="No Criteria","No Criteria","Missing Data"))))))))))))),"---")</f>
        <v>---</v>
      </c>
      <c r="C212" s="457" t="str">
        <f>IF(TRUE=ISBLANK(ChemData!B212),"",(ChemData!B212))</f>
        <v/>
      </c>
      <c r="D212" s="502"/>
      <c r="E212" s="503"/>
      <c r="F212" s="289" t="str">
        <f>IF(TRUE=ISBLANK(ChemData!E212),"",(ChemData!E212))</f>
        <v/>
      </c>
      <c r="G212" s="291" t="str">
        <f>IF(TRUE=ISBLANK(ChemData!L212),"",(ChemData!L212))</f>
        <v>NA</v>
      </c>
      <c r="H212" s="462"/>
      <c r="I212" s="461" t="str">
        <f>IF(Start!$C$19="x",IF(OR(C212="",C212="NA"),"",IF(OR(F212="",F212="NA"),"No Ref",(IF((C212*100/Data!$D$10)&gt;(F212*100/Data!$D$60),"Exceeded","OK")))),"---")</f>
        <v>---</v>
      </c>
      <c r="J212" s="377" t="str">
        <f>IF(Start!$C$19="x",IF(OR(C212="",C212="NA"),"",IF(OR(G212="",G212="NA"),"No Criteria",(IF(C212&gt;(G212*Data!$D$10/100),"Exceeded","OK")))),"---")</f>
        <v>---</v>
      </c>
      <c r="K212" s="462"/>
      <c r="L212" s="286" t="str">
        <f>IF(Start!$C$19="x",IF(C212="","NA",IF(F212="","No Ref", (IF(F212 = 0, "NA", ((C212*100/Data!$D$10)/(F212*100/Data!$D$60)))))),"Not Req.")</f>
        <v>Not Req.</v>
      </c>
      <c r="M212" s="285" t="str">
        <f>IF(Start!$C$19="x",IF(C212="","NA",IF(OR(G212="",G212="NA"),"No Criteria",(IF(G212 = 0, "NA", (C212/(G212*Data!$D$10/100)))))),"Not Req.")</f>
        <v>Not Req.</v>
      </c>
    </row>
    <row r="213" spans="1:13" s="10" customFormat="1" x14ac:dyDescent="0.25">
      <c r="A213" s="405" t="s">
        <v>531</v>
      </c>
      <c r="B213" s="456" t="str">
        <f>IF(Start!$C$19="x",IF(AND(H213="",I213="",J213=""),"",(IF(H213="OK","No",(IF(H213="Exceeded",(IF(J213="OK","No",(IF(J213="Exceeded","Needed",(IF(J213="No Criteria","No Criteria","Missing Data")))))),(IF(I213="OK","No",(IF(J213="OK","No",(IF(J213="Exceeded","Needed",(IF(J213="No Criteria","No Criteria","Missing Data"))))))))))))),"---")</f>
        <v>---</v>
      </c>
      <c r="C213" s="457" t="str">
        <f>IF(TRUE=ISBLANK(ChemData!B213),"",(ChemData!B213))</f>
        <v/>
      </c>
      <c r="D213" s="502"/>
      <c r="E213" s="503"/>
      <c r="F213" s="289" t="str">
        <f>IF(TRUE=ISBLANK(ChemData!E213),"",(ChemData!E213))</f>
        <v/>
      </c>
      <c r="G213" s="291">
        <f>IF(TRUE=ISBLANK(ChemData!L213),"",(ChemData!L213))</f>
        <v>49</v>
      </c>
      <c r="H213" s="462"/>
      <c r="I213" s="461" t="str">
        <f>IF(Start!$C$19="x",IF(OR(C213="",C213="NA"),"",IF(OR(F213="",F213="NA"),"No Ref",(IF((C213*100/Data!$D$10)&gt;(F213*100/Data!$D$60),"Exceeded","OK")))),"---")</f>
        <v>---</v>
      </c>
      <c r="J213" s="377" t="str">
        <f>IF(Start!$C$19="x",IF(OR(C213="",C213="NA"),"",IF(OR(G213="",G213="NA"),"No Criteria",(IF(C213&gt;(G213*Data!$D$10/100),"Exceeded","OK")))),"---")</f>
        <v>---</v>
      </c>
      <c r="K213" s="462"/>
      <c r="L213" s="286" t="str">
        <f>IF(Start!$C$19="x",IF(C213="","NA",IF(F213="","No Ref", (IF(F213 = 0, "NA", ((C213*100/Data!$D$10)/(F213*100/Data!$D$60)))))),"Not Req.")</f>
        <v>Not Req.</v>
      </c>
      <c r="M213" s="285" t="str">
        <f>IF(Start!$C$19="x",IF(C213="","NA",IF(OR(G213="",G213="NA"),"No Criteria",(IF(G213 = 0, "NA", (C213/(G213*Data!$D$10/100)))))),"Not Req.")</f>
        <v>Not Req.</v>
      </c>
    </row>
    <row r="214" spans="1:13" s="10" customFormat="1" x14ac:dyDescent="0.25">
      <c r="A214" s="307" t="s">
        <v>532</v>
      </c>
      <c r="B214" s="456" t="str">
        <f>IF(Start!$C$19="x",IF(AND(H214="",I214="",J214=""),"",(IF(H214="OK","No",(IF(H214="Exceeded",(IF(J214="OK","No",(IF(J214="Exceeded","Needed",(IF(J214="No Criteria","No Criteria","Missing Data")))))),(IF(I214="OK","No",(IF(J214="OK","No",(IF(J214="Exceeded","Needed",(IF(J214="No Criteria","No Criteria","Missing Data"))))))))))))),"---")</f>
        <v>---</v>
      </c>
      <c r="C214" s="457" t="str">
        <f>IF(TRUE=ISBLANK(ChemData!B214),"",(ChemData!B214))</f>
        <v/>
      </c>
      <c r="D214" s="502"/>
      <c r="E214" s="503"/>
      <c r="F214" s="289" t="str">
        <f>IF(TRUE=ISBLANK(ChemData!E214),"",(ChemData!E214))</f>
        <v/>
      </c>
      <c r="G214" s="291" t="str">
        <f>IF(TRUE=ISBLANK(ChemData!L214),"",(ChemData!L214))</f>
        <v>NA</v>
      </c>
      <c r="H214" s="462"/>
      <c r="I214" s="461" t="str">
        <f>IF(Start!$C$19="x",IF(OR(C214="",C214="NA"),"",IF(OR(F214="",F214="NA"),"No Ref",(IF((C214*100/Data!$D$10)&gt;(F214*100/Data!$D$60),"Exceeded","OK")))),"---")</f>
        <v>---</v>
      </c>
      <c r="J214" s="377" t="str">
        <f>IF(Start!$C$19="x",IF(OR(C214="",C214="NA"),"",IF(OR(G214="",G214="NA"),"No Criteria",(IF(C214&gt;(G214*Data!$D$10/100),"Exceeded","OK")))),"---")</f>
        <v>---</v>
      </c>
      <c r="K214" s="462"/>
      <c r="L214" s="286" t="str">
        <f>IF(Start!$C$19="x",IF(C214="","NA",IF(F214="","No Ref", (IF(F214 = 0, "NA", ((C214*100/Data!$D$10)/(F214*100/Data!$D$60)))))),"Not Req.")</f>
        <v>Not Req.</v>
      </c>
      <c r="M214" s="285" t="str">
        <f>IF(Start!$C$19="x",IF(C214="","NA",IF(OR(G214="",G214="NA"),"No Criteria",(IF(G214 = 0, "NA", (C214/(G214*Data!$D$10/100)))))),"Not Req.")</f>
        <v>Not Req.</v>
      </c>
    </row>
    <row r="215" spans="1:13" s="10" customFormat="1" x14ac:dyDescent="0.25">
      <c r="A215" s="405" t="s">
        <v>533</v>
      </c>
      <c r="B215" s="456" t="str">
        <f>IF(Start!$C$19="x",IF(AND(H215="",I215="",J215=""),"",(IF(H215="OK","No",(IF(H215="Exceeded",(IF(J215="OK","No",(IF(J215="Exceeded","Needed",(IF(J215="No Criteria","No Criteria","Missing Data")))))),(IF(I215="OK","No",(IF(J215="OK","No",(IF(J215="Exceeded","Needed",(IF(J215="No Criteria","No Criteria","Missing Data"))))))))))))),"---")</f>
        <v>---</v>
      </c>
      <c r="C215" s="457" t="str">
        <f>IF(TRUE=ISBLANK(ChemData!B215),"",(ChemData!B215))</f>
        <v/>
      </c>
      <c r="D215" s="502"/>
      <c r="E215" s="503"/>
      <c r="F215" s="289" t="str">
        <f>IF(TRUE=ISBLANK(ChemData!E215),"",(ChemData!E215))</f>
        <v/>
      </c>
      <c r="G215" s="291">
        <f>IF(TRUE=ISBLANK(ChemData!L215),"",(ChemData!L215))</f>
        <v>15</v>
      </c>
      <c r="H215" s="462"/>
      <c r="I215" s="461" t="str">
        <f>IF(Start!$C$19="x",IF(OR(C215="",C215="NA"),"",IF(OR(F215="",F215="NA"),"No Ref",(IF((C215*100/Data!$D$10)&gt;(F215*100/Data!$D$60),"Exceeded","OK")))),"---")</f>
        <v>---</v>
      </c>
      <c r="J215" s="377" t="str">
        <f>IF(Start!$C$19="x",IF(OR(C215="",C215="NA"),"",IF(OR(G215="",G215="NA"),"No Criteria",(IF(C215&gt;(G215*Data!$D$10/100),"Exceeded","OK")))),"---")</f>
        <v>---</v>
      </c>
      <c r="K215" s="462"/>
      <c r="L215" s="286" t="str">
        <f>IF(Start!$C$19="x",IF(C215="","NA",IF(F215="","No Ref", (IF(F215 = 0, "NA", ((C215*100/Data!$D$10)/(F215*100/Data!$D$60)))))),"Not Req.")</f>
        <v>Not Req.</v>
      </c>
      <c r="M215" s="285" t="str">
        <f>IF(Start!$C$19="x",IF(C215="","NA",IF(OR(G215="",G215="NA"),"No Criteria",(IF(G215 = 0, "NA", (C215/(G215*Data!$D$10/100)))))),"Not Req.")</f>
        <v>Not Req.</v>
      </c>
    </row>
    <row r="216" spans="1:13" s="10" customFormat="1" x14ac:dyDescent="0.25">
      <c r="A216" s="405" t="s">
        <v>534</v>
      </c>
      <c r="B216" s="456" t="str">
        <f>IF(Start!$C$19="x",IF(AND(H216="",I216="",J216=""),"",(IF(H216="OK","No",(IF(H216="Exceeded",(IF(J216="OK","No",(IF(J216="Exceeded","Needed",(IF(J216="No Criteria","No Criteria","Missing Data")))))),(IF(I216="OK","No",(IF(J216="OK","No",(IF(J216="Exceeded","Needed",(IF(J216="No Criteria","No Criteria","Missing Data"))))))))))))),"---")</f>
        <v>---</v>
      </c>
      <c r="C216" s="457" t="str">
        <f>IF(TRUE=ISBLANK(ChemData!B216),"",(ChemData!B216))</f>
        <v/>
      </c>
      <c r="D216" s="502"/>
      <c r="E216" s="503"/>
      <c r="F216" s="289" t="str">
        <f>IF(TRUE=ISBLANK(ChemData!E216),"",(ChemData!E216))</f>
        <v/>
      </c>
      <c r="G216" s="291" t="str">
        <f>IF(TRUE=ISBLANK(ChemData!L216),"",(ChemData!L216))</f>
        <v>NA</v>
      </c>
      <c r="H216" s="462"/>
      <c r="I216" s="461" t="str">
        <f>IF(Start!$C$19="x",IF(OR(C216="",C216="NA"),"",IF(OR(F216="",F216="NA"),"No Ref",(IF((C216*100/Data!$D$10)&gt;(F216*100/Data!$D$60),"Exceeded","OK")))),"---")</f>
        <v>---</v>
      </c>
      <c r="J216" s="377" t="str">
        <f>IF(Start!$C$19="x",IF(OR(C216="",C216="NA"),"",IF(OR(G216="",G216="NA"),"No Criteria",(IF(C216&gt;(G216*Data!$D$10/100),"Exceeded","OK")))),"---")</f>
        <v>---</v>
      </c>
      <c r="K216" s="462"/>
      <c r="L216" s="286" t="str">
        <f>IF(Start!$C$19="x",IF(C216="","NA",IF(F216="","No Ref", (IF(F216 = 0, "NA", ((C216*100/Data!$D$10)/(F216*100/Data!$D$60)))))),"Not Req.")</f>
        <v>Not Req.</v>
      </c>
      <c r="M216" s="285" t="str">
        <f>IF(Start!$C$19="x",IF(C216="","NA",IF(OR(G216="",G216="NA"),"No Criteria",(IF(G216 = 0, "NA", (C216/(G216*Data!$D$10/100)))))),"Not Req.")</f>
        <v>Not Req.</v>
      </c>
    </row>
    <row r="217" spans="1:13" s="10" customFormat="1" x14ac:dyDescent="0.25">
      <c r="A217" s="405" t="s">
        <v>535</v>
      </c>
      <c r="B217" s="456" t="str">
        <f>IF(Start!$C$19="x",IF(AND(H217="",I217="",J217=""),"",(IF(H217="OK","No",(IF(H217="Exceeded",(IF(J217="OK","No",(IF(J217="Exceeded","Needed",(IF(J217="No Criteria","No Criteria","Missing Data")))))),(IF(I217="OK","No",(IF(J217="OK","No",(IF(J217="Exceeded","Needed",(IF(J217="No Criteria","No Criteria","Missing Data"))))))))))))),"---")</f>
        <v>---</v>
      </c>
      <c r="C217" s="457" t="str">
        <f>IF(TRUE=ISBLANK(ChemData!B217),"",(ChemData!B217))</f>
        <v/>
      </c>
      <c r="D217" s="502"/>
      <c r="E217" s="503"/>
      <c r="F217" s="289" t="str">
        <f>IF(TRUE=ISBLANK(ChemData!E217),"",(ChemData!E217))</f>
        <v/>
      </c>
      <c r="G217" s="291">
        <f>IF(TRUE=ISBLANK(ChemData!L217),"",(ChemData!L217))</f>
        <v>6.8</v>
      </c>
      <c r="H217" s="462"/>
      <c r="I217" s="461" t="str">
        <f>IF(Start!$C$19="x",IF(OR(C217="",C217="NA"),"",IF(OR(F217="",F217="NA"),"No Ref",(IF((C217*100/Data!$D$10)&gt;(F217*100/Data!$D$60),"Exceeded","OK")))),"---")</f>
        <v>---</v>
      </c>
      <c r="J217" s="377" t="str">
        <f>IF(Start!$C$19="x",IF(OR(C217="",C217="NA"),"",IF(OR(G217="",G217="NA"),"No Criteria",(IF(C217&gt;(G217*Data!$D$10/100),"Exceeded","OK")))),"---")</f>
        <v>---</v>
      </c>
      <c r="K217" s="462"/>
      <c r="L217" s="286" t="str">
        <f>IF(Start!$C$19="x",IF(C217="","NA",IF(F217="","No Ref", (IF(F217 = 0, "NA", ((C217*100/Data!$D$10)/(F217*100/Data!$D$60)))))),"Not Req.")</f>
        <v>Not Req.</v>
      </c>
      <c r="M217" s="285" t="str">
        <f>IF(Start!$C$19="x",IF(C217="","NA",IF(OR(G217="",G217="NA"),"No Criteria",(IF(G217 = 0, "NA", (C217/(G217*Data!$D$10/100)))))),"Not Req.")</f>
        <v>Not Req.</v>
      </c>
    </row>
    <row r="218" spans="1:13" s="10" customFormat="1" x14ac:dyDescent="0.25">
      <c r="A218" s="405" t="s">
        <v>686</v>
      </c>
      <c r="B218" s="456" t="str">
        <f>IF(Start!$C$19="x",IF(AND(H218="",I218="",J218=""),"",(IF(H218="OK","No",(IF(H218="Exceeded",(IF(J218="OK","No",(IF(J218="Exceeded","Needed",(IF(J218="No Criteria","No Criteria","Missing Data")))))),(IF(I218="OK","No",(IF(J218="OK","No",(IF(J218="Exceeded","Needed",(IF(J218="No Criteria","No Criteria","Missing Data"))))))))))))),"---")</f>
        <v>---</v>
      </c>
      <c r="C218" s="457" t="str">
        <f>IF(TRUE=ISBLANK(ChemData!B218),"",(ChemData!B218))</f>
        <v/>
      </c>
      <c r="D218" s="502"/>
      <c r="E218" s="503"/>
      <c r="F218" s="289" t="str">
        <f>IF(TRUE=ISBLANK(ChemData!E218),"",(ChemData!E218))</f>
        <v/>
      </c>
      <c r="G218" s="291" t="str">
        <f>IF(TRUE=ISBLANK(ChemData!L218),"",(ChemData!L218))</f>
        <v>NA</v>
      </c>
      <c r="H218" s="462"/>
      <c r="I218" s="461" t="str">
        <f>IF(Start!$C$19="x",IF(OR(C218="",C218="NA"),"",IF(OR(F218="",F218="NA"),"No Ref",(IF((C218*100/Data!$D$10)&gt;(F218*100/Data!$D$60),"Exceeded","OK")))),"---")</f>
        <v>---</v>
      </c>
      <c r="J218" s="377" t="str">
        <f>IF(Start!$C$19="x",IF(OR(C218="",C218="NA"),"",IF(OR(G218="",G218="NA"),"No Criteria",(IF(C218&gt;(G218*Data!$D$10/100),"Exceeded","OK")))),"---")</f>
        <v>---</v>
      </c>
      <c r="K218" s="462"/>
      <c r="L218" s="286" t="str">
        <f>IF(Start!$C$19="x",IF(C218="","NA",IF(F218="","No Ref", (IF(F218 = 0, "NA", ((C218*100/Data!$D$10)/(F218*100/Data!$D$60)))))),"Not Req.")</f>
        <v>Not Req.</v>
      </c>
      <c r="M218" s="285" t="str">
        <f>IF(Start!$C$19="x",IF(C218="","NA",IF(OR(G218="",G218="NA"),"No Criteria",(IF(G218 = 0, "NA", (C218/(G218*Data!$D$10/100)))))),"Not Req.")</f>
        <v>Not Req.</v>
      </c>
    </row>
    <row r="219" spans="1:13" s="10" customFormat="1" x14ac:dyDescent="0.25">
      <c r="A219" s="405" t="s">
        <v>687</v>
      </c>
      <c r="B219" s="456" t="str">
        <f>IF(Start!$C$19="x",IF(AND(H219="",I219="",J219=""),"",(IF(H219="OK","No",(IF(H219="Exceeded",(IF(J219="OK","No",(IF(J219="Exceeded","Needed",(IF(J219="No Criteria","No Criteria","Missing Data")))))),(IF(I219="OK","No",(IF(J219="OK","No",(IF(J219="Exceeded","Needed",(IF(J219="No Criteria","No Criteria","Missing Data"))))))))))))),"---")</f>
        <v>---</v>
      </c>
      <c r="C219" s="457" t="str">
        <f>IF(TRUE=ISBLANK(ChemData!B219),"",(ChemData!B219))</f>
        <v/>
      </c>
      <c r="D219" s="502"/>
      <c r="E219" s="503"/>
      <c r="F219" s="289" t="str">
        <f>IF(TRUE=ISBLANK(ChemData!E219),"",(ChemData!E219))</f>
        <v/>
      </c>
      <c r="G219" s="291">
        <f>IF(TRUE=ISBLANK(ChemData!L219),"",(ChemData!L219))</f>
        <v>41</v>
      </c>
      <c r="H219" s="462"/>
      <c r="I219" s="461" t="str">
        <f>IF(Start!$C$19="x",IF(OR(C219="",C219="NA"),"",IF(OR(F219="",F219="NA"),"No Ref",(IF((C219*100/Data!$D$10)&gt;(F219*100/Data!$D$60),"Exceeded","OK")))),"---")</f>
        <v>---</v>
      </c>
      <c r="J219" s="377" t="str">
        <f>IF(Start!$C$19="x",IF(OR(C219="",C219="NA"),"",IF(OR(G219="",G219="NA"),"No Criteria",(IF(C219&gt;(G219*Data!$D$10/100),"Exceeded","OK")))),"---")</f>
        <v>---</v>
      </c>
      <c r="K219" s="462"/>
      <c r="L219" s="286" t="str">
        <f>IF(Start!$C$19="x",IF(C219="","NA",IF(F219="","No Ref", (IF(F219 = 0, "NA", ((C219*100/Data!$D$10)/(F219*100/Data!$D$60)))))),"Not Req.")</f>
        <v>Not Req.</v>
      </c>
      <c r="M219" s="285" t="str">
        <f>IF(Start!$C$19="x",IF(C219="","NA",IF(OR(G219="",G219="NA"),"No Criteria",(IF(G219 = 0, "NA", (C219/(G219*Data!$D$10/100)))))),"Not Req.")</f>
        <v>Not Req.</v>
      </c>
    </row>
    <row r="220" spans="1:13" s="10" customFormat="1" x14ac:dyDescent="0.25">
      <c r="A220" s="405" t="s">
        <v>538</v>
      </c>
      <c r="B220" s="456" t="str">
        <f>IF(Start!$C$19="x",IF(AND(H220="",I220="",J220=""),"",(IF(H220="OK","No",(IF(H220="Exceeded",(IF(J220="OK","No",(IF(J220="Exceeded","Needed",(IF(J220="No Criteria","No Criteria","Missing Data")))))),(IF(I220="OK","No",(IF(J220="OK","No",(IF(J220="Exceeded","Needed",(IF(J220="No Criteria","No Criteria","Missing Data"))))))))))))),"---")</f>
        <v>---</v>
      </c>
      <c r="C220" s="457" t="str">
        <f>IF(TRUE=ISBLANK(ChemData!B220),"",(ChemData!B220))</f>
        <v/>
      </c>
      <c r="D220" s="502"/>
      <c r="E220" s="503"/>
      <c r="F220" s="289" t="str">
        <f>IF(TRUE=ISBLANK(ChemData!E220),"",(ChemData!E220))</f>
        <v/>
      </c>
      <c r="G220" s="291" t="str">
        <f>IF(TRUE=ISBLANK(ChemData!L220),"",(ChemData!L220))</f>
        <v>NA</v>
      </c>
      <c r="H220" s="462"/>
      <c r="I220" s="461" t="str">
        <f>IF(Start!$C$19="x",IF(OR(C220="",C220="NA"),"",IF(OR(F220="",F220="NA"),"No Ref",(IF((C220*100/Data!$D$10)&gt;(F220*100/Data!$D$60),"Exceeded","OK")))),"---")</f>
        <v>---</v>
      </c>
      <c r="J220" s="377" t="str">
        <f>IF(Start!$C$19="x",IF(OR(C220="",C220="NA"),"",IF(OR(G220="",G220="NA"),"No Criteria",(IF(C220&gt;(G220*Data!$D$10/100),"Exceeded","OK")))),"---")</f>
        <v>---</v>
      </c>
      <c r="K220" s="462"/>
      <c r="L220" s="286" t="str">
        <f>IF(Start!$C$19="x",IF(C220="","NA",IF(F220="","No Ref", (IF(F220 = 0, "NA", ((C220*100/Data!$D$10)/(F220*100/Data!$D$60)))))),"Not Req.")</f>
        <v>Not Req.</v>
      </c>
      <c r="M220" s="285" t="str">
        <f>IF(Start!$C$19="x",IF(C220="","NA",IF(OR(G220="",G220="NA"),"No Criteria",(IF(G220 = 0, "NA", (C220/(G220*Data!$D$10/100)))))),"Not Req.")</f>
        <v>Not Req.</v>
      </c>
    </row>
    <row r="221" spans="1:13" s="10" customFormat="1" x14ac:dyDescent="0.25">
      <c r="A221" s="405" t="s">
        <v>688</v>
      </c>
      <c r="B221" s="456" t="str">
        <f>IF(Start!$C$19="x",IF(AND(H221="",I221="",J221=""),"",(IF(H221="OK","No",(IF(H221="Exceeded",(IF(J221="OK","No",(IF(J221="Exceeded","Needed",(IF(J221="No Criteria","No Criteria","Missing Data")))))),(IF(I221="OK","No",(IF(J221="OK","No",(IF(J221="Exceeded","Needed",(IF(J221="No Criteria","No Criteria","Missing Data"))))))))))))),"---")</f>
        <v>---</v>
      </c>
      <c r="C221" s="457" t="str">
        <f>IF(TRUE=ISBLANK(ChemData!B221),"",(ChemData!B221))</f>
        <v/>
      </c>
      <c r="D221" s="502"/>
      <c r="E221" s="503"/>
      <c r="F221" s="289" t="str">
        <f>IF(TRUE=ISBLANK(ChemData!E221),"",(ChemData!E221))</f>
        <v/>
      </c>
      <c r="G221" s="291">
        <f>IF(TRUE=ISBLANK(ChemData!L221),"",(ChemData!L221))</f>
        <v>53</v>
      </c>
      <c r="H221" s="462"/>
      <c r="I221" s="461" t="str">
        <f>IF(Start!$C$19="x",IF(OR(C221="",C221="NA"),"",IF(OR(F221="",F221="NA"),"No Ref",(IF((C221*100/Data!$D$10)&gt;(F221*100/Data!$D$60),"Exceeded","OK")))),"---")</f>
        <v>---</v>
      </c>
      <c r="J221" s="377" t="str">
        <f>IF(Start!$C$19="x",IF(OR(C221="",C221="NA"),"",IF(OR(G221="",G221="NA"),"No Criteria",(IF(C221&gt;(G221*Data!$D$10/100),"Exceeded","OK")))),"---")</f>
        <v>---</v>
      </c>
      <c r="K221" s="462"/>
      <c r="L221" s="286" t="str">
        <f>IF(Start!$C$19="x",IF(C221="","NA",IF(F221="","No Ref", (IF(F221 = 0, "NA", ((C221*100/Data!$D$10)/(F221*100/Data!$D$60)))))),"Not Req.")</f>
        <v>Not Req.</v>
      </c>
      <c r="M221" s="285" t="str">
        <f>IF(Start!$C$19="x",IF(C221="","NA",IF(OR(G221="",G221="NA"),"No Criteria",(IF(G221 = 0, "NA", (C221/(G221*Data!$D$10/100)))))),"Not Req.")</f>
        <v>Not Req.</v>
      </c>
    </row>
    <row r="222" spans="1:13" s="10" customFormat="1" x14ac:dyDescent="0.25">
      <c r="A222" s="405" t="s">
        <v>689</v>
      </c>
      <c r="B222" s="456" t="str">
        <f>IF(Start!$C$19="x",IF(AND(H222="",I222="",J222=""),"",(IF(H222="OK","No",(IF(H222="Exceeded",(IF(J222="OK","No",(IF(J222="Exceeded","Needed",(IF(J222="No Criteria","No Criteria","Missing Data")))))),(IF(I222="OK","No",(IF(J222="OK","No",(IF(J222="Exceeded","Needed",(IF(J222="No Criteria","No Criteria","Missing Data"))))))))))))),"---")</f>
        <v>---</v>
      </c>
      <c r="C222" s="457" t="str">
        <f>IF(TRUE=ISBLANK(ChemData!B222),"",(ChemData!B222))</f>
        <v/>
      </c>
      <c r="D222" s="502"/>
      <c r="E222" s="503"/>
      <c r="F222" s="289" t="str">
        <f>IF(TRUE=ISBLANK(ChemData!E222),"",(ChemData!E222))</f>
        <v/>
      </c>
      <c r="G222" s="291">
        <f>IF(TRUE=ISBLANK(ChemData!L222),"",(ChemData!L222))</f>
        <v>650</v>
      </c>
      <c r="H222" s="462"/>
      <c r="I222" s="461" t="str">
        <f>IF(Start!$C$19="x",IF(OR(C222="",C222="NA"),"",IF(OR(F222="",F222="NA"),"No Ref",(IF((C222*100/Data!$D$10)&gt;(F222*100/Data!$D$60),"Exceeded","OK")))),"---")</f>
        <v>---</v>
      </c>
      <c r="J222" s="377" t="str">
        <f>IF(Start!$C$19="x",IF(OR(C222="",C222="NA"),"",IF(OR(G222="",G222="NA"),"No Criteria",(IF(C222&gt;(G222*Data!$D$10/100),"Exceeded","OK")))),"---")</f>
        <v>---</v>
      </c>
      <c r="K222" s="462"/>
      <c r="L222" s="286" t="str">
        <f>IF(Start!$C$19="x",IF(C222="","NA",IF(F222="","No Ref", (IF(F222 = 0, "NA", ((C222*100/Data!$D$10)/(F222*100/Data!$D$60)))))),"Not Req.")</f>
        <v>Not Req.</v>
      </c>
      <c r="M222" s="285" t="str">
        <f>IF(Start!$C$19="x",IF(C222="","NA",IF(OR(G222="",G222="NA"),"No Criteria",(IF(G222 = 0, "NA", (C222/(G222*Data!$D$10/100)))))),"Not Req.")</f>
        <v>Not Req.</v>
      </c>
    </row>
    <row r="223" spans="1:13" s="10" customFormat="1" x14ac:dyDescent="0.25">
      <c r="A223" s="405" t="s">
        <v>541</v>
      </c>
      <c r="B223" s="456" t="str">
        <f>IF(Start!$C$19="x",IF(AND(H223="",I223="",J223=""),"",(IF(H223="OK","No",(IF(H223="Exceeded",(IF(J223="OK","No",(IF(J223="Exceeded","Needed",(IF(J223="No Criteria","No Criteria","Missing Data")))))),(IF(I223="OK","No",(IF(J223="OK","No",(IF(J223="Exceeded","Needed",(IF(J223="No Criteria","No Criteria","Missing Data"))))))))))))),"---")</f>
        <v>---</v>
      </c>
      <c r="C223" s="457" t="str">
        <f>IF(TRUE=ISBLANK(ChemData!B223),"",(ChemData!B223))</f>
        <v/>
      </c>
      <c r="D223" s="502"/>
      <c r="E223" s="503"/>
      <c r="F223" s="289" t="str">
        <f>IF(TRUE=ISBLANK(ChemData!E223),"",(ChemData!E223))</f>
        <v/>
      </c>
      <c r="G223" s="291">
        <f>IF(TRUE=ISBLANK(ChemData!L223),"",(ChemData!L223))</f>
        <v>1.8</v>
      </c>
      <c r="H223" s="462"/>
      <c r="I223" s="461" t="str">
        <f>IF(Start!$C$19="x",IF(OR(C223="",C223="NA"),"",IF(OR(F223="",F223="NA"),"No Ref",(IF((C223*100/Data!$D$10)&gt;(F223*100/Data!$D$60),"Exceeded","OK")))),"---")</f>
        <v>---</v>
      </c>
      <c r="J223" s="377" t="str">
        <f>IF(Start!$C$19="x",IF(OR(C223="",C223="NA"),"",IF(OR(G223="",G223="NA"),"No Criteria",(IF(C223&gt;(G223*Data!$D$10/100),"Exceeded","OK")))),"---")</f>
        <v>---</v>
      </c>
      <c r="K223" s="462"/>
      <c r="L223" s="286" t="str">
        <f>IF(Start!$C$19="x",IF(C223="","NA",IF(F223="","No Ref", (IF(F223 = 0, "NA", ((C223*100/Data!$D$10)/(F223*100/Data!$D$60)))))),"Not Req.")</f>
        <v>Not Req.</v>
      </c>
      <c r="M223" s="285" t="str">
        <f>IF(Start!$C$19="x",IF(C223="","NA",IF(OR(G223="",G223="NA"),"No Criteria",(IF(G223 = 0, "NA", (C223/(G223*Data!$D$10/100)))))),"Not Req.")</f>
        <v>Not Req.</v>
      </c>
    </row>
    <row r="224" spans="1:13" s="10" customFormat="1" x14ac:dyDescent="0.25">
      <c r="A224" s="405" t="s">
        <v>542</v>
      </c>
      <c r="B224" s="456" t="str">
        <f>IF(Start!$C$19="x",IF(AND(H224="",I224="",J224=""),"",(IF(H224="OK","No",(IF(H224="Exceeded",(IF(J224="OK","No",(IF(J224="Exceeded","Needed",(IF(J224="No Criteria","No Criteria","Missing Data")))))),(IF(I224="OK","No",(IF(J224="OK","No",(IF(J224="Exceeded","Needed",(IF(J224="No Criteria","No Criteria","Missing Data"))))))))))))),"---")</f>
        <v>---</v>
      </c>
      <c r="C224" s="457" t="str">
        <f>IF(TRUE=ISBLANK(ChemData!B224),"",(ChemData!B224))</f>
        <v/>
      </c>
      <c r="D224" s="502"/>
      <c r="E224" s="503"/>
      <c r="F224" s="289" t="str">
        <f>IF(TRUE=ISBLANK(ChemData!E224),"",(ChemData!E224))</f>
        <v/>
      </c>
      <c r="G224" s="291" t="str">
        <f>IF(TRUE=ISBLANK(ChemData!L224),"",(ChemData!L224))</f>
        <v>NA</v>
      </c>
      <c r="H224" s="462"/>
      <c r="I224" s="461" t="str">
        <f>IF(Start!$C$19="x",IF(OR(C224="",C224="NA"),"",IF(OR(F224="",F224="NA"),"No Ref",(IF((C224*100/Data!$D$10)&gt;(F224*100/Data!$D$60),"Exceeded","OK")))),"---")</f>
        <v>---</v>
      </c>
      <c r="J224" s="377" t="str">
        <f>IF(Start!$C$19="x",IF(OR(C224="",C224="NA"),"",IF(OR(G224="",G224="NA"),"No Criteria",(IF(C224&gt;(G224*Data!$D$10/100),"Exceeded","OK")))),"---")</f>
        <v>---</v>
      </c>
      <c r="K224" s="462"/>
      <c r="L224" s="286" t="str">
        <f>IF(Start!$C$19="x",IF(C224="","NA",IF(F224="","No Ref", (IF(F224 = 0, "NA", ((C224*100/Data!$D$10)/(F224*100/Data!$D$60)))))),"Not Req.")</f>
        <v>Not Req.</v>
      </c>
      <c r="M224" s="285" t="str">
        <f>IF(Start!$C$19="x",IF(C224="","NA",IF(OR(G224="",G224="NA"),"No Criteria",(IF(G224 = 0, "NA", (C224/(G224*Data!$D$10/100)))))),"Not Req.")</f>
        <v>Not Req.</v>
      </c>
    </row>
    <row r="225" spans="1:13" s="10" customFormat="1" x14ac:dyDescent="0.25">
      <c r="A225" s="405" t="s">
        <v>543</v>
      </c>
      <c r="B225" s="456" t="str">
        <f>IF(Start!$C$19="x",IF(AND(H225="",I225="",J225=""),"",(IF(H225="OK","No",(IF(H225="Exceeded",(IF(J225="OK","No",(IF(J225="Exceeded","Needed",(IF(J225="No Criteria","No Criteria","Missing Data")))))),(IF(I225="OK","No",(IF(J225="OK","No",(IF(J225="Exceeded","Needed",(IF(J225="No Criteria","No Criteria","Missing Data"))))))))))))),"---")</f>
        <v>---</v>
      </c>
      <c r="C225" s="457" t="str">
        <f>IF(TRUE=ISBLANK(ChemData!B225),"",(ChemData!B225))</f>
        <v/>
      </c>
      <c r="D225" s="502"/>
      <c r="E225" s="503"/>
      <c r="F225" s="289" t="str">
        <f>IF(TRUE=ISBLANK(ChemData!E225),"",(ChemData!E225))</f>
        <v/>
      </c>
      <c r="G225" s="291">
        <f>IF(TRUE=ISBLANK(ChemData!L225),"",(ChemData!L225))</f>
        <v>0.11</v>
      </c>
      <c r="H225" s="462"/>
      <c r="I225" s="461" t="str">
        <f>IF(Start!$C$19="x",IF(OR(C225="",C225="NA"),"",IF(OR(F225="",F225="NA"),"No Ref",(IF((C225*100/Data!$D$10)&gt;(F225*100/Data!$D$60),"Exceeded","OK")))),"---")</f>
        <v>---</v>
      </c>
      <c r="J225" s="377" t="str">
        <f>IF(Start!$C$19="x",IF(OR(C225="",C225="NA"),"",IF(OR(G225="",G225="NA"),"No Criteria",(IF(C225&gt;(G225*Data!$D$10/100),"Exceeded","OK")))),"---")</f>
        <v>---</v>
      </c>
      <c r="K225" s="462"/>
      <c r="L225" s="286" t="str">
        <f>IF(Start!$C$19="x",IF(C225="","NA",IF(F225="","No Ref", (IF(F225 = 0, "NA", ((C225*100/Data!$D$10)/(F225*100/Data!$D$60)))))),"Not Req.")</f>
        <v>Not Req.</v>
      </c>
      <c r="M225" s="285" t="str">
        <f>IF(Start!$C$19="x",IF(C225="","NA",IF(OR(G225="",G225="NA"),"No Criteria",(IF(G225 = 0, "NA", (C225/(G225*Data!$D$10/100)))))),"Not Req.")</f>
        <v>Not Req.</v>
      </c>
    </row>
    <row r="226" spans="1:13" s="10" customFormat="1" x14ac:dyDescent="0.25">
      <c r="A226" s="405" t="s">
        <v>544</v>
      </c>
      <c r="B226" s="456" t="str">
        <f>IF(Start!$C$19="x",IF(AND(H226="",I226="",J226=""),"",(IF(H226="OK","No",(IF(H226="Exceeded",(IF(J226="OK","No",(IF(J226="Exceeded","Needed",(IF(J226="No Criteria","No Criteria","Missing Data")))))),(IF(I226="OK","No",(IF(J226="OK","No",(IF(J226="Exceeded","Needed",(IF(J226="No Criteria","No Criteria","Missing Data"))))))))))))),"---")</f>
        <v>---</v>
      </c>
      <c r="C226" s="457" t="str">
        <f>IF(TRUE=ISBLANK(ChemData!B226),"",(ChemData!B226))</f>
        <v/>
      </c>
      <c r="D226" s="502"/>
      <c r="E226" s="503"/>
      <c r="F226" s="289" t="str">
        <f>IF(TRUE=ISBLANK(ChemData!E226),"",(ChemData!E226))</f>
        <v/>
      </c>
      <c r="G226" s="291">
        <f>IF(TRUE=ISBLANK(ChemData!L226),"",(ChemData!L226))</f>
        <v>110</v>
      </c>
      <c r="H226" s="462"/>
      <c r="I226" s="461" t="str">
        <f>IF(Start!$C$19="x",IF(OR(C226="",C226="NA"),"",IF(OR(F226="",F226="NA"),"No Ref",(IF((C226*100/Data!$D$10)&gt;(F226*100/Data!$D$60),"Exceeded","OK")))),"---")</f>
        <v>---</v>
      </c>
      <c r="J226" s="377" t="str">
        <f>IF(Start!$C$19="x",IF(OR(C226="",C226="NA"),"",IF(OR(G226="",G226="NA"),"No Criteria",(IF(C226&gt;(G226*Data!$D$10/100),"Exceeded","OK")))),"---")</f>
        <v>---</v>
      </c>
      <c r="K226" s="462"/>
      <c r="L226" s="286" t="str">
        <f>IF(Start!$C$19="x",IF(C226="","NA",IF(F226="","No Ref", (IF(F226 = 0, "NA", ((C226*100/Data!$D$10)/(F226*100/Data!$D$60)))))),"Not Req.")</f>
        <v>Not Req.</v>
      </c>
      <c r="M226" s="285" t="str">
        <f>IF(Start!$C$19="x",IF(C226="","NA",IF(OR(G226="",G226="NA"),"No Criteria",(IF(G226 = 0, "NA", (C226/(G226*Data!$D$10/100)))))),"Not Req.")</f>
        <v>Not Req.</v>
      </c>
    </row>
    <row r="227" spans="1:13" s="10" customFormat="1" x14ac:dyDescent="0.25">
      <c r="A227" s="405" t="s">
        <v>545</v>
      </c>
      <c r="B227" s="456" t="str">
        <f>IF(Start!$C$19="x",IF(AND(H227="",I227="",J227=""),"",(IF(H227="OK","No",(IF(H227="Exceeded",(IF(J227="OK","No",(IF(J227="Exceeded","Needed",(IF(J227="No Criteria","No Criteria","Missing Data")))))),(IF(I227="OK","No",(IF(J227="OK","No",(IF(J227="Exceeded","Needed",(IF(J227="No Criteria","No Criteria","Missing Data"))))))))))))),"---")</f>
        <v>---</v>
      </c>
      <c r="C227" s="457" t="str">
        <f>IF(TRUE=ISBLANK(ChemData!B227),"",(ChemData!B227))</f>
        <v/>
      </c>
      <c r="D227" s="502"/>
      <c r="E227" s="503"/>
      <c r="F227" s="289" t="str">
        <f>IF(TRUE=ISBLANK(ChemData!E227),"",(ChemData!E227))</f>
        <v/>
      </c>
      <c r="G227" s="291">
        <f>IF(TRUE=ISBLANK(ChemData!L227),"",(ChemData!L227))</f>
        <v>130</v>
      </c>
      <c r="H227" s="462"/>
      <c r="I227" s="461" t="str">
        <f>IF(Start!$C$19="x",IF(OR(C227="",C227="NA"),"",IF(OR(F227="",F227="NA"),"No Ref",(IF((C227*100/Data!$D$10)&gt;(F227*100/Data!$D$60),"Exceeded","OK")))),"---")</f>
        <v>---</v>
      </c>
      <c r="J227" s="377" t="str">
        <f>IF(Start!$C$19="x",IF(OR(C227="",C227="NA"),"",IF(OR(G227="",G227="NA"),"No Criteria",(IF(C227&gt;(G227*Data!$D$10/100),"Exceeded","OK")))),"---")</f>
        <v>---</v>
      </c>
      <c r="K227" s="462"/>
      <c r="L227" s="286" t="str">
        <f>IF(Start!$C$19="x",IF(C227="","NA",IF(F227="","No Ref", (IF(F227 = 0, "NA", ((C227*100/Data!$D$10)/(F227*100/Data!$D$60)))))),"Not Req.")</f>
        <v>Not Req.</v>
      </c>
      <c r="M227" s="285" t="str">
        <f>IF(Start!$C$19="x",IF(C227="","NA",IF(OR(G227="",G227="NA"),"No Criteria",(IF(G227 = 0, "NA", (C227/(G227*Data!$D$10/100)))))),"Not Req.")</f>
        <v>Not Req.</v>
      </c>
    </row>
    <row r="228" spans="1:13" s="10" customFormat="1" x14ac:dyDescent="0.25">
      <c r="A228" s="405" t="s">
        <v>546</v>
      </c>
      <c r="B228" s="456" t="str">
        <f>IF(Start!$C$19="x",IF(AND(H228="",I228="",J228=""),"",(IF(H228="OK","No",(IF(H228="Exceeded",(IF(J228="OK","No",(IF(J228="Exceeded","Needed",(IF(J228="No Criteria","No Criteria","Missing Data")))))),(IF(I228="OK","No",(IF(J228="OK","No",(IF(J228="Exceeded","Needed",(IF(J228="No Criteria","No Criteria","Missing Data"))))))))))))),"---")</f>
        <v>---</v>
      </c>
      <c r="C228" s="457" t="str">
        <f>IF(TRUE=ISBLANK(ChemData!B228),"",(ChemData!B228))</f>
        <v/>
      </c>
      <c r="D228" s="502"/>
      <c r="E228" s="503"/>
      <c r="F228" s="289" t="str">
        <f>IF(TRUE=ISBLANK(ChemData!E228),"",(ChemData!E228))</f>
        <v/>
      </c>
      <c r="G228" s="291">
        <f>IF(TRUE=ISBLANK(ChemData!L228),"",(ChemData!L228))</f>
        <v>70</v>
      </c>
      <c r="H228" s="462"/>
      <c r="I228" s="461" t="str">
        <f>IF(Start!$C$19="x",IF(OR(C228="",C228="NA"),"",IF(OR(F228="",F228="NA"),"No Ref",(IF((C228*100/Data!$D$10)&gt;(F228*100/Data!$D$60),"Exceeded","OK")))),"---")</f>
        <v>---</v>
      </c>
      <c r="J228" s="377" t="str">
        <f>IF(Start!$C$19="x",IF(OR(C228="",C228="NA"),"",IF(OR(G228="",G228="NA"),"No Criteria",(IF(C228&gt;(G228*Data!$D$10/100),"Exceeded","OK")))),"---")</f>
        <v>---</v>
      </c>
      <c r="K228" s="462"/>
      <c r="L228" s="286" t="str">
        <f>IF(Start!$C$19="x",IF(C228="","NA",IF(F228="","No Ref", (IF(F228 = 0, "NA", ((C228*100/Data!$D$10)/(F228*100/Data!$D$60)))))),"Not Req.")</f>
        <v>Not Req.</v>
      </c>
      <c r="M228" s="285" t="str">
        <f>IF(Start!$C$19="x",IF(C228="","NA",IF(OR(G228="",G228="NA"),"No Criteria",(IF(G228 = 0, "NA", (C228/(G228*Data!$D$10/100)))))),"Not Req.")</f>
        <v>Not Req.</v>
      </c>
    </row>
    <row r="229" spans="1:13" s="10" customFormat="1" x14ac:dyDescent="0.25">
      <c r="A229" s="405" t="s">
        <v>547</v>
      </c>
      <c r="B229" s="456" t="str">
        <f>IF(Start!$C$19="x",IF(AND(H229="",I229="",J229=""),"",(IF(H229="OK","No",(IF(H229="Exceeded",(IF(J229="OK","No",(IF(J229="Exceeded","Needed",(IF(J229="No Criteria","No Criteria","Missing Data")))))),(IF(I229="OK","No",(IF(J229="OK","No",(IF(J229="Exceeded","Needed",(IF(J229="No Criteria","No Criteria","Missing Data"))))))))))))),"---")</f>
        <v>---</v>
      </c>
      <c r="C229" s="457" t="str">
        <f>IF(TRUE=ISBLANK(ChemData!B229),"",(ChemData!B229))</f>
        <v/>
      </c>
      <c r="D229" s="502"/>
      <c r="E229" s="503"/>
      <c r="F229" s="289" t="str">
        <f>IF(TRUE=ISBLANK(ChemData!E229),"",(ChemData!E229))</f>
        <v/>
      </c>
      <c r="G229" s="291">
        <f>IF(TRUE=ISBLANK(ChemData!L229),"",(ChemData!L229))</f>
        <v>5.5</v>
      </c>
      <c r="H229" s="462"/>
      <c r="I229" s="461" t="str">
        <f>IF(Start!$C$19="x",IF(OR(C229="",C229="NA"),"",IF(OR(F229="",F229="NA"),"No Ref",(IF((C229*100/Data!$D$10)&gt;(F229*100/Data!$D$60),"Exceeded","OK")))),"---")</f>
        <v>---</v>
      </c>
      <c r="J229" s="377" t="str">
        <f>IF(Start!$C$19="x",IF(OR(C229="",C229="NA"),"",IF(OR(G229="",G229="NA"),"No Criteria",(IF(C229&gt;(G229*Data!$D$10/100),"Exceeded","OK")))),"---")</f>
        <v>---</v>
      </c>
      <c r="K229" s="462"/>
      <c r="L229" s="286" t="str">
        <f>IF(Start!$C$19="x",IF(C229="","NA",IF(F229="","No Ref", (IF(F229 = 0, "NA", ((C229*100/Data!$D$10)/(F229*100/Data!$D$60)))))),"Not Req.")</f>
        <v>Not Req.</v>
      </c>
      <c r="M229" s="285" t="str">
        <f>IF(Start!$C$19="x",IF(C229="","NA",IF(OR(G229="",G229="NA"),"No Criteria",(IF(G229 = 0, "NA", (C229/(G229*Data!$D$10/100)))))),"Not Req.")</f>
        <v>Not Req.</v>
      </c>
    </row>
    <row r="230" spans="1:13" s="10" customFormat="1" x14ac:dyDescent="0.25">
      <c r="A230" s="405" t="s">
        <v>548</v>
      </c>
      <c r="B230" s="456" t="str">
        <f>IF(Start!$C$19="x",IF(AND(H230="",I230="",J230=""),"",(IF(H230="OK","No",(IF(H230="Exceeded",(IF(J230="OK","No",(IF(J230="Exceeded","Needed",(IF(J230="No Criteria","No Criteria","Missing Data")))))),(IF(I230="OK","No",(IF(J230="OK","No",(IF(J230="Exceeded","Needed",(IF(J230="No Criteria","No Criteria","Missing Data"))))))))))))),"---")</f>
        <v>---</v>
      </c>
      <c r="C230" s="457" t="str">
        <f>IF(TRUE=ISBLANK(ChemData!B230),"",(ChemData!B230))</f>
        <v/>
      </c>
      <c r="D230" s="502"/>
      <c r="E230" s="503"/>
      <c r="F230" s="289" t="str">
        <f>IF(TRUE=ISBLANK(ChemData!E230),"",(ChemData!E230))</f>
        <v/>
      </c>
      <c r="G230" s="291" t="str">
        <f>IF(TRUE=ISBLANK(ChemData!L230),"",(ChemData!L230))</f>
        <v>NA</v>
      </c>
      <c r="H230" s="462"/>
      <c r="I230" s="461" t="str">
        <f>IF(Start!$C$19="x",IF(OR(C230="",C230="NA"),"",IF(OR(F230="",F230="NA"),"No Ref",(IF((C230*100/Data!$D$10)&gt;(F230*100/Data!$D$60),"Exceeded","OK")))),"---")</f>
        <v>---</v>
      </c>
      <c r="J230" s="377" t="str">
        <f>IF(Start!$C$19="x",IF(OR(C230="",C230="NA"),"",IF(OR(G230="",G230="NA"),"No Criteria",(IF(C230&gt;(G230*Data!$D$10/100),"Exceeded","OK")))),"---")</f>
        <v>---</v>
      </c>
      <c r="K230" s="462"/>
      <c r="L230" s="286" t="str">
        <f>IF(Start!$C$19="x",IF(C230="","NA",IF(F230="","No Ref", (IF(F230 = 0, "NA", ((C230*100/Data!$D$10)/(F230*100/Data!$D$60)))))),"Not Req.")</f>
        <v>Not Req.</v>
      </c>
      <c r="M230" s="285" t="str">
        <f>IF(Start!$C$19="x",IF(C230="","NA",IF(OR(G230="",G230="NA"),"No Criteria",(IF(G230 = 0, "NA", (C230/(G230*Data!$D$10/100)))))),"Not Req.")</f>
        <v>Not Req.</v>
      </c>
    </row>
    <row r="231" spans="1:13" s="10" customFormat="1" x14ac:dyDescent="0.25">
      <c r="A231" s="405" t="s">
        <v>549</v>
      </c>
      <c r="B231" s="456" t="str">
        <f>IF(Start!$C$19="x",IF(AND(H231="",I231="",J231=""),"",(IF(H231="OK","No",(IF(H231="Exceeded",(IF(J231="OK","No",(IF(J231="Exceeded","Needed",(IF(J231="No Criteria","No Criteria","Missing Data")))))),(IF(I231="OK","No",(IF(J231="OK","No",(IF(J231="Exceeded","Needed",(IF(J231="No Criteria","No Criteria","Missing Data"))))))))))))),"---")</f>
        <v>---</v>
      </c>
      <c r="C231" s="457" t="str">
        <f>IF(TRUE=ISBLANK(ChemData!B231),"",(ChemData!B231))</f>
        <v/>
      </c>
      <c r="D231" s="502"/>
      <c r="E231" s="503"/>
      <c r="F231" s="289" t="str">
        <f>IF(TRUE=ISBLANK(ChemData!E231),"",(ChemData!E231))</f>
        <v/>
      </c>
      <c r="G231" s="291" t="str">
        <f>IF(TRUE=ISBLANK(ChemData!L231),"",(ChemData!L231))</f>
        <v>NA</v>
      </c>
      <c r="H231" s="462"/>
      <c r="I231" s="461" t="str">
        <f>IF(Start!$C$19="x",IF(OR(C231="",C231="NA"),"",IF(OR(F231="",F231="NA"),"No Ref",(IF((C231*100/Data!$D$10)&gt;(F231*100/Data!$D$60),"Exceeded","OK")))),"---")</f>
        <v>---</v>
      </c>
      <c r="J231" s="377" t="str">
        <f>IF(Start!$C$19="x",IF(OR(C231="",C231="NA"),"",IF(OR(G231="",G231="NA"),"No Criteria",(IF(C231&gt;(G231*Data!$D$10/100),"Exceeded","OK")))),"---")</f>
        <v>---</v>
      </c>
      <c r="K231" s="462"/>
      <c r="L231" s="286" t="str">
        <f>IF(Start!$C$19="x",IF(C231="","NA",IF(F231="","No Ref", (IF(F231 = 0, "NA", ((C231*100/Data!$D$10)/(F231*100/Data!$D$60)))))),"Not Req.")</f>
        <v>Not Req.</v>
      </c>
      <c r="M231" s="285" t="str">
        <f>IF(Start!$C$19="x",IF(C231="","NA",IF(OR(G231="",G231="NA"),"No Criteria",(IF(G231 = 0, "NA", (C231/(G231*Data!$D$10/100)))))),"Not Req.")</f>
        <v>Not Req.</v>
      </c>
    </row>
    <row r="232" spans="1:13" s="10" customFormat="1" x14ac:dyDescent="0.25">
      <c r="A232" s="405" t="s">
        <v>550</v>
      </c>
      <c r="B232" s="456" t="str">
        <f>IF(Start!$C$19="x",IF(AND(H232="",I232="",J232=""),"",(IF(H232="OK","No",(IF(H232="Exceeded",(IF(J232="OK","No",(IF(J232="Exceeded","Needed",(IF(J232="No Criteria","No Criteria","Missing Data")))))),(IF(I232="OK","No",(IF(J232="OK","No",(IF(J232="Exceeded","Needed",(IF(J232="No Criteria","No Criteria","Missing Data"))))))))))))),"---")</f>
        <v>---</v>
      </c>
      <c r="C232" s="457" t="str">
        <f>IF(TRUE=ISBLANK(ChemData!B232),"",(ChemData!B232))</f>
        <v/>
      </c>
      <c r="D232" s="502"/>
      <c r="E232" s="503"/>
      <c r="F232" s="289" t="str">
        <f>IF(TRUE=ISBLANK(ChemData!E232),"",(ChemData!E232))</f>
        <v/>
      </c>
      <c r="G232" s="291">
        <f>IF(TRUE=ISBLANK(ChemData!L232),"",(ChemData!L232))</f>
        <v>0.68</v>
      </c>
      <c r="H232" s="462"/>
      <c r="I232" s="461" t="str">
        <f>IF(Start!$C$19="x",IF(OR(C232="",C232="NA"),"",IF(OR(F232="",F232="NA"),"No Ref",(IF((C232*100/Data!$D$10)&gt;(F232*100/Data!$D$60),"Exceeded","OK")))),"---")</f>
        <v>---</v>
      </c>
      <c r="J232" s="377" t="str">
        <f>IF(Start!$C$19="x",IF(OR(C232="",C232="NA"),"",IF(OR(G232="",G232="NA"),"No Criteria",(IF(C232&gt;(G232*Data!$D$10/100),"Exceeded","OK")))),"---")</f>
        <v>---</v>
      </c>
      <c r="K232" s="462"/>
      <c r="L232" s="286" t="str">
        <f>IF(Start!$C$19="x",IF(C232="","NA",IF(F232="","No Ref", (IF(F232 = 0, "NA", ((C232*100/Data!$D$10)/(F232*100/Data!$D$60)))))),"Not Req.")</f>
        <v>Not Req.</v>
      </c>
      <c r="M232" s="285" t="str">
        <f>IF(Start!$C$19="x",IF(C232="","NA",IF(OR(G232="",G232="NA"),"No Criteria",(IF(G232 = 0, "NA", (C232/(G232*Data!$D$10/100)))))),"Not Req.")</f>
        <v>Not Req.</v>
      </c>
    </row>
    <row r="233" spans="1:13" s="10" customFormat="1" x14ac:dyDescent="0.25">
      <c r="A233" s="405" t="s">
        <v>551</v>
      </c>
      <c r="B233" s="456" t="str">
        <f>IF(Start!$C$19="x",IF(AND(H233="",I233="",J233=""),"",(IF(H233="OK","No",(IF(H233="Exceeded",(IF(J233="OK","No",(IF(J233="Exceeded","Needed",(IF(J233="No Criteria","No Criteria","Missing Data")))))),(IF(I233="OK","No",(IF(J233="OK","No",(IF(J233="Exceeded","Needed",(IF(J233="No Criteria","No Criteria","Missing Data"))))))))))))),"---")</f>
        <v>---</v>
      </c>
      <c r="C233" s="457" t="str">
        <f>IF(TRUE=ISBLANK(ChemData!B233),"",(ChemData!B233))</f>
        <v/>
      </c>
      <c r="D233" s="502"/>
      <c r="E233" s="503"/>
      <c r="F233" s="289" t="str">
        <f>IF(TRUE=ISBLANK(ChemData!E233),"",(ChemData!E233))</f>
        <v/>
      </c>
      <c r="G233" s="291">
        <f>IF(TRUE=ISBLANK(ChemData!L233),"",(ChemData!L233))</f>
        <v>1.1000000000000001</v>
      </c>
      <c r="H233" s="462"/>
      <c r="I233" s="461" t="str">
        <f>IF(Start!$C$19="x",IF(OR(C233="",C233="NA"),"",IF(OR(F233="",F233="NA"),"No Ref",(IF((C233*100/Data!$D$10)&gt;(F233*100/Data!$D$60),"Exceeded","OK")))),"---")</f>
        <v>---</v>
      </c>
      <c r="J233" s="377" t="str">
        <f>IF(Start!$C$19="x",IF(OR(C233="",C233="NA"),"",IF(OR(G233="",G233="NA"),"No Criteria",(IF(C233&gt;(G233*Data!$D$10/100),"Exceeded","OK")))),"---")</f>
        <v>---</v>
      </c>
      <c r="K233" s="462"/>
      <c r="L233" s="286" t="str">
        <f>IF(Start!$C$19="x",IF(C233="","NA",IF(F233="","No Ref", (IF(F233 = 0, "NA", ((C233*100/Data!$D$10)/(F233*100/Data!$D$60)))))),"Not Req.")</f>
        <v>Not Req.</v>
      </c>
      <c r="M233" s="285" t="str">
        <f>IF(Start!$C$19="x",IF(C233="","NA",IF(OR(G233="",G233="NA"),"No Criteria",(IF(G233 = 0, "NA", (C233/(G233*Data!$D$10/100)))))),"Not Req.")</f>
        <v>Not Req.</v>
      </c>
    </row>
    <row r="234" spans="1:13" s="10" customFormat="1" x14ac:dyDescent="0.25">
      <c r="A234" s="405" t="s">
        <v>552</v>
      </c>
      <c r="B234" s="456" t="str">
        <f>IF(Start!$C$19="x",IF(AND(H234="",I234="",J234=""),"",(IF(H234="OK","No",(IF(H234="Exceeded",(IF(J234="OK","No",(IF(J234="Exceeded","Needed",(IF(J234="No Criteria","No Criteria","Missing Data")))))),(IF(I234="OK","No",(IF(J234="OK","No",(IF(J234="Exceeded","Needed",(IF(J234="No Criteria","No Criteria","Missing Data"))))))))))))),"---")</f>
        <v>---</v>
      </c>
      <c r="C234" s="457" t="str">
        <f>IF(TRUE=ISBLANK(ChemData!B234),"",(ChemData!B234))</f>
        <v/>
      </c>
      <c r="D234" s="502"/>
      <c r="E234" s="503"/>
      <c r="F234" s="289" t="str">
        <f>IF(TRUE=ISBLANK(ChemData!E234),"",(ChemData!E234))</f>
        <v/>
      </c>
      <c r="G234" s="291" t="str">
        <f>IF(TRUE=ISBLANK(ChemData!L234),"",(ChemData!L234))</f>
        <v>NA</v>
      </c>
      <c r="H234" s="462"/>
      <c r="I234" s="461" t="str">
        <f>IF(Start!$C$19="x",IF(OR(C234="",C234="NA"),"",IF(OR(F234="",F234="NA"),"No Ref",(IF((C234*100/Data!$D$10)&gt;(F234*100/Data!$D$60),"Exceeded","OK")))),"---")</f>
        <v>---</v>
      </c>
      <c r="J234" s="377" t="str">
        <f>IF(Start!$C$19="x",IF(OR(C234="",C234="NA"),"",IF(OR(G234="",G234="NA"),"No Criteria",(IF(C234&gt;(G234*Data!$D$10/100),"Exceeded","OK")))),"---")</f>
        <v>---</v>
      </c>
      <c r="K234" s="462"/>
      <c r="L234" s="286" t="str">
        <f>IF(Start!$C$19="x",IF(C234="","NA",IF(F234="","No Ref", (IF(F234 = 0, "NA", ((C234*100/Data!$D$10)/(F234*100/Data!$D$60)))))),"Not Req.")</f>
        <v>Not Req.</v>
      </c>
      <c r="M234" s="285" t="str">
        <f>IF(Start!$C$19="x",IF(C234="","NA",IF(OR(G234="",G234="NA"),"No Criteria",(IF(G234 = 0, "NA", (C234/(G234*Data!$D$10/100)))))),"Not Req.")</f>
        <v>Not Req.</v>
      </c>
    </row>
    <row r="235" spans="1:13" s="10" customFormat="1" x14ac:dyDescent="0.25">
      <c r="A235" s="405" t="s">
        <v>553</v>
      </c>
      <c r="B235" s="456" t="str">
        <f>IF(Start!$C$19="x",IF(AND(H235="",I235="",J235=""),"",(IF(H235="OK","No",(IF(H235="Exceeded",(IF(J235="OK","No",(IF(J235="Exceeded","Needed",(IF(J235="No Criteria","No Criteria","Missing Data")))))),(IF(I235="OK","No",(IF(J235="OK","No",(IF(J235="Exceeded","Needed",(IF(J235="No Criteria","No Criteria","Missing Data"))))))))))))),"---")</f>
        <v>---</v>
      </c>
      <c r="C235" s="457" t="str">
        <f>IF(TRUE=ISBLANK(ChemData!B235),"",(ChemData!B235))</f>
        <v/>
      </c>
      <c r="D235" s="502"/>
      <c r="E235" s="503"/>
      <c r="F235" s="289" t="str">
        <f>IF(TRUE=ISBLANK(ChemData!E235),"",(ChemData!E235))</f>
        <v/>
      </c>
      <c r="G235" s="291">
        <f>IF(TRUE=ISBLANK(ChemData!L235),"",(ChemData!L235))</f>
        <v>0.56000000000000005</v>
      </c>
      <c r="H235" s="462"/>
      <c r="I235" s="461" t="str">
        <f>IF(Start!$C$19="x",IF(OR(C235="",C235="NA"),"",IF(OR(F235="",F235="NA"),"No Ref",(IF((C235*100/Data!$D$10)&gt;(F235*100/Data!$D$60),"Exceeded","OK")))),"---")</f>
        <v>---</v>
      </c>
      <c r="J235" s="377" t="str">
        <f>IF(Start!$C$19="x",IF(OR(C235="",C235="NA"),"",IF(OR(G235="",G235="NA"),"No Criteria",(IF(C235&gt;(G235*Data!$D$10/100),"Exceeded","OK")))),"---")</f>
        <v>---</v>
      </c>
      <c r="K235" s="462"/>
      <c r="L235" s="286" t="str">
        <f>IF(Start!$C$19="x",IF(C235="","NA",IF(F235="","No Ref", (IF(F235 = 0, "NA", ((C235*100/Data!$D$10)/(F235*100/Data!$D$60)))))),"Not Req.")</f>
        <v>Not Req.</v>
      </c>
      <c r="M235" s="285" t="str">
        <f>IF(Start!$C$19="x",IF(C235="","NA",IF(OR(G235="",G235="NA"),"No Criteria",(IF(G235 = 0, "NA", (C235/(G235*Data!$D$10/100)))))),"Not Req.")</f>
        <v>Not Req.</v>
      </c>
    </row>
    <row r="236" spans="1:13" s="10" customFormat="1" x14ac:dyDescent="0.25">
      <c r="A236" s="405" t="s">
        <v>554</v>
      </c>
      <c r="B236" s="456" t="str">
        <f>IF(Start!$C$19="x",IF(AND(H236="",I236="",J236=""),"",(IF(H236="OK","No",(IF(H236="Exceeded",(IF(J236="OK","No",(IF(J236="Exceeded","Needed",(IF(J236="No Criteria","No Criteria","Missing Data")))))),(IF(I236="OK","No",(IF(J236="OK","No",(IF(J236="Exceeded","Needed",(IF(J236="No Criteria","No Criteria","Missing Data"))))))))))))),"---")</f>
        <v>---</v>
      </c>
      <c r="C236" s="457" t="str">
        <f>IF(TRUE=ISBLANK(ChemData!B236),"",(ChemData!B236))</f>
        <v/>
      </c>
      <c r="D236" s="502"/>
      <c r="E236" s="503"/>
      <c r="F236" s="289" t="str">
        <f>IF(TRUE=ISBLANK(ChemData!E236),"",(ChemData!E236))</f>
        <v/>
      </c>
      <c r="G236" s="291">
        <f>IF(TRUE=ISBLANK(ChemData!L236),"",(ChemData!L236))</f>
        <v>630</v>
      </c>
      <c r="H236" s="462"/>
      <c r="I236" s="461" t="str">
        <f>IF(Start!$C$19="x",IF(OR(C236="",C236="NA"),"",IF(OR(F236="",F236="NA"),"No Ref",(IF((C236*100/Data!$D$10)&gt;(F236*100/Data!$D$60),"Exceeded","OK")))),"---")</f>
        <v>---</v>
      </c>
      <c r="J236" s="377" t="str">
        <f>IF(Start!$C$19="x",IF(OR(C236="",C236="NA"),"",IF(OR(G236="",G236="NA"),"No Criteria",(IF(C236&gt;(G236*Data!$D$10/100),"Exceeded","OK")))),"---")</f>
        <v>---</v>
      </c>
      <c r="K236" s="462"/>
      <c r="L236" s="286" t="str">
        <f>IF(Start!$C$19="x",IF(C236="","NA",IF(F236="","No Ref", (IF(F236 = 0, "NA", ((C236*100/Data!$D$10)/(F236*100/Data!$D$60)))))),"Not Req.")</f>
        <v>Not Req.</v>
      </c>
      <c r="M236" s="285" t="str">
        <f>IF(Start!$C$19="x",IF(C236="","NA",IF(OR(G236="",G236="NA"),"No Criteria",(IF(G236 = 0, "NA", (C236/(G236*Data!$D$10/100)))))),"Not Req.")</f>
        <v>Not Req.</v>
      </c>
    </row>
    <row r="237" spans="1:13" s="10" customFormat="1" x14ac:dyDescent="0.25">
      <c r="A237" s="405" t="s">
        <v>555</v>
      </c>
      <c r="B237" s="456" t="str">
        <f>IF(Start!$C$19="x",IF(AND(H237="",I237="",J237=""),"",(IF(H237="OK","No",(IF(H237="Exceeded",(IF(J237="OK","No",(IF(J237="Exceeded","Needed",(IF(J237="No Criteria","No Criteria","Missing Data")))))),(IF(I237="OK","No",(IF(J237="OK","No",(IF(J237="Exceeded","Needed",(IF(J237="No Criteria","No Criteria","Missing Data"))))))))))))),"---")</f>
        <v>---</v>
      </c>
      <c r="C237" s="457" t="str">
        <f>IF(TRUE=ISBLANK(ChemData!B237),"",(ChemData!B237))</f>
        <v/>
      </c>
      <c r="D237" s="502"/>
      <c r="E237" s="503"/>
      <c r="F237" s="289" t="str">
        <f>IF(TRUE=ISBLANK(ChemData!E237),"",(ChemData!E237))</f>
        <v/>
      </c>
      <c r="G237" s="291" t="str">
        <f>IF(TRUE=ISBLANK(ChemData!L237),"",(ChemData!L237))</f>
        <v>NA</v>
      </c>
      <c r="H237" s="462"/>
      <c r="I237" s="461" t="str">
        <f>IF(Start!$C$19="x",IF(OR(C237="",C237="NA"),"",IF(OR(F237="",F237="NA"),"No Ref",(IF((C237*100/Data!$D$10)&gt;(F237*100/Data!$D$60),"Exceeded","OK")))),"---")</f>
        <v>---</v>
      </c>
      <c r="J237" s="377" t="str">
        <f>IF(Start!$C$19="x",IF(OR(C237="",C237="NA"),"",IF(OR(G237="",G237="NA"),"No Criteria",(IF(C237&gt;(G237*Data!$D$10/100),"Exceeded","OK")))),"---")</f>
        <v>---</v>
      </c>
      <c r="K237" s="462"/>
      <c r="L237" s="286" t="str">
        <f>IF(Start!$C$19="x",IF(C237="","NA",IF(F237="","No Ref", (IF(F237 = 0, "NA", ((C237*100/Data!$D$10)/(F237*100/Data!$D$60)))))),"Not Req.")</f>
        <v>Not Req.</v>
      </c>
      <c r="M237" s="285" t="str">
        <f>IF(Start!$C$19="x",IF(C237="","NA",IF(OR(G237="",G237="NA"),"No Criteria",(IF(G237 = 0, "NA", (C237/(G237*Data!$D$10/100)))))),"Not Req.")</f>
        <v>Not Req.</v>
      </c>
    </row>
    <row r="238" spans="1:13" s="10" customFormat="1" x14ac:dyDescent="0.25">
      <c r="A238" s="405" t="s">
        <v>556</v>
      </c>
      <c r="B238" s="456" t="str">
        <f>IF(Start!$C$19="x",IF(AND(H238="",I238="",J238=""),"",(IF(H238="OK","No",(IF(H238="Exceeded",(IF(J238="OK","No",(IF(J238="Exceeded","Needed",(IF(J238="No Criteria","No Criteria","Missing Data")))))),(IF(I238="OK","No",(IF(J238="OK","No",(IF(J238="Exceeded","Needed",(IF(J238="No Criteria","No Criteria","Missing Data"))))))))))))),"---")</f>
        <v>---</v>
      </c>
      <c r="C238" s="457" t="str">
        <f>IF(TRUE=ISBLANK(ChemData!B238),"",(ChemData!B238))</f>
        <v/>
      </c>
      <c r="D238" s="502"/>
      <c r="E238" s="503"/>
      <c r="F238" s="289" t="str">
        <f>IF(TRUE=ISBLANK(ChemData!E238),"",(ChemData!E238))</f>
        <v/>
      </c>
      <c r="G238" s="291" t="str">
        <f>IF(TRUE=ISBLANK(ChemData!L238),"",(ChemData!L238))</f>
        <v>NA</v>
      </c>
      <c r="H238" s="462"/>
      <c r="I238" s="461" t="str">
        <f>IF(Start!$C$19="x",IF(OR(C238="",C238="NA"),"",IF(OR(F238="",F238="NA"),"No Ref",(IF((C238*100/Data!$D$10)&gt;(F238*100/Data!$D$60),"Exceeded","OK")))),"---")</f>
        <v>---</v>
      </c>
      <c r="J238" s="377" t="str">
        <f>IF(Start!$C$19="x",IF(OR(C238="",C238="NA"),"",IF(OR(G238="",G238="NA"),"No Criteria",(IF(C238&gt;(G238*Data!$D$10/100),"Exceeded","OK")))),"---")</f>
        <v>---</v>
      </c>
      <c r="K238" s="462"/>
      <c r="L238" s="286" t="str">
        <f>IF(Start!$C$19="x",IF(C238="","NA",IF(F238="","No Ref", (IF(F238 = 0, "NA", ((C238*100/Data!$D$10)/(F238*100/Data!$D$60)))))),"Not Req.")</f>
        <v>Not Req.</v>
      </c>
      <c r="M238" s="285" t="str">
        <f>IF(Start!$C$19="x",IF(C238="","NA",IF(OR(G238="",G238="NA"),"No Criteria",(IF(G238 = 0, "NA", (C238/(G238*Data!$D$10/100)))))),"Not Req.")</f>
        <v>Not Req.</v>
      </c>
    </row>
    <row r="239" spans="1:13" s="10" customFormat="1" x14ac:dyDescent="0.25">
      <c r="A239" s="405" t="s">
        <v>557</v>
      </c>
      <c r="B239" s="456" t="str">
        <f>IF(Start!$C$19="x",IF(AND(H239="",I239="",J239=""),"",(IF(H239="OK","No",(IF(H239="Exceeded",(IF(J239="OK","No",(IF(J239="Exceeded","Needed",(IF(J239="No Criteria","No Criteria","Missing Data")))))),(IF(I239="OK","No",(IF(J239="OK","No",(IF(J239="Exceeded","Needed",(IF(J239="No Criteria","No Criteria","Missing Data"))))))))))))),"---")</f>
        <v>---</v>
      </c>
      <c r="C239" s="457" t="str">
        <f>IF(TRUE=ISBLANK(ChemData!B239),"",(ChemData!B239))</f>
        <v/>
      </c>
      <c r="D239" s="502"/>
      <c r="E239" s="503"/>
      <c r="F239" s="289" t="str">
        <f>IF(TRUE=ISBLANK(ChemData!E239),"",(ChemData!E239))</f>
        <v/>
      </c>
      <c r="G239" s="291" t="str">
        <f>IF(TRUE=ISBLANK(ChemData!L239),"",(ChemData!L239))</f>
        <v>NA</v>
      </c>
      <c r="H239" s="462"/>
      <c r="I239" s="461" t="str">
        <f>IF(Start!$C$19="x",IF(OR(C239="",C239="NA"),"",IF(OR(F239="",F239="NA"),"No Ref",(IF((C239*100/Data!$D$10)&gt;(F239*100/Data!$D$60),"Exceeded","OK")))),"---")</f>
        <v>---</v>
      </c>
      <c r="J239" s="377" t="str">
        <f>IF(Start!$C$19="x",IF(OR(C239="",C239="NA"),"",IF(OR(G239="",G239="NA"),"No Criteria",(IF(C239&gt;(G239*Data!$D$10/100),"Exceeded","OK")))),"---")</f>
        <v>---</v>
      </c>
      <c r="K239" s="462"/>
      <c r="L239" s="286" t="str">
        <f>IF(Start!$C$19="x",IF(C239="","NA",IF(F239="","No Ref", (IF(F239 = 0, "NA", ((C239*100/Data!$D$10)/(F239*100/Data!$D$60)))))),"Not Req.")</f>
        <v>Not Req.</v>
      </c>
      <c r="M239" s="285" t="str">
        <f>IF(Start!$C$19="x",IF(C239="","NA",IF(OR(G239="",G239="NA"),"No Criteria",(IF(G239 = 0, "NA", (C239/(G239*Data!$D$10/100)))))),"Not Req.")</f>
        <v>Not Req.</v>
      </c>
    </row>
    <row r="240" spans="1:13" s="10" customFormat="1" x14ac:dyDescent="0.25">
      <c r="A240" s="405" t="s">
        <v>558</v>
      </c>
      <c r="B240" s="456" t="str">
        <f>IF(Start!$C$19="x",IF(AND(H240="",I240="",J240=""),"",(IF(H240="OK","No",(IF(H240="Exceeded",(IF(J240="OK","No",(IF(J240="Exceeded","Needed",(IF(J240="No Criteria","No Criteria","Missing Data")))))),(IF(I240="OK","No",(IF(J240="OK","No",(IF(J240="Exceeded","Needed",(IF(J240="No Criteria","No Criteria","Missing Data"))))))))))))),"---")</f>
        <v>---</v>
      </c>
      <c r="C240" s="457" t="str">
        <f>IF(TRUE=ISBLANK(ChemData!B240),"",(ChemData!B240))</f>
        <v/>
      </c>
      <c r="D240" s="502"/>
      <c r="E240" s="503"/>
      <c r="F240" s="289" t="str">
        <f>IF(TRUE=ISBLANK(ChemData!E240),"",(ChemData!E240))</f>
        <v/>
      </c>
      <c r="G240" s="291" t="str">
        <f>IF(TRUE=ISBLANK(ChemData!L240),"",(ChemData!L240))</f>
        <v>NA</v>
      </c>
      <c r="H240" s="462"/>
      <c r="I240" s="461" t="str">
        <f>IF(Start!$C$19="x",IF(OR(C240="",C240="NA"),"",IF(OR(F240="",F240="NA"),"No Ref",(IF((C240*100/Data!$D$10)&gt;(F240*100/Data!$D$60),"Exceeded","OK")))),"---")</f>
        <v>---</v>
      </c>
      <c r="J240" s="377" t="str">
        <f>IF(Start!$C$19="x",IF(OR(C240="",C240="NA"),"",IF(OR(G240="",G240="NA"),"No Criteria",(IF(C240&gt;(G240*Data!$D$10/100),"Exceeded","OK")))),"---")</f>
        <v>---</v>
      </c>
      <c r="K240" s="462"/>
      <c r="L240" s="286" t="str">
        <f>IF(Start!$C$19="x",IF(C240="","NA",IF(F240="","No Ref", (IF(F240 = 0, "NA", ((C240*100/Data!$D$10)/(F240*100/Data!$D$60)))))),"Not Req.")</f>
        <v>Not Req.</v>
      </c>
      <c r="M240" s="285" t="str">
        <f>IF(Start!$C$19="x",IF(C240="","NA",IF(OR(G240="",G240="NA"),"No Criteria",(IF(G240 = 0, "NA", (C240/(G240*Data!$D$10/100)))))),"Not Req.")</f>
        <v>Not Req.</v>
      </c>
    </row>
    <row r="241" spans="1:13" s="10" customFormat="1" x14ac:dyDescent="0.25">
      <c r="A241" s="405" t="s">
        <v>559</v>
      </c>
      <c r="B241" s="456" t="str">
        <f>IF(Start!$C$19="x",IF(AND(H241="",I241="",J241=""),"",(IF(H241="OK","No",(IF(H241="Exceeded",(IF(J241="OK","No",(IF(J241="Exceeded","Needed",(IF(J241="No Criteria","No Criteria","Missing Data")))))),(IF(I241="OK","No",(IF(J241="OK","No",(IF(J241="Exceeded","Needed",(IF(J241="No Criteria","No Criteria","Missing Data"))))))))))))),"---")</f>
        <v>---</v>
      </c>
      <c r="C241" s="457" t="str">
        <f>IF(TRUE=ISBLANK(ChemData!B241),"",(ChemData!B241))</f>
        <v/>
      </c>
      <c r="D241" s="502"/>
      <c r="E241" s="503"/>
      <c r="F241" s="289" t="str">
        <f>IF(TRUE=ISBLANK(ChemData!E241),"",(ChemData!E241))</f>
        <v/>
      </c>
      <c r="G241" s="291" t="str">
        <f>IF(TRUE=ISBLANK(ChemData!L241),"",(ChemData!L241))</f>
        <v>NA</v>
      </c>
      <c r="H241" s="462"/>
      <c r="I241" s="461" t="str">
        <f>IF(Start!$C$19="x",IF(OR(C241="",C241="NA"),"",IF(OR(F241="",F241="NA"),"No Ref",(IF((C241*100/Data!$D$10)&gt;(F241*100/Data!$D$60),"Exceeded","OK")))),"---")</f>
        <v>---</v>
      </c>
      <c r="J241" s="377" t="str">
        <f>IF(Start!$C$19="x",IF(OR(C241="",C241="NA"),"",IF(OR(G241="",G241="NA"),"No Criteria",(IF(C241&gt;(G241*Data!$D$10/100),"Exceeded","OK")))),"---")</f>
        <v>---</v>
      </c>
      <c r="K241" s="462"/>
      <c r="L241" s="286" t="str">
        <f>IF(Start!$C$19="x",IF(C241="","NA",IF(F241="","No Ref", (IF(F241 = 0, "NA", ((C241*100/Data!$D$10)/(F241*100/Data!$D$60)))))),"Not Req.")</f>
        <v>Not Req.</v>
      </c>
      <c r="M241" s="285" t="str">
        <f>IF(Start!$C$19="x",IF(C241="","NA",IF(OR(G241="",G241="NA"),"No Criteria",(IF(G241 = 0, "NA", (C241/(G241*Data!$D$10/100)))))),"Not Req.")</f>
        <v>Not Req.</v>
      </c>
    </row>
    <row r="242" spans="1:13" s="10" customFormat="1" x14ac:dyDescent="0.25">
      <c r="A242" s="405" t="s">
        <v>560</v>
      </c>
      <c r="B242" s="456" t="str">
        <f>IF(Start!$C$19="x",IF(AND(H242="",I242="",J242=""),"",(IF(H242="OK","No",(IF(H242="Exceeded",(IF(J242="OK","No",(IF(J242="Exceeded","Needed",(IF(J242="No Criteria","No Criteria","Missing Data")))))),(IF(I242="OK","No",(IF(J242="OK","No",(IF(J242="Exceeded","Needed",(IF(J242="No Criteria","No Criteria","Missing Data"))))))))))))),"---")</f>
        <v>---</v>
      </c>
      <c r="C242" s="457" t="str">
        <f>IF(TRUE=ISBLANK(ChemData!B242),"",(ChemData!B242))</f>
        <v/>
      </c>
      <c r="D242" s="502"/>
      <c r="E242" s="503"/>
      <c r="F242" s="289" t="str">
        <f>IF(TRUE=ISBLANK(ChemData!E242),"",(ChemData!E242))</f>
        <v/>
      </c>
      <c r="G242" s="291" t="str">
        <f>IF(TRUE=ISBLANK(ChemData!L242),"",(ChemData!L242))</f>
        <v>NA</v>
      </c>
      <c r="H242" s="462"/>
      <c r="I242" s="461" t="str">
        <f>IF(Start!$C$19="x",IF(OR(C242="",C242="NA"),"",IF(OR(F242="",F242="NA"),"No Ref",(IF((C242*100/Data!$D$10)&gt;(F242*100/Data!$D$60),"Exceeded","OK")))),"---")</f>
        <v>---</v>
      </c>
      <c r="J242" s="377" t="str">
        <f>IF(Start!$C$19="x",IF(OR(C242="",C242="NA"),"",IF(OR(G242="",G242="NA"),"No Criteria",(IF(C242&gt;(G242*Data!$D$10/100),"Exceeded","OK")))),"---")</f>
        <v>---</v>
      </c>
      <c r="K242" s="462"/>
      <c r="L242" s="286" t="str">
        <f>IF(Start!$C$19="x",IF(C242="","NA",IF(F242="","No Ref", (IF(F242 = 0, "NA", ((C242*100/Data!$D$10)/(F242*100/Data!$D$60)))))),"Not Req.")</f>
        <v>Not Req.</v>
      </c>
      <c r="M242" s="285" t="str">
        <f>IF(Start!$C$19="x",IF(C242="","NA",IF(OR(G242="",G242="NA"),"No Criteria",(IF(G242 = 0, "NA", (C242/(G242*Data!$D$10/100)))))),"Not Req.")</f>
        <v>Not Req.</v>
      </c>
    </row>
    <row r="243" spans="1:13" s="10" customFormat="1" x14ac:dyDescent="0.25">
      <c r="A243" s="405" t="s">
        <v>690</v>
      </c>
      <c r="B243" s="456" t="str">
        <f>IF(Start!$C$19="x",IF(AND(H243="",I243="",J243=""),"",(IF(H243="OK","No",(IF(H243="Exceeded",(IF(J243="OK","No",(IF(J243="Exceeded","Needed",(IF(J243="No Criteria","No Criteria","Missing Data")))))),(IF(I243="OK","No",(IF(J243="OK","No",(IF(J243="Exceeded","Needed",(IF(J243="No Criteria","No Criteria","Missing Data"))))))))))))),"---")</f>
        <v>---</v>
      </c>
      <c r="C243" s="457" t="str">
        <f>IF(TRUE=ISBLANK(ChemData!B243),"",(ChemData!B243))</f>
        <v/>
      </c>
      <c r="D243" s="502"/>
      <c r="E243" s="503"/>
      <c r="F243" s="289" t="str">
        <f>IF(TRUE=ISBLANK(ChemData!E243),"",(ChemData!E243))</f>
        <v/>
      </c>
      <c r="G243" s="291">
        <f>IF(TRUE=ISBLANK(ChemData!L243),"",(ChemData!L243))</f>
        <v>22</v>
      </c>
      <c r="H243" s="462"/>
      <c r="I243" s="461" t="str">
        <f>IF(Start!$C$19="x",IF(OR(C243="",C243="NA"),"",IF(OR(F243="",F243="NA"),"No Ref",(IF((C243*100/Data!$D$10)&gt;(F243*100/Data!$D$60),"Exceeded","OK")))),"---")</f>
        <v>---</v>
      </c>
      <c r="J243" s="377" t="str">
        <f>IF(Start!$C$19="x",IF(OR(C243="",C243="NA"),"",IF(OR(G243="",G243="NA"),"No Criteria",(IF(C243&gt;(G243*Data!$D$10/100),"Exceeded","OK")))),"---")</f>
        <v>---</v>
      </c>
      <c r="K243" s="462"/>
      <c r="L243" s="286" t="str">
        <f>IF(Start!$C$19="x",IF(C243="","NA",IF(F243="","No Ref", (IF(F243 = 0, "NA", ((C243*100/Data!$D$10)/(F243*100/Data!$D$60)))))),"Not Req.")</f>
        <v>Not Req.</v>
      </c>
      <c r="M243" s="285" t="str">
        <f>IF(Start!$C$19="x",IF(C243="","NA",IF(OR(G243="",G243="NA"),"No Criteria",(IF(G243 = 0, "NA", (C243/(G243*Data!$D$10/100)))))),"Not Req.")</f>
        <v>Not Req.</v>
      </c>
    </row>
    <row r="244" spans="1:13" s="10" customFormat="1" ht="13.8" thickBot="1" x14ac:dyDescent="0.3">
      <c r="A244" s="407" t="s">
        <v>562</v>
      </c>
      <c r="B244" s="872" t="str">
        <f>IF(Start!$C$19="x",IF(AND(H244="",I244="",J244=""),"",(IF(H244="OK","No",(IF(H244="Exceeded",(IF(J244="OK","No",(IF(J244="Exceeded","Needed",(IF(J244="No Criteria","No Criteria","Missing Data")))))),(IF(I244="OK","No",(IF(J244="OK","No",(IF(J244="Exceeded","Needed",(IF(J244="No Criteria","No Criteria","Missing Data"))))))))))))),"---")</f>
        <v>---</v>
      </c>
      <c r="C244" s="457" t="str">
        <f>IF(TRUE=ISBLANK(ChemData!B244),"",(ChemData!B244))</f>
        <v/>
      </c>
      <c r="D244" s="502"/>
      <c r="E244" s="503"/>
      <c r="F244" s="289" t="str">
        <f>IF(TRUE=ISBLANK(ChemData!E244),"",(ChemData!E244))</f>
        <v/>
      </c>
      <c r="G244" s="291">
        <f>IF(TRUE=ISBLANK(ChemData!L244),"",(ChemData!L244))</f>
        <v>1.2</v>
      </c>
      <c r="H244" s="462"/>
      <c r="I244" s="461" t="str">
        <f>IF(Start!$C$19="x",IF(OR(C244="",C244="NA"),"",IF(OR(F244="",F244="NA"),"No Ref",(IF((C244*100/Data!$D$10)&gt;(F244*100/Data!$D$60),"Exceeded","OK")))),"---")</f>
        <v>---</v>
      </c>
      <c r="J244" s="377" t="str">
        <f>IF(Start!$C$19="x",IF(OR(C244="",C244="NA"),"",IF(OR(G244="",G244="NA"),"No Criteria",(IF(C244&gt;(G244*Data!$D$10/100),"Exceeded","OK")))),"---")</f>
        <v>---</v>
      </c>
      <c r="K244" s="462"/>
      <c r="L244" s="286" t="str">
        <f>IF(Start!$C$19="x",IF(C244="","NA",IF(F244="","No Ref", (IF(F244 = 0, "NA", ((C244*100/Data!$D$10)/(F244*100/Data!$D$60)))))),"Not Req.")</f>
        <v>Not Req.</v>
      </c>
      <c r="M244" s="285" t="str">
        <f>IF(Start!$C$19="x",IF(C244="","NA",IF(OR(G244="",G244="NA"),"No Criteria",(IF(G244 = 0, "NA", (C244/(G244*Data!$D$10/100)))))),"Not Req.")</f>
        <v>Not Req.</v>
      </c>
    </row>
    <row r="245" spans="1:13" s="10" customFormat="1" x14ac:dyDescent="0.25">
      <c r="A245" s="505" t="s">
        <v>563</v>
      </c>
      <c r="B245" s="545"/>
      <c r="C245" s="545"/>
      <c r="D245" s="547"/>
      <c r="E245" s="548"/>
      <c r="F245" s="511"/>
      <c r="G245" s="513"/>
      <c r="H245" s="543"/>
      <c r="I245" s="511"/>
      <c r="J245" s="513"/>
      <c r="K245" s="543"/>
      <c r="L245" s="511"/>
      <c r="M245" s="513"/>
    </row>
    <row r="246" spans="1:13" s="10" customFormat="1" x14ac:dyDescent="0.25">
      <c r="A246" s="405" t="s">
        <v>564</v>
      </c>
      <c r="B246" s="456" t="str">
        <f>IF(Start!$C$19="x",IF(AND(H246="",I246="",J246=""),"",(IF(H246="OK","No",(IF(H246="Exceeded",(IF(J246="OK","No",(IF(J246="Exceeded","Needed",(IF(J246="No Criteria","No Criteria","Missing Data")))))),(IF(I246="OK","No",(IF(J246="OK","No",(IF(J246="Exceeded","Needed",(IF(J246="No Criteria","No Criteria","Missing Data"))))))))))))),"---")</f>
        <v>---</v>
      </c>
      <c r="C246" s="457" t="str">
        <f>IF(TRUE=ISBLANK(ChemData!B246),"",(ChemData!B246))</f>
        <v/>
      </c>
      <c r="D246" s="502"/>
      <c r="E246" s="503"/>
      <c r="F246" s="289" t="str">
        <f>IF(TRUE=ISBLANK(ChemData!E246),"",(ChemData!E246))</f>
        <v/>
      </c>
      <c r="G246" s="291" t="str">
        <f>IF(TRUE=ISBLANK(ChemData!L246),"",(ChemData!L246))</f>
        <v>NA</v>
      </c>
      <c r="H246" s="462"/>
      <c r="I246" s="461" t="str">
        <f>IF(Start!$C$19="x",IF(OR(C246="",C246="NA"),"",IF(OR(F246="",F246="NA"),"No Ref",(IF((C246*100/Data!$D$10)&gt;(F246*100/Data!$D$60),"Exceeded","OK")))),"---")</f>
        <v>---</v>
      </c>
      <c r="J246" s="377" t="str">
        <f>IF(Start!$C$19="x",IF(OR(C246="",C246="NA"),"",IF(OR(G246="",G246="NA"),"No Criteria",(IF(C246&gt;(G246*Data!$D$10/100),"Exceeded","OK")))),"---")</f>
        <v>---</v>
      </c>
      <c r="K246" s="462"/>
      <c r="L246" s="286" t="str">
        <f>IF(Start!$C$19="x",IF(C246="","NA",IF(F246="","No Ref", (IF(F246 = 0, "NA", ((C246*100/Data!$D$10)/(F246*100/Data!$D$60)))))),"Not Req.")</f>
        <v>Not Req.</v>
      </c>
      <c r="M246" s="285" t="str">
        <f>IF(Start!$C$19="x",IF(C246="","NA",IF(OR(G246="",G246="NA"),"No Criteria",(IF(G246 = 0, "NA", (C246/(G246*Data!$D$10/100)))))),"Not Req.")</f>
        <v>Not Req.</v>
      </c>
    </row>
    <row r="247" spans="1:13" s="10" customFormat="1" x14ac:dyDescent="0.25">
      <c r="A247" s="405" t="s">
        <v>565</v>
      </c>
      <c r="B247" s="456" t="str">
        <f>IF(Start!$C$19="x",IF(AND(H247="",I247="",J247=""),"",(IF(H247="OK","No",(IF(H247="Exceeded",(IF(J247="OK","No",(IF(J247="Exceeded","Needed",(IF(J247="No Criteria","No Criteria","Missing Data")))))),(IF(I247="OK","No",(IF(J247="OK","No",(IF(J247="Exceeded","Needed",(IF(J247="No Criteria","No Criteria","Missing Data"))))))))))))),"---")</f>
        <v>---</v>
      </c>
      <c r="C247" s="457" t="str">
        <f>IF(TRUE=ISBLANK(ChemData!B247),"",(ChemData!B247))</f>
        <v/>
      </c>
      <c r="D247" s="502"/>
      <c r="E247" s="503"/>
      <c r="F247" s="289" t="str">
        <f>IF(TRUE=ISBLANK(ChemData!E247),"",(ChemData!E247))</f>
        <v/>
      </c>
      <c r="G247" s="291" t="str">
        <f>IF(TRUE=ISBLANK(ChemData!L247),"",(ChemData!L247))</f>
        <v>NA</v>
      </c>
      <c r="H247" s="462"/>
      <c r="I247" s="461" t="str">
        <f>IF(Start!$C$19="x",IF(OR(C247="",C247="NA"),"",IF(OR(F247="",F247="NA"),"No Ref",(IF((C247*100/Data!$D$10)&gt;(F247*100/Data!$D$60),"Exceeded","OK")))),"---")</f>
        <v>---</v>
      </c>
      <c r="J247" s="377" t="str">
        <f>IF(Start!$C$19="x",IF(OR(C247="",C247="NA"),"",IF(OR(G247="",G247="NA"),"No Criteria",(IF(C247&gt;(G247*Data!$D$10/100),"Exceeded","OK")))),"---")</f>
        <v>---</v>
      </c>
      <c r="K247" s="462"/>
      <c r="L247" s="286" t="str">
        <f>IF(Start!$C$19="x",IF(C247="","NA",IF(F247="","No Ref", (IF(F247 = 0, "NA", ((C247*100/Data!$D$10)/(F247*100/Data!$D$60)))))),"Not Req.")</f>
        <v>Not Req.</v>
      </c>
      <c r="M247" s="285" t="str">
        <f>IF(Start!$C$19="x",IF(C247="","NA",IF(OR(G247="",G247="NA"),"No Criteria",(IF(G247 = 0, "NA", (C247/(G247*Data!$D$10/100)))))),"Not Req.")</f>
        <v>Not Req.</v>
      </c>
    </row>
    <row r="248" spans="1:13" s="10" customFormat="1" x14ac:dyDescent="0.25">
      <c r="A248" s="405" t="s">
        <v>566</v>
      </c>
      <c r="B248" s="456" t="str">
        <f>IF(Start!$C$19="x",IF(AND(H248="",I248="",J248=""),"",(IF(H248="OK","No",(IF(H248="Exceeded",(IF(J248="OK","No",(IF(J248="Exceeded","Needed",(IF(J248="No Criteria","No Criteria","Missing Data")))))),(IF(I248="OK","No",(IF(J248="OK","No",(IF(J248="Exceeded","Needed",(IF(J248="No Criteria","No Criteria","Missing Data"))))))))))))),"---")</f>
        <v>---</v>
      </c>
      <c r="C248" s="457" t="str">
        <f>IF(TRUE=ISBLANK(ChemData!B248),"",(ChemData!B248))</f>
        <v/>
      </c>
      <c r="D248" s="502"/>
      <c r="E248" s="503"/>
      <c r="F248" s="289" t="str">
        <f>IF(TRUE=ISBLANK(ChemData!E248),"",(ChemData!E248))</f>
        <v/>
      </c>
      <c r="G248" s="291" t="str">
        <f>IF(TRUE=ISBLANK(ChemData!L248),"",(ChemData!L248))</f>
        <v>NA</v>
      </c>
      <c r="H248" s="462"/>
      <c r="I248" s="461" t="str">
        <f>IF(Start!$C$19="x",IF(OR(C248="",C248="NA"),"",IF(OR(F248="",F248="NA"),"No Ref",(IF((C248*100/Data!$D$10)&gt;(F248*100/Data!$D$60),"Exceeded","OK")))),"---")</f>
        <v>---</v>
      </c>
      <c r="J248" s="377" t="str">
        <f>IF(Start!$C$19="x",IF(OR(C248="",C248="NA"),"",IF(OR(G248="",G248="NA"),"No Criteria",(IF(C248&gt;(G248*Data!$D$10/100),"Exceeded","OK")))),"---")</f>
        <v>---</v>
      </c>
      <c r="K248" s="462"/>
      <c r="L248" s="286" t="str">
        <f>IF(Start!$C$19="x",IF(C248="","NA",IF(F248="","No Ref", (IF(F248 = 0, "NA", ((C248*100/Data!$D$10)/(F248*100/Data!$D$60)))))),"Not Req.")</f>
        <v>Not Req.</v>
      </c>
      <c r="M248" s="285" t="str">
        <f>IF(Start!$C$19="x",IF(C248="","NA",IF(OR(G248="",G248="NA"),"No Criteria",(IF(G248 = 0, "NA", (C248/(G248*Data!$D$10/100)))))),"Not Req.")</f>
        <v>Not Req.</v>
      </c>
    </row>
    <row r="249" spans="1:13" s="10" customFormat="1" x14ac:dyDescent="0.25">
      <c r="A249" s="405" t="s">
        <v>567</v>
      </c>
      <c r="B249" s="456" t="str">
        <f>IF(Start!$C$19="x",IF(AND(H249="",I249="",J249=""),"",(IF(H249="OK","No",(IF(H249="Exceeded",(IF(J249="OK","No",(IF(J249="Exceeded","Needed",(IF(J249="No Criteria","No Criteria","Missing Data")))))),(IF(I249="OK","No",(IF(J249="OK","No",(IF(J249="Exceeded","Needed",(IF(J249="No Criteria","No Criteria","Missing Data"))))))))))))),"---")</f>
        <v>---</v>
      </c>
      <c r="C249" s="457" t="str">
        <f>IF(TRUE=ISBLANK(ChemData!B249),"",(ChemData!B249))</f>
        <v/>
      </c>
      <c r="D249" s="502"/>
      <c r="E249" s="503"/>
      <c r="F249" s="289" t="str">
        <f>IF(TRUE=ISBLANK(ChemData!E249),"",(ChemData!E249))</f>
        <v/>
      </c>
      <c r="G249" s="291" t="str">
        <f>IF(TRUE=ISBLANK(ChemData!L249),"",(ChemData!L249))</f>
        <v>NA</v>
      </c>
      <c r="H249" s="462"/>
      <c r="I249" s="461" t="str">
        <f>IF(Start!$C$19="x",IF(OR(C249="",C249="NA"),"",IF(OR(F249="",F249="NA"),"No Ref",(IF((C249*100/Data!$D$10)&gt;(F249*100/Data!$D$60),"Exceeded","OK")))),"---")</f>
        <v>---</v>
      </c>
      <c r="J249" s="377" t="str">
        <f>IF(Start!$C$19="x",IF(OR(C249="",C249="NA"),"",IF(OR(G249="",G249="NA"),"No Criteria",(IF(C249&gt;(G249*Data!$D$10/100),"Exceeded","OK")))),"---")</f>
        <v>---</v>
      </c>
      <c r="K249" s="462"/>
      <c r="L249" s="286" t="str">
        <f>IF(Start!$C$19="x",IF(C249="","NA",IF(F249="","No Ref", (IF(F249 = 0, "NA", ((C249*100/Data!$D$10)/(F249*100/Data!$D$60)))))),"Not Req.")</f>
        <v>Not Req.</v>
      </c>
      <c r="M249" s="285" t="str">
        <f>IF(Start!$C$19="x",IF(C249="","NA",IF(OR(G249="",G249="NA"),"No Criteria",(IF(G249 = 0, "NA", (C249/(G249*Data!$D$10/100)))))),"Not Req.")</f>
        <v>Not Req.</v>
      </c>
    </row>
    <row r="250" spans="1:13" s="10" customFormat="1" x14ac:dyDescent="0.25">
      <c r="A250" s="405" t="s">
        <v>568</v>
      </c>
      <c r="B250" s="456" t="str">
        <f>IF(Start!$C$19="x",IF(AND(H250="",I250="",J250=""),"",(IF(H250="OK","No",(IF(H250="Exceeded",(IF(J250="OK","No",(IF(J250="Exceeded","Needed",(IF(J250="No Criteria","No Criteria","Missing Data")))))),(IF(I250="OK","No",(IF(J250="OK","No",(IF(J250="Exceeded","Needed",(IF(J250="No Criteria","No Criteria","Missing Data"))))))))))))),"---")</f>
        <v>---</v>
      </c>
      <c r="C250" s="457" t="str">
        <f>IF(TRUE=ISBLANK(ChemData!B250),"",(ChemData!B250))</f>
        <v/>
      </c>
      <c r="D250" s="502"/>
      <c r="E250" s="503"/>
      <c r="F250" s="289" t="str">
        <f>IF(TRUE=ISBLANK(ChemData!E250),"",(ChemData!E250))</f>
        <v/>
      </c>
      <c r="G250" s="291" t="str">
        <f>IF(TRUE=ISBLANK(ChemData!L250),"",(ChemData!L250))</f>
        <v>NA</v>
      </c>
      <c r="H250" s="462"/>
      <c r="I250" s="461" t="str">
        <f>IF(Start!$C$19="x",IF(OR(C250="",C250="NA"),"",IF(OR(F250="",F250="NA"),"No Ref",(IF((C250*100/Data!$D$10)&gt;(F250*100/Data!$D$60),"Exceeded","OK")))),"---")</f>
        <v>---</v>
      </c>
      <c r="J250" s="377" t="str">
        <f>IF(Start!$C$19="x",IF(OR(C250="",C250="NA"),"",IF(OR(G250="",G250="NA"),"No Criteria",(IF(C250&gt;(G250*Data!$D$10/100),"Exceeded","OK")))),"---")</f>
        <v>---</v>
      </c>
      <c r="K250" s="462"/>
      <c r="L250" s="286" t="str">
        <f>IF(Start!$C$19="x",IF(C250="","NA",IF(F250="","No Ref", (IF(F250 = 0, "NA", ((C250*100/Data!$D$10)/(F250*100/Data!$D$60)))))),"Not Req.")</f>
        <v>Not Req.</v>
      </c>
      <c r="M250" s="285" t="str">
        <f>IF(Start!$C$19="x",IF(C250="","NA",IF(OR(G250="",G250="NA"),"No Criteria",(IF(G250 = 0, "NA", (C250/(G250*Data!$D$10/100)))))),"Not Req.")</f>
        <v>Not Req.</v>
      </c>
    </row>
    <row r="251" spans="1:13" s="10" customFormat="1" x14ac:dyDescent="0.25">
      <c r="A251" s="405" t="s">
        <v>569</v>
      </c>
      <c r="B251" s="456" t="str">
        <f>IF(Start!$C$19="x",IF(AND(H251="",I251="",J251=""),"",(IF(H251="OK","No",(IF(H251="Exceeded",(IF(J251="OK","No",(IF(J251="Exceeded","Needed",(IF(J251="No Criteria","No Criteria","Missing Data")))))),(IF(I251="OK","No",(IF(J251="OK","No",(IF(J251="Exceeded","Needed",(IF(J251="No Criteria","No Criteria","Missing Data"))))))))))))),"---")</f>
        <v>---</v>
      </c>
      <c r="C251" s="457" t="str">
        <f>IF(TRUE=ISBLANK(ChemData!B251),"",(ChemData!B251))</f>
        <v/>
      </c>
      <c r="D251" s="502"/>
      <c r="E251" s="503"/>
      <c r="F251" s="289" t="str">
        <f>IF(TRUE=ISBLANK(ChemData!E251),"",(ChemData!E251))</f>
        <v/>
      </c>
      <c r="G251" s="291" t="str">
        <f>IF(TRUE=ISBLANK(ChemData!L251),"",(ChemData!L251))</f>
        <v>NA</v>
      </c>
      <c r="H251" s="462"/>
      <c r="I251" s="461" t="str">
        <f>IF(Start!$C$19="x",IF(OR(C251="",C251="NA"),"",IF(OR(F251="",F251="NA"),"No Ref",(IF((C251*100/Data!$D$10)&gt;(F251*100/Data!$D$60),"Exceeded","OK")))),"---")</f>
        <v>---</v>
      </c>
      <c r="J251" s="377" t="str">
        <f>IF(Start!$C$19="x",IF(OR(C251="",C251="NA"),"",IF(OR(G251="",G251="NA"),"No Criteria",(IF(C251&gt;(G251*Data!$D$10/100),"Exceeded","OK")))),"---")</f>
        <v>---</v>
      </c>
      <c r="K251" s="462"/>
      <c r="L251" s="286" t="str">
        <f>IF(Start!$C$19="x",IF(C251="","NA",IF(F251="","No Ref", (IF(F251 = 0, "NA", ((C251*100/Data!$D$10)/(F251*100/Data!$D$60)))))),"Not Req.")</f>
        <v>Not Req.</v>
      </c>
      <c r="M251" s="285" t="str">
        <f>IF(Start!$C$19="x",IF(C251="","NA",IF(OR(G251="",G251="NA"),"No Criteria",(IF(G251 = 0, "NA", (C251/(G251*Data!$D$10/100)))))),"Not Req.")</f>
        <v>Not Req.</v>
      </c>
    </row>
    <row r="252" spans="1:13" s="10" customFormat="1" x14ac:dyDescent="0.25">
      <c r="A252" s="405" t="s">
        <v>570</v>
      </c>
      <c r="B252" s="456" t="str">
        <f>IF(Start!$C$19="x",IF(AND(H252="",I252="",J252=""),"",(IF(H252="OK","No",(IF(H252="Exceeded",(IF(J252="OK","No",(IF(J252="Exceeded","Needed",(IF(J252="No Criteria","No Criteria","Missing Data")))))),(IF(I252="OK","No",(IF(J252="OK","No",(IF(J252="Exceeded","Needed",(IF(J252="No Criteria","No Criteria","Missing Data"))))))))))))),"---")</f>
        <v>---</v>
      </c>
      <c r="C252" s="457" t="str">
        <f>IF(TRUE=ISBLANK(ChemData!B252),"",(ChemData!B252))</f>
        <v/>
      </c>
      <c r="D252" s="502"/>
      <c r="E252" s="503"/>
      <c r="F252" s="289" t="str">
        <f>IF(TRUE=ISBLANK(ChemData!E252),"",(ChemData!E252))</f>
        <v/>
      </c>
      <c r="G252" s="291" t="str">
        <f>IF(TRUE=ISBLANK(ChemData!L252),"",(ChemData!L252))</f>
        <v>NA</v>
      </c>
      <c r="H252" s="462"/>
      <c r="I252" s="461" t="str">
        <f>IF(Start!$C$19="x",IF(OR(C252="",C252="NA"),"",IF(OR(F252="",F252="NA"),"No Ref",(IF((C252*100/Data!$D$10)&gt;(F252*100/Data!$D$60),"Exceeded","OK")))),"---")</f>
        <v>---</v>
      </c>
      <c r="J252" s="377" t="str">
        <f>IF(Start!$C$19="x",IF(OR(C252="",C252="NA"),"",IF(OR(G252="",G252="NA"),"No Criteria",(IF(C252&gt;(G252*Data!$D$10/100),"Exceeded","OK")))),"---")</f>
        <v>---</v>
      </c>
      <c r="K252" s="462"/>
      <c r="L252" s="286" t="str">
        <f>IF(Start!$C$19="x",IF(C252="","NA",IF(F252="","No Ref", (IF(F252 = 0, "NA", ((C252*100/Data!$D$10)/(F252*100/Data!$D$60)))))),"Not Req.")</f>
        <v>Not Req.</v>
      </c>
      <c r="M252" s="285" t="str">
        <f>IF(Start!$C$19="x",IF(C252="","NA",IF(OR(G252="",G252="NA"),"No Criteria",(IF(G252 = 0, "NA", (C252/(G252*Data!$D$10/100)))))),"Not Req.")</f>
        <v>Not Req.</v>
      </c>
    </row>
    <row r="253" spans="1:13" s="10" customFormat="1" x14ac:dyDescent="0.25">
      <c r="A253" s="405" t="s">
        <v>571</v>
      </c>
      <c r="B253" s="456" t="str">
        <f>IF(Start!$C$19="x",IF(AND(H253="",I253="",J253=""),"",(IF(H253="OK","No",(IF(H253="Exceeded",(IF(J253="OK","No",(IF(J253="Exceeded","Needed",(IF(J253="No Criteria","No Criteria","Missing Data")))))),(IF(I253="OK","No",(IF(J253="OK","No",(IF(J253="Exceeded","Needed",(IF(J253="No Criteria","No Criteria","Missing Data"))))))))))))),"---")</f>
        <v>---</v>
      </c>
      <c r="C253" s="457" t="str">
        <f>IF(TRUE=ISBLANK(ChemData!B253),"",(ChemData!B253))</f>
        <v/>
      </c>
      <c r="D253" s="502"/>
      <c r="E253" s="503"/>
      <c r="F253" s="289" t="str">
        <f>IF(TRUE=ISBLANK(ChemData!E253),"",(ChemData!E253))</f>
        <v/>
      </c>
      <c r="G253" s="291" t="str">
        <f>IF(TRUE=ISBLANK(ChemData!L253),"",(ChemData!L253))</f>
        <v>NA</v>
      </c>
      <c r="H253" s="462"/>
      <c r="I253" s="461" t="str">
        <f>IF(Start!$C$19="x",IF(OR(C253="",C253="NA"),"",IF(OR(F253="",F253="NA"),"No Ref",(IF((C253*100/Data!$D$10)&gt;(F253*100/Data!$D$60),"Exceeded","OK")))),"---")</f>
        <v>---</v>
      </c>
      <c r="J253" s="377" t="str">
        <f>IF(Start!$C$19="x",IF(OR(C253="",C253="NA"),"",IF(OR(G253="",G253="NA"),"No Criteria",(IF(C253&gt;(G253*Data!$D$10/100),"Exceeded","OK")))),"---")</f>
        <v>---</v>
      </c>
      <c r="K253" s="462"/>
      <c r="L253" s="286" t="str">
        <f>IF(Start!$C$19="x",IF(C253="","NA",IF(F253="","No Ref", (IF(F253 = 0, "NA", ((C253*100/Data!$D$10)/(F253*100/Data!$D$60)))))),"Not Req.")</f>
        <v>Not Req.</v>
      </c>
      <c r="M253" s="285" t="str">
        <f>IF(Start!$C$19="x",IF(C253="","NA",IF(OR(G253="",G253="NA"),"No Criteria",(IF(G253 = 0, "NA", (C253/(G253*Data!$D$10/100)))))),"Not Req.")</f>
        <v>Not Req.</v>
      </c>
    </row>
    <row r="254" spans="1:13" s="10" customFormat="1" x14ac:dyDescent="0.25">
      <c r="A254" s="405" t="s">
        <v>572</v>
      </c>
      <c r="B254" s="456" t="str">
        <f>IF(Start!$C$19="x",IF(AND(H254="",I254="",J254=""),"",(IF(H254="OK","No",(IF(H254="Exceeded",(IF(J254="OK","No",(IF(J254="Exceeded","Needed",(IF(J254="No Criteria","No Criteria","Missing Data")))))),(IF(I254="OK","No",(IF(J254="OK","No",(IF(J254="Exceeded","Needed",(IF(J254="No Criteria","No Criteria","Missing Data"))))))))))))),"---")</f>
        <v>---</v>
      </c>
      <c r="C254" s="457" t="str">
        <f>IF(TRUE=ISBLANK(ChemData!B254),"",(ChemData!B254))</f>
        <v/>
      </c>
      <c r="D254" s="502"/>
      <c r="E254" s="503"/>
      <c r="F254" s="289" t="str">
        <f>IF(TRUE=ISBLANK(ChemData!E254),"",(ChemData!E254))</f>
        <v/>
      </c>
      <c r="G254" s="291" t="str">
        <f>IF(TRUE=ISBLANK(ChemData!L254),"",(ChemData!L254))</f>
        <v>NA</v>
      </c>
      <c r="H254" s="462"/>
      <c r="I254" s="461" t="str">
        <f>IF(Start!$C$19="x",IF(OR(C254="",C254="NA"),"",IF(OR(F254="",F254="NA"),"No Ref",(IF((C254*100/Data!$D$10)&gt;(F254*100/Data!$D$60),"Exceeded","OK")))),"---")</f>
        <v>---</v>
      </c>
      <c r="J254" s="377" t="str">
        <f>IF(Start!$C$19="x",IF(OR(C254="",C254="NA"),"",IF(OR(G254="",G254="NA"),"No Criteria",(IF(C254&gt;(G254*Data!$D$10/100),"Exceeded","OK")))),"---")</f>
        <v>---</v>
      </c>
      <c r="K254" s="462"/>
      <c r="L254" s="286" t="str">
        <f>IF(Start!$C$19="x",IF(C254="","NA",IF(F254="","No Ref", (IF(F254 = 0, "NA", ((C254*100/Data!$D$10)/(F254*100/Data!$D$60)))))),"Not Req.")</f>
        <v>Not Req.</v>
      </c>
      <c r="M254" s="285" t="str">
        <f>IF(Start!$C$19="x",IF(C254="","NA",IF(OR(G254="",G254="NA"),"No Criteria",(IF(G254 = 0, "NA", (C254/(G254*Data!$D$10/100)))))),"Not Req.")</f>
        <v>Not Req.</v>
      </c>
    </row>
    <row r="255" spans="1:13" s="10" customFormat="1" x14ac:dyDescent="0.25">
      <c r="A255" s="405" t="s">
        <v>573</v>
      </c>
      <c r="B255" s="456" t="str">
        <f>IF(Start!$C$19="x",IF(AND(H255="",I255="",J255=""),"",(IF(H255="OK","No",(IF(H255="Exceeded",(IF(J255="OK","No",(IF(J255="Exceeded","Needed",(IF(J255="No Criteria","No Criteria","Missing Data")))))),(IF(I255="OK","No",(IF(J255="OK","No",(IF(J255="Exceeded","Needed",(IF(J255="No Criteria","No Criteria","Missing Data"))))))))))))),"---")</f>
        <v>---</v>
      </c>
      <c r="C255" s="457" t="str">
        <f>IF(TRUE=ISBLANK(ChemData!B255),"",(ChemData!B255))</f>
        <v/>
      </c>
      <c r="D255" s="502"/>
      <c r="E255" s="503"/>
      <c r="F255" s="289" t="str">
        <f>IF(TRUE=ISBLANK(ChemData!E255),"",(ChemData!E255))</f>
        <v/>
      </c>
      <c r="G255" s="291" t="str">
        <f>IF(TRUE=ISBLANK(ChemData!L255),"",(ChemData!L255))</f>
        <v>NA</v>
      </c>
      <c r="H255" s="462"/>
      <c r="I255" s="461" t="str">
        <f>IF(Start!$C$19="x",IF(OR(C255="",C255="NA"),"",IF(OR(F255="",F255="NA"),"No Ref",(IF((C255*100/Data!$D$10)&gt;(F255*100/Data!$D$60),"Exceeded","OK")))),"---")</f>
        <v>---</v>
      </c>
      <c r="J255" s="377" t="str">
        <f>IF(Start!$C$19="x",IF(OR(C255="",C255="NA"),"",IF(OR(G255="",G255="NA"),"No Criteria",(IF(C255&gt;(G255*Data!$D$10/100),"Exceeded","OK")))),"---")</f>
        <v>---</v>
      </c>
      <c r="K255" s="462"/>
      <c r="L255" s="286" t="str">
        <f>IF(Start!$C$19="x",IF(C255="","NA",IF(F255="","No Ref", (IF(F255 = 0, "NA", ((C255*100/Data!$D$10)/(F255*100/Data!$D$60)))))),"Not Req.")</f>
        <v>Not Req.</v>
      </c>
      <c r="M255" s="285" t="str">
        <f>IF(Start!$C$19="x",IF(C255="","NA",IF(OR(G255="",G255="NA"),"No Criteria",(IF(G255 = 0, "NA", (C255/(G255*Data!$D$10/100)))))),"Not Req.")</f>
        <v>Not Req.</v>
      </c>
    </row>
    <row r="256" spans="1:13" s="10" customFormat="1" x14ac:dyDescent="0.25">
      <c r="A256" s="405" t="s">
        <v>574</v>
      </c>
      <c r="B256" s="456" t="str">
        <f>IF(Start!$C$19="x",IF(AND(H256="",I256="",J256=""),"",(IF(H256="OK","No",(IF(H256="Exceeded",(IF(J256="OK","No",(IF(J256="Exceeded","Needed",(IF(J256="No Criteria","No Criteria","Missing Data")))))),(IF(I256="OK","No",(IF(J256="OK","No",(IF(J256="Exceeded","Needed",(IF(J256="No Criteria","No Criteria","Missing Data"))))))))))))),"---")</f>
        <v>---</v>
      </c>
      <c r="C256" s="457" t="str">
        <f>IF(TRUE=ISBLANK(ChemData!B256),"",(ChemData!B256))</f>
        <v/>
      </c>
      <c r="D256" s="502"/>
      <c r="E256" s="503"/>
      <c r="F256" s="289" t="str">
        <f>IF(TRUE=ISBLANK(ChemData!E256),"",(ChemData!E256))</f>
        <v/>
      </c>
      <c r="G256" s="291" t="str">
        <f>IF(TRUE=ISBLANK(ChemData!L256),"",(ChemData!L256))</f>
        <v>NA</v>
      </c>
      <c r="H256" s="462"/>
      <c r="I256" s="461" t="str">
        <f>IF(Start!$C$19="x",IF(OR(C256="",C256="NA"),"",IF(OR(F256="",F256="NA"),"No Ref",(IF((C256*100/Data!$D$10)&gt;(F256*100/Data!$D$60),"Exceeded","OK")))),"---")</f>
        <v>---</v>
      </c>
      <c r="J256" s="377" t="str">
        <f>IF(Start!$C$19="x",IF(OR(C256="",C256="NA"),"",IF(OR(G256="",G256="NA"),"No Criteria",(IF(C256&gt;(G256*Data!$D$10/100),"Exceeded","OK")))),"---")</f>
        <v>---</v>
      </c>
      <c r="K256" s="462"/>
      <c r="L256" s="286" t="str">
        <f>IF(Start!$C$19="x",IF(C256="","NA",IF(F256="","No Ref", (IF(F256 = 0, "NA", ((C256*100/Data!$D$10)/(F256*100/Data!$D$60)))))),"Not Req.")</f>
        <v>Not Req.</v>
      </c>
      <c r="M256" s="285" t="str">
        <f>IF(Start!$C$19="x",IF(C256="","NA",IF(OR(G256="",G256="NA"),"No Criteria",(IF(G256 = 0, "NA", (C256/(G256*Data!$D$10/100)))))),"Not Req.")</f>
        <v>Not Req.</v>
      </c>
    </row>
    <row r="257" spans="1:13" s="10" customFormat="1" x14ac:dyDescent="0.25">
      <c r="A257" s="405" t="s">
        <v>575</v>
      </c>
      <c r="B257" s="456" t="str">
        <f>IF(Start!$C$19="x",IF(AND(H257="",I257="",J257=""),"",(IF(H257="OK","No",(IF(H257="Exceeded",(IF(J257="OK","No",(IF(J257="Exceeded","Needed",(IF(J257="No Criteria","No Criteria","Missing Data")))))),(IF(I257="OK","No",(IF(J257="OK","No",(IF(J257="Exceeded","Needed",(IF(J257="No Criteria","No Criteria","Missing Data"))))))))))))),"---")</f>
        <v>---</v>
      </c>
      <c r="C257" s="457" t="str">
        <f>IF(TRUE=ISBLANK(ChemData!B257),"",(ChemData!B257))</f>
        <v/>
      </c>
      <c r="D257" s="502"/>
      <c r="E257" s="503"/>
      <c r="F257" s="289" t="str">
        <f>IF(TRUE=ISBLANK(ChemData!E257),"",(ChemData!E257))</f>
        <v/>
      </c>
      <c r="G257" s="291" t="str">
        <f>IF(TRUE=ISBLANK(ChemData!L257),"",(ChemData!L257))</f>
        <v>NA</v>
      </c>
      <c r="H257" s="462"/>
      <c r="I257" s="461" t="str">
        <f>IF(Start!$C$19="x",IF(OR(C257="",C257="NA"),"",IF(OR(F257="",F257="NA"),"No Ref",(IF((C257*100/Data!$D$10)&gt;(F257*100/Data!$D$60),"Exceeded","OK")))),"---")</f>
        <v>---</v>
      </c>
      <c r="J257" s="377" t="str">
        <f>IF(Start!$C$19="x",IF(OR(C257="",C257="NA"),"",IF(OR(G257="",G257="NA"),"No Criteria",(IF(C257&gt;(G257*Data!$D$10/100),"Exceeded","OK")))),"---")</f>
        <v>---</v>
      </c>
      <c r="K257" s="462"/>
      <c r="L257" s="286" t="str">
        <f>IF(Start!$C$19="x",IF(C257="","NA",IF(F257="","No Ref", (IF(F257 = 0, "NA", ((C257*100/Data!$D$10)/(F257*100/Data!$D$60)))))),"Not Req.")</f>
        <v>Not Req.</v>
      </c>
      <c r="M257" s="285" t="str">
        <f>IF(Start!$C$19="x",IF(C257="","NA",IF(OR(G257="",G257="NA"),"No Criteria",(IF(G257 = 0, "NA", (C257/(G257*Data!$D$10/100)))))),"Not Req.")</f>
        <v>Not Req.</v>
      </c>
    </row>
    <row r="258" spans="1:13" s="10" customFormat="1" x14ac:dyDescent="0.25">
      <c r="A258" s="405" t="s">
        <v>576</v>
      </c>
      <c r="B258" s="456" t="str">
        <f>IF(Start!$C$19="x",IF(AND(H258="",I258="",J258=""),"",(IF(H258="OK","No",(IF(H258="Exceeded",(IF(J258="OK","No",(IF(J258="Exceeded","Needed",(IF(J258="No Criteria","No Criteria","Missing Data")))))),(IF(I258="OK","No",(IF(J258="OK","No",(IF(J258="Exceeded","Needed",(IF(J258="No Criteria","No Criteria","Missing Data"))))))))))))),"---")</f>
        <v>---</v>
      </c>
      <c r="C258" s="457" t="str">
        <f>IF(TRUE=ISBLANK(ChemData!B258),"",(ChemData!B258))</f>
        <v/>
      </c>
      <c r="D258" s="502"/>
      <c r="E258" s="503"/>
      <c r="F258" s="289" t="str">
        <f>IF(TRUE=ISBLANK(ChemData!E258),"",(ChemData!E258))</f>
        <v/>
      </c>
      <c r="G258" s="291" t="str">
        <f>IF(TRUE=ISBLANK(ChemData!L258),"",(ChemData!L258))</f>
        <v>NA</v>
      </c>
      <c r="H258" s="462"/>
      <c r="I258" s="461" t="str">
        <f>IF(Start!$C$19="x",IF(OR(C258="",C258="NA"),"",IF(OR(F258="",F258="NA"),"No Ref",(IF((C258*100/Data!$D$10)&gt;(F258*100/Data!$D$60),"Exceeded","OK")))),"---")</f>
        <v>---</v>
      </c>
      <c r="J258" s="377" t="str">
        <f>IF(Start!$C$19="x",IF(OR(C258="",C258="NA"),"",IF(OR(G258="",G258="NA"),"No Criteria",(IF(C258&gt;(G258*Data!$D$10/100),"Exceeded","OK")))),"---")</f>
        <v>---</v>
      </c>
      <c r="K258" s="462"/>
      <c r="L258" s="286" t="str">
        <f>IF(Start!$C$19="x",IF(C258="","NA",IF(F258="","No Ref", (IF(F258 = 0, "NA", ((C258*100/Data!$D$10)/(F258*100/Data!$D$60)))))),"Not Req.")</f>
        <v>Not Req.</v>
      </c>
      <c r="M258" s="285" t="str">
        <f>IF(Start!$C$19="x",IF(C258="","NA",IF(OR(G258="",G258="NA"),"No Criteria",(IF(G258 = 0, "NA", (C258/(G258*Data!$D$10/100)))))),"Not Req.")</f>
        <v>Not Req.</v>
      </c>
    </row>
    <row r="259" spans="1:13" s="10" customFormat="1" x14ac:dyDescent="0.25">
      <c r="A259" s="405" t="s">
        <v>577</v>
      </c>
      <c r="B259" s="456" t="str">
        <f>IF(Start!$C$19="x",IF(AND(H259="",I259="",J259=""),"",(IF(H259="OK","No",(IF(H259="Exceeded",(IF(J259="OK","No",(IF(J259="Exceeded","Needed",(IF(J259="No Criteria","No Criteria","Missing Data")))))),(IF(I259="OK","No",(IF(J259="OK","No",(IF(J259="Exceeded","Needed",(IF(J259="No Criteria","No Criteria","Missing Data"))))))))))))),"---")</f>
        <v>---</v>
      </c>
      <c r="C259" s="457" t="str">
        <f>IF(TRUE=ISBLANK(ChemData!B259),"",(ChemData!B259))</f>
        <v/>
      </c>
      <c r="D259" s="502"/>
      <c r="E259" s="503"/>
      <c r="F259" s="289" t="str">
        <f>IF(TRUE=ISBLANK(ChemData!E259),"",(ChemData!E259))</f>
        <v/>
      </c>
      <c r="G259" s="291">
        <f>IF(TRUE=ISBLANK(ChemData!L259),"",(ChemData!L259))</f>
        <v>1.2E-4</v>
      </c>
      <c r="H259" s="462"/>
      <c r="I259" s="461" t="str">
        <f>IF(Start!$C$19="x",IF(OR(C259="",C259="NA"),"",IF(OR(F259="",F259="NA"),"No Ref",(IF((C259*100/Data!$D$10)&gt;(F259*100/Data!$D$60),"Exceeded","OK")))),"---")</f>
        <v>---</v>
      </c>
      <c r="J259" s="377" t="str">
        <f>IF(Start!$C$19="x",IF(OR(C259="",C259="NA"),"",IF(OR(G259="",G259="NA"),"No Criteria",(IF(C259&gt;(G259*Data!$D$10/100),"Exceeded","OK")))),"---")</f>
        <v>---</v>
      </c>
      <c r="K259" s="462"/>
      <c r="L259" s="286" t="str">
        <f>IF(Start!$C$19="x",IF(C259="","NA",IF(F259="","No Ref", (IF(F259 = 0, "NA", ((C259*100/Data!$D$10)/(F259*100/Data!$D$60)))))),"Not Req.")</f>
        <v>Not Req.</v>
      </c>
      <c r="M259" s="285" t="str">
        <f>IF(Start!$C$19="x",IF(C259="","NA",IF(OR(G259="",G259="NA"),"No Criteria",(IF(G259 = 0, "NA", (C259/(G259*Data!$D$10/100)))))),"Not Req.")</f>
        <v>Not Req.</v>
      </c>
    </row>
    <row r="260" spans="1:13" s="10" customFormat="1" x14ac:dyDescent="0.25">
      <c r="A260" s="405" t="s">
        <v>578</v>
      </c>
      <c r="B260" s="456" t="str">
        <f>IF(Start!$C$19="x",IF(AND(H260="",I260="",J260=""),"",(IF(H260="OK","No",(IF(H260="Exceeded",(IF(J260="OK","No",(IF(J260="Exceeded","Needed",(IF(J260="No Criteria","No Criteria","Missing Data")))))),(IF(I260="OK","No",(IF(J260="OK","No",(IF(J260="Exceeded","Needed",(IF(J260="No Criteria","No Criteria","Missing Data"))))))))))))),"---")</f>
        <v>---</v>
      </c>
      <c r="C260" s="457" t="str">
        <f>IF(TRUE=ISBLANK(ChemData!B260),"",(ChemData!B260))</f>
        <v/>
      </c>
      <c r="D260" s="502"/>
      <c r="E260" s="503"/>
      <c r="F260" s="289" t="str">
        <f>IF(TRUE=ISBLANK(ChemData!E260),"",(ChemData!E260))</f>
        <v/>
      </c>
      <c r="G260" s="291" t="str">
        <f>IF(TRUE=ISBLANK(ChemData!L260),"",(ChemData!L260))</f>
        <v>NA</v>
      </c>
      <c r="H260" s="462"/>
      <c r="I260" s="461" t="str">
        <f>IF(Start!$C$19="x",IF(OR(C260="",C260="NA"),"",IF(OR(F260="",F260="NA"),"No Ref",(IF((C260*100/Data!$D$10)&gt;(F260*100/Data!$D$60),"Exceeded","OK")))),"---")</f>
        <v>---</v>
      </c>
      <c r="J260" s="377" t="str">
        <f>IF(Start!$C$19="x",IF(OR(C260="",C260="NA"),"",IF(OR(G260="",G260="NA"),"No Criteria",(IF(C260&gt;(G260*Data!$D$10/100),"Exceeded","OK")))),"---")</f>
        <v>---</v>
      </c>
      <c r="K260" s="462"/>
      <c r="L260" s="286" t="str">
        <f>IF(Start!$C$19="x",IF(C260="","NA",IF(F260="","No Ref", (IF(F260 = 0, "NA", ((C260*100/Data!$D$10)/(F260*100/Data!$D$60)))))),"Not Req.")</f>
        <v>Not Req.</v>
      </c>
      <c r="M260" s="285" t="str">
        <f>IF(Start!$C$19="x",IF(C260="","NA",IF(OR(G260="",G260="NA"),"No Criteria",(IF(G260 = 0, "NA", (C260/(G260*Data!$D$10/100)))))),"Not Req.")</f>
        <v>Not Req.</v>
      </c>
    </row>
    <row r="261" spans="1:13" s="10" customFormat="1" x14ac:dyDescent="0.25">
      <c r="A261" s="405" t="s">
        <v>579</v>
      </c>
      <c r="B261" s="456" t="str">
        <f>IF(Start!$C$19="x",IF(AND(H261="",I261="",J261=""),"",(IF(H261="OK","No",(IF(H261="Exceeded",(IF(J261="OK","No",(IF(J261="Exceeded","Needed",(IF(J261="No Criteria","No Criteria","Missing Data")))))),(IF(I261="OK","No",(IF(J261="OK","No",(IF(J261="Exceeded","Needed",(IF(J261="No Criteria","No Criteria","Missing Data"))))))))))))),"---")</f>
        <v>---</v>
      </c>
      <c r="C261" s="457" t="str">
        <f>IF(TRUE=ISBLANK(ChemData!B261),"",(ChemData!B261))</f>
        <v/>
      </c>
      <c r="D261" s="502"/>
      <c r="E261" s="503"/>
      <c r="F261" s="289" t="str">
        <f>IF(TRUE=ISBLANK(ChemData!E261),"",(ChemData!E261))</f>
        <v/>
      </c>
      <c r="G261" s="291" t="str">
        <f>IF(TRUE=ISBLANK(ChemData!L261),"",(ChemData!L261))</f>
        <v>NA</v>
      </c>
      <c r="H261" s="462"/>
      <c r="I261" s="461" t="str">
        <f>IF(Start!$C$19="x",IF(OR(C261="",C261="NA"),"",IF(OR(F261="",F261="NA"),"No Ref",(IF((C261*100/Data!$D$10)&gt;(F261*100/Data!$D$60),"Exceeded","OK")))),"---")</f>
        <v>---</v>
      </c>
      <c r="J261" s="377" t="str">
        <f>IF(Start!$C$19="x",IF(OR(C261="",C261="NA"),"",IF(OR(G261="",G261="NA"),"No Criteria",(IF(C261&gt;(G261*Data!$D$10/100),"Exceeded","OK")))),"---")</f>
        <v>---</v>
      </c>
      <c r="K261" s="462"/>
      <c r="L261" s="286" t="str">
        <f>IF(Start!$C$19="x",IF(C261="","NA",IF(F261="","No Ref", (IF(F261 = 0, "NA", ((C261*100/Data!$D$10)/(F261*100/Data!$D$60)))))),"Not Req.")</f>
        <v>Not Req.</v>
      </c>
      <c r="M261" s="285" t="str">
        <f>IF(Start!$C$19="x",IF(C261="","NA",IF(OR(G261="",G261="NA"),"No Criteria",(IF(G261 = 0, "NA", (C261/(G261*Data!$D$10/100)))))),"Not Req.")</f>
        <v>Not Req.</v>
      </c>
    </row>
    <row r="262" spans="1:13" s="10" customFormat="1" x14ac:dyDescent="0.25">
      <c r="A262" s="405" t="s">
        <v>580</v>
      </c>
      <c r="B262" s="456" t="str">
        <f>IF(Start!$C$19="x",IF(AND(H262="",I262="",J262=""),"",(IF(H262="OK","No",(IF(H262="Exceeded",(IF(J262="OK","No",(IF(J262="Exceeded","Needed",(IF(J262="No Criteria","No Criteria","Missing Data")))))),(IF(I262="OK","No",(IF(J262="OK","No",(IF(J262="Exceeded","Needed",(IF(J262="No Criteria","No Criteria","Missing Data"))))))))))))),"---")</f>
        <v>---</v>
      </c>
      <c r="C262" s="457" t="str">
        <f>IF(TRUE=ISBLANK(ChemData!B262),"",(ChemData!B262))</f>
        <v/>
      </c>
      <c r="D262" s="502"/>
      <c r="E262" s="503"/>
      <c r="F262" s="289" t="str">
        <f>IF(TRUE=ISBLANK(ChemData!E262),"",(ChemData!E262))</f>
        <v/>
      </c>
      <c r="G262" s="291" t="str">
        <f>IF(TRUE=ISBLANK(ChemData!L262),"",(ChemData!L262))</f>
        <v>NA</v>
      </c>
      <c r="H262" s="462"/>
      <c r="I262" s="461" t="str">
        <f>IF(Start!$C$19="x",IF(OR(C262="",C262="NA"),"",IF(OR(F262="",F262="NA"),"No Ref",(IF((C262*100/Data!$D$10)&gt;(F262*100/Data!$D$60),"Exceeded","OK")))),"---")</f>
        <v>---</v>
      </c>
      <c r="J262" s="377" t="str">
        <f>IF(Start!$C$19="x",IF(OR(C262="",C262="NA"),"",IF(OR(G262="",G262="NA"),"No Criteria",(IF(C262&gt;(G262*Data!$D$10/100),"Exceeded","OK")))),"---")</f>
        <v>---</v>
      </c>
      <c r="K262" s="462"/>
      <c r="L262" s="286" t="str">
        <f>IF(Start!$C$19="x",IF(C262="","NA",IF(F262="","No Ref", (IF(F262 = 0, "NA", ((C262*100/Data!$D$10)/(F262*100/Data!$D$60)))))),"Not Req.")</f>
        <v>Not Req.</v>
      </c>
      <c r="M262" s="285" t="str">
        <f>IF(Start!$C$19="x",IF(C262="","NA",IF(OR(G262="",G262="NA"),"No Criteria",(IF(G262 = 0, "NA", (C262/(G262*Data!$D$10/100)))))),"Not Req.")</f>
        <v>Not Req.</v>
      </c>
    </row>
    <row r="263" spans="1:13" s="10" customFormat="1" x14ac:dyDescent="0.25">
      <c r="A263" s="405" t="s">
        <v>581</v>
      </c>
      <c r="B263" s="456" t="str">
        <f>IF(Start!$C$19="x",IF(AND(H263="",I263="",J263=""),"",(IF(H263="OK","No",(IF(H263="Exceeded",(IF(J263="OK","No",(IF(J263="Exceeded","Needed",(IF(J263="No Criteria","No Criteria","Missing Data")))))),(IF(I263="OK","No",(IF(J263="OK","No",(IF(J263="Exceeded","Needed",(IF(J263="No Criteria","No Criteria","Missing Data"))))))))))))),"---")</f>
        <v>---</v>
      </c>
      <c r="C263" s="457" t="str">
        <f>IF(TRUE=ISBLANK(ChemData!B263),"",(ChemData!B263))</f>
        <v/>
      </c>
      <c r="D263" s="502"/>
      <c r="E263" s="503"/>
      <c r="F263" s="289" t="str">
        <f>IF(TRUE=ISBLANK(ChemData!E263),"",(ChemData!E263))</f>
        <v/>
      </c>
      <c r="G263" s="291" t="str">
        <f>IF(TRUE=ISBLANK(ChemData!L263),"",(ChemData!L263))</f>
        <v>NA</v>
      </c>
      <c r="H263" s="462"/>
      <c r="I263" s="461" t="str">
        <f>IF(Start!$C$19="x",IF(OR(C263="",C263="NA"),"",IF(OR(F263="",F263="NA"),"No Ref",(IF((C263*100/Data!$D$10)&gt;(F263*100/Data!$D$60),"Exceeded","OK")))),"---")</f>
        <v>---</v>
      </c>
      <c r="J263" s="377" t="str">
        <f>IF(Start!$C$19="x",IF(OR(C263="",C263="NA"),"",IF(OR(G263="",G263="NA"),"No Criteria",(IF(C263&gt;(G263*Data!$D$10/100),"Exceeded","OK")))),"---")</f>
        <v>---</v>
      </c>
      <c r="K263" s="462"/>
      <c r="L263" s="286" t="str">
        <f>IF(Start!$C$19="x",IF(C263="","NA",IF(F263="","No Ref", (IF(F263 = 0, "NA", ((C263*100/Data!$D$10)/(F263*100/Data!$D$60)))))),"Not Req.")</f>
        <v>Not Req.</v>
      </c>
      <c r="M263" s="285" t="str">
        <f>IF(Start!$C$19="x",IF(C263="","NA",IF(OR(G263="",G263="NA"),"No Criteria",(IF(G263 = 0, "NA", (C263/(G263*Data!$D$10/100)))))),"Not Req.")</f>
        <v>Not Req.</v>
      </c>
    </row>
    <row r="264" spans="1:13" s="10" customFormat="1" x14ac:dyDescent="0.25">
      <c r="A264" s="405" t="s">
        <v>582</v>
      </c>
      <c r="B264" s="456" t="str">
        <f>IF(Start!$C$19="x",IF(AND(H264="",I264="",J264=""),"",(IF(H264="OK","No",(IF(H264="Exceeded",(IF(J264="OK","No",(IF(J264="Exceeded","Needed",(IF(J264="No Criteria","No Criteria","Missing Data")))))),(IF(I264="OK","No",(IF(J264="OK","No",(IF(J264="Exceeded","Needed",(IF(J264="No Criteria","No Criteria","Missing Data"))))))))))))),"---")</f>
        <v>---</v>
      </c>
      <c r="C264" s="457" t="str">
        <f>IF(TRUE=ISBLANK(ChemData!B264),"",(ChemData!B264))</f>
        <v/>
      </c>
      <c r="D264" s="502"/>
      <c r="E264" s="503"/>
      <c r="F264" s="289" t="str">
        <f>IF(TRUE=ISBLANK(ChemData!E264),"",(ChemData!E264))</f>
        <v/>
      </c>
      <c r="G264" s="291" t="str">
        <f>IF(TRUE=ISBLANK(ChemData!L264),"",(ChemData!L264))</f>
        <v>NA</v>
      </c>
      <c r="H264" s="462"/>
      <c r="I264" s="461" t="str">
        <f>IF(Start!$C$19="x",IF(OR(C264="",C264="NA"),"",IF(OR(F264="",F264="NA"),"No Ref",(IF((C264*100/Data!$D$10)&gt;(F264*100/Data!$D$60),"Exceeded","OK")))),"---")</f>
        <v>---</v>
      </c>
      <c r="J264" s="377" t="str">
        <f>IF(Start!$C$19="x",IF(OR(C264="",C264="NA"),"",IF(OR(G264="",G264="NA"),"No Criteria",(IF(C264&gt;(G264*Data!$D$10/100),"Exceeded","OK")))),"---")</f>
        <v>---</v>
      </c>
      <c r="K264" s="462"/>
      <c r="L264" s="286" t="str">
        <f>IF(Start!$C$19="x",IF(C264="","NA",IF(F264="","No Ref", (IF(F264 = 0, "NA", ((C264*100/Data!$D$10)/(F264*100/Data!$D$60)))))),"Not Req.")</f>
        <v>Not Req.</v>
      </c>
      <c r="M264" s="285" t="str">
        <f>IF(Start!$C$19="x",IF(C264="","NA",IF(OR(G264="",G264="NA"),"No Criteria",(IF(G264 = 0, "NA", (C264/(G264*Data!$D$10/100)))))),"Not Req.")</f>
        <v>Not Req.</v>
      </c>
    </row>
    <row r="265" spans="1:13" s="10" customFormat="1" x14ac:dyDescent="0.25">
      <c r="A265" s="405" t="s">
        <v>583</v>
      </c>
      <c r="B265" s="456" t="str">
        <f>IF(Start!$C$19="x",IF(AND(H265="",I265="",J265=""),"",(IF(H265="OK","No",(IF(H265="Exceeded",(IF(J265="OK","No",(IF(J265="Exceeded","Needed",(IF(J265="No Criteria","No Criteria","Missing Data")))))),(IF(I265="OK","No",(IF(J265="OK","No",(IF(J265="Exceeded","Needed",(IF(J265="No Criteria","No Criteria","Missing Data"))))))))))))),"---")</f>
        <v>---</v>
      </c>
      <c r="C265" s="457" t="str">
        <f>IF(TRUE=ISBLANK(ChemData!B265),"",(ChemData!B265))</f>
        <v/>
      </c>
      <c r="D265" s="502"/>
      <c r="E265" s="503"/>
      <c r="F265" s="289" t="str">
        <f>IF(TRUE=ISBLANK(ChemData!E265),"",(ChemData!E265))</f>
        <v/>
      </c>
      <c r="G265" s="291" t="str">
        <f>IF(TRUE=ISBLANK(ChemData!L265),"",(ChemData!L265))</f>
        <v>NA</v>
      </c>
      <c r="H265" s="462"/>
      <c r="I265" s="461" t="str">
        <f>IF(Start!$C$19="x",IF(OR(C265="",C265="NA"),"",IF(OR(F265="",F265="NA"),"No Ref",(IF((C265*100/Data!$D$10)&gt;(F265*100/Data!$D$60),"Exceeded","OK")))),"---")</f>
        <v>---</v>
      </c>
      <c r="J265" s="377" t="str">
        <f>IF(Start!$C$19="x",IF(OR(C265="",C265="NA"),"",IF(OR(G265="",G265="NA"),"No Criteria",(IF(C265&gt;(G265*Data!$D$10/100),"Exceeded","OK")))),"---")</f>
        <v>---</v>
      </c>
      <c r="K265" s="462"/>
      <c r="L265" s="286" t="str">
        <f>IF(Start!$C$19="x",IF(C265="","NA",IF(F265="","No Ref", (IF(F265 = 0, "NA", ((C265*100/Data!$D$10)/(F265*100/Data!$D$60)))))),"Not Req.")</f>
        <v>Not Req.</v>
      </c>
      <c r="M265" s="285" t="str">
        <f>IF(Start!$C$19="x",IF(C265="","NA",IF(OR(G265="",G265="NA"),"No Criteria",(IF(G265 = 0, "NA", (C265/(G265*Data!$D$10/100)))))),"Not Req.")</f>
        <v>Not Req.</v>
      </c>
    </row>
    <row r="266" spans="1:13" s="10" customFormat="1" x14ac:dyDescent="0.25">
      <c r="A266" s="405" t="s">
        <v>584</v>
      </c>
      <c r="B266" s="456" t="str">
        <f>IF(Start!$C$19="x",IF(AND(H266="",I266="",J266=""),"",(IF(H266="OK","No",(IF(H266="Exceeded",(IF(J266="OK","No",(IF(J266="Exceeded","Needed",(IF(J266="No Criteria","No Criteria","Missing Data")))))),(IF(I266="OK","No",(IF(J266="OK","No",(IF(J266="Exceeded","Needed",(IF(J266="No Criteria","No Criteria","Missing Data"))))))))))))),"---")</f>
        <v>---</v>
      </c>
      <c r="C266" s="457" t="str">
        <f>IF(TRUE=ISBLANK(ChemData!B266),"",(ChemData!B266))</f>
        <v/>
      </c>
      <c r="D266" s="502"/>
      <c r="E266" s="503"/>
      <c r="F266" s="289" t="str">
        <f>IF(TRUE=ISBLANK(ChemData!E266),"",(ChemData!E266))</f>
        <v/>
      </c>
      <c r="G266" s="291" t="str">
        <f>IF(TRUE=ISBLANK(ChemData!L266),"",(ChemData!L266))</f>
        <v>NA</v>
      </c>
      <c r="H266" s="462"/>
      <c r="I266" s="461" t="str">
        <f>IF(Start!$C$19="x",IF(OR(C266="",C266="NA"),"",IF(OR(F266="",F266="NA"),"No Ref",(IF((C266*100/Data!$D$10)&gt;(F266*100/Data!$D$60),"Exceeded","OK")))),"---")</f>
        <v>---</v>
      </c>
      <c r="J266" s="377" t="str">
        <f>IF(Start!$C$19="x",IF(OR(C266="",C266="NA"),"",IF(OR(G266="",G266="NA"),"No Criteria",(IF(C266&gt;(G266*Data!$D$10/100),"Exceeded","OK")))),"---")</f>
        <v>---</v>
      </c>
      <c r="K266" s="462"/>
      <c r="L266" s="286" t="str">
        <f>IF(Start!$C$19="x",IF(C266="","NA",IF(F266="","No Ref", (IF(F266 = 0, "NA", ((C266*100/Data!$D$10)/(F266*100/Data!$D$60)))))),"Not Req.")</f>
        <v>Not Req.</v>
      </c>
      <c r="M266" s="285" t="str">
        <f>IF(Start!$C$19="x",IF(C266="","NA",IF(OR(G266="",G266="NA"),"No Criteria",(IF(G266 = 0, "NA", (C266/(G266*Data!$D$10/100)))))),"Not Req.")</f>
        <v>Not Req.</v>
      </c>
    </row>
    <row r="267" spans="1:13" s="10" customFormat="1" x14ac:dyDescent="0.25">
      <c r="A267" s="405" t="s">
        <v>585</v>
      </c>
      <c r="B267" s="456" t="str">
        <f>IF(Start!$C$19="x",IF(AND(H267="",I267="",J267=""),"",(IF(H267="OK","No",(IF(H267="Exceeded",(IF(J267="OK","No",(IF(J267="Exceeded","Needed",(IF(J267="No Criteria","No Criteria","Missing Data")))))),(IF(I267="OK","No",(IF(J267="OK","No",(IF(J267="Exceeded","Needed",(IF(J267="No Criteria","No Criteria","Missing Data"))))))))))))),"---")</f>
        <v>---</v>
      </c>
      <c r="C267" s="457" t="str">
        <f>IF(TRUE=ISBLANK(ChemData!B267),"",(ChemData!B267))</f>
        <v/>
      </c>
      <c r="D267" s="502"/>
      <c r="E267" s="503"/>
      <c r="F267" s="289" t="str">
        <f>IF(TRUE=ISBLANK(ChemData!E267),"",(ChemData!E267))</f>
        <v/>
      </c>
      <c r="G267" s="291" t="str">
        <f>IF(TRUE=ISBLANK(ChemData!L267),"",(ChemData!L267))</f>
        <v>NA</v>
      </c>
      <c r="H267" s="462"/>
      <c r="I267" s="461" t="str">
        <f>IF(Start!$C$19="x",IF(OR(C267="",C267="NA"),"",IF(OR(F267="",F267="NA"),"No Ref",(IF((C267*100/Data!$D$10)&gt;(F267*100/Data!$D$60),"Exceeded","OK")))),"---")</f>
        <v>---</v>
      </c>
      <c r="J267" s="377" t="str">
        <f>IF(Start!$C$19="x",IF(OR(C267="",C267="NA"),"",IF(OR(G267="",G267="NA"),"No Criteria",(IF(C267&gt;(G267*Data!$D$10/100),"Exceeded","OK")))),"---")</f>
        <v>---</v>
      </c>
      <c r="K267" s="462"/>
      <c r="L267" s="286" t="str">
        <f>IF(Start!$C$19="x",IF(C267="","NA",IF(F267="","No Ref", (IF(F267 = 0, "NA", ((C267*100/Data!$D$10)/(F267*100/Data!$D$60)))))),"Not Req.")</f>
        <v>Not Req.</v>
      </c>
      <c r="M267" s="285" t="str">
        <f>IF(Start!$C$19="x",IF(C267="","NA",IF(OR(G267="",G267="NA"),"No Criteria",(IF(G267 = 0, "NA", (C267/(G267*Data!$D$10/100)))))),"Not Req.")</f>
        <v>Not Req.</v>
      </c>
    </row>
    <row r="268" spans="1:13" s="10" customFormat="1" x14ac:dyDescent="0.25">
      <c r="A268" s="405" t="s">
        <v>586</v>
      </c>
      <c r="B268" s="456" t="str">
        <f>IF(Start!$C$19="x",IF(AND(H268="",I268="",J268=""),"",(IF(H268="OK","No",(IF(H268="Exceeded",(IF(J268="OK","No",(IF(J268="Exceeded","Needed",(IF(J268="No Criteria","No Criteria","Missing Data")))))),(IF(I268="OK","No",(IF(J268="OK","No",(IF(J268="Exceeded","Needed",(IF(J268="No Criteria","No Criteria","Missing Data"))))))))))))),"---")</f>
        <v>---</v>
      </c>
      <c r="C268" s="457" t="str">
        <f>IF(TRUE=ISBLANK(ChemData!B268),"",(ChemData!B268))</f>
        <v/>
      </c>
      <c r="D268" s="502"/>
      <c r="E268" s="503"/>
      <c r="F268" s="289" t="str">
        <f>IF(TRUE=ISBLANK(ChemData!E268),"",(ChemData!E268))</f>
        <v/>
      </c>
      <c r="G268" s="291" t="str">
        <f>IF(TRUE=ISBLANK(ChemData!L268),"",(ChemData!L268))</f>
        <v>NA</v>
      </c>
      <c r="H268" s="462"/>
      <c r="I268" s="461" t="str">
        <f>IF(Start!$C$19="x",IF(OR(C268="",C268="NA"),"",IF(OR(F268="",F268="NA"),"No Ref",(IF((C268*100/Data!$D$10)&gt;(F268*100/Data!$D$60),"Exceeded","OK")))),"---")</f>
        <v>---</v>
      </c>
      <c r="J268" s="377" t="str">
        <f>IF(Start!$C$19="x",IF(OR(C268="",C268="NA"),"",IF(OR(G268="",G268="NA"),"No Criteria",(IF(C268&gt;(G268*Data!$D$10/100),"Exceeded","OK")))),"---")</f>
        <v>---</v>
      </c>
      <c r="K268" s="462"/>
      <c r="L268" s="286" t="str">
        <f>IF(Start!$C$19="x",IF(C268="","NA",IF(F268="","No Ref", (IF(F268 = 0, "NA", ((C268*100/Data!$D$10)/(F268*100/Data!$D$60)))))),"Not Req.")</f>
        <v>Not Req.</v>
      </c>
      <c r="M268" s="285" t="str">
        <f>IF(Start!$C$19="x",IF(C268="","NA",IF(OR(G268="",G268="NA"),"No Criteria",(IF(G268 = 0, "NA", (C268/(G268*Data!$D$10/100)))))),"Not Req.")</f>
        <v>Not Req.</v>
      </c>
    </row>
    <row r="269" spans="1:13" s="10" customFormat="1" x14ac:dyDescent="0.25">
      <c r="A269" s="405" t="s">
        <v>587</v>
      </c>
      <c r="B269" s="456" t="str">
        <f>IF(Start!$C$19="x",IF(AND(H269="",I269="",J269=""),"",(IF(H269="OK","No",(IF(H269="Exceeded",(IF(J269="OK","No",(IF(J269="Exceeded","Needed",(IF(J269="No Criteria","No Criteria","Missing Data")))))),(IF(I269="OK","No",(IF(J269="OK","No",(IF(J269="Exceeded","Needed",(IF(J269="No Criteria","No Criteria","Missing Data"))))))))))))),"---")</f>
        <v>---</v>
      </c>
      <c r="C269" s="457" t="str">
        <f>IF(TRUE=ISBLANK(ChemData!B269),"",(ChemData!B269))</f>
        <v/>
      </c>
      <c r="D269" s="502"/>
      <c r="E269" s="503"/>
      <c r="F269" s="289" t="str">
        <f>IF(TRUE=ISBLANK(ChemData!E269),"",(ChemData!E269))</f>
        <v/>
      </c>
      <c r="G269" s="291" t="str">
        <f>IF(TRUE=ISBLANK(ChemData!L269),"",(ChemData!L269))</f>
        <v>NA</v>
      </c>
      <c r="H269" s="462"/>
      <c r="I269" s="461" t="str">
        <f>IF(Start!$C$19="x",IF(OR(C269="",C269="NA"),"",IF(OR(F269="",F269="NA"),"No Ref",(IF((C269*100/Data!$D$10)&gt;(F269*100/Data!$D$60),"Exceeded","OK")))),"---")</f>
        <v>---</v>
      </c>
      <c r="J269" s="377" t="str">
        <f>IF(Start!$C$19="x",IF(OR(C269="",C269="NA"),"",IF(OR(G269="",G269="NA"),"No Criteria",(IF(C269&gt;(G269*Data!$D$10/100),"Exceeded","OK")))),"---")</f>
        <v>---</v>
      </c>
      <c r="K269" s="462"/>
      <c r="L269" s="286" t="str">
        <f>IF(Start!$C$19="x",IF(C269="","NA",IF(F269="","No Ref", (IF(F269 = 0, "NA", ((C269*100/Data!$D$10)/(F269*100/Data!$D$60)))))),"Not Req.")</f>
        <v>Not Req.</v>
      </c>
      <c r="M269" s="285" t="str">
        <f>IF(Start!$C$19="x",IF(C269="","NA",IF(OR(G269="",G269="NA"),"No Criteria",(IF(G269 = 0, "NA", (C269/(G269*Data!$D$10/100)))))),"Not Req.")</f>
        <v>Not Req.</v>
      </c>
    </row>
    <row r="270" spans="1:13" s="10" customFormat="1" x14ac:dyDescent="0.25">
      <c r="A270" s="405" t="s">
        <v>588</v>
      </c>
      <c r="B270" s="456" t="str">
        <f>IF(Start!$C$19="x",IF(AND(H270="",I270="",J270=""),"",(IF(H270="OK","No",(IF(H270="Exceeded",(IF(J270="OK","No",(IF(J270="Exceeded","Needed",(IF(J270="No Criteria","No Criteria","Missing Data")))))),(IF(I270="OK","No",(IF(J270="OK","No",(IF(J270="Exceeded","Needed",(IF(J270="No Criteria","No Criteria","Missing Data"))))))))))))),"---")</f>
        <v>---</v>
      </c>
      <c r="C270" s="457" t="str">
        <f>IF(TRUE=ISBLANK(ChemData!B270),"",(ChemData!B270))</f>
        <v/>
      </c>
      <c r="D270" s="502"/>
      <c r="E270" s="503"/>
      <c r="F270" s="289" t="str">
        <f>IF(TRUE=ISBLANK(ChemData!E270),"",(ChemData!E270))</f>
        <v/>
      </c>
      <c r="G270" s="291" t="str">
        <f>IF(TRUE=ISBLANK(ChemData!L270),"",(ChemData!L270))</f>
        <v>NA</v>
      </c>
      <c r="H270" s="462"/>
      <c r="I270" s="461" t="str">
        <f>IF(Start!$C$19="x",IF(OR(C270="",C270="NA"),"",IF(OR(F270="",F270="NA"),"No Ref",(IF((C270*100/Data!$D$10)&gt;(F270*100/Data!$D$60),"Exceeded","OK")))),"---")</f>
        <v>---</v>
      </c>
      <c r="J270" s="377" t="str">
        <f>IF(Start!$C$19="x",IF(OR(C270="",C270="NA"),"",IF(OR(G270="",G270="NA"),"No Criteria",(IF(C270&gt;(G270*Data!$D$10/100),"Exceeded","OK")))),"---")</f>
        <v>---</v>
      </c>
      <c r="K270" s="462"/>
      <c r="L270" s="286" t="str">
        <f>IF(Start!$C$19="x",IF(C270="","NA",IF(F270="","No Ref", (IF(F270 = 0, "NA", ((C270*100/Data!$D$10)/(F270*100/Data!$D$60)))))),"Not Req.")</f>
        <v>Not Req.</v>
      </c>
      <c r="M270" s="285" t="str">
        <f>IF(Start!$C$19="x",IF(C270="","NA",IF(OR(G270="",G270="NA"),"No Criteria",(IF(G270 = 0, "NA", (C270/(G270*Data!$D$10/100)))))),"Not Req.")</f>
        <v>Not Req.</v>
      </c>
    </row>
    <row r="271" spans="1:13" s="10" customFormat="1" x14ac:dyDescent="0.25">
      <c r="A271" s="405" t="s">
        <v>589</v>
      </c>
      <c r="B271" s="456" t="str">
        <f>IF(Start!$C$19="x",IF(AND(H271="",I271="",J271=""),"",(IF(H271="OK","No",(IF(H271="Exceeded",(IF(J271="OK","No",(IF(J271="Exceeded","Needed",(IF(J271="No Criteria","No Criteria","Missing Data")))))),(IF(I271="OK","No",(IF(J271="OK","No",(IF(J271="Exceeded","Needed",(IF(J271="No Criteria","No Criteria","Missing Data"))))))))))))),"---")</f>
        <v>---</v>
      </c>
      <c r="C271" s="457" t="str">
        <f>IF(TRUE=ISBLANK(ChemData!B271),"",(ChemData!B271))</f>
        <v/>
      </c>
      <c r="D271" s="502"/>
      <c r="E271" s="503"/>
      <c r="F271" s="289" t="str">
        <f>IF(TRUE=ISBLANK(ChemData!E271),"",(ChemData!E271))</f>
        <v/>
      </c>
      <c r="G271" s="291" t="str">
        <f>IF(TRUE=ISBLANK(ChemData!L271),"",(ChemData!L271))</f>
        <v>NA</v>
      </c>
      <c r="H271" s="462"/>
      <c r="I271" s="461" t="str">
        <f>IF(Start!$C$19="x",IF(OR(C271="",C271="NA"),"",IF(OR(F271="",F271="NA"),"No Ref",(IF((C271*100/Data!$D$10)&gt;(F271*100/Data!$D$60),"Exceeded","OK")))),"---")</f>
        <v>---</v>
      </c>
      <c r="J271" s="377" t="str">
        <f>IF(Start!$C$19="x",IF(OR(C271="",C271="NA"),"",IF(OR(G271="",G271="NA"),"No Criteria",(IF(C271&gt;(G271*Data!$D$10/100),"Exceeded","OK")))),"---")</f>
        <v>---</v>
      </c>
      <c r="K271" s="462"/>
      <c r="L271" s="286" t="str">
        <f>IF(Start!$C$19="x",IF(C271="","NA",IF(F271="","No Ref", (IF(F271 = 0, "NA", ((C271*100/Data!$D$10)/(F271*100/Data!$D$60)))))),"Not Req.")</f>
        <v>Not Req.</v>
      </c>
      <c r="M271" s="285" t="str">
        <f>IF(Start!$C$19="x",IF(C271="","NA",IF(OR(G271="",G271="NA"),"No Criteria",(IF(G271 = 0, "NA", (C271/(G271*Data!$D$10/100)))))),"Not Req.")</f>
        <v>Not Req.</v>
      </c>
    </row>
    <row r="272" spans="1:13" s="10" customFormat="1" x14ac:dyDescent="0.25">
      <c r="A272" s="405" t="s">
        <v>590</v>
      </c>
      <c r="B272" s="456" t="str">
        <f>IF(Start!$C$19="x",IF(AND(H272="",I272="",J272=""),"",(IF(H272="OK","No",(IF(H272="Exceeded",(IF(J272="OK","No",(IF(J272="Exceeded","Needed",(IF(J272="No Criteria","No Criteria","Missing Data")))))),(IF(I272="OK","No",(IF(J272="OK","No",(IF(J272="Exceeded","Needed",(IF(J272="No Criteria","No Criteria","Missing Data"))))))))))))),"---")</f>
        <v>---</v>
      </c>
      <c r="C272" s="457" t="str">
        <f>IF(TRUE=ISBLANK(ChemData!B272),"",(ChemData!B272))</f>
        <v/>
      </c>
      <c r="D272" s="502"/>
      <c r="E272" s="503"/>
      <c r="F272" s="289" t="str">
        <f>IF(TRUE=ISBLANK(ChemData!E272),"",(ChemData!E272))</f>
        <v/>
      </c>
      <c r="G272" s="291" t="str">
        <f>IF(TRUE=ISBLANK(ChemData!L272),"",(ChemData!L272))</f>
        <v>NA</v>
      </c>
      <c r="H272" s="462"/>
      <c r="I272" s="461" t="str">
        <f>IF(Start!$C$19="x",IF(OR(C272="",C272="NA"),"",IF(OR(F272="",F272="NA"),"No Ref",(IF((C272*100/Data!$D$10)&gt;(F272*100/Data!$D$60),"Exceeded","OK")))),"---")</f>
        <v>---</v>
      </c>
      <c r="J272" s="377" t="str">
        <f>IF(Start!$C$19="x",IF(OR(C272="",C272="NA"),"",IF(OR(G272="",G272="NA"),"No Criteria",(IF(C272&gt;(G272*Data!$D$10/100),"Exceeded","OK")))),"---")</f>
        <v>---</v>
      </c>
      <c r="K272" s="462"/>
      <c r="L272" s="286" t="str">
        <f>IF(Start!$C$19="x",IF(C272="","NA",IF(F272="","No Ref", (IF(F272 = 0, "NA", ((C272*100/Data!$D$10)/(F272*100/Data!$D$60)))))),"Not Req.")</f>
        <v>Not Req.</v>
      </c>
      <c r="M272" s="285" t="str">
        <f>IF(Start!$C$19="x",IF(C272="","NA",IF(OR(G272="",G272="NA"),"No Criteria",(IF(G272 = 0, "NA", (C272/(G272*Data!$D$10/100)))))),"Not Req.")</f>
        <v>Not Req.</v>
      </c>
    </row>
    <row r="273" spans="1:13" s="10" customFormat="1" x14ac:dyDescent="0.25">
      <c r="A273" s="405" t="s">
        <v>591</v>
      </c>
      <c r="B273" s="456" t="str">
        <f>IF(Start!$C$19="x",IF(AND(H273="",I273="",J273=""),"",(IF(H273="OK","No",(IF(H273="Exceeded",(IF(J273="OK","No",(IF(J273="Exceeded","Needed",(IF(J273="No Criteria","No Criteria","Missing Data")))))),(IF(I273="OK","No",(IF(J273="OK","No",(IF(J273="Exceeded","Needed",(IF(J273="No Criteria","No Criteria","Missing Data"))))))))))))),"---")</f>
        <v>---</v>
      </c>
      <c r="C273" s="457" t="str">
        <f>IF(TRUE=ISBLANK(ChemData!B273),"",(ChemData!B273))</f>
        <v/>
      </c>
      <c r="D273" s="502"/>
      <c r="E273" s="503"/>
      <c r="F273" s="289" t="str">
        <f>IF(TRUE=ISBLANK(ChemData!E273),"",(ChemData!E273))</f>
        <v/>
      </c>
      <c r="G273" s="291" t="str">
        <f>IF(TRUE=ISBLANK(ChemData!L273),"",(ChemData!L273))</f>
        <v>NA</v>
      </c>
      <c r="H273" s="462"/>
      <c r="I273" s="461" t="str">
        <f>IF(Start!$C$19="x",IF(OR(C273="",C273="NA"),"",IF(OR(F273="",F273="NA"),"No Ref",(IF((C273*100/Data!$D$10)&gt;(F273*100/Data!$D$60),"Exceeded","OK")))),"---")</f>
        <v>---</v>
      </c>
      <c r="J273" s="377" t="str">
        <f>IF(Start!$C$19="x",IF(OR(C273="",C273="NA"),"",IF(OR(G273="",G273="NA"),"No Criteria",(IF(C273&gt;(G273*Data!$D$10/100),"Exceeded","OK")))),"---")</f>
        <v>---</v>
      </c>
      <c r="K273" s="462"/>
      <c r="L273" s="286" t="str">
        <f>IF(Start!$C$19="x",IF(C273="","NA",IF(F273="","No Ref", (IF(F273 = 0, "NA", ((C273*100/Data!$D$10)/(F273*100/Data!$D$60)))))),"Not Req.")</f>
        <v>Not Req.</v>
      </c>
      <c r="M273" s="285" t="str">
        <f>IF(Start!$C$19="x",IF(C273="","NA",IF(OR(G273="",G273="NA"),"No Criteria",(IF(G273 = 0, "NA", (C273/(G273*Data!$D$10/100)))))),"Not Req.")</f>
        <v>Not Req.</v>
      </c>
    </row>
    <row r="274" spans="1:13" s="10" customFormat="1" x14ac:dyDescent="0.25">
      <c r="A274" s="405" t="s">
        <v>592</v>
      </c>
      <c r="B274" s="456" t="str">
        <f>IF(Start!$C$19="x",IF(AND(H274="",I274="",J274=""),"",(IF(H274="OK","No",(IF(H274="Exceeded",(IF(J274="OK","No",(IF(J274="Exceeded","Needed",(IF(J274="No Criteria","No Criteria","Missing Data")))))),(IF(I274="OK","No",(IF(J274="OK","No",(IF(J274="Exceeded","Needed",(IF(J274="No Criteria","No Criteria","Missing Data"))))))))))))),"---")</f>
        <v>---</v>
      </c>
      <c r="C274" s="457" t="str">
        <f>IF(TRUE=ISBLANK(ChemData!B274),"",(ChemData!B274))</f>
        <v/>
      </c>
      <c r="D274" s="502"/>
      <c r="E274" s="503"/>
      <c r="F274" s="289" t="str">
        <f>IF(TRUE=ISBLANK(ChemData!E274),"",(ChemData!E274))</f>
        <v/>
      </c>
      <c r="G274" s="291" t="str">
        <f>IF(TRUE=ISBLANK(ChemData!L274),"",(ChemData!L274))</f>
        <v>NA</v>
      </c>
      <c r="H274" s="462"/>
      <c r="I274" s="461" t="str">
        <f>IF(Start!$C$19="x",IF(OR(C274="",C274="NA"),"",IF(OR(F274="",F274="NA"),"No Ref",(IF((C274*100/Data!$D$10)&gt;(F274*100/Data!$D$60),"Exceeded","OK")))),"---")</f>
        <v>---</v>
      </c>
      <c r="J274" s="377" t="str">
        <f>IF(Start!$C$19="x",IF(OR(C274="",C274="NA"),"",IF(OR(G274="",G274="NA"),"No Criteria",(IF(C274&gt;(G274*Data!$D$10/100),"Exceeded","OK")))),"---")</f>
        <v>---</v>
      </c>
      <c r="K274" s="462"/>
      <c r="L274" s="286" t="str">
        <f>IF(Start!$C$19="x",IF(C274="","NA",IF(F274="","No Ref", (IF(F274 = 0, "NA", ((C274*100/Data!$D$10)/(F274*100/Data!$D$60)))))),"Not Req.")</f>
        <v>Not Req.</v>
      </c>
      <c r="M274" s="285" t="str">
        <f>IF(Start!$C$19="x",IF(C274="","NA",IF(OR(G274="",G274="NA"),"No Criteria",(IF(G274 = 0, "NA", (C274/(G274*Data!$D$10/100)))))),"Not Req.")</f>
        <v>Not Req.</v>
      </c>
    </row>
    <row r="275" spans="1:13" s="10" customFormat="1" ht="13.8" thickBot="1" x14ac:dyDescent="0.3">
      <c r="A275" s="407" t="s">
        <v>593</v>
      </c>
      <c r="B275" s="872" t="str">
        <f>IF(Start!$C$19="x",IF(AND(H275="",I275="",J275=""),"",(IF(H275="OK","No",(IF(H275="Exceeded",(IF(J275="OK","No",(IF(J275="Exceeded","Needed",(IF(J275="No Criteria","No Criteria","Missing Data")))))),(IF(I275="OK","No",(IF(J275="OK","No",(IF(J275="Exceeded","Needed",(IF(J275="No Criteria","No Criteria","Missing Data"))))))))))))),"---")</f>
        <v>---</v>
      </c>
      <c r="C275" s="463" t="str">
        <f>IF(TRUE=ISBLANK(ChemData!B275),"",(ChemData!B275))</f>
        <v/>
      </c>
      <c r="D275" s="502"/>
      <c r="E275" s="503"/>
      <c r="F275" s="296" t="str">
        <f>IF(TRUE=ISBLANK(ChemData!E275),"",(ChemData!E275))</f>
        <v/>
      </c>
      <c r="G275" s="291" t="str">
        <f>IF(TRUE=ISBLANK(ChemData!L275),"",(ChemData!L275))</f>
        <v>NA</v>
      </c>
      <c r="H275" s="462"/>
      <c r="I275" s="461" t="str">
        <f>IF(Start!$C$19="x",IF(OR(C275="",C275="NA"),"",IF(OR(F275="",F275="NA"),"No Ref",(IF((C275*100/Data!$D$10)&gt;(F275*100/Data!$D$60),"Exceeded","OK")))),"---")</f>
        <v>---</v>
      </c>
      <c r="J275" s="377" t="str">
        <f>IF(Start!$C$19="x",IF(OR(C275="",C275="NA"),"",IF(OR(G275="",G275="NA"),"No Criteria",(IF(C275&gt;(G275*Data!$D$10/100),"Exceeded","OK")))),"---")</f>
        <v>---</v>
      </c>
      <c r="K275" s="462"/>
      <c r="L275" s="286" t="str">
        <f>IF(Start!$C$19="x",IF(C275="","NA",IF(F275="","No Ref", (IF(F275 = 0, "NA", ((C275*100/Data!$D$10)/(F275*100/Data!$D$60)))))),"Not Req.")</f>
        <v>Not Req.</v>
      </c>
      <c r="M275" s="285" t="str">
        <f>IF(Start!$C$19="x",IF(C275="","NA",IF(OR(G275="",G275="NA"),"No Criteria",(IF(G275 = 0, "NA", (C275/(G275*Data!$D$10/100)))))),"Not Req.")</f>
        <v>Not Req.</v>
      </c>
    </row>
    <row r="276" spans="1:13" s="10" customFormat="1" x14ac:dyDescent="0.25">
      <c r="A276" s="505" t="s">
        <v>594</v>
      </c>
      <c r="B276" s="545"/>
      <c r="C276" s="545"/>
      <c r="D276" s="547"/>
      <c r="E276" s="548"/>
      <c r="F276" s="511"/>
      <c r="G276" s="513"/>
      <c r="H276" s="543"/>
      <c r="I276" s="511"/>
      <c r="J276" s="513"/>
      <c r="K276" s="543"/>
      <c r="L276" s="511"/>
      <c r="M276" s="513"/>
    </row>
    <row r="277" spans="1:13" s="10" customFormat="1" x14ac:dyDescent="0.25">
      <c r="A277" s="405" t="s">
        <v>595</v>
      </c>
      <c r="B277" s="456" t="str">
        <f>IF(Start!$C$19="x",IF(AND(H277="",I277="",J277=""),"",(IF(H277="OK","No",(IF(H277="Exceeded",(IF(J277="OK","No",(IF(J277="Exceeded","Needed",(IF(J277="No Criteria","No Criteria","Missing Data")))))),(IF(I277="OK","No",(IF(J277="OK","No",(IF(J277="Exceeded","Needed",(IF(J277="No Criteria","No Criteria","Missing Data"))))))))))))),"---")</f>
        <v>---</v>
      </c>
      <c r="C277" s="457" t="str">
        <f>IF(TRUE=ISBLANK(ChemData!B277),"",(ChemData!B277))</f>
        <v/>
      </c>
      <c r="D277" s="502"/>
      <c r="E277" s="503"/>
      <c r="F277" s="289" t="str">
        <f>IF(TRUE=ISBLANK(ChemData!E277),"",(ChemData!E277))</f>
        <v/>
      </c>
      <c r="G277" s="291" t="str">
        <f>IF(TRUE=ISBLANK(ChemData!L277),"",(ChemData!L277))</f>
        <v>NA</v>
      </c>
      <c r="H277" s="462"/>
      <c r="I277" s="461" t="str">
        <f>IF(Start!$C$19="x",IF(OR(C277="",C277="NA"),"",IF(OR(F277="",F277="NA"),"No Ref",(IF((C277*100/Data!$D$10)&gt;(F277*100/Data!$D$60),"Exceeded","OK")))),"---")</f>
        <v>---</v>
      </c>
      <c r="J277" s="377" t="str">
        <f>IF(Start!$C$19="x",IF(OR(C277="",C277="NA"),"",IF(OR(G277="",G277="NA"),"No Criteria",(IF(C277&gt;(G277*Data!$D$10/100),"Exceeded","OK")))),"---")</f>
        <v>---</v>
      </c>
      <c r="K277" s="462"/>
      <c r="L277" s="286" t="str">
        <f>IF(Start!$C$19="x",IF(C277="","NA",IF(F277="","No Ref", (IF(F277 = 0, "NA", ((C277*100/Data!$D$10)/(F277*100/Data!$D$60)))))),"Not Req.")</f>
        <v>Not Req.</v>
      </c>
      <c r="M277" s="285" t="str">
        <f>IF(Start!$C$19="x",IF(C277="","NA",IF(OR(G277="",G277="NA"),"No Criteria",(IF(G277 = 0, "NA", (C277/(G277*Data!$D$10/100)))))),"Not Req.")</f>
        <v>Not Req.</v>
      </c>
    </row>
    <row r="278" spans="1:13" s="10" customFormat="1" x14ac:dyDescent="0.25">
      <c r="A278" s="405" t="s">
        <v>596</v>
      </c>
      <c r="B278" s="456" t="str">
        <f>IF(Start!$C$19="x",IF(AND(H278="",I278="",J278=""),"",(IF(H278="OK","No",(IF(H278="Exceeded",(IF(J278="OK","No",(IF(J278="Exceeded","Needed",(IF(J278="No Criteria","No Criteria","Missing Data")))))),(IF(I278="OK","No",(IF(J278="OK","No",(IF(J278="Exceeded","Needed",(IF(J278="No Criteria","No Criteria","Missing Data"))))))))))))),"---")</f>
        <v>---</v>
      </c>
      <c r="C278" s="457" t="str">
        <f>IF(TRUE=ISBLANK(ChemData!B278),"",(ChemData!B278))</f>
        <v/>
      </c>
      <c r="D278" s="502"/>
      <c r="E278" s="503"/>
      <c r="F278" s="289" t="str">
        <f>IF(TRUE=ISBLANK(ChemData!E278),"",(ChemData!E278))</f>
        <v/>
      </c>
      <c r="G278" s="291" t="str">
        <f>IF(TRUE=ISBLANK(ChemData!L278),"",(ChemData!L278))</f>
        <v>NA</v>
      </c>
      <c r="H278" s="462"/>
      <c r="I278" s="461" t="str">
        <f>IF(Start!$C$19="x",IF(OR(C278="",C278="NA"),"",IF(OR(F278="",F278="NA"),"No Ref",(IF((C278*100/Data!$D$10)&gt;(F278*100/Data!$D$60),"Exceeded","OK")))),"---")</f>
        <v>---</v>
      </c>
      <c r="J278" s="377" t="str">
        <f>IF(Start!$C$19="x",IF(OR(C278="",C278="NA"),"",IF(OR(G278="",G278="NA"),"No Criteria",(IF(C278&gt;(G278*Data!$D$10/100),"Exceeded","OK")))),"---")</f>
        <v>---</v>
      </c>
      <c r="K278" s="462"/>
      <c r="L278" s="286" t="str">
        <f>IF(Start!$C$19="x",IF(C278="","NA",IF(F278="","No Ref", (IF(F278 = 0, "NA", ((C278*100/Data!$D$10)/(F278*100/Data!$D$60)))))),"Not Req.")</f>
        <v>Not Req.</v>
      </c>
      <c r="M278" s="285" t="str">
        <f>IF(Start!$C$19="x",IF(C278="","NA",IF(OR(G278="",G278="NA"),"No Criteria",(IF(G278 = 0, "NA", (C278/(G278*Data!$D$10/100)))))),"Not Req.")</f>
        <v>Not Req.</v>
      </c>
    </row>
    <row r="279" spans="1:13" s="10" customFormat="1" x14ac:dyDescent="0.25">
      <c r="A279" s="405" t="s">
        <v>597</v>
      </c>
      <c r="B279" s="456" t="str">
        <f>IF(Start!$C$19="x",IF(AND(H279="",I279="",J279=""),"",(IF(H279="OK","No",(IF(H279="Exceeded",(IF(J279="OK","No",(IF(J279="Exceeded","Needed",(IF(J279="No Criteria","No Criteria","Missing Data")))))),(IF(I279="OK","No",(IF(J279="OK","No",(IF(J279="Exceeded","Needed",(IF(J279="No Criteria","No Criteria","Missing Data"))))))))))))),"---")</f>
        <v>---</v>
      </c>
      <c r="C279" s="457" t="str">
        <f>IF(TRUE=ISBLANK(ChemData!B279),"",(ChemData!B279))</f>
        <v/>
      </c>
      <c r="D279" s="502"/>
      <c r="E279" s="503"/>
      <c r="F279" s="289" t="str">
        <f>IF(TRUE=ISBLANK(ChemData!E279),"",(ChemData!E279))</f>
        <v/>
      </c>
      <c r="G279" s="291" t="str">
        <f>IF(TRUE=ISBLANK(ChemData!L279),"",(ChemData!L279))</f>
        <v>NA</v>
      </c>
      <c r="H279" s="462"/>
      <c r="I279" s="461" t="str">
        <f>IF(Start!$C$19="x",IF(OR(C279="",C279="NA"),"",IF(OR(F279="",F279="NA"),"No Ref",(IF((C279*100/Data!$D$10)&gt;(F279*100/Data!$D$60),"Exceeded","OK")))),"---")</f>
        <v>---</v>
      </c>
      <c r="J279" s="377" t="str">
        <f>IF(Start!$C$19="x",IF(OR(C279="",C279="NA"),"",IF(OR(G279="",G279="NA"),"No Criteria",(IF(C279&gt;(G279*Data!$D$10/100),"Exceeded","OK")))),"---")</f>
        <v>---</v>
      </c>
      <c r="K279" s="462"/>
      <c r="L279" s="286" t="str">
        <f>IF(Start!$C$19="x",IF(C279="","NA",IF(F279="","No Ref", (IF(F279 = 0, "NA", ((C279*100/Data!$D$10)/(F279*100/Data!$D$60)))))),"Not Req.")</f>
        <v>Not Req.</v>
      </c>
      <c r="M279" s="285" t="str">
        <f>IF(Start!$C$19="x",IF(C279="","NA",IF(OR(G279="",G279="NA"),"No Criteria",(IF(G279 = 0, "NA", (C279/(G279*Data!$D$10/100)))))),"Not Req.")</f>
        <v>Not Req.</v>
      </c>
    </row>
    <row r="280" spans="1:13" s="10" customFormat="1" x14ac:dyDescent="0.25">
      <c r="A280" s="405" t="s">
        <v>598</v>
      </c>
      <c r="B280" s="456" t="str">
        <f>IF(Start!$C$19="x",IF(AND(H280="",I280="",J280=""),"",(IF(H280="OK","No",(IF(H280="Exceeded",(IF(J280="OK","No",(IF(J280="Exceeded","Needed",(IF(J280="No Criteria","No Criteria","Missing Data")))))),(IF(I280="OK","No",(IF(J280="OK","No",(IF(J280="Exceeded","Needed",(IF(J280="No Criteria","No Criteria","Missing Data"))))))))))))),"---")</f>
        <v>---</v>
      </c>
      <c r="C280" s="457" t="str">
        <f>IF(TRUE=ISBLANK(ChemData!B280),"",(ChemData!B280))</f>
        <v/>
      </c>
      <c r="D280" s="502"/>
      <c r="E280" s="503"/>
      <c r="F280" s="289" t="str">
        <f>IF(TRUE=ISBLANK(ChemData!E280),"",(ChemData!E280))</f>
        <v/>
      </c>
      <c r="G280" s="291" t="str">
        <f>IF(TRUE=ISBLANK(ChemData!L280),"",(ChemData!L280))</f>
        <v>NA</v>
      </c>
      <c r="H280" s="462"/>
      <c r="I280" s="461" t="str">
        <f>IF(Start!$C$19="x",IF(OR(C280="",C280="NA"),"",IF(OR(F280="",F280="NA"),"No Ref",(IF((C280*100/Data!$D$10)&gt;(F280*100/Data!$D$60),"Exceeded","OK")))),"---")</f>
        <v>---</v>
      </c>
      <c r="J280" s="377" t="str">
        <f>IF(Start!$C$19="x",IF(OR(C280="",C280="NA"),"",IF(OR(G280="",G280="NA"),"No Criteria",(IF(C280&gt;(G280*Data!$D$10/100),"Exceeded","OK")))),"---")</f>
        <v>---</v>
      </c>
      <c r="K280" s="462"/>
      <c r="L280" s="286" t="str">
        <f>IF(Start!$C$19="x",IF(C280="","NA",IF(F280="","No Ref", (IF(F280 = 0, "NA", ((C280*100/Data!$D$10)/(F280*100/Data!$D$60)))))),"Not Req.")</f>
        <v>Not Req.</v>
      </c>
      <c r="M280" s="285" t="str">
        <f>IF(Start!$C$19="x",IF(C280="","NA",IF(OR(G280="",G280="NA"),"No Criteria",(IF(G280 = 0, "NA", (C280/(G280*Data!$D$10/100)))))),"Not Req.")</f>
        <v>Not Req.</v>
      </c>
    </row>
    <row r="281" spans="1:13" s="10" customFormat="1" x14ac:dyDescent="0.25">
      <c r="A281" s="405" t="s">
        <v>599</v>
      </c>
      <c r="B281" s="456" t="str">
        <f>IF(Start!$C$19="x",IF(AND(H281="",I281="",J281=""),"",(IF(H281="OK","No",(IF(H281="Exceeded",(IF(J281="OK","No",(IF(J281="Exceeded","Needed",(IF(J281="No Criteria","No Criteria","Missing Data")))))),(IF(I281="OK","No",(IF(J281="OK","No",(IF(J281="Exceeded","Needed",(IF(J281="No Criteria","No Criteria","Missing Data"))))))))))))),"---")</f>
        <v>---</v>
      </c>
      <c r="C281" s="457" t="str">
        <f>IF(TRUE=ISBLANK(ChemData!B281),"",(ChemData!B281))</f>
        <v/>
      </c>
      <c r="D281" s="502"/>
      <c r="E281" s="503"/>
      <c r="F281" s="289" t="str">
        <f>IF(TRUE=ISBLANK(ChemData!E281),"",(ChemData!E281))</f>
        <v/>
      </c>
      <c r="G281" s="291" t="str">
        <f>IF(TRUE=ISBLANK(ChemData!L281),"",(ChemData!L281))</f>
        <v>NA</v>
      </c>
      <c r="H281" s="462"/>
      <c r="I281" s="461" t="str">
        <f>IF(Start!$C$19="x",IF(OR(C281="",C281="NA"),"",IF(OR(F281="",F281="NA"),"No Ref",(IF((C281*100/Data!$D$10)&gt;(F281*100/Data!$D$60),"Exceeded","OK")))),"---")</f>
        <v>---</v>
      </c>
      <c r="J281" s="377" t="str">
        <f>IF(Start!$C$19="x",IF(OR(C281="",C281="NA"),"",IF(OR(G281="",G281="NA"),"No Criteria",(IF(C281&gt;(G281*Data!$D$10/100),"Exceeded","OK")))),"---")</f>
        <v>---</v>
      </c>
      <c r="K281" s="462"/>
      <c r="L281" s="286" t="str">
        <f>IF(Start!$C$19="x",IF(C281="","NA",IF(F281="","No Ref", (IF(F281 = 0, "NA", ((C281*100/Data!$D$10)/(F281*100/Data!$D$60)))))),"Not Req.")</f>
        <v>Not Req.</v>
      </c>
      <c r="M281" s="285" t="str">
        <f>IF(Start!$C$19="x",IF(C281="","NA",IF(OR(G281="",G281="NA"),"No Criteria",(IF(G281 = 0, "NA", (C281/(G281*Data!$D$10/100)))))),"Not Req.")</f>
        <v>Not Req.</v>
      </c>
    </row>
    <row r="282" spans="1:13" s="10" customFormat="1" x14ac:dyDescent="0.25">
      <c r="A282" s="405" t="s">
        <v>600</v>
      </c>
      <c r="B282" s="456" t="str">
        <f>IF(Start!$C$19="x",IF(AND(H282="",I282="",J282=""),"",(IF(H282="OK","No",(IF(H282="Exceeded",(IF(J282="OK","No",(IF(J282="Exceeded","Needed",(IF(J282="No Criteria","No Criteria","Missing Data")))))),(IF(I282="OK","No",(IF(J282="OK","No",(IF(J282="Exceeded","Needed",(IF(J282="No Criteria","No Criteria","Missing Data"))))))))))))),"---")</f>
        <v>---</v>
      </c>
      <c r="C282" s="457" t="str">
        <f>IF(TRUE=ISBLANK(ChemData!B282),"",(ChemData!B282))</f>
        <v/>
      </c>
      <c r="D282" s="502"/>
      <c r="E282" s="503"/>
      <c r="F282" s="289" t="str">
        <f>IF(TRUE=ISBLANK(ChemData!E282),"",(ChemData!E282))</f>
        <v/>
      </c>
      <c r="G282" s="291" t="str">
        <f>IF(TRUE=ISBLANK(ChemData!L282),"",(ChemData!L282))</f>
        <v>NA</v>
      </c>
      <c r="H282" s="462"/>
      <c r="I282" s="461" t="str">
        <f>IF(Start!$C$19="x",IF(OR(C282="",C282="NA"),"",IF(OR(F282="",F282="NA"),"No Ref",(IF((C282*100/Data!$D$10)&gt;(F282*100/Data!$D$60),"Exceeded","OK")))),"---")</f>
        <v>---</v>
      </c>
      <c r="J282" s="377" t="str">
        <f>IF(Start!$C$19="x",IF(OR(C282="",C282="NA"),"",IF(OR(G282="",G282="NA"),"No Criteria",(IF(C282&gt;(G282*Data!$D$10/100),"Exceeded","OK")))),"---")</f>
        <v>---</v>
      </c>
      <c r="K282" s="462"/>
      <c r="L282" s="286" t="str">
        <f>IF(Start!$C$19="x",IF(C282="","NA",IF(F282="","No Ref", (IF(F282 = 0, "NA", ((C282*100/Data!$D$10)/(F282*100/Data!$D$60)))))),"Not Req.")</f>
        <v>Not Req.</v>
      </c>
      <c r="M282" s="285" t="str">
        <f>IF(Start!$C$19="x",IF(C282="","NA",IF(OR(G282="",G282="NA"),"No Criteria",(IF(G282 = 0, "NA", (C282/(G282*Data!$D$10/100)))))),"Not Req.")</f>
        <v>Not Req.</v>
      </c>
    </row>
    <row r="283" spans="1:13" s="10" customFormat="1" x14ac:dyDescent="0.25">
      <c r="A283" s="405" t="s">
        <v>601</v>
      </c>
      <c r="B283" s="456" t="str">
        <f>IF(Start!$C$19="x",IF(AND(H283="",I283="",J283=""),"",(IF(H283="OK","No",(IF(H283="Exceeded",(IF(J283="OK","No",(IF(J283="Exceeded","Needed",(IF(J283="No Criteria","No Criteria","Missing Data")))))),(IF(I283="OK","No",(IF(J283="OK","No",(IF(J283="Exceeded","Needed",(IF(J283="No Criteria","No Criteria","Missing Data"))))))))))))),"---")</f>
        <v>---</v>
      </c>
      <c r="C283" s="457" t="str">
        <f>IF(TRUE=ISBLANK(ChemData!B283),"",(ChemData!B283))</f>
        <v/>
      </c>
      <c r="D283" s="502"/>
      <c r="E283" s="503"/>
      <c r="F283" s="289" t="str">
        <f>IF(TRUE=ISBLANK(ChemData!E283),"",(ChemData!E283))</f>
        <v/>
      </c>
      <c r="G283" s="291" t="str">
        <f>IF(TRUE=ISBLANK(ChemData!L283),"",(ChemData!L283))</f>
        <v>NA</v>
      </c>
      <c r="H283" s="462"/>
      <c r="I283" s="461" t="str">
        <f>IF(Start!$C$19="x",IF(OR(C283="",C283="NA"),"",IF(OR(F283="",F283="NA"),"No Ref",(IF((C283*100/Data!$D$10)&gt;(F283*100/Data!$D$60),"Exceeded","OK")))),"---")</f>
        <v>---</v>
      </c>
      <c r="J283" s="377" t="str">
        <f>IF(Start!$C$19="x",IF(OR(C283="",C283="NA"),"",IF(OR(G283="",G283="NA"),"No Criteria",(IF(C283&gt;(G283*Data!$D$10/100),"Exceeded","OK")))),"---")</f>
        <v>---</v>
      </c>
      <c r="K283" s="462"/>
      <c r="L283" s="286" t="str">
        <f>IF(Start!$C$19="x",IF(C283="","NA",IF(F283="","No Ref", (IF(F283 = 0, "NA", ((C283*100/Data!$D$10)/(F283*100/Data!$D$60)))))),"Not Req.")</f>
        <v>Not Req.</v>
      </c>
      <c r="M283" s="285" t="str">
        <f>IF(Start!$C$19="x",IF(C283="","NA",IF(OR(G283="",G283="NA"),"No Criteria",(IF(G283 = 0, "NA", (C283/(G283*Data!$D$10/100)))))),"Not Req.")</f>
        <v>Not Req.</v>
      </c>
    </row>
    <row r="284" spans="1:13" s="10" customFormat="1" x14ac:dyDescent="0.25">
      <c r="A284" s="405" t="s">
        <v>602</v>
      </c>
      <c r="B284" s="456" t="str">
        <f>IF(Start!$C$19="x",IF(AND(H284="",I284="",J284=""),"",(IF(H284="OK","No",(IF(H284="Exceeded",(IF(J284="OK","No",(IF(J284="Exceeded","Needed",(IF(J284="No Criteria","No Criteria","Missing Data")))))),(IF(I284="OK","No",(IF(J284="OK","No",(IF(J284="Exceeded","Needed",(IF(J284="No Criteria","No Criteria","Missing Data"))))))))))))),"---")</f>
        <v>---</v>
      </c>
      <c r="C284" s="457" t="str">
        <f>IF(TRUE=ISBLANK(ChemData!B284),"",(ChemData!B284))</f>
        <v/>
      </c>
      <c r="D284" s="502"/>
      <c r="E284" s="503"/>
      <c r="F284" s="289" t="str">
        <f>IF(TRUE=ISBLANK(ChemData!E284),"",(ChemData!E284))</f>
        <v/>
      </c>
      <c r="G284" s="291" t="str">
        <f>IF(TRUE=ISBLANK(ChemData!L284),"",(ChemData!L284))</f>
        <v>NA</v>
      </c>
      <c r="H284" s="462"/>
      <c r="I284" s="461" t="str">
        <f>IF(Start!$C$19="x",IF(OR(C284="",C284="NA"),"",IF(OR(F284="",F284="NA"),"No Ref",(IF((C284*100/Data!$D$10)&gt;(F284*100/Data!$D$60),"Exceeded","OK")))),"---")</f>
        <v>---</v>
      </c>
      <c r="J284" s="377" t="str">
        <f>IF(Start!$C$19="x",IF(OR(C284="",C284="NA"),"",IF(OR(G284="",G284="NA"),"No Criteria",(IF(C284&gt;(G284*Data!$D$10/100),"Exceeded","OK")))),"---")</f>
        <v>---</v>
      </c>
      <c r="K284" s="462"/>
      <c r="L284" s="286" t="str">
        <f>IF(Start!$C$19="x",IF(C284="","NA",IF(F284="","No Ref", (IF(F284 = 0, "NA", ((C284*100/Data!$D$10)/(F284*100/Data!$D$60)))))),"Not Req.")</f>
        <v>Not Req.</v>
      </c>
      <c r="M284" s="285" t="str">
        <f>IF(Start!$C$19="x",IF(C284="","NA",IF(OR(G284="",G284="NA"),"No Criteria",(IF(G284 = 0, "NA", (C284/(G284*Data!$D$10/100)))))),"Not Req.")</f>
        <v>Not Req.</v>
      </c>
    </row>
    <row r="285" spans="1:13" s="10" customFormat="1" x14ac:dyDescent="0.25">
      <c r="A285" s="405" t="s">
        <v>603</v>
      </c>
      <c r="B285" s="456" t="str">
        <f>IF(Start!$C$19="x",IF(AND(H285="",I285="",J285=""),"",(IF(H285="OK","No",(IF(H285="Exceeded",(IF(J285="OK","No",(IF(J285="Exceeded","Needed",(IF(J285="No Criteria","No Criteria","Missing Data")))))),(IF(I285="OK","No",(IF(J285="OK","No",(IF(J285="Exceeded","Needed",(IF(J285="No Criteria","No Criteria","Missing Data"))))))))))))),"---")</f>
        <v>---</v>
      </c>
      <c r="C285" s="457" t="str">
        <f>IF(TRUE=ISBLANK(ChemData!B285),"",(ChemData!B285))</f>
        <v/>
      </c>
      <c r="D285" s="502"/>
      <c r="E285" s="503"/>
      <c r="F285" s="289" t="str">
        <f>IF(TRUE=ISBLANK(ChemData!E285),"",(ChemData!E285))</f>
        <v/>
      </c>
      <c r="G285" s="291" t="str">
        <f>IF(TRUE=ISBLANK(ChemData!L285),"",(ChemData!L285))</f>
        <v>NA</v>
      </c>
      <c r="H285" s="462"/>
      <c r="I285" s="461" t="str">
        <f>IF(Start!$C$19="x",IF(OR(C285="",C285="NA"),"",IF(OR(F285="",F285="NA"),"No Ref",(IF((C285*100/Data!$D$10)&gt;(F285*100/Data!$D$60),"Exceeded","OK")))),"---")</f>
        <v>---</v>
      </c>
      <c r="J285" s="377" t="str">
        <f>IF(Start!$C$19="x",IF(OR(C285="",C285="NA"),"",IF(OR(G285="",G285="NA"),"No Criteria",(IF(C285&gt;(G285*Data!$D$10/100),"Exceeded","OK")))),"---")</f>
        <v>---</v>
      </c>
      <c r="K285" s="462"/>
      <c r="L285" s="286" t="str">
        <f>IF(Start!$C$19="x",IF(C285="","NA",IF(F285="","No Ref", (IF(F285 = 0, "NA", ((C285*100/Data!$D$10)/(F285*100/Data!$D$60)))))),"Not Req.")</f>
        <v>Not Req.</v>
      </c>
      <c r="M285" s="285" t="str">
        <f>IF(Start!$C$19="x",IF(C285="","NA",IF(OR(G285="",G285="NA"),"No Criteria",(IF(G285 = 0, "NA", (C285/(G285*Data!$D$10/100)))))),"Not Req.")</f>
        <v>Not Req.</v>
      </c>
    </row>
    <row r="286" spans="1:13" s="10" customFormat="1" x14ac:dyDescent="0.25">
      <c r="A286" s="405" t="s">
        <v>604</v>
      </c>
      <c r="B286" s="456" t="str">
        <f>IF(Start!$C$19="x",IF(AND(H286="",I286="",J286=""),"",(IF(H286="OK","No",(IF(H286="Exceeded",(IF(J286="OK","No",(IF(J286="Exceeded","Needed",(IF(J286="No Criteria","No Criteria","Missing Data")))))),(IF(I286="OK","No",(IF(J286="OK","No",(IF(J286="Exceeded","Needed",(IF(J286="No Criteria","No Criteria","Missing Data"))))))))))))),"---")</f>
        <v>---</v>
      </c>
      <c r="C286" s="457" t="str">
        <f>IF(TRUE=ISBLANK(ChemData!B286),"",(ChemData!B286))</f>
        <v/>
      </c>
      <c r="D286" s="502"/>
      <c r="E286" s="503"/>
      <c r="F286" s="289" t="str">
        <f>IF(TRUE=ISBLANK(ChemData!E286),"",(ChemData!E286))</f>
        <v/>
      </c>
      <c r="G286" s="291" t="str">
        <f>IF(TRUE=ISBLANK(ChemData!L286),"",(ChemData!L286))</f>
        <v>NA</v>
      </c>
      <c r="H286" s="462"/>
      <c r="I286" s="461" t="str">
        <f>IF(Start!$C$19="x",IF(OR(C286="",C286="NA"),"",IF(OR(F286="",F286="NA"),"No Ref",(IF((C286*100/Data!$D$10)&gt;(F286*100/Data!$D$60),"Exceeded","OK")))),"---")</f>
        <v>---</v>
      </c>
      <c r="J286" s="377" t="str">
        <f>IF(Start!$C$19="x",IF(OR(C286="",C286="NA"),"",IF(OR(G286="",G286="NA"),"No Criteria",(IF(C286&gt;(G286*Data!$D$10/100),"Exceeded","OK")))),"---")</f>
        <v>---</v>
      </c>
      <c r="K286" s="462"/>
      <c r="L286" s="286" t="str">
        <f>IF(Start!$C$19="x",IF(C286="","NA",IF(F286="","No Ref", (IF(F286 = 0, "NA", ((C286*100/Data!$D$10)/(F286*100/Data!$D$60)))))),"Not Req.")</f>
        <v>Not Req.</v>
      </c>
      <c r="M286" s="285" t="str">
        <f>IF(Start!$C$19="x",IF(C286="","NA",IF(OR(G286="",G286="NA"),"No Criteria",(IF(G286 = 0, "NA", (C286/(G286*Data!$D$10/100)))))),"Not Req.")</f>
        <v>Not Req.</v>
      </c>
    </row>
    <row r="287" spans="1:13" s="10" customFormat="1" x14ac:dyDescent="0.25">
      <c r="A287" s="405" t="s">
        <v>605</v>
      </c>
      <c r="B287" s="456" t="str">
        <f>IF(Start!$C$19="x",IF(AND(H287="",I287="",J287=""),"",(IF(H287="OK","No",(IF(H287="Exceeded",(IF(J287="OK","No",(IF(J287="Exceeded","Needed",(IF(J287="No Criteria","No Criteria","Missing Data")))))),(IF(I287="OK","No",(IF(J287="OK","No",(IF(J287="Exceeded","Needed",(IF(J287="No Criteria","No Criteria","Missing Data"))))))))))))),"---")</f>
        <v>---</v>
      </c>
      <c r="C287" s="457" t="str">
        <f>IF(TRUE=ISBLANK(ChemData!B287),"",(ChemData!B287))</f>
        <v/>
      </c>
      <c r="D287" s="502"/>
      <c r="E287" s="503"/>
      <c r="F287" s="289" t="str">
        <f>IF(TRUE=ISBLANK(ChemData!E287),"",(ChemData!E287))</f>
        <v/>
      </c>
      <c r="G287" s="291" t="str">
        <f>IF(TRUE=ISBLANK(ChemData!L287),"",(ChemData!L287))</f>
        <v>NA</v>
      </c>
      <c r="H287" s="462"/>
      <c r="I287" s="461" t="str">
        <f>IF(Start!$C$19="x",IF(OR(C287="",C287="NA"),"",IF(OR(F287="",F287="NA"),"No Ref",(IF((C287*100/Data!$D$10)&gt;(F287*100/Data!$D$60),"Exceeded","OK")))),"---")</f>
        <v>---</v>
      </c>
      <c r="J287" s="377" t="str">
        <f>IF(Start!$C$19="x",IF(OR(C287="",C287="NA"),"",IF(OR(G287="",G287="NA"),"No Criteria",(IF(C287&gt;(G287*Data!$D$10/100),"Exceeded","OK")))),"---")</f>
        <v>---</v>
      </c>
      <c r="K287" s="462"/>
      <c r="L287" s="286" t="str">
        <f>IF(Start!$C$19="x",IF(C287="","NA",IF(F287="","No Ref", (IF(F287 = 0, "NA", ((C287*100/Data!$D$10)/(F287*100/Data!$D$60)))))),"Not Req.")</f>
        <v>Not Req.</v>
      </c>
      <c r="M287" s="285" t="str">
        <f>IF(Start!$C$19="x",IF(C287="","NA",IF(OR(G287="",G287="NA"),"No Criteria",(IF(G287 = 0, "NA", (C287/(G287*Data!$D$10/100)))))),"Not Req.")</f>
        <v>Not Req.</v>
      </c>
    </row>
    <row r="288" spans="1:13" s="10" customFormat="1" x14ac:dyDescent="0.25">
      <c r="A288" s="405" t="s">
        <v>606</v>
      </c>
      <c r="B288" s="456" t="str">
        <f>IF(Start!$C$19="x",IF(AND(H288="",I288="",J288=""),"",(IF(H288="OK","No",(IF(H288="Exceeded",(IF(J288="OK","No",(IF(J288="Exceeded","Needed",(IF(J288="No Criteria","No Criteria","Missing Data")))))),(IF(I288="OK","No",(IF(J288="OK","No",(IF(J288="Exceeded","Needed",(IF(J288="No Criteria","No Criteria","Missing Data"))))))))))))),"---")</f>
        <v>---</v>
      </c>
      <c r="C288" s="457" t="str">
        <f>IF(TRUE=ISBLANK(ChemData!B288),"",(ChemData!B288))</f>
        <v/>
      </c>
      <c r="D288" s="502"/>
      <c r="E288" s="503"/>
      <c r="F288" s="289" t="str">
        <f>IF(TRUE=ISBLANK(ChemData!E288),"",(ChemData!E288))</f>
        <v/>
      </c>
      <c r="G288" s="291" t="str">
        <f>IF(TRUE=ISBLANK(ChemData!L288),"",(ChemData!L288))</f>
        <v>NA</v>
      </c>
      <c r="H288" s="462"/>
      <c r="I288" s="461" t="str">
        <f>IF(Start!$C$19="x",IF(OR(C288="",C288="NA"),"",IF(OR(F288="",F288="NA"),"No Ref",(IF((C288*100/Data!$D$10)&gt;(F288*100/Data!$D$60),"Exceeded","OK")))),"---")</f>
        <v>---</v>
      </c>
      <c r="J288" s="377" t="str">
        <f>IF(Start!$C$19="x",IF(OR(C288="",C288="NA"),"",IF(OR(G288="",G288="NA"),"No Criteria",(IF(C288&gt;(G288*Data!$D$10/100),"Exceeded","OK")))),"---")</f>
        <v>---</v>
      </c>
      <c r="K288" s="462"/>
      <c r="L288" s="286" t="str">
        <f>IF(Start!$C$19="x",IF(C288="","NA",IF(F288="","No Ref", (IF(F288 = 0, "NA", ((C288*100/Data!$D$10)/(F288*100/Data!$D$60)))))),"Not Req.")</f>
        <v>Not Req.</v>
      </c>
      <c r="M288" s="285" t="str">
        <f>IF(Start!$C$19="x",IF(C288="","NA",IF(OR(G288="",G288="NA"),"No Criteria",(IF(G288 = 0, "NA", (C288/(G288*Data!$D$10/100)))))),"Not Req.")</f>
        <v>Not Req.</v>
      </c>
    </row>
    <row r="289" spans="1:13" s="10" customFormat="1" x14ac:dyDescent="0.25">
      <c r="A289" s="405" t="s">
        <v>607</v>
      </c>
      <c r="B289" s="456" t="str">
        <f>IF(Start!$C$19="x",IF(AND(H289="",I289="",J289=""),"",(IF(H289="OK","No",(IF(H289="Exceeded",(IF(J289="OK","No",(IF(J289="Exceeded","Needed",(IF(J289="No Criteria","No Criteria","Missing Data")))))),(IF(I289="OK","No",(IF(J289="OK","No",(IF(J289="Exceeded","Needed",(IF(J289="No Criteria","No Criteria","Missing Data"))))))))))))),"---")</f>
        <v>---</v>
      </c>
      <c r="C289" s="457" t="str">
        <f>IF(TRUE=ISBLANK(ChemData!B289),"",(ChemData!B289))</f>
        <v/>
      </c>
      <c r="D289" s="502"/>
      <c r="E289" s="503"/>
      <c r="F289" s="289" t="str">
        <f>IF(TRUE=ISBLANK(ChemData!E289),"",(ChemData!E289))</f>
        <v/>
      </c>
      <c r="G289" s="291" t="str">
        <f>IF(TRUE=ISBLANK(ChemData!L289),"",(ChemData!L289))</f>
        <v>NA</v>
      </c>
      <c r="H289" s="462"/>
      <c r="I289" s="461" t="str">
        <f>IF(Start!$C$19="x",IF(OR(C289="",C289="NA"),"",IF(OR(F289="",F289="NA"),"No Ref",(IF((C289*100/Data!$D$10)&gt;(F289*100/Data!$D$60),"Exceeded","OK")))),"---")</f>
        <v>---</v>
      </c>
      <c r="J289" s="377" t="str">
        <f>IF(Start!$C$19="x",IF(OR(C289="",C289="NA"),"",IF(OR(G289="",G289="NA"),"No Criteria",(IF(C289&gt;(G289*Data!$D$10/100),"Exceeded","OK")))),"---")</f>
        <v>---</v>
      </c>
      <c r="K289" s="462"/>
      <c r="L289" s="286" t="str">
        <f>IF(Start!$C$19="x",IF(C289="","NA",IF(F289="","No Ref", (IF(F289 = 0, "NA", ((C289*100/Data!$D$10)/(F289*100/Data!$D$60)))))),"Not Req.")</f>
        <v>Not Req.</v>
      </c>
      <c r="M289" s="285" t="str">
        <f>IF(Start!$C$19="x",IF(C289="","NA",IF(OR(G289="",G289="NA"),"No Criteria",(IF(G289 = 0, "NA", (C289/(G289*Data!$D$10/100)))))),"Not Req.")</f>
        <v>Not Req.</v>
      </c>
    </row>
    <row r="290" spans="1:13" s="10" customFormat="1" x14ac:dyDescent="0.25">
      <c r="A290" s="405" t="s">
        <v>608</v>
      </c>
      <c r="B290" s="456" t="str">
        <f>IF(Start!$C$19="x",IF(AND(H290="",I290="",J290=""),"",(IF(H290="OK","No",(IF(H290="Exceeded",(IF(J290="OK","No",(IF(J290="Exceeded","Needed",(IF(J290="No Criteria","No Criteria","Missing Data")))))),(IF(I290="OK","No",(IF(J290="OK","No",(IF(J290="Exceeded","Needed",(IF(J290="No Criteria","No Criteria","Missing Data"))))))))))))),"---")</f>
        <v>---</v>
      </c>
      <c r="C290" s="457" t="str">
        <f>IF(TRUE=ISBLANK(ChemData!B290),"",(ChemData!B290))</f>
        <v/>
      </c>
      <c r="D290" s="502"/>
      <c r="E290" s="503"/>
      <c r="F290" s="289" t="str">
        <f>IF(TRUE=ISBLANK(ChemData!E290),"",(ChemData!E290))</f>
        <v/>
      </c>
      <c r="G290" s="291" t="str">
        <f>IF(TRUE=ISBLANK(ChemData!L290),"",(ChemData!L290))</f>
        <v>NA</v>
      </c>
      <c r="H290" s="462"/>
      <c r="I290" s="461" t="str">
        <f>IF(Start!$C$19="x",IF(OR(C290="",C290="NA"),"",IF(OR(F290="",F290="NA"),"No Ref",(IF((C290*100/Data!$D$10)&gt;(F290*100/Data!$D$60),"Exceeded","OK")))),"---")</f>
        <v>---</v>
      </c>
      <c r="J290" s="377" t="str">
        <f>IF(Start!$C$19="x",IF(OR(C290="",C290="NA"),"",IF(OR(G290="",G290="NA"),"No Criteria",(IF(C290&gt;(G290*Data!$D$10/100),"Exceeded","OK")))),"---")</f>
        <v>---</v>
      </c>
      <c r="K290" s="462"/>
      <c r="L290" s="286" t="str">
        <f>IF(Start!$C$19="x",IF(C290="","NA",IF(F290="","No Ref", (IF(F290 = 0, "NA", ((C290*100/Data!$D$10)/(F290*100/Data!$D$60)))))),"Not Req.")</f>
        <v>Not Req.</v>
      </c>
      <c r="M290" s="285" t="str">
        <f>IF(Start!$C$19="x",IF(C290="","NA",IF(OR(G290="",G290="NA"),"No Criteria",(IF(G290 = 0, "NA", (C290/(G290*Data!$D$10/100)))))),"Not Req.")</f>
        <v>Not Req.</v>
      </c>
    </row>
    <row r="291" spans="1:13" s="10" customFormat="1" x14ac:dyDescent="0.25">
      <c r="A291" s="405" t="s">
        <v>609</v>
      </c>
      <c r="B291" s="456" t="str">
        <f>IF(Start!$C$19="x",IF(AND(H291="",I291="",J291=""),"",(IF(H291="OK","No",(IF(H291="Exceeded",(IF(J291="OK","No",(IF(J291="Exceeded","Needed",(IF(J291="No Criteria","No Criteria","Missing Data")))))),(IF(I291="OK","No",(IF(J291="OK","No",(IF(J291="Exceeded","Needed",(IF(J291="No Criteria","No Criteria","Missing Data"))))))))))))),"---")</f>
        <v>---</v>
      </c>
      <c r="C291" s="457" t="str">
        <f>IF(TRUE=ISBLANK(ChemData!B291),"",(ChemData!B291))</f>
        <v/>
      </c>
      <c r="D291" s="502"/>
      <c r="E291" s="503"/>
      <c r="F291" s="289" t="str">
        <f>IF(TRUE=ISBLANK(ChemData!E291),"",(ChemData!E291))</f>
        <v/>
      </c>
      <c r="G291" s="291" t="str">
        <f>IF(TRUE=ISBLANK(ChemData!L291),"",(ChemData!L291))</f>
        <v>NA</v>
      </c>
      <c r="H291" s="462"/>
      <c r="I291" s="461" t="str">
        <f>IF(Start!$C$19="x",IF(OR(C291="",C291="NA"),"",IF(OR(F291="",F291="NA"),"No Ref",(IF((C291*100/Data!$D$10)&gt;(F291*100/Data!$D$60),"Exceeded","OK")))),"---")</f>
        <v>---</v>
      </c>
      <c r="J291" s="377" t="str">
        <f>IF(Start!$C$19="x",IF(OR(C291="",C291="NA"),"",IF(OR(G291="",G291="NA"),"No Criteria",(IF(C291&gt;(G291*Data!$D$10/100),"Exceeded","OK")))),"---")</f>
        <v>---</v>
      </c>
      <c r="K291" s="462"/>
      <c r="L291" s="286" t="str">
        <f>IF(Start!$C$19="x",IF(C291="","NA",IF(F291="","No Ref", (IF(F291 = 0, "NA", ((C291*100/Data!$D$10)/(F291*100/Data!$D$60)))))),"Not Req.")</f>
        <v>Not Req.</v>
      </c>
      <c r="M291" s="285" t="str">
        <f>IF(Start!$C$19="x",IF(C291="","NA",IF(OR(G291="",G291="NA"),"No Criteria",(IF(G291 = 0, "NA", (C291/(G291*Data!$D$10/100)))))),"Not Req.")</f>
        <v>Not Req.</v>
      </c>
    </row>
    <row r="292" spans="1:13" s="10" customFormat="1" x14ac:dyDescent="0.25">
      <c r="A292" s="405" t="s">
        <v>610</v>
      </c>
      <c r="B292" s="456" t="str">
        <f>IF(Start!$C$19="x",IF(AND(H292="",I292="",J292=""),"",(IF(H292="OK","No",(IF(H292="Exceeded",(IF(J292="OK","No",(IF(J292="Exceeded","Needed",(IF(J292="No Criteria","No Criteria","Missing Data")))))),(IF(I292="OK","No",(IF(J292="OK","No",(IF(J292="Exceeded","Needed",(IF(J292="No Criteria","No Criteria","Missing Data"))))))))))))),"---")</f>
        <v>---</v>
      </c>
      <c r="C292" s="457" t="str">
        <f>IF(TRUE=ISBLANK(ChemData!B292),"",(ChemData!B292))</f>
        <v/>
      </c>
      <c r="D292" s="502"/>
      <c r="E292" s="503"/>
      <c r="F292" s="289" t="str">
        <f>IF(TRUE=ISBLANK(ChemData!E292),"",(ChemData!E292))</f>
        <v/>
      </c>
      <c r="G292" s="291" t="str">
        <f>IF(TRUE=ISBLANK(ChemData!L292),"",(ChemData!L292))</f>
        <v>NA</v>
      </c>
      <c r="H292" s="462"/>
      <c r="I292" s="461" t="str">
        <f>IF(Start!$C$19="x",IF(OR(C292="",C292="NA"),"",IF(OR(F292="",F292="NA"),"No Ref",(IF((C292*100/Data!$D$10)&gt;(F292*100/Data!$D$60),"Exceeded","OK")))),"---")</f>
        <v>---</v>
      </c>
      <c r="J292" s="377" t="str">
        <f>IF(Start!$C$19="x",IF(OR(C292="",C292="NA"),"",IF(OR(G292="",G292="NA"),"No Criteria",(IF(C292&gt;(G292*Data!$D$10/100),"Exceeded","OK")))),"---")</f>
        <v>---</v>
      </c>
      <c r="K292" s="462"/>
      <c r="L292" s="286" t="str">
        <f>IF(Start!$C$19="x",IF(C292="","NA",IF(F292="","No Ref", (IF(F292 = 0, "NA", ((C292*100/Data!$D$10)/(F292*100/Data!$D$60)))))),"Not Req.")</f>
        <v>Not Req.</v>
      </c>
      <c r="M292" s="285" t="str">
        <f>IF(Start!$C$19="x",IF(C292="","NA",IF(OR(G292="",G292="NA"),"No Criteria",(IF(G292 = 0, "NA", (C292/(G292*Data!$D$10/100)))))),"Not Req.")</f>
        <v>Not Req.</v>
      </c>
    </row>
    <row r="293" spans="1:13" s="10" customFormat="1" x14ac:dyDescent="0.25">
      <c r="A293" s="405" t="s">
        <v>611</v>
      </c>
      <c r="B293" s="456" t="str">
        <f>IF(Start!$C$19="x",IF(AND(H293="",I293="",J293=""),"",(IF(H293="OK","No",(IF(H293="Exceeded",(IF(J293="OK","No",(IF(J293="Exceeded","Needed",(IF(J293="No Criteria","No Criteria","Missing Data")))))),(IF(I293="OK","No",(IF(J293="OK","No",(IF(J293="Exceeded","Needed",(IF(J293="No Criteria","No Criteria","Missing Data"))))))))))))),"---")</f>
        <v>---</v>
      </c>
      <c r="C293" s="457" t="str">
        <f>IF(TRUE=ISBLANK(ChemData!B293),"",(ChemData!B293))</f>
        <v/>
      </c>
      <c r="D293" s="502"/>
      <c r="E293" s="503"/>
      <c r="F293" s="289" t="str">
        <f>IF(TRUE=ISBLANK(ChemData!E293),"",(ChemData!E293))</f>
        <v/>
      </c>
      <c r="G293" s="291" t="str">
        <f>IF(TRUE=ISBLANK(ChemData!L293),"",(ChemData!L293))</f>
        <v>NA</v>
      </c>
      <c r="H293" s="462"/>
      <c r="I293" s="461" t="str">
        <f>IF(Start!$C$19="x",IF(OR(C293="",C293="NA"),"",IF(OR(F293="",F293="NA"),"No Ref",(IF((C293*100/Data!$D$10)&gt;(F293*100/Data!$D$60),"Exceeded","OK")))),"---")</f>
        <v>---</v>
      </c>
      <c r="J293" s="377" t="str">
        <f>IF(Start!$C$19="x",IF(OR(C293="",C293="NA"),"",IF(OR(G293="",G293="NA"),"No Criteria",(IF(C293&gt;(G293*Data!$D$10/100),"Exceeded","OK")))),"---")</f>
        <v>---</v>
      </c>
      <c r="K293" s="462"/>
      <c r="L293" s="286" t="str">
        <f>IF(Start!$C$19="x",IF(C293="","NA",IF(F293="","No Ref", (IF(F293 = 0, "NA", ((C293*100/Data!$D$10)/(F293*100/Data!$D$60)))))),"Not Req.")</f>
        <v>Not Req.</v>
      </c>
      <c r="M293" s="285" t="str">
        <f>IF(Start!$C$19="x",IF(C293="","NA",IF(OR(G293="",G293="NA"),"No Criteria",(IF(G293 = 0, "NA", (C293/(G293*Data!$D$10/100)))))),"Not Req.")</f>
        <v>Not Req.</v>
      </c>
    </row>
    <row r="294" spans="1:13" s="10" customFormat="1" x14ac:dyDescent="0.25">
      <c r="A294" s="405" t="s">
        <v>612</v>
      </c>
      <c r="B294" s="456" t="str">
        <f>IF(Start!$C$19="x",IF(AND(H294="",I294="",J294=""),"",(IF(H294="OK","No",(IF(H294="Exceeded",(IF(J294="OK","No",(IF(J294="Exceeded","Needed",(IF(J294="No Criteria","No Criteria","Missing Data")))))),(IF(I294="OK","No",(IF(J294="OK","No",(IF(J294="Exceeded","Needed",(IF(J294="No Criteria","No Criteria","Missing Data"))))))))))))),"---")</f>
        <v>---</v>
      </c>
      <c r="C294" s="457" t="str">
        <f>IF(TRUE=ISBLANK(ChemData!B294),"",(ChemData!B294))</f>
        <v/>
      </c>
      <c r="D294" s="502"/>
      <c r="E294" s="503"/>
      <c r="F294" s="289" t="str">
        <f>IF(TRUE=ISBLANK(ChemData!E294),"",(ChemData!E294))</f>
        <v/>
      </c>
      <c r="G294" s="291" t="str">
        <f>IF(TRUE=ISBLANK(ChemData!L294),"",(ChemData!L294))</f>
        <v>NA</v>
      </c>
      <c r="H294" s="462"/>
      <c r="I294" s="461" t="str">
        <f>IF(Start!$C$19="x",IF(OR(C294="",C294="NA"),"",IF(OR(F294="",F294="NA"),"No Ref",(IF((C294*100/Data!$D$10)&gt;(F294*100/Data!$D$60),"Exceeded","OK")))),"---")</f>
        <v>---</v>
      </c>
      <c r="J294" s="377" t="str">
        <f>IF(Start!$C$19="x",IF(OR(C294="",C294="NA"),"",IF(OR(G294="",G294="NA"),"No Criteria",(IF(C294&gt;(G294*Data!$D$10/100),"Exceeded","OK")))),"---")</f>
        <v>---</v>
      </c>
      <c r="K294" s="462"/>
      <c r="L294" s="286" t="str">
        <f>IF(Start!$C$19="x",IF(C294="","NA",IF(F294="","No Ref", (IF(F294 = 0, "NA", ((C294*100/Data!$D$10)/(F294*100/Data!$D$60)))))),"Not Req.")</f>
        <v>Not Req.</v>
      </c>
      <c r="M294" s="285" t="str">
        <f>IF(Start!$C$19="x",IF(C294="","NA",IF(OR(G294="",G294="NA"),"No Criteria",(IF(G294 = 0, "NA", (C294/(G294*Data!$D$10/100)))))),"Not Req.")</f>
        <v>Not Req.</v>
      </c>
    </row>
    <row r="295" spans="1:13" s="10" customFormat="1" x14ac:dyDescent="0.25">
      <c r="A295" s="405" t="s">
        <v>613</v>
      </c>
      <c r="B295" s="456" t="str">
        <f>IF(Start!$C$19="x",IF(AND(H295="",I295="",J295=""),"",(IF(H295="OK","No",(IF(H295="Exceeded",(IF(J295="OK","No",(IF(J295="Exceeded","Needed",(IF(J295="No Criteria","No Criteria","Missing Data")))))),(IF(I295="OK","No",(IF(J295="OK","No",(IF(J295="Exceeded","Needed",(IF(J295="No Criteria","No Criteria","Missing Data"))))))))))))),"---")</f>
        <v>---</v>
      </c>
      <c r="C295" s="457" t="str">
        <f>IF(TRUE=ISBLANK(ChemData!B295),"",(ChemData!B295))</f>
        <v/>
      </c>
      <c r="D295" s="502"/>
      <c r="E295" s="503"/>
      <c r="F295" s="289" t="str">
        <f>IF(TRUE=ISBLANK(ChemData!E295),"",(ChemData!E295))</f>
        <v/>
      </c>
      <c r="G295" s="291" t="str">
        <f>IF(TRUE=ISBLANK(ChemData!L295),"",(ChemData!L295))</f>
        <v>NA</v>
      </c>
      <c r="H295" s="462"/>
      <c r="I295" s="461" t="str">
        <f>IF(Start!$C$19="x",IF(OR(C295="",C295="NA"),"",IF(OR(F295="",F295="NA"),"No Ref",(IF((C295*100/Data!$D$10)&gt;(F295*100/Data!$D$60),"Exceeded","OK")))),"---")</f>
        <v>---</v>
      </c>
      <c r="J295" s="377" t="str">
        <f>IF(Start!$C$19="x",IF(OR(C295="",C295="NA"),"",IF(OR(G295="",G295="NA"),"No Criteria",(IF(C295&gt;(G295*Data!$D$10/100),"Exceeded","OK")))),"---")</f>
        <v>---</v>
      </c>
      <c r="K295" s="462"/>
      <c r="L295" s="286" t="str">
        <f>IF(Start!$C$19="x",IF(C295="","NA",IF(F295="","No Ref", (IF(F295 = 0, "NA", ((C295*100/Data!$D$10)/(F295*100/Data!$D$60)))))),"Not Req.")</f>
        <v>Not Req.</v>
      </c>
      <c r="M295" s="285" t="str">
        <f>IF(Start!$C$19="x",IF(C295="","NA",IF(OR(G295="",G295="NA"),"No Criteria",(IF(G295 = 0, "NA", (C295/(G295*Data!$D$10/100)))))),"Not Req.")</f>
        <v>Not Req.</v>
      </c>
    </row>
    <row r="296" spans="1:13" s="10" customFormat="1" x14ac:dyDescent="0.25">
      <c r="A296" s="405" t="s">
        <v>614</v>
      </c>
      <c r="B296" s="456" t="str">
        <f>IF(Start!$C$19="x",IF(AND(H296="",I296="",J296=""),"",(IF(H296="OK","No",(IF(H296="Exceeded",(IF(J296="OK","No",(IF(J296="Exceeded","Needed",(IF(J296="No Criteria","No Criteria","Missing Data")))))),(IF(I296="OK","No",(IF(J296="OK","No",(IF(J296="Exceeded","Needed",(IF(J296="No Criteria","No Criteria","Missing Data"))))))))))))),"---")</f>
        <v>---</v>
      </c>
      <c r="C296" s="457" t="str">
        <f>IF(TRUE=ISBLANK(ChemData!B296),"",(ChemData!B296))</f>
        <v/>
      </c>
      <c r="D296" s="502"/>
      <c r="E296" s="503"/>
      <c r="F296" s="289" t="str">
        <f>IF(TRUE=ISBLANK(ChemData!E296),"",(ChemData!E296))</f>
        <v/>
      </c>
      <c r="G296" s="291" t="str">
        <f>IF(TRUE=ISBLANK(ChemData!L296),"",(ChemData!L296))</f>
        <v>NA</v>
      </c>
      <c r="H296" s="462"/>
      <c r="I296" s="461" t="str">
        <f>IF(Start!$C$19="x",IF(OR(C296="",C296="NA"),"",IF(OR(F296="",F296="NA"),"No Ref",(IF((C296*100/Data!$D$10)&gt;(F296*100/Data!$D$60),"Exceeded","OK")))),"---")</f>
        <v>---</v>
      </c>
      <c r="J296" s="377" t="str">
        <f>IF(Start!$C$19="x",IF(OR(C296="",C296="NA"),"",IF(OR(G296="",G296="NA"),"No Criteria",(IF(C296&gt;(G296*Data!$D$10/100),"Exceeded","OK")))),"---")</f>
        <v>---</v>
      </c>
      <c r="K296" s="462"/>
      <c r="L296" s="286" t="str">
        <f>IF(Start!$C$19="x",IF(C296="","NA",IF(F296="","No Ref", (IF(F296 = 0, "NA", ((C296*100/Data!$D$10)/(F296*100/Data!$D$60)))))),"Not Req.")</f>
        <v>Not Req.</v>
      </c>
      <c r="M296" s="285" t="str">
        <f>IF(Start!$C$19="x",IF(C296="","NA",IF(OR(G296="",G296="NA"),"No Criteria",(IF(G296 = 0, "NA", (C296/(G296*Data!$D$10/100)))))),"Not Req.")</f>
        <v>Not Req.</v>
      </c>
    </row>
    <row r="297" spans="1:13" s="10" customFormat="1" x14ac:dyDescent="0.25">
      <c r="A297" s="405" t="s">
        <v>615</v>
      </c>
      <c r="B297" s="456" t="str">
        <f>IF(Start!$C$19="x",IF(AND(H297="",I297="",J297=""),"",(IF(H297="OK","No",(IF(H297="Exceeded",(IF(J297="OK","No",(IF(J297="Exceeded","Needed",(IF(J297="No Criteria","No Criteria","Missing Data")))))),(IF(I297="OK","No",(IF(J297="OK","No",(IF(J297="Exceeded","Needed",(IF(J297="No Criteria","No Criteria","Missing Data"))))))))))))),"---")</f>
        <v>---</v>
      </c>
      <c r="C297" s="457" t="str">
        <f>IF(TRUE=ISBLANK(ChemData!B297),"",(ChemData!B297))</f>
        <v/>
      </c>
      <c r="D297" s="502"/>
      <c r="E297" s="503"/>
      <c r="F297" s="289" t="str">
        <f>IF(TRUE=ISBLANK(ChemData!E297),"",(ChemData!E297))</f>
        <v/>
      </c>
      <c r="G297" s="291" t="str">
        <f>IF(TRUE=ISBLANK(ChemData!L297),"",(ChemData!L297))</f>
        <v>NA</v>
      </c>
      <c r="H297" s="462"/>
      <c r="I297" s="461" t="str">
        <f>IF(Start!$C$19="x",IF(OR(C297="",C297="NA"),"",IF(OR(F297="",F297="NA"),"No Ref",(IF((C297*100/Data!$D$10)&gt;(F297*100/Data!$D$60),"Exceeded","OK")))),"---")</f>
        <v>---</v>
      </c>
      <c r="J297" s="377" t="str">
        <f>IF(Start!$C$19="x",IF(OR(C297="",C297="NA"),"",IF(OR(G297="",G297="NA"),"No Criteria",(IF(C297&gt;(G297*Data!$D$10/100),"Exceeded","OK")))),"---")</f>
        <v>---</v>
      </c>
      <c r="K297" s="462"/>
      <c r="L297" s="286" t="str">
        <f>IF(Start!$C$19="x",IF(C297="","NA",IF(F297="","No Ref", (IF(F297 = 0, "NA", ((C297*100/Data!$D$10)/(F297*100/Data!$D$60)))))),"Not Req.")</f>
        <v>Not Req.</v>
      </c>
      <c r="M297" s="285" t="str">
        <f>IF(Start!$C$19="x",IF(C297="","NA",IF(OR(G297="",G297="NA"),"No Criteria",(IF(G297 = 0, "NA", (C297/(G297*Data!$D$10/100)))))),"Not Req.")</f>
        <v>Not Req.</v>
      </c>
    </row>
    <row r="298" spans="1:13" s="10" customFormat="1" x14ac:dyDescent="0.25">
      <c r="A298" s="405" t="s">
        <v>616</v>
      </c>
      <c r="B298" s="456" t="str">
        <f>IF(Start!$C$19="x",IF(AND(H298="",I298="",J298=""),"",(IF(H298="OK","No",(IF(H298="Exceeded",(IF(J298="OK","No",(IF(J298="Exceeded","Needed",(IF(J298="No Criteria","No Criteria","Missing Data")))))),(IF(I298="OK","No",(IF(J298="OK","No",(IF(J298="Exceeded","Needed",(IF(J298="No Criteria","No Criteria","Missing Data"))))))))))))),"---")</f>
        <v>---</v>
      </c>
      <c r="C298" s="457" t="str">
        <f>IF(TRUE=ISBLANK(ChemData!B298),"",(ChemData!B298))</f>
        <v/>
      </c>
      <c r="D298" s="502"/>
      <c r="E298" s="503"/>
      <c r="F298" s="289" t="str">
        <f>IF(TRUE=ISBLANK(ChemData!E298),"",(ChemData!E298))</f>
        <v/>
      </c>
      <c r="G298" s="291" t="str">
        <f>IF(TRUE=ISBLANK(ChemData!L298),"",(ChemData!L298))</f>
        <v>NA</v>
      </c>
      <c r="H298" s="462"/>
      <c r="I298" s="461" t="str">
        <f>IF(Start!$C$19="x",IF(OR(C298="",C298="NA"),"",IF(OR(F298="",F298="NA"),"No Ref",(IF((C298*100/Data!$D$10)&gt;(F298*100/Data!$D$60),"Exceeded","OK")))),"---")</f>
        <v>---</v>
      </c>
      <c r="J298" s="377" t="str">
        <f>IF(Start!$C$19="x",IF(OR(C298="",C298="NA"),"",IF(OR(G298="",G298="NA"),"No Criteria",(IF(C298&gt;(G298*Data!$D$10/100),"Exceeded","OK")))),"---")</f>
        <v>---</v>
      </c>
      <c r="K298" s="462"/>
      <c r="L298" s="286" t="str">
        <f>IF(Start!$C$19="x",IF(C298="","NA",IF(F298="","No Ref", (IF(F298 = 0, "NA", ((C298*100/Data!$D$10)/(F298*100/Data!$D$60)))))),"Not Req.")</f>
        <v>Not Req.</v>
      </c>
      <c r="M298" s="285" t="str">
        <f>IF(Start!$C$19="x",IF(C298="","NA",IF(OR(G298="",G298="NA"),"No Criteria",(IF(G298 = 0, "NA", (C298/(G298*Data!$D$10/100)))))),"Not Req.")</f>
        <v>Not Req.</v>
      </c>
    </row>
    <row r="299" spans="1:13" s="10" customFormat="1" x14ac:dyDescent="0.25">
      <c r="A299" s="405" t="s">
        <v>617</v>
      </c>
      <c r="B299" s="456" t="str">
        <f>IF(Start!$C$19="x",IF(AND(H299="",I299="",J299=""),"",(IF(H299="OK","No",(IF(H299="Exceeded",(IF(J299="OK","No",(IF(J299="Exceeded","Needed",(IF(J299="No Criteria","No Criteria","Missing Data")))))),(IF(I299="OK","No",(IF(J299="OK","No",(IF(J299="Exceeded","Needed",(IF(J299="No Criteria","No Criteria","Missing Data"))))))))))))),"---")</f>
        <v>---</v>
      </c>
      <c r="C299" s="457" t="str">
        <f>IF(TRUE=ISBLANK(ChemData!B299),"",(ChemData!B299))</f>
        <v/>
      </c>
      <c r="D299" s="502"/>
      <c r="E299" s="503"/>
      <c r="F299" s="289" t="str">
        <f>IF(TRUE=ISBLANK(ChemData!E299),"",(ChemData!E299))</f>
        <v/>
      </c>
      <c r="G299" s="291" t="str">
        <f>IF(TRUE=ISBLANK(ChemData!L299),"",(ChemData!L299))</f>
        <v>NA</v>
      </c>
      <c r="H299" s="462"/>
      <c r="I299" s="461" t="str">
        <f>IF(Start!$C$19="x",IF(OR(C299="",C299="NA"),"",IF(OR(F299="",F299="NA"),"No Ref",(IF((C299*100/Data!$D$10)&gt;(F299*100/Data!$D$60),"Exceeded","OK")))),"---")</f>
        <v>---</v>
      </c>
      <c r="J299" s="377" t="str">
        <f>IF(Start!$C$19="x",IF(OR(C299="",C299="NA"),"",IF(OR(G299="",G299="NA"),"No Criteria",(IF(C299&gt;(G299*Data!$D$10/100),"Exceeded","OK")))),"---")</f>
        <v>---</v>
      </c>
      <c r="K299" s="462"/>
      <c r="L299" s="286" t="str">
        <f>IF(Start!$C$19="x",IF(C299="","NA",IF(F299="","No Ref", (IF(F299 = 0, "NA", ((C299*100/Data!$D$10)/(F299*100/Data!$D$60)))))),"Not Req.")</f>
        <v>Not Req.</v>
      </c>
      <c r="M299" s="285" t="str">
        <f>IF(Start!$C$19="x",IF(C299="","NA",IF(OR(G299="",G299="NA"),"No Criteria",(IF(G299 = 0, "NA", (C299/(G299*Data!$D$10/100)))))),"Not Req.")</f>
        <v>Not Req.</v>
      </c>
    </row>
    <row r="300" spans="1:13" s="10" customFormat="1" x14ac:dyDescent="0.25">
      <c r="A300" s="405" t="s">
        <v>618</v>
      </c>
      <c r="B300" s="456" t="str">
        <f>IF(Start!$C$19="x",IF(AND(H300="",I300="",J300=""),"",(IF(H300="OK","No",(IF(H300="Exceeded",(IF(J300="OK","No",(IF(J300="Exceeded","Needed",(IF(J300="No Criteria","No Criteria","Missing Data")))))),(IF(I300="OK","No",(IF(J300="OK","No",(IF(J300="Exceeded","Needed",(IF(J300="No Criteria","No Criteria","Missing Data"))))))))))))),"---")</f>
        <v>---</v>
      </c>
      <c r="C300" s="457" t="str">
        <f>IF(TRUE=ISBLANK(ChemData!B300),"",(ChemData!B300))</f>
        <v/>
      </c>
      <c r="D300" s="502"/>
      <c r="E300" s="503"/>
      <c r="F300" s="289" t="str">
        <f>IF(TRUE=ISBLANK(ChemData!E300),"",(ChemData!E300))</f>
        <v/>
      </c>
      <c r="G300" s="291" t="str">
        <f>IF(TRUE=ISBLANK(ChemData!L300),"",(ChemData!L300))</f>
        <v>NA</v>
      </c>
      <c r="H300" s="462"/>
      <c r="I300" s="461" t="str">
        <f>IF(Start!$C$19="x",IF(OR(C300="",C300="NA"),"",IF(OR(F300="",F300="NA"),"No Ref",(IF((C300*100/Data!$D$10)&gt;(F300*100/Data!$D$60),"Exceeded","OK")))),"---")</f>
        <v>---</v>
      </c>
      <c r="J300" s="377" t="str">
        <f>IF(Start!$C$19="x",IF(OR(C300="",C300="NA"),"",IF(OR(G300="",G300="NA"),"No Criteria",(IF(C300&gt;(G300*Data!$D$10/100),"Exceeded","OK")))),"---")</f>
        <v>---</v>
      </c>
      <c r="K300" s="462"/>
      <c r="L300" s="286" t="str">
        <f>IF(Start!$C$19="x",IF(C300="","NA",IF(F300="","No Ref", (IF(F300 = 0, "NA", ((C300*100/Data!$D$10)/(F300*100/Data!$D$60)))))),"Not Req.")</f>
        <v>Not Req.</v>
      </c>
      <c r="M300" s="285" t="str">
        <f>IF(Start!$C$19="x",IF(C300="","NA",IF(OR(G300="",G300="NA"),"No Criteria",(IF(G300 = 0, "NA", (C300/(G300*Data!$D$10/100)))))),"Not Req.")</f>
        <v>Not Req.</v>
      </c>
    </row>
    <row r="301" spans="1:13" s="10" customFormat="1" x14ac:dyDescent="0.25">
      <c r="A301" s="405" t="s">
        <v>619</v>
      </c>
      <c r="B301" s="456" t="str">
        <f>IF(Start!$C$19="x",IF(AND(H301="",I301="",J301=""),"",(IF(H301="OK","No",(IF(H301="Exceeded",(IF(J301="OK","No",(IF(J301="Exceeded","Needed",(IF(J301="No Criteria","No Criteria","Missing Data")))))),(IF(I301="OK","No",(IF(J301="OK","No",(IF(J301="Exceeded","Needed",(IF(J301="No Criteria","No Criteria","Missing Data"))))))))))))),"---")</f>
        <v>---</v>
      </c>
      <c r="C301" s="457" t="str">
        <f>IF(TRUE=ISBLANK(ChemData!B301),"",(ChemData!B301))</f>
        <v/>
      </c>
      <c r="D301" s="502"/>
      <c r="E301" s="503"/>
      <c r="F301" s="289" t="str">
        <f>IF(TRUE=ISBLANK(ChemData!E301),"",(ChemData!E301))</f>
        <v/>
      </c>
      <c r="G301" s="291" t="str">
        <f>IF(TRUE=ISBLANK(ChemData!L301),"",(ChemData!L301))</f>
        <v>NA</v>
      </c>
      <c r="H301" s="462"/>
      <c r="I301" s="461" t="str">
        <f>IF(Start!$C$19="x",IF(OR(C301="",C301="NA"),"",IF(OR(F301="",F301="NA"),"No Ref",(IF((C301*100/Data!$D$10)&gt;(F301*100/Data!$D$60),"Exceeded","OK")))),"---")</f>
        <v>---</v>
      </c>
      <c r="J301" s="377" t="str">
        <f>IF(Start!$C$19="x",IF(OR(C301="",C301="NA"),"",IF(OR(G301="",G301="NA"),"No Criteria",(IF(C301&gt;(G301*Data!$D$10/100),"Exceeded","OK")))),"---")</f>
        <v>---</v>
      </c>
      <c r="K301" s="462"/>
      <c r="L301" s="286" t="str">
        <f>IF(Start!$C$19="x",IF(C301="","NA",IF(F301="","No Ref", (IF(F301 = 0, "NA", ((C301*100/Data!$D$10)/(F301*100/Data!$D$60)))))),"Not Req.")</f>
        <v>Not Req.</v>
      </c>
      <c r="M301" s="285" t="str">
        <f>IF(Start!$C$19="x",IF(C301="","NA",IF(OR(G301="",G301="NA"),"No Criteria",(IF(G301 = 0, "NA", (C301/(G301*Data!$D$10/100)))))),"Not Req.")</f>
        <v>Not Req.</v>
      </c>
    </row>
    <row r="302" spans="1:13" s="10" customFormat="1" x14ac:dyDescent="0.25">
      <c r="A302" s="405" t="s">
        <v>620</v>
      </c>
      <c r="B302" s="456" t="str">
        <f>IF(Start!$C$19="x",IF(AND(H302="",I302="",J302=""),"",(IF(H302="OK","No",(IF(H302="Exceeded",(IF(J302="OK","No",(IF(J302="Exceeded","Needed",(IF(J302="No Criteria","No Criteria","Missing Data")))))),(IF(I302="OK","No",(IF(J302="OK","No",(IF(J302="Exceeded","Needed",(IF(J302="No Criteria","No Criteria","Missing Data"))))))))))))),"---")</f>
        <v>---</v>
      </c>
      <c r="C302" s="457" t="str">
        <f>IF(TRUE=ISBLANK(ChemData!B302),"",(ChemData!B302))</f>
        <v/>
      </c>
      <c r="D302" s="502"/>
      <c r="E302" s="503"/>
      <c r="F302" s="289" t="str">
        <f>IF(TRUE=ISBLANK(ChemData!E302),"",(ChemData!E302))</f>
        <v/>
      </c>
      <c r="G302" s="291" t="str">
        <f>IF(TRUE=ISBLANK(ChemData!L302),"",(ChemData!L302))</f>
        <v>NA</v>
      </c>
      <c r="H302" s="462"/>
      <c r="I302" s="461" t="str">
        <f>IF(Start!$C$19="x",IF(OR(C302="",C302="NA"),"",IF(OR(F302="",F302="NA"),"No Ref",(IF((C302*100/Data!$D$10)&gt;(F302*100/Data!$D$60),"Exceeded","OK")))),"---")</f>
        <v>---</v>
      </c>
      <c r="J302" s="377" t="str">
        <f>IF(Start!$C$19="x",IF(OR(C302="",C302="NA"),"",IF(OR(G302="",G302="NA"),"No Criteria",(IF(C302&gt;(G302*Data!$D$10/100),"Exceeded","OK")))),"---")</f>
        <v>---</v>
      </c>
      <c r="K302" s="462"/>
      <c r="L302" s="286" t="str">
        <f>IF(Start!$C$19="x",IF(C302="","NA",IF(F302="","No Ref", (IF(F302 = 0, "NA", ((C302*100/Data!$D$10)/(F302*100/Data!$D$60)))))),"Not Req.")</f>
        <v>Not Req.</v>
      </c>
      <c r="M302" s="285" t="str">
        <f>IF(Start!$C$19="x",IF(C302="","NA",IF(OR(G302="",G302="NA"),"No Criteria",(IF(G302 = 0, "NA", (C302/(G302*Data!$D$10/100)))))),"Not Req.")</f>
        <v>Not Req.</v>
      </c>
    </row>
    <row r="303" spans="1:13" s="10" customFormat="1" x14ac:dyDescent="0.25">
      <c r="A303" s="405" t="s">
        <v>621</v>
      </c>
      <c r="B303" s="456" t="str">
        <f>IF(Start!$C$19="x",IF(AND(H303="",I303="",J303=""),"",(IF(H303="OK","No",(IF(H303="Exceeded",(IF(J303="OK","No",(IF(J303="Exceeded","Needed",(IF(J303="No Criteria","No Criteria","Missing Data")))))),(IF(I303="OK","No",(IF(J303="OK","No",(IF(J303="Exceeded","Needed",(IF(J303="No Criteria","No Criteria","Missing Data"))))))))))))),"---")</f>
        <v>---</v>
      </c>
      <c r="C303" s="457" t="str">
        <f>IF(TRUE=ISBLANK(ChemData!B303),"",(ChemData!B303))</f>
        <v/>
      </c>
      <c r="D303" s="502"/>
      <c r="E303" s="503"/>
      <c r="F303" s="289" t="str">
        <f>IF(TRUE=ISBLANK(ChemData!E303),"",(ChemData!E303))</f>
        <v/>
      </c>
      <c r="G303" s="291">
        <f>IF(TRUE=ISBLANK(ChemData!L303),"",(ChemData!L303))</f>
        <v>15</v>
      </c>
      <c r="H303" s="462"/>
      <c r="I303" s="461" t="str">
        <f>IF(Start!$C$19="x",IF(OR(C303="",C303="NA"),"",IF(OR(F303="",F303="NA"),"No Ref",(IF((C303*100/Data!$D$10)&gt;(F303*100/Data!$D$60),"Exceeded","OK")))),"---")</f>
        <v>---</v>
      </c>
      <c r="J303" s="377" t="str">
        <f>IF(Start!$C$19="x",IF(OR(C303="",C303="NA"),"",IF(OR(G303="",G303="NA"),"No Criteria",(IF(C303&gt;(G303*Data!$D$10/100),"Exceeded","OK")))),"---")</f>
        <v>---</v>
      </c>
      <c r="K303" s="462"/>
      <c r="L303" s="286" t="str">
        <f>IF(Start!$C$19="x",IF(C303="","NA",IF(F303="","No Ref", (IF(F303 = 0, "NA", ((C303*100/Data!$D$10)/(F303*100/Data!$D$60)))))),"Not Req.")</f>
        <v>Not Req.</v>
      </c>
      <c r="M303" s="285" t="str">
        <f>IF(Start!$C$19="x",IF(C303="","NA",IF(OR(G303="",G303="NA"),"No Criteria",(IF(G303 = 0, "NA", (C303/(G303*Data!$D$10/100)))))),"Not Req.")</f>
        <v>Not Req.</v>
      </c>
    </row>
    <row r="304" spans="1:13" s="10" customFormat="1" x14ac:dyDescent="0.25">
      <c r="A304" s="405" t="s">
        <v>622</v>
      </c>
      <c r="B304" s="456" t="str">
        <f>IF(Start!$C$19="x",IF(AND(H304="",I304="",J304=""),"",(IF(H304="OK","No",(IF(H304="Exceeded",(IF(J304="OK","No",(IF(J304="Exceeded","Needed",(IF(J304="No Criteria","No Criteria","Missing Data")))))),(IF(I304="OK","No",(IF(J304="OK","No",(IF(J304="Exceeded","Needed",(IF(J304="No Criteria","No Criteria","Missing Data"))))))))))))),"---")</f>
        <v>---</v>
      </c>
      <c r="C304" s="457" t="str">
        <f>IF(TRUE=ISBLANK(ChemData!B304),"",(ChemData!B304))</f>
        <v/>
      </c>
      <c r="D304" s="502"/>
      <c r="E304" s="503"/>
      <c r="F304" s="289" t="str">
        <f>IF(TRUE=ISBLANK(ChemData!E304),"",(ChemData!E304))</f>
        <v/>
      </c>
      <c r="G304" s="291">
        <f>IF(TRUE=ISBLANK(ChemData!L304),"",(ChemData!L304))</f>
        <v>0.63</v>
      </c>
      <c r="H304" s="462"/>
      <c r="I304" s="461" t="str">
        <f>IF(Start!$C$19="x",IF(OR(C304="",C304="NA"),"",IF(OR(F304="",F304="NA"),"No Ref",(IF((C304*100/Data!$D$10)&gt;(F304*100/Data!$D$60),"Exceeded","OK")))),"---")</f>
        <v>---</v>
      </c>
      <c r="J304" s="377" t="str">
        <f>IF(Start!$C$19="x",IF(OR(C304="",C304="NA"),"",IF(OR(G304="",G304="NA"),"No Criteria",(IF(C304&gt;(G304*Data!$D$10/100),"Exceeded","OK")))),"---")</f>
        <v>---</v>
      </c>
      <c r="K304" s="462"/>
      <c r="L304" s="286" t="str">
        <f>IF(Start!$C$19="x",IF(C304="","NA",IF(F304="","No Ref", (IF(F304 = 0, "NA", ((C304*100/Data!$D$10)/(F304*100/Data!$D$60)))))),"Not Req.")</f>
        <v>Not Req.</v>
      </c>
      <c r="M304" s="285" t="str">
        <f>IF(Start!$C$19="x",IF(C304="","NA",IF(OR(G304="",G304="NA"),"No Criteria",(IF(G304 = 0, "NA", (C304/(G304*Data!$D$10/100)))))),"Not Req.")</f>
        <v>Not Req.</v>
      </c>
    </row>
    <row r="305" spans="1:16" s="10" customFormat="1" x14ac:dyDescent="0.25">
      <c r="A305" s="405" t="s">
        <v>623</v>
      </c>
      <c r="B305" s="456" t="str">
        <f>IF(Start!$C$19="x",IF(AND(H305="",I305="",J305=""),"",(IF(H305="OK","No",(IF(H305="Exceeded",(IF(J305="OK","No",(IF(J305="Exceeded","Needed",(IF(J305="No Criteria","No Criteria","Missing Data")))))),(IF(I305="OK","No",(IF(J305="OK","No",(IF(J305="Exceeded","Needed",(IF(J305="No Criteria","No Criteria","Missing Data"))))))))))))),"---")</f>
        <v>---</v>
      </c>
      <c r="C305" s="457" t="str">
        <f>IF(TRUE=ISBLANK(ChemData!B305),"",(ChemData!B305))</f>
        <v/>
      </c>
      <c r="D305" s="502"/>
      <c r="E305" s="503"/>
      <c r="F305" s="289" t="str">
        <f>IF(TRUE=ISBLANK(ChemData!E305),"",(ChemData!E305))</f>
        <v/>
      </c>
      <c r="G305" s="291">
        <f>IF(TRUE=ISBLANK(ChemData!L305),"",(ChemData!L305))</f>
        <v>0.5</v>
      </c>
      <c r="H305" s="462"/>
      <c r="I305" s="461" t="str">
        <f>IF(Start!$C$19="x",IF(OR(C305="",C305="NA"),"",IF(OR(F305="",F305="NA"),"No Ref",(IF((C305*100/Data!$D$10)&gt;(F305*100/Data!$D$60),"Exceeded","OK")))),"---")</f>
        <v>---</v>
      </c>
      <c r="J305" s="377" t="str">
        <f>IF(Start!$C$19="x",IF(OR(C305="",C305="NA"),"",IF(OR(G305="",G305="NA"),"No Criteria",(IF(C305&gt;(G305*Data!$D$10/100),"Exceeded","OK")))),"---")</f>
        <v>---</v>
      </c>
      <c r="K305" s="462"/>
      <c r="L305" s="286" t="str">
        <f>IF(Start!$C$19="x",IF(C305="","NA",IF(F305="","No Ref", (IF(F305 = 0, "NA", ((C305*100/Data!$D$10)/(F305*100/Data!$D$60)))))),"Not Req.")</f>
        <v>Not Req.</v>
      </c>
      <c r="M305" s="285" t="str">
        <f>IF(Start!$C$19="x",IF(C305="","NA",IF(OR(G305="",G305="NA"),"No Criteria",(IF(G305 = 0, "NA", (C305/(G305*Data!$D$10/100)))))),"Not Req.")</f>
        <v>Not Req.</v>
      </c>
      <c r="P305" s="10" t="s">
        <v>852</v>
      </c>
    </row>
    <row r="306" spans="1:16" s="10" customFormat="1" x14ac:dyDescent="0.25">
      <c r="A306" s="405" t="s">
        <v>624</v>
      </c>
      <c r="B306" s="456" t="str">
        <f>IF(Start!$C$19="x",IF(AND(H306="",I306="",J306=""),"",(IF(H306="OK","No",(IF(H306="Exceeded",(IF(J306="OK","No",(IF(J306="Exceeded","Needed",(IF(J306="No Criteria","No Criteria","Missing Data")))))),(IF(I306="OK","No",(IF(J306="OK","No",(IF(J306="Exceeded","Needed",(IF(J306="No Criteria","No Criteria","Missing Data"))))))))))))),"---")</f>
        <v>---</v>
      </c>
      <c r="C306" s="457" t="str">
        <f>IF(TRUE=ISBLANK(ChemData!B306),"",(ChemData!B306))</f>
        <v/>
      </c>
      <c r="D306" s="502"/>
      <c r="E306" s="503"/>
      <c r="F306" s="289" t="str">
        <f>IF(TRUE=ISBLANK(ChemData!E306),"",(ChemData!E306))</f>
        <v/>
      </c>
      <c r="G306" s="291">
        <f>IF(TRUE=ISBLANK(ChemData!L306),"",(ChemData!L306))</f>
        <v>16</v>
      </c>
      <c r="H306" s="462"/>
      <c r="I306" s="461" t="str">
        <f>IF(Start!$C$19="x",IF(OR(C306="",C306="NA"),"",IF(OR(F306="",F306="NA"),"No Ref",(IF((C306*100/Data!$D$10)&gt;(F306*100/Data!$D$60),"Exceeded","OK")))),"---")</f>
        <v>---</v>
      </c>
      <c r="J306" s="377" t="str">
        <f>IF(Start!$C$19="x",IF(OR(C306="",C306="NA"),"",IF(OR(G306="",G306="NA"),"No Criteria",(IF(C306&gt;(G306*Data!$D$10/100),"Exceeded","OK")))),"---")</f>
        <v>---</v>
      </c>
      <c r="K306" s="462"/>
      <c r="L306" s="286" t="str">
        <f>IF(Start!$C$19="x",IF(C306="","NA",IF(F306="","No Ref", (IF(F306 = 0, "NA", ((C306*100/Data!$D$10)/(F306*100/Data!$D$60)))))),"Not Req.")</f>
        <v>Not Req.</v>
      </c>
      <c r="M306" s="285" t="str">
        <f>IF(Start!$C$19="x",IF(C306="","NA",IF(OR(G306="",G306="NA"),"No Criteria",(IF(G306 = 0, "NA", (C306/(G306*Data!$D$10/100)))))),"Not Req.")</f>
        <v>Not Req.</v>
      </c>
      <c r="P306" s="10" t="s">
        <v>852</v>
      </c>
    </row>
    <row r="307" spans="1:16" s="10" customFormat="1" x14ac:dyDescent="0.25">
      <c r="A307" s="405" t="s">
        <v>625</v>
      </c>
      <c r="B307" s="456" t="str">
        <f>IF(Start!$C$19="x",IF(AND(H307="",I307="",J307=""),"",(IF(H307="OK","No",(IF(H307="Exceeded",(IF(J307="OK","No",(IF(J307="Exceeded","Needed",(IF(J307="No Criteria","No Criteria","Missing Data")))))),(IF(I307="OK","No",(IF(J307="OK","No",(IF(J307="Exceeded","Needed",(IF(J307="No Criteria","No Criteria","Missing Data"))))))))))))),"---")</f>
        <v>---</v>
      </c>
      <c r="C307" s="457" t="str">
        <f>IF(TRUE=ISBLANK(ChemData!B307),"",(ChemData!B307))</f>
        <v/>
      </c>
      <c r="D307" s="502"/>
      <c r="E307" s="503"/>
      <c r="F307" s="289" t="str">
        <f>IF(TRUE=ISBLANK(ChemData!E307),"",(ChemData!E307))</f>
        <v/>
      </c>
      <c r="G307" s="291">
        <f>IF(TRUE=ISBLANK(ChemData!L307),"",(ChemData!L307))</f>
        <v>9.9</v>
      </c>
      <c r="H307" s="462"/>
      <c r="I307" s="461" t="str">
        <f>IF(Start!$C$19="x",IF(OR(C307="",C307="NA"),"",IF(OR(F307="",F307="NA"),"No Ref",(IF((C307*100/Data!$D$10)&gt;(F307*100/Data!$D$60),"Exceeded","OK")))),"---")</f>
        <v>---</v>
      </c>
      <c r="J307" s="377" t="str">
        <f>IF(Start!$C$19="x",IF(OR(C307="",C307="NA"),"",IF(OR(G307="",G307="NA"),"No Criteria",(IF(C307&gt;(G307*Data!$D$10/100),"Exceeded","OK")))),"---")</f>
        <v>---</v>
      </c>
      <c r="K307" s="462"/>
      <c r="L307" s="286" t="str">
        <f>IF(Start!$C$19="x",IF(C307="","NA",IF(F307="","No Ref", (IF(F307 = 0, "NA", ((C307*100/Data!$D$10)/(F307*100/Data!$D$60)))))),"Not Req.")</f>
        <v>Not Req.</v>
      </c>
      <c r="M307" s="285" t="str">
        <f>IF(Start!$C$19="x",IF(C307="","NA",IF(OR(G307="",G307="NA"),"No Criteria",(IF(G307 = 0, "NA", (C307/(G307*Data!$D$10/100)))))),"Not Req.")</f>
        <v>Not Req.</v>
      </c>
      <c r="P307" s="10" t="s">
        <v>852</v>
      </c>
    </row>
    <row r="308" spans="1:16" s="10" customFormat="1" x14ac:dyDescent="0.25">
      <c r="A308" s="405" t="s">
        <v>626</v>
      </c>
      <c r="B308" s="456" t="str">
        <f>IF(Start!$C$19="x",IF(AND(H308="",I308="",J308=""),"",(IF(H308="OK","No",(IF(H308="Exceeded",(IF(J308="OK","No",(IF(J308="Exceeded","Needed",(IF(J308="No Criteria","No Criteria","Missing Data")))))),(IF(I308="OK","No",(IF(J308="OK","No",(IF(J308="Exceeded","Needed",(IF(J308="No Criteria","No Criteria","Missing Data"))))))))))))),"---")</f>
        <v>---</v>
      </c>
      <c r="C308" s="457" t="str">
        <f>IF(TRUE=ISBLANK(ChemData!B308),"",(ChemData!B308))</f>
        <v/>
      </c>
      <c r="D308" s="502"/>
      <c r="E308" s="503"/>
      <c r="F308" s="289" t="str">
        <f>IF(TRUE=ISBLANK(ChemData!E308),"",(ChemData!E308))</f>
        <v/>
      </c>
      <c r="G308" s="291">
        <f>IF(TRUE=ISBLANK(ChemData!L308),"",(ChemData!L308))</f>
        <v>4.4000000000000004</v>
      </c>
      <c r="H308" s="462"/>
      <c r="I308" s="461" t="str">
        <f>IF(Start!$C$19="x",IF(OR(C308="",C308="NA"),"",IF(OR(F308="",F308="NA"),"No Ref",(IF((C308*100/Data!$D$10)&gt;(F308*100/Data!$D$60),"Exceeded","OK")))),"---")</f>
        <v>---</v>
      </c>
      <c r="J308" s="377" t="str">
        <f>IF(Start!$C$19="x",IF(OR(C308="",C308="NA"),"",IF(OR(G308="",G308="NA"),"No Criteria",(IF(C308&gt;(G308*Data!$D$10/100),"Exceeded","OK")))),"---")</f>
        <v>---</v>
      </c>
      <c r="K308" s="462"/>
      <c r="L308" s="286" t="str">
        <f>IF(Start!$C$19="x",IF(C308="","NA",IF(F308="","No Ref", (IF(F308 = 0, "NA", ((C308*100/Data!$D$10)/(F308*100/Data!$D$60)))))),"Not Req.")</f>
        <v>Not Req.</v>
      </c>
      <c r="M308" s="285" t="str">
        <f>IF(Start!$C$19="x",IF(C308="","NA",IF(OR(G308="",G308="NA"),"No Criteria",(IF(G308 = 0, "NA", (C308/(G308*Data!$D$10/100)))))),"Not Req.")</f>
        <v>Not Req.</v>
      </c>
      <c r="P308" s="10" t="s">
        <v>852</v>
      </c>
    </row>
    <row r="309" spans="1:16" s="10" customFormat="1" x14ac:dyDescent="0.25">
      <c r="A309" s="405" t="s">
        <v>627</v>
      </c>
      <c r="B309" s="456" t="str">
        <f>IF(Start!$C$19="x",IF(AND(H309="",I309="",J309=""),"",(IF(H309="OK","No",(IF(H309="Exceeded",(IF(J309="OK","No",(IF(J309="Exceeded","Needed",(IF(J309="No Criteria","No Criteria","Missing Data")))))),(IF(I309="OK","No",(IF(J309="OK","No",(IF(J309="Exceeded","Needed",(IF(J309="No Criteria","No Criteria","Missing Data"))))))))))))),"---")</f>
        <v>---</v>
      </c>
      <c r="C309" s="457" t="str">
        <f>IF(TRUE=ISBLANK(ChemData!B309),"",(ChemData!B309))</f>
        <v/>
      </c>
      <c r="D309" s="502"/>
      <c r="E309" s="503"/>
      <c r="F309" s="289" t="str">
        <f>IF(TRUE=ISBLANK(ChemData!E309),"",(ChemData!E309))</f>
        <v/>
      </c>
      <c r="G309" s="291">
        <f>IF(TRUE=ISBLANK(ChemData!L309),"",(ChemData!L309))</f>
        <v>30</v>
      </c>
      <c r="H309" s="462"/>
      <c r="I309" s="461" t="str">
        <f>IF(Start!$C$19="x",IF(OR(C309="",C309="NA"),"",IF(OR(F309="",F309="NA"),"No Ref",(IF((C309*100/Data!$D$10)&gt;(F309*100/Data!$D$60),"Exceeded","OK")))),"---")</f>
        <v>---</v>
      </c>
      <c r="J309" s="377" t="str">
        <f>IF(Start!$C$19="x",IF(OR(C309="",C309="NA"),"",IF(OR(G309="",G309="NA"),"No Criteria",(IF(C309&gt;(G309*Data!$D$10/100),"Exceeded","OK")))),"---")</f>
        <v>---</v>
      </c>
      <c r="K309" s="462"/>
      <c r="L309" s="286" t="str">
        <f>IF(Start!$C$19="x",IF(C309="","NA",IF(F309="","No Ref", (IF(F309 = 0, "NA", ((C309*100/Data!$D$10)/(F309*100/Data!$D$60)))))),"Not Req.")</f>
        <v>Not Req.</v>
      </c>
      <c r="M309" s="285" t="str">
        <f>IF(Start!$C$19="x",IF(C309="","NA",IF(OR(G309="",G309="NA"),"No Criteria",(IF(G309 = 0, "NA", (C309/(G309*Data!$D$10/100)))))),"Not Req.")</f>
        <v>Not Req.</v>
      </c>
      <c r="P309" s="10" t="s">
        <v>852</v>
      </c>
    </row>
    <row r="310" spans="1:16" s="10" customFormat="1" ht="13.8" thickBot="1" x14ac:dyDescent="0.3">
      <c r="A310" s="408" t="s">
        <v>628</v>
      </c>
      <c r="B310" s="535" t="str">
        <f>IF(Start!$C$19="x",IF(AND(H310="",I310="",J310=""),"",(IF(H310="OK","No",(IF(H310="Exceeded",(IF(J310="OK","No",(IF(J310="Exceeded","Needed",(IF(J310="No Criteria","No Criteria","Missing Data")))))),(IF(I310="OK","No",(IF(J310="OK","No",(IF(J310="Exceeded","Needed",(IF(J310="No Criteria","No Criteria","Missing Data"))))))))))))),"---")</f>
        <v>---</v>
      </c>
      <c r="C310" s="465">
        <f>IF(TRUE=ISBLANK(ChemData!B310),"",(ChemData!B310))</f>
        <v>4.32</v>
      </c>
      <c r="D310" s="549"/>
      <c r="E310" s="550"/>
      <c r="F310" s="303" t="str">
        <f>IF(TRUE=ISBLANK(ChemData!E310),"",(ChemData!E310))</f>
        <v/>
      </c>
      <c r="G310" s="305" t="str">
        <f>IF(TRUE=ISBLANK(ChemData!L310),"",(ChemData!L310))</f>
        <v>NA</v>
      </c>
      <c r="H310" s="551"/>
      <c r="I310" s="552" t="str">
        <f>IF(Start!$C$19="x",IF(OR(C310="",C310="NA"),"",IF(OR(F310="",F310="NA"),"No Ref",(IF((C310*100/Data!$D$10)&gt;(F310*100/Data!$D$60),"Exceeded","OK")))),"---")</f>
        <v>---</v>
      </c>
      <c r="J310" s="517" t="str">
        <f>IF(Start!$C$19="x",IF(OR(C310="",C310="NA"),"",IF(OR(G310="",G310="NA"),"No Criteria",(IF(C310&gt;(G310*Data!$D$10/100),"Exceeded","OK")))),"---")</f>
        <v>---</v>
      </c>
      <c r="K310" s="551"/>
      <c r="L310" s="553" t="str">
        <f>IF(Start!$C$19="x",IF(C310="","NA",IF(F310="","No Ref", (IF(F310 = 0, "NA", ((C310*100/Data!$D$10)/(F310*100/Data!$D$60)))))),"Not Req.")</f>
        <v>Not Req.</v>
      </c>
      <c r="M310" s="300" t="str">
        <f>IF(Start!$C$19="x",IF(C310="","NA",IF(OR(G310="",G310="NA"),"No Criteria",(IF(G310 = 0, "NA", (C310/(G310*Data!$D$10/100)))))),"Not Req.")</f>
        <v>Not Req.</v>
      </c>
      <c r="P310" s="10" t="s">
        <v>852</v>
      </c>
    </row>
    <row r="311" spans="1:16" s="10" customFormat="1" x14ac:dyDescent="0.25">
      <c r="A311" s="4"/>
      <c r="B311" s="4"/>
      <c r="C311" s="4"/>
      <c r="D311" s="4"/>
      <c r="E311" s="4"/>
      <c r="F311" s="4"/>
      <c r="G311" s="4"/>
      <c r="H311" s="4"/>
      <c r="I311" s="4"/>
      <c r="J311" s="4"/>
      <c r="K311" s="4"/>
      <c r="L311" s="4"/>
      <c r="M311" s="4"/>
    </row>
    <row r="312" spans="1:16" s="10" customFormat="1" x14ac:dyDescent="0.25">
      <c r="A312" s="4"/>
      <c r="B312" s="4"/>
      <c r="C312" s="4"/>
      <c r="D312" s="4"/>
      <c r="E312" s="4"/>
      <c r="F312" s="4"/>
      <c r="G312" s="4"/>
      <c r="H312" s="4"/>
      <c r="I312" s="4"/>
      <c r="J312" s="4"/>
      <c r="K312" s="4"/>
      <c r="L312" s="4"/>
      <c r="M312" s="4"/>
    </row>
    <row r="313" spans="1:16" s="10" customFormat="1" x14ac:dyDescent="0.25">
      <c r="A313" s="4"/>
      <c r="B313" s="4"/>
      <c r="C313" s="4"/>
      <c r="D313" s="4"/>
      <c r="E313" s="4"/>
      <c r="F313" s="4"/>
      <c r="G313" s="4"/>
      <c r="H313" s="4"/>
      <c r="I313" s="58"/>
      <c r="J313" s="4"/>
      <c r="K313" s="4"/>
      <c r="L313" s="4"/>
      <c r="M313" s="4"/>
    </row>
    <row r="314" spans="1:16" s="10" customFormat="1" x14ac:dyDescent="0.25">
      <c r="A314" s="4"/>
      <c r="B314" s="4"/>
      <c r="C314" s="4"/>
      <c r="D314" s="4"/>
      <c r="E314" s="4"/>
      <c r="F314" s="4"/>
      <c r="G314" s="4"/>
      <c r="H314" s="4"/>
      <c r="J314" s="4"/>
      <c r="K314" s="4"/>
      <c r="L314" s="4"/>
      <c r="M314" s="4"/>
    </row>
    <row r="315" spans="1:16" s="10" customFormat="1" x14ac:dyDescent="0.25">
      <c r="A315" s="4"/>
      <c r="B315" s="4"/>
      <c r="C315" s="4"/>
      <c r="D315" s="4"/>
      <c r="E315" s="4"/>
      <c r="F315" s="4"/>
      <c r="G315" s="4"/>
      <c r="H315" s="4"/>
      <c r="I315" s="4"/>
      <c r="J315" s="4"/>
      <c r="K315" s="4"/>
      <c r="L315" s="4"/>
      <c r="M315" s="4"/>
    </row>
    <row r="316" spans="1:16" s="10" customFormat="1" x14ac:dyDescent="0.25">
      <c r="A316" s="4"/>
      <c r="B316" s="4"/>
      <c r="C316" s="4"/>
      <c r="D316" s="4"/>
      <c r="E316" s="4"/>
      <c r="F316" s="4"/>
      <c r="G316" s="4"/>
      <c r="H316" s="4"/>
      <c r="I316" s="4"/>
      <c r="J316" s="4"/>
      <c r="K316" s="4"/>
      <c r="L316" s="4"/>
      <c r="M316" s="4"/>
    </row>
    <row r="317" spans="1:16" s="10" customFormat="1" x14ac:dyDescent="0.25">
      <c r="A317" s="4"/>
      <c r="B317" s="4"/>
      <c r="C317" s="4"/>
      <c r="D317" s="4"/>
      <c r="E317" s="4"/>
      <c r="F317" s="4"/>
      <c r="G317" s="4"/>
      <c r="H317" s="4"/>
      <c r="I317" s="4"/>
      <c r="J317" s="4"/>
      <c r="K317" s="4"/>
      <c r="L317" s="4"/>
      <c r="M317" s="4"/>
    </row>
    <row r="318" spans="1:16" s="10" customFormat="1" x14ac:dyDescent="0.25">
      <c r="A318" s="4"/>
      <c r="B318" s="4"/>
      <c r="C318" s="4"/>
      <c r="D318" s="4"/>
      <c r="E318" s="4"/>
      <c r="F318" s="4"/>
      <c r="G318" s="4"/>
      <c r="H318" s="4"/>
      <c r="I318" s="4"/>
      <c r="J318" s="4"/>
      <c r="K318" s="4"/>
      <c r="L318" s="4"/>
      <c r="M318" s="4"/>
    </row>
    <row r="319" spans="1:16" s="10" customFormat="1" x14ac:dyDescent="0.25">
      <c r="A319" s="4"/>
      <c r="B319" s="4"/>
      <c r="C319" s="4"/>
      <c r="D319" s="4"/>
      <c r="E319" s="4"/>
      <c r="F319" s="4"/>
      <c r="G319" s="4"/>
      <c r="H319" s="4"/>
      <c r="I319" s="4"/>
      <c r="J319" s="4"/>
      <c r="K319" s="4"/>
      <c r="L319" s="4"/>
      <c r="M319" s="4"/>
    </row>
    <row r="320" spans="1:16" s="10" customFormat="1" x14ac:dyDescent="0.25">
      <c r="A320" s="4"/>
      <c r="B320" s="4"/>
      <c r="C320" s="4"/>
      <c r="D320" s="4"/>
      <c r="E320" s="4"/>
      <c r="F320" s="4"/>
      <c r="G320" s="4"/>
      <c r="H320" s="4"/>
      <c r="I320" s="4"/>
      <c r="J320" s="4"/>
      <c r="K320" s="4"/>
      <c r="L320" s="4"/>
      <c r="M320" s="4"/>
    </row>
    <row r="321" spans="1:13" s="10" customFormat="1" x14ac:dyDescent="0.25">
      <c r="A321" s="4"/>
      <c r="B321" s="4"/>
      <c r="C321" s="4"/>
      <c r="D321" s="4"/>
      <c r="E321" s="4"/>
      <c r="F321" s="4"/>
      <c r="G321" s="4"/>
      <c r="H321" s="4"/>
      <c r="I321" s="4"/>
      <c r="J321" s="4"/>
      <c r="K321" s="4"/>
      <c r="L321" s="4"/>
      <c r="M321" s="4"/>
    </row>
    <row r="322" spans="1:13" s="10" customFormat="1" x14ac:dyDescent="0.25">
      <c r="A322" s="4"/>
      <c r="B322" s="4"/>
      <c r="C322" s="4"/>
      <c r="D322" s="4"/>
      <c r="E322" s="4"/>
      <c r="F322" s="4"/>
      <c r="G322" s="4"/>
      <c r="H322" s="4"/>
      <c r="I322" s="4"/>
      <c r="J322" s="4"/>
      <c r="K322" s="4"/>
      <c r="L322" s="4"/>
      <c r="M322" s="4"/>
    </row>
    <row r="323" spans="1:13" s="10" customFormat="1" x14ac:dyDescent="0.25">
      <c r="A323" s="4"/>
      <c r="B323" s="4"/>
      <c r="C323" s="4"/>
      <c r="D323" s="4"/>
      <c r="E323" s="4"/>
      <c r="F323" s="4"/>
      <c r="G323" s="4"/>
      <c r="H323" s="4"/>
      <c r="I323" s="4"/>
      <c r="J323" s="4"/>
      <c r="K323" s="4"/>
      <c r="L323" s="4"/>
      <c r="M323" s="4"/>
    </row>
    <row r="324" spans="1:13" s="10" customFormat="1" x14ac:dyDescent="0.25">
      <c r="A324" s="4"/>
      <c r="B324" s="4"/>
      <c r="C324" s="4"/>
      <c r="D324" s="4"/>
      <c r="E324" s="4"/>
      <c r="F324" s="4"/>
      <c r="G324" s="4"/>
      <c r="H324" s="4"/>
      <c r="I324" s="4"/>
      <c r="J324" s="4"/>
      <c r="K324" s="4"/>
      <c r="L324" s="4"/>
      <c r="M324" s="4"/>
    </row>
    <row r="325" spans="1:13" s="10" customFormat="1" x14ac:dyDescent="0.25">
      <c r="A325" s="4"/>
      <c r="B325" s="4"/>
      <c r="C325" s="4"/>
      <c r="D325" s="4"/>
      <c r="E325" s="4"/>
      <c r="F325" s="4"/>
      <c r="G325" s="4"/>
      <c r="H325" s="4"/>
      <c r="I325" s="4"/>
      <c r="J325" s="4"/>
      <c r="K325" s="4"/>
      <c r="L325" s="4"/>
      <c r="M325" s="4"/>
    </row>
    <row r="326" spans="1:13" s="10" customFormat="1" x14ac:dyDescent="0.25">
      <c r="A326" s="4"/>
      <c r="B326" s="4"/>
      <c r="C326" s="4"/>
      <c r="D326" s="4"/>
      <c r="E326" s="4"/>
      <c r="F326" s="4"/>
      <c r="G326" s="4"/>
      <c r="H326" s="4"/>
      <c r="I326" s="4"/>
      <c r="J326" s="4"/>
      <c r="K326" s="4"/>
      <c r="L326" s="4"/>
      <c r="M326" s="4"/>
    </row>
    <row r="327" spans="1:13" s="10" customFormat="1" x14ac:dyDescent="0.25">
      <c r="A327" s="4"/>
      <c r="B327" s="4"/>
      <c r="C327" s="4"/>
      <c r="D327" s="4"/>
      <c r="E327" s="4"/>
      <c r="F327" s="4"/>
      <c r="G327" s="4"/>
      <c r="H327" s="4"/>
      <c r="I327" s="4"/>
      <c r="J327" s="4"/>
      <c r="K327" s="4"/>
      <c r="L327" s="4"/>
      <c r="M327" s="4"/>
    </row>
    <row r="328" spans="1:13" s="10" customFormat="1" x14ac:dyDescent="0.25">
      <c r="A328" s="4"/>
      <c r="B328" s="4"/>
      <c r="C328" s="4"/>
      <c r="D328" s="4"/>
      <c r="E328" s="4"/>
      <c r="F328" s="4"/>
      <c r="G328" s="4"/>
      <c r="H328" s="4"/>
      <c r="I328" s="4"/>
      <c r="J328" s="4"/>
      <c r="K328" s="4"/>
      <c r="L328" s="4"/>
      <c r="M328" s="4"/>
    </row>
    <row r="329" spans="1:13" s="10" customFormat="1" x14ac:dyDescent="0.25">
      <c r="A329" s="4"/>
      <c r="B329" s="4"/>
      <c r="C329" s="4"/>
      <c r="D329" s="4"/>
      <c r="E329" s="4"/>
      <c r="F329" s="4"/>
      <c r="G329" s="4"/>
      <c r="H329" s="4"/>
      <c r="I329" s="4"/>
      <c r="J329" s="4"/>
      <c r="K329" s="4"/>
      <c r="L329" s="4"/>
      <c r="M329" s="4"/>
    </row>
    <row r="330" spans="1:13" s="10" customFormat="1" x14ac:dyDescent="0.25">
      <c r="A330" s="4"/>
      <c r="B330" s="4"/>
      <c r="C330" s="4"/>
      <c r="D330" s="4"/>
      <c r="E330" s="4"/>
      <c r="F330" s="4"/>
      <c r="G330" s="4"/>
      <c r="H330" s="4"/>
      <c r="I330" s="4"/>
      <c r="J330" s="4"/>
      <c r="K330" s="4"/>
      <c r="L330" s="4"/>
      <c r="M330" s="4"/>
    </row>
    <row r="331" spans="1:13" s="10" customFormat="1" x14ac:dyDescent="0.25">
      <c r="A331" s="4"/>
      <c r="B331" s="4"/>
      <c r="C331" s="4"/>
      <c r="D331" s="4"/>
      <c r="E331" s="4"/>
      <c r="F331" s="4"/>
      <c r="G331" s="4"/>
      <c r="H331" s="4"/>
      <c r="I331" s="4"/>
      <c r="J331" s="4"/>
      <c r="K331" s="4"/>
      <c r="L331" s="4"/>
      <c r="M331" s="4"/>
    </row>
    <row r="332" spans="1:13" s="10" customFormat="1" x14ac:dyDescent="0.25">
      <c r="A332" s="4"/>
      <c r="B332" s="4"/>
      <c r="C332" s="4"/>
      <c r="D332" s="4"/>
      <c r="E332" s="4"/>
      <c r="F332" s="4"/>
      <c r="G332" s="4"/>
      <c r="H332" s="4"/>
      <c r="I332" s="4"/>
      <c r="J332" s="4"/>
      <c r="K332" s="4"/>
      <c r="L332" s="4"/>
      <c r="M332" s="4"/>
    </row>
    <row r="333" spans="1:13" s="10" customFormat="1" x14ac:dyDescent="0.25">
      <c r="A333" s="4"/>
      <c r="B333" s="4"/>
      <c r="C333" s="4"/>
      <c r="D333" s="4"/>
      <c r="E333" s="4"/>
      <c r="F333" s="4"/>
      <c r="G333" s="4"/>
      <c r="H333" s="4"/>
      <c r="I333" s="4"/>
      <c r="J333" s="4"/>
      <c r="K333" s="4"/>
      <c r="L333" s="4"/>
      <c r="M333" s="4"/>
    </row>
    <row r="334" spans="1:13" s="10" customFormat="1" x14ac:dyDescent="0.25">
      <c r="A334" s="4"/>
      <c r="B334" s="4"/>
      <c r="C334" s="4"/>
      <c r="D334" s="4"/>
      <c r="E334" s="4"/>
      <c r="F334" s="4"/>
      <c r="G334" s="4"/>
      <c r="H334" s="4"/>
      <c r="I334" s="4"/>
      <c r="J334" s="4"/>
      <c r="K334" s="4"/>
      <c r="L334" s="4"/>
      <c r="M334" s="4"/>
    </row>
    <row r="335" spans="1:13" s="10" customFormat="1" x14ac:dyDescent="0.25">
      <c r="A335" s="4"/>
      <c r="B335" s="4"/>
      <c r="C335" s="4"/>
      <c r="D335" s="4"/>
      <c r="E335" s="4"/>
      <c r="F335" s="4"/>
      <c r="G335" s="4"/>
      <c r="H335" s="4"/>
      <c r="I335" s="4"/>
      <c r="J335" s="4"/>
      <c r="K335" s="4"/>
      <c r="L335" s="4"/>
      <c r="M335" s="4"/>
    </row>
    <row r="336" spans="1:13" s="10" customFormat="1" x14ac:dyDescent="0.25">
      <c r="A336" s="4"/>
      <c r="B336" s="4"/>
      <c r="C336" s="4"/>
      <c r="D336" s="4"/>
      <c r="E336" s="4"/>
      <c r="F336" s="4"/>
      <c r="G336" s="4"/>
      <c r="H336" s="4"/>
      <c r="I336" s="4"/>
      <c r="J336" s="4"/>
      <c r="K336" s="4"/>
      <c r="L336" s="4"/>
      <c r="M336" s="4"/>
    </row>
    <row r="337" spans="1:13" s="10" customFormat="1" x14ac:dyDescent="0.25">
      <c r="A337" s="4"/>
      <c r="B337" s="4"/>
      <c r="C337" s="4"/>
      <c r="D337" s="4"/>
      <c r="E337" s="4"/>
      <c r="F337" s="4"/>
      <c r="G337" s="4"/>
      <c r="H337" s="4"/>
      <c r="I337" s="4"/>
      <c r="J337" s="4"/>
      <c r="K337" s="4"/>
      <c r="L337" s="4"/>
      <c r="M337" s="4"/>
    </row>
    <row r="338" spans="1:13" s="10" customFormat="1" x14ac:dyDescent="0.25">
      <c r="A338" s="4"/>
      <c r="B338" s="4"/>
      <c r="C338" s="4"/>
      <c r="D338" s="4"/>
      <c r="E338" s="4"/>
      <c r="F338" s="4"/>
      <c r="G338" s="4"/>
      <c r="H338" s="4"/>
      <c r="I338" s="4"/>
      <c r="J338" s="4"/>
      <c r="K338" s="4"/>
      <c r="L338" s="4"/>
      <c r="M338" s="4"/>
    </row>
    <row r="339" spans="1:13" s="10" customFormat="1" x14ac:dyDescent="0.25">
      <c r="A339" s="4"/>
      <c r="B339" s="4"/>
      <c r="C339" s="4"/>
      <c r="D339" s="4"/>
      <c r="E339" s="4"/>
      <c r="F339" s="4"/>
      <c r="G339" s="4"/>
      <c r="H339" s="4"/>
      <c r="I339" s="4"/>
      <c r="J339" s="4"/>
      <c r="K339" s="4"/>
      <c r="L339" s="4"/>
      <c r="M339" s="4"/>
    </row>
    <row r="340" spans="1:13" s="10" customFormat="1" x14ac:dyDescent="0.25">
      <c r="A340" s="4"/>
      <c r="B340" s="4"/>
      <c r="C340" s="4"/>
      <c r="D340" s="4"/>
      <c r="E340" s="4"/>
      <c r="F340" s="4"/>
      <c r="G340" s="4"/>
      <c r="H340" s="4"/>
      <c r="I340" s="4"/>
      <c r="J340" s="4"/>
      <c r="K340" s="4"/>
      <c r="L340" s="4"/>
      <c r="M340" s="4"/>
    </row>
    <row r="341" spans="1:13" s="10" customFormat="1" x14ac:dyDescent="0.25">
      <c r="A341" s="4"/>
      <c r="B341" s="4"/>
      <c r="C341" s="4"/>
      <c r="D341" s="4"/>
      <c r="E341" s="4"/>
      <c r="F341" s="4"/>
      <c r="G341" s="4"/>
      <c r="H341" s="4"/>
      <c r="I341" s="4"/>
      <c r="J341" s="4"/>
      <c r="K341" s="4"/>
      <c r="L341" s="4"/>
      <c r="M341" s="4"/>
    </row>
    <row r="342" spans="1:13" s="10" customFormat="1" x14ac:dyDescent="0.25">
      <c r="A342" s="4"/>
      <c r="B342" s="4"/>
      <c r="C342" s="4"/>
      <c r="D342" s="4"/>
      <c r="E342" s="4"/>
      <c r="F342" s="4"/>
      <c r="G342" s="4"/>
      <c r="H342" s="4"/>
      <c r="I342" s="4"/>
      <c r="J342" s="4"/>
      <c r="K342" s="4"/>
      <c r="L342" s="4"/>
      <c r="M342" s="4"/>
    </row>
    <row r="343" spans="1:13" s="10" customFormat="1" x14ac:dyDescent="0.25">
      <c r="A343" s="4"/>
      <c r="B343" s="4"/>
      <c r="C343" s="4"/>
      <c r="D343" s="4"/>
      <c r="E343" s="4"/>
      <c r="F343" s="4"/>
      <c r="G343" s="4"/>
      <c r="H343" s="4"/>
      <c r="I343" s="4"/>
      <c r="J343" s="4"/>
      <c r="K343" s="4"/>
      <c r="L343" s="4"/>
      <c r="M343" s="4"/>
    </row>
    <row r="344" spans="1:13" s="10" customFormat="1" x14ac:dyDescent="0.25">
      <c r="A344" s="4"/>
      <c r="B344" s="4"/>
      <c r="C344" s="4"/>
      <c r="D344" s="4"/>
      <c r="E344" s="4"/>
      <c r="F344" s="4"/>
      <c r="G344" s="4"/>
      <c r="H344" s="4"/>
      <c r="I344" s="4"/>
      <c r="J344" s="4"/>
      <c r="K344" s="4"/>
      <c r="L344" s="4"/>
      <c r="M344" s="4"/>
    </row>
    <row r="345" spans="1:13" s="10" customFormat="1" x14ac:dyDescent="0.25">
      <c r="A345" s="4"/>
      <c r="B345" s="4"/>
      <c r="C345" s="4"/>
      <c r="D345" s="4"/>
      <c r="E345" s="4"/>
      <c r="F345" s="4"/>
      <c r="G345" s="4"/>
      <c r="H345" s="4"/>
      <c r="I345" s="4"/>
      <c r="J345" s="4"/>
      <c r="K345" s="4"/>
      <c r="L345" s="4"/>
      <c r="M345" s="4"/>
    </row>
    <row r="346" spans="1:13" s="10" customFormat="1" x14ac:dyDescent="0.25">
      <c r="A346" s="4"/>
      <c r="B346" s="4"/>
      <c r="C346" s="4"/>
      <c r="D346" s="4"/>
      <c r="E346" s="4"/>
      <c r="F346" s="4"/>
      <c r="G346" s="4"/>
      <c r="H346" s="4"/>
      <c r="I346" s="4"/>
      <c r="J346" s="4"/>
      <c r="K346" s="4"/>
      <c r="L346" s="4"/>
      <c r="M346" s="4"/>
    </row>
    <row r="347" spans="1:13" s="10" customFormat="1" x14ac:dyDescent="0.25">
      <c r="A347" s="4"/>
      <c r="B347" s="4"/>
      <c r="C347" s="4"/>
      <c r="D347" s="4"/>
      <c r="E347" s="4"/>
      <c r="F347" s="4"/>
      <c r="G347" s="4"/>
      <c r="H347" s="4"/>
      <c r="I347" s="4"/>
      <c r="J347" s="4"/>
      <c r="K347" s="4"/>
      <c r="L347" s="4"/>
      <c r="M347" s="4"/>
    </row>
    <row r="348" spans="1:13" s="10" customFormat="1" x14ac:dyDescent="0.25">
      <c r="A348" s="4"/>
      <c r="B348" s="4"/>
      <c r="C348" s="4"/>
      <c r="D348" s="4"/>
      <c r="E348" s="4"/>
      <c r="F348" s="4"/>
      <c r="G348" s="4"/>
      <c r="H348" s="4"/>
      <c r="I348" s="4"/>
      <c r="J348" s="4"/>
      <c r="K348" s="4"/>
      <c r="L348" s="4"/>
      <c r="M348" s="4"/>
    </row>
    <row r="349" spans="1:13" s="10" customFormat="1" x14ac:dyDescent="0.25">
      <c r="A349" s="4"/>
      <c r="B349" s="4"/>
      <c r="C349" s="4"/>
      <c r="D349" s="4"/>
      <c r="E349" s="4"/>
      <c r="F349" s="4"/>
      <c r="G349" s="4"/>
      <c r="H349" s="4"/>
      <c r="I349" s="4"/>
      <c r="J349" s="4"/>
      <c r="K349" s="4"/>
      <c r="L349" s="4"/>
      <c r="M349" s="4"/>
    </row>
    <row r="350" spans="1:13" s="10" customFormat="1" x14ac:dyDescent="0.25">
      <c r="A350" s="4"/>
      <c r="B350" s="4"/>
      <c r="C350" s="4"/>
      <c r="D350" s="4"/>
      <c r="E350" s="4"/>
      <c r="F350" s="4"/>
      <c r="G350" s="4"/>
      <c r="H350" s="4"/>
      <c r="I350" s="4"/>
      <c r="J350" s="4"/>
      <c r="K350" s="4"/>
      <c r="L350" s="4"/>
      <c r="M350" s="4"/>
    </row>
    <row r="351" spans="1:13" s="10" customFormat="1" x14ac:dyDescent="0.25">
      <c r="A351" s="4"/>
      <c r="B351" s="4"/>
      <c r="C351" s="4"/>
      <c r="D351" s="4"/>
      <c r="E351" s="4"/>
      <c r="F351" s="4"/>
      <c r="G351" s="4"/>
      <c r="H351" s="4"/>
      <c r="I351" s="4"/>
      <c r="J351" s="4"/>
      <c r="K351" s="4"/>
      <c r="L351" s="4"/>
      <c r="M351" s="4"/>
    </row>
    <row r="352" spans="1:13" s="10" customFormat="1" x14ac:dyDescent="0.25">
      <c r="A352" s="4"/>
      <c r="B352" s="4"/>
      <c r="C352" s="4"/>
      <c r="D352" s="4"/>
      <c r="E352" s="4"/>
      <c r="F352" s="4"/>
      <c r="G352" s="4"/>
      <c r="H352" s="4"/>
      <c r="I352" s="4"/>
      <c r="J352" s="4"/>
      <c r="K352" s="4"/>
      <c r="L352" s="4"/>
      <c r="M352" s="4"/>
    </row>
    <row r="353" spans="1:13" s="10" customFormat="1" x14ac:dyDescent="0.25">
      <c r="A353" s="4"/>
      <c r="B353" s="4"/>
      <c r="C353" s="4"/>
      <c r="D353" s="4"/>
      <c r="E353" s="4"/>
      <c r="F353" s="4"/>
      <c r="G353" s="4"/>
      <c r="H353" s="4"/>
      <c r="I353" s="4"/>
      <c r="J353" s="4"/>
      <c r="K353" s="4"/>
      <c r="L353" s="4"/>
      <c r="M353" s="4"/>
    </row>
    <row r="354" spans="1:13" s="10" customFormat="1" x14ac:dyDescent="0.25">
      <c r="A354" s="4"/>
      <c r="B354" s="4"/>
      <c r="C354" s="4"/>
      <c r="D354" s="4"/>
      <c r="E354" s="4"/>
      <c r="F354" s="4"/>
      <c r="G354" s="4"/>
      <c r="H354" s="4"/>
      <c r="I354" s="4"/>
      <c r="J354" s="4"/>
      <c r="K354" s="4"/>
      <c r="L354" s="4"/>
      <c r="M354" s="4"/>
    </row>
    <row r="355" spans="1:13" s="10" customFormat="1" x14ac:dyDescent="0.25">
      <c r="A355" s="4"/>
      <c r="B355" s="4"/>
      <c r="C355" s="4"/>
      <c r="D355" s="4"/>
      <c r="E355" s="4"/>
      <c r="F355" s="4"/>
      <c r="G355" s="4"/>
      <c r="H355" s="4"/>
      <c r="I355" s="4"/>
      <c r="J355" s="4"/>
      <c r="K355" s="4"/>
      <c r="L355" s="4"/>
      <c r="M355" s="4"/>
    </row>
    <row r="356" spans="1:13" s="10" customFormat="1" x14ac:dyDescent="0.25">
      <c r="A356" s="4"/>
      <c r="B356" s="4"/>
      <c r="C356" s="4"/>
      <c r="D356" s="4"/>
      <c r="E356" s="4"/>
      <c r="F356" s="4"/>
      <c r="G356" s="4"/>
      <c r="H356" s="4"/>
      <c r="I356" s="4"/>
      <c r="J356" s="4"/>
      <c r="K356" s="4"/>
      <c r="L356" s="4"/>
      <c r="M356" s="4"/>
    </row>
    <row r="357" spans="1:13" s="10" customFormat="1" x14ac:dyDescent="0.25">
      <c r="A357" s="4"/>
      <c r="B357" s="4"/>
      <c r="C357" s="4"/>
      <c r="D357" s="4"/>
      <c r="E357" s="4"/>
      <c r="F357" s="4"/>
      <c r="G357" s="4"/>
      <c r="H357" s="4"/>
      <c r="I357" s="4"/>
      <c r="J357" s="4"/>
      <c r="K357" s="4"/>
      <c r="L357" s="4"/>
      <c r="M357" s="4"/>
    </row>
    <row r="358" spans="1:13" s="10" customFormat="1" x14ac:dyDescent="0.25">
      <c r="A358" s="4"/>
      <c r="B358" s="4"/>
      <c r="C358" s="4"/>
      <c r="D358" s="4"/>
      <c r="E358" s="4"/>
      <c r="F358" s="4"/>
      <c r="G358" s="4"/>
      <c r="H358" s="4"/>
      <c r="I358" s="4"/>
      <c r="J358" s="4"/>
      <c r="K358" s="4"/>
      <c r="L358" s="4"/>
      <c r="M358" s="4"/>
    </row>
    <row r="359" spans="1:13" s="10" customFormat="1" x14ac:dyDescent="0.25">
      <c r="A359" s="4"/>
      <c r="B359" s="4"/>
      <c r="C359" s="4"/>
      <c r="D359" s="4"/>
      <c r="E359" s="4"/>
      <c r="F359" s="4"/>
      <c r="G359" s="4"/>
      <c r="H359" s="4"/>
      <c r="I359" s="4"/>
      <c r="J359" s="4"/>
      <c r="K359" s="4"/>
      <c r="L359" s="4"/>
      <c r="M359" s="4"/>
    </row>
    <row r="360" spans="1:13" s="10" customFormat="1" x14ac:dyDescent="0.25">
      <c r="A360" s="4"/>
      <c r="B360" s="4"/>
      <c r="C360" s="4"/>
      <c r="D360" s="4"/>
      <c r="E360" s="4"/>
      <c r="F360" s="4"/>
      <c r="G360" s="4"/>
      <c r="H360" s="4"/>
      <c r="I360" s="4"/>
      <c r="J360" s="4"/>
      <c r="K360" s="4"/>
      <c r="L360" s="4"/>
      <c r="M360" s="4"/>
    </row>
    <row r="361" spans="1:13" s="10" customFormat="1" x14ac:dyDescent="0.25">
      <c r="A361" s="4"/>
      <c r="B361" s="4"/>
      <c r="C361" s="4"/>
      <c r="D361" s="4"/>
      <c r="E361" s="4"/>
      <c r="F361" s="4"/>
      <c r="G361" s="4"/>
      <c r="H361" s="4"/>
      <c r="I361" s="4"/>
      <c r="J361" s="4"/>
      <c r="K361" s="4"/>
      <c r="L361" s="4"/>
      <c r="M361" s="4"/>
    </row>
    <row r="362" spans="1:13" s="10" customFormat="1" x14ac:dyDescent="0.25">
      <c r="A362" s="4"/>
      <c r="B362" s="4"/>
      <c r="C362" s="4"/>
      <c r="D362" s="4"/>
      <c r="E362" s="4"/>
      <c r="F362" s="4"/>
      <c r="G362" s="4"/>
      <c r="H362" s="4"/>
      <c r="I362" s="4"/>
      <c r="J362" s="4"/>
      <c r="K362" s="4"/>
      <c r="L362" s="4"/>
      <c r="M362" s="4"/>
    </row>
    <row r="363" spans="1:13" s="10" customFormat="1" x14ac:dyDescent="0.25">
      <c r="A363" s="4"/>
      <c r="B363" s="4"/>
      <c r="C363" s="4"/>
      <c r="D363" s="4"/>
      <c r="E363" s="4"/>
      <c r="F363" s="4"/>
      <c r="G363" s="4"/>
      <c r="H363" s="4"/>
      <c r="I363" s="4"/>
      <c r="J363" s="4"/>
      <c r="K363" s="4"/>
      <c r="L363" s="4"/>
      <c r="M363" s="4"/>
    </row>
    <row r="364" spans="1:13" s="10" customFormat="1" x14ac:dyDescent="0.25">
      <c r="A364" s="4"/>
      <c r="B364" s="4"/>
      <c r="C364" s="4"/>
      <c r="D364" s="4"/>
      <c r="E364" s="4"/>
      <c r="F364" s="4"/>
      <c r="G364" s="4"/>
      <c r="H364" s="4"/>
      <c r="I364" s="4"/>
      <c r="J364" s="4"/>
      <c r="K364" s="4"/>
      <c r="L364" s="4"/>
      <c r="M364" s="4"/>
    </row>
    <row r="365" spans="1:13" s="10" customFormat="1" x14ac:dyDescent="0.25">
      <c r="A365" s="4"/>
      <c r="B365" s="4"/>
      <c r="C365" s="4"/>
      <c r="D365" s="4"/>
      <c r="E365" s="4"/>
      <c r="F365" s="4"/>
      <c r="G365" s="4"/>
      <c r="H365" s="4"/>
      <c r="I365" s="4"/>
      <c r="J365" s="4"/>
      <c r="K365" s="4"/>
      <c r="L365" s="4"/>
      <c r="M365" s="4"/>
    </row>
    <row r="366" spans="1:13" s="10" customFormat="1" x14ac:dyDescent="0.25">
      <c r="A366" s="4"/>
      <c r="B366" s="4"/>
      <c r="C366" s="4"/>
      <c r="D366" s="4"/>
      <c r="E366" s="4"/>
      <c r="F366" s="4"/>
      <c r="G366" s="4"/>
      <c r="H366" s="4"/>
      <c r="I366" s="4"/>
      <c r="J366" s="4"/>
      <c r="K366" s="4"/>
      <c r="L366" s="4"/>
      <c r="M366" s="4"/>
    </row>
    <row r="367" spans="1:13" s="10" customFormat="1" x14ac:dyDescent="0.25">
      <c r="A367" s="4"/>
      <c r="B367" s="4"/>
      <c r="C367" s="4"/>
      <c r="D367" s="4"/>
      <c r="E367" s="4"/>
      <c r="F367" s="4"/>
      <c r="G367" s="4"/>
      <c r="H367" s="4"/>
      <c r="I367" s="4"/>
      <c r="J367" s="4"/>
      <c r="K367" s="4"/>
      <c r="L367" s="4"/>
      <c r="M367" s="4"/>
    </row>
    <row r="368" spans="1:13" s="10" customFormat="1" x14ac:dyDescent="0.25">
      <c r="A368" s="4"/>
      <c r="B368" s="4"/>
      <c r="C368" s="4"/>
      <c r="D368" s="4"/>
      <c r="E368" s="4"/>
      <c r="F368" s="4"/>
      <c r="G368" s="4"/>
      <c r="H368" s="4"/>
      <c r="I368" s="4"/>
      <c r="J368" s="4"/>
      <c r="K368" s="4"/>
      <c r="L368" s="4"/>
      <c r="M368" s="4"/>
    </row>
    <row r="369" spans="1:13" s="10" customFormat="1" x14ac:dyDescent="0.25">
      <c r="A369" s="4"/>
      <c r="B369" s="4"/>
      <c r="C369" s="4"/>
      <c r="D369" s="4"/>
      <c r="E369" s="4"/>
      <c r="F369" s="4"/>
      <c r="G369" s="4"/>
      <c r="H369" s="4"/>
      <c r="I369" s="4"/>
      <c r="J369" s="4"/>
      <c r="K369" s="4"/>
      <c r="L369" s="4"/>
      <c r="M369" s="4"/>
    </row>
    <row r="370" spans="1:13" s="10" customFormat="1" x14ac:dyDescent="0.25">
      <c r="A370" s="4"/>
      <c r="B370" s="4"/>
      <c r="C370" s="4"/>
      <c r="D370" s="4"/>
      <c r="E370" s="4"/>
      <c r="F370" s="4"/>
      <c r="G370" s="4"/>
      <c r="H370" s="4"/>
      <c r="I370" s="4"/>
      <c r="J370" s="4"/>
      <c r="K370" s="4"/>
      <c r="L370" s="4"/>
      <c r="M370" s="4"/>
    </row>
    <row r="371" spans="1:13" s="10" customFormat="1" x14ac:dyDescent="0.25">
      <c r="A371" s="4"/>
      <c r="B371" s="4"/>
      <c r="C371" s="4"/>
      <c r="D371" s="4"/>
      <c r="E371" s="4"/>
      <c r="F371" s="4"/>
      <c r="G371" s="4"/>
      <c r="H371" s="4"/>
      <c r="I371" s="4"/>
      <c r="J371" s="4"/>
      <c r="K371" s="4"/>
      <c r="L371" s="4"/>
      <c r="M371" s="4"/>
    </row>
    <row r="372" spans="1:13" s="10" customFormat="1" x14ac:dyDescent="0.25">
      <c r="A372" s="4"/>
      <c r="B372" s="4"/>
      <c r="C372" s="4"/>
      <c r="D372" s="4"/>
      <c r="E372" s="4"/>
      <c r="F372" s="4"/>
      <c r="G372" s="4"/>
      <c r="H372" s="4"/>
      <c r="I372" s="4"/>
      <c r="J372" s="4"/>
      <c r="K372" s="4"/>
      <c r="L372" s="4"/>
      <c r="M372" s="4"/>
    </row>
    <row r="373" spans="1:13" s="10" customFormat="1" x14ac:dyDescent="0.25">
      <c r="A373" s="4"/>
      <c r="B373" s="4"/>
      <c r="C373" s="4"/>
      <c r="D373" s="4"/>
      <c r="E373" s="4"/>
      <c r="F373" s="4"/>
      <c r="G373" s="4"/>
      <c r="H373" s="4"/>
      <c r="I373" s="4"/>
      <c r="J373" s="4"/>
      <c r="K373" s="4"/>
      <c r="L373" s="4"/>
      <c r="M373" s="4"/>
    </row>
    <row r="374" spans="1:13" s="10" customFormat="1" x14ac:dyDescent="0.25">
      <c r="A374" s="4"/>
      <c r="B374" s="4"/>
      <c r="C374" s="4"/>
      <c r="D374" s="4"/>
      <c r="E374" s="4"/>
      <c r="F374" s="4"/>
      <c r="G374" s="4"/>
      <c r="H374" s="4"/>
      <c r="I374" s="4"/>
      <c r="J374" s="4"/>
      <c r="K374" s="4"/>
      <c r="L374" s="4"/>
      <c r="M374" s="4"/>
    </row>
    <row r="375" spans="1:13" s="10" customFormat="1" x14ac:dyDescent="0.25">
      <c r="A375" s="4"/>
      <c r="B375" s="4"/>
      <c r="C375" s="4"/>
      <c r="D375" s="4"/>
      <c r="E375" s="4"/>
      <c r="F375" s="4"/>
      <c r="G375" s="4"/>
      <c r="H375" s="4"/>
      <c r="I375" s="4"/>
      <c r="J375" s="4"/>
      <c r="K375" s="4"/>
      <c r="L375" s="4"/>
      <c r="M375" s="4"/>
    </row>
    <row r="376" spans="1:13" s="10" customFormat="1" x14ac:dyDescent="0.25">
      <c r="A376" s="4"/>
      <c r="B376" s="4"/>
      <c r="C376" s="4"/>
      <c r="D376" s="4"/>
      <c r="E376" s="4"/>
      <c r="F376" s="4"/>
      <c r="G376" s="4"/>
      <c r="H376" s="4"/>
      <c r="I376" s="4"/>
      <c r="J376" s="4"/>
      <c r="K376" s="4"/>
      <c r="L376" s="4"/>
      <c r="M376" s="4"/>
    </row>
    <row r="377" spans="1:13" s="10" customFormat="1" x14ac:dyDescent="0.25">
      <c r="A377" s="4"/>
      <c r="B377" s="4"/>
      <c r="C377" s="4"/>
      <c r="D377" s="4"/>
      <c r="E377" s="4"/>
      <c r="F377" s="4"/>
      <c r="G377" s="4"/>
      <c r="H377" s="4"/>
      <c r="I377" s="4"/>
      <c r="J377" s="4"/>
      <c r="K377" s="4"/>
      <c r="L377" s="4"/>
      <c r="M377" s="4"/>
    </row>
    <row r="378" spans="1:13" s="10" customFormat="1" x14ac:dyDescent="0.25">
      <c r="A378" s="4"/>
      <c r="B378" s="4"/>
      <c r="C378" s="4"/>
      <c r="D378" s="4"/>
      <c r="E378" s="4"/>
      <c r="F378" s="4"/>
      <c r="G378" s="4"/>
      <c r="H378" s="4"/>
      <c r="I378" s="4"/>
      <c r="J378" s="4"/>
      <c r="K378" s="4"/>
      <c r="L378" s="4"/>
      <c r="M378" s="4"/>
    </row>
    <row r="379" spans="1:13" s="10" customFormat="1" x14ac:dyDescent="0.25">
      <c r="A379" s="4"/>
      <c r="B379" s="4"/>
      <c r="C379" s="4"/>
      <c r="D379" s="4"/>
      <c r="E379" s="4"/>
      <c r="F379" s="4"/>
      <c r="G379" s="4"/>
      <c r="H379" s="4"/>
      <c r="I379" s="4"/>
      <c r="J379" s="4"/>
      <c r="K379" s="4"/>
      <c r="L379" s="4"/>
      <c r="M379" s="4"/>
    </row>
    <row r="380" spans="1:13" s="10" customFormat="1" x14ac:dyDescent="0.25">
      <c r="A380" s="4"/>
      <c r="B380" s="4"/>
      <c r="C380" s="4"/>
      <c r="D380" s="4"/>
      <c r="E380" s="4"/>
      <c r="F380" s="4"/>
      <c r="G380" s="4"/>
      <c r="H380" s="4"/>
      <c r="I380" s="4"/>
      <c r="J380" s="4"/>
      <c r="K380" s="4"/>
      <c r="L380" s="4"/>
      <c r="M380" s="4"/>
    </row>
    <row r="381" spans="1:13" s="10" customFormat="1" x14ac:dyDescent="0.25">
      <c r="A381" s="4"/>
      <c r="B381" s="4"/>
      <c r="C381" s="4"/>
      <c r="D381" s="4"/>
      <c r="E381" s="4"/>
      <c r="F381" s="4"/>
      <c r="G381" s="4"/>
      <c r="H381" s="4"/>
      <c r="I381" s="4"/>
      <c r="J381" s="4"/>
      <c r="K381" s="4"/>
      <c r="L381" s="4"/>
      <c r="M381" s="4"/>
    </row>
    <row r="382" spans="1:13" s="10" customFormat="1" x14ac:dyDescent="0.25">
      <c r="A382" s="4"/>
      <c r="B382" s="4"/>
      <c r="C382" s="4"/>
      <c r="D382" s="4"/>
      <c r="E382" s="4"/>
      <c r="F382" s="4"/>
      <c r="G382" s="4"/>
      <c r="H382" s="4"/>
      <c r="I382" s="4"/>
      <c r="J382" s="4"/>
      <c r="K382" s="4"/>
      <c r="L382" s="4"/>
      <c r="M382" s="4"/>
    </row>
    <row r="383" spans="1:13" s="10" customFormat="1" x14ac:dyDescent="0.25">
      <c r="A383" s="4"/>
      <c r="B383" s="4"/>
      <c r="C383" s="4"/>
      <c r="D383" s="4"/>
      <c r="E383" s="4"/>
      <c r="F383" s="4"/>
      <c r="G383" s="4"/>
      <c r="H383" s="4"/>
      <c r="I383" s="4"/>
      <c r="J383" s="4"/>
      <c r="K383" s="4"/>
      <c r="L383" s="4"/>
      <c r="M383" s="4"/>
    </row>
    <row r="384" spans="1:13" s="10" customFormat="1" x14ac:dyDescent="0.25">
      <c r="A384" s="4"/>
      <c r="B384" s="4"/>
      <c r="C384" s="4"/>
      <c r="D384" s="4"/>
      <c r="E384" s="4"/>
      <c r="F384" s="4"/>
      <c r="G384" s="4"/>
      <c r="H384" s="4"/>
      <c r="I384" s="4"/>
      <c r="J384" s="4"/>
      <c r="K384" s="4"/>
      <c r="L384" s="4"/>
      <c r="M384" s="4"/>
    </row>
    <row r="385" spans="1:13" s="10" customFormat="1" x14ac:dyDescent="0.25">
      <c r="A385" s="4"/>
      <c r="B385" s="4"/>
      <c r="C385" s="4"/>
      <c r="D385" s="4"/>
      <c r="E385" s="4"/>
      <c r="F385" s="4"/>
      <c r="G385" s="4"/>
      <c r="H385" s="4"/>
      <c r="I385" s="4"/>
      <c r="J385" s="4"/>
      <c r="K385" s="4"/>
      <c r="L385" s="4"/>
      <c r="M385" s="4"/>
    </row>
    <row r="386" spans="1:13" s="10" customFormat="1" x14ac:dyDescent="0.25">
      <c r="A386" s="4"/>
      <c r="B386" s="4"/>
      <c r="C386" s="4"/>
      <c r="D386" s="4"/>
      <c r="E386" s="4"/>
      <c r="F386" s="4"/>
      <c r="G386" s="4"/>
      <c r="H386" s="4"/>
      <c r="I386" s="4"/>
      <c r="J386" s="4"/>
      <c r="K386" s="4"/>
      <c r="L386" s="4"/>
      <c r="M386" s="4"/>
    </row>
    <row r="387" spans="1:13" s="10" customFormat="1" x14ac:dyDescent="0.25">
      <c r="A387" s="4"/>
      <c r="B387" s="4"/>
      <c r="C387" s="4"/>
      <c r="D387" s="4"/>
      <c r="E387" s="4"/>
      <c r="F387" s="4"/>
      <c r="G387" s="4"/>
      <c r="H387" s="4"/>
      <c r="I387" s="4"/>
      <c r="J387" s="4"/>
      <c r="K387" s="4"/>
      <c r="L387" s="4"/>
      <c r="M387" s="4"/>
    </row>
    <row r="388" spans="1:13" s="10" customFormat="1" x14ac:dyDescent="0.25">
      <c r="A388" s="4"/>
      <c r="B388" s="4"/>
      <c r="C388" s="4"/>
      <c r="D388" s="4"/>
      <c r="E388" s="4"/>
      <c r="F388" s="4"/>
      <c r="G388" s="4"/>
      <c r="H388" s="4"/>
      <c r="I388" s="4"/>
      <c r="J388" s="4"/>
      <c r="K388" s="4"/>
      <c r="L388" s="4"/>
      <c r="M388" s="4"/>
    </row>
    <row r="389" spans="1:13" s="10" customFormat="1" x14ac:dyDescent="0.25">
      <c r="A389" s="4"/>
      <c r="B389" s="4"/>
      <c r="C389" s="4"/>
      <c r="D389" s="4"/>
      <c r="E389" s="4"/>
      <c r="F389" s="4"/>
      <c r="G389" s="4"/>
      <c r="H389" s="4"/>
      <c r="I389" s="4"/>
      <c r="J389" s="4"/>
      <c r="K389" s="4"/>
      <c r="L389" s="4"/>
      <c r="M389" s="4"/>
    </row>
    <row r="390" spans="1:13" s="10" customFormat="1" x14ac:dyDescent="0.25">
      <c r="A390" s="4"/>
      <c r="B390" s="4"/>
      <c r="C390" s="4"/>
      <c r="D390" s="4"/>
      <c r="E390" s="4"/>
      <c r="F390" s="4"/>
      <c r="G390" s="4"/>
      <c r="H390" s="4"/>
      <c r="I390" s="4"/>
      <c r="J390" s="4"/>
      <c r="K390" s="4"/>
      <c r="L390" s="4"/>
      <c r="M390" s="4"/>
    </row>
    <row r="391" spans="1:13" s="10" customFormat="1" x14ac:dyDescent="0.25">
      <c r="A391" s="4"/>
      <c r="B391" s="4"/>
      <c r="C391" s="4"/>
      <c r="D391" s="4"/>
      <c r="E391" s="4"/>
      <c r="F391" s="4"/>
      <c r="G391" s="4"/>
      <c r="H391" s="4"/>
      <c r="I391" s="4"/>
      <c r="J391" s="4"/>
      <c r="K391" s="4"/>
      <c r="L391" s="4"/>
      <c r="M391" s="4"/>
    </row>
    <row r="392" spans="1:13" s="10" customFormat="1" x14ac:dyDescent="0.25">
      <c r="A392" s="4"/>
      <c r="B392" s="4"/>
      <c r="C392" s="4"/>
      <c r="D392" s="4"/>
      <c r="E392" s="4"/>
      <c r="F392" s="4"/>
      <c r="G392" s="4"/>
      <c r="H392" s="4"/>
      <c r="I392" s="4"/>
      <c r="J392" s="4"/>
      <c r="K392" s="4"/>
      <c r="L392" s="4"/>
      <c r="M392" s="4"/>
    </row>
    <row r="393" spans="1:13" s="10" customFormat="1" x14ac:dyDescent="0.25">
      <c r="A393" s="4"/>
      <c r="B393" s="4"/>
      <c r="C393" s="4"/>
      <c r="D393" s="4"/>
      <c r="E393" s="4"/>
      <c r="F393" s="4"/>
      <c r="G393" s="4"/>
      <c r="H393" s="4"/>
      <c r="I393" s="4"/>
      <c r="J393" s="4"/>
      <c r="K393" s="4"/>
      <c r="L393" s="4"/>
      <c r="M393" s="4"/>
    </row>
    <row r="394" spans="1:13" s="10" customFormat="1" x14ac:dyDescent="0.25">
      <c r="A394" s="4"/>
      <c r="B394" s="4"/>
      <c r="C394" s="4"/>
      <c r="D394" s="4"/>
      <c r="E394" s="4"/>
      <c r="F394" s="4"/>
      <c r="G394" s="4"/>
      <c r="H394" s="4"/>
      <c r="I394" s="4"/>
      <c r="J394" s="4"/>
      <c r="K394" s="4"/>
      <c r="L394" s="4"/>
      <c r="M394" s="4"/>
    </row>
    <row r="395" spans="1:13" s="10" customFormat="1" x14ac:dyDescent="0.25">
      <c r="A395" s="4"/>
      <c r="B395" s="4"/>
      <c r="C395" s="4"/>
      <c r="D395" s="4"/>
      <c r="E395" s="4"/>
      <c r="F395" s="4"/>
      <c r="G395" s="4"/>
      <c r="H395" s="4"/>
      <c r="I395" s="4"/>
      <c r="J395" s="4"/>
      <c r="K395" s="4"/>
      <c r="L395" s="4"/>
      <c r="M395" s="4"/>
    </row>
    <row r="396" spans="1:13" s="10" customFormat="1" x14ac:dyDescent="0.25">
      <c r="A396" s="4"/>
      <c r="B396" s="4"/>
      <c r="C396" s="4"/>
      <c r="D396" s="4"/>
      <c r="E396" s="4"/>
      <c r="F396" s="4"/>
      <c r="G396" s="4"/>
      <c r="H396" s="4"/>
      <c r="I396" s="4"/>
      <c r="J396" s="4"/>
      <c r="K396" s="4"/>
      <c r="L396" s="4"/>
      <c r="M396" s="4"/>
    </row>
  </sheetData>
  <mergeCells count="1">
    <mergeCell ref="H4:J4"/>
  </mergeCells>
  <phoneticPr fontId="2" type="noConversion"/>
  <conditionalFormatting sqref="B11:B37 B39:B43 B45:B48 B50:B82 B84:B140 B142:B193 B195:B203 B205:B244 B246:B275 B277:B313 B317:B318 B322:B325 B327:B331 B335:B434">
    <cfRule type="cellIs" dxfId="10" priority="9" stopIfTrue="1" operator="equal">
      <formula>"Needed"</formula>
    </cfRule>
    <cfRule type="cellIs" dxfId="9" priority="10" stopIfTrue="1" operator="equal">
      <formula>"No"</formula>
    </cfRule>
    <cfRule type="cellIs" dxfId="8" priority="11" stopIfTrue="1" operator="equal">
      <formula>"No Criteria"</formula>
    </cfRule>
  </conditionalFormatting>
  <conditionalFormatting sqref="C1:C9 E1:E9 D2:D9 H42:H43 K42:K43 D49:E53 H49:H53 K49:K53 D57:E57 H57 K57 D59:E64 H59:H64 K59:K64 D66:E66 H66 K66 D68:E77 H68:H77 K68:K77 D82:E82 H82 K82 D194:E245 H194:H245 K194:K245 D253:E254 H253:H254 K253:K254 D259:E264 H259:H264 K259:K264 D266:E267 H266:H267 K266:K267 D270:E274 H270:H274 K270:K274 D276:E276 H276 K276 D295:E306 H295:H306 K295:K306 D308:E313 H308:H313 K308:K313 D317:E318 H317:H318 K317:K318 D322:E325 H322:H325 K322:K325 D327:E331 H327:H331 K327:K331 D335:E434 H335:H434 K335:K434 C435:E65536">
    <cfRule type="cellIs" dxfId="7" priority="1" stopIfTrue="1" operator="equal">
      <formula>0</formula>
    </cfRule>
  </conditionalFormatting>
  <conditionalFormatting sqref="H3 C11:G37 L11:L37 G42 L42:L43 C43 F43:G43 G49:G53 L49:L53 G57 L57 G59:G64 L59:L64 G66 L66 G68:G77 L68:L77 G82 L82 G194:G245 L194:L245 G253:G254 L253:L254 G259:G264 L259:L264 G266:G267 L266:L267 G270:G274 L270:L274 G276 L276 G295:G306 L295:L306 G308:G313 L308:L313 G317:G318 L317:L318 G322:G325 L322:L325 G327:G331 L327:L331 G335:G434 L335:L434">
    <cfRule type="cellIs" dxfId="6" priority="5" stopIfTrue="1" operator="equal">
      <formula>"NA"</formula>
    </cfRule>
  </conditionalFormatting>
  <conditionalFormatting sqref="H11:K37 I42:J43 I49:J53 I57:J57 I59:J64 I66:J66 I68:J77 I82:J82 I194:J245 I253:J254 I259:J264 I266:J267 I270:J274 I276:J276 I295:J306 I308:J313 I317:J318 I322:J325 I327:J331 I335:J434">
    <cfRule type="cellIs" dxfId="5" priority="2" stopIfTrue="1" operator="equal">
      <formula>"Exceeded"</formula>
    </cfRule>
    <cfRule type="cellIs" dxfId="4" priority="3" stopIfTrue="1" operator="equal">
      <formula>"OK"</formula>
    </cfRule>
  </conditionalFormatting>
  <conditionalFormatting sqref="I437">
    <cfRule type="cellIs" dxfId="3" priority="4" stopIfTrue="1" operator="equal">
      <formula>"NA"</formula>
    </cfRule>
  </conditionalFormatting>
  <conditionalFormatting sqref="J11:J37 J42:J43 J49:J53 J57 J59:J64 J66 J68:J77 J82 J194:J245 J253:J254 J259:J264 J266:J267 J270:J274 J276 J295:J306 J308:J313 J317:J318 J322:J325 J327:J331 J335:J434">
    <cfRule type="cellIs" dxfId="2" priority="8" stopIfTrue="1" operator="equal">
      <formula>"No Criteria"</formula>
    </cfRule>
  </conditionalFormatting>
  <conditionalFormatting sqref="M11:M37 M42:M43 M49:M53 M57 M59:M64 M66 M68:M77 M82 M194:M245 M253:M254 M259:M264 M266:M267 M270:M274 M276 M295:M306 M308:M313 M317:M318 M322:M325 M327:M331 M335:M434">
    <cfRule type="cellIs" dxfId="1" priority="12" stopIfTrue="1" operator="equal">
      <formula>"No Criteria"</formula>
    </cfRule>
    <cfRule type="cellIs" dxfId="0" priority="13" stopIfTrue="1" operator="equal">
      <formula>"NA"</formula>
    </cfRule>
  </conditionalFormatting>
  <pageMargins left="0.2" right="0.33" top="0.43" bottom="0.37" header="0.27" footer="0.21"/>
  <pageSetup scale="75" fitToHeight="4" orientation="landscape" horizontalDpi="4294967292" r:id="rId1"/>
  <headerFooter alignWithMargins="0"/>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BC234598CC1C7438ECC4D278398BC76" ma:contentTypeVersion="16" ma:contentTypeDescription="Create a new document." ma:contentTypeScope="" ma:versionID="edbeb1f95ee328d46fb5a61adcf54dd8">
  <xsd:schema xmlns:xsd="http://www.w3.org/2001/XMLSchema" xmlns:xs="http://www.w3.org/2001/XMLSchema" xmlns:p="http://schemas.microsoft.com/office/2006/metadata/properties" xmlns:ns2="ae4f5344-92ed-4b2c-a02a-db07ecd1083c" xmlns:ns3="66b6640c-fcad-455a-8b52-c45a8f768f07" targetNamespace="http://schemas.microsoft.com/office/2006/metadata/properties" ma:root="true" ma:fieldsID="d97693509fc02f7ce46a14596827ea7f" ns2:_="" ns3:_="">
    <xsd:import namespace="ae4f5344-92ed-4b2c-a02a-db07ecd1083c"/>
    <xsd:import namespace="66b6640c-fcad-455a-8b52-c45a8f768f07"/>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Location" minOccurs="0"/>
                <xsd:element ref="ns2:MediaServiceOCR" minOccurs="0"/>
                <xsd:element ref="ns3:SharedWithUsers" minOccurs="0"/>
                <xsd:element ref="ns3:SharedWithDetails" minOccurs="0"/>
                <xsd:element ref="ns2:MediaLengthInSecond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4f5344-92ed-4b2c-a02a-db07ecd108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2e6c1609-49e0-4fdc-8f5b-8b798a96913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dexed="true"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6b6640c-fcad-455a-8b52-c45a8f768f07"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5dc46c80-16ee-4d30-8790-7317b5ed8fe9}" ma:internalName="TaxCatchAll" ma:showField="CatchAllData" ma:web="66b6640c-fcad-455a-8b52-c45a8f768f07">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e4f5344-92ed-4b2c-a02a-db07ecd1083c">
      <Terms xmlns="http://schemas.microsoft.com/office/infopath/2007/PartnerControls"/>
    </lcf76f155ced4ddcb4097134ff3c332f>
    <TaxCatchAll xmlns="66b6640c-fcad-455a-8b52-c45a8f768f07" xsi:nil="true"/>
  </documentManagement>
</p:properties>
</file>

<file path=customXml/itemProps1.xml><?xml version="1.0" encoding="utf-8"?>
<ds:datastoreItem xmlns:ds="http://schemas.openxmlformats.org/officeDocument/2006/customXml" ds:itemID="{5A170E11-710F-4C17-9F03-F105191375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e4f5344-92ed-4b2c-a02a-db07ecd1083c"/>
    <ds:schemaRef ds:uri="66b6640c-fcad-455a-8b52-c45a8f768f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9717474-7464-4234-85D2-572E0D926F99}">
  <ds:schemaRefs>
    <ds:schemaRef ds:uri="http://schemas.microsoft.com/sharepoint/v3/contenttype/forms"/>
  </ds:schemaRefs>
</ds:datastoreItem>
</file>

<file path=customXml/itemProps3.xml><?xml version="1.0" encoding="utf-8"?>
<ds:datastoreItem xmlns:ds="http://schemas.openxmlformats.org/officeDocument/2006/customXml" ds:itemID="{D8A9C2B4-DA47-49B4-BBB4-5A38DB97DE9D}">
  <ds:schemaRefs>
    <ds:schemaRef ds:uri="http://www.w3.org/XML/1998/namespace"/>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66b6640c-fcad-455a-8b52-c45a8f768f07"/>
    <ds:schemaRef ds:uri="ae4f5344-92ed-4b2c-a02a-db07ecd1083c"/>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13</vt:i4>
      </vt:variant>
    </vt:vector>
  </HeadingPairs>
  <TitlesOfParts>
    <vt:vector size="24" baseType="lpstr">
      <vt:lpstr>Start</vt:lpstr>
      <vt:lpstr>Data</vt:lpstr>
      <vt:lpstr>ChemData</vt:lpstr>
      <vt:lpstr>H-Summary</vt:lpstr>
      <vt:lpstr>H-Effluent</vt:lpstr>
      <vt:lpstr>H-Runoff</vt:lpstr>
      <vt:lpstr>H-Leachate</vt:lpstr>
      <vt:lpstr>H-Volatilization</vt:lpstr>
      <vt:lpstr>H-Plant &amp; Animal</vt:lpstr>
      <vt:lpstr>Illustrations</vt:lpstr>
      <vt:lpstr>Sheet1</vt:lpstr>
      <vt:lpstr>ChemData!Print_Area</vt:lpstr>
      <vt:lpstr>'H-Effluent'!Print_Area</vt:lpstr>
      <vt:lpstr>'H-Plant &amp; Animal'!Print_Area</vt:lpstr>
      <vt:lpstr>'H-Runoff'!Print_Area</vt:lpstr>
      <vt:lpstr>'H-Summary'!Print_Area</vt:lpstr>
      <vt:lpstr>'H-Volatilization'!Print_Area</vt:lpstr>
      <vt:lpstr>Illustrations!Print_Area</vt:lpstr>
      <vt:lpstr>Start!Print_Area</vt:lpstr>
      <vt:lpstr>Data!Print_Titles</vt:lpstr>
      <vt:lpstr>'H-Effluent'!Print_Titles</vt:lpstr>
      <vt:lpstr>'H-Leachate'!Print_Titles</vt:lpstr>
      <vt:lpstr>'H-Runoff'!Print_Titles</vt:lpstr>
      <vt:lpstr>'H-Volatilization'!Print_Titles</vt:lpstr>
    </vt:vector>
  </TitlesOfParts>
  <Manager/>
  <Company>USACE, Environmental Laboratory, DOER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Screening Spreadsheet</dc:title>
  <dc:subject>CDF Contaminant Pathway Migration</dc:subject>
  <dc:creator>Paul R. Schroeder</dc:creator>
  <cp:keywords/>
  <dc:description/>
  <cp:lastModifiedBy>Kennedy, Alan J CIV USARMY CEERD-EL (USA)</cp:lastModifiedBy>
  <cp:revision/>
  <dcterms:created xsi:type="dcterms:W3CDTF">1998-12-11T17:00:22Z</dcterms:created>
  <dcterms:modified xsi:type="dcterms:W3CDTF">2025-04-10T21:11:19Z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0x0101000BC234598CC1C7438ECC4D278398BC76</vt:lpwstr>
  </property>
  <property fmtid="{D5CDD505-2E9C-101B-9397-08002B2CF9AE}" pid="3" name="MediaServiceImageTags">
    <vt:lpwstr/>
  </property>
</Properties>
</file>